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embeddings/oleObject23.bin" ContentType="application/vnd.openxmlformats-officedocument.oleObject"/>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G:\Projetos 2022\PM Castello Branco\R0A - atualização 2704202\Atualização 29112022\"/>
    </mc:Choice>
  </mc:AlternateContent>
  <xr:revisionPtr revIDLastSave="0" documentId="13_ncr:1_{B5BA093E-348F-46BB-99E8-96C661627C6E}" xr6:coauthVersionLast="47" xr6:coauthVersionMax="47" xr10:uidLastSave="{00000000-0000-0000-0000-000000000000}"/>
  <bookViews>
    <workbookView xWindow="-120" yWindow="-120" windowWidth="29040" windowHeight="15720" tabRatio="780" activeTab="9" xr2:uid="{00000000-000D-0000-FFFF-FFFF00000000}"/>
  </bookViews>
  <sheets>
    <sheet name="NSTER" sheetId="51" r:id="rId1"/>
    <sheet name="DISPOSITIVOS" sheetId="11" r:id="rId2"/>
    <sheet name="SINAPI" sheetId="3" r:id="rId3"/>
    <sheet name="GEOMÉTRICO" sheetId="55" r:id="rId4"/>
    <sheet name="DimPAV" sheetId="50" r:id="rId5"/>
    <sheet name="BDI" sheetId="4" r:id="rId6"/>
    <sheet name="DMT" sheetId="5" r:id="rId7"/>
    <sheet name="COMPOSIÇÕES" sheetId="10" r:id="rId8"/>
    <sheet name="BET" sheetId="57" r:id="rId9"/>
    <sheet name="MEMORIA" sheetId="8" r:id="rId10"/>
    <sheet name="DRENAGEM" sheetId="53" r:id="rId11"/>
    <sheet name="OAC" sheetId="52" r:id="rId12"/>
    <sheet name="Resumo" sheetId="48" r:id="rId13"/>
    <sheet name="oR" sheetId="6" r:id="rId14"/>
    <sheet name="cR" sheetId="7" r:id="rId15"/>
    <sheet name="cF" sheetId="5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01_09_96" localSheetId="5">#REF!</definedName>
    <definedName name="_01_09_96" localSheetId="7">#REF!</definedName>
    <definedName name="_01_09_96" localSheetId="4">#REF!</definedName>
    <definedName name="_01_09_96" localSheetId="1">#REF!</definedName>
    <definedName name="_01_09_96" localSheetId="10">#REF!</definedName>
    <definedName name="_01_09_96" localSheetId="11">#REF!</definedName>
    <definedName name="_01_09_96" localSheetId="12">#REF!</definedName>
    <definedName name="_01_09_96">#REF!</definedName>
    <definedName name="_1Excel_BuiltIn_Print_Area_1_1">"$#REF!.$B$2:$H$40"</definedName>
    <definedName name="_2Excel_BuiltIn_Print_Area_2_1">"$#REF!.$B$2:$Y$147"</definedName>
    <definedName name="_3Excel_BuiltIn_Print_Titles_2_1" localSheetId="5">#REF!</definedName>
    <definedName name="_3Excel_BuiltIn_Print_Titles_2_1" localSheetId="7">#REF!</definedName>
    <definedName name="_3Excel_BuiltIn_Print_Titles_2_1" localSheetId="4">#REF!</definedName>
    <definedName name="_3Excel_BuiltIn_Print_Titles_2_1" localSheetId="1">#REF!</definedName>
    <definedName name="_3Excel_BuiltIn_Print_Titles_2_1" localSheetId="10">#REF!</definedName>
    <definedName name="_3Excel_BuiltIn_Print_Titles_2_1" localSheetId="11">#REF!</definedName>
    <definedName name="_3Excel_BuiltIn_Print_Titles_2_1" localSheetId="12">#REF!</definedName>
    <definedName name="_3Excel_BuiltIn_Print_Titles_2_1">#REF!</definedName>
    <definedName name="_Ext2" localSheetId="5">'[1]P A T O 99 B'!#REF!</definedName>
    <definedName name="_Ext2" localSheetId="7">'[1]P A T O 99 B'!#REF!</definedName>
    <definedName name="_Ext2" localSheetId="4">'[1]P A T O 99 B'!#REF!</definedName>
    <definedName name="_Ext2" localSheetId="1">'[1]P A T O 99 B'!#REF!</definedName>
    <definedName name="_Ext2" localSheetId="10">'[1]P A T O 99 B'!#REF!</definedName>
    <definedName name="_Ext2" localSheetId="11">'[1]P A T O 99 B'!#REF!</definedName>
    <definedName name="_Ext2" localSheetId="12">'[1]P A T O 99 B'!#REF!</definedName>
    <definedName name="_Ext2">'[1]P A T O 99 B'!#REF!</definedName>
    <definedName name="_xlnm._FilterDatabase" localSheetId="15" hidden="1">cF!$A$10:$Q$52</definedName>
    <definedName name="_xlnm._FilterDatabase" localSheetId="7" hidden="1">COMPOSIÇÕES!$A$11:$U$677</definedName>
    <definedName name="_xlnm._FilterDatabase" localSheetId="14" hidden="1">cR!$A$11:$S$90</definedName>
    <definedName name="_xlnm._FilterDatabase" localSheetId="9" hidden="1">MEMORIA!$A$11:$N$1277</definedName>
    <definedName name="_xlnm._FilterDatabase" localSheetId="13" hidden="1">oR!$C$13:$C$391</definedName>
    <definedName name="_xlnm._FilterDatabase" localSheetId="12" hidden="1">Resumo!$A$12:$A$23</definedName>
    <definedName name="_ki5" localSheetId="5">#REF!</definedName>
    <definedName name="_ki5" localSheetId="7">#REF!</definedName>
    <definedName name="_ki5" localSheetId="4">#REF!</definedName>
    <definedName name="_ki5" localSheetId="1">#REF!</definedName>
    <definedName name="_ki5" localSheetId="10">#REF!</definedName>
    <definedName name="_ki5" localSheetId="11">#REF!</definedName>
    <definedName name="_ki5" localSheetId="12">#REF!</definedName>
    <definedName name="_ki5">#REF!</definedName>
    <definedName name="_PL1" localSheetId="5">#REF!</definedName>
    <definedName name="_PL1" localSheetId="7">#REF!</definedName>
    <definedName name="_PL1" localSheetId="4">#REF!</definedName>
    <definedName name="_PL1" localSheetId="1">#REF!</definedName>
    <definedName name="_PL1" localSheetId="10">#REF!</definedName>
    <definedName name="_PL1" localSheetId="11">#REF!</definedName>
    <definedName name="_PL1" localSheetId="12">#REF!</definedName>
    <definedName name="_PL1">#REF!</definedName>
    <definedName name="a" localSheetId="5">#REF!</definedName>
    <definedName name="a" localSheetId="7">#REF!</definedName>
    <definedName name="a" localSheetId="4">#REF!</definedName>
    <definedName name="a" localSheetId="1">#REF!</definedName>
    <definedName name="a" localSheetId="10">#REF!</definedName>
    <definedName name="a" localSheetId="11">#REF!</definedName>
    <definedName name="a" localSheetId="12">#REF!</definedName>
    <definedName name="a">#REF!</definedName>
    <definedName name="amarela" localSheetId="5">#REF!</definedName>
    <definedName name="amarela" localSheetId="7">#REF!</definedName>
    <definedName name="amarela" localSheetId="4">#REF!</definedName>
    <definedName name="amarela" localSheetId="1">#REF!</definedName>
    <definedName name="amarela" localSheetId="10">#REF!</definedName>
    <definedName name="amarela" localSheetId="11">#REF!</definedName>
    <definedName name="amarela" localSheetId="12">#REF!</definedName>
    <definedName name="amarela">#REF!</definedName>
    <definedName name="_xlnm.Print_Area" localSheetId="5">BDI!$B$2:$G$46</definedName>
    <definedName name="_xlnm.Print_Area" localSheetId="8">BET!$B$2:$Z$29</definedName>
    <definedName name="_xlnm.Print_Area" localSheetId="15">cF!$B$2:$P$20</definedName>
    <definedName name="_xlnm.Print_Area" localSheetId="7">COMPOSIÇÕES!$C$2:$L$671</definedName>
    <definedName name="_xlnm.Print_Area" localSheetId="14">cR!$B$2:$R$35</definedName>
    <definedName name="_xlnm.Print_Area" localSheetId="4">DimPAV!$B$1:$M$41</definedName>
    <definedName name="_xlnm.Print_Area" localSheetId="6">DMT!$B$2:$K$30</definedName>
    <definedName name="_xlnm.Print_Area" localSheetId="10">DRENAGEM!$B$1:$AK$14,DRENAGEM!$AM$1:$BY$10,DRENAGEM!$CC$1:$DS$10</definedName>
    <definedName name="_xlnm.Print_Area" localSheetId="9">MEMORIA!$C$3:$J$1277</definedName>
    <definedName name="_xlnm.Print_Area" localSheetId="0">NSTER!$B$8:$AA$115</definedName>
    <definedName name="_xlnm.Print_Area" localSheetId="11">OAC!$B$1:$AU$44,OAC!$CN$1:$EF$17,OAC!$EJ$1:$GP$17</definedName>
    <definedName name="_xlnm.Print_Area" localSheetId="13">oR!$E$2:$Q$385</definedName>
    <definedName name="_xlnm.Print_Area" localSheetId="12">Resumo!$C$2:$L$28</definedName>
    <definedName name="azul" localSheetId="5">#REF!</definedName>
    <definedName name="azul" localSheetId="7">#REF!</definedName>
    <definedName name="azul" localSheetId="4">#REF!</definedName>
    <definedName name="azul" localSheetId="1">#REF!</definedName>
    <definedName name="azul" localSheetId="10">#REF!</definedName>
    <definedName name="azul" localSheetId="11">#REF!</definedName>
    <definedName name="azul" localSheetId="12">#REF!</definedName>
    <definedName name="azul">#REF!</definedName>
    <definedName name="AZULSINAL" localSheetId="5">#REF!</definedName>
    <definedName name="AZULSINAL" localSheetId="7">#REF!</definedName>
    <definedName name="AZULSINAL" localSheetId="4">#REF!</definedName>
    <definedName name="AZULSINAL" localSheetId="1">#REF!</definedName>
    <definedName name="AZULSINAL" localSheetId="10">#REF!</definedName>
    <definedName name="AZULSINAL" localSheetId="11">#REF!</definedName>
    <definedName name="AZULSINAL" localSheetId="12">#REF!</definedName>
    <definedName name="AZULSINAL">#REF!</definedName>
    <definedName name="BDI" localSheetId="7">#REF!</definedName>
    <definedName name="BDI" localSheetId="4">#REF!</definedName>
    <definedName name="BDI" localSheetId="1">#REF!</definedName>
    <definedName name="BDI" localSheetId="10">#REF!</definedName>
    <definedName name="BDI" localSheetId="11">#REF!</definedName>
    <definedName name="BDI" localSheetId="12">#REF!</definedName>
    <definedName name="BDI">#REF!</definedName>
    <definedName name="BG" localSheetId="5">#REF!</definedName>
    <definedName name="BG" localSheetId="7">#REF!</definedName>
    <definedName name="BG" localSheetId="4">#REF!</definedName>
    <definedName name="BG" localSheetId="1">#REF!</definedName>
    <definedName name="BG" localSheetId="10">#REF!</definedName>
    <definedName name="BG" localSheetId="11">#REF!</definedName>
    <definedName name="BG" localSheetId="12">#REF!</definedName>
    <definedName name="BG">#REF!</definedName>
    <definedName name="BGU" localSheetId="5">#REF!</definedName>
    <definedName name="BGU" localSheetId="7">#REF!</definedName>
    <definedName name="BGU" localSheetId="4">#REF!</definedName>
    <definedName name="BGU" localSheetId="1">#REF!</definedName>
    <definedName name="BGU" localSheetId="10">#REF!</definedName>
    <definedName name="BGU" localSheetId="11">#REF!</definedName>
    <definedName name="BGU" localSheetId="12">#REF!</definedName>
    <definedName name="BGU">#REF!</definedName>
    <definedName name="CBU" localSheetId="5">#REF!</definedName>
    <definedName name="CBU" localSheetId="7">#REF!</definedName>
    <definedName name="CBU" localSheetId="4">#REF!</definedName>
    <definedName name="CBU" localSheetId="1">#REF!</definedName>
    <definedName name="CBU" localSheetId="10">#REF!</definedName>
    <definedName name="CBU" localSheetId="11">#REF!</definedName>
    <definedName name="CBU" localSheetId="12">#REF!</definedName>
    <definedName name="CBU">#REF!</definedName>
    <definedName name="CBUII" localSheetId="5">#REF!</definedName>
    <definedName name="CBUII" localSheetId="7">#REF!</definedName>
    <definedName name="CBUII" localSheetId="4">#REF!</definedName>
    <definedName name="CBUII" localSheetId="1">#REF!</definedName>
    <definedName name="CBUII" localSheetId="10">#REF!</definedName>
    <definedName name="CBUII" localSheetId="11">#REF!</definedName>
    <definedName name="CBUII" localSheetId="12">#REF!</definedName>
    <definedName name="CBUII">#REF!</definedName>
    <definedName name="CBUQB" localSheetId="5">#REF!</definedName>
    <definedName name="CBUQB" localSheetId="7">#REF!</definedName>
    <definedName name="CBUQB" localSheetId="4">#REF!</definedName>
    <definedName name="CBUQB" localSheetId="1">#REF!</definedName>
    <definedName name="CBUQB" localSheetId="10">#REF!</definedName>
    <definedName name="CBUQB" localSheetId="11">#REF!</definedName>
    <definedName name="CBUQB" localSheetId="12">#REF!</definedName>
    <definedName name="CBUQB">#REF!</definedName>
    <definedName name="CBUQc" localSheetId="5">#REF!</definedName>
    <definedName name="CBUQc" localSheetId="7">#REF!</definedName>
    <definedName name="CBUQc" localSheetId="4">#REF!</definedName>
    <definedName name="CBUQc" localSheetId="1">#REF!</definedName>
    <definedName name="CBUQc" localSheetId="10">#REF!</definedName>
    <definedName name="CBUQc" localSheetId="11">#REF!</definedName>
    <definedName name="CBUQc" localSheetId="12">#REF!</definedName>
    <definedName name="CBUQc">#REF!</definedName>
    <definedName name="d" localSheetId="5">#REF!</definedName>
    <definedName name="d" localSheetId="7">#REF!</definedName>
    <definedName name="d" localSheetId="4">#REF!</definedName>
    <definedName name="d" localSheetId="1">#REF!</definedName>
    <definedName name="d" localSheetId="10">#REF!</definedName>
    <definedName name="d" localSheetId="11">#REF!</definedName>
    <definedName name="d" localSheetId="12">#REF!</definedName>
    <definedName name="d">#REF!</definedName>
    <definedName name="DATA">"$acesso.$#REF!$#REF!"</definedName>
    <definedName name="DATA___1">"$'orçamento 25'.$#REF!$#REF!"</definedName>
    <definedName name="DATA___11">"$#REF!.$Z$8"</definedName>
    <definedName name="DATA___2">"$#REF!.$V$9"</definedName>
    <definedName name="DATA___3">"$'orçamento 50'.$#REF!$#REF!"</definedName>
    <definedName name="DATA___4">"$#REF!.$V$9"</definedName>
    <definedName name="DATA___6">"$orçamento.$#REF!$#REF!"</definedName>
    <definedName name="DATA___7">"$#REF!.$Y$9"</definedName>
    <definedName name="DATA___8">"$bueiros.$V$#REF!"</definedName>
    <definedName name="DATA___9">"$sarjetas.$#REF!$#REF!"</definedName>
    <definedName name="Data_Final" localSheetId="5">#REF!</definedName>
    <definedName name="Data_Final" localSheetId="7">#REF!</definedName>
    <definedName name="Data_Final" localSheetId="4">#REF!</definedName>
    <definedName name="Data_Final" localSheetId="1">#REF!</definedName>
    <definedName name="Data_Final" localSheetId="10">#REF!</definedName>
    <definedName name="Data_Final" localSheetId="11">#REF!</definedName>
    <definedName name="Data_Final" localSheetId="12">#REF!</definedName>
    <definedName name="Data_Final">#REF!</definedName>
    <definedName name="Data_Início" localSheetId="5">#REF!</definedName>
    <definedName name="Data_Início" localSheetId="7">#REF!</definedName>
    <definedName name="Data_Início" localSheetId="4">#REF!</definedName>
    <definedName name="Data_Início" localSheetId="1">#REF!</definedName>
    <definedName name="Data_Início" localSheetId="10">#REF!</definedName>
    <definedName name="Data_Início" localSheetId="11">#REF!</definedName>
    <definedName name="Data_Início" localSheetId="12">#REF!</definedName>
    <definedName name="Data_Início">#REF!</definedName>
    <definedName name="DJ" localSheetId="5">#REF!</definedName>
    <definedName name="DJ" localSheetId="7">#REF!</definedName>
    <definedName name="DJ" localSheetId="4">#REF!</definedName>
    <definedName name="DJ" localSheetId="1">#REF!</definedName>
    <definedName name="DJ" localSheetId="10">#REF!</definedName>
    <definedName name="DJ" localSheetId="11">#REF!</definedName>
    <definedName name="DJ" localSheetId="12">#REF!</definedName>
    <definedName name="DJ">#REF!</definedName>
    <definedName name="ECJ" localSheetId="5">#REF!</definedName>
    <definedName name="ECJ" localSheetId="7">#REF!</definedName>
    <definedName name="ECJ" localSheetId="4">#REF!</definedName>
    <definedName name="ECJ" localSheetId="1">#REF!</definedName>
    <definedName name="ECJ" localSheetId="10">#REF!</definedName>
    <definedName name="ECJ" localSheetId="11">#REF!</definedName>
    <definedName name="ECJ" localSheetId="12">#REF!</definedName>
    <definedName name="ECJ">#REF!</definedName>
    <definedName name="Efaixa" localSheetId="5">'[2]P A T O  D'!#REF!</definedName>
    <definedName name="Efaixa" localSheetId="7">'[2]P A T O  D'!#REF!</definedName>
    <definedName name="Efaixa" localSheetId="4">'[2]P A T O  D'!#REF!</definedName>
    <definedName name="Efaixa" localSheetId="1">'[2]P A T O  D'!#REF!</definedName>
    <definedName name="Efaixa" localSheetId="10">'[2]P A T O  D'!#REF!</definedName>
    <definedName name="Efaixa" localSheetId="11">'[2]P A T O  D'!#REF!</definedName>
    <definedName name="Efaixa" localSheetId="12">'[2]P A T O  D'!#REF!</definedName>
    <definedName name="Efaixa">'[2]P A T O  D'!#REF!</definedName>
    <definedName name="EJ" localSheetId="5">#REF!</definedName>
    <definedName name="EJ" localSheetId="7">#REF!</definedName>
    <definedName name="EJ" localSheetId="4">#REF!</definedName>
    <definedName name="EJ" localSheetId="1">#REF!</definedName>
    <definedName name="EJ" localSheetId="10">#REF!</definedName>
    <definedName name="EJ" localSheetId="11">#REF!</definedName>
    <definedName name="EJ" localSheetId="12">#REF!</definedName>
    <definedName name="EJ">#REF!</definedName>
    <definedName name="eqpto">[3]Eqpto!$B$8:$W$145</definedName>
    <definedName name="Excel_BuiltIn_Print_Area_1_1">"$#REF!.$B$2:$H$40"</definedName>
    <definedName name="Excel_BuiltIn_Print_Area_10">"$#REF!.$B$2:$AH$38"</definedName>
    <definedName name="Excel_BuiltIn_Print_Area_11">"$#REF!.$A$1:$AA$140"</definedName>
    <definedName name="Excel_BuiltIn_Print_Area_12">#REF!</definedName>
    <definedName name="Excel_BuiltIn_Print_Area_13" localSheetId="8">#REF!</definedName>
    <definedName name="Excel_BuiltIn_Print_Area_13">#REF!</definedName>
    <definedName name="Excel_BuiltIn_Print_Area_14" localSheetId="8">#REF!</definedName>
    <definedName name="Excel_BuiltIn_Print_Area_14">#REF!</definedName>
    <definedName name="Excel_BuiltIn_Print_Area_15">#REF!</definedName>
    <definedName name="Excel_BuiltIn_Print_Area_16">#REF!</definedName>
    <definedName name="Excel_BuiltIn_Print_Area_2" localSheetId="5">#REF!</definedName>
    <definedName name="Excel_BuiltIn_Print_Area_2" localSheetId="7">#REF!</definedName>
    <definedName name="Excel_BuiltIn_Print_Area_2" localSheetId="4">#REF!</definedName>
    <definedName name="Excel_BuiltIn_Print_Area_2" localSheetId="1">#REF!</definedName>
    <definedName name="Excel_BuiltIn_Print_Area_2" localSheetId="10">#REF!</definedName>
    <definedName name="Excel_BuiltIn_Print_Area_2" localSheetId="11">#REF!</definedName>
    <definedName name="Excel_BuiltIn_Print_Area_2" localSheetId="12">#REF!</definedName>
    <definedName name="Excel_BuiltIn_Print_Area_2">#REF!</definedName>
    <definedName name="Excel_BuiltIn_Print_Area_2_1">"$#REF!.$B$2:$Y$147"</definedName>
    <definedName name="Excel_BuiltIn_Print_Area_3">"$#REF!.$B$2:$H$40"</definedName>
    <definedName name="Excel_BuiltIn_Print_Area_3_1">"$#REF!.$B$2:$H$40"</definedName>
    <definedName name="Excel_BuiltIn_Print_Area_4">"$#REF!.$B$2:$Y$147"</definedName>
    <definedName name="Excel_BuiltIn_Print_Area_4_1">"$#REF!.$B$2:$Y$147"</definedName>
    <definedName name="Excel_BuiltIn_Print_Area_5">#REF!</definedName>
    <definedName name="Excel_BuiltIn_Print_Area_5_1" localSheetId="8">#REF!</definedName>
    <definedName name="Excel_BuiltIn_Print_Area_5_1">#REF!</definedName>
    <definedName name="Excel_BuiltIn_Print_Area_6">"$#REF!.$B$2:$H$33"</definedName>
    <definedName name="Excel_BuiltIn_Print_Area_7">"$#REF!.$B$2:$AB$42"</definedName>
    <definedName name="Excel_BuiltIn_Print_Area_8">"$#REF!.$B$2:$Y$55"</definedName>
    <definedName name="Excel_BuiltIn_Print_Area_9">"$#REF!.$B$2:$AD$68"</definedName>
    <definedName name="Excel_BuiltIn_Print_Titles_1">"$#REF!.$A$2:$IV$11"</definedName>
    <definedName name="Excel_BuiltIn_Print_Titles_1_1">"$#REF!.$A$2:$IV$11"</definedName>
    <definedName name="Excel_BuiltIn_Print_Titles_10">"$#REF!.$A$2:$IV$21"</definedName>
    <definedName name="Excel_BuiltIn_Print_Titles_11">"$#REF!.$A$1:$IV$13"</definedName>
    <definedName name="Excel_BuiltIn_Print_Titles_2">"$#REF!.$A$2:$IV$16"</definedName>
    <definedName name="Excel_BuiltIn_Print_Titles_2_1">"$#REF!.$A$2:$IV$16"</definedName>
    <definedName name="Excel_BuiltIn_Print_Titles_3">"$#REF!.$A$2:$IV$11"</definedName>
    <definedName name="Excel_BuiltIn_Print_Titles_4">"$#REF!.$A$2:$IV$16"</definedName>
    <definedName name="Excel_BuiltIn_Print_Titles_6">"$#REF!.$A$2:$IV$10"</definedName>
    <definedName name="Excel_BuiltIn_Print_Titles_7">"$#REF!.$A$2:$IV$24"</definedName>
    <definedName name="Excel_BuiltIn_Print_Titles_8">"$#REF!.$A$2:$IV$14"</definedName>
    <definedName name="Excel_BuiltIn_Print_Titles_9">"$#REF!.$A$2:$IV$35"</definedName>
    <definedName name="Ext" localSheetId="5">#REF!</definedName>
    <definedName name="Ext" localSheetId="7">#REF!</definedName>
    <definedName name="Ext" localSheetId="4">#REF!</definedName>
    <definedName name="Ext" localSheetId="1">#REF!</definedName>
    <definedName name="Ext" localSheetId="10">#REF!</definedName>
    <definedName name="Ext" localSheetId="11">#REF!</definedName>
    <definedName name="Ext" localSheetId="12">#REF!</definedName>
    <definedName name="Ext">#REF!</definedName>
    <definedName name="Extens" localSheetId="5">'[4]P A T O 98 D'!#REF!</definedName>
    <definedName name="Extens" localSheetId="7">'[4]P A T O 98 D'!#REF!</definedName>
    <definedName name="Extens" localSheetId="4">'[4]P A T O 98 D'!#REF!</definedName>
    <definedName name="Extens" localSheetId="1">'[4]P A T O 98 D'!#REF!</definedName>
    <definedName name="Extens" localSheetId="10">'[4]P A T O 98 D'!#REF!</definedName>
    <definedName name="Extens" localSheetId="11">'[4]P A T O 98 D'!#REF!</definedName>
    <definedName name="Extens" localSheetId="12">'[4]P A T O 98 D'!#REF!</definedName>
    <definedName name="Extens">'[4]P A T O 98 D'!#REF!</definedName>
    <definedName name="Extensao" localSheetId="5">'[2]P A T O  D'!#REF!</definedName>
    <definedName name="Extensao" localSheetId="7">'[2]P A T O  D'!#REF!</definedName>
    <definedName name="Extensao" localSheetId="4">'[2]P A T O  D'!#REF!</definedName>
    <definedName name="Extensao" localSheetId="1">'[2]P A T O  D'!#REF!</definedName>
    <definedName name="Extensao" localSheetId="10">'[2]P A T O  D'!#REF!</definedName>
    <definedName name="Extensao" localSheetId="11">'[2]P A T O  D'!#REF!</definedName>
    <definedName name="Extensao" localSheetId="12">'[2]P A T O  D'!#REF!</definedName>
    <definedName name="Extensao">'[2]P A T O  D'!#REF!</definedName>
    <definedName name="Extenso" localSheetId="5">[5]!Extenso</definedName>
    <definedName name="Extenso" localSheetId="15">[5]!Extenso</definedName>
    <definedName name="Extenso" localSheetId="7">[5]!Extenso</definedName>
    <definedName name="Extenso" localSheetId="11">[5]!Extenso</definedName>
    <definedName name="Extenso" localSheetId="12">[5]!Extenso</definedName>
    <definedName name="Extenso">[5]!Extenso</definedName>
    <definedName name="ExtFaixa" localSheetId="5">#REF!</definedName>
    <definedName name="ExtFaixa" localSheetId="7">#REF!</definedName>
    <definedName name="ExtFaixa" localSheetId="4">#REF!</definedName>
    <definedName name="ExtFaixa" localSheetId="1">#REF!</definedName>
    <definedName name="ExtFaixa" localSheetId="10">#REF!</definedName>
    <definedName name="ExtFaixa" localSheetId="11">#REF!</definedName>
    <definedName name="ExtFaixa" localSheetId="12">#REF!</definedName>
    <definedName name="ExtFaixa">#REF!</definedName>
    <definedName name="ExtFaixa2" localSheetId="5">'[1]P A T O 99 B'!#REF!</definedName>
    <definedName name="ExtFaixa2" localSheetId="7">'[1]P A T O 99 B'!#REF!</definedName>
    <definedName name="ExtFaixa2" localSheetId="4">'[1]P A T O 99 B'!#REF!</definedName>
    <definedName name="ExtFaixa2" localSheetId="1">'[1]P A T O 99 B'!#REF!</definedName>
    <definedName name="ExtFaixa2" localSheetId="10">'[1]P A T O 99 B'!#REF!</definedName>
    <definedName name="ExtFaixa2" localSheetId="11">'[1]P A T O 99 B'!#REF!</definedName>
    <definedName name="ExtFaixa2" localSheetId="12">'[1]P A T O 99 B'!#REF!</definedName>
    <definedName name="ExtFaixa2">'[1]P A T O 99 B'!#REF!</definedName>
    <definedName name="Faixa" localSheetId="5">'[4]P A T O 98 D'!#REF!</definedName>
    <definedName name="Faixa" localSheetId="7">'[4]P A T O 98 D'!#REF!</definedName>
    <definedName name="Faixa" localSheetId="4">'[4]P A T O 98 D'!#REF!</definedName>
    <definedName name="Faixa" localSheetId="1">'[4]P A T O 98 D'!#REF!</definedName>
    <definedName name="Faixa" localSheetId="10">'[4]P A T O 98 D'!#REF!</definedName>
    <definedName name="Faixa" localSheetId="11">'[4]P A T O 98 D'!#REF!</definedName>
    <definedName name="Faixa" localSheetId="12">'[4]P A T O 98 D'!#REF!</definedName>
    <definedName name="Faixa">'[4]P A T O 98 D'!#REF!</definedName>
    <definedName name="hi" localSheetId="5">#REF!</definedName>
    <definedName name="hi" localSheetId="7">#REF!</definedName>
    <definedName name="hi" localSheetId="4">#REF!</definedName>
    <definedName name="hi" localSheetId="1">#REF!</definedName>
    <definedName name="hi" localSheetId="10">#REF!</definedName>
    <definedName name="hi" localSheetId="11">#REF!</definedName>
    <definedName name="hi" localSheetId="12">#REF!</definedName>
    <definedName name="hi">#REF!</definedName>
    <definedName name="IM" localSheetId="5">#REF!</definedName>
    <definedName name="IM" localSheetId="7">#REF!</definedName>
    <definedName name="IM" localSheetId="4">#REF!</definedName>
    <definedName name="IM" localSheetId="1">#REF!</definedName>
    <definedName name="IM" localSheetId="10">#REF!</definedName>
    <definedName name="IM" localSheetId="11">#REF!</definedName>
    <definedName name="IM" localSheetId="12">#REF!</definedName>
    <definedName name="IM">#REF!</definedName>
    <definedName name="j" localSheetId="5">#REF!</definedName>
    <definedName name="j" localSheetId="7">#REF!</definedName>
    <definedName name="j" localSheetId="1">#REF!</definedName>
    <definedName name="j" localSheetId="11">#REF!</definedName>
    <definedName name="j" localSheetId="12">#REF!</definedName>
    <definedName name="j">#REF!</definedName>
    <definedName name="LILASDRENA" localSheetId="5">#REF!</definedName>
    <definedName name="LILASDRENA" localSheetId="7">#REF!</definedName>
    <definedName name="LILASDRENA" localSheetId="4">#REF!</definedName>
    <definedName name="LILASDRENA" localSheetId="1">#REF!</definedName>
    <definedName name="LILASDRENA" localSheetId="10">#REF!</definedName>
    <definedName name="LILASDRENA" localSheetId="11">#REF!</definedName>
    <definedName name="LILASDRENA" localSheetId="12">#REF!</definedName>
    <definedName name="LILASDRENA">#REF!</definedName>
    <definedName name="mat">[6]Mat!$B$4:$E$570</definedName>
    <definedName name="Medição" localSheetId="5">#REF!</definedName>
    <definedName name="Medição" localSheetId="7">#REF!</definedName>
    <definedName name="Medição" localSheetId="4">#REF!</definedName>
    <definedName name="Medição" localSheetId="1">#REF!</definedName>
    <definedName name="Medição" localSheetId="10">#REF!</definedName>
    <definedName name="Medição" localSheetId="11">#REF!</definedName>
    <definedName name="Medição" localSheetId="12">#REF!</definedName>
    <definedName name="Medição">#REF!</definedName>
    <definedName name="módulo1.Extenso">[7]!módulo1.Extenso</definedName>
    <definedName name="pesquisa" localSheetId="5">#REF!</definedName>
    <definedName name="pesquisa" localSheetId="7">#REF!</definedName>
    <definedName name="pesquisa" localSheetId="4">#REF!</definedName>
    <definedName name="pesquisa" localSheetId="1">#REF!</definedName>
    <definedName name="pesquisa" localSheetId="10">#REF!</definedName>
    <definedName name="pesquisa" localSheetId="11">#REF!</definedName>
    <definedName name="pesquisa" localSheetId="12">#REF!</definedName>
    <definedName name="pesquisa">#REF!</definedName>
    <definedName name="PL" localSheetId="5">#REF!</definedName>
    <definedName name="PL" localSheetId="7">#REF!</definedName>
    <definedName name="PL" localSheetId="4">#REF!</definedName>
    <definedName name="PL" localSheetId="1">#REF!</definedName>
    <definedName name="PL" localSheetId="10">#REF!</definedName>
    <definedName name="PL" localSheetId="11">#REF!</definedName>
    <definedName name="PL" localSheetId="12">#REF!</definedName>
    <definedName name="PL">#REF!</definedName>
    <definedName name="primeira" localSheetId="5">#REF!</definedName>
    <definedName name="primeira" localSheetId="7">#REF!</definedName>
    <definedName name="primeira" localSheetId="4">#REF!</definedName>
    <definedName name="primeira" localSheetId="1">#REF!</definedName>
    <definedName name="primeira" localSheetId="10">#REF!</definedName>
    <definedName name="primeira" localSheetId="11">#REF!</definedName>
    <definedName name="primeira" localSheetId="12">#REF!</definedName>
    <definedName name="primeira">#REF!</definedName>
    <definedName name="Print_Area_MI" localSheetId="5">#REF!</definedName>
    <definedName name="Print_Area_MI" localSheetId="7">#REF!</definedName>
    <definedName name="Print_Area_MI" localSheetId="4">#REF!</definedName>
    <definedName name="Print_Area_MI" localSheetId="1">#REF!</definedName>
    <definedName name="Print_Area_MI" localSheetId="10">#REF!</definedName>
    <definedName name="Print_Area_MI" localSheetId="11">#REF!</definedName>
    <definedName name="Print_Area_MI" localSheetId="12">#REF!</definedName>
    <definedName name="Print_Area_MI">#REF!</definedName>
    <definedName name="PRINT_TITLES_MI" localSheetId="5">#REF!</definedName>
    <definedName name="PRINT_TITLES_MI" localSheetId="7">#REF!</definedName>
    <definedName name="PRINT_TITLES_MI" localSheetId="4">#REF!</definedName>
    <definedName name="PRINT_TITLES_MI" localSheetId="1">#REF!</definedName>
    <definedName name="PRINT_TITLES_MI" localSheetId="10">#REF!</definedName>
    <definedName name="PRINT_TITLES_MI" localSheetId="11">#REF!</definedName>
    <definedName name="PRINT_TITLES_MI" localSheetId="12">#REF!</definedName>
    <definedName name="PRINT_TITLES_MI">#REF!</definedName>
    <definedName name="QQ_2">#N/A</definedName>
    <definedName name="RBV">'[8]Mão de Obra'!$C$3:$C$7</definedName>
    <definedName name="REG" localSheetId="5">#REF!</definedName>
    <definedName name="REG" localSheetId="7">#REF!</definedName>
    <definedName name="REG" localSheetId="4">#REF!</definedName>
    <definedName name="REG" localSheetId="1">#REF!</definedName>
    <definedName name="REG" localSheetId="10">#REF!</definedName>
    <definedName name="REG" localSheetId="11">#REF!</definedName>
    <definedName name="REG" localSheetId="12">#REF!</definedName>
    <definedName name="REG">#REF!</definedName>
    <definedName name="REGULA" localSheetId="5">#REF!</definedName>
    <definedName name="REGULA" localSheetId="7">#REF!</definedName>
    <definedName name="REGULA" localSheetId="4">#REF!</definedName>
    <definedName name="REGULA" localSheetId="1">#REF!</definedName>
    <definedName name="REGULA" localSheetId="10">#REF!</definedName>
    <definedName name="REGULA" localSheetId="11">#REF!</definedName>
    <definedName name="REGULA" localSheetId="12">#REF!</definedName>
    <definedName name="REGULA">#REF!</definedName>
    <definedName name="RESUMO">#N/A</definedName>
    <definedName name="RS" localSheetId="5">#REF!</definedName>
    <definedName name="RS" localSheetId="7">#REF!</definedName>
    <definedName name="RS" localSheetId="4">#REF!</definedName>
    <definedName name="RS" localSheetId="1">#REF!</definedName>
    <definedName name="RS" localSheetId="10">#REF!</definedName>
    <definedName name="RS" localSheetId="11">#REF!</definedName>
    <definedName name="RS" localSheetId="12">#REF!</definedName>
    <definedName name="RS">#REF!</definedName>
    <definedName name="sbg" localSheetId="5">#REF!</definedName>
    <definedName name="sbg" localSheetId="7">#REF!</definedName>
    <definedName name="sbg" localSheetId="4">#REF!</definedName>
    <definedName name="sbg" localSheetId="1">#REF!</definedName>
    <definedName name="sbg" localSheetId="10">#REF!</definedName>
    <definedName name="sbg" localSheetId="11">#REF!</definedName>
    <definedName name="sbg" localSheetId="12">#REF!</definedName>
    <definedName name="sbg">#REF!</definedName>
    <definedName name="SBTC" localSheetId="5">#REF!</definedName>
    <definedName name="SBTC" localSheetId="7">#REF!</definedName>
    <definedName name="SBTC" localSheetId="4">#REF!</definedName>
    <definedName name="SBTC" localSheetId="1">#REF!</definedName>
    <definedName name="SBTC" localSheetId="10">#REF!</definedName>
    <definedName name="SBTC" localSheetId="11">#REF!</definedName>
    <definedName name="SBTC" localSheetId="12">#REF!</definedName>
    <definedName name="SBTC">#REF!</definedName>
    <definedName name="Serv_prev" localSheetId="5">#REF!</definedName>
    <definedName name="Serv_prev" localSheetId="7">#REF!</definedName>
    <definedName name="Serv_prev" localSheetId="4">#REF!</definedName>
    <definedName name="Serv_prev" localSheetId="1">#REF!</definedName>
    <definedName name="Serv_prev" localSheetId="10">#REF!</definedName>
    <definedName name="Serv_prev" localSheetId="11">#REF!</definedName>
    <definedName name="Serv_prev" localSheetId="12">#REF!</definedName>
    <definedName name="Serv_prev">#REF!</definedName>
    <definedName name="SINAPI" localSheetId="7">#REF!</definedName>
    <definedName name="SINAPI" localSheetId="11">#REF!</definedName>
    <definedName name="SINAPI" localSheetId="12">#REF!</definedName>
    <definedName name="SINAPI">#REF!</definedName>
    <definedName name="Teor">'[8]Mão de Obra'!$A$3:$A$7</definedName>
    <definedName name="_xlnm.Print_Titles" localSheetId="5">BDI!$2:$8</definedName>
    <definedName name="_xlnm.Print_Titles" localSheetId="8">BET!$2:$4</definedName>
    <definedName name="_xlnm.Print_Titles" localSheetId="15">cF!$2:$10</definedName>
    <definedName name="_xlnm.Print_Titles" localSheetId="7">COMPOSIÇÕES!$2:$11</definedName>
    <definedName name="_xlnm.Print_Titles" localSheetId="14">cR!$2:$11</definedName>
    <definedName name="_xlnm.Print_Titles" localSheetId="4">DimPAV!$1:$2</definedName>
    <definedName name="_xlnm.Print_Titles" localSheetId="6">DMT!$2:$4</definedName>
    <definedName name="_xlnm.Print_Titles" localSheetId="10">DRENAGEM!$1:$6</definedName>
    <definedName name="_xlnm.Print_Titles" localSheetId="9">MEMORIA!$3:$9</definedName>
    <definedName name="_xlnm.Print_Titles" localSheetId="0">NSTER!$8:$13</definedName>
    <definedName name="_xlnm.Print_Titles" localSheetId="11">OAC!$1:$7</definedName>
    <definedName name="_xlnm.Print_Titles" localSheetId="13">oR!$2:$12</definedName>
    <definedName name="_xlnm.Print_Titles" localSheetId="12">Resumo!$2:$9</definedName>
    <definedName name="TPM" localSheetId="5">#REF!</definedName>
    <definedName name="TPM" localSheetId="7">#REF!</definedName>
    <definedName name="TPM" localSheetId="4">#REF!</definedName>
    <definedName name="TPM" localSheetId="1">#REF!</definedName>
    <definedName name="TPM" localSheetId="10">#REF!</definedName>
    <definedName name="TPM" localSheetId="11">#REF!</definedName>
    <definedName name="TPM" localSheetId="12">#REF!</definedName>
    <definedName name="TPM">#REF!</definedName>
    <definedName name="Vazios">'[8]Mão de Obra'!$B$3:$B$7</definedName>
    <definedName name="verde" localSheetId="5">#REF!</definedName>
    <definedName name="verde" localSheetId="7">#REF!</definedName>
    <definedName name="verde" localSheetId="4">#REF!</definedName>
    <definedName name="verde" localSheetId="1">#REF!</definedName>
    <definedName name="verde" localSheetId="10">#REF!</definedName>
    <definedName name="verde" localSheetId="11">#REF!</definedName>
    <definedName name="verde" localSheetId="12">#REF!</definedName>
    <definedName name="verde">#REF!</definedName>
    <definedName name="verdepav" localSheetId="5">#REF!</definedName>
    <definedName name="verdepav" localSheetId="7">#REF!</definedName>
    <definedName name="verdepav" localSheetId="4">#REF!</definedName>
    <definedName name="verdepav" localSheetId="1">#REF!</definedName>
    <definedName name="verdepav" localSheetId="10">#REF!</definedName>
    <definedName name="verdepav" localSheetId="11">#REF!</definedName>
    <definedName name="verdepav" localSheetId="12">#REF!</definedName>
    <definedName name="verdepav">#REF!</definedName>
    <definedName name="WEWRWR">#N/A</definedName>
    <definedName name="x" localSheetId="5">[9]CHE!#REF!</definedName>
    <definedName name="x" localSheetId="7">[9]CHE!#REF!</definedName>
    <definedName name="x" localSheetId="4">[9]CHE!#REF!</definedName>
    <definedName name="x" localSheetId="1">[9]CHE!#REF!</definedName>
    <definedName name="x" localSheetId="11">[9]CHE!#REF!</definedName>
    <definedName name="x" localSheetId="12">[9]CHE!#REF!</definedName>
    <definedName name="x">[9]CHE!#REF!</definedName>
    <definedName name="XXX">#N/A</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90" i="8" l="1"/>
  <c r="B8" i="7"/>
  <c r="D8" i="7"/>
  <c r="B9" i="7"/>
  <c r="D9" i="7"/>
  <c r="E8" i="48"/>
  <c r="E9" i="48"/>
  <c r="C8" i="48"/>
  <c r="C9" i="48"/>
  <c r="L993" i="8" l="1"/>
  <c r="K994" i="8" s="1"/>
  <c r="E1003" i="8"/>
  <c r="K508" i="8"/>
  <c r="E214" i="8"/>
  <c r="E229" i="8" s="1"/>
  <c r="E393" i="8"/>
  <c r="K993" i="8" l="1"/>
  <c r="E274" i="8"/>
  <c r="CV9" i="52" l="1"/>
  <c r="CW9" i="52"/>
  <c r="CV10" i="52"/>
  <c r="CW10" i="52"/>
  <c r="CV11" i="52"/>
  <c r="CW11" i="52"/>
  <c r="CV12" i="52"/>
  <c r="CW12" i="52"/>
  <c r="CV13" i="52"/>
  <c r="CW13" i="52"/>
  <c r="CV14" i="52"/>
  <c r="CW14" i="52"/>
  <c r="CV15" i="52"/>
  <c r="CW15" i="52"/>
  <c r="CX9" i="52"/>
  <c r="CY9" i="52"/>
  <c r="CZ9" i="52"/>
  <c r="DA9" i="52"/>
  <c r="DB9" i="52"/>
  <c r="DC9" i="52"/>
  <c r="DD9" i="52"/>
  <c r="DE9" i="52"/>
  <c r="DF9" i="52"/>
  <c r="DG9" i="52"/>
  <c r="DH9" i="52"/>
  <c r="DI9" i="52"/>
  <c r="DJ9" i="52"/>
  <c r="DK9" i="52"/>
  <c r="DL9" i="52"/>
  <c r="CX10" i="52"/>
  <c r="CY10" i="52"/>
  <c r="CZ10" i="52"/>
  <c r="DA10" i="52"/>
  <c r="DB10" i="52"/>
  <c r="DC10" i="52"/>
  <c r="DD10" i="52"/>
  <c r="DE10" i="52"/>
  <c r="DF10" i="52"/>
  <c r="DG10" i="52"/>
  <c r="DH10" i="52"/>
  <c r="DI10" i="52"/>
  <c r="DJ10" i="52"/>
  <c r="DK10" i="52"/>
  <c r="DL10" i="52"/>
  <c r="CX11" i="52"/>
  <c r="CY11" i="52"/>
  <c r="CZ11" i="52"/>
  <c r="DA11" i="52"/>
  <c r="DB11" i="52"/>
  <c r="DC11" i="52"/>
  <c r="DD11" i="52"/>
  <c r="DE11" i="52"/>
  <c r="DF11" i="52"/>
  <c r="DG11" i="52"/>
  <c r="DH11" i="52"/>
  <c r="DI11" i="52"/>
  <c r="DJ11" i="52"/>
  <c r="DK11" i="52"/>
  <c r="DL11" i="52"/>
  <c r="CX12" i="52"/>
  <c r="CY12" i="52"/>
  <c r="CZ12" i="52"/>
  <c r="DA12" i="52"/>
  <c r="DB12" i="52"/>
  <c r="DC12" i="52"/>
  <c r="DD12" i="52"/>
  <c r="DE12" i="52"/>
  <c r="DF12" i="52"/>
  <c r="DG12" i="52"/>
  <c r="DH12" i="52"/>
  <c r="DI12" i="52"/>
  <c r="DJ12" i="52"/>
  <c r="DK12" i="52"/>
  <c r="DL12" i="52"/>
  <c r="CX13" i="52"/>
  <c r="CY13" i="52"/>
  <c r="CZ13" i="52"/>
  <c r="DA13" i="52"/>
  <c r="DB13" i="52"/>
  <c r="DC13" i="52"/>
  <c r="DD13" i="52"/>
  <c r="DE13" i="52"/>
  <c r="DF13" i="52"/>
  <c r="DG13" i="52"/>
  <c r="DH13" i="52"/>
  <c r="DI13" i="52"/>
  <c r="DJ13" i="52"/>
  <c r="DK13" i="52"/>
  <c r="DL13" i="52"/>
  <c r="CX14" i="52"/>
  <c r="CY14" i="52"/>
  <c r="CZ14" i="52"/>
  <c r="DA14" i="52"/>
  <c r="DB14" i="52"/>
  <c r="DC14" i="52"/>
  <c r="DD14" i="52"/>
  <c r="DE14" i="52"/>
  <c r="DF14" i="52"/>
  <c r="DG14" i="52"/>
  <c r="DH14" i="52"/>
  <c r="DI14" i="52"/>
  <c r="DJ14" i="52"/>
  <c r="DK14" i="52"/>
  <c r="DL14" i="52"/>
  <c r="CX15" i="52"/>
  <c r="CY15" i="52"/>
  <c r="CZ15" i="52"/>
  <c r="DA15" i="52"/>
  <c r="DB15" i="52"/>
  <c r="DC15" i="52"/>
  <c r="DD15" i="52"/>
  <c r="DE15" i="52"/>
  <c r="DF15" i="52"/>
  <c r="DG15" i="52"/>
  <c r="DH15" i="52"/>
  <c r="DI15" i="52"/>
  <c r="DJ15" i="52"/>
  <c r="DK15" i="52"/>
  <c r="DL15" i="52"/>
  <c r="CT10" i="52"/>
  <c r="CU10" i="52"/>
  <c r="CT11" i="52"/>
  <c r="CU11" i="52"/>
  <c r="CT12" i="52"/>
  <c r="CU12" i="52"/>
  <c r="CT13" i="52"/>
  <c r="CU13" i="52"/>
  <c r="CT14" i="52"/>
  <c r="CU14" i="52"/>
  <c r="CT15" i="52"/>
  <c r="CU15" i="52"/>
  <c r="CU9" i="52"/>
  <c r="CT9" i="52"/>
  <c r="ER11" i="52"/>
  <c r="ER12" i="52"/>
  <c r="ER13" i="52"/>
  <c r="ER14" i="52"/>
  <c r="ER15" i="52"/>
  <c r="ER10" i="52"/>
  <c r="EK12" i="52"/>
  <c r="EK13" i="52"/>
  <c r="EK14" i="52"/>
  <c r="EK15" i="52"/>
  <c r="EK11" i="52"/>
  <c r="H15" i="52"/>
  <c r="H14" i="52"/>
  <c r="H13" i="52"/>
  <c r="H12" i="52"/>
  <c r="H11" i="52"/>
  <c r="Q9" i="6"/>
  <c r="Q7" i="6"/>
  <c r="Q6" i="6"/>
  <c r="Q5" i="6"/>
  <c r="AA16" i="57" l="1"/>
  <c r="W16" i="57" s="1"/>
  <c r="AA15" i="57"/>
  <c r="W15" i="57" s="1"/>
  <c r="AA14" i="57"/>
  <c r="W14" i="57" s="1"/>
  <c r="AA13" i="57"/>
  <c r="W13" i="57" s="1"/>
  <c r="G20" i="57"/>
  <c r="H20" i="57" s="1"/>
  <c r="K20" i="57" s="1"/>
  <c r="D146" i="3"/>
  <c r="D145" i="3"/>
  <c r="F144" i="3"/>
  <c r="D144" i="3" s="1"/>
  <c r="D143" i="3"/>
  <c r="D142" i="3"/>
  <c r="D141" i="3"/>
  <c r="D140" i="3"/>
  <c r="D139" i="3"/>
  <c r="D138" i="3"/>
  <c r="D137" i="3"/>
  <c r="D136" i="3"/>
  <c r="D135" i="3"/>
  <c r="D134" i="3"/>
  <c r="D133" i="3"/>
  <c r="D132" i="3"/>
  <c r="D131" i="3"/>
  <c r="D130" i="3"/>
  <c r="D129" i="3"/>
  <c r="D128" i="3"/>
  <c r="D127" i="3"/>
  <c r="D98" i="3"/>
  <c r="D97" i="3"/>
  <c r="D96" i="3"/>
  <c r="D95" i="3"/>
  <c r="D94" i="3"/>
  <c r="D93" i="3"/>
  <c r="D92" i="3"/>
  <c r="D91" i="3"/>
  <c r="D90" i="3"/>
  <c r="D89" i="3"/>
  <c r="N13" i="57"/>
  <c r="N14" i="57" s="1"/>
  <c r="C7" i="57"/>
  <c r="B7" i="57"/>
  <c r="C6" i="57"/>
  <c r="B6" i="57"/>
  <c r="C5" i="57"/>
  <c r="B5" i="57"/>
  <c r="E40" i="57"/>
  <c r="H40" i="57" s="1"/>
  <c r="H39" i="57"/>
  <c r="E39" i="57"/>
  <c r="H38" i="57"/>
  <c r="E38" i="57"/>
  <c r="O37" i="57"/>
  <c r="O38" i="57" s="1"/>
  <c r="O39" i="57" s="1"/>
  <c r="O40" i="57" s="1"/>
  <c r="O36" i="57"/>
  <c r="H36" i="57"/>
  <c r="J35" i="57"/>
  <c r="K35" i="57" s="1"/>
  <c r="L35" i="57" s="1"/>
  <c r="H35" i="57"/>
  <c r="G35" i="57"/>
  <c r="D35" i="57"/>
  <c r="D36" i="57" s="1"/>
  <c r="C35" i="57"/>
  <c r="C36" i="57" s="1"/>
  <c r="H34" i="57"/>
  <c r="J34" i="57" s="1"/>
  <c r="K34" i="57" s="1"/>
  <c r="L34" i="57" s="1"/>
  <c r="G34" i="57"/>
  <c r="F29" i="57"/>
  <c r="E29" i="57"/>
  <c r="D29" i="57"/>
  <c r="C29" i="57"/>
  <c r="O24" i="57"/>
  <c r="V23" i="57"/>
  <c r="O23" i="57"/>
  <c r="O22" i="57"/>
  <c r="F22" i="57"/>
  <c r="C22" i="57"/>
  <c r="V21" i="57"/>
  <c r="U21" i="57"/>
  <c r="T21" i="57"/>
  <c r="O21" i="57"/>
  <c r="F21" i="57"/>
  <c r="D21" i="57"/>
  <c r="C21" i="57"/>
  <c r="D20" i="57"/>
  <c r="C20" i="57"/>
  <c r="U19" i="57"/>
  <c r="T19" i="57"/>
  <c r="O19" i="57"/>
  <c r="AB16" i="57"/>
  <c r="U16" i="57"/>
  <c r="M16" i="57"/>
  <c r="L16" i="57"/>
  <c r="J16" i="57"/>
  <c r="V24" i="57" s="1"/>
  <c r="I16" i="57"/>
  <c r="U24" i="57" s="1"/>
  <c r="AB15" i="57"/>
  <c r="U15" i="57"/>
  <c r="M15" i="57"/>
  <c r="L15" i="57"/>
  <c r="J15" i="57"/>
  <c r="I15" i="57"/>
  <c r="U23" i="57" s="1"/>
  <c r="H15" i="57"/>
  <c r="T23" i="57" s="1"/>
  <c r="AC14" i="57"/>
  <c r="AB14" i="57"/>
  <c r="U14" i="57"/>
  <c r="M14" i="57"/>
  <c r="L14" i="57"/>
  <c r="J14" i="57"/>
  <c r="V22" i="57" s="1"/>
  <c r="I14" i="57"/>
  <c r="U22" i="57" s="1"/>
  <c r="H14" i="57"/>
  <c r="T22" i="57" s="1"/>
  <c r="AC13" i="57"/>
  <c r="AB13" i="57"/>
  <c r="R11" i="57"/>
  <c r="Q11" i="57"/>
  <c r="P11" i="57"/>
  <c r="X15" i="57" l="1"/>
  <c r="G21" i="57"/>
  <c r="G22" i="57" s="1"/>
  <c r="H22" i="57" s="1"/>
  <c r="K22" i="57" s="1"/>
  <c r="R14" i="57"/>
  <c r="X14" i="57"/>
  <c r="Y14" i="57" s="1"/>
  <c r="X13" i="57"/>
  <c r="Y13" i="57" s="1"/>
  <c r="J36" i="57"/>
  <c r="D37" i="57"/>
  <c r="D38" i="57" s="1"/>
  <c r="D39" i="57" s="1"/>
  <c r="D40" i="57" s="1"/>
  <c r="J38" i="57"/>
  <c r="I20" i="57"/>
  <c r="K14" i="57"/>
  <c r="Y15" i="57"/>
  <c r="G36" i="57"/>
  <c r="C37" i="57"/>
  <c r="J40" i="57"/>
  <c r="AC15" i="57"/>
  <c r="K13" i="57"/>
  <c r="H16" i="57"/>
  <c r="X16" i="57"/>
  <c r="Y16" i="57" s="1"/>
  <c r="R13" i="57"/>
  <c r="N16" i="57"/>
  <c r="N15" i="57"/>
  <c r="R15" i="57" s="1"/>
  <c r="I22" i="57" l="1"/>
  <c r="H21" i="57"/>
  <c r="K21" i="57" s="1"/>
  <c r="Q13" i="57" s="1"/>
  <c r="K15" i="57"/>
  <c r="W22" i="57"/>
  <c r="D117" i="3" s="1"/>
  <c r="W24" i="57"/>
  <c r="D122" i="3" s="1"/>
  <c r="W21" i="57"/>
  <c r="D114" i="3" s="1"/>
  <c r="C38" i="57"/>
  <c r="E37" i="57"/>
  <c r="W23" i="57"/>
  <c r="D118" i="3" s="1"/>
  <c r="I21" i="57"/>
  <c r="P15" i="57"/>
  <c r="P16" i="57"/>
  <c r="P13" i="57"/>
  <c r="O15" i="57"/>
  <c r="O16" i="57"/>
  <c r="O13" i="57"/>
  <c r="O14" i="57"/>
  <c r="K36" i="57"/>
  <c r="L36" i="57" s="1"/>
  <c r="R16" i="57"/>
  <c r="K16" i="57"/>
  <c r="J39" i="57"/>
  <c r="P14" i="57"/>
  <c r="Q16" i="57"/>
  <c r="Q14" i="57"/>
  <c r="Q15" i="57"/>
  <c r="AC16" i="57"/>
  <c r="T24" i="57"/>
  <c r="S13" i="57" l="1"/>
  <c r="T13" i="57" s="1"/>
  <c r="V13" i="57" s="1"/>
  <c r="X21" i="57" s="1"/>
  <c r="D101" i="3" s="1"/>
  <c r="S14" i="57"/>
  <c r="T14" i="57" s="1"/>
  <c r="V14" i="57" s="1"/>
  <c r="X22" i="57" s="1"/>
  <c r="D104" i="3" s="1"/>
  <c r="C39" i="57"/>
  <c r="G38" i="57"/>
  <c r="K38" i="57" s="1"/>
  <c r="L38" i="57" s="1"/>
  <c r="H37" i="57"/>
  <c r="J37" i="57" s="1"/>
  <c r="K37" i="57" s="1"/>
  <c r="L37" i="57" s="1"/>
  <c r="G37" i="57"/>
  <c r="Z13" i="57"/>
  <c r="Y21" i="57" s="1"/>
  <c r="S16" i="57"/>
  <c r="T16" i="57" s="1"/>
  <c r="V16" i="57" s="1"/>
  <c r="S15" i="57"/>
  <c r="T15" i="57" s="1"/>
  <c r="V15" i="57" s="1"/>
  <c r="Z14" i="57"/>
  <c r="Y22" i="57" s="1"/>
  <c r="X24" i="57" l="1"/>
  <c r="D109" i="3" s="1"/>
  <c r="Z16" i="57"/>
  <c r="Y24" i="57" s="1"/>
  <c r="C40" i="57"/>
  <c r="G40" i="57" s="1"/>
  <c r="K40" i="57" s="1"/>
  <c r="L40" i="57" s="1"/>
  <c r="G39" i="57"/>
  <c r="K39" i="57" s="1"/>
  <c r="L39" i="57" s="1"/>
  <c r="X23" i="57"/>
  <c r="D105" i="3" s="1"/>
  <c r="Z15" i="57"/>
  <c r="Y23" i="57" s="1"/>
  <c r="R36" i="6" l="1"/>
  <c r="R37" i="6"/>
  <c r="R81" i="6"/>
  <c r="R96" i="6"/>
  <c r="R97" i="6"/>
  <c r="R123" i="6"/>
  <c r="R192" i="6"/>
  <c r="R228" i="6"/>
  <c r="R245" i="6"/>
  <c r="R255" i="6"/>
  <c r="R256" i="6"/>
  <c r="R267" i="6"/>
  <c r="R286" i="6"/>
  <c r="R287" i="6"/>
  <c r="R290" i="6"/>
  <c r="R300" i="6"/>
  <c r="R327" i="6"/>
  <c r="K30" i="5"/>
  <c r="K20" i="5"/>
  <c r="K19" i="5"/>
  <c r="K18" i="5"/>
  <c r="K13" i="5"/>
  <c r="K14" i="5"/>
  <c r="K15" i="5"/>
  <c r="G10" i="5"/>
  <c r="E1276" i="8" l="1"/>
  <c r="E1273" i="8"/>
  <c r="H30" i="7"/>
  <c r="G24" i="7"/>
  <c r="J20" i="7"/>
  <c r="K20" i="7"/>
  <c r="L20" i="7"/>
  <c r="M20" i="7"/>
  <c r="I20" i="7"/>
  <c r="E509" i="8"/>
  <c r="E508" i="8"/>
  <c r="E510" i="8" s="1"/>
  <c r="E373" i="8"/>
  <c r="O12" i="50"/>
  <c r="N12" i="50"/>
  <c r="F20" i="5"/>
  <c r="F19" i="5"/>
  <c r="F18" i="5"/>
  <c r="G20" i="5"/>
  <c r="G19" i="5"/>
  <c r="G18" i="5"/>
  <c r="H20" i="5"/>
  <c r="H19" i="5"/>
  <c r="H18" i="5"/>
  <c r="J20" i="5"/>
  <c r="J19" i="5"/>
  <c r="J18" i="5"/>
  <c r="J17" i="5"/>
  <c r="J14" i="5"/>
  <c r="H14" i="5"/>
  <c r="F14" i="5"/>
  <c r="G14" i="5"/>
  <c r="DS10" i="53"/>
  <c r="Z8" i="53"/>
  <c r="BA8" i="53"/>
  <c r="DX11" i="52"/>
  <c r="DX12" i="52" s="1"/>
  <c r="DX13" i="52" s="1"/>
  <c r="DX14" i="52" s="1"/>
  <c r="DX15" i="52" s="1"/>
  <c r="DX10" i="52"/>
  <c r="V15" i="52"/>
  <c r="V14" i="52"/>
  <c r="V13" i="52"/>
  <c r="V12" i="52"/>
  <c r="V11" i="52"/>
  <c r="V10" i="52"/>
  <c r="V9" i="52"/>
  <c r="U9" i="52"/>
  <c r="K669" i="10"/>
  <c r="L669" i="10" s="1"/>
  <c r="I669" i="10"/>
  <c r="G669" i="10"/>
  <c r="F669" i="10" s="1"/>
  <c r="K668" i="10"/>
  <c r="L668" i="10" s="1"/>
  <c r="I668" i="10"/>
  <c r="G668" i="10"/>
  <c r="F668" i="10" s="1"/>
  <c r="K667" i="10"/>
  <c r="L667" i="10" s="1"/>
  <c r="I667" i="10"/>
  <c r="G667" i="10"/>
  <c r="F667" i="10" s="1"/>
  <c r="I666" i="10"/>
  <c r="G666" i="10"/>
  <c r="F666" i="10" s="1"/>
  <c r="K665" i="10"/>
  <c r="L665" i="10" s="1"/>
  <c r="I665" i="10"/>
  <c r="G665" i="10"/>
  <c r="F665" i="10" s="1"/>
  <c r="J664" i="10"/>
  <c r="N670" i="10"/>
  <c r="K664" i="10"/>
  <c r="I664" i="10"/>
  <c r="G664" i="10"/>
  <c r="K663" i="10"/>
  <c r="I663" i="10"/>
  <c r="G663" i="10"/>
  <c r="K662" i="10"/>
  <c r="I662" i="10"/>
  <c r="G662" i="10"/>
  <c r="K661" i="10"/>
  <c r="I661" i="10"/>
  <c r="G661" i="10"/>
  <c r="K660" i="10"/>
  <c r="I660" i="10"/>
  <c r="G660" i="10"/>
  <c r="K659" i="10"/>
  <c r="I659" i="10"/>
  <c r="G659" i="10"/>
  <c r="L658" i="10"/>
  <c r="I658" i="10"/>
  <c r="E658" i="10"/>
  <c r="A658" i="10"/>
  <c r="A659" i="10" s="1"/>
  <c r="A660" i="10" s="1"/>
  <c r="A661" i="10" s="1"/>
  <c r="A662" i="10" s="1"/>
  <c r="A663" i="10" s="1"/>
  <c r="C1200" i="8"/>
  <c r="H1203" i="8" s="1"/>
  <c r="C1195" i="8"/>
  <c r="F1203" i="8"/>
  <c r="E1202" i="8"/>
  <c r="L367" i="6"/>
  <c r="I367" i="6"/>
  <c r="H367" i="6" s="1"/>
  <c r="D1200" i="8" s="1"/>
  <c r="I30" i="7" l="1"/>
  <c r="J30" i="7" s="1"/>
  <c r="K30" i="7" s="1"/>
  <c r="L30" i="7" s="1"/>
  <c r="T9" i="52"/>
  <c r="A666" i="10"/>
  <c r="A668" i="10"/>
  <c r="A665" i="10"/>
  <c r="A667" i="10"/>
  <c r="A669" i="10"/>
  <c r="L663" i="10"/>
  <c r="L660" i="10"/>
  <c r="L664" i="10"/>
  <c r="L661" i="10"/>
  <c r="L659" i="10"/>
  <c r="L662" i="10"/>
  <c r="A670" i="10"/>
  <c r="A671" i="10" s="1"/>
  <c r="A664" i="10"/>
  <c r="A1200" i="8"/>
  <c r="A1201" i="8" s="1"/>
  <c r="A1202" i="8" s="1"/>
  <c r="A1203" i="8" s="1"/>
  <c r="M213" i="10"/>
  <c r="F1198" i="8"/>
  <c r="H1198" i="8"/>
  <c r="E1197" i="8"/>
  <c r="N656" i="10"/>
  <c r="K655" i="10"/>
  <c r="L655" i="10" s="1"/>
  <c r="I655" i="10"/>
  <c r="G655" i="10"/>
  <c r="F655" i="10" s="1"/>
  <c r="I654" i="10"/>
  <c r="G654" i="10"/>
  <c r="F654" i="10" s="1"/>
  <c r="L653" i="10"/>
  <c r="I653" i="10"/>
  <c r="E653" i="10"/>
  <c r="A653" i="10"/>
  <c r="A654" i="10" s="1"/>
  <c r="A655" i="10" s="1"/>
  <c r="A656" i="10" s="1"/>
  <c r="A657" i="10" s="1"/>
  <c r="L366" i="6"/>
  <c r="I366" i="6"/>
  <c r="H366" i="6" s="1"/>
  <c r="D1195" i="8" s="1"/>
  <c r="A1113" i="8"/>
  <c r="A1114" i="8" s="1"/>
  <c r="A1106" i="8"/>
  <c r="A1107" i="8" s="1"/>
  <c r="A1093" i="8"/>
  <c r="A1094" i="8" s="1"/>
  <c r="A1100" i="8"/>
  <c r="N651" i="10"/>
  <c r="K650" i="10"/>
  <c r="L650" i="10" s="1"/>
  <c r="I650" i="10"/>
  <c r="G650" i="10"/>
  <c r="F650" i="10" s="1"/>
  <c r="K649" i="10"/>
  <c r="L649" i="10" s="1"/>
  <c r="I649" i="10"/>
  <c r="G649" i="10"/>
  <c r="F649" i="10" s="1"/>
  <c r="K648" i="10"/>
  <c r="J648" i="10"/>
  <c r="I648" i="10"/>
  <c r="G648" i="10"/>
  <c r="F648" i="10" s="1"/>
  <c r="K647" i="10"/>
  <c r="J647" i="10"/>
  <c r="I647" i="10"/>
  <c r="G647" i="10"/>
  <c r="F647" i="10" s="1"/>
  <c r="K646" i="10"/>
  <c r="J646" i="10"/>
  <c r="I646" i="10"/>
  <c r="G646" i="10"/>
  <c r="K645" i="10"/>
  <c r="J645" i="10"/>
  <c r="I645" i="10"/>
  <c r="G645" i="10"/>
  <c r="K644" i="10"/>
  <c r="J644" i="10"/>
  <c r="I644" i="10"/>
  <c r="G644" i="10"/>
  <c r="K643" i="10"/>
  <c r="J643" i="10"/>
  <c r="I643" i="10"/>
  <c r="G643" i="10"/>
  <c r="L642" i="10"/>
  <c r="I642" i="10"/>
  <c r="E642" i="10"/>
  <c r="A642" i="10"/>
  <c r="A643" i="10" s="1"/>
  <c r="A644" i="10" s="1"/>
  <c r="A645" i="10" s="1"/>
  <c r="A646" i="10" s="1"/>
  <c r="A647" i="10" s="1"/>
  <c r="N640" i="10"/>
  <c r="K639" i="10"/>
  <c r="J639" i="10"/>
  <c r="I639" i="10"/>
  <c r="G639" i="10"/>
  <c r="F639" i="10" s="1"/>
  <c r="K638" i="10"/>
  <c r="J638" i="10"/>
  <c r="I638" i="10"/>
  <c r="G638" i="10"/>
  <c r="K637" i="10"/>
  <c r="J637" i="10"/>
  <c r="I637" i="10"/>
  <c r="G637" i="10"/>
  <c r="K636" i="10"/>
  <c r="J636" i="10"/>
  <c r="I636" i="10"/>
  <c r="G636" i="10"/>
  <c r="K635" i="10"/>
  <c r="J635" i="10"/>
  <c r="I635" i="10"/>
  <c r="G635" i="10"/>
  <c r="L634" i="10"/>
  <c r="I634" i="10"/>
  <c r="E634" i="10"/>
  <c r="A634" i="10"/>
  <c r="A635" i="10" s="1"/>
  <c r="A636" i="10" s="1"/>
  <c r="A637" i="10" s="1"/>
  <c r="A638" i="10" s="1"/>
  <c r="A639" i="10" s="1"/>
  <c r="A640" i="10" s="1"/>
  <c r="A641" i="10" s="1"/>
  <c r="J629" i="10"/>
  <c r="J620" i="10"/>
  <c r="N632" i="10"/>
  <c r="K631" i="10"/>
  <c r="L631" i="10" s="1"/>
  <c r="I631" i="10"/>
  <c r="G631" i="10"/>
  <c r="F631" i="10" s="1"/>
  <c r="K630" i="10"/>
  <c r="L630" i="10" s="1"/>
  <c r="I630" i="10"/>
  <c r="G630" i="10"/>
  <c r="F630" i="10" s="1"/>
  <c r="K629" i="10"/>
  <c r="I629" i="10"/>
  <c r="G629" i="10"/>
  <c r="F629" i="10" s="1"/>
  <c r="K628" i="10"/>
  <c r="J628" i="10"/>
  <c r="I628" i="10"/>
  <c r="G628" i="10"/>
  <c r="F628" i="10" s="1"/>
  <c r="K627" i="10"/>
  <c r="J627" i="10"/>
  <c r="I627" i="10"/>
  <c r="G627" i="10"/>
  <c r="K626" i="10"/>
  <c r="J626" i="10"/>
  <c r="I626" i="10"/>
  <c r="G626" i="10"/>
  <c r="K625" i="10"/>
  <c r="J625" i="10"/>
  <c r="I625" i="10"/>
  <c r="G625" i="10"/>
  <c r="K624" i="10"/>
  <c r="J624" i="10"/>
  <c r="I624" i="10"/>
  <c r="G624" i="10"/>
  <c r="L623" i="10"/>
  <c r="I623" i="10"/>
  <c r="E623" i="10"/>
  <c r="A623" i="10"/>
  <c r="A624" i="10" s="1"/>
  <c r="A625" i="10" s="1"/>
  <c r="A626" i="10" s="1"/>
  <c r="A627" i="10" s="1"/>
  <c r="A628" i="10" s="1"/>
  <c r="N621" i="10"/>
  <c r="K620" i="10"/>
  <c r="L620" i="10" s="1"/>
  <c r="I620" i="10"/>
  <c r="G620" i="10"/>
  <c r="F620" i="10" s="1"/>
  <c r="K619" i="10"/>
  <c r="J619" i="10"/>
  <c r="I619" i="10"/>
  <c r="G619" i="10"/>
  <c r="K618" i="10"/>
  <c r="J618" i="10"/>
  <c r="I618" i="10"/>
  <c r="G618" i="10"/>
  <c r="K617" i="10"/>
  <c r="J617" i="10"/>
  <c r="I617" i="10"/>
  <c r="G617" i="10"/>
  <c r="K616" i="10"/>
  <c r="J616" i="10"/>
  <c r="I616" i="10"/>
  <c r="G616" i="10"/>
  <c r="L615" i="10"/>
  <c r="I615" i="10"/>
  <c r="E615" i="10"/>
  <c r="A615" i="10"/>
  <c r="A616" i="10" s="1"/>
  <c r="A617" i="10" s="1"/>
  <c r="A618" i="10" s="1"/>
  <c r="A619" i="10" s="1"/>
  <c r="A620" i="10" s="1"/>
  <c r="A621" i="10" s="1"/>
  <c r="A622" i="10" s="1"/>
  <c r="E1087" i="8"/>
  <c r="F1087" i="8" s="1"/>
  <c r="E1085" i="8"/>
  <c r="E1086" i="8" s="1"/>
  <c r="E1083" i="8"/>
  <c r="E1084" i="8" s="1"/>
  <c r="E1081" i="8"/>
  <c r="E1082" i="8" s="1"/>
  <c r="E1079" i="8"/>
  <c r="E1080" i="8" s="1"/>
  <c r="E1076" i="8"/>
  <c r="E1073" i="8"/>
  <c r="E1074" i="8" s="1"/>
  <c r="E1071" i="8"/>
  <c r="E1072" i="8" s="1"/>
  <c r="C1068" i="8"/>
  <c r="H1088" i="8" s="1"/>
  <c r="C1067" i="8"/>
  <c r="H1087" i="8" s="1"/>
  <c r="L345" i="6"/>
  <c r="I345" i="6"/>
  <c r="H345" i="6" s="1"/>
  <c r="D1068" i="8" s="1"/>
  <c r="L344" i="6"/>
  <c r="I344" i="6"/>
  <c r="H344" i="6" s="1"/>
  <c r="D1067" i="8" s="1"/>
  <c r="E1078" i="8"/>
  <c r="E1007" i="8"/>
  <c r="E1008" i="8"/>
  <c r="E1009" i="8"/>
  <c r="E1010" i="8"/>
  <c r="E1011" i="8"/>
  <c r="E977" i="8"/>
  <c r="E966" i="8"/>
  <c r="E958" i="8"/>
  <c r="E584" i="8"/>
  <c r="E586" i="8" s="1"/>
  <c r="D521" i="8"/>
  <c r="F509" i="8"/>
  <c r="D494" i="8"/>
  <c r="E476" i="8"/>
  <c r="E394" i="8"/>
  <c r="F394" i="8" s="1"/>
  <c r="E473" i="8"/>
  <c r="E491" i="8" s="1"/>
  <c r="D406" i="8"/>
  <c r="D425" i="8" s="1"/>
  <c r="C310" i="8"/>
  <c r="H313" i="8" s="1"/>
  <c r="C305" i="8"/>
  <c r="H308" i="8" s="1"/>
  <c r="F313" i="8"/>
  <c r="E312" i="8"/>
  <c r="A310" i="8"/>
  <c r="A311" i="8" s="1"/>
  <c r="A312" i="8" s="1"/>
  <c r="A313" i="8" s="1"/>
  <c r="F308" i="8"/>
  <c r="E307" i="8"/>
  <c r="A305" i="8"/>
  <c r="A306" i="8" s="1"/>
  <c r="A307" i="8" s="1"/>
  <c r="A308" i="8" s="1"/>
  <c r="N176" i="6"/>
  <c r="L176" i="6"/>
  <c r="I176" i="6"/>
  <c r="H176" i="6" s="1"/>
  <c r="D310" i="8" s="1"/>
  <c r="N175" i="6"/>
  <c r="L175" i="6"/>
  <c r="I175" i="6"/>
  <c r="H175" i="6" s="1"/>
  <c r="D305" i="8" s="1"/>
  <c r="A300" i="8"/>
  <c r="A301" i="8" s="1"/>
  <c r="A302" i="8" s="1"/>
  <c r="A303" i="8" s="1"/>
  <c r="C300" i="8"/>
  <c r="H303" i="8" s="1"/>
  <c r="F303" i="8"/>
  <c r="E302" i="8"/>
  <c r="N174" i="6"/>
  <c r="L174" i="6"/>
  <c r="I174" i="6"/>
  <c r="H174" i="6" s="1"/>
  <c r="D300" i="8" s="1"/>
  <c r="C203" i="8"/>
  <c r="C202" i="8"/>
  <c r="C201" i="8"/>
  <c r="C200" i="8"/>
  <c r="C199" i="8"/>
  <c r="C198" i="8"/>
  <c r="C197" i="8"/>
  <c r="C196" i="8"/>
  <c r="C195" i="8"/>
  <c r="N149" i="6"/>
  <c r="L149" i="6"/>
  <c r="G203" i="8" s="1"/>
  <c r="I149" i="6"/>
  <c r="H149" i="6" s="1"/>
  <c r="D203" i="8" s="1"/>
  <c r="N148" i="6"/>
  <c r="L148" i="6"/>
  <c r="G202" i="8" s="1"/>
  <c r="I148" i="6"/>
  <c r="H148" i="6" s="1"/>
  <c r="D202" i="8" s="1"/>
  <c r="N146" i="6"/>
  <c r="L146" i="6"/>
  <c r="G200" i="8" s="1"/>
  <c r="I146" i="6"/>
  <c r="H146" i="6" s="1"/>
  <c r="D200" i="8" s="1"/>
  <c r="N147" i="6"/>
  <c r="L147" i="6"/>
  <c r="G201" i="8" s="1"/>
  <c r="I147" i="6"/>
  <c r="H147" i="6" s="1"/>
  <c r="D201" i="8" s="1"/>
  <c r="N145" i="6"/>
  <c r="L145" i="6"/>
  <c r="G199" i="8" s="1"/>
  <c r="I145" i="6"/>
  <c r="H145" i="6" s="1"/>
  <c r="D199" i="8" s="1"/>
  <c r="N144" i="6"/>
  <c r="L144" i="6"/>
  <c r="G198" i="8" s="1"/>
  <c r="I144" i="6"/>
  <c r="H144" i="6" s="1"/>
  <c r="D198" i="8" s="1"/>
  <c r="N143" i="6"/>
  <c r="L143" i="6"/>
  <c r="G197" i="8" s="1"/>
  <c r="I143" i="6"/>
  <c r="H143" i="6" s="1"/>
  <c r="D197" i="8" s="1"/>
  <c r="N142" i="6"/>
  <c r="L142" i="6"/>
  <c r="G196" i="8" s="1"/>
  <c r="I142" i="6"/>
  <c r="H142" i="6" s="1"/>
  <c r="D196" i="8" s="1"/>
  <c r="N141" i="6"/>
  <c r="L141" i="6"/>
  <c r="G195" i="8" s="1"/>
  <c r="I141" i="6"/>
  <c r="H141" i="6" s="1"/>
  <c r="D195" i="8" s="1"/>
  <c r="C194" i="8"/>
  <c r="N140" i="6"/>
  <c r="L140" i="6"/>
  <c r="G194" i="8" s="1"/>
  <c r="I140" i="6"/>
  <c r="H140" i="6" s="1"/>
  <c r="D194" i="8" s="1"/>
  <c r="DP17" i="52"/>
  <c r="DM17" i="52"/>
  <c r="DN17" i="52"/>
  <c r="DO17" i="52"/>
  <c r="DQ17" i="52"/>
  <c r="DR17" i="52"/>
  <c r="GI16" i="52"/>
  <c r="GJ16" i="52"/>
  <c r="FH9" i="52"/>
  <c r="GK9" i="52" s="1"/>
  <c r="GI25" i="52"/>
  <c r="GI7" i="52" s="1"/>
  <c r="GJ24" i="52"/>
  <c r="GI24" i="52"/>
  <c r="CN12" i="52"/>
  <c r="EJ12" i="52" s="1"/>
  <c r="FZ28" i="52"/>
  <c r="DL23" i="52"/>
  <c r="DL22" i="52"/>
  <c r="DL20" i="52" s="1"/>
  <c r="FA23" i="52"/>
  <c r="FB23" i="52"/>
  <c r="FC23" i="52"/>
  <c r="FD23" i="52"/>
  <c r="EK24" i="52"/>
  <c r="EL24" i="52"/>
  <c r="EM24" i="52"/>
  <c r="EN24" i="52"/>
  <c r="EO24" i="52"/>
  <c r="EP24" i="52"/>
  <c r="EQ24" i="52"/>
  <c r="ER24" i="52"/>
  <c r="ET24" i="52"/>
  <c r="EU24" i="52"/>
  <c r="EV24" i="52"/>
  <c r="EX24" i="52"/>
  <c r="EY24" i="52"/>
  <c r="EZ24" i="52"/>
  <c r="FA24" i="52"/>
  <c r="FB24" i="52"/>
  <c r="FC24" i="52"/>
  <c r="FD24" i="52"/>
  <c r="ES25" i="52"/>
  <c r="ET25" i="52"/>
  <c r="EU25" i="52"/>
  <c r="EV25" i="52"/>
  <c r="EW25" i="52"/>
  <c r="EX25" i="52"/>
  <c r="EY25" i="52"/>
  <c r="EZ25" i="52"/>
  <c r="FA25" i="52"/>
  <c r="FB25" i="52"/>
  <c r="FC25" i="52"/>
  <c r="FD25" i="52"/>
  <c r="EJ24" i="52"/>
  <c r="FH10" i="52"/>
  <c r="GK10" i="52" s="1"/>
  <c r="FH11" i="52"/>
  <c r="GK11" i="52" s="1"/>
  <c r="FH12" i="52"/>
  <c r="GK12" i="52" s="1"/>
  <c r="FH14" i="52"/>
  <c r="GK14" i="52" s="1"/>
  <c r="FH15" i="52"/>
  <c r="GK15" i="52" s="1"/>
  <c r="FH16" i="52"/>
  <c r="GK16" i="52" s="1"/>
  <c r="FI16" i="52"/>
  <c r="GL16" i="52" s="1"/>
  <c r="FJ16" i="52"/>
  <c r="GM16" i="52" s="1"/>
  <c r="FK16" i="52"/>
  <c r="GN16" i="52" s="1"/>
  <c r="FL16" i="52"/>
  <c r="FM16" i="52"/>
  <c r="GO16" i="52" s="1"/>
  <c r="FN16" i="52"/>
  <c r="GP16" i="52" s="1"/>
  <c r="FO16" i="52"/>
  <c r="FP16" i="52"/>
  <c r="FQ16" i="52"/>
  <c r="FR16" i="52"/>
  <c r="FS16" i="52"/>
  <c r="FT16" i="52"/>
  <c r="FU16" i="52"/>
  <c r="FV16" i="52"/>
  <c r="FW16" i="52"/>
  <c r="FX16" i="52"/>
  <c r="FY16" i="52"/>
  <c r="FZ16" i="52"/>
  <c r="GA16" i="52"/>
  <c r="GB16" i="52"/>
  <c r="GC16" i="52"/>
  <c r="GD16" i="52"/>
  <c r="GE16" i="52"/>
  <c r="GF16" i="52"/>
  <c r="GG16" i="52"/>
  <c r="GH16" i="52"/>
  <c r="A23" i="56"/>
  <c r="A24" i="56"/>
  <c r="A25" i="56"/>
  <c r="A26" i="56"/>
  <c r="A27" i="56"/>
  <c r="A28" i="56"/>
  <c r="A29" i="56"/>
  <c r="P30" i="56"/>
  <c r="O30" i="56"/>
  <c r="N30" i="56"/>
  <c r="M30" i="56"/>
  <c r="L30" i="56"/>
  <c r="K30" i="56"/>
  <c r="J30" i="56"/>
  <c r="I30" i="56"/>
  <c r="H30" i="56"/>
  <c r="G30" i="56"/>
  <c r="F30" i="56"/>
  <c r="E30" i="56"/>
  <c r="P29" i="56"/>
  <c r="O29" i="56"/>
  <c r="N29" i="56"/>
  <c r="M29" i="56"/>
  <c r="L29" i="56"/>
  <c r="K29" i="56"/>
  <c r="J29" i="56"/>
  <c r="I29" i="56"/>
  <c r="H29" i="56"/>
  <c r="G29" i="56"/>
  <c r="F29" i="56"/>
  <c r="E29" i="56"/>
  <c r="P28" i="56"/>
  <c r="O28" i="56"/>
  <c r="N28" i="56"/>
  <c r="M28" i="56"/>
  <c r="L28" i="56"/>
  <c r="K28" i="56"/>
  <c r="J28" i="56"/>
  <c r="I28" i="56"/>
  <c r="H28" i="56"/>
  <c r="P27" i="56"/>
  <c r="L27" i="56"/>
  <c r="K27" i="56"/>
  <c r="J27" i="56"/>
  <c r="I27" i="56"/>
  <c r="H27" i="56"/>
  <c r="G27" i="56"/>
  <c r="F27" i="56"/>
  <c r="E27" i="56"/>
  <c r="P26" i="56"/>
  <c r="O26" i="56"/>
  <c r="N26" i="56"/>
  <c r="M26" i="56"/>
  <c r="L26" i="56"/>
  <c r="K26" i="56"/>
  <c r="J26" i="56"/>
  <c r="I26" i="56"/>
  <c r="H26" i="56"/>
  <c r="G26" i="56"/>
  <c r="F26" i="56"/>
  <c r="E26" i="56"/>
  <c r="P24" i="56"/>
  <c r="O24" i="56"/>
  <c r="N24" i="56"/>
  <c r="M24" i="56"/>
  <c r="L24" i="56"/>
  <c r="K24" i="56"/>
  <c r="J24" i="56"/>
  <c r="I24" i="56"/>
  <c r="H24" i="56"/>
  <c r="G24" i="56"/>
  <c r="F24" i="56"/>
  <c r="E24" i="56"/>
  <c r="P23" i="56"/>
  <c r="P22" i="56"/>
  <c r="O22" i="56"/>
  <c r="N22" i="56"/>
  <c r="M22" i="56"/>
  <c r="L22" i="56"/>
  <c r="K22" i="56"/>
  <c r="J22" i="56"/>
  <c r="I22" i="56"/>
  <c r="H22" i="56"/>
  <c r="G22" i="56"/>
  <c r="F22" i="56"/>
  <c r="E22" i="56"/>
  <c r="P21" i="56"/>
  <c r="O21" i="56"/>
  <c r="N21" i="56"/>
  <c r="M21" i="56"/>
  <c r="L21" i="56"/>
  <c r="K21" i="56"/>
  <c r="J21" i="56"/>
  <c r="I21" i="56"/>
  <c r="H21" i="56"/>
  <c r="G21" i="56"/>
  <c r="F21" i="56"/>
  <c r="E21" i="56"/>
  <c r="I20" i="56"/>
  <c r="E20" i="56"/>
  <c r="P19" i="56"/>
  <c r="O19" i="56"/>
  <c r="N19" i="56"/>
  <c r="M19" i="56"/>
  <c r="L19" i="56"/>
  <c r="K19" i="56"/>
  <c r="J19" i="56"/>
  <c r="I19" i="56"/>
  <c r="H19" i="56"/>
  <c r="G19" i="56"/>
  <c r="F19" i="56"/>
  <c r="E19" i="56"/>
  <c r="P18" i="56"/>
  <c r="O18" i="56"/>
  <c r="N18" i="56"/>
  <c r="M18" i="56"/>
  <c r="L18" i="56"/>
  <c r="K18" i="56"/>
  <c r="J18" i="56"/>
  <c r="I18" i="56"/>
  <c r="H18" i="56"/>
  <c r="G18" i="56"/>
  <c r="F18" i="56"/>
  <c r="E18" i="56"/>
  <c r="P17" i="56"/>
  <c r="J17" i="56"/>
  <c r="I17" i="56"/>
  <c r="E17" i="56"/>
  <c r="P16" i="56"/>
  <c r="O16" i="56"/>
  <c r="N16" i="56"/>
  <c r="M16" i="56"/>
  <c r="L16" i="56"/>
  <c r="K16" i="56"/>
  <c r="J16" i="56"/>
  <c r="I16" i="56"/>
  <c r="H16" i="56"/>
  <c r="G16" i="56"/>
  <c r="F16" i="56"/>
  <c r="E16" i="56"/>
  <c r="P15" i="56"/>
  <c r="O15" i="56"/>
  <c r="N15" i="56"/>
  <c r="M15" i="56"/>
  <c r="L15" i="56"/>
  <c r="K15" i="56"/>
  <c r="J15" i="56"/>
  <c r="I15" i="56"/>
  <c r="H15" i="56"/>
  <c r="G15" i="56"/>
  <c r="F15" i="56"/>
  <c r="E15" i="56"/>
  <c r="I14" i="56"/>
  <c r="H14" i="56"/>
  <c r="G14" i="56"/>
  <c r="F14" i="56"/>
  <c r="E14" i="56"/>
  <c r="P13" i="56"/>
  <c r="O13" i="56"/>
  <c r="E13" i="56"/>
  <c r="J12" i="56"/>
  <c r="E12" i="56"/>
  <c r="P11" i="56"/>
  <c r="O11" i="56"/>
  <c r="N11" i="56"/>
  <c r="M11" i="56"/>
  <c r="L11" i="56"/>
  <c r="K11" i="56"/>
  <c r="J11" i="56"/>
  <c r="I11" i="56"/>
  <c r="H11" i="56"/>
  <c r="G11" i="56"/>
  <c r="F11" i="56"/>
  <c r="E11" i="56"/>
  <c r="D31" i="56"/>
  <c r="D30" i="56"/>
  <c r="D29" i="56"/>
  <c r="D28" i="56"/>
  <c r="D27" i="56"/>
  <c r="D26" i="56"/>
  <c r="D25" i="56"/>
  <c r="D24" i="56"/>
  <c r="D23" i="56"/>
  <c r="D22" i="56"/>
  <c r="C20" i="56"/>
  <c r="C31" i="56" s="1"/>
  <c r="C19" i="56"/>
  <c r="C30" i="56" s="1"/>
  <c r="C18" i="56"/>
  <c r="C29" i="56" s="1"/>
  <c r="C17" i="56"/>
  <c r="C28" i="56" s="1"/>
  <c r="C16" i="56"/>
  <c r="C27" i="56" s="1"/>
  <c r="C15" i="56"/>
  <c r="C26" i="56" s="1"/>
  <c r="C14" i="56"/>
  <c r="C25" i="56" s="1"/>
  <c r="C13" i="56"/>
  <c r="C24" i="56" s="1"/>
  <c r="C12" i="56"/>
  <c r="C23" i="56" s="1"/>
  <c r="C11" i="56"/>
  <c r="C22" i="56" s="1"/>
  <c r="B22" i="56"/>
  <c r="D7" i="56"/>
  <c r="B7" i="56"/>
  <c r="D6" i="56"/>
  <c r="B6" i="56"/>
  <c r="D5" i="56"/>
  <c r="B5" i="56"/>
  <c r="S45" i="7"/>
  <c r="S51" i="7"/>
  <c r="S53" i="7"/>
  <c r="S37" i="7"/>
  <c r="A7" i="53"/>
  <c r="A8" i="53"/>
  <c r="CS8" i="53"/>
  <c r="CM8" i="53"/>
  <c r="CG8" i="53"/>
  <c r="CE8" i="53"/>
  <c r="BX8" i="53"/>
  <c r="BT8" i="53"/>
  <c r="AS8" i="53"/>
  <c r="AR8" i="53"/>
  <c r="AQ8" i="53"/>
  <c r="AU8" i="53" s="1"/>
  <c r="AO8" i="53"/>
  <c r="AN8" i="53"/>
  <c r="AM8" i="53"/>
  <c r="CC8" i="53" s="1"/>
  <c r="P8" i="53"/>
  <c r="L8" i="53"/>
  <c r="M8" i="53" s="1"/>
  <c r="N8" i="53" s="1"/>
  <c r="CC7" i="53"/>
  <c r="AM7" i="53"/>
  <c r="AT12" i="52"/>
  <c r="AH12" i="52"/>
  <c r="CG12" i="52" s="1"/>
  <c r="CH12" i="52" s="1"/>
  <c r="AH11" i="52"/>
  <c r="BT11" i="52" s="1"/>
  <c r="AH10" i="52"/>
  <c r="CG10" i="52" s="1"/>
  <c r="CH10" i="52" s="1"/>
  <c r="U12" i="52"/>
  <c r="U11" i="52"/>
  <c r="U10" i="52"/>
  <c r="AZ10" i="52"/>
  <c r="CN13" i="52"/>
  <c r="EJ13" i="52" s="1"/>
  <c r="GQ12" i="52"/>
  <c r="FE12" i="52"/>
  <c r="EZ12" i="52"/>
  <c r="EH12" i="52"/>
  <c r="CS12" i="52"/>
  <c r="CR12" i="52"/>
  <c r="CP12" i="52"/>
  <c r="EQ12" i="52" s="1"/>
  <c r="CO12" i="52"/>
  <c r="CD12" i="52"/>
  <c r="CE12" i="52" s="1"/>
  <c r="BY12" i="52"/>
  <c r="BR12" i="52"/>
  <c r="BM12" i="52"/>
  <c r="BL12" i="52"/>
  <c r="BC12" i="52"/>
  <c r="BI12" i="52" s="1"/>
  <c r="BD12" i="52" s="1"/>
  <c r="BB12" i="52"/>
  <c r="BE12" i="52" s="1"/>
  <c r="BK12" i="52" s="1"/>
  <c r="AX12" i="52"/>
  <c r="X12" i="52"/>
  <c r="S12" i="52"/>
  <c r="P12" i="52"/>
  <c r="L12" i="52"/>
  <c r="CN11" i="52"/>
  <c r="EJ11" i="52" s="1"/>
  <c r="CN10" i="52"/>
  <c r="EJ10" i="52" s="1"/>
  <c r="GQ13" i="52"/>
  <c r="FE13" i="52"/>
  <c r="EZ13" i="52"/>
  <c r="EH13" i="52"/>
  <c r="CS13" i="52"/>
  <c r="CR13" i="52"/>
  <c r="CP13" i="52"/>
  <c r="EQ13" i="52" s="1"/>
  <c r="CO13" i="52"/>
  <c r="CD13" i="52"/>
  <c r="CE13" i="52" s="1"/>
  <c r="BY13" i="52"/>
  <c r="BZ13" i="52" s="1"/>
  <c r="BR13" i="52"/>
  <c r="BM13" i="52"/>
  <c r="BL13" i="52"/>
  <c r="BC13" i="52"/>
  <c r="BI13" i="52" s="1"/>
  <c r="BD13" i="52" s="1"/>
  <c r="BB13" i="52"/>
  <c r="BE13" i="52" s="1"/>
  <c r="BK13" i="52" s="1"/>
  <c r="AX13" i="52"/>
  <c r="AT13" i="52"/>
  <c r="EU13" i="52" s="1"/>
  <c r="X13" i="52"/>
  <c r="S13" i="52"/>
  <c r="Q13" i="52"/>
  <c r="L13" i="52"/>
  <c r="GQ11" i="52"/>
  <c r="FE11" i="52"/>
  <c r="EZ11" i="52"/>
  <c r="EH11" i="52"/>
  <c r="CS11" i="52"/>
  <c r="CR11" i="52"/>
  <c r="CP11" i="52"/>
  <c r="EQ11" i="52" s="1"/>
  <c r="CO11" i="52"/>
  <c r="CD11" i="52"/>
  <c r="CE11" i="52" s="1"/>
  <c r="BY11" i="52"/>
  <c r="BZ11" i="52" s="1"/>
  <c r="BR11" i="52"/>
  <c r="BM11" i="52"/>
  <c r="BL11" i="52"/>
  <c r="BC11" i="52"/>
  <c r="BI11" i="52" s="1"/>
  <c r="BD11" i="52" s="1"/>
  <c r="BB11" i="52"/>
  <c r="BE11" i="52" s="1"/>
  <c r="BK11" i="52" s="1"/>
  <c r="AX11" i="52"/>
  <c r="AT11" i="52"/>
  <c r="DT11" i="52" s="1"/>
  <c r="X11" i="52"/>
  <c r="S11" i="52"/>
  <c r="Q11" i="52"/>
  <c r="L11" i="52"/>
  <c r="GQ10" i="52"/>
  <c r="FE10" i="52"/>
  <c r="EZ10" i="52"/>
  <c r="EH10" i="52"/>
  <c r="CS10" i="52"/>
  <c r="CR10" i="52"/>
  <c r="CP10" i="52"/>
  <c r="EQ10" i="52" s="1"/>
  <c r="CO10" i="52"/>
  <c r="CD10" i="52"/>
  <c r="CE10" i="52" s="1"/>
  <c r="BY10" i="52"/>
  <c r="BZ10" i="52" s="1"/>
  <c r="BR10" i="52"/>
  <c r="BM10" i="52"/>
  <c r="BL10" i="52"/>
  <c r="BC10" i="52"/>
  <c r="BI10" i="52" s="1"/>
  <c r="BD10" i="52" s="1"/>
  <c r="BB10" i="52"/>
  <c r="BE10" i="52" s="1"/>
  <c r="BK10" i="52" s="1"/>
  <c r="AX10" i="52"/>
  <c r="AT10" i="52"/>
  <c r="EU10" i="52" s="1"/>
  <c r="X10" i="52"/>
  <c r="S10" i="52"/>
  <c r="Q10" i="52"/>
  <c r="L10" i="52"/>
  <c r="B17" i="52"/>
  <c r="U14" i="52"/>
  <c r="M14" i="52"/>
  <c r="M15" i="52" s="1"/>
  <c r="AT15" i="52"/>
  <c r="DT15" i="52" s="1"/>
  <c r="AT14" i="52"/>
  <c r="DT14" i="52" s="1"/>
  <c r="S14" i="52"/>
  <c r="S15" i="52"/>
  <c r="P14" i="52"/>
  <c r="P15" i="52"/>
  <c r="EZ14" i="52"/>
  <c r="EZ15" i="52"/>
  <c r="EZ9" i="52"/>
  <c r="E9" i="52"/>
  <c r="E14" i="52" s="1"/>
  <c r="CN14" i="52"/>
  <c r="CO14" i="52"/>
  <c r="CP14" i="52"/>
  <c r="CR14" i="52"/>
  <c r="CS14" i="52"/>
  <c r="CN15" i="52"/>
  <c r="EJ15" i="52" s="1"/>
  <c r="CO15" i="52"/>
  <c r="CP15" i="52"/>
  <c r="EQ15" i="52" s="1"/>
  <c r="CR15" i="52"/>
  <c r="CS15" i="52"/>
  <c r="L14" i="52"/>
  <c r="X14" i="52"/>
  <c r="L15" i="52"/>
  <c r="U15" i="52"/>
  <c r="X15" i="52"/>
  <c r="GQ15" i="52"/>
  <c r="FE15" i="52"/>
  <c r="EH15" i="52"/>
  <c r="CD15" i="52"/>
  <c r="CE15" i="52" s="1"/>
  <c r="BY15" i="52"/>
  <c r="BZ15" i="52" s="1"/>
  <c r="BV15" i="52"/>
  <c r="BR15" i="52"/>
  <c r="BM15" i="52"/>
  <c r="BL15" i="52"/>
  <c r="BC15" i="52"/>
  <c r="BI15" i="52" s="1"/>
  <c r="BD15" i="52" s="1"/>
  <c r="BJ15" i="52" s="1"/>
  <c r="BB15" i="52"/>
  <c r="BE15" i="52" s="1"/>
  <c r="BK15" i="52" s="1"/>
  <c r="AZ15" i="52"/>
  <c r="AY15" i="52"/>
  <c r="AX15" i="52"/>
  <c r="J14" i="56"/>
  <c r="O23" i="56"/>
  <c r="F20" i="56"/>
  <c r="D55" i="7"/>
  <c r="D53" i="7"/>
  <c r="D51" i="7"/>
  <c r="D49" i="7"/>
  <c r="D47" i="7"/>
  <c r="D45" i="7"/>
  <c r="D43" i="7"/>
  <c r="D41" i="7"/>
  <c r="D39" i="7"/>
  <c r="D37" i="7"/>
  <c r="A55" i="7"/>
  <c r="A56" i="7" s="1"/>
  <c r="A53" i="7"/>
  <c r="A54" i="7" s="1"/>
  <c r="A51" i="7"/>
  <c r="A52" i="7" s="1"/>
  <c r="FI21" i="52"/>
  <c r="FJ21" i="52"/>
  <c r="FK21" i="52"/>
  <c r="FL21" i="52"/>
  <c r="FM21" i="52"/>
  <c r="FN21" i="52"/>
  <c r="FO21" i="52"/>
  <c r="FP21" i="52"/>
  <c r="FQ21" i="52"/>
  <c r="FR21" i="52"/>
  <c r="FS21" i="52"/>
  <c r="FT21" i="52"/>
  <c r="FU21" i="52"/>
  <c r="FV21" i="52"/>
  <c r="FW21" i="52"/>
  <c r="FX21" i="52"/>
  <c r="FY21" i="52"/>
  <c r="FZ21" i="52"/>
  <c r="FH21" i="52"/>
  <c r="CS24" i="52"/>
  <c r="G12" i="56" l="1"/>
  <c r="H24" i="7"/>
  <c r="F17" i="56" s="1"/>
  <c r="M30" i="7"/>
  <c r="P12" i="56"/>
  <c r="L637" i="10"/>
  <c r="L624" i="10"/>
  <c r="L643" i="10"/>
  <c r="S47" i="7"/>
  <c r="T47" i="7" s="1"/>
  <c r="O12" i="56"/>
  <c r="O17" i="56"/>
  <c r="O27" i="56"/>
  <c r="E23" i="56"/>
  <c r="E28" i="56"/>
  <c r="F12" i="56"/>
  <c r="F13" i="56"/>
  <c r="F23" i="56"/>
  <c r="G23" i="56"/>
  <c r="H23" i="56"/>
  <c r="I23" i="56"/>
  <c r="J23" i="56"/>
  <c r="K12" i="56"/>
  <c r="K17" i="56"/>
  <c r="K23" i="56"/>
  <c r="L12" i="56"/>
  <c r="L17" i="56"/>
  <c r="L23" i="56"/>
  <c r="M12" i="56"/>
  <c r="M17" i="56"/>
  <c r="M23" i="56"/>
  <c r="M27" i="56"/>
  <c r="N12" i="56"/>
  <c r="N17" i="56"/>
  <c r="N23" i="56"/>
  <c r="N27" i="56"/>
  <c r="A1195" i="8"/>
  <c r="E1088" i="8"/>
  <c r="A1067" i="8"/>
  <c r="A1087" i="8" s="1"/>
  <c r="L645" i="10"/>
  <c r="L635" i="10"/>
  <c r="L629" i="10"/>
  <c r="L644" i="10"/>
  <c r="L647" i="10"/>
  <c r="L639" i="10"/>
  <c r="L638" i="10"/>
  <c r="L648" i="10"/>
  <c r="L646" i="10"/>
  <c r="L636" i="10"/>
  <c r="A651" i="10"/>
  <c r="A652" i="10" s="1"/>
  <c r="A649" i="10"/>
  <c r="A648" i="10"/>
  <c r="A650" i="10" s="1"/>
  <c r="L626" i="10"/>
  <c r="L628" i="10"/>
  <c r="L616" i="10"/>
  <c r="L619" i="10"/>
  <c r="L627" i="10"/>
  <c r="L617" i="10"/>
  <c r="L625" i="10"/>
  <c r="L618" i="10"/>
  <c r="A632" i="10"/>
  <c r="A633" i="10" s="1"/>
  <c r="A630" i="10"/>
  <c r="A629" i="10"/>
  <c r="A631" i="10" s="1"/>
  <c r="F510" i="8"/>
  <c r="E585" i="8"/>
  <c r="F585" i="8" s="1"/>
  <c r="M343" i="8"/>
  <c r="E343" i="8" s="1"/>
  <c r="E1004" i="8"/>
  <c r="E583" i="8"/>
  <c r="F508" i="8"/>
  <c r="E475" i="8"/>
  <c r="E477" i="8" s="1"/>
  <c r="F473" i="8"/>
  <c r="E395" i="8"/>
  <c r="E425" i="8" s="1"/>
  <c r="F393" i="8"/>
  <c r="A309" i="8"/>
  <c r="A304" i="8"/>
  <c r="GJ25" i="52"/>
  <c r="GJ7" i="52" s="1"/>
  <c r="FH13" i="52"/>
  <c r="GK13" i="52" s="1"/>
  <c r="Q29" i="56"/>
  <c r="R29" i="56" s="1"/>
  <c r="Q26" i="56"/>
  <c r="R26" i="56" s="1"/>
  <c r="Q30" i="56"/>
  <c r="R30" i="56" s="1"/>
  <c r="Q22" i="56"/>
  <c r="AY11" i="52"/>
  <c r="E10" i="52"/>
  <c r="CQ10" i="52" s="1"/>
  <c r="EU11" i="52"/>
  <c r="T53" i="7"/>
  <c r="AW8" i="53"/>
  <c r="Q8" i="53"/>
  <c r="BB8" i="53"/>
  <c r="AV8" i="53"/>
  <c r="AX8" i="53"/>
  <c r="DQ8" i="53"/>
  <c r="DR8" i="53"/>
  <c r="DS8" i="53"/>
  <c r="AT8" i="53"/>
  <c r="AS12" i="52"/>
  <c r="EN12" i="52" s="1"/>
  <c r="AS11" i="52"/>
  <c r="EN11" i="52" s="1"/>
  <c r="EU12" i="52"/>
  <c r="DT12" i="52"/>
  <c r="U13" i="52"/>
  <c r="AH13" i="52"/>
  <c r="CG13" i="52" s="1"/>
  <c r="CH13" i="52" s="1"/>
  <c r="AS10" i="52"/>
  <c r="EN10" i="52" s="1"/>
  <c r="BV10" i="52"/>
  <c r="AY10" i="52"/>
  <c r="Q12" i="52"/>
  <c r="Q14" i="52"/>
  <c r="BJ12" i="52"/>
  <c r="BN12" i="52" s="1"/>
  <c r="BP12" i="52" s="1"/>
  <c r="BH12" i="52"/>
  <c r="BO12" i="52" s="1"/>
  <c r="BT12" i="52"/>
  <c r="DT10" i="52"/>
  <c r="DT13" i="52"/>
  <c r="T12" i="52"/>
  <c r="BZ12" i="52"/>
  <c r="CG11" i="52"/>
  <c r="CH11" i="52" s="1"/>
  <c r="BT10" i="52"/>
  <c r="BH10" i="52"/>
  <c r="BO10" i="52" s="1"/>
  <c r="BJ10" i="52"/>
  <c r="BN10" i="52" s="1"/>
  <c r="BP10" i="52" s="1"/>
  <c r="BJ11" i="52"/>
  <c r="BN11" i="52" s="1"/>
  <c r="BP11" i="52" s="1"/>
  <c r="BH11" i="52"/>
  <c r="BO11" i="52" s="1"/>
  <c r="BH13" i="52"/>
  <c r="BO13" i="52" s="1"/>
  <c r="BJ13" i="52"/>
  <c r="BN13" i="52" s="1"/>
  <c r="BP13" i="52" s="1"/>
  <c r="T10" i="52"/>
  <c r="P11" i="52"/>
  <c r="P10" i="52"/>
  <c r="W11" i="52"/>
  <c r="Y11" i="52" s="1"/>
  <c r="Z11" i="52" s="1"/>
  <c r="P13" i="52"/>
  <c r="Q15" i="52"/>
  <c r="AH15" i="52"/>
  <c r="CG15" i="52" s="1"/>
  <c r="CH15" i="52" s="1"/>
  <c r="AS15" i="52"/>
  <c r="EN15" i="52" s="1"/>
  <c r="AH14" i="52"/>
  <c r="AS14" i="52"/>
  <c r="DS14" i="52" s="1"/>
  <c r="CQ14" i="52"/>
  <c r="E15" i="52"/>
  <c r="CQ15" i="52" s="1"/>
  <c r="CB15" i="52"/>
  <c r="AU15" i="52"/>
  <c r="GR15" i="52" s="1"/>
  <c r="EU15" i="52"/>
  <c r="BN15" i="52"/>
  <c r="BP15" i="52" s="1"/>
  <c r="BH15" i="52"/>
  <c r="BO15" i="52" s="1"/>
  <c r="BW15" i="52"/>
  <c r="CA15" i="52"/>
  <c r="AJ15" i="52" s="1"/>
  <c r="T45" i="7"/>
  <c r="T51" i="7"/>
  <c r="I24" i="7" l="1"/>
  <c r="G17" i="56" s="1"/>
  <c r="A1196" i="8"/>
  <c r="A1197" i="8" s="1"/>
  <c r="A1198" i="8" s="1"/>
  <c r="A1199" i="8"/>
  <c r="K14" i="56"/>
  <c r="G28" i="56"/>
  <c r="F28" i="56"/>
  <c r="G13" i="56"/>
  <c r="G20" i="56"/>
  <c r="L640" i="10"/>
  <c r="O640" i="10" s="1"/>
  <c r="L651" i="10"/>
  <c r="O651" i="10" s="1"/>
  <c r="L632" i="10"/>
  <c r="O632" i="10" s="1"/>
  <c r="L621" i="10"/>
  <c r="O621" i="10" s="1"/>
  <c r="F1088" i="8"/>
  <c r="A1068" i="8"/>
  <c r="A1088" i="8" s="1"/>
  <c r="E588" i="8"/>
  <c r="F588" i="8" s="1"/>
  <c r="F583" i="8"/>
  <c r="F475" i="8"/>
  <c r="E493" i="8"/>
  <c r="E12" i="52"/>
  <c r="CQ12" i="52" s="1"/>
  <c r="E11" i="52"/>
  <c r="CQ11" i="52" s="1"/>
  <c r="T13" i="52"/>
  <c r="BT13" i="52"/>
  <c r="DS12" i="52"/>
  <c r="AZ11" i="52"/>
  <c r="AU11" i="52" s="1"/>
  <c r="GR11" i="52" s="1"/>
  <c r="BV11" i="52"/>
  <c r="DS11" i="52"/>
  <c r="AF8" i="53"/>
  <c r="CH8" i="53"/>
  <c r="CL8" i="53" s="1"/>
  <c r="AB8" i="53"/>
  <c r="AS13" i="52"/>
  <c r="DS10" i="52"/>
  <c r="AU10" i="52"/>
  <c r="GR10" i="52" s="1"/>
  <c r="BW10" i="52"/>
  <c r="CB10" i="52"/>
  <c r="CA10" i="52"/>
  <c r="W12" i="52"/>
  <c r="Y12" i="52" s="1"/>
  <c r="Z12" i="52" s="1"/>
  <c r="T11" i="52"/>
  <c r="BQ12" i="52"/>
  <c r="BS12" i="52" s="1"/>
  <c r="BU12" i="52" s="1"/>
  <c r="AA11" i="52"/>
  <c r="BQ13" i="52"/>
  <c r="BS13" i="52" s="1"/>
  <c r="W10" i="52"/>
  <c r="Y10" i="52" s="1"/>
  <c r="Z10" i="52" s="1"/>
  <c r="BQ11" i="52"/>
  <c r="BS11" i="52" s="1"/>
  <c r="BU11" i="52" s="1"/>
  <c r="W13" i="52"/>
  <c r="Y13" i="52" s="1"/>
  <c r="Z13" i="52" s="1"/>
  <c r="BQ10" i="52"/>
  <c r="BS10" i="52" s="1"/>
  <c r="BU10" i="52" s="1"/>
  <c r="BT15" i="52"/>
  <c r="DS15" i="52"/>
  <c r="DW15" i="52" s="1"/>
  <c r="BQ15" i="52"/>
  <c r="BS15" i="52" s="1"/>
  <c r="CC15" i="52"/>
  <c r="CF15" i="52" s="1"/>
  <c r="CI15" i="52" s="1"/>
  <c r="CJ15" i="52" s="1"/>
  <c r="AI15" i="52" s="1"/>
  <c r="AK15" i="52" s="1"/>
  <c r="I12" i="56" l="1"/>
  <c r="J24" i="7"/>
  <c r="H17" i="56" s="1"/>
  <c r="S39" i="7"/>
  <c r="T39" i="7" s="1"/>
  <c r="H12" i="56"/>
  <c r="S49" i="7"/>
  <c r="T49" i="7" s="1"/>
  <c r="H20" i="56"/>
  <c r="H13" i="56"/>
  <c r="L14" i="56"/>
  <c r="F493" i="8"/>
  <c r="E496" i="8"/>
  <c r="E13" i="52"/>
  <c r="CQ13" i="52" s="1"/>
  <c r="AY12" i="52"/>
  <c r="BU13" i="52"/>
  <c r="BV12" i="52"/>
  <c r="AZ12" i="52"/>
  <c r="Q27" i="56"/>
  <c r="R27" i="56" s="1"/>
  <c r="BW11" i="52"/>
  <c r="CB11" i="52"/>
  <c r="CA11" i="52"/>
  <c r="BV13" i="52"/>
  <c r="AY13" i="52"/>
  <c r="AZ13" i="52"/>
  <c r="S8" i="53"/>
  <c r="U8" i="53" s="1"/>
  <c r="AH8" i="53"/>
  <c r="EN13" i="52"/>
  <c r="DS13" i="52"/>
  <c r="CC10" i="52"/>
  <c r="CF10" i="52" s="1"/>
  <c r="CI10" i="52" s="1"/>
  <c r="CJ10" i="52" s="1"/>
  <c r="AI10" i="52" s="1"/>
  <c r="AJ10" i="52"/>
  <c r="AA12" i="52"/>
  <c r="AA13" i="52"/>
  <c r="AA10" i="52"/>
  <c r="BU15" i="52"/>
  <c r="AL15" i="52"/>
  <c r="J20" i="56" l="1"/>
  <c r="M14" i="56"/>
  <c r="I13" i="56"/>
  <c r="AU12" i="52"/>
  <c r="GR12" i="52" s="1"/>
  <c r="BW12" i="52"/>
  <c r="CB12" i="52"/>
  <c r="CA12" i="52"/>
  <c r="AJ11" i="52"/>
  <c r="CC11" i="52"/>
  <c r="CF11" i="52" s="1"/>
  <c r="CI11" i="52" s="1"/>
  <c r="CJ11" i="52" s="1"/>
  <c r="AI11" i="52" s="1"/>
  <c r="AU13" i="52"/>
  <c r="GR13" i="52" s="1"/>
  <c r="BW13" i="52"/>
  <c r="CB13" i="52"/>
  <c r="CA13" i="52"/>
  <c r="T8" i="53"/>
  <c r="V8" i="53" s="1"/>
  <c r="R8" i="53"/>
  <c r="AK10" i="52"/>
  <c r="J13" i="56" l="1"/>
  <c r="N14" i="56"/>
  <c r="K20" i="56"/>
  <c r="AK11" i="52"/>
  <c r="AL11" i="52" s="1"/>
  <c r="AJ12" i="52"/>
  <c r="CC12" i="52"/>
  <c r="CF12" i="52" s="1"/>
  <c r="CI12" i="52" s="1"/>
  <c r="CJ12" i="52" s="1"/>
  <c r="AI12" i="52" s="1"/>
  <c r="AJ13" i="52"/>
  <c r="CC13" i="52"/>
  <c r="CF13" i="52" s="1"/>
  <c r="CI13" i="52" s="1"/>
  <c r="CJ13" i="52" s="1"/>
  <c r="AI13" i="52" s="1"/>
  <c r="AL10" i="52"/>
  <c r="AB10" i="52"/>
  <c r="L20" i="56" l="1"/>
  <c r="O14" i="56"/>
  <c r="K13" i="56"/>
  <c r="AK12" i="52"/>
  <c r="AL12" i="52" s="1"/>
  <c r="AB11" i="52"/>
  <c r="AK13" i="52"/>
  <c r="P14" i="56" l="1"/>
  <c r="M20" i="56"/>
  <c r="L13" i="56"/>
  <c r="AB12" i="52"/>
  <c r="AL13" i="52"/>
  <c r="AB13" i="52"/>
  <c r="GQ14" i="52"/>
  <c r="FE14" i="52"/>
  <c r="EQ14" i="52"/>
  <c r="EJ14" i="52"/>
  <c r="CD14" i="52"/>
  <c r="CE14" i="52" s="1"/>
  <c r="BY14" i="52"/>
  <c r="BV14" i="52"/>
  <c r="BW14" i="52" s="1"/>
  <c r="BR14" i="52"/>
  <c r="BM14" i="52"/>
  <c r="BL14" i="52"/>
  <c r="BC14" i="52"/>
  <c r="BI14" i="52" s="1"/>
  <c r="BD14" i="52" s="1"/>
  <c r="BJ14" i="52" s="1"/>
  <c r="BB14" i="52"/>
  <c r="BE14" i="52" s="1"/>
  <c r="BK14" i="52" s="1"/>
  <c r="AZ14" i="52"/>
  <c r="AY14" i="52"/>
  <c r="AX14" i="52"/>
  <c r="EN14" i="52"/>
  <c r="CG14" i="52"/>
  <c r="CH14" i="52" s="1"/>
  <c r="H143" i="55"/>
  <c r="H10" i="5"/>
  <c r="Q36" i="55" a="1"/>
  <c r="Q36" i="55" s="1"/>
  <c r="R37" i="55" a="1"/>
  <c r="R37" i="55" s="1"/>
  <c r="R36" i="55" a="1"/>
  <c r="R36" i="55" s="1"/>
  <c r="Q37" i="55" a="1"/>
  <c r="Q37" i="55" s="1"/>
  <c r="R35" i="55" a="1"/>
  <c r="R35" i="55" s="1"/>
  <c r="R34" i="55" a="1"/>
  <c r="R34" i="55" s="1"/>
  <c r="Q34" i="55" a="1"/>
  <c r="Q34" i="55" s="1"/>
  <c r="Q35" i="55" a="1"/>
  <c r="Q35" i="55" s="1"/>
  <c r="R33" i="55"/>
  <c r="Q33" i="55"/>
  <c r="Q28" i="55"/>
  <c r="Q27" i="55"/>
  <c r="Q26" i="55"/>
  <c r="Q25" i="55"/>
  <c r="Q24" i="55"/>
  <c r="Q23" i="55"/>
  <c r="Q22" i="55"/>
  <c r="Q21" i="55"/>
  <c r="Q20" i="55"/>
  <c r="Q19" i="55"/>
  <c r="Q18" i="55"/>
  <c r="Q17" i="55"/>
  <c r="Q16" i="55"/>
  <c r="Q15" i="55"/>
  <c r="Q14" i="55"/>
  <c r="Q13" i="55"/>
  <c r="Q12" i="55"/>
  <c r="Q11" i="55"/>
  <c r="Q10" i="55"/>
  <c r="Q9" i="55"/>
  <c r="Q8" i="55"/>
  <c r="Q6" i="55"/>
  <c r="Q7" i="55"/>
  <c r="R28" i="55"/>
  <c r="R27" i="55"/>
  <c r="R26" i="55"/>
  <c r="R25" i="55"/>
  <c r="R24" i="55"/>
  <c r="R23" i="55"/>
  <c r="R22" i="55"/>
  <c r="R21" i="55"/>
  <c r="R7" i="55"/>
  <c r="R8" i="55"/>
  <c r="R9" i="55"/>
  <c r="R10" i="55"/>
  <c r="R11" i="55"/>
  <c r="R12" i="55"/>
  <c r="R13" i="55"/>
  <c r="R14" i="55"/>
  <c r="R15" i="55"/>
  <c r="R16" i="55"/>
  <c r="R17" i="55"/>
  <c r="R18" i="55"/>
  <c r="R19" i="55"/>
  <c r="R20" i="55"/>
  <c r="R6" i="55"/>
  <c r="R4" i="55"/>
  <c r="Q3" i="55"/>
  <c r="Q4" i="55"/>
  <c r="F149" i="55"/>
  <c r="F148" i="55"/>
  <c r="E149" i="55"/>
  <c r="E148" i="55"/>
  <c r="F147" i="55"/>
  <c r="E147" i="55"/>
  <c r="C133" i="55"/>
  <c r="G132" i="55"/>
  <c r="D134" i="55"/>
  <c r="F134" i="55" s="1"/>
  <c r="D133" i="55"/>
  <c r="G5" i="55"/>
  <c r="G7" i="55"/>
  <c r="G8"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4" i="55"/>
  <c r="G135" i="55"/>
  <c r="G136" i="55"/>
  <c r="G137" i="55"/>
  <c r="G138" i="55"/>
  <c r="G139" i="55"/>
  <c r="G140" i="55"/>
  <c r="G141" i="55"/>
  <c r="G142" i="55"/>
  <c r="G6" i="55"/>
  <c r="F6" i="55"/>
  <c r="F7" i="55"/>
  <c r="F8" i="55"/>
  <c r="F9" i="55"/>
  <c r="F10" i="55"/>
  <c r="F11" i="55"/>
  <c r="F12" i="55"/>
  <c r="F13" i="55"/>
  <c r="F14" i="55"/>
  <c r="F15" i="55"/>
  <c r="F16" i="55"/>
  <c r="F17" i="55"/>
  <c r="F18" i="55"/>
  <c r="F19" i="55"/>
  <c r="F20" i="55"/>
  <c r="F21" i="55"/>
  <c r="F22" i="55"/>
  <c r="F23" i="55"/>
  <c r="F24" i="55"/>
  <c r="F25" i="55"/>
  <c r="F26"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7" i="55"/>
  <c r="F128" i="55"/>
  <c r="F129" i="55"/>
  <c r="F130" i="55"/>
  <c r="F131" i="55"/>
  <c r="F132" i="55"/>
  <c r="F135" i="55"/>
  <c r="F136" i="55"/>
  <c r="F137" i="55"/>
  <c r="F138" i="55"/>
  <c r="F139" i="55"/>
  <c r="F140" i="55"/>
  <c r="F141" i="55"/>
  <c r="F142" i="55"/>
  <c r="F5" i="55"/>
  <c r="J13" i="5"/>
  <c r="H13" i="5"/>
  <c r="G13" i="5"/>
  <c r="F13" i="5"/>
  <c r="K26" i="5"/>
  <c r="K23" i="5"/>
  <c r="K654" i="10"/>
  <c r="L654" i="10" s="1"/>
  <c r="J173" i="10"/>
  <c r="J174" i="10" s="1"/>
  <c r="I173" i="10"/>
  <c r="G173" i="10"/>
  <c r="A1242" i="8"/>
  <c r="A1241" i="8"/>
  <c r="F1246" i="8"/>
  <c r="C1242" i="8"/>
  <c r="H1246" i="8" s="1"/>
  <c r="C1241" i="8"/>
  <c r="H1245" i="8" s="1"/>
  <c r="F1245" i="8"/>
  <c r="E1244" i="8"/>
  <c r="L373" i="6"/>
  <c r="I373" i="6"/>
  <c r="L372" i="6"/>
  <c r="I372" i="6"/>
  <c r="H372" i="6" s="1"/>
  <c r="M13" i="56" l="1"/>
  <c r="N20" i="56"/>
  <c r="E25" i="56"/>
  <c r="L656" i="10"/>
  <c r="O656" i="10" s="1"/>
  <c r="Q28" i="56"/>
  <c r="R28" i="56" s="1"/>
  <c r="AU14" i="52"/>
  <c r="GR14" i="52" s="1"/>
  <c r="CA14" i="52"/>
  <c r="AJ14" i="52" s="1"/>
  <c r="BT14" i="52"/>
  <c r="DT17" i="52"/>
  <c r="BN14" i="52"/>
  <c r="BP14" i="52" s="1"/>
  <c r="CB14" i="52"/>
  <c r="EU14" i="52"/>
  <c r="BH14" i="52"/>
  <c r="BO14" i="52" s="1"/>
  <c r="DS17" i="52"/>
  <c r="BZ14" i="52"/>
  <c r="EH14" i="52"/>
  <c r="R30" i="55"/>
  <c r="R31" i="55"/>
  <c r="Q31" i="55"/>
  <c r="R29" i="55"/>
  <c r="Q29" i="55"/>
  <c r="Q30" i="55"/>
  <c r="F150" i="55"/>
  <c r="F151" i="55"/>
  <c r="F133" i="55"/>
  <c r="F143" i="55" s="1"/>
  <c r="F145" i="55"/>
  <c r="G133" i="55"/>
  <c r="G143" i="55" s="1"/>
  <c r="G145" i="55"/>
  <c r="H373" i="6"/>
  <c r="D1242" i="8" s="1"/>
  <c r="D1241" i="8"/>
  <c r="A1243" i="8"/>
  <c r="A1244" i="8" s="1"/>
  <c r="A1245" i="8" s="1"/>
  <c r="A1246" i="8" s="1"/>
  <c r="F25" i="56" l="1"/>
  <c r="O20" i="56"/>
  <c r="N13" i="56"/>
  <c r="Q24" i="56" s="1"/>
  <c r="R24" i="56" s="1"/>
  <c r="S41" i="7"/>
  <c r="T41" i="7" s="1"/>
  <c r="E150" i="55"/>
  <c r="CC14" i="52"/>
  <c r="CF14" i="52" s="1"/>
  <c r="CI14" i="52" s="1"/>
  <c r="CJ14" i="52" s="1"/>
  <c r="AI14" i="52" s="1"/>
  <c r="AK14" i="52" s="1"/>
  <c r="BQ14" i="52"/>
  <c r="BS14" i="52" s="1"/>
  <c r="BU14" i="52" s="1"/>
  <c r="F144" i="55"/>
  <c r="E151" i="55"/>
  <c r="G144" i="55"/>
  <c r="N613" i="10"/>
  <c r="I612" i="10"/>
  <c r="G612" i="10"/>
  <c r="F612" i="10" s="1"/>
  <c r="I611" i="10"/>
  <c r="G611" i="10"/>
  <c r="F611" i="10" s="1"/>
  <c r="J610" i="10"/>
  <c r="I610" i="10"/>
  <c r="G610" i="10"/>
  <c r="F610" i="10" s="1"/>
  <c r="J609" i="10"/>
  <c r="I609" i="10"/>
  <c r="G609" i="10"/>
  <c r="F609" i="10" s="1"/>
  <c r="J608" i="10"/>
  <c r="I608" i="10"/>
  <c r="G608" i="10"/>
  <c r="J607" i="10"/>
  <c r="I607" i="10"/>
  <c r="G607" i="10"/>
  <c r="J606" i="10"/>
  <c r="I606" i="10"/>
  <c r="G606" i="10"/>
  <c r="J605" i="10"/>
  <c r="I605" i="10"/>
  <c r="G605" i="10"/>
  <c r="L604" i="10"/>
  <c r="I604" i="10"/>
  <c r="E604" i="10"/>
  <c r="A604" i="10"/>
  <c r="A605" i="10" s="1"/>
  <c r="A606" i="10" s="1"/>
  <c r="A607" i="10" s="1"/>
  <c r="A608" i="10" s="1"/>
  <c r="A609" i="10" s="1"/>
  <c r="J601" i="10"/>
  <c r="N602" i="10"/>
  <c r="I601" i="10"/>
  <c r="G601" i="10"/>
  <c r="F601" i="10" s="1"/>
  <c r="J600" i="10"/>
  <c r="I600" i="10"/>
  <c r="G600" i="10"/>
  <c r="J599" i="10"/>
  <c r="I599" i="10"/>
  <c r="G599" i="10"/>
  <c r="J598" i="10"/>
  <c r="I598" i="10"/>
  <c r="G598" i="10"/>
  <c r="J597" i="10"/>
  <c r="I597" i="10"/>
  <c r="G597" i="10"/>
  <c r="L596" i="10"/>
  <c r="I596" i="10"/>
  <c r="E596" i="10"/>
  <c r="A596" i="10"/>
  <c r="A597" i="10" s="1"/>
  <c r="A598" i="10" s="1"/>
  <c r="A599" i="10" s="1"/>
  <c r="A600" i="10" s="1"/>
  <c r="A601" i="10" s="1"/>
  <c r="A602" i="10" s="1"/>
  <c r="A603" i="10" s="1"/>
  <c r="C1016" i="8"/>
  <c r="C88" i="8"/>
  <c r="L60" i="6"/>
  <c r="I60" i="6"/>
  <c r="H60" i="6" s="1"/>
  <c r="D88" i="8" s="1"/>
  <c r="C83" i="8"/>
  <c r="L55" i="6"/>
  <c r="I55" i="6"/>
  <c r="H55" i="6" s="1"/>
  <c r="D83" i="8" s="1"/>
  <c r="J172" i="10"/>
  <c r="J171" i="10"/>
  <c r="G168" i="10"/>
  <c r="I168" i="10"/>
  <c r="J166" i="10"/>
  <c r="J164" i="10"/>
  <c r="J263" i="10"/>
  <c r="J262" i="10"/>
  <c r="E962" i="8"/>
  <c r="E883" i="8"/>
  <c r="F75" i="6"/>
  <c r="C64" i="8"/>
  <c r="L35" i="6"/>
  <c r="I35" i="6"/>
  <c r="EJ22" i="53"/>
  <c r="B8" i="5"/>
  <c r="D8" i="5"/>
  <c r="B7" i="4"/>
  <c r="E29" i="4"/>
  <c r="E44" i="4"/>
  <c r="E39" i="4"/>
  <c r="E21" i="4"/>
  <c r="E36" i="4" s="1"/>
  <c r="E23" i="4"/>
  <c r="E25" i="4"/>
  <c r="E40" i="4" s="1"/>
  <c r="E22" i="4"/>
  <c r="P20" i="56" l="1"/>
  <c r="G25" i="56"/>
  <c r="AL14" i="52"/>
  <c r="H35" i="6"/>
  <c r="D64" i="8" s="1"/>
  <c r="A613" i="10"/>
  <c r="A614" i="10" s="1"/>
  <c r="A611" i="10"/>
  <c r="A610" i="10"/>
  <c r="A612" i="10" s="1"/>
  <c r="K97" i="8"/>
  <c r="K91" i="8"/>
  <c r="K89" i="8"/>
  <c r="L84" i="8"/>
  <c r="L78" i="8"/>
  <c r="K58" i="8"/>
  <c r="L51" i="8"/>
  <c r="K51" i="8"/>
  <c r="L50" i="8"/>
  <c r="K50" i="8"/>
  <c r="J31" i="8"/>
  <c r="EO26" i="53"/>
  <c r="EN26" i="53"/>
  <c r="EM26" i="53"/>
  <c r="EL26" i="53"/>
  <c r="EK26" i="53"/>
  <c r="EJ26" i="53"/>
  <c r="EH26" i="53"/>
  <c r="EG26" i="53"/>
  <c r="EF26" i="53"/>
  <c r="EE26" i="53"/>
  <c r="ED26" i="53"/>
  <c r="EC26" i="53"/>
  <c r="EB26" i="53"/>
  <c r="EA26" i="53"/>
  <c r="DZ26" i="53"/>
  <c r="DY25" i="53"/>
  <c r="EY23" i="53"/>
  <c r="EX23" i="53"/>
  <c r="EW23" i="53"/>
  <c r="EA22" i="53"/>
  <c r="AA21" i="53"/>
  <c r="AC20" i="53"/>
  <c r="AC21" i="53" s="1"/>
  <c r="AB20" i="53"/>
  <c r="AB21" i="53" s="1"/>
  <c r="Z20" i="53"/>
  <c r="Z21" i="53" s="1"/>
  <c r="AX18" i="53"/>
  <c r="AX20" i="53" s="1"/>
  <c r="AW18" i="53"/>
  <c r="AW20" i="53" s="1"/>
  <c r="AV18" i="53"/>
  <c r="AV20" i="53" s="1"/>
  <c r="AU18" i="53"/>
  <c r="AU20" i="53" s="1"/>
  <c r="AT18" i="53"/>
  <c r="AT19" i="53" s="1"/>
  <c r="CB16" i="53"/>
  <c r="BF16" i="53"/>
  <c r="CB15" i="53"/>
  <c r="CB14" i="53"/>
  <c r="CB13" i="53"/>
  <c r="CB12" i="53"/>
  <c r="AM12" i="53"/>
  <c r="CC12" i="53" s="1"/>
  <c r="AZ10" i="53"/>
  <c r="AY10" i="53"/>
  <c r="DP6" i="53"/>
  <c r="DO6" i="53"/>
  <c r="DN6" i="53"/>
  <c r="DM6" i="53"/>
  <c r="DL6" i="53"/>
  <c r="DK6" i="53"/>
  <c r="DJ6" i="53"/>
  <c r="DI6" i="53"/>
  <c r="DH6" i="53"/>
  <c r="DG6" i="53"/>
  <c r="DF6" i="53"/>
  <c r="DD6" i="53"/>
  <c r="DC6" i="53"/>
  <c r="DB6" i="53"/>
  <c r="DA6" i="53"/>
  <c r="CZ6" i="53"/>
  <c r="CY6" i="53"/>
  <c r="CX6" i="53"/>
  <c r="CW6" i="53"/>
  <c r="CV6" i="53"/>
  <c r="CD6" i="53"/>
  <c r="AR6" i="53"/>
  <c r="CD5" i="53"/>
  <c r="AR5" i="53"/>
  <c r="B184" i="50"/>
  <c r="B183" i="50"/>
  <c r="B182" i="50"/>
  <c r="B181" i="50"/>
  <c r="B180" i="50"/>
  <c r="G168" i="50"/>
  <c r="G175" i="50" s="1"/>
  <c r="F168" i="50"/>
  <c r="F175" i="50" s="1"/>
  <c r="D150" i="50"/>
  <c r="D149" i="50"/>
  <c r="D148" i="50"/>
  <c r="C147" i="50"/>
  <c r="Q97" i="50"/>
  <c r="E31" i="56" l="1"/>
  <c r="H25" i="56"/>
  <c r="CY8" i="53"/>
  <c r="CZ8" i="53"/>
  <c r="DA8" i="53"/>
  <c r="DB8" i="53"/>
  <c r="DK8" i="53"/>
  <c r="DP8" i="53" s="1"/>
  <c r="DC8" i="53"/>
  <c r="CX8" i="53"/>
  <c r="CW8" i="53"/>
  <c r="DD8" i="53"/>
  <c r="DF8" i="53"/>
  <c r="DG8" i="53"/>
  <c r="DL8" i="53" s="1"/>
  <c r="DI8" i="53"/>
  <c r="DN8" i="53" s="1"/>
  <c r="BC8" i="53"/>
  <c r="DH8" i="53"/>
  <c r="DM8" i="53" s="1"/>
  <c r="CV8" i="53"/>
  <c r="DJ8" i="53"/>
  <c r="DO8" i="53" s="1"/>
  <c r="EB22" i="53"/>
  <c r="EC22" i="53" s="1"/>
  <c r="ED22" i="53" s="1"/>
  <c r="AV19" i="53"/>
  <c r="AW19" i="53"/>
  <c r="AT20" i="53"/>
  <c r="EK22" i="53"/>
  <c r="AX19" i="53"/>
  <c r="AU19" i="53"/>
  <c r="F31" i="56" l="1"/>
  <c r="I25" i="56"/>
  <c r="CI8" i="53"/>
  <c r="CJ8" i="53"/>
  <c r="CP8" i="53"/>
  <c r="CQ8" i="53" s="1"/>
  <c r="BI8" i="53"/>
  <c r="BJ8" i="53" s="1"/>
  <c r="DE8" i="53"/>
  <c r="DT8" i="53" s="1"/>
  <c r="BE8" i="53"/>
  <c r="BD8" i="53" s="1"/>
  <c r="BQ8" i="53"/>
  <c r="BS8" i="53" s="1"/>
  <c r="BP8" i="53"/>
  <c r="AT10" i="53"/>
  <c r="EE22" i="53"/>
  <c r="EL22" i="53"/>
  <c r="AX10" i="53"/>
  <c r="AU10" i="53"/>
  <c r="AV10" i="53"/>
  <c r="AW10" i="53"/>
  <c r="J25" i="56" l="1"/>
  <c r="G31" i="56"/>
  <c r="BV8" i="53"/>
  <c r="BW8" i="53" s="1"/>
  <c r="BY8" i="53" s="1"/>
  <c r="BU8" i="53"/>
  <c r="BG8" i="53"/>
  <c r="BH8" i="53" s="1"/>
  <c r="BK8" i="53"/>
  <c r="CK8" i="53"/>
  <c r="EF22" i="53"/>
  <c r="EG22" i="53" s="1"/>
  <c r="EM22" i="53"/>
  <c r="H31" i="56" l="1"/>
  <c r="K25" i="56"/>
  <c r="CR8" i="53"/>
  <c r="CN8" i="53"/>
  <c r="CO8" i="53" s="1"/>
  <c r="BM8" i="53"/>
  <c r="BN8" i="53" s="1"/>
  <c r="BQ10" i="53"/>
  <c r="EN22" i="53"/>
  <c r="BS10" i="53"/>
  <c r="I31" i="56" l="1"/>
  <c r="L25" i="56"/>
  <c r="CT8" i="53"/>
  <c r="CU8" i="53" s="1"/>
  <c r="CV10" i="53"/>
  <c r="CZ10" i="53"/>
  <c r="CX10" i="53"/>
  <c r="DR10" i="53"/>
  <c r="EO22" i="53"/>
  <c r="BU10" i="53"/>
  <c r="BV10" i="53"/>
  <c r="BY10" i="53"/>
  <c r="M25" i="56" l="1"/>
  <c r="J31" i="56"/>
  <c r="DA10" i="53"/>
  <c r="DQ10" i="53"/>
  <c r="CY10" i="53"/>
  <c r="CW10" i="53"/>
  <c r="DB10" i="53"/>
  <c r="DD10" i="53"/>
  <c r="DF10" i="53"/>
  <c r="DC10" i="53"/>
  <c r="DP10" i="53"/>
  <c r="DI10" i="53"/>
  <c r="DG10" i="53"/>
  <c r="DN10" i="53"/>
  <c r="DL10" i="53"/>
  <c r="DH10" i="53"/>
  <c r="DK10" i="53"/>
  <c r="DM10" i="53"/>
  <c r="DJ10" i="53"/>
  <c r="DO10" i="53"/>
  <c r="DT9" i="53"/>
  <c r="EP22" i="53"/>
  <c r="BW10" i="53"/>
  <c r="N25" i="56" l="1"/>
  <c r="K31" i="56"/>
  <c r="Q23" i="56"/>
  <c r="R23" i="56" s="1"/>
  <c r="EQ22" i="53"/>
  <c r="L31" i="56" l="1"/>
  <c r="O25" i="56"/>
  <c r="ER22" i="53"/>
  <c r="P25" i="56" l="1"/>
  <c r="Q25" i="56" s="1"/>
  <c r="R25" i="56" s="1"/>
  <c r="S43" i="7"/>
  <c r="T43" i="7" s="1"/>
  <c r="M31" i="56"/>
  <c r="ES22" i="53"/>
  <c r="ET22" i="53" s="1"/>
  <c r="EU22" i="53" s="1"/>
  <c r="EV22" i="53" s="1"/>
  <c r="EW22" i="53" s="1"/>
  <c r="EX22" i="53" s="1"/>
  <c r="EY22" i="53" s="1"/>
  <c r="N31" i="56" l="1"/>
  <c r="DT10" i="53"/>
  <c r="DE10" i="53"/>
  <c r="O31" i="56" l="1"/>
  <c r="P31" i="56" l="1"/>
  <c r="Q31" i="56" s="1"/>
  <c r="R31" i="56" s="1"/>
  <c r="S55" i="7"/>
  <c r="T55" i="7" s="1"/>
  <c r="CK10" i="53" l="1"/>
  <c r="CL10" i="53"/>
  <c r="DT11" i="53"/>
  <c r="CO10" i="53" l="1"/>
  <c r="CN10" i="53"/>
  <c r="CR10" i="53"/>
  <c r="CU10" i="53" l="1"/>
  <c r="CT10" i="53"/>
  <c r="CN16" i="53" l="1"/>
  <c r="AZ12" i="53"/>
  <c r="AY12" i="53"/>
  <c r="AZ16" i="53" l="1"/>
  <c r="CU16" i="53"/>
  <c r="E57" i="8"/>
  <c r="AY16" i="53"/>
  <c r="A285" i="8" l="1"/>
  <c r="A284" i="8"/>
  <c r="A283" i="8"/>
  <c r="O27" i="50"/>
  <c r="F14" i="50"/>
  <c r="F94" i="50" s="1"/>
  <c r="GQ9" i="52"/>
  <c r="C193" i="8"/>
  <c r="N139" i="6"/>
  <c r="L139" i="6"/>
  <c r="G193" i="8" s="1"/>
  <c r="I139" i="6"/>
  <c r="H139" i="6" s="1"/>
  <c r="D193" i="8" s="1"/>
  <c r="AT9" i="52"/>
  <c r="A294" i="8"/>
  <c r="F298" i="8"/>
  <c r="C294" i="8"/>
  <c r="H298" i="8" s="1"/>
  <c r="L173" i="6"/>
  <c r="I173" i="6"/>
  <c r="N173" i="6"/>
  <c r="L9" i="52"/>
  <c r="H173" i="6" l="1"/>
  <c r="D294" i="8" s="1"/>
  <c r="A298" i="8"/>
  <c r="I359" i="6"/>
  <c r="H359" i="6" s="1"/>
  <c r="D1149" i="8" s="1"/>
  <c r="L359" i="6"/>
  <c r="I360" i="6"/>
  <c r="H360" i="6" s="1"/>
  <c r="D1150" i="8" s="1"/>
  <c r="L360" i="6"/>
  <c r="I361" i="6"/>
  <c r="H361" i="6" s="1"/>
  <c r="L361" i="6"/>
  <c r="H1158" i="8"/>
  <c r="E1153" i="8"/>
  <c r="E1156" i="8" s="1"/>
  <c r="A1149" i="8" s="1"/>
  <c r="C1150" i="8"/>
  <c r="C1149" i="8"/>
  <c r="H1156" i="8" s="1"/>
  <c r="E1152" i="8"/>
  <c r="J215" i="10"/>
  <c r="J216" i="10"/>
  <c r="J214" i="10"/>
  <c r="H907" i="8"/>
  <c r="H868" i="8"/>
  <c r="H887" i="8"/>
  <c r="H848" i="8"/>
  <c r="C878" i="8"/>
  <c r="C877" i="8"/>
  <c r="H886" i="8" s="1"/>
  <c r="C839" i="8"/>
  <c r="C838" i="8"/>
  <c r="H847" i="8" s="1"/>
  <c r="E787" i="8"/>
  <c r="F787" i="8" s="1"/>
  <c r="C792" i="8"/>
  <c r="H798" i="8" s="1"/>
  <c r="C791" i="8"/>
  <c r="H797" i="8" s="1"/>
  <c r="C782" i="8"/>
  <c r="H788" i="8" s="1"/>
  <c r="C781" i="8"/>
  <c r="H787" i="8" s="1"/>
  <c r="C714" i="8"/>
  <c r="H720" i="8" s="1"/>
  <c r="C713" i="8"/>
  <c r="H719" i="8" s="1"/>
  <c r="C668" i="8"/>
  <c r="H674" i="8" s="1"/>
  <c r="C667" i="8"/>
  <c r="H673" i="8" s="1"/>
  <c r="C633" i="8"/>
  <c r="H639" i="8" s="1"/>
  <c r="C632" i="8"/>
  <c r="H638" i="8" s="1"/>
  <c r="C604" i="8"/>
  <c r="H610" i="8" s="1"/>
  <c r="C603" i="8"/>
  <c r="H609" i="8" s="1"/>
  <c r="A565" i="8"/>
  <c r="A570" i="8" s="1"/>
  <c r="C556" i="8"/>
  <c r="H562" i="8" s="1"/>
  <c r="C555" i="8"/>
  <c r="H561" i="8" s="1"/>
  <c r="C566" i="8"/>
  <c r="H572" i="8" s="1"/>
  <c r="C565" i="8"/>
  <c r="H571" i="8" s="1"/>
  <c r="C470" i="8"/>
  <c r="H480" i="8" s="1"/>
  <c r="C469" i="8"/>
  <c r="H479" i="8" s="1"/>
  <c r="C460" i="8"/>
  <c r="H466" i="8" s="1"/>
  <c r="C459" i="8"/>
  <c r="H465" i="8" s="1"/>
  <c r="C210" i="8"/>
  <c r="L155" i="6"/>
  <c r="I155" i="6"/>
  <c r="H155" i="6" s="1"/>
  <c r="D210" i="8" s="1"/>
  <c r="B25" i="6"/>
  <c r="B26" i="6"/>
  <c r="B28" i="6"/>
  <c r="C105" i="8"/>
  <c r="C96" i="8"/>
  <c r="C95" i="8"/>
  <c r="C93" i="8"/>
  <c r="C92" i="8"/>
  <c r="L304" i="6"/>
  <c r="I304" i="6"/>
  <c r="L303" i="6"/>
  <c r="I303" i="6"/>
  <c r="L294" i="6"/>
  <c r="I294" i="6"/>
  <c r="L293" i="6"/>
  <c r="I293" i="6"/>
  <c r="L280" i="6"/>
  <c r="I280" i="6"/>
  <c r="L279" i="6"/>
  <c r="I279" i="6"/>
  <c r="L261" i="6"/>
  <c r="I261" i="6"/>
  <c r="L260" i="6"/>
  <c r="I260" i="6"/>
  <c r="L249" i="6"/>
  <c r="I249" i="6"/>
  <c r="L248" i="6"/>
  <c r="I248" i="6"/>
  <c r="L239" i="6"/>
  <c r="I239" i="6"/>
  <c r="L238" i="6"/>
  <c r="I238" i="6"/>
  <c r="L232" i="6"/>
  <c r="I232" i="6"/>
  <c r="L231" i="6"/>
  <c r="I231" i="6"/>
  <c r="L222" i="6"/>
  <c r="I222" i="6"/>
  <c r="L221" i="6"/>
  <c r="I221" i="6"/>
  <c r="L205" i="6"/>
  <c r="I205" i="6"/>
  <c r="L204" i="6"/>
  <c r="I204" i="6"/>
  <c r="L277" i="6"/>
  <c r="I277" i="6"/>
  <c r="L276" i="6"/>
  <c r="I276" i="6"/>
  <c r="L219" i="6"/>
  <c r="I219" i="6"/>
  <c r="L218" i="6"/>
  <c r="I218" i="6"/>
  <c r="L202" i="6"/>
  <c r="I202" i="6"/>
  <c r="L201" i="6"/>
  <c r="I201" i="6"/>
  <c r="I76" i="6"/>
  <c r="H76" i="6" s="1"/>
  <c r="D105" i="8" s="1"/>
  <c r="I68" i="6"/>
  <c r="I67" i="6"/>
  <c r="I65" i="6"/>
  <c r="I64" i="6"/>
  <c r="L68" i="6"/>
  <c r="L67" i="6"/>
  <c r="L64" i="6"/>
  <c r="L65" i="6"/>
  <c r="L76" i="6"/>
  <c r="H201" i="6" l="1"/>
  <c r="D459" i="8" s="1"/>
  <c r="H204" i="6"/>
  <c r="D469" i="8" s="1"/>
  <c r="H238" i="6"/>
  <c r="D632" i="8" s="1"/>
  <c r="H279" i="6"/>
  <c r="D791" i="8" s="1"/>
  <c r="H277" i="6"/>
  <c r="D782" i="8" s="1"/>
  <c r="H202" i="6"/>
  <c r="D460" i="8" s="1"/>
  <c r="H205" i="6"/>
  <c r="D470" i="8" s="1"/>
  <c r="H239" i="6"/>
  <c r="D633" i="8" s="1"/>
  <c r="H280" i="6"/>
  <c r="D792" i="8" s="1"/>
  <c r="H68" i="6"/>
  <c r="D96" i="8" s="1"/>
  <c r="H304" i="6"/>
  <c r="D878" i="8" s="1"/>
  <c r="H218" i="6"/>
  <c r="D555" i="8" s="1"/>
  <c r="H221" i="6"/>
  <c r="D565" i="8" s="1"/>
  <c r="H248" i="6"/>
  <c r="D667" i="8" s="1"/>
  <c r="H293" i="6"/>
  <c r="D838" i="8" s="1"/>
  <c r="H261" i="6"/>
  <c r="D714" i="8" s="1"/>
  <c r="H219" i="6"/>
  <c r="D556" i="8" s="1"/>
  <c r="H222" i="6"/>
  <c r="D566" i="8" s="1"/>
  <c r="H249" i="6"/>
  <c r="D668" i="8" s="1"/>
  <c r="H294" i="6"/>
  <c r="D839" i="8" s="1"/>
  <c r="H232" i="6"/>
  <c r="D604" i="8" s="1"/>
  <c r="H64" i="6"/>
  <c r="D92" i="8" s="1"/>
  <c r="H65" i="6"/>
  <c r="D93" i="8" s="1"/>
  <c r="H276" i="6"/>
  <c r="D781" i="8" s="1"/>
  <c r="H231" i="6"/>
  <c r="D603" i="8" s="1"/>
  <c r="H260" i="6"/>
  <c r="D713" i="8" s="1"/>
  <c r="H303" i="6"/>
  <c r="D877" i="8" s="1"/>
  <c r="H67" i="6"/>
  <c r="D95" i="8" s="1"/>
  <c r="K94" i="8"/>
  <c r="E1158" i="8"/>
  <c r="N218" i="6"/>
  <c r="N64" i="6"/>
  <c r="N276" i="6"/>
  <c r="N201" i="6"/>
  <c r="A1151" i="8"/>
  <c r="A1152" i="8" s="1"/>
  <c r="A1156" i="8" s="1"/>
  <c r="A1153" i="8"/>
  <c r="F1156" i="8"/>
  <c r="E788" i="8"/>
  <c r="F788" i="8" s="1"/>
  <c r="A781" i="8"/>
  <c r="A786" i="8" s="1"/>
  <c r="A787" i="8" s="1"/>
  <c r="N594" i="10"/>
  <c r="I593" i="10"/>
  <c r="G593" i="10"/>
  <c r="I592" i="10"/>
  <c r="G592" i="10"/>
  <c r="F592" i="10" s="1"/>
  <c r="I591" i="10"/>
  <c r="G591" i="10"/>
  <c r="F591" i="10" s="1"/>
  <c r="K590" i="10"/>
  <c r="I590" i="10"/>
  <c r="G590" i="10"/>
  <c r="J589" i="10"/>
  <c r="I589" i="10"/>
  <c r="G589" i="10"/>
  <c r="J588" i="10"/>
  <c r="I588" i="10"/>
  <c r="G588" i="10"/>
  <c r="J587" i="10"/>
  <c r="I587" i="10"/>
  <c r="G587" i="10"/>
  <c r="L586" i="10"/>
  <c r="I586" i="10"/>
  <c r="E586" i="10"/>
  <c r="A586" i="10"/>
  <c r="A587" i="10" s="1"/>
  <c r="A588" i="10" s="1"/>
  <c r="A589" i="10" s="1"/>
  <c r="A590" i="10" s="1"/>
  <c r="A591" i="10" s="1"/>
  <c r="A592" i="10" s="1"/>
  <c r="A593" i="10" s="1"/>
  <c r="A594" i="10" s="1"/>
  <c r="A1056" i="8"/>
  <c r="A1076" i="8" s="1"/>
  <c r="A1058" i="8"/>
  <c r="A1078" i="8" s="1"/>
  <c r="A1060" i="8"/>
  <c r="A1080" i="8" s="1"/>
  <c r="F1082" i="8"/>
  <c r="F1084" i="8"/>
  <c r="F1086" i="8"/>
  <c r="A1054" i="8"/>
  <c r="A1074" i="8" s="1"/>
  <c r="A1052" i="8"/>
  <c r="A1053" i="8"/>
  <c r="A1073" i="8" s="1"/>
  <c r="A1057" i="8"/>
  <c r="A1077" i="8" s="1"/>
  <c r="A1059" i="8"/>
  <c r="A1079" i="8" s="1"/>
  <c r="A1061" i="8"/>
  <c r="A1081" i="8" s="1"/>
  <c r="A1063" i="8"/>
  <c r="A1083" i="8" s="1"/>
  <c r="A1065" i="8"/>
  <c r="A1085" i="8" s="1"/>
  <c r="A1051" i="8"/>
  <c r="A1071" i="8" s="1"/>
  <c r="D1084" i="8"/>
  <c r="F1085" i="8"/>
  <c r="D1086" i="8"/>
  <c r="D1088" i="8" s="1"/>
  <c r="F1083" i="8"/>
  <c r="D1082" i="8"/>
  <c r="D1080" i="8"/>
  <c r="D1078" i="8"/>
  <c r="D1072" i="8"/>
  <c r="D1074" i="8"/>
  <c r="D1076" i="8"/>
  <c r="F1081" i="8"/>
  <c r="C1052" i="8"/>
  <c r="H1072" i="8" s="1"/>
  <c r="C1053" i="8"/>
  <c r="H1073" i="8" s="1"/>
  <c r="C1054" i="8"/>
  <c r="H1074" i="8" s="1"/>
  <c r="C1055" i="8"/>
  <c r="H1075" i="8" s="1"/>
  <c r="C1056" i="8"/>
  <c r="H1076" i="8" s="1"/>
  <c r="C1057" i="8"/>
  <c r="H1077" i="8" s="1"/>
  <c r="C1058" i="8"/>
  <c r="H1078" i="8" s="1"/>
  <c r="C1059" i="8"/>
  <c r="H1079" i="8" s="1"/>
  <c r="C1060" i="8"/>
  <c r="H1080" i="8" s="1"/>
  <c r="C1061" i="8"/>
  <c r="H1081" i="8" s="1"/>
  <c r="C1062" i="8"/>
  <c r="H1082" i="8" s="1"/>
  <c r="C1063" i="8"/>
  <c r="H1083" i="8" s="1"/>
  <c r="C1064" i="8"/>
  <c r="H1084" i="8" s="1"/>
  <c r="C1065" i="8"/>
  <c r="H1085" i="8" s="1"/>
  <c r="C1066" i="8"/>
  <c r="H1086" i="8" s="1"/>
  <c r="J580" i="10"/>
  <c r="J581" i="10"/>
  <c r="I582" i="10"/>
  <c r="G582" i="10"/>
  <c r="F582" i="10" s="1"/>
  <c r="I583" i="10"/>
  <c r="G583" i="10"/>
  <c r="F583" i="10" s="1"/>
  <c r="I581" i="10"/>
  <c r="G581" i="10"/>
  <c r="F581" i="10" s="1"/>
  <c r="N584" i="10"/>
  <c r="I580" i="10"/>
  <c r="G580" i="10"/>
  <c r="F580" i="10" s="1"/>
  <c r="J579" i="10"/>
  <c r="I579" i="10"/>
  <c r="G579" i="10"/>
  <c r="J578" i="10"/>
  <c r="I578" i="10"/>
  <c r="G578" i="10"/>
  <c r="J577" i="10"/>
  <c r="I577" i="10"/>
  <c r="G577" i="10"/>
  <c r="J576" i="10"/>
  <c r="I576" i="10"/>
  <c r="G576" i="10"/>
  <c r="L575" i="10"/>
  <c r="I575" i="10"/>
  <c r="E575" i="10"/>
  <c r="A575" i="10"/>
  <c r="A576" i="10" s="1"/>
  <c r="A577" i="10" s="1"/>
  <c r="A578" i="10" s="1"/>
  <c r="A579" i="10" s="1"/>
  <c r="A580" i="10" s="1"/>
  <c r="A584" i="10" s="1"/>
  <c r="A585" i="10" s="1"/>
  <c r="J572" i="10"/>
  <c r="J570" i="10"/>
  <c r="J571" i="10"/>
  <c r="J569" i="10"/>
  <c r="J568" i="10"/>
  <c r="K591" i="10"/>
  <c r="K592" i="10"/>
  <c r="L592" i="10" s="1"/>
  <c r="L339" i="6"/>
  <c r="I339" i="6"/>
  <c r="L338" i="6"/>
  <c r="I338" i="6"/>
  <c r="L343" i="6"/>
  <c r="I343" i="6"/>
  <c r="L342" i="6"/>
  <c r="I342" i="6"/>
  <c r="L331" i="6"/>
  <c r="I331" i="6"/>
  <c r="L330" i="6"/>
  <c r="I330" i="6"/>
  <c r="H339" i="6" l="1"/>
  <c r="D1062" i="8" s="1"/>
  <c r="H338" i="6"/>
  <c r="D1061" i="8" s="1"/>
  <c r="H330" i="6"/>
  <c r="D1053" i="8" s="1"/>
  <c r="H331" i="6"/>
  <c r="D1054" i="8" s="1"/>
  <c r="H342" i="6"/>
  <c r="D1065" i="8" s="1"/>
  <c r="H343" i="6"/>
  <c r="D1066" i="8" s="1"/>
  <c r="K581" i="10"/>
  <c r="L581" i="10" s="1"/>
  <c r="K610" i="10"/>
  <c r="L610" i="10" s="1"/>
  <c r="K580" i="10"/>
  <c r="L580" i="10" s="1"/>
  <c r="K609" i="10"/>
  <c r="L609" i="10" s="1"/>
  <c r="K583" i="10"/>
  <c r="L583" i="10" s="1"/>
  <c r="K612" i="10"/>
  <c r="L612" i="10" s="1"/>
  <c r="K588" i="10"/>
  <c r="L588" i="10" s="1"/>
  <c r="K606" i="10"/>
  <c r="L606" i="10" s="1"/>
  <c r="K598" i="10"/>
  <c r="L598" i="10" s="1"/>
  <c r="K576" i="10"/>
  <c r="L576" i="10" s="1"/>
  <c r="K597" i="10"/>
  <c r="L597" i="10" s="1"/>
  <c r="K605" i="10"/>
  <c r="L605" i="10" s="1"/>
  <c r="A1154" i="8"/>
  <c r="A1155" i="8" s="1"/>
  <c r="A782" i="8"/>
  <c r="A788" i="8" s="1"/>
  <c r="A1055" i="8"/>
  <c r="A1075" i="8" s="1"/>
  <c r="A1066" i="8"/>
  <c r="A1086" i="8" s="1"/>
  <c r="A1064" i="8"/>
  <c r="A1084" i="8" s="1"/>
  <c r="A1062" i="8"/>
  <c r="A1082" i="8" s="1"/>
  <c r="K577" i="10"/>
  <c r="L577" i="10" s="1"/>
  <c r="L591" i="10"/>
  <c r="L590" i="10"/>
  <c r="A595" i="10"/>
  <c r="A1072" i="8"/>
  <c r="A582" i="10"/>
  <c r="A581" i="10"/>
  <c r="A583" i="10" s="1"/>
  <c r="E1002" i="8"/>
  <c r="E1001" i="8" s="1"/>
  <c r="E994" i="8"/>
  <c r="E347" i="8"/>
  <c r="M344" i="8"/>
  <c r="E344" i="8" s="1"/>
  <c r="F291" i="8"/>
  <c r="F290" i="8"/>
  <c r="F289" i="8"/>
  <c r="C285" i="8"/>
  <c r="H291" i="8" s="1"/>
  <c r="A291" i="8"/>
  <c r="C284" i="8"/>
  <c r="H290" i="8" s="1"/>
  <c r="A290" i="8"/>
  <c r="C283" i="8"/>
  <c r="H289" i="8" s="1"/>
  <c r="A289" i="8"/>
  <c r="L171" i="6"/>
  <c r="I171" i="6"/>
  <c r="L170" i="6"/>
  <c r="I170" i="6"/>
  <c r="L169" i="6"/>
  <c r="I169" i="6"/>
  <c r="J482" i="10"/>
  <c r="J481" i="10"/>
  <c r="J479" i="10"/>
  <c r="J478" i="10"/>
  <c r="K593" i="10"/>
  <c r="L593" i="10" s="1"/>
  <c r="K268" i="10"/>
  <c r="K587" i="10"/>
  <c r="L587" i="10" s="1"/>
  <c r="N55" i="6"/>
  <c r="N60" i="6"/>
  <c r="N361" i="6"/>
  <c r="N169" i="6"/>
  <c r="N170" i="6"/>
  <c r="N171" i="6"/>
  <c r="N35" i="6"/>
  <c r="N331" i="6"/>
  <c r="N330" i="6"/>
  <c r="K601" i="10"/>
  <c r="L601" i="10" s="1"/>
  <c r="K271" i="10"/>
  <c r="K272" i="10"/>
  <c r="J271" i="10"/>
  <c r="J272" i="10" s="1"/>
  <c r="I272" i="10"/>
  <c r="G272" i="10"/>
  <c r="I271" i="10"/>
  <c r="G271" i="10"/>
  <c r="I270" i="10"/>
  <c r="G270" i="10"/>
  <c r="I269" i="10"/>
  <c r="G269" i="10"/>
  <c r="N360" i="6"/>
  <c r="N359" i="6"/>
  <c r="E900" i="8"/>
  <c r="E1022" i="8"/>
  <c r="M1237" i="8"/>
  <c r="M1236" i="8"/>
  <c r="M1235" i="8"/>
  <c r="M1234" i="8"/>
  <c r="M1233" i="8"/>
  <c r="M1232" i="8"/>
  <c r="M1231" i="8"/>
  <c r="M1230" i="8"/>
  <c r="M1229" i="8"/>
  <c r="M1228" i="8"/>
  <c r="M1227" i="8"/>
  <c r="M1226" i="8"/>
  <c r="M1225" i="8"/>
  <c r="M1224" i="8"/>
  <c r="M1223" i="8"/>
  <c r="M1222" i="8"/>
  <c r="M1221" i="8"/>
  <c r="M1220" i="8"/>
  <c r="M1219" i="8"/>
  <c r="M1218" i="8"/>
  <c r="M1214" i="8"/>
  <c r="M1215" i="8"/>
  <c r="M1216" i="8"/>
  <c r="M1217" i="8"/>
  <c r="M1213" i="8"/>
  <c r="E1234" i="8"/>
  <c r="E1229" i="8"/>
  <c r="E1224" i="8"/>
  <c r="E1219" i="8"/>
  <c r="E1214" i="8"/>
  <c r="F1214" i="8"/>
  <c r="F1213" i="8"/>
  <c r="F1234" i="8"/>
  <c r="F1229" i="8"/>
  <c r="F1224" i="8"/>
  <c r="F1219" i="8"/>
  <c r="F1193" i="8"/>
  <c r="E1192" i="8"/>
  <c r="C1190" i="8"/>
  <c r="H1193" i="8" s="1"/>
  <c r="L365" i="6"/>
  <c r="I365" i="6"/>
  <c r="E993" i="8" l="1"/>
  <c r="E999" i="8" s="1"/>
  <c r="H170" i="6"/>
  <c r="D284" i="8" s="1"/>
  <c r="H171" i="6"/>
  <c r="D285" i="8" s="1"/>
  <c r="H365" i="6"/>
  <c r="D1190" i="8" s="1"/>
  <c r="H169" i="6"/>
  <c r="D283" i="8" s="1"/>
  <c r="K578" i="10"/>
  <c r="L578" i="10" s="1"/>
  <c r="K607" i="10"/>
  <c r="L607" i="10" s="1"/>
  <c r="K599" i="10"/>
  <c r="L599" i="10" s="1"/>
  <c r="K270" i="10"/>
  <c r="L270" i="10" s="1"/>
  <c r="K608" i="10"/>
  <c r="L608" i="10" s="1"/>
  <c r="K600" i="10"/>
  <c r="L600" i="10" s="1"/>
  <c r="K582" i="10"/>
  <c r="L582" i="10" s="1"/>
  <c r="K173" i="10"/>
  <c r="L173" i="10" s="1"/>
  <c r="K611" i="10"/>
  <c r="L611" i="10" s="1"/>
  <c r="K269" i="10"/>
  <c r="L269" i="10" s="1"/>
  <c r="K168" i="10"/>
  <c r="L168" i="10" s="1"/>
  <c r="N155" i="6"/>
  <c r="N76" i="6"/>
  <c r="A1069" i="8"/>
  <c r="A1070" i="8" s="1"/>
  <c r="E1213" i="8"/>
  <c r="A1213" i="8" s="1"/>
  <c r="A1214" i="8" s="1"/>
  <c r="A1215" i="8" s="1"/>
  <c r="A1216" i="8" s="1"/>
  <c r="A1217" i="8" s="1"/>
  <c r="K579" i="10"/>
  <c r="L579" i="10" s="1"/>
  <c r="K589" i="10"/>
  <c r="L589" i="10" s="1"/>
  <c r="L594" i="10" s="1"/>
  <c r="A1190" i="8"/>
  <c r="L271" i="10"/>
  <c r="L272" i="10"/>
  <c r="M1238" i="8"/>
  <c r="E1228" i="8"/>
  <c r="E1232" i="8" s="1"/>
  <c r="E1218" i="8"/>
  <c r="E1222" i="8" s="1"/>
  <c r="E1233" i="8"/>
  <c r="E1237" i="8" s="1"/>
  <c r="E1223" i="8"/>
  <c r="A1223" i="8" s="1"/>
  <c r="A1224" i="8" s="1"/>
  <c r="A1225" i="8" s="1"/>
  <c r="A1226" i="8" s="1"/>
  <c r="A1227" i="8" s="1"/>
  <c r="F1233" i="8"/>
  <c r="F1235" i="8" s="1"/>
  <c r="F1218" i="8"/>
  <c r="F1215" i="8"/>
  <c r="F1228" i="8"/>
  <c r="F1230" i="8" s="1"/>
  <c r="F1217" i="8"/>
  <c r="A1191" i="8" l="1"/>
  <c r="A1192" i="8" s="1"/>
  <c r="A1193" i="8" s="1"/>
  <c r="A1194" i="8"/>
  <c r="L602" i="10"/>
  <c r="O602" i="10" s="1"/>
  <c r="L613" i="10"/>
  <c r="O613" i="10" s="1"/>
  <c r="L584" i="10"/>
  <c r="O584" i="10" s="1"/>
  <c r="A1089" i="8"/>
  <c r="A1218" i="8"/>
  <c r="A1219" i="8" s="1"/>
  <c r="A1220" i="8" s="1"/>
  <c r="A1221" i="8" s="1"/>
  <c r="A1222" i="8" s="1"/>
  <c r="O594" i="10"/>
  <c r="E1235" i="8"/>
  <c r="A1233" i="8"/>
  <c r="A1234" i="8" s="1"/>
  <c r="A1235" i="8" s="1"/>
  <c r="A1236" i="8" s="1"/>
  <c r="E1225" i="8"/>
  <c r="E1227" i="8"/>
  <c r="E1217" i="8"/>
  <c r="E1230" i="8"/>
  <c r="A1228" i="8"/>
  <c r="A1229" i="8" s="1"/>
  <c r="A1230" i="8" s="1"/>
  <c r="A1231" i="8" s="1"/>
  <c r="A1232" i="8" s="1"/>
  <c r="E1220" i="8"/>
  <c r="E1215" i="8"/>
  <c r="F1223" i="8"/>
  <c r="F1227" i="8" s="1"/>
  <c r="F1232" i="8"/>
  <c r="F1222" i="8"/>
  <c r="F1237" i="8"/>
  <c r="F1220" i="8"/>
  <c r="K16" i="53" l="1"/>
  <c r="A1237" i="8"/>
  <c r="E1239" i="8"/>
  <c r="A1209" i="8" s="1"/>
  <c r="A1239" i="8" s="1"/>
  <c r="E1238" i="8"/>
  <c r="A1208" i="8" s="1"/>
  <c r="F1225" i="8"/>
  <c r="F1238" i="8" s="1"/>
  <c r="F1239" i="8"/>
  <c r="K17" i="53" l="1"/>
  <c r="K18" i="53"/>
  <c r="A1238" i="8"/>
  <c r="A1240" i="8"/>
  <c r="A1210" i="8"/>
  <c r="A1211" i="8" s="1"/>
  <c r="A1212" i="8" s="1"/>
  <c r="E567" i="10"/>
  <c r="N573" i="10"/>
  <c r="K572" i="10"/>
  <c r="I572" i="10"/>
  <c r="G572" i="10"/>
  <c r="F572" i="10" s="1"/>
  <c r="K571" i="10"/>
  <c r="I571" i="10"/>
  <c r="G571" i="10"/>
  <c r="K570" i="10"/>
  <c r="L570" i="10" s="1"/>
  <c r="I570" i="10"/>
  <c r="G570" i="10"/>
  <c r="K569" i="10"/>
  <c r="L569" i="10" s="1"/>
  <c r="I569" i="10"/>
  <c r="G569" i="10"/>
  <c r="I568" i="10"/>
  <c r="G568" i="10"/>
  <c r="L567" i="10"/>
  <c r="I567" i="10"/>
  <c r="A567" i="10"/>
  <c r="A568" i="10" s="1"/>
  <c r="A569" i="10" s="1"/>
  <c r="A570" i="10" s="1"/>
  <c r="A571" i="10" s="1"/>
  <c r="A572" i="10" s="1"/>
  <c r="C890" i="8"/>
  <c r="C891" i="8"/>
  <c r="H906" i="8" s="1"/>
  <c r="C892" i="8"/>
  <c r="C889" i="8"/>
  <c r="H902" i="8" s="1"/>
  <c r="C876" i="8"/>
  <c r="H884" i="8" s="1"/>
  <c r="C871" i="8"/>
  <c r="D870" i="8"/>
  <c r="L308" i="6"/>
  <c r="I308" i="6"/>
  <c r="L307" i="6"/>
  <c r="I307" i="6"/>
  <c r="H307" i="6" s="1"/>
  <c r="D891" i="8" s="1"/>
  <c r="N306" i="6"/>
  <c r="L306" i="6"/>
  <c r="I306" i="6"/>
  <c r="H306" i="6" s="1"/>
  <c r="D890" i="8" s="1"/>
  <c r="L305" i="6"/>
  <c r="I305" i="6"/>
  <c r="H305" i="6" s="1"/>
  <c r="D889" i="8" s="1"/>
  <c r="N302" i="6"/>
  <c r="L302" i="6"/>
  <c r="I302" i="6"/>
  <c r="H302" i="6" s="1"/>
  <c r="D876" i="8" s="1"/>
  <c r="N301" i="6"/>
  <c r="L301" i="6"/>
  <c r="I301" i="6"/>
  <c r="H301" i="6" s="1"/>
  <c r="D871" i="8" s="1"/>
  <c r="D899" i="8"/>
  <c r="E898" i="8"/>
  <c r="F898" i="8" s="1"/>
  <c r="D898" i="8"/>
  <c r="E897" i="8"/>
  <c r="F883" i="8"/>
  <c r="F881" i="8"/>
  <c r="E880" i="8"/>
  <c r="E873" i="8"/>
  <c r="I82" i="6"/>
  <c r="H82" i="6" s="1"/>
  <c r="C293" i="8"/>
  <c r="H297" i="8" s="1"/>
  <c r="F297" i="8"/>
  <c r="E296" i="8"/>
  <c r="A293" i="8"/>
  <c r="N172" i="6"/>
  <c r="L172" i="6"/>
  <c r="I172" i="6"/>
  <c r="H172" i="6" s="1"/>
  <c r="D293" i="8" s="1"/>
  <c r="I113" i="6"/>
  <c r="H113" i="6" s="1"/>
  <c r="I114" i="6"/>
  <c r="H114" i="6" s="1"/>
  <c r="C282" i="8"/>
  <c r="H288" i="8" s="1"/>
  <c r="F288" i="8"/>
  <c r="E287" i="8"/>
  <c r="A282" i="8"/>
  <c r="A288" i="8" s="1"/>
  <c r="A1205" i="8" l="1"/>
  <c r="H308" i="6"/>
  <c r="D892" i="8" s="1"/>
  <c r="A297" i="8"/>
  <c r="A295" i="8"/>
  <c r="A299" i="8" s="1"/>
  <c r="AH9" i="52"/>
  <c r="A573" i="10"/>
  <c r="A574" i="10" s="1"/>
  <c r="A286" i="8"/>
  <c r="A287" i="8" s="1"/>
  <c r="L572" i="10"/>
  <c r="L571" i="10"/>
  <c r="A292" i="8"/>
  <c r="N168" i="6"/>
  <c r="L168" i="6"/>
  <c r="I168" i="6"/>
  <c r="J565" i="10"/>
  <c r="J564" i="10"/>
  <c r="H168" i="6" l="1"/>
  <c r="D282" i="8" s="1"/>
  <c r="A296" i="8"/>
  <c r="E20" i="8"/>
  <c r="D1265" i="8" l="1"/>
  <c r="E1188" i="8"/>
  <c r="F1187" i="8"/>
  <c r="F1186" i="8"/>
  <c r="C1183" i="8"/>
  <c r="H1188" i="8" s="1"/>
  <c r="E1185" i="8"/>
  <c r="N566" i="10"/>
  <c r="K565" i="10"/>
  <c r="I565" i="10"/>
  <c r="G565" i="10"/>
  <c r="K564" i="10"/>
  <c r="I564" i="10"/>
  <c r="G564" i="10"/>
  <c r="K563" i="10"/>
  <c r="I563" i="10"/>
  <c r="G563" i="10"/>
  <c r="K562" i="10"/>
  <c r="I562" i="10"/>
  <c r="G562" i="10"/>
  <c r="K561" i="10"/>
  <c r="I561" i="10"/>
  <c r="G561" i="10"/>
  <c r="L560" i="10"/>
  <c r="I560" i="10"/>
  <c r="E560" i="10"/>
  <c r="A560" i="10"/>
  <c r="A561" i="10" s="1"/>
  <c r="L364" i="6"/>
  <c r="I364" i="6"/>
  <c r="E37" i="50"/>
  <c r="H364" i="6" l="1"/>
  <c r="D1183" i="8" s="1"/>
  <c r="P27" i="50"/>
  <c r="S133" i="50"/>
  <c r="P94" i="50"/>
  <c r="L561" i="10"/>
  <c r="FE9" i="52"/>
  <c r="EH9" i="52"/>
  <c r="CS9" i="52"/>
  <c r="CR9" i="52"/>
  <c r="CP9" i="52"/>
  <c r="EQ9" i="52" s="1"/>
  <c r="CO9" i="52"/>
  <c r="CN9" i="52"/>
  <c r="EJ9" i="52" s="1"/>
  <c r="CD9" i="52"/>
  <c r="CE9" i="52" s="1"/>
  <c r="BY9" i="52"/>
  <c r="BV9" i="52"/>
  <c r="BW9" i="52" s="1"/>
  <c r="BR9" i="52"/>
  <c r="BM9" i="52"/>
  <c r="BL9" i="52"/>
  <c r="BC9" i="52"/>
  <c r="BI9" i="52" s="1"/>
  <c r="BD9" i="52" s="1"/>
  <c r="BB9" i="52"/>
  <c r="BE9" i="52" s="1"/>
  <c r="BK9" i="52" s="1"/>
  <c r="AZ9" i="52"/>
  <c r="AY9" i="52"/>
  <c r="AX9" i="52"/>
  <c r="DT9" i="52"/>
  <c r="DS9" i="52"/>
  <c r="CG9" i="52"/>
  <c r="CH9" i="52" s="1"/>
  <c r="X9" i="52"/>
  <c r="S9" i="52"/>
  <c r="Q9" i="52"/>
  <c r="P9" i="52"/>
  <c r="CQ9" i="52" l="1"/>
  <c r="CB9" i="52"/>
  <c r="A1183" i="8"/>
  <c r="A1184" i="8" s="1"/>
  <c r="A1185" i="8" s="1"/>
  <c r="F1188" i="8"/>
  <c r="L562" i="10"/>
  <c r="AU9" i="52"/>
  <c r="GR9" i="52" s="1"/>
  <c r="EN9" i="52"/>
  <c r="CV17" i="52"/>
  <c r="BT9" i="52"/>
  <c r="BJ9" i="52"/>
  <c r="BN9" i="52" s="1"/>
  <c r="BP9" i="52" s="1"/>
  <c r="BH9" i="52"/>
  <c r="BO9" i="52" s="1"/>
  <c r="BZ9" i="52"/>
  <c r="CW17" i="52"/>
  <c r="EU9" i="52"/>
  <c r="CA9" i="52"/>
  <c r="CU17" i="52"/>
  <c r="CT17" i="52" l="1"/>
  <c r="BP10" i="53"/>
  <c r="A1188" i="8"/>
  <c r="A1189" i="8"/>
  <c r="A1186" i="8"/>
  <c r="A1187" i="8" s="1"/>
  <c r="A562" i="10"/>
  <c r="A563" i="10" s="1"/>
  <c r="A564" i="10" s="1"/>
  <c r="A565" i="10" s="1"/>
  <c r="A566" i="10" s="1"/>
  <c r="BQ9" i="52"/>
  <c r="BS9" i="52" s="1"/>
  <c r="BU9" i="52" s="1"/>
  <c r="AJ9" i="52"/>
  <c r="CC9" i="52"/>
  <c r="CF9" i="52" s="1"/>
  <c r="CI9" i="52" s="1"/>
  <c r="CJ9" i="52" s="1"/>
  <c r="AI9" i="52" s="1"/>
  <c r="C30" i="7"/>
  <c r="C55" i="7" s="1"/>
  <c r="D22" i="48"/>
  <c r="I22" i="48"/>
  <c r="J1273" i="8"/>
  <c r="C1269" i="8"/>
  <c r="H1277" i="8" s="1"/>
  <c r="C1268" i="8"/>
  <c r="H1274" i="8" s="1"/>
  <c r="E1275" i="8"/>
  <c r="E1274" i="8"/>
  <c r="E1271" i="8"/>
  <c r="AK9" i="52" l="1"/>
  <c r="AL9" i="52" s="1"/>
  <c r="J1276" i="8"/>
  <c r="E1277" i="8"/>
  <c r="A1269" i="8" s="1"/>
  <c r="A1270" i="8" s="1"/>
  <c r="F1274" i="8"/>
  <c r="A1268" i="8"/>
  <c r="F1277" i="8" l="1"/>
  <c r="A1271" i="8"/>
  <c r="A1272" i="8" s="1"/>
  <c r="A1273" i="8" s="1"/>
  <c r="A1274" i="8" s="1"/>
  <c r="A1275" i="8" s="1"/>
  <c r="A1276" i="8" s="1"/>
  <c r="A1277" i="8" s="1"/>
  <c r="A1265" i="8" l="1"/>
  <c r="A1266" i="8" s="1"/>
  <c r="A1267" i="8" s="1"/>
  <c r="L563" i="10" l="1"/>
  <c r="N383" i="6"/>
  <c r="L383" i="6"/>
  <c r="I383" i="6"/>
  <c r="D1269" i="8" s="1"/>
  <c r="N382" i="6"/>
  <c r="L382" i="6"/>
  <c r="I382" i="6"/>
  <c r="D1268" i="8" s="1"/>
  <c r="Q381" i="6"/>
  <c r="R381" i="6" s="1"/>
  <c r="P381" i="6"/>
  <c r="E1171" i="8"/>
  <c r="F1171" i="8" s="1"/>
  <c r="E1170" i="8"/>
  <c r="E1169" i="8"/>
  <c r="F1169" i="8" s="1"/>
  <c r="C1161" i="8"/>
  <c r="H1178" i="8" s="1"/>
  <c r="C1162" i="8"/>
  <c r="H1181" i="8" s="1"/>
  <c r="D1160" i="8"/>
  <c r="C1160" i="8"/>
  <c r="H1175" i="8" s="1"/>
  <c r="E1176" i="8"/>
  <c r="E1167" i="8"/>
  <c r="N363" i="6"/>
  <c r="L363" i="6"/>
  <c r="I363" i="6"/>
  <c r="H363" i="6" s="1"/>
  <c r="D1162" i="8" s="1"/>
  <c r="L362" i="6"/>
  <c r="I362" i="6"/>
  <c r="H362" i="6" s="1"/>
  <c r="D1161" i="8" s="1"/>
  <c r="N166" i="6"/>
  <c r="N165" i="6"/>
  <c r="A270" i="8"/>
  <c r="A274" i="8" s="1"/>
  <c r="C271" i="8"/>
  <c r="H275" i="8" s="1"/>
  <c r="C270" i="8"/>
  <c r="H274" i="8" s="1"/>
  <c r="C254" i="8"/>
  <c r="H265" i="8" s="1"/>
  <c r="C255" i="8"/>
  <c r="H268" i="8" s="1"/>
  <c r="C253" i="8"/>
  <c r="H262" i="8" s="1"/>
  <c r="F275" i="8"/>
  <c r="F274" i="8"/>
  <c r="E273" i="8"/>
  <c r="A271" i="8"/>
  <c r="A275" i="8" s="1"/>
  <c r="E263" i="8"/>
  <c r="E260" i="8"/>
  <c r="F260" i="8" s="1"/>
  <c r="E259" i="8"/>
  <c r="C232" i="8"/>
  <c r="H243" i="8" s="1"/>
  <c r="C233" i="8"/>
  <c r="H246" i="8" s="1"/>
  <c r="C231" i="8"/>
  <c r="H240" i="8" s="1"/>
  <c r="E238" i="8"/>
  <c r="E240" i="8" s="1"/>
  <c r="E241" i="8"/>
  <c r="E237" i="8"/>
  <c r="L166" i="6"/>
  <c r="I166" i="6"/>
  <c r="H166" i="6" s="1"/>
  <c r="D271" i="8" s="1"/>
  <c r="L165" i="6"/>
  <c r="I165" i="6"/>
  <c r="H165" i="6" s="1"/>
  <c r="D270" i="8" s="1"/>
  <c r="N164" i="6"/>
  <c r="L164" i="6"/>
  <c r="I164" i="6"/>
  <c r="H164" i="6" s="1"/>
  <c r="D255" i="8" s="1"/>
  <c r="L163" i="6"/>
  <c r="I163" i="6"/>
  <c r="H163" i="6" s="1"/>
  <c r="D254" i="8" s="1"/>
  <c r="N162" i="6"/>
  <c r="L162" i="6"/>
  <c r="I162" i="6"/>
  <c r="H162" i="6" s="1"/>
  <c r="D253" i="8" s="1"/>
  <c r="N160" i="6"/>
  <c r="L160" i="6"/>
  <c r="I160" i="6"/>
  <c r="H160" i="6" s="1"/>
  <c r="D233" i="8" s="1"/>
  <c r="L159" i="6"/>
  <c r="I159" i="6"/>
  <c r="H159" i="6" s="1"/>
  <c r="D232" i="8" s="1"/>
  <c r="N158" i="6"/>
  <c r="L158" i="6"/>
  <c r="I158" i="6"/>
  <c r="H158" i="6" s="1"/>
  <c r="D231" i="8" s="1"/>
  <c r="L564" i="10" l="1"/>
  <c r="E1172" i="8"/>
  <c r="F1172" i="8" s="1"/>
  <c r="F238" i="8"/>
  <c r="F240" i="8"/>
  <c r="A231" i="8"/>
  <c r="E242" i="8"/>
  <c r="F242" i="8" s="1"/>
  <c r="E262" i="8"/>
  <c r="A272" i="8"/>
  <c r="E243" i="8" l="1"/>
  <c r="F243" i="8" s="1"/>
  <c r="A238" i="8"/>
  <c r="A234" i="8"/>
  <c r="A237" i="8" s="1"/>
  <c r="A276" i="8"/>
  <c r="A273" i="8"/>
  <c r="F262" i="8"/>
  <c r="A253" i="8"/>
  <c r="E264" i="8"/>
  <c r="A232" i="8" l="1"/>
  <c r="A241" i="8" s="1"/>
  <c r="A242" i="8" s="1"/>
  <c r="A243" i="8" s="1"/>
  <c r="A239" i="8"/>
  <c r="A240" i="8"/>
  <c r="E265" i="8"/>
  <c r="F264" i="8"/>
  <c r="A260" i="8"/>
  <c r="A256" i="8"/>
  <c r="A259" i="8" s="1"/>
  <c r="L565" i="10" l="1"/>
  <c r="A235" i="8"/>
  <c r="A262" i="8"/>
  <c r="A261" i="8"/>
  <c r="F265" i="8"/>
  <c r="A254" i="8"/>
  <c r="L566" i="10" l="1"/>
  <c r="O566" i="10" s="1"/>
  <c r="A257" i="8"/>
  <c r="A263" i="8"/>
  <c r="A264" i="8" s="1"/>
  <c r="A265" i="8" s="1"/>
  <c r="J22" i="8" l="1"/>
  <c r="J10" i="5"/>
  <c r="I10" i="5"/>
  <c r="J186" i="6" s="1"/>
  <c r="K10" i="5"/>
  <c r="J155" i="6"/>
  <c r="J214" i="6" l="1"/>
  <c r="E221" i="8"/>
  <c r="J76" i="6"/>
  <c r="E117" i="8"/>
  <c r="J308" i="6"/>
  <c r="E903" i="8"/>
  <c r="J306" i="6"/>
  <c r="I18" i="48"/>
  <c r="I19" i="48"/>
  <c r="I20" i="48"/>
  <c r="I21" i="48"/>
  <c r="J553" i="10"/>
  <c r="J543" i="10"/>
  <c r="J533" i="10"/>
  <c r="J188" i="10"/>
  <c r="I549" i="10"/>
  <c r="G549" i="10"/>
  <c r="I539" i="10"/>
  <c r="G539" i="10"/>
  <c r="I194" i="10"/>
  <c r="G194" i="10"/>
  <c r="K183" i="10"/>
  <c r="L183" i="10" s="1"/>
  <c r="I183" i="10"/>
  <c r="G183" i="10"/>
  <c r="N559" i="10"/>
  <c r="K558" i="10"/>
  <c r="L558" i="10" s="1"/>
  <c r="I558" i="10"/>
  <c r="G558" i="10"/>
  <c r="K557" i="10"/>
  <c r="L557" i="10" s="1"/>
  <c r="I557" i="10"/>
  <c r="G557" i="10"/>
  <c r="K556" i="10"/>
  <c r="J556" i="10"/>
  <c r="I556" i="10"/>
  <c r="G556" i="10"/>
  <c r="K555" i="10"/>
  <c r="L555" i="10" s="1"/>
  <c r="I555" i="10"/>
  <c r="G555" i="10"/>
  <c r="K554" i="10"/>
  <c r="L554" i="10" s="1"/>
  <c r="I554" i="10"/>
  <c r="G554" i="10"/>
  <c r="K553" i="10"/>
  <c r="I553" i="10"/>
  <c r="G553" i="10"/>
  <c r="J552" i="10"/>
  <c r="I552" i="10"/>
  <c r="G552" i="10"/>
  <c r="F552" i="10" s="1"/>
  <c r="L551" i="10"/>
  <c r="I551" i="10"/>
  <c r="E551" i="10"/>
  <c r="A551" i="10"/>
  <c r="A552" i="10" s="1"/>
  <c r="A553" i="10" s="1"/>
  <c r="A554" i="10" s="1"/>
  <c r="A555" i="10" s="1"/>
  <c r="A556" i="10" s="1"/>
  <c r="A557" i="10" s="1"/>
  <c r="A558" i="10" s="1"/>
  <c r="A559" i="10" s="1"/>
  <c r="N550" i="10"/>
  <c r="K548" i="10"/>
  <c r="L548" i="10" s="1"/>
  <c r="I548" i="10"/>
  <c r="G548" i="10"/>
  <c r="K547" i="10"/>
  <c r="L547" i="10" s="1"/>
  <c r="I547" i="10"/>
  <c r="G547" i="10"/>
  <c r="K546" i="10"/>
  <c r="J546" i="10"/>
  <c r="I546" i="10"/>
  <c r="G546" i="10"/>
  <c r="K545" i="10"/>
  <c r="L545" i="10" s="1"/>
  <c r="I545" i="10"/>
  <c r="G545" i="10"/>
  <c r="K544" i="10"/>
  <c r="L544" i="10" s="1"/>
  <c r="I544" i="10"/>
  <c r="G544" i="10"/>
  <c r="K543" i="10"/>
  <c r="I543" i="10"/>
  <c r="G543" i="10"/>
  <c r="J542" i="10"/>
  <c r="I542" i="10"/>
  <c r="G542" i="10"/>
  <c r="F542" i="10" s="1"/>
  <c r="L541" i="10"/>
  <c r="I541" i="10"/>
  <c r="E541" i="10"/>
  <c r="A541" i="10"/>
  <c r="A542" i="10" s="1"/>
  <c r="A543" i="10" s="1"/>
  <c r="A544" i="10" s="1"/>
  <c r="A545" i="10" s="1"/>
  <c r="A546" i="10" s="1"/>
  <c r="A547" i="10" s="1"/>
  <c r="A548" i="10" s="1"/>
  <c r="A550" i="10" s="1"/>
  <c r="N540" i="10"/>
  <c r="K538" i="10"/>
  <c r="L538" i="10" s="1"/>
  <c r="I538" i="10"/>
  <c r="G538" i="10"/>
  <c r="K537" i="10"/>
  <c r="L537" i="10" s="1"/>
  <c r="I537" i="10"/>
  <c r="G537" i="10"/>
  <c r="K536" i="10"/>
  <c r="L536" i="10" s="1"/>
  <c r="I536" i="10"/>
  <c r="G536" i="10"/>
  <c r="K535" i="10"/>
  <c r="L535" i="10" s="1"/>
  <c r="I535" i="10"/>
  <c r="G535" i="10"/>
  <c r="K534" i="10"/>
  <c r="L534" i="10" s="1"/>
  <c r="I534" i="10"/>
  <c r="G534" i="10"/>
  <c r="K533" i="10"/>
  <c r="L533" i="10" s="1"/>
  <c r="I533" i="10"/>
  <c r="G533" i="10"/>
  <c r="I532" i="10"/>
  <c r="G532" i="10"/>
  <c r="F532" i="10" s="1"/>
  <c r="L531" i="10"/>
  <c r="I531" i="10"/>
  <c r="E531" i="10"/>
  <c r="A531" i="10"/>
  <c r="A532" i="10" s="1"/>
  <c r="A533" i="10" s="1"/>
  <c r="A534" i="10" s="1"/>
  <c r="A535" i="10" s="1"/>
  <c r="A536" i="10" s="1"/>
  <c r="A537" i="10" s="1"/>
  <c r="A538" i="10" s="1"/>
  <c r="A540" i="10" s="1"/>
  <c r="J303" i="10"/>
  <c r="J294" i="10"/>
  <c r="J206" i="10"/>
  <c r="K174" i="10"/>
  <c r="I174" i="10"/>
  <c r="G174" i="10"/>
  <c r="G164" i="10"/>
  <c r="I164" i="10"/>
  <c r="G165" i="10"/>
  <c r="I165" i="10"/>
  <c r="G166" i="10"/>
  <c r="I166" i="10"/>
  <c r="G167" i="10"/>
  <c r="I167" i="10"/>
  <c r="L553" i="10" l="1"/>
  <c r="L556" i="10"/>
  <c r="A549" i="10"/>
  <c r="A539" i="10"/>
  <c r="L546" i="10"/>
  <c r="L543" i="10"/>
  <c r="L174" i="10"/>
  <c r="K194" i="10" l="1"/>
  <c r="L194" i="10" s="1"/>
  <c r="K549" i="10"/>
  <c r="L549" i="10" s="1"/>
  <c r="K539" i="10"/>
  <c r="L539" i="10" s="1"/>
  <c r="A1127" i="8"/>
  <c r="A1134" i="8"/>
  <c r="A1138" i="8" s="1"/>
  <c r="A1120" i="8"/>
  <c r="A1121" i="8"/>
  <c r="G1125" i="8"/>
  <c r="F1125" i="8"/>
  <c r="F1124" i="8"/>
  <c r="E1123" i="8"/>
  <c r="C1127" i="8"/>
  <c r="H1131" i="8" s="1"/>
  <c r="F353" i="6"/>
  <c r="G353" i="6"/>
  <c r="L354" i="6"/>
  <c r="I354" i="6"/>
  <c r="H354" i="6" s="1"/>
  <c r="D1127" i="8" s="1"/>
  <c r="A342" i="8" l="1"/>
  <c r="F344" i="8"/>
  <c r="F343" i="8"/>
  <c r="F342" i="8"/>
  <c r="A225" i="8"/>
  <c r="A229" i="8" s="1"/>
  <c r="A224" i="8"/>
  <c r="F228" i="8"/>
  <c r="C224" i="8"/>
  <c r="H228" i="8" s="1"/>
  <c r="L156" i="6"/>
  <c r="I156" i="6"/>
  <c r="H156" i="6" s="1"/>
  <c r="D224" i="8" s="1"/>
  <c r="C1134" i="8"/>
  <c r="H1137" i="8" s="1"/>
  <c r="F1137" i="8"/>
  <c r="E1136" i="8"/>
  <c r="A1135" i="8"/>
  <c r="A1136" i="8" s="1"/>
  <c r="A1137" i="8" s="1"/>
  <c r="N356" i="6"/>
  <c r="K568" i="10"/>
  <c r="L568" i="10" s="1"/>
  <c r="N354" i="6"/>
  <c r="N156" i="6"/>
  <c r="N305" i="6"/>
  <c r="L356" i="6"/>
  <c r="I356" i="6"/>
  <c r="H356" i="6" s="1"/>
  <c r="D1134" i="8" s="1"/>
  <c r="L341" i="6"/>
  <c r="I341" i="6"/>
  <c r="H341" i="6" s="1"/>
  <c r="L340" i="6"/>
  <c r="I340" i="6"/>
  <c r="H340" i="6" s="1"/>
  <c r="L337" i="6"/>
  <c r="I337" i="6"/>
  <c r="H337" i="6" s="1"/>
  <c r="C974" i="8"/>
  <c r="H977" i="8" s="1"/>
  <c r="C969" i="8"/>
  <c r="H972" i="8" s="1"/>
  <c r="C949" i="8"/>
  <c r="H967" i="8" s="1"/>
  <c r="C948" i="8"/>
  <c r="H957" i="8" s="1"/>
  <c r="E976" i="8"/>
  <c r="F972" i="8"/>
  <c r="E971" i="8"/>
  <c r="A969" i="8"/>
  <c r="A970" i="8" s="1"/>
  <c r="A971" i="8" s="1"/>
  <c r="A972" i="8" s="1"/>
  <c r="A973" i="8" s="1"/>
  <c r="F966" i="8"/>
  <c r="E963" i="8"/>
  <c r="F961" i="8"/>
  <c r="E959" i="8"/>
  <c r="E960" i="8" s="1"/>
  <c r="F958" i="8"/>
  <c r="F955" i="8"/>
  <c r="F954" i="8"/>
  <c r="E953" i="8"/>
  <c r="E952" i="8"/>
  <c r="E941" i="8"/>
  <c r="E933" i="8"/>
  <c r="F923" i="8"/>
  <c r="E922" i="8"/>
  <c r="F920" i="8"/>
  <c r="E919" i="8"/>
  <c r="F919" i="8" s="1"/>
  <c r="F917" i="8"/>
  <c r="E916" i="8"/>
  <c r="L320" i="6"/>
  <c r="I320" i="6"/>
  <c r="N319" i="6"/>
  <c r="L319" i="6"/>
  <c r="I319" i="6"/>
  <c r="H319" i="6" s="1"/>
  <c r="D969" i="8" s="1"/>
  <c r="L318" i="6"/>
  <c r="I318" i="6"/>
  <c r="L317" i="6"/>
  <c r="I317" i="6"/>
  <c r="E964" i="8" l="1"/>
  <c r="E967" i="8" s="1"/>
  <c r="E957" i="8" s="1"/>
  <c r="F953" i="8"/>
  <c r="H317" i="6"/>
  <c r="D948" i="8" s="1"/>
  <c r="H318" i="6"/>
  <c r="D949" i="8" s="1"/>
  <c r="H320" i="6"/>
  <c r="D974" i="8" s="1"/>
  <c r="L573" i="10"/>
  <c r="O573" i="10" s="1"/>
  <c r="K552" i="10"/>
  <c r="L552" i="10" s="1"/>
  <c r="L559" i="10" s="1"/>
  <c r="O559" i="10" s="1"/>
  <c r="K542" i="10"/>
  <c r="L542" i="10" s="1"/>
  <c r="L550" i="10" s="1"/>
  <c r="O550" i="10" s="1"/>
  <c r="K532" i="10"/>
  <c r="L532" i="10" s="1"/>
  <c r="L540" i="10" s="1"/>
  <c r="O540" i="10" s="1"/>
  <c r="N362" i="6"/>
  <c r="N163" i="6"/>
  <c r="N159" i="6"/>
  <c r="A226" i="8"/>
  <c r="A230" i="8" s="1"/>
  <c r="D1063" i="8"/>
  <c r="D1060" i="8"/>
  <c r="D1064" i="8"/>
  <c r="A344" i="8"/>
  <c r="A343" i="8"/>
  <c r="A228" i="8"/>
  <c r="F963" i="8"/>
  <c r="F960" i="8"/>
  <c r="E924" i="8"/>
  <c r="F924" i="8" s="1"/>
  <c r="F922" i="8"/>
  <c r="A227" i="8" l="1"/>
  <c r="F977" i="8"/>
  <c r="A974" i="8"/>
  <c r="A975" i="8" s="1"/>
  <c r="A976" i="8" s="1"/>
  <c r="E925" i="8"/>
  <c r="E934" i="8"/>
  <c r="F934" i="8" s="1"/>
  <c r="A914" i="8"/>
  <c r="A977" i="8" l="1"/>
  <c r="A978" i="8" s="1"/>
  <c r="F964" i="8"/>
  <c r="F967" i="8"/>
  <c r="A949" i="8"/>
  <c r="A951" i="8" s="1"/>
  <c r="A953" i="8" s="1"/>
  <c r="A955" i="8" s="1"/>
  <c r="F925" i="8"/>
  <c r="A913" i="8"/>
  <c r="E937" i="8"/>
  <c r="F937" i="8" s="1"/>
  <c r="A958" i="8" l="1"/>
  <c r="A960" i="8" s="1"/>
  <c r="A962" i="8" s="1"/>
  <c r="A964" i="8" s="1"/>
  <c r="A966" i="8" s="1"/>
  <c r="A968" i="8" s="1"/>
  <c r="A957" i="8"/>
  <c r="A959" i="8" s="1"/>
  <c r="A961" i="8" s="1"/>
  <c r="A963" i="8" s="1"/>
  <c r="A965" i="8" s="1"/>
  <c r="A967" i="8" s="1"/>
  <c r="F957" i="8"/>
  <c r="A948" i="8"/>
  <c r="A950" i="8" s="1"/>
  <c r="A952" i="8" s="1"/>
  <c r="A954" i="8" s="1"/>
  <c r="A956" i="8" s="1"/>
  <c r="C277" i="8" l="1"/>
  <c r="H280" i="8" s="1"/>
  <c r="C248" i="8"/>
  <c r="H251" i="8" s="1"/>
  <c r="C225" i="8"/>
  <c r="H229" i="8" s="1"/>
  <c r="C209" i="8"/>
  <c r="H215" i="8" s="1"/>
  <c r="C208" i="8"/>
  <c r="H214" i="8" s="1"/>
  <c r="C207" i="8"/>
  <c r="H213" i="8" s="1"/>
  <c r="C206" i="8"/>
  <c r="H220" i="8" s="1"/>
  <c r="C205" i="8"/>
  <c r="L75" i="6"/>
  <c r="I75" i="6"/>
  <c r="H75" i="6" s="1"/>
  <c r="L167" i="6"/>
  <c r="L161" i="6"/>
  <c r="L157" i="6"/>
  <c r="L154" i="6"/>
  <c r="L153" i="6"/>
  <c r="L152" i="6"/>
  <c r="L151" i="6"/>
  <c r="L150" i="6"/>
  <c r="L138" i="6"/>
  <c r="G192" i="8" s="1"/>
  <c r="L137" i="6"/>
  <c r="G191" i="8" s="1"/>
  <c r="L136" i="6"/>
  <c r="G190" i="8" s="1"/>
  <c r="L135" i="6"/>
  <c r="G189" i="8" s="1"/>
  <c r="L134" i="6"/>
  <c r="G188" i="8" s="1"/>
  <c r="L133" i="6"/>
  <c r="G187" i="8" s="1"/>
  <c r="L132" i="6"/>
  <c r="G186" i="8" s="1"/>
  <c r="L131" i="6"/>
  <c r="G185" i="8" s="1"/>
  <c r="L130" i="6"/>
  <c r="G184" i="8" s="1"/>
  <c r="L129" i="6"/>
  <c r="G183" i="8" s="1"/>
  <c r="L128" i="6"/>
  <c r="G182" i="8" s="1"/>
  <c r="L127" i="6"/>
  <c r="G181" i="8" s="1"/>
  <c r="L126" i="6"/>
  <c r="G180" i="8" s="1"/>
  <c r="L125" i="6"/>
  <c r="G179" i="8" s="1"/>
  <c r="L124" i="6"/>
  <c r="G178" i="8" s="1"/>
  <c r="L123" i="6"/>
  <c r="G177" i="8" s="1"/>
  <c r="L122" i="6"/>
  <c r="G176" i="8" s="1"/>
  <c r="L121" i="6"/>
  <c r="G175" i="8" s="1"/>
  <c r="L120" i="6"/>
  <c r="G174" i="8" s="1"/>
  <c r="L119" i="6"/>
  <c r="G173" i="8" s="1"/>
  <c r="L118" i="6"/>
  <c r="G172" i="8" s="1"/>
  <c r="L117" i="6"/>
  <c r="G171" i="8" s="1"/>
  <c r="L116" i="6"/>
  <c r="G170" i="8" s="1"/>
  <c r="L115" i="6"/>
  <c r="G169" i="8" s="1"/>
  <c r="L114" i="6"/>
  <c r="G168" i="8" s="1"/>
  <c r="L113" i="6"/>
  <c r="G167" i="8" s="1"/>
  <c r="L112" i="6"/>
  <c r="G166" i="8" s="1"/>
  <c r="L111" i="6"/>
  <c r="G165" i="8" s="1"/>
  <c r="L110" i="6"/>
  <c r="G164" i="8" s="1"/>
  <c r="L109" i="6"/>
  <c r="G163" i="8" s="1"/>
  <c r="L108" i="6"/>
  <c r="G162" i="8" s="1"/>
  <c r="L107" i="6"/>
  <c r="G161" i="8" s="1"/>
  <c r="L106" i="6"/>
  <c r="G160" i="8" s="1"/>
  <c r="L105" i="6"/>
  <c r="G159" i="8" s="1"/>
  <c r="L104" i="6"/>
  <c r="G158" i="8" s="1"/>
  <c r="L103" i="6"/>
  <c r="G157" i="8" s="1"/>
  <c r="L102" i="6"/>
  <c r="G156" i="8" s="1"/>
  <c r="L101" i="6"/>
  <c r="G155" i="8" s="1"/>
  <c r="L100" i="6"/>
  <c r="G154" i="8" s="1"/>
  <c r="L99" i="6"/>
  <c r="G153" i="8" s="1"/>
  <c r="L98" i="6"/>
  <c r="G152" i="8" s="1"/>
  <c r="L97" i="6"/>
  <c r="G151" i="8" s="1"/>
  <c r="L96" i="6"/>
  <c r="G150" i="8" s="1"/>
  <c r="L95" i="6"/>
  <c r="G149" i="8" s="1"/>
  <c r="L94" i="6"/>
  <c r="G148" i="8" s="1"/>
  <c r="L93" i="6"/>
  <c r="G147" i="8" s="1"/>
  <c r="L92" i="6"/>
  <c r="G146" i="8" s="1"/>
  <c r="L91" i="6"/>
  <c r="G145" i="8" s="1"/>
  <c r="L90" i="6"/>
  <c r="G144" i="8" s="1"/>
  <c r="L89" i="6"/>
  <c r="G143" i="8" s="1"/>
  <c r="L88" i="6"/>
  <c r="G142" i="8" s="1"/>
  <c r="L87" i="6"/>
  <c r="G141" i="8" s="1"/>
  <c r="L86" i="6"/>
  <c r="G140" i="8" s="1"/>
  <c r="L85" i="6"/>
  <c r="G139" i="8" s="1"/>
  <c r="L84" i="6"/>
  <c r="G138" i="8" s="1"/>
  <c r="L83" i="6"/>
  <c r="G137" i="8" s="1"/>
  <c r="L82" i="6"/>
  <c r="G136" i="8" s="1"/>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D167" i="8"/>
  <c r="C168" i="8"/>
  <c r="D168" i="8"/>
  <c r="C169" i="8"/>
  <c r="C170" i="8"/>
  <c r="C171" i="8"/>
  <c r="C172" i="8"/>
  <c r="C173" i="8"/>
  <c r="C174" i="8"/>
  <c r="C175" i="8"/>
  <c r="C176" i="8"/>
  <c r="C177" i="8"/>
  <c r="C178" i="8"/>
  <c r="C179" i="8"/>
  <c r="C180" i="8"/>
  <c r="C181" i="8"/>
  <c r="C182" i="8"/>
  <c r="C183" i="8"/>
  <c r="C184" i="8"/>
  <c r="C185" i="8"/>
  <c r="C186" i="8"/>
  <c r="C187" i="8"/>
  <c r="C188" i="8"/>
  <c r="C189" i="8"/>
  <c r="C190" i="8"/>
  <c r="C191" i="8"/>
  <c r="C192" i="8"/>
  <c r="D136" i="8"/>
  <c r="C136" i="8"/>
  <c r="F280" i="8"/>
  <c r="E279" i="8"/>
  <c r="A277" i="8"/>
  <c r="F251" i="8"/>
  <c r="E250" i="8"/>
  <c r="A248" i="8"/>
  <c r="A249" i="8" s="1"/>
  <c r="A250" i="8" s="1"/>
  <c r="A251" i="8" s="1"/>
  <c r="F229" i="8"/>
  <c r="E227" i="8"/>
  <c r="A252" i="8"/>
  <c r="E219" i="8"/>
  <c r="E216" i="8"/>
  <c r="E222" i="8" s="1"/>
  <c r="A210" i="8" s="1"/>
  <c r="A221" i="8" s="1"/>
  <c r="F215" i="8"/>
  <c r="F214" i="8"/>
  <c r="F213" i="8"/>
  <c r="E212" i="8"/>
  <c r="A209" i="8"/>
  <c r="A215" i="8" s="1"/>
  <c r="A208" i="8"/>
  <c r="A214" i="8" s="1"/>
  <c r="A207" i="8"/>
  <c r="A213" i="8" s="1"/>
  <c r="D133" i="8"/>
  <c r="D47" i="8"/>
  <c r="N152" i="6"/>
  <c r="I152" i="6"/>
  <c r="H152" i="6" s="1"/>
  <c r="D207" i="8" s="1"/>
  <c r="D213" i="8" s="1"/>
  <c r="I151" i="6"/>
  <c r="H151" i="6" s="1"/>
  <c r="D206" i="8" s="1"/>
  <c r="N150" i="6"/>
  <c r="I150" i="6"/>
  <c r="H150" i="6" s="1"/>
  <c r="D205" i="8" s="1"/>
  <c r="N138" i="6"/>
  <c r="I138" i="6"/>
  <c r="H138" i="6" s="1"/>
  <c r="D192" i="8" s="1"/>
  <c r="I137" i="6"/>
  <c r="I136" i="6"/>
  <c r="I135" i="6"/>
  <c r="N134" i="6"/>
  <c r="I134" i="6"/>
  <c r="H134" i="6" s="1"/>
  <c r="D188" i="8" s="1"/>
  <c r="N133" i="6"/>
  <c r="I133" i="6"/>
  <c r="H133" i="6" s="1"/>
  <c r="D187" i="8" s="1"/>
  <c r="N132" i="6"/>
  <c r="I132" i="6"/>
  <c r="H132" i="6" s="1"/>
  <c r="D186" i="8" s="1"/>
  <c r="N131" i="6"/>
  <c r="I131" i="6"/>
  <c r="H131" i="6" s="1"/>
  <c r="D185" i="8" s="1"/>
  <c r="N130" i="6"/>
  <c r="I130" i="6"/>
  <c r="H130" i="6" s="1"/>
  <c r="D184" i="8" s="1"/>
  <c r="N129" i="6"/>
  <c r="I129" i="6"/>
  <c r="H129" i="6" s="1"/>
  <c r="D183" i="8" s="1"/>
  <c r="N128" i="6"/>
  <c r="I128" i="6"/>
  <c r="H128" i="6" s="1"/>
  <c r="D182" i="8" s="1"/>
  <c r="N127" i="6"/>
  <c r="I127" i="6"/>
  <c r="H127" i="6" s="1"/>
  <c r="D181" i="8" s="1"/>
  <c r="N126" i="6"/>
  <c r="I126" i="6"/>
  <c r="H126" i="6" s="1"/>
  <c r="D180" i="8" s="1"/>
  <c r="N125" i="6"/>
  <c r="I125" i="6"/>
  <c r="H125" i="6" s="1"/>
  <c r="D179" i="8" s="1"/>
  <c r="N124" i="6"/>
  <c r="I124" i="6"/>
  <c r="H124" i="6" s="1"/>
  <c r="D178" i="8" s="1"/>
  <c r="N123" i="6"/>
  <c r="P123" i="6" s="1"/>
  <c r="I123" i="6"/>
  <c r="H123" i="6" s="1"/>
  <c r="D177" i="8" s="1"/>
  <c r="N122" i="6"/>
  <c r="I122" i="6"/>
  <c r="H122" i="6" s="1"/>
  <c r="D176" i="8" s="1"/>
  <c r="N121" i="6"/>
  <c r="I121" i="6"/>
  <c r="H121" i="6" s="1"/>
  <c r="D175" i="8" s="1"/>
  <c r="N120" i="6"/>
  <c r="I120" i="6"/>
  <c r="H120" i="6" s="1"/>
  <c r="D174" i="8" s="1"/>
  <c r="N119" i="6"/>
  <c r="I119" i="6"/>
  <c r="H119" i="6" s="1"/>
  <c r="D173" i="8" s="1"/>
  <c r="I167" i="6"/>
  <c r="I161" i="6"/>
  <c r="I157" i="6"/>
  <c r="H157" i="6" s="1"/>
  <c r="D225" i="8" s="1"/>
  <c r="N154" i="6"/>
  <c r="I154" i="6"/>
  <c r="H154" i="6" s="1"/>
  <c r="D209" i="8" s="1"/>
  <c r="D215" i="8" s="1"/>
  <c r="I153" i="6"/>
  <c r="N118" i="6"/>
  <c r="I118" i="6"/>
  <c r="H118" i="6" s="1"/>
  <c r="D172" i="8" s="1"/>
  <c r="N117" i="6"/>
  <c r="I117" i="6"/>
  <c r="H117" i="6" s="1"/>
  <c r="D171" i="8" s="1"/>
  <c r="N116" i="6"/>
  <c r="I116" i="6"/>
  <c r="H116" i="6" s="1"/>
  <c r="D170" i="8" s="1"/>
  <c r="N115" i="6"/>
  <c r="I115" i="6"/>
  <c r="H115" i="6" s="1"/>
  <c r="D169" i="8" s="1"/>
  <c r="N112" i="6"/>
  <c r="I112" i="6"/>
  <c r="H112" i="6" s="1"/>
  <c r="D166" i="8" s="1"/>
  <c r="N111" i="6"/>
  <c r="I111" i="6"/>
  <c r="H111" i="6" s="1"/>
  <c r="D165" i="8" s="1"/>
  <c r="N110" i="6"/>
  <c r="I110" i="6"/>
  <c r="H110" i="6" s="1"/>
  <c r="D164" i="8" s="1"/>
  <c r="N109" i="6"/>
  <c r="I109" i="6"/>
  <c r="H109" i="6" s="1"/>
  <c r="D163" i="8" s="1"/>
  <c r="N108" i="6"/>
  <c r="I108" i="6"/>
  <c r="H108" i="6" s="1"/>
  <c r="D162" i="8" s="1"/>
  <c r="N107" i="6"/>
  <c r="I107" i="6"/>
  <c r="H107" i="6" s="1"/>
  <c r="D161" i="8" s="1"/>
  <c r="N106" i="6"/>
  <c r="I106" i="6"/>
  <c r="H106" i="6" s="1"/>
  <c r="D160" i="8" s="1"/>
  <c r="N105" i="6"/>
  <c r="I105" i="6"/>
  <c r="H105" i="6" s="1"/>
  <c r="D159" i="8" s="1"/>
  <c r="N104" i="6"/>
  <c r="I104" i="6"/>
  <c r="H104" i="6" s="1"/>
  <c r="D158" i="8" s="1"/>
  <c r="N103" i="6"/>
  <c r="I103" i="6"/>
  <c r="H103" i="6" s="1"/>
  <c r="D157" i="8" s="1"/>
  <c r="N102" i="6"/>
  <c r="I102" i="6"/>
  <c r="H102" i="6" s="1"/>
  <c r="D156" i="8" s="1"/>
  <c r="N101" i="6"/>
  <c r="I101" i="6"/>
  <c r="H101" i="6" s="1"/>
  <c r="D155" i="8" s="1"/>
  <c r="N100" i="6"/>
  <c r="I100" i="6"/>
  <c r="H100" i="6" s="1"/>
  <c r="D154" i="8" s="1"/>
  <c r="N99" i="6"/>
  <c r="I99" i="6"/>
  <c r="H99" i="6" s="1"/>
  <c r="D153" i="8" s="1"/>
  <c r="N98" i="6"/>
  <c r="I98" i="6"/>
  <c r="H98" i="6" s="1"/>
  <c r="D152" i="8" s="1"/>
  <c r="N97" i="6"/>
  <c r="I97" i="6"/>
  <c r="H97" i="6" s="1"/>
  <c r="D151" i="8" s="1"/>
  <c r="N96" i="6"/>
  <c r="P96" i="6" s="1"/>
  <c r="I96" i="6"/>
  <c r="H96" i="6" s="1"/>
  <c r="D150" i="8" s="1"/>
  <c r="N95" i="6"/>
  <c r="I95" i="6"/>
  <c r="H95" i="6" s="1"/>
  <c r="D149" i="8" s="1"/>
  <c r="N94" i="6"/>
  <c r="I94" i="6"/>
  <c r="H94" i="6" s="1"/>
  <c r="D148" i="8" s="1"/>
  <c r="N93" i="6"/>
  <c r="I93" i="6"/>
  <c r="H93" i="6" s="1"/>
  <c r="D147" i="8" s="1"/>
  <c r="N92" i="6"/>
  <c r="I92" i="6"/>
  <c r="H92" i="6" s="1"/>
  <c r="D146" i="8" s="1"/>
  <c r="N91" i="6"/>
  <c r="I91" i="6"/>
  <c r="H91" i="6" s="1"/>
  <c r="D145" i="8" s="1"/>
  <c r="N90" i="6"/>
  <c r="I90" i="6"/>
  <c r="H90" i="6" s="1"/>
  <c r="D144" i="8" s="1"/>
  <c r="N89" i="6"/>
  <c r="I89" i="6"/>
  <c r="H89" i="6" s="1"/>
  <c r="D143" i="8" s="1"/>
  <c r="N88" i="6"/>
  <c r="I88" i="6"/>
  <c r="H88" i="6" s="1"/>
  <c r="D142" i="8" s="1"/>
  <c r="N87" i="6"/>
  <c r="I87" i="6"/>
  <c r="H87" i="6" s="1"/>
  <c r="D141" i="8" s="1"/>
  <c r="I86" i="6"/>
  <c r="H86" i="6" s="1"/>
  <c r="D140" i="8" s="1"/>
  <c r="N85" i="6"/>
  <c r="I85" i="6"/>
  <c r="H85" i="6" s="1"/>
  <c r="D139" i="8" s="1"/>
  <c r="N84" i="6"/>
  <c r="I84" i="6"/>
  <c r="H84" i="6" s="1"/>
  <c r="D138" i="8" s="1"/>
  <c r="I83" i="6"/>
  <c r="H83" i="6" s="1"/>
  <c r="D137" i="8" s="1"/>
  <c r="N82" i="6"/>
  <c r="GF31" i="52"/>
  <c r="GG31" i="52" s="1"/>
  <c r="GB31" i="52"/>
  <c r="GC31" i="52" s="1"/>
  <c r="GF30" i="52"/>
  <c r="GF26" i="52" s="1"/>
  <c r="GB30" i="52"/>
  <c r="GB26" i="52" s="1"/>
  <c r="FZ27" i="52"/>
  <c r="FY28" i="52"/>
  <c r="FY27" i="52" s="1"/>
  <c r="FX28" i="52"/>
  <c r="FX27" i="52" s="1"/>
  <c r="FW28" i="52"/>
  <c r="FW27" i="52" s="1"/>
  <c r="FV28" i="52"/>
  <c r="FV27" i="52" s="1"/>
  <c r="FU28" i="52"/>
  <c r="FU27" i="52" s="1"/>
  <c r="GE27" i="52"/>
  <c r="GA27" i="52"/>
  <c r="FT27" i="52"/>
  <c r="FS27" i="52"/>
  <c r="FR27" i="52"/>
  <c r="FQ27" i="52"/>
  <c r="FP27" i="52"/>
  <c r="FO27" i="52"/>
  <c r="FN27" i="52"/>
  <c r="FM27" i="52"/>
  <c r="FL27" i="52"/>
  <c r="FK27" i="52"/>
  <c r="FJ27" i="52"/>
  <c r="FI27" i="52"/>
  <c r="FH27" i="52"/>
  <c r="GE26" i="52"/>
  <c r="GA26" i="52"/>
  <c r="FZ26" i="52"/>
  <c r="FY26" i="52"/>
  <c r="FX26" i="52"/>
  <c r="FW26" i="52"/>
  <c r="FV26" i="52"/>
  <c r="FU26" i="52"/>
  <c r="FT26" i="52"/>
  <c r="FS26" i="52"/>
  <c r="FR26" i="52"/>
  <c r="FQ26" i="52"/>
  <c r="FP26" i="52"/>
  <c r="FO26" i="52"/>
  <c r="FN26" i="52"/>
  <c r="FM26" i="52"/>
  <c r="FL26" i="52"/>
  <c r="FK26" i="52"/>
  <c r="FJ26" i="52"/>
  <c r="FI26" i="52"/>
  <c r="FH26" i="52"/>
  <c r="FK25" i="52"/>
  <c r="FK7" i="52" s="1"/>
  <c r="FJ25" i="52"/>
  <c r="FJ7" i="52" s="1"/>
  <c r="GE24" i="52"/>
  <c r="EW24" i="52" s="1"/>
  <c r="GA24" i="52"/>
  <c r="ES24" i="52" s="1"/>
  <c r="FF24" i="52"/>
  <c r="FF25" i="52" s="1"/>
  <c r="FF26" i="52" s="1"/>
  <c r="FF27" i="52" s="1"/>
  <c r="FF28" i="52" s="1"/>
  <c r="FF29" i="52" s="1"/>
  <c r="FI23" i="52"/>
  <c r="DL21" i="52"/>
  <c r="DK21" i="52"/>
  <c r="DJ21" i="52"/>
  <c r="DI21" i="52"/>
  <c r="DH21" i="52"/>
  <c r="DG21" i="52"/>
  <c r="DF21" i="52"/>
  <c r="DE21" i="52"/>
  <c r="DD21" i="52"/>
  <c r="CW21" i="52"/>
  <c r="CV21" i="52"/>
  <c r="CU21" i="52"/>
  <c r="CT21" i="52"/>
  <c r="DK20" i="52"/>
  <c r="DJ20" i="52"/>
  <c r="DI20" i="52"/>
  <c r="DH20" i="52"/>
  <c r="DG20" i="52"/>
  <c r="DF20" i="52"/>
  <c r="DE20" i="52"/>
  <c r="DD20" i="52"/>
  <c r="CW20" i="52"/>
  <c r="CV20" i="52"/>
  <c r="CU20" i="52"/>
  <c r="CT20" i="52"/>
  <c r="CN19" i="52"/>
  <c r="CO19" i="52" s="1"/>
  <c r="CP19" i="52" s="1"/>
  <c r="CQ19" i="52" s="1"/>
  <c r="CR19" i="52" s="1"/>
  <c r="CS19" i="52" s="1"/>
  <c r="CT19" i="52" s="1"/>
  <c r="CU19" i="52" s="1"/>
  <c r="CV19" i="52" s="1"/>
  <c r="CW19" i="52" s="1"/>
  <c r="CX19" i="52" s="1"/>
  <c r="CY19" i="52" s="1"/>
  <c r="CZ19" i="52" s="1"/>
  <c r="DA19" i="52" s="1"/>
  <c r="DB19" i="52" s="1"/>
  <c r="DC19" i="52" s="1"/>
  <c r="DD19" i="52" s="1"/>
  <c r="DE19" i="52" s="1"/>
  <c r="DF19" i="52" s="1"/>
  <c r="DG19" i="52" s="1"/>
  <c r="DH19" i="52" s="1"/>
  <c r="DI19" i="52" s="1"/>
  <c r="DJ19" i="52" s="1"/>
  <c r="DK19" i="52" s="1"/>
  <c r="DL19" i="52" s="1"/>
  <c r="DM19" i="52" s="1"/>
  <c r="EJ18" i="52"/>
  <c r="EK18" i="52" s="1"/>
  <c r="EL18" i="52" s="1"/>
  <c r="EM18" i="52" s="1"/>
  <c r="EN18" i="52" s="1"/>
  <c r="EO18" i="52" s="1"/>
  <c r="EP18" i="52" s="1"/>
  <c r="EQ18" i="52" s="1"/>
  <c r="ER18" i="52" s="1"/>
  <c r="ES18" i="52" s="1"/>
  <c r="ET18" i="52" s="1"/>
  <c r="EU18" i="52" s="1"/>
  <c r="EV18" i="52" s="1"/>
  <c r="EW18" i="52" s="1"/>
  <c r="EX18" i="52" s="1"/>
  <c r="EY18" i="52" s="1"/>
  <c r="EZ18" i="52" s="1"/>
  <c r="FA18" i="52" s="1"/>
  <c r="FB18" i="52" s="1"/>
  <c r="FC18" i="52" s="1"/>
  <c r="FD18" i="52" s="1"/>
  <c r="FE18" i="52" s="1"/>
  <c r="FF18" i="52" s="1"/>
  <c r="FG18" i="52" s="1"/>
  <c r="FH18" i="52" s="1"/>
  <c r="CN8" i="52"/>
  <c r="EJ8" i="52" s="1"/>
  <c r="GH7" i="52"/>
  <c r="GG7" i="52"/>
  <c r="GF7" i="52"/>
  <c r="GE7" i="52"/>
  <c r="GD7" i="52"/>
  <c r="GC7" i="52"/>
  <c r="GB7" i="52"/>
  <c r="GA7" i="52"/>
  <c r="FI7" i="52"/>
  <c r="FH7" i="52"/>
  <c r="CS7" i="52"/>
  <c r="EQ6" i="52"/>
  <c r="EJ6" i="52"/>
  <c r="DK6" i="52"/>
  <c r="DJ6" i="52"/>
  <c r="DI6" i="52"/>
  <c r="DL6" i="52" s="1"/>
  <c r="DH6" i="52"/>
  <c r="DG6" i="52"/>
  <c r="DF6" i="52"/>
  <c r="DE6" i="52"/>
  <c r="DD6" i="52"/>
  <c r="CZ6" i="52"/>
  <c r="CY6" i="52"/>
  <c r="CX6" i="52"/>
  <c r="CS5" i="52"/>
  <c r="FI9" i="52" l="1"/>
  <c r="GL9" i="52" s="1"/>
  <c r="FI12" i="52"/>
  <c r="GL12" i="52" s="1"/>
  <c r="DN19" i="52"/>
  <c r="DO19" i="52" s="1"/>
  <c r="K195" i="8"/>
  <c r="FZ29" i="52"/>
  <c r="FI14" i="52"/>
  <c r="GL14" i="52" s="1"/>
  <c r="FI11" i="52"/>
  <c r="GL11" i="52" s="1"/>
  <c r="FI15" i="52"/>
  <c r="GL15" i="52" s="1"/>
  <c r="FI10" i="52"/>
  <c r="GL10" i="52" s="1"/>
  <c r="FI13" i="52"/>
  <c r="GL13" i="52" s="1"/>
  <c r="DE17" i="52"/>
  <c r="DI17" i="52"/>
  <c r="H153" i="6"/>
  <c r="D208" i="8" s="1"/>
  <c r="D214" i="8" s="1"/>
  <c r="H135" i="6"/>
  <c r="D189" i="8" s="1"/>
  <c r="H136" i="6"/>
  <c r="D190" i="8" s="1"/>
  <c r="H161" i="6"/>
  <c r="D248" i="8" s="1"/>
  <c r="H137" i="6"/>
  <c r="D191" i="8" s="1"/>
  <c r="H167" i="6"/>
  <c r="D277" i="8" s="1"/>
  <c r="FV25" i="52"/>
  <c r="FU25" i="52"/>
  <c r="FX25" i="52"/>
  <c r="FW25" i="52"/>
  <c r="FY25" i="52"/>
  <c r="FZ25" i="52"/>
  <c r="FS25" i="52"/>
  <c r="FR25" i="52"/>
  <c r="FT25" i="52"/>
  <c r="FR29" i="52"/>
  <c r="GF27" i="52"/>
  <c r="GF29" i="52" s="1"/>
  <c r="FX29" i="52"/>
  <c r="E218" i="8"/>
  <c r="E220" i="8" s="1"/>
  <c r="F222" i="8"/>
  <c r="H218" i="8"/>
  <c r="H222" i="8"/>
  <c r="FY29" i="52"/>
  <c r="FS29" i="52"/>
  <c r="FH29" i="52"/>
  <c r="GB27" i="52"/>
  <c r="GB29" i="52" s="1"/>
  <c r="FU29" i="52"/>
  <c r="FI29" i="52"/>
  <c r="FJ29" i="52"/>
  <c r="FT29" i="52"/>
  <c r="FK29" i="52"/>
  <c r="FL29" i="52"/>
  <c r="FN29" i="52"/>
  <c r="FO29" i="52"/>
  <c r="FJ23" i="52"/>
  <c r="FJ12" i="52" s="1"/>
  <c r="GM12" i="52" s="1"/>
  <c r="FV29" i="52"/>
  <c r="A278" i="8"/>
  <c r="A279" i="8" s="1"/>
  <c r="A280" i="8" s="1"/>
  <c r="A281" i="8"/>
  <c r="E143" i="8"/>
  <c r="F143" i="8" s="1"/>
  <c r="FN25" i="52"/>
  <c r="FN7" i="52" s="1"/>
  <c r="FP29" i="52"/>
  <c r="GE29" i="52"/>
  <c r="FM29" i="52"/>
  <c r="FQ29" i="52"/>
  <c r="DA6" i="52"/>
  <c r="GA29" i="52"/>
  <c r="FI18" i="52"/>
  <c r="L170" i="8"/>
  <c r="L171" i="8" s="1"/>
  <c r="L172" i="8" s="1"/>
  <c r="L173" i="8" s="1"/>
  <c r="L174" i="8" s="1"/>
  <c r="L175" i="8" s="1"/>
  <c r="L176" i="8" s="1"/>
  <c r="L177" i="8" s="1"/>
  <c r="L178" i="8" s="1"/>
  <c r="L179" i="8" s="1"/>
  <c r="L180" i="8" s="1"/>
  <c r="L181" i="8" s="1"/>
  <c r="L182" i="8" s="1"/>
  <c r="L183" i="8" s="1"/>
  <c r="L184" i="8" s="1"/>
  <c r="L185" i="8" s="1"/>
  <c r="L186" i="8" s="1"/>
  <c r="L187" i="8" s="1"/>
  <c r="L188" i="8" s="1"/>
  <c r="GD31" i="52"/>
  <c r="GD27" i="52" s="1"/>
  <c r="GC27" i="52"/>
  <c r="GH31" i="52"/>
  <c r="GG27" i="52"/>
  <c r="CZ21" i="52"/>
  <c r="FW29" i="52"/>
  <c r="GC30" i="52"/>
  <c r="GD30" i="52" s="1"/>
  <c r="GD26" i="52" s="1"/>
  <c r="GG30" i="52"/>
  <c r="DC6" i="52"/>
  <c r="A216" i="8"/>
  <c r="F216" i="8"/>
  <c r="FM25" i="52"/>
  <c r="FM7" i="52" s="1"/>
  <c r="CY21" i="52"/>
  <c r="CY20" i="52"/>
  <c r="CZ20" i="52"/>
  <c r="FL25" i="52"/>
  <c r="FL7" i="52" s="1"/>
  <c r="CX21" i="52"/>
  <c r="CX20" i="52"/>
  <c r="DB6" i="52"/>
  <c r="CL18" i="52"/>
  <c r="CL19" i="52" s="1"/>
  <c r="K196" i="8" l="1"/>
  <c r="E195" i="8"/>
  <c r="DP19" i="52"/>
  <c r="DQ19" i="52" s="1"/>
  <c r="DR19" i="52" s="1"/>
  <c r="DS19" i="52" s="1"/>
  <c r="DT19" i="52" s="1"/>
  <c r="DU19" i="52" s="1"/>
  <c r="DV19" i="52" s="1"/>
  <c r="DW19" i="52" s="1"/>
  <c r="DX19" i="52" s="1"/>
  <c r="DY19" i="52" s="1"/>
  <c r="DZ19" i="52" s="1"/>
  <c r="EA19" i="52" s="1"/>
  <c r="EB19" i="52" s="1"/>
  <c r="EC19" i="52" s="1"/>
  <c r="ED19" i="52" s="1"/>
  <c r="EE19" i="52" s="1"/>
  <c r="EF19" i="52" s="1"/>
  <c r="DK17" i="52"/>
  <c r="E160" i="8" s="1"/>
  <c r="GH27" i="52"/>
  <c r="GI31" i="52"/>
  <c r="FY7" i="52"/>
  <c r="EQ25" i="52"/>
  <c r="FX7" i="52"/>
  <c r="EP25" i="52"/>
  <c r="FU7" i="52"/>
  <c r="EM25" i="52"/>
  <c r="FV7" i="52"/>
  <c r="EN25" i="52"/>
  <c r="FT7" i="52"/>
  <c r="EL25" i="52"/>
  <c r="FS7" i="52"/>
  <c r="EK25" i="52"/>
  <c r="DL17" i="52"/>
  <c r="E161" i="8" s="1"/>
  <c r="FW7" i="52"/>
  <c r="EO25" i="52"/>
  <c r="FR7" i="52"/>
  <c r="EJ25" i="52"/>
  <c r="DU12" i="52"/>
  <c r="DW12" i="52" s="1"/>
  <c r="FJ14" i="52"/>
  <c r="GM14" i="52" s="1"/>
  <c r="FJ10" i="52"/>
  <c r="GM10" i="52" s="1"/>
  <c r="FJ11" i="52"/>
  <c r="GM11" i="52" s="1"/>
  <c r="FJ15" i="52"/>
  <c r="GM15" i="52" s="1"/>
  <c r="FJ13" i="52"/>
  <c r="GM13" i="52" s="1"/>
  <c r="FZ7" i="52"/>
  <c r="ER25" i="52"/>
  <c r="DD17" i="52"/>
  <c r="E153" i="8" s="1"/>
  <c r="A153" i="8" s="1"/>
  <c r="EA12" i="52"/>
  <c r="EB12" i="52" s="1"/>
  <c r="DH17" i="52"/>
  <c r="E157" i="8" s="1"/>
  <c r="DJ17" i="52"/>
  <c r="E159" i="8" s="1"/>
  <c r="A159" i="8" s="1"/>
  <c r="DF17" i="52"/>
  <c r="E155" i="8" s="1"/>
  <c r="A155" i="8" s="1"/>
  <c r="CZ17" i="52"/>
  <c r="E149" i="8" s="1"/>
  <c r="CX17" i="52"/>
  <c r="E147" i="8" s="1"/>
  <c r="DG17" i="52"/>
  <c r="E156" i="8" s="1"/>
  <c r="F156" i="8" s="1"/>
  <c r="CY17" i="52"/>
  <c r="E148" i="8" s="1"/>
  <c r="A148" i="8" s="1"/>
  <c r="FJ18" i="52"/>
  <c r="E158" i="8"/>
  <c r="E154" i="8"/>
  <c r="A205" i="8"/>
  <c r="A222" i="8" s="1"/>
  <c r="F218" i="8"/>
  <c r="GC26" i="52"/>
  <c r="GC29" i="52" s="1"/>
  <c r="FJ9" i="52"/>
  <c r="GM9" i="52" s="1"/>
  <c r="FK23" i="52"/>
  <c r="FK12" i="52" s="1"/>
  <c r="GN12" i="52" s="1"/>
  <c r="GD29" i="52"/>
  <c r="DC21" i="52"/>
  <c r="DA20" i="52"/>
  <c r="DA21" i="52"/>
  <c r="FQ25" i="52"/>
  <c r="FQ7" i="52" s="1"/>
  <c r="E145" i="8"/>
  <c r="DC20" i="52"/>
  <c r="E146" i="8"/>
  <c r="F146" i="8" s="1"/>
  <c r="FO25" i="52"/>
  <c r="FO7" i="52" s="1"/>
  <c r="A143" i="8"/>
  <c r="GG26" i="52"/>
  <c r="GG29" i="52" s="1"/>
  <c r="GH30" i="52"/>
  <c r="F220" i="8"/>
  <c r="A206" i="8"/>
  <c r="A219" i="8" s="1"/>
  <c r="A220" i="8" s="1"/>
  <c r="E144" i="8"/>
  <c r="CL20" i="52"/>
  <c r="DB21" i="52"/>
  <c r="DB20" i="52"/>
  <c r="FP25" i="52"/>
  <c r="FP7" i="52" s="1"/>
  <c r="DV12" i="52" l="1"/>
  <c r="DY12" i="52" s="1"/>
  <c r="K197" i="8"/>
  <c r="E196" i="8"/>
  <c r="GI27" i="52"/>
  <c r="GJ31" i="52"/>
  <c r="GJ27" i="52" s="1"/>
  <c r="GH26" i="52"/>
  <c r="GH29" i="52" s="1"/>
  <c r="GI30" i="52"/>
  <c r="EA10" i="52"/>
  <c r="EB10" i="52" s="1"/>
  <c r="EA9" i="52"/>
  <c r="EB9" i="52" s="1"/>
  <c r="EA11" i="52"/>
  <c r="EB11" i="52" s="1"/>
  <c r="FK10" i="52"/>
  <c r="GN10" i="52" s="1"/>
  <c r="FK11" i="52"/>
  <c r="GN11" i="52" s="1"/>
  <c r="FK15" i="52"/>
  <c r="GN15" i="52" s="1"/>
  <c r="FK14" i="52"/>
  <c r="GN14" i="52" s="1"/>
  <c r="FK13" i="52"/>
  <c r="GN13" i="52" s="1"/>
  <c r="DU14" i="52"/>
  <c r="DW14" i="52" s="1"/>
  <c r="DV14" i="52" s="1"/>
  <c r="DY14" i="52" s="1"/>
  <c r="DZ14" i="52" s="1"/>
  <c r="DU13" i="52"/>
  <c r="DW13" i="52" s="1"/>
  <c r="DV13" i="52" s="1"/>
  <c r="DY13" i="52" s="1"/>
  <c r="DZ13" i="52" s="1"/>
  <c r="EA17" i="52"/>
  <c r="DU15" i="52"/>
  <c r="DV15" i="52" s="1"/>
  <c r="DY15" i="52" s="1"/>
  <c r="DZ15" i="52" s="1"/>
  <c r="DU10" i="52"/>
  <c r="DW10" i="52" s="1"/>
  <c r="DV10" i="52" s="1"/>
  <c r="DY10" i="52" s="1"/>
  <c r="DZ10" i="52" s="1"/>
  <c r="EA13" i="52"/>
  <c r="EB13" i="52" s="1"/>
  <c r="EA15" i="52"/>
  <c r="EB15" i="52" s="1"/>
  <c r="DU11" i="52"/>
  <c r="DW11" i="52" s="1"/>
  <c r="EA14" i="52"/>
  <c r="EB14" i="52" s="1"/>
  <c r="DU9" i="52"/>
  <c r="DB17" i="52"/>
  <c r="E151" i="8" s="1"/>
  <c r="DA17" i="52"/>
  <c r="E150" i="8" s="1"/>
  <c r="A150" i="8" s="1"/>
  <c r="DC17" i="52"/>
  <c r="E152" i="8" s="1"/>
  <c r="F152" i="8" s="1"/>
  <c r="FK18" i="52"/>
  <c r="EB17" i="52"/>
  <c r="F159" i="8"/>
  <c r="FK9" i="52"/>
  <c r="GN9" i="52" s="1"/>
  <c r="A217" i="8"/>
  <c r="A218" i="8" s="1"/>
  <c r="FL23" i="52"/>
  <c r="FL12" i="52" s="1"/>
  <c r="F148" i="8"/>
  <c r="F155" i="8"/>
  <c r="A146" i="8"/>
  <c r="A156" i="8"/>
  <c r="A149" i="8"/>
  <c r="F149" i="8"/>
  <c r="A158" i="8"/>
  <c r="F158" i="8"/>
  <c r="A154" i="8"/>
  <c r="F154" i="8"/>
  <c r="A161" i="8"/>
  <c r="F161" i="8"/>
  <c r="A147" i="8"/>
  <c r="F147" i="8"/>
  <c r="A145" i="8"/>
  <c r="F145" i="8"/>
  <c r="A157" i="8"/>
  <c r="F157" i="8"/>
  <c r="A160" i="8"/>
  <c r="F160" i="8"/>
  <c r="CL21" i="52"/>
  <c r="F153" i="8"/>
  <c r="F144" i="8"/>
  <c r="A144" i="8"/>
  <c r="A211" i="8"/>
  <c r="A223" i="8" s="1"/>
  <c r="E197" i="8" l="1"/>
  <c r="K198" i="8"/>
  <c r="GJ30" i="52"/>
  <c r="GJ26" i="52" s="1"/>
  <c r="GJ29" i="52" s="1"/>
  <c r="GI26" i="52"/>
  <c r="GI29" i="52" s="1"/>
  <c r="FL14" i="52"/>
  <c r="FL10" i="52"/>
  <c r="FL11" i="52"/>
  <c r="FL15" i="52"/>
  <c r="FL13" i="52"/>
  <c r="DU17" i="52"/>
  <c r="EC13" i="52"/>
  <c r="EE13" i="52" s="1"/>
  <c r="EF13" i="52" s="1"/>
  <c r="DV11" i="52"/>
  <c r="DY11" i="52" s="1"/>
  <c r="DZ11" i="52" s="1"/>
  <c r="EC11" i="52" s="1"/>
  <c r="EE11" i="52" s="1"/>
  <c r="EF11" i="52" s="1"/>
  <c r="DZ12" i="52"/>
  <c r="EC10" i="52"/>
  <c r="EE10" i="52" s="1"/>
  <c r="EF10" i="52" s="1"/>
  <c r="EC14" i="52"/>
  <c r="EE14" i="52" s="1"/>
  <c r="EF14" i="52" s="1"/>
  <c r="EC15" i="52"/>
  <c r="EE15" i="52" s="1"/>
  <c r="EF15" i="52" s="1"/>
  <c r="FL18" i="52"/>
  <c r="FL9" i="52"/>
  <c r="FM23" i="52"/>
  <c r="FM12" i="52" s="1"/>
  <c r="GO12" i="52" s="1"/>
  <c r="F150" i="8"/>
  <c r="A152" i="8"/>
  <c r="DW9" i="52"/>
  <c r="DW17" i="52" s="1"/>
  <c r="F151" i="8"/>
  <c r="A151" i="8"/>
  <c r="A212" i="8"/>
  <c r="E198" i="8" l="1"/>
  <c r="K199" i="8"/>
  <c r="FM14" i="52"/>
  <c r="GO14" i="52" s="1"/>
  <c r="FM10" i="52"/>
  <c r="GO10" i="52" s="1"/>
  <c r="FM11" i="52"/>
  <c r="GO11" i="52" s="1"/>
  <c r="FM15" i="52"/>
  <c r="GO15" i="52" s="1"/>
  <c r="FM13" i="52"/>
  <c r="GO13" i="52" s="1"/>
  <c r="EC12" i="52"/>
  <c r="FM18" i="52"/>
  <c r="BE10" i="53"/>
  <c r="FM9" i="52"/>
  <c r="GO9" i="52" s="1"/>
  <c r="DV9" i="52"/>
  <c r="DV17" i="52" s="1"/>
  <c r="FN23" i="52"/>
  <c r="FN12" i="52" s="1"/>
  <c r="GP12" i="52" s="1"/>
  <c r="E199" i="8" l="1"/>
  <c r="K200" i="8"/>
  <c r="FN14" i="52"/>
  <c r="GP14" i="52" s="1"/>
  <c r="FN10" i="52"/>
  <c r="GP10" i="52" s="1"/>
  <c r="FN11" i="52"/>
  <c r="GP11" i="52" s="1"/>
  <c r="FN15" i="52"/>
  <c r="GP15" i="52" s="1"/>
  <c r="FN13" i="52"/>
  <c r="GP13" i="52" s="1"/>
  <c r="EE12" i="52"/>
  <c r="FN18" i="52"/>
  <c r="FO18" i="52" s="1"/>
  <c r="FP18" i="52" s="1"/>
  <c r="FQ18" i="52" s="1"/>
  <c r="FR18" i="52" s="1"/>
  <c r="FS18" i="52" s="1"/>
  <c r="FT18" i="52" s="1"/>
  <c r="FU18" i="52" s="1"/>
  <c r="FV18" i="52" s="1"/>
  <c r="FW18" i="52" s="1"/>
  <c r="FX18" i="52" s="1"/>
  <c r="FY18" i="52" s="1"/>
  <c r="FZ18" i="52" s="1"/>
  <c r="GA18" i="52" s="1"/>
  <c r="BD10" i="53"/>
  <c r="DY9" i="52"/>
  <c r="FN9" i="52"/>
  <c r="GP9" i="52" s="1"/>
  <c r="FO23" i="52"/>
  <c r="FO12" i="52" s="1"/>
  <c r="DY17" i="52" l="1"/>
  <c r="DX17" i="52" s="1"/>
  <c r="DZ9" i="52"/>
  <c r="DZ17" i="52" s="1"/>
  <c r="E200" i="8"/>
  <c r="K201" i="8"/>
  <c r="E201" i="8" s="1"/>
  <c r="GP17" i="52"/>
  <c r="FO13" i="52"/>
  <c r="FO14" i="52"/>
  <c r="FO10" i="52"/>
  <c r="FO11" i="52"/>
  <c r="FO15" i="52"/>
  <c r="FN17" i="52"/>
  <c r="EF12" i="52"/>
  <c r="GB18" i="52"/>
  <c r="GC18" i="52" s="1"/>
  <c r="GD18" i="52" s="1"/>
  <c r="GE18" i="52" s="1"/>
  <c r="GF18" i="52" s="1"/>
  <c r="GG18" i="52" s="1"/>
  <c r="GH18" i="52" s="1"/>
  <c r="L162" i="8"/>
  <c r="L163" i="8" s="1"/>
  <c r="L164" i="8" s="1"/>
  <c r="L165" i="8" s="1"/>
  <c r="L166" i="8" s="1"/>
  <c r="L167" i="8" s="1"/>
  <c r="L168" i="8" s="1"/>
  <c r="L169" i="8" s="1"/>
  <c r="BH10" i="53"/>
  <c r="BG10" i="53"/>
  <c r="BM10" i="53"/>
  <c r="BK10" i="53"/>
  <c r="FP23" i="52"/>
  <c r="FP12" i="52" s="1"/>
  <c r="FO9" i="52"/>
  <c r="GI18" i="52" l="1"/>
  <c r="L203" i="8"/>
  <c r="FO17" i="52"/>
  <c r="E177" i="8" s="1"/>
  <c r="F177" i="8" s="1"/>
  <c r="FP14" i="52"/>
  <c r="FP10" i="52"/>
  <c r="FP11" i="52"/>
  <c r="FP15" i="52"/>
  <c r="FP13" i="52"/>
  <c r="EC9" i="52"/>
  <c r="EC17" i="52" s="1"/>
  <c r="FQ23" i="52"/>
  <c r="FQ12" i="52" s="1"/>
  <c r="FP9" i="52"/>
  <c r="GJ18" i="52" l="1"/>
  <c r="GK18" i="52" s="1"/>
  <c r="L202" i="8"/>
  <c r="FP17" i="52"/>
  <c r="FQ11" i="52"/>
  <c r="FQ14" i="52"/>
  <c r="FQ10" i="52"/>
  <c r="FQ15" i="52"/>
  <c r="FQ13" i="52"/>
  <c r="EE9" i="52"/>
  <c r="EE17" i="52" s="1"/>
  <c r="A177" i="8"/>
  <c r="FR23" i="52"/>
  <c r="FR12" i="52" s="1"/>
  <c r="FQ9" i="52"/>
  <c r="GL18" i="52" l="1"/>
  <c r="GM18" i="52" s="1"/>
  <c r="GN18" i="52" s="1"/>
  <c r="GO18" i="52" s="1"/>
  <c r="GP18" i="52" s="1"/>
  <c r="L189" i="8"/>
  <c r="L190" i="8" s="1"/>
  <c r="L191" i="8" s="1"/>
  <c r="L192" i="8" s="1"/>
  <c r="L193" i="8" s="1"/>
  <c r="L194" i="8" s="1"/>
  <c r="E194" i="8" s="1"/>
  <c r="FQ17" i="52"/>
  <c r="FR14" i="52"/>
  <c r="FR10" i="52"/>
  <c r="EJ23" i="52"/>
  <c r="FR11" i="52"/>
  <c r="FR15" i="52"/>
  <c r="FR13" i="52"/>
  <c r="EW12" i="52"/>
  <c r="EV12" i="52"/>
  <c r="EW13" i="52"/>
  <c r="EV13" i="52"/>
  <c r="EV15" i="52"/>
  <c r="EW15" i="52" s="1"/>
  <c r="EV14" i="52"/>
  <c r="EW14" i="52" s="1"/>
  <c r="FS23" i="52"/>
  <c r="FS12" i="52" s="1"/>
  <c r="FR9" i="52"/>
  <c r="EF9" i="52"/>
  <c r="EF17" i="52" s="1"/>
  <c r="F194" i="8" l="1"/>
  <c r="A194" i="8"/>
  <c r="A195" i="8"/>
  <c r="F195" i="8"/>
  <c r="FS11" i="52"/>
  <c r="FS15" i="52"/>
  <c r="FS14" i="52"/>
  <c r="EK23" i="52"/>
  <c r="FS10" i="52"/>
  <c r="FS13" i="52"/>
  <c r="FR17" i="52"/>
  <c r="FS9" i="52"/>
  <c r="FT23" i="52"/>
  <c r="FT12" i="52" s="1"/>
  <c r="F196" i="8" l="1"/>
  <c r="A196" i="8"/>
  <c r="FS17" i="52"/>
  <c r="FT11" i="52"/>
  <c r="FT15" i="52"/>
  <c r="FT13" i="52"/>
  <c r="FT10" i="52"/>
  <c r="FT14" i="52"/>
  <c r="EL23" i="52"/>
  <c r="FT9" i="52"/>
  <c r="FU23" i="52"/>
  <c r="FU12" i="52" s="1"/>
  <c r="F197" i="8" l="1"/>
  <c r="A197" i="8"/>
  <c r="FU11" i="52"/>
  <c r="FU15" i="52"/>
  <c r="FU14" i="52"/>
  <c r="EM23" i="52"/>
  <c r="FU10" i="52"/>
  <c r="FU13" i="52"/>
  <c r="FT17" i="52"/>
  <c r="E182" i="8" s="1"/>
  <c r="F182" i="8" s="1"/>
  <c r="FU9" i="52"/>
  <c r="FV23" i="52"/>
  <c r="FV12" i="52" s="1"/>
  <c r="F198" i="8" l="1"/>
  <c r="A198" i="8"/>
  <c r="FV10" i="52"/>
  <c r="FV11" i="52"/>
  <c r="FV13" i="52"/>
  <c r="FV15" i="52"/>
  <c r="FV14" i="52"/>
  <c r="EN23" i="52"/>
  <c r="FU17" i="52"/>
  <c r="A182" i="8"/>
  <c r="FW23" i="52"/>
  <c r="FW12" i="52" s="1"/>
  <c r="FV9" i="52"/>
  <c r="A199" i="8" l="1"/>
  <c r="F199" i="8"/>
  <c r="FV17" i="52"/>
  <c r="EO23" i="52"/>
  <c r="FW10" i="52"/>
  <c r="FW11" i="52"/>
  <c r="FW15" i="52"/>
  <c r="FW14" i="52"/>
  <c r="FW13" i="52"/>
  <c r="FX23" i="52"/>
  <c r="FX12" i="52" s="1"/>
  <c r="FW9" i="52"/>
  <c r="F201" i="8" l="1"/>
  <c r="F200" i="8"/>
  <c r="A200" i="8"/>
  <c r="FX14" i="52"/>
  <c r="EP23" i="52"/>
  <c r="FX10" i="52"/>
  <c r="FX11" i="52"/>
  <c r="FX15" i="52"/>
  <c r="FX13" i="52"/>
  <c r="FW17" i="52"/>
  <c r="E185" i="8" s="1"/>
  <c r="A185" i="8" s="1"/>
  <c r="FX9" i="52"/>
  <c r="FY23" i="52"/>
  <c r="FY12" i="52" s="1"/>
  <c r="A201" i="8" l="1"/>
  <c r="FY14" i="52"/>
  <c r="EQ23" i="52"/>
  <c r="FY10" i="52"/>
  <c r="FY11" i="52"/>
  <c r="FY15" i="52"/>
  <c r="FY13" i="52"/>
  <c r="F185" i="8"/>
  <c r="FX17" i="52"/>
  <c r="FY9" i="52"/>
  <c r="FZ23" i="52"/>
  <c r="FZ12" i="52" s="1"/>
  <c r="E186" i="8"/>
  <c r="FY17" i="52" l="1"/>
  <c r="E187" i="8" s="1"/>
  <c r="F187" i="8" s="1"/>
  <c r="FZ14" i="52"/>
  <c r="ER23" i="52"/>
  <c r="FZ10" i="52"/>
  <c r="FZ11" i="52"/>
  <c r="FZ15" i="52"/>
  <c r="FZ13" i="52"/>
  <c r="FZ9" i="52"/>
  <c r="GA23" i="52"/>
  <c r="GA12" i="52" s="1"/>
  <c r="A186" i="8"/>
  <c r="F186" i="8"/>
  <c r="ET9" i="52" l="1"/>
  <c r="EM9" i="52"/>
  <c r="A187" i="8"/>
  <c r="GA14" i="52"/>
  <c r="ES23" i="52"/>
  <c r="GA10" i="52"/>
  <c r="GA11" i="52"/>
  <c r="GA15" i="52"/>
  <c r="GA13" i="52"/>
  <c r="FZ17" i="52"/>
  <c r="E188" i="8" s="1"/>
  <c r="F188" i="8" s="1"/>
  <c r="EM12" i="52"/>
  <c r="ET12" i="52"/>
  <c r="EM13" i="52"/>
  <c r="EM10" i="52"/>
  <c r="ET10" i="52"/>
  <c r="ET11" i="52"/>
  <c r="ET13" i="52"/>
  <c r="EM11" i="52"/>
  <c r="EM15" i="52"/>
  <c r="EM14" i="52"/>
  <c r="ET15" i="52"/>
  <c r="ET14" i="52"/>
  <c r="GB23" i="52"/>
  <c r="GB12" i="52" s="1"/>
  <c r="GA9" i="52"/>
  <c r="E180" i="8"/>
  <c r="A188" i="8" l="1"/>
  <c r="GA17" i="52"/>
  <c r="GB14" i="52"/>
  <c r="ET23" i="52"/>
  <c r="GB10" i="52"/>
  <c r="GB11" i="52"/>
  <c r="GB15" i="52"/>
  <c r="GB13" i="52"/>
  <c r="EO13" i="52"/>
  <c r="EP13" i="52"/>
  <c r="GC23" i="52"/>
  <c r="GB9" i="52"/>
  <c r="A180" i="8"/>
  <c r="F180" i="8"/>
  <c r="E176" i="8"/>
  <c r="FC9" i="52" l="1"/>
  <c r="GC12" i="52"/>
  <c r="EP9" i="52"/>
  <c r="EO9" i="52"/>
  <c r="GC9" i="52"/>
  <c r="EW9" i="52"/>
  <c r="FC11" i="52"/>
  <c r="GD23" i="52"/>
  <c r="GD12" i="52" s="1"/>
  <c r="EW10" i="52"/>
  <c r="EV9" i="52"/>
  <c r="EV10" i="52"/>
  <c r="EW11" i="52"/>
  <c r="FC10" i="52"/>
  <c r="EV11" i="52"/>
  <c r="EO14" i="52"/>
  <c r="EP14" i="52" s="1"/>
  <c r="EY14" i="52" s="1"/>
  <c r="EX14" i="52" s="1"/>
  <c r="FC15" i="52"/>
  <c r="FC14" i="52"/>
  <c r="GC15" i="52"/>
  <c r="GC14" i="52"/>
  <c r="EU23" i="52"/>
  <c r="GC10" i="52"/>
  <c r="GC11" i="52"/>
  <c r="GC13" i="52"/>
  <c r="GB17" i="52"/>
  <c r="EO15" i="52"/>
  <c r="EP15" i="52" s="1"/>
  <c r="EY15" i="52" s="1"/>
  <c r="EX15" i="52" s="1"/>
  <c r="EY13" i="52"/>
  <c r="EX13" i="52" s="1"/>
  <c r="EP12" i="52"/>
  <c r="EO12" i="52"/>
  <c r="FC12" i="52"/>
  <c r="EO11" i="52"/>
  <c r="EP11" i="52"/>
  <c r="EP10" i="52"/>
  <c r="EO10" i="52"/>
  <c r="FC13" i="52"/>
  <c r="EY9" i="52"/>
  <c r="A176" i="8"/>
  <c r="F176" i="8"/>
  <c r="E181" i="8"/>
  <c r="GD9" i="52" l="1"/>
  <c r="FD14" i="52"/>
  <c r="FA14" i="52"/>
  <c r="FB14" i="52" s="1"/>
  <c r="GD10" i="52"/>
  <c r="GD13" i="52"/>
  <c r="EV23" i="52"/>
  <c r="GD15" i="52"/>
  <c r="GD14" i="52"/>
  <c r="GD11" i="52"/>
  <c r="GE23" i="52"/>
  <c r="GE12" i="52" s="1"/>
  <c r="GC17" i="52"/>
  <c r="EY11" i="52"/>
  <c r="EX11" i="52" s="1"/>
  <c r="EY10" i="52"/>
  <c r="EY12" i="52"/>
  <c r="EX12" i="52" s="1"/>
  <c r="FD13" i="52"/>
  <c r="FA13" i="52"/>
  <c r="FB13" i="52" s="1"/>
  <c r="FD15" i="52"/>
  <c r="FA15" i="52"/>
  <c r="FB15" i="52" s="1"/>
  <c r="FF14" i="52"/>
  <c r="FG14" i="52" s="1"/>
  <c r="EX9" i="52"/>
  <c r="FA9" i="52" s="1"/>
  <c r="F181" i="8"/>
  <c r="A181" i="8"/>
  <c r="E178" i="8"/>
  <c r="E183" i="8"/>
  <c r="GE10" i="52" l="1"/>
  <c r="GE9" i="52"/>
  <c r="GD17" i="52"/>
  <c r="EW23" i="52"/>
  <c r="GE13" i="52"/>
  <c r="GE14" i="52"/>
  <c r="GE15" i="52"/>
  <c r="GF23" i="52"/>
  <c r="GE11" i="52"/>
  <c r="EX10" i="52"/>
  <c r="EX17" i="52" s="1"/>
  <c r="EY17" i="52"/>
  <c r="FD12" i="52"/>
  <c r="FA12" i="52"/>
  <c r="FB12" i="52" s="1"/>
  <c r="FF13" i="52"/>
  <c r="FG13" i="52" s="1"/>
  <c r="FD11" i="52"/>
  <c r="FA11" i="52"/>
  <c r="FB11" i="52" s="1"/>
  <c r="FF15" i="52"/>
  <c r="FG15" i="52" s="1"/>
  <c r="FD9" i="52"/>
  <c r="FB9" i="52"/>
  <c r="E164" i="8"/>
  <c r="A164" i="8" s="1"/>
  <c r="E162" i="8"/>
  <c r="A162" i="8" s="1"/>
  <c r="F1170" i="8"/>
  <c r="A183" i="8"/>
  <c r="F183" i="8"/>
  <c r="A178" i="8"/>
  <c r="F178" i="8"/>
  <c r="E179" i="8"/>
  <c r="E184" i="8"/>
  <c r="GF15" i="52" l="1"/>
  <c r="GF12" i="52"/>
  <c r="GE17" i="52"/>
  <c r="E166" i="8" s="1"/>
  <c r="F166" i="8" s="1"/>
  <c r="GF11" i="52"/>
  <c r="GF10" i="52"/>
  <c r="GG23" i="52"/>
  <c r="GG12" i="52" s="1"/>
  <c r="GF14" i="52"/>
  <c r="EX23" i="52"/>
  <c r="GF9" i="52"/>
  <c r="GF13" i="52"/>
  <c r="GG11" i="52"/>
  <c r="GG15" i="52"/>
  <c r="GG10" i="52"/>
  <c r="FA10" i="52"/>
  <c r="FB10" i="52" s="1"/>
  <c r="FD10" i="52"/>
  <c r="FF10" i="52" s="1"/>
  <c r="FG10" i="52" s="1"/>
  <c r="FF9" i="52"/>
  <c r="FG9" i="52" s="1"/>
  <c r="FF12" i="52"/>
  <c r="FG12" i="52" s="1"/>
  <c r="FF11" i="52"/>
  <c r="FG11" i="52" s="1"/>
  <c r="GH23" i="52"/>
  <c r="F164" i="8"/>
  <c r="F162" i="8"/>
  <c r="E165" i="8"/>
  <c r="A165" i="8" s="1"/>
  <c r="E163" i="8"/>
  <c r="A163" i="8" s="1"/>
  <c r="A184" i="8"/>
  <c r="F184" i="8"/>
  <c r="A179" i="8"/>
  <c r="F179" i="8"/>
  <c r="GI23" i="52" l="1"/>
  <c r="GI12" i="52" s="1"/>
  <c r="GH12" i="52"/>
  <c r="GG14" i="52"/>
  <c r="EY23" i="52"/>
  <c r="A166" i="8"/>
  <c r="GG9" i="52"/>
  <c r="FD17" i="52"/>
  <c r="E142" i="8" s="1"/>
  <c r="F142" i="8" s="1"/>
  <c r="GG13" i="52"/>
  <c r="GF17" i="52"/>
  <c r="E167" i="8" s="1"/>
  <c r="F167" i="8" s="1"/>
  <c r="GI10" i="52"/>
  <c r="FA17" i="52"/>
  <c r="EZ17" i="52" s="1"/>
  <c r="GH10" i="52"/>
  <c r="GH11" i="52"/>
  <c r="GH15" i="52"/>
  <c r="GH14" i="52"/>
  <c r="GH13" i="52"/>
  <c r="EZ23" i="52"/>
  <c r="FG17" i="52"/>
  <c r="E139" i="8" s="1"/>
  <c r="A139" i="8" s="1"/>
  <c r="FF17" i="52"/>
  <c r="FB17" i="52"/>
  <c r="E136" i="8" s="1"/>
  <c r="F136" i="8" s="1"/>
  <c r="GH9" i="52"/>
  <c r="F165" i="8"/>
  <c r="F163" i="8"/>
  <c r="J529" i="10"/>
  <c r="N530" i="10"/>
  <c r="I529" i="10"/>
  <c r="G529" i="10"/>
  <c r="K528" i="10"/>
  <c r="J528" i="10"/>
  <c r="I528" i="10"/>
  <c r="G528" i="10"/>
  <c r="K527" i="10"/>
  <c r="J527" i="10"/>
  <c r="I527" i="10"/>
  <c r="G527" i="10"/>
  <c r="K526" i="10"/>
  <c r="J526" i="10"/>
  <c r="I526" i="10"/>
  <c r="G526" i="10"/>
  <c r="K525" i="10"/>
  <c r="J525" i="10"/>
  <c r="I525" i="10"/>
  <c r="G525" i="10"/>
  <c r="L524" i="10"/>
  <c r="I524" i="10"/>
  <c r="E524" i="10"/>
  <c r="A524" i="10"/>
  <c r="A527" i="10" s="1"/>
  <c r="J522" i="10"/>
  <c r="N523" i="10"/>
  <c r="I522" i="10"/>
  <c r="G522" i="10"/>
  <c r="F522" i="10" s="1"/>
  <c r="K521" i="10"/>
  <c r="J521" i="10"/>
  <c r="I521" i="10"/>
  <c r="G521" i="10"/>
  <c r="K520" i="10"/>
  <c r="J520" i="10"/>
  <c r="I520" i="10"/>
  <c r="G520" i="10"/>
  <c r="K519" i="10"/>
  <c r="J519" i="10"/>
  <c r="I519" i="10"/>
  <c r="G519" i="10"/>
  <c r="K518" i="10"/>
  <c r="J518" i="10"/>
  <c r="I518" i="10"/>
  <c r="G518" i="10"/>
  <c r="L517" i="10"/>
  <c r="I517" i="10"/>
  <c r="E517" i="10"/>
  <c r="A517" i="10"/>
  <c r="A520" i="10" s="1"/>
  <c r="I512" i="10"/>
  <c r="G512" i="10"/>
  <c r="A507" i="10"/>
  <c r="A509" i="10" s="1"/>
  <c r="J509" i="10"/>
  <c r="J510" i="10"/>
  <c r="J511" i="10"/>
  <c r="J508" i="10"/>
  <c r="K509" i="10"/>
  <c r="I509" i="10"/>
  <c r="G509" i="10"/>
  <c r="K508" i="10"/>
  <c r="I508" i="10"/>
  <c r="G508" i="10"/>
  <c r="N516" i="10"/>
  <c r="K515" i="10"/>
  <c r="J515" i="10"/>
  <c r="I515" i="10"/>
  <c r="G515" i="10"/>
  <c r="K514" i="10"/>
  <c r="L514" i="10" s="1"/>
  <c r="I514" i="10"/>
  <c r="G514" i="10"/>
  <c r="K513" i="10"/>
  <c r="L513" i="10" s="1"/>
  <c r="I513" i="10"/>
  <c r="G513" i="10"/>
  <c r="K511" i="10"/>
  <c r="I511" i="10"/>
  <c r="G511" i="10"/>
  <c r="K510" i="10"/>
  <c r="I510" i="10"/>
  <c r="G510" i="10"/>
  <c r="L507" i="10"/>
  <c r="I507" i="10"/>
  <c r="E507" i="10"/>
  <c r="G346" i="6"/>
  <c r="H874" i="8" s="1"/>
  <c r="G349" i="6"/>
  <c r="H904" i="8" s="1"/>
  <c r="N347" i="6"/>
  <c r="K512" i="10"/>
  <c r="L512" i="10" s="1"/>
  <c r="N157" i="6"/>
  <c r="N194" i="6"/>
  <c r="N167" i="6"/>
  <c r="F1106" i="8"/>
  <c r="C1104" i="8"/>
  <c r="H1108" i="8" s="1"/>
  <c r="C1097" i="8"/>
  <c r="H1102" i="8" s="1"/>
  <c r="E1102" i="8"/>
  <c r="F1100" i="8"/>
  <c r="E1099" i="8"/>
  <c r="F1072" i="8"/>
  <c r="F1073" i="8"/>
  <c r="F1074" i="8"/>
  <c r="F1075" i="8"/>
  <c r="F1076" i="8"/>
  <c r="F1077" i="8"/>
  <c r="F1078" i="8"/>
  <c r="F1079" i="8"/>
  <c r="L348" i="6"/>
  <c r="I348" i="6"/>
  <c r="H348" i="6" s="1"/>
  <c r="D1104" i="8" s="1"/>
  <c r="L347" i="6"/>
  <c r="I347" i="6"/>
  <c r="H347" i="6" s="1"/>
  <c r="D1097" i="8" s="1"/>
  <c r="L335" i="6"/>
  <c r="I335" i="6"/>
  <c r="L333" i="6"/>
  <c r="I333" i="6"/>
  <c r="L329" i="6"/>
  <c r="I329" i="6"/>
  <c r="A998" i="8"/>
  <c r="A995" i="8"/>
  <c r="D407" i="8"/>
  <c r="D413" i="8" s="1"/>
  <c r="C402" i="8"/>
  <c r="H418" i="8" s="1"/>
  <c r="C401" i="8"/>
  <c r="H415" i="8" s="1"/>
  <c r="D414" i="8"/>
  <c r="E413" i="8"/>
  <c r="B407" i="8"/>
  <c r="E405" i="8"/>
  <c r="N195" i="6"/>
  <c r="L195" i="6"/>
  <c r="I195" i="6"/>
  <c r="H195" i="6" s="1"/>
  <c r="D402" i="8" s="1"/>
  <c r="L194" i="6"/>
  <c r="I194" i="6"/>
  <c r="H194" i="6" s="1"/>
  <c r="D401" i="8" s="1"/>
  <c r="C575" i="8"/>
  <c r="H590" i="8" s="1"/>
  <c r="C576" i="8"/>
  <c r="H592" i="8" s="1"/>
  <c r="C577" i="8"/>
  <c r="H593" i="8" s="1"/>
  <c r="C574" i="8"/>
  <c r="H588" i="8" s="1"/>
  <c r="C564" i="8"/>
  <c r="C554" i="8"/>
  <c r="C536" i="8"/>
  <c r="H552" i="8" s="1"/>
  <c r="C535" i="8"/>
  <c r="H549" i="8" s="1"/>
  <c r="C517" i="8"/>
  <c r="H533" i="8" s="1"/>
  <c r="C516" i="8"/>
  <c r="H530" i="8" s="1"/>
  <c r="C505" i="8"/>
  <c r="H514" i="8" s="1"/>
  <c r="D504" i="8"/>
  <c r="D389" i="8"/>
  <c r="E582" i="8"/>
  <c r="E569" i="8"/>
  <c r="E568" i="8"/>
  <c r="E559" i="8"/>
  <c r="E558" i="8"/>
  <c r="D548" i="8"/>
  <c r="D547" i="8"/>
  <c r="D546" i="8"/>
  <c r="D544" i="8"/>
  <c r="E539" i="8"/>
  <c r="D529" i="8"/>
  <c r="D528" i="8"/>
  <c r="D525" i="8"/>
  <c r="D524" i="8"/>
  <c r="D543" i="8" s="1"/>
  <c r="E521" i="8"/>
  <c r="E540" i="8" s="1"/>
  <c r="F540" i="8" s="1"/>
  <c r="D540" i="8"/>
  <c r="E520" i="8"/>
  <c r="E507" i="8"/>
  <c r="L226" i="6"/>
  <c r="I226" i="6"/>
  <c r="L225" i="6"/>
  <c r="I225" i="6"/>
  <c r="H225" i="6" s="1"/>
  <c r="D576" i="8" s="1"/>
  <c r="N224" i="6"/>
  <c r="L224" i="6"/>
  <c r="I224" i="6"/>
  <c r="H224" i="6" s="1"/>
  <c r="D575" i="8" s="1"/>
  <c r="L223" i="6"/>
  <c r="I223" i="6"/>
  <c r="H223" i="6" s="1"/>
  <c r="D574" i="8" s="1"/>
  <c r="N220" i="6"/>
  <c r="L220" i="6"/>
  <c r="I220" i="6"/>
  <c r="H220" i="6" s="1"/>
  <c r="D564" i="8" s="1"/>
  <c r="L217" i="6"/>
  <c r="I217" i="6"/>
  <c r="N216" i="6"/>
  <c r="L216" i="6"/>
  <c r="I216" i="6"/>
  <c r="H216" i="6" s="1"/>
  <c r="D536" i="8" s="1"/>
  <c r="N215" i="6"/>
  <c r="L215" i="6"/>
  <c r="I215" i="6"/>
  <c r="H215" i="6" s="1"/>
  <c r="D535" i="8" s="1"/>
  <c r="N214" i="6"/>
  <c r="L214" i="6"/>
  <c r="I214" i="6"/>
  <c r="H214" i="6" s="1"/>
  <c r="D517" i="8" s="1"/>
  <c r="N213" i="6"/>
  <c r="L213" i="6"/>
  <c r="I213" i="6"/>
  <c r="H213" i="6" s="1"/>
  <c r="D516" i="8" s="1"/>
  <c r="N212" i="6"/>
  <c r="L212" i="6"/>
  <c r="I212" i="6"/>
  <c r="H212" i="6" s="1"/>
  <c r="D505" i="8" s="1"/>
  <c r="E346" i="8"/>
  <c r="E348" i="8" s="1"/>
  <c r="A122" i="8"/>
  <c r="A126" i="8" s="1"/>
  <c r="C122" i="8"/>
  <c r="H126" i="8" s="1"/>
  <c r="F126" i="8"/>
  <c r="N78" i="6"/>
  <c r="L78" i="6"/>
  <c r="I78" i="6"/>
  <c r="H78" i="6" s="1"/>
  <c r="D122" i="8" s="1"/>
  <c r="GI9" i="52" l="1"/>
  <c r="GI14" i="52"/>
  <c r="GI15" i="52"/>
  <c r="GJ23" i="52"/>
  <c r="GJ12" i="52" s="1"/>
  <c r="GI13" i="52"/>
  <c r="GI11" i="52"/>
  <c r="D69" i="3"/>
  <c r="D71" i="3"/>
  <c r="D68" i="3"/>
  <c r="D70" i="3"/>
  <c r="D72" i="3"/>
  <c r="D67" i="3"/>
  <c r="F1102" i="8"/>
  <c r="A1097" i="8"/>
  <c r="A1098" i="8" s="1"/>
  <c r="A1099" i="8" s="1"/>
  <c r="A142" i="8"/>
  <c r="GG17" i="52"/>
  <c r="E168" i="8" s="1"/>
  <c r="A168" i="8" s="1"/>
  <c r="A167" i="8"/>
  <c r="E140" i="8"/>
  <c r="E138" i="8" s="1"/>
  <c r="GJ9" i="52"/>
  <c r="GJ14" i="52"/>
  <c r="GJ15" i="52"/>
  <c r="GJ10" i="52"/>
  <c r="GP23" i="52"/>
  <c r="E137" i="8"/>
  <c r="A137" i="8" s="1"/>
  <c r="GH17" i="52"/>
  <c r="A136" i="8"/>
  <c r="H217" i="6"/>
  <c r="D554" i="8" s="1"/>
  <c r="H329" i="6"/>
  <c r="D1052" i="8" s="1"/>
  <c r="H226" i="6"/>
  <c r="D577" i="8" s="1"/>
  <c r="H333" i="6"/>
  <c r="D1056" i="8" s="1"/>
  <c r="H335" i="6"/>
  <c r="D1058" i="8" s="1"/>
  <c r="D66" i="3"/>
  <c r="N342" i="6" s="1"/>
  <c r="H569" i="8"/>
  <c r="E571" i="8"/>
  <c r="F559" i="8"/>
  <c r="E561" i="8"/>
  <c r="E562" i="8" s="1"/>
  <c r="H559" i="8"/>
  <c r="D64" i="3"/>
  <c r="N339" i="6" s="1"/>
  <c r="D65" i="3"/>
  <c r="D62" i="3"/>
  <c r="N364" i="6" s="1"/>
  <c r="D63" i="3"/>
  <c r="N338" i="6" s="1"/>
  <c r="F139" i="8"/>
  <c r="L509" i="10"/>
  <c r="L508" i="10"/>
  <c r="F1080" i="8"/>
  <c r="L518" i="10"/>
  <c r="L520" i="10"/>
  <c r="L526" i="10"/>
  <c r="A510" i="10"/>
  <c r="A511" i="10" s="1"/>
  <c r="A513" i="10" s="1"/>
  <c r="A514" i="10" s="1"/>
  <c r="A515" i="10" s="1"/>
  <c r="A516" i="10" s="1"/>
  <c r="A518" i="10" s="1"/>
  <c r="A526" i="10"/>
  <c r="L525" i="10"/>
  <c r="L527" i="10"/>
  <c r="L528" i="10"/>
  <c r="A528" i="10"/>
  <c r="A530" i="10" s="1"/>
  <c r="A529" i="10"/>
  <c r="L519" i="10"/>
  <c r="L521" i="10"/>
  <c r="A522" i="10"/>
  <c r="A521" i="10"/>
  <c r="A523" i="10" s="1"/>
  <c r="A525" i="10" s="1"/>
  <c r="L511" i="10"/>
  <c r="A519" i="10"/>
  <c r="L510" i="10"/>
  <c r="L515" i="10"/>
  <c r="N348" i="6"/>
  <c r="F569" i="8"/>
  <c r="A564" i="8"/>
  <c r="E406" i="8"/>
  <c r="F406" i="8" s="1"/>
  <c r="A554" i="8"/>
  <c r="F521" i="8"/>
  <c r="H39" i="4"/>
  <c r="GI17" i="52" l="1"/>
  <c r="E202" i="8" s="1"/>
  <c r="A202" i="8" s="1"/>
  <c r="GJ13" i="52"/>
  <c r="GJ11" i="52"/>
  <c r="E169" i="8"/>
  <c r="A169" i="8" s="1"/>
  <c r="E203" i="8"/>
  <c r="F202" i="8"/>
  <c r="N366" i="6"/>
  <c r="A1101" i="8"/>
  <c r="A1102" i="8" s="1"/>
  <c r="A1103" i="8" s="1"/>
  <c r="N343" i="6"/>
  <c r="N344" i="6"/>
  <c r="N345" i="6"/>
  <c r="F168" i="8"/>
  <c r="A140" i="8"/>
  <c r="E141" i="8"/>
  <c r="F140" i="8"/>
  <c r="GJ17" i="52"/>
  <c r="F137" i="8"/>
  <c r="A566" i="8"/>
  <c r="A572" i="8" s="1"/>
  <c r="E572" i="8"/>
  <c r="F572" i="8" s="1"/>
  <c r="A555" i="8"/>
  <c r="A560" i="8" s="1"/>
  <c r="F562" i="8"/>
  <c r="F571" i="8"/>
  <c r="A568" i="8"/>
  <c r="A569" i="8" s="1"/>
  <c r="A563" i="8"/>
  <c r="A571" i="8" s="1"/>
  <c r="F561" i="8"/>
  <c r="F1108" i="8"/>
  <c r="A1104" i="8"/>
  <c r="A1105" i="8" s="1"/>
  <c r="A1108" i="8" s="1"/>
  <c r="A1109" i="8" s="1"/>
  <c r="A512" i="10"/>
  <c r="A573" i="8"/>
  <c r="A567" i="8"/>
  <c r="L516" i="10"/>
  <c r="O516" i="10" s="1"/>
  <c r="A558" i="8"/>
  <c r="A559" i="8" s="1"/>
  <c r="E408" i="8"/>
  <c r="F408" i="8" s="1"/>
  <c r="E41" i="4"/>
  <c r="E45" i="4" s="1"/>
  <c r="H45" i="4" s="1"/>
  <c r="J505" i="10"/>
  <c r="A500" i="10"/>
  <c r="A501" i="10" s="1"/>
  <c r="A502" i="10" s="1"/>
  <c r="A503" i="10" s="1"/>
  <c r="A504" i="10" s="1"/>
  <c r="A505" i="10" s="1"/>
  <c r="A506" i="10" s="1"/>
  <c r="A508" i="10" s="1"/>
  <c r="K504" i="10"/>
  <c r="L504" i="10" s="1"/>
  <c r="I504" i="10"/>
  <c r="G504" i="10"/>
  <c r="N506" i="10"/>
  <c r="K505" i="10"/>
  <c r="I505" i="10"/>
  <c r="G505" i="10"/>
  <c r="K503" i="10"/>
  <c r="L503" i="10" s="1"/>
  <c r="I503" i="10"/>
  <c r="G503" i="10"/>
  <c r="K502" i="10"/>
  <c r="L502" i="10" s="1"/>
  <c r="I502" i="10"/>
  <c r="G502" i="10"/>
  <c r="K501" i="10"/>
  <c r="L501" i="10" s="1"/>
  <c r="I501" i="10"/>
  <c r="G501" i="10"/>
  <c r="L500" i="10"/>
  <c r="I500" i="10"/>
  <c r="E500" i="10"/>
  <c r="N499" i="10"/>
  <c r="K498" i="10"/>
  <c r="L498" i="10" s="1"/>
  <c r="I498" i="10"/>
  <c r="G498" i="10"/>
  <c r="K497" i="10"/>
  <c r="L497" i="10" s="1"/>
  <c r="I497" i="10"/>
  <c r="G497" i="10"/>
  <c r="K496" i="10"/>
  <c r="L496" i="10" s="1"/>
  <c r="I496" i="10"/>
  <c r="G496" i="10"/>
  <c r="K495" i="10"/>
  <c r="L495" i="10" s="1"/>
  <c r="I495" i="10"/>
  <c r="G495" i="10"/>
  <c r="L494" i="10"/>
  <c r="I494" i="10"/>
  <c r="E494" i="10"/>
  <c r="A495" i="10"/>
  <c r="A496" i="10" s="1"/>
  <c r="A497" i="10" s="1"/>
  <c r="A498" i="10" s="1"/>
  <c r="A499" i="10" s="1"/>
  <c r="F169" i="8" l="1"/>
  <c r="A203" i="8"/>
  <c r="F203" i="8"/>
  <c r="A556" i="8"/>
  <c r="A562" i="8" s="1"/>
  <c r="L505" i="10"/>
  <c r="L506" i="10" s="1"/>
  <c r="O506" i="10" s="1"/>
  <c r="L499" i="10"/>
  <c r="O499" i="10" s="1"/>
  <c r="BM78" i="51"/>
  <c r="BM79" i="51"/>
  <c r="BM80" i="51"/>
  <c r="BM81" i="51"/>
  <c r="BM82" i="51"/>
  <c r="BM83" i="51"/>
  <c r="BM84" i="51"/>
  <c r="BM85" i="51"/>
  <c r="BM86" i="51"/>
  <c r="BM87" i="51"/>
  <c r="BM88" i="51"/>
  <c r="BM89" i="51"/>
  <c r="BM90" i="51"/>
  <c r="BM91" i="51"/>
  <c r="BM92" i="51"/>
  <c r="BM93" i="51"/>
  <c r="BM94" i="51"/>
  <c r="BM95" i="51"/>
  <c r="BM96" i="51"/>
  <c r="BM97" i="51"/>
  <c r="BM98" i="51"/>
  <c r="BM99" i="51"/>
  <c r="BM100" i="51"/>
  <c r="BM15" i="51"/>
  <c r="BM16" i="51"/>
  <c r="BM17" i="51"/>
  <c r="BM18" i="51"/>
  <c r="BM19" i="51"/>
  <c r="BM20" i="51"/>
  <c r="BM21" i="51"/>
  <c r="BM22" i="51"/>
  <c r="BM23" i="51"/>
  <c r="BM24" i="51"/>
  <c r="BM25" i="51"/>
  <c r="BM26" i="51"/>
  <c r="BM27" i="51"/>
  <c r="BM28" i="51"/>
  <c r="BM29" i="51"/>
  <c r="BM30" i="51"/>
  <c r="BM31" i="51"/>
  <c r="BM32" i="51"/>
  <c r="BM33" i="51"/>
  <c r="BM34" i="51"/>
  <c r="BM35" i="51"/>
  <c r="BM36" i="51"/>
  <c r="BM37" i="51"/>
  <c r="BM38" i="51"/>
  <c r="BM39" i="51"/>
  <c r="BM40" i="51"/>
  <c r="BM41" i="51"/>
  <c r="BM42" i="51"/>
  <c r="BM43" i="51"/>
  <c r="BM44" i="51"/>
  <c r="BM45" i="51"/>
  <c r="BM46" i="51"/>
  <c r="BM47" i="51"/>
  <c r="BM48" i="51"/>
  <c r="BM49" i="51"/>
  <c r="BM50" i="51"/>
  <c r="BM51" i="51"/>
  <c r="BM52" i="51"/>
  <c r="BM53" i="51"/>
  <c r="BM54" i="51"/>
  <c r="BM55" i="51"/>
  <c r="BM56" i="51"/>
  <c r="BM57" i="51"/>
  <c r="BM58" i="51"/>
  <c r="BM59" i="51"/>
  <c r="BM60" i="51"/>
  <c r="BM61" i="51"/>
  <c r="BM62" i="51"/>
  <c r="BM63" i="51"/>
  <c r="BM64" i="51"/>
  <c r="BM65" i="51"/>
  <c r="BM66" i="51"/>
  <c r="BM67" i="51"/>
  <c r="BM68" i="51"/>
  <c r="BM69" i="51"/>
  <c r="BM70" i="51"/>
  <c r="BM71" i="51"/>
  <c r="BM72" i="51"/>
  <c r="BM73" i="51"/>
  <c r="BM74" i="51"/>
  <c r="BM75" i="51"/>
  <c r="BM76" i="51"/>
  <c r="BM77" i="51"/>
  <c r="BM14" i="51"/>
  <c r="Z16" i="51"/>
  <c r="Z18" i="51"/>
  <c r="Z20" i="51"/>
  <c r="Z24" i="51"/>
  <c r="Z26" i="51"/>
  <c r="Z28" i="51"/>
  <c r="Z32" i="51"/>
  <c r="Z34" i="51"/>
  <c r="Z36" i="51"/>
  <c r="Z40" i="51"/>
  <c r="Z42" i="51"/>
  <c r="Z44" i="51"/>
  <c r="Z48" i="51"/>
  <c r="Z50" i="51"/>
  <c r="Z52" i="51"/>
  <c r="Z56" i="51"/>
  <c r="Z58" i="51"/>
  <c r="Z60" i="51"/>
  <c r="Z64" i="51"/>
  <c r="Z66" i="51"/>
  <c r="Z68" i="51"/>
  <c r="Z72" i="51"/>
  <c r="Z74" i="51"/>
  <c r="Z76" i="51"/>
  <c r="Z80" i="51"/>
  <c r="Z82" i="51"/>
  <c r="Z84" i="51"/>
  <c r="Z88" i="51"/>
  <c r="Z90" i="51"/>
  <c r="Z92" i="51"/>
  <c r="Z96" i="51"/>
  <c r="Z98" i="51"/>
  <c r="Z100" i="51"/>
  <c r="F18" i="51"/>
  <c r="F20" i="51"/>
  <c r="F22" i="51"/>
  <c r="F24" i="51"/>
  <c r="F26" i="51"/>
  <c r="F28" i="51"/>
  <c r="F30" i="51"/>
  <c r="F32" i="51"/>
  <c r="F34" i="51"/>
  <c r="F36" i="51"/>
  <c r="F38" i="51"/>
  <c r="F40" i="51"/>
  <c r="F42" i="51"/>
  <c r="F44" i="51"/>
  <c r="F46" i="51"/>
  <c r="F48" i="51"/>
  <c r="F50" i="51"/>
  <c r="F52" i="51"/>
  <c r="F54" i="51"/>
  <c r="F56" i="51"/>
  <c r="F58" i="51"/>
  <c r="F60" i="51"/>
  <c r="F62" i="51"/>
  <c r="F64" i="51"/>
  <c r="F66" i="51"/>
  <c r="F68" i="51"/>
  <c r="F70" i="51"/>
  <c r="F72" i="51"/>
  <c r="F74" i="51"/>
  <c r="F76" i="51"/>
  <c r="F78" i="51"/>
  <c r="F80" i="51"/>
  <c r="F82" i="51"/>
  <c r="F84" i="51"/>
  <c r="F86" i="51"/>
  <c r="F88" i="51"/>
  <c r="F90" i="51"/>
  <c r="F92" i="51"/>
  <c r="F94" i="51"/>
  <c r="F96" i="51"/>
  <c r="F98" i="51"/>
  <c r="F100" i="51"/>
  <c r="AC15" i="51"/>
  <c r="AC16" i="51" s="1"/>
  <c r="AF14" i="51"/>
  <c r="AF15" i="51" s="1"/>
  <c r="AF16" i="51" s="1"/>
  <c r="AF17" i="51" s="1"/>
  <c r="AF18" i="51" s="1"/>
  <c r="AF19" i="51" s="1"/>
  <c r="AF20" i="51" s="1"/>
  <c r="AF21" i="51" s="1"/>
  <c r="AF22" i="51" s="1"/>
  <c r="AF23" i="51" s="1"/>
  <c r="AF24" i="51" s="1"/>
  <c r="AF25" i="51" s="1"/>
  <c r="AF26" i="51" s="1"/>
  <c r="AF27" i="51" s="1"/>
  <c r="AF28" i="51" s="1"/>
  <c r="AF29" i="51" s="1"/>
  <c r="AF30" i="51" s="1"/>
  <c r="AF31" i="51" s="1"/>
  <c r="AF32" i="51" s="1"/>
  <c r="AF33" i="51" s="1"/>
  <c r="AF34" i="51" s="1"/>
  <c r="AF35" i="51" s="1"/>
  <c r="AF36" i="51" s="1"/>
  <c r="AF37" i="51" s="1"/>
  <c r="AF38" i="51" s="1"/>
  <c r="AF39" i="51" s="1"/>
  <c r="AF40" i="51" s="1"/>
  <c r="AF41" i="51" s="1"/>
  <c r="AF42" i="51" s="1"/>
  <c r="AF43" i="51" s="1"/>
  <c r="AF44" i="51" s="1"/>
  <c r="AF45" i="51" s="1"/>
  <c r="AF46" i="51" s="1"/>
  <c r="AF47" i="51" s="1"/>
  <c r="AF48" i="51" s="1"/>
  <c r="AF49" i="51" s="1"/>
  <c r="AF50" i="51" s="1"/>
  <c r="AF51" i="51" s="1"/>
  <c r="AF52" i="51" s="1"/>
  <c r="AF53" i="51" s="1"/>
  <c r="AF54" i="51" s="1"/>
  <c r="AF55" i="51" s="1"/>
  <c r="AF56" i="51" s="1"/>
  <c r="AF57" i="51" s="1"/>
  <c r="AF58" i="51" s="1"/>
  <c r="AF59" i="51" s="1"/>
  <c r="AF60" i="51" s="1"/>
  <c r="AF61" i="51" s="1"/>
  <c r="AF62" i="51" s="1"/>
  <c r="AF63" i="51" s="1"/>
  <c r="AF64" i="51" s="1"/>
  <c r="AF65" i="51" s="1"/>
  <c r="AF66" i="51" s="1"/>
  <c r="AF67" i="51" s="1"/>
  <c r="AF68" i="51" s="1"/>
  <c r="AF69" i="51" s="1"/>
  <c r="AF70" i="51" s="1"/>
  <c r="AF71" i="51" s="1"/>
  <c r="AF72" i="51" s="1"/>
  <c r="AF73" i="51" s="1"/>
  <c r="AF74" i="51" s="1"/>
  <c r="AF75" i="51" s="1"/>
  <c r="AF76" i="51" s="1"/>
  <c r="AF77" i="51" s="1"/>
  <c r="AF78" i="51" s="1"/>
  <c r="AF79" i="51" s="1"/>
  <c r="AF80" i="51" s="1"/>
  <c r="AF81" i="51" s="1"/>
  <c r="AF82" i="51" s="1"/>
  <c r="AF83" i="51" s="1"/>
  <c r="AF84" i="51" s="1"/>
  <c r="AF85" i="51" s="1"/>
  <c r="AF86" i="51" s="1"/>
  <c r="AF87" i="51" s="1"/>
  <c r="AF88" i="51" s="1"/>
  <c r="AF89" i="51" s="1"/>
  <c r="AF90" i="51" s="1"/>
  <c r="AF91" i="51" s="1"/>
  <c r="AF92" i="51" s="1"/>
  <c r="AF93" i="51" s="1"/>
  <c r="AF94" i="51" s="1"/>
  <c r="AF95" i="51" s="1"/>
  <c r="AF96" i="51" s="1"/>
  <c r="AF97" i="51" s="1"/>
  <c r="AF98" i="51" s="1"/>
  <c r="AF99" i="51" s="1"/>
  <c r="AF100" i="51" s="1"/>
  <c r="AE14" i="51"/>
  <c r="AE15" i="51" s="1"/>
  <c r="AB15" i="51"/>
  <c r="AB16" i="51" s="1"/>
  <c r="AB17" i="51" s="1"/>
  <c r="AB18" i="51" s="1"/>
  <c r="AB19" i="51" s="1"/>
  <c r="AB20" i="51" s="1"/>
  <c r="AB21" i="51" s="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4" i="51"/>
  <c r="AA100" i="51"/>
  <c r="P100" i="51"/>
  <c r="E100" i="51"/>
  <c r="B100" i="51"/>
  <c r="BA100" i="51" s="1"/>
  <c r="BC100" i="51" s="1"/>
  <c r="AA99" i="51"/>
  <c r="Z99" i="51"/>
  <c r="P99" i="51"/>
  <c r="F99" i="51"/>
  <c r="E99" i="51"/>
  <c r="B99" i="51"/>
  <c r="BA99" i="51" s="1"/>
  <c r="BC99" i="51" s="1"/>
  <c r="AA98" i="51"/>
  <c r="P98" i="51"/>
  <c r="E98" i="51"/>
  <c r="B98" i="51"/>
  <c r="BA98" i="51" s="1"/>
  <c r="BC98" i="51" s="1"/>
  <c r="AA97" i="51"/>
  <c r="Z97" i="51"/>
  <c r="P97" i="51"/>
  <c r="F97" i="51"/>
  <c r="E97" i="51"/>
  <c r="B97" i="51"/>
  <c r="BA97" i="51" s="1"/>
  <c r="BC97" i="51" s="1"/>
  <c r="AA96" i="51"/>
  <c r="P96" i="51"/>
  <c r="E96" i="51"/>
  <c r="B96" i="51"/>
  <c r="BA96" i="51" s="1"/>
  <c r="BC96" i="51" s="1"/>
  <c r="AA95" i="51"/>
  <c r="Z95" i="51"/>
  <c r="P95" i="51"/>
  <c r="F95" i="51"/>
  <c r="E95" i="51"/>
  <c r="B95" i="51"/>
  <c r="BA95" i="51" s="1"/>
  <c r="BC95" i="51" s="1"/>
  <c r="AA94" i="51"/>
  <c r="Z94" i="51"/>
  <c r="P94" i="51"/>
  <c r="E94" i="51"/>
  <c r="B94" i="51"/>
  <c r="BA94" i="51" s="1"/>
  <c r="BC94" i="51" s="1"/>
  <c r="AA93" i="51"/>
  <c r="Z93" i="51"/>
  <c r="P93" i="51"/>
  <c r="F93" i="51"/>
  <c r="E93" i="51"/>
  <c r="B93" i="51"/>
  <c r="BA93" i="51" s="1"/>
  <c r="BC93" i="51" s="1"/>
  <c r="AA92" i="51"/>
  <c r="P92" i="51"/>
  <c r="E92" i="51"/>
  <c r="B92" i="51"/>
  <c r="BA92" i="51" s="1"/>
  <c r="BC92" i="51" s="1"/>
  <c r="AA91" i="51"/>
  <c r="Z91" i="51"/>
  <c r="P91" i="51"/>
  <c r="F91" i="51"/>
  <c r="E91" i="51"/>
  <c r="B91" i="51"/>
  <c r="BA91" i="51" s="1"/>
  <c r="BC91" i="51" s="1"/>
  <c r="AA90" i="51"/>
  <c r="P90" i="51"/>
  <c r="E90" i="51"/>
  <c r="B90" i="51"/>
  <c r="BA90" i="51" s="1"/>
  <c r="BC90" i="51" s="1"/>
  <c r="AA89" i="51"/>
  <c r="Z89" i="51"/>
  <c r="P89" i="51"/>
  <c r="F89" i="51"/>
  <c r="E89" i="51"/>
  <c r="B89" i="51"/>
  <c r="BA89" i="51" s="1"/>
  <c r="BC89" i="51" s="1"/>
  <c r="AA88" i="51"/>
  <c r="P88" i="51"/>
  <c r="E88" i="51"/>
  <c r="B88" i="51"/>
  <c r="BA88" i="51" s="1"/>
  <c r="BC88" i="51" s="1"/>
  <c r="AA87" i="51"/>
  <c r="Z87" i="51"/>
  <c r="P87" i="51"/>
  <c r="F87" i="51"/>
  <c r="E87" i="51"/>
  <c r="B87" i="51"/>
  <c r="BA87" i="51" s="1"/>
  <c r="BC87" i="51" s="1"/>
  <c r="AA86" i="51"/>
  <c r="Z86" i="51"/>
  <c r="P86" i="51"/>
  <c r="E86" i="51"/>
  <c r="B86" i="51"/>
  <c r="BA86" i="51" s="1"/>
  <c r="BC86" i="51" s="1"/>
  <c r="AA85" i="51"/>
  <c r="Z85" i="51"/>
  <c r="P85" i="51"/>
  <c r="F85" i="51"/>
  <c r="E85" i="51"/>
  <c r="B85" i="51"/>
  <c r="BA85" i="51" s="1"/>
  <c r="BC85" i="51" s="1"/>
  <c r="AA84" i="51"/>
  <c r="P84" i="51"/>
  <c r="E84" i="51"/>
  <c r="B84" i="51"/>
  <c r="BA84" i="51" s="1"/>
  <c r="BC84" i="51" s="1"/>
  <c r="AA83" i="51"/>
  <c r="Z83" i="51"/>
  <c r="P83" i="51"/>
  <c r="F83" i="51"/>
  <c r="E83" i="51"/>
  <c r="B83" i="51"/>
  <c r="BA83" i="51" s="1"/>
  <c r="BC83" i="51" s="1"/>
  <c r="BD83" i="51" s="1"/>
  <c r="AA82" i="51"/>
  <c r="P82" i="51"/>
  <c r="E82" i="51"/>
  <c r="B82" i="51"/>
  <c r="BA82" i="51" s="1"/>
  <c r="BC82" i="51" s="1"/>
  <c r="BD82" i="51" s="1"/>
  <c r="AA81" i="51"/>
  <c r="Z81" i="51"/>
  <c r="P81" i="51"/>
  <c r="F81" i="51"/>
  <c r="E81" i="51"/>
  <c r="B81" i="51"/>
  <c r="BA81" i="51" s="1"/>
  <c r="BC81" i="51" s="1"/>
  <c r="AA80" i="51"/>
  <c r="P80" i="51"/>
  <c r="E80" i="51"/>
  <c r="B80" i="51"/>
  <c r="BA80" i="51" s="1"/>
  <c r="BC80" i="51" s="1"/>
  <c r="AA79" i="51"/>
  <c r="Z79" i="51"/>
  <c r="P79" i="51"/>
  <c r="F79" i="51"/>
  <c r="E79" i="51"/>
  <c r="B79" i="51"/>
  <c r="BA79" i="51" s="1"/>
  <c r="BC79" i="51" s="1"/>
  <c r="BD79" i="51" s="1"/>
  <c r="AA78" i="51"/>
  <c r="Z78" i="51"/>
  <c r="P78" i="51"/>
  <c r="E78" i="51"/>
  <c r="B78" i="51"/>
  <c r="BA78" i="51" s="1"/>
  <c r="BC78" i="51" s="1"/>
  <c r="AA77" i="51"/>
  <c r="Z77" i="51"/>
  <c r="P77" i="51"/>
  <c r="F77" i="51"/>
  <c r="E77" i="51"/>
  <c r="B77" i="51"/>
  <c r="BA77" i="51" s="1"/>
  <c r="BC77" i="51" s="1"/>
  <c r="AA76" i="51"/>
  <c r="P76" i="51"/>
  <c r="E76" i="51"/>
  <c r="B76" i="51"/>
  <c r="BA76" i="51" s="1"/>
  <c r="BC76" i="51" s="1"/>
  <c r="AA75" i="51"/>
  <c r="Z75" i="51"/>
  <c r="P75" i="51"/>
  <c r="F75" i="51"/>
  <c r="E75" i="51"/>
  <c r="B75" i="51"/>
  <c r="BA75" i="51" s="1"/>
  <c r="BC75" i="51" s="1"/>
  <c r="AA74" i="51"/>
  <c r="P74" i="51"/>
  <c r="E74" i="51"/>
  <c r="B74" i="51"/>
  <c r="BA74" i="51" s="1"/>
  <c r="BC74" i="51" s="1"/>
  <c r="AA73" i="51"/>
  <c r="Z73" i="51"/>
  <c r="P73" i="51"/>
  <c r="F73" i="51"/>
  <c r="E73" i="51"/>
  <c r="B73" i="51"/>
  <c r="BA73" i="51" s="1"/>
  <c r="BC73" i="51" s="1"/>
  <c r="AA72" i="51"/>
  <c r="P72" i="51"/>
  <c r="E72" i="51"/>
  <c r="B72" i="51"/>
  <c r="BA72" i="51" s="1"/>
  <c r="BC72" i="51" s="1"/>
  <c r="AA71" i="51"/>
  <c r="Z71" i="51"/>
  <c r="P71" i="51"/>
  <c r="F71" i="51"/>
  <c r="E71" i="51"/>
  <c r="B71" i="51"/>
  <c r="BA71" i="51" s="1"/>
  <c r="BC71" i="51" s="1"/>
  <c r="AA70" i="51"/>
  <c r="Z70" i="51"/>
  <c r="P70" i="51"/>
  <c r="E70" i="51"/>
  <c r="B70" i="51"/>
  <c r="BA70" i="51" s="1"/>
  <c r="BC70" i="51" s="1"/>
  <c r="AA69" i="51"/>
  <c r="Z69" i="51"/>
  <c r="P69" i="51"/>
  <c r="F69" i="51"/>
  <c r="E69" i="51"/>
  <c r="B69" i="51"/>
  <c r="BA69" i="51" s="1"/>
  <c r="BC69" i="51" s="1"/>
  <c r="BD69" i="51" s="1"/>
  <c r="AA68" i="51"/>
  <c r="P68" i="51"/>
  <c r="E68" i="51"/>
  <c r="B68" i="51"/>
  <c r="BA68" i="51" s="1"/>
  <c r="BC68" i="51" s="1"/>
  <c r="BD68" i="51" s="1"/>
  <c r="AA67" i="51"/>
  <c r="Z67" i="51"/>
  <c r="P67" i="51"/>
  <c r="F67" i="51"/>
  <c r="E67" i="51"/>
  <c r="B67" i="51"/>
  <c r="BA67" i="51" s="1"/>
  <c r="BC67" i="51" s="1"/>
  <c r="AA66" i="51"/>
  <c r="P66" i="51"/>
  <c r="E66" i="51"/>
  <c r="B66" i="51"/>
  <c r="BA66" i="51" s="1"/>
  <c r="BC66" i="51" s="1"/>
  <c r="AA65" i="51"/>
  <c r="Z65" i="51"/>
  <c r="P65" i="51"/>
  <c r="F65" i="51"/>
  <c r="E65" i="51"/>
  <c r="B65" i="51"/>
  <c r="BA65" i="51" s="1"/>
  <c r="BC65" i="51" s="1"/>
  <c r="AA64" i="51"/>
  <c r="P64" i="51"/>
  <c r="E64" i="51"/>
  <c r="B64" i="51"/>
  <c r="BA64" i="51" s="1"/>
  <c r="BC64" i="51" s="1"/>
  <c r="AA63" i="51"/>
  <c r="Z63" i="51"/>
  <c r="P63" i="51"/>
  <c r="F63" i="51"/>
  <c r="E63" i="51"/>
  <c r="B63" i="51"/>
  <c r="BA63" i="51" s="1"/>
  <c r="BC63" i="51" s="1"/>
  <c r="AA62" i="51"/>
  <c r="Z62" i="51"/>
  <c r="P62" i="51"/>
  <c r="E62" i="51"/>
  <c r="B62" i="51"/>
  <c r="BA62" i="51" s="1"/>
  <c r="BC62" i="51" s="1"/>
  <c r="AA61" i="51"/>
  <c r="Z61" i="51"/>
  <c r="P61" i="51"/>
  <c r="F61" i="51"/>
  <c r="E61" i="51"/>
  <c r="B61" i="51"/>
  <c r="BA61" i="51" s="1"/>
  <c r="BC61" i="51" s="1"/>
  <c r="AA60" i="51"/>
  <c r="P60" i="51"/>
  <c r="E60" i="51"/>
  <c r="B60" i="51"/>
  <c r="BA60" i="51" s="1"/>
  <c r="BC60" i="51" s="1"/>
  <c r="AA59" i="51"/>
  <c r="Z59" i="51"/>
  <c r="P59" i="51"/>
  <c r="F59" i="51"/>
  <c r="E59" i="51"/>
  <c r="B59" i="51"/>
  <c r="BA59" i="51" s="1"/>
  <c r="BC59" i="51" s="1"/>
  <c r="AA58" i="51"/>
  <c r="P58" i="51"/>
  <c r="E58" i="51"/>
  <c r="B58" i="51"/>
  <c r="BA58" i="51" s="1"/>
  <c r="BC58" i="51" s="1"/>
  <c r="AA57" i="51"/>
  <c r="Z57" i="51"/>
  <c r="P57" i="51"/>
  <c r="F57" i="51"/>
  <c r="E57" i="51"/>
  <c r="B57" i="51"/>
  <c r="BA57" i="51" s="1"/>
  <c r="BC57" i="51" s="1"/>
  <c r="BD57" i="51" s="1"/>
  <c r="AA56" i="51"/>
  <c r="P56" i="51"/>
  <c r="E56" i="51"/>
  <c r="B56" i="51"/>
  <c r="BA56" i="51" s="1"/>
  <c r="BC56" i="51" s="1"/>
  <c r="AA55" i="51"/>
  <c r="Z55" i="51"/>
  <c r="P55" i="51"/>
  <c r="F55" i="51"/>
  <c r="E55" i="51"/>
  <c r="B55" i="51"/>
  <c r="BA55" i="51" s="1"/>
  <c r="BC55" i="51" s="1"/>
  <c r="AA54" i="51"/>
  <c r="Z54" i="51"/>
  <c r="P54" i="51"/>
  <c r="E54" i="51"/>
  <c r="B54" i="51"/>
  <c r="BA54" i="51" s="1"/>
  <c r="BC54" i="51" s="1"/>
  <c r="AA53" i="51"/>
  <c r="Z53" i="51"/>
  <c r="P53" i="51"/>
  <c r="F53" i="51"/>
  <c r="E53" i="51"/>
  <c r="B53" i="51"/>
  <c r="BA53" i="51" s="1"/>
  <c r="BC53" i="51" s="1"/>
  <c r="AA52" i="51"/>
  <c r="P52" i="51"/>
  <c r="E52" i="51"/>
  <c r="B52" i="51"/>
  <c r="BA52" i="51" s="1"/>
  <c r="BC52" i="51" s="1"/>
  <c r="AA51" i="51"/>
  <c r="Z51" i="51"/>
  <c r="P51" i="51"/>
  <c r="F51" i="51"/>
  <c r="E51" i="51"/>
  <c r="B51" i="51"/>
  <c r="BA51" i="51" s="1"/>
  <c r="BC51" i="51" s="1"/>
  <c r="AA50" i="51"/>
  <c r="P50" i="51"/>
  <c r="E50" i="51"/>
  <c r="B50" i="51"/>
  <c r="BA50" i="51" s="1"/>
  <c r="BC50" i="51" s="1"/>
  <c r="AA49" i="51"/>
  <c r="Z49" i="51"/>
  <c r="P49" i="51"/>
  <c r="F49" i="51"/>
  <c r="E49" i="51"/>
  <c r="B49" i="51"/>
  <c r="BA49" i="51" s="1"/>
  <c r="BC49" i="51" s="1"/>
  <c r="AA48" i="51"/>
  <c r="P48" i="51"/>
  <c r="E48" i="51"/>
  <c r="B48" i="51"/>
  <c r="BA48" i="51" s="1"/>
  <c r="BC48" i="51" s="1"/>
  <c r="AA47" i="51"/>
  <c r="Z47" i="51"/>
  <c r="P47" i="51"/>
  <c r="F47" i="51"/>
  <c r="E47" i="51"/>
  <c r="B47" i="51"/>
  <c r="BA47" i="51" s="1"/>
  <c r="BC47" i="51" s="1"/>
  <c r="AA46" i="51"/>
  <c r="Z46" i="51"/>
  <c r="P46" i="51"/>
  <c r="E46" i="51"/>
  <c r="B46" i="51"/>
  <c r="BA46" i="51" s="1"/>
  <c r="BC46" i="51" s="1"/>
  <c r="AA45" i="51"/>
  <c r="Z45" i="51"/>
  <c r="P45" i="51"/>
  <c r="F45" i="51"/>
  <c r="E45" i="51"/>
  <c r="B45" i="51"/>
  <c r="BA45" i="51" s="1"/>
  <c r="BC45" i="51" s="1"/>
  <c r="AA44" i="51"/>
  <c r="P44" i="51"/>
  <c r="E44" i="51"/>
  <c r="B44" i="51"/>
  <c r="BA44" i="51" s="1"/>
  <c r="BC44" i="51" s="1"/>
  <c r="AA43" i="51"/>
  <c r="Z43" i="51"/>
  <c r="P43" i="51"/>
  <c r="F43" i="51"/>
  <c r="E43" i="51"/>
  <c r="B43" i="51"/>
  <c r="BA43" i="51" s="1"/>
  <c r="BC43" i="51" s="1"/>
  <c r="AA42" i="51"/>
  <c r="P42" i="51"/>
  <c r="E42" i="51"/>
  <c r="B42" i="51"/>
  <c r="BA42" i="51" s="1"/>
  <c r="BC42" i="51" s="1"/>
  <c r="AA41" i="51"/>
  <c r="Z41" i="51"/>
  <c r="P41" i="51"/>
  <c r="F41" i="51"/>
  <c r="E41" i="51"/>
  <c r="B41" i="51"/>
  <c r="BA41" i="51" s="1"/>
  <c r="BC41" i="51" s="1"/>
  <c r="AA40" i="51"/>
  <c r="P40" i="51"/>
  <c r="E40" i="51"/>
  <c r="B40" i="51"/>
  <c r="BA40" i="51" s="1"/>
  <c r="BC40" i="51" s="1"/>
  <c r="AA39" i="51"/>
  <c r="Z39" i="51"/>
  <c r="P39" i="51"/>
  <c r="F39" i="51"/>
  <c r="E39" i="51"/>
  <c r="B39" i="51"/>
  <c r="BA39" i="51" s="1"/>
  <c r="BC39" i="51" s="1"/>
  <c r="AA38" i="51"/>
  <c r="Z38" i="51"/>
  <c r="P38" i="51"/>
  <c r="E38" i="51"/>
  <c r="B38" i="51"/>
  <c r="BA38" i="51" s="1"/>
  <c r="BC38" i="51" s="1"/>
  <c r="AA37" i="51"/>
  <c r="Z37" i="51"/>
  <c r="P37" i="51"/>
  <c r="F37" i="51"/>
  <c r="E37" i="51"/>
  <c r="B37" i="51"/>
  <c r="BA37" i="51" s="1"/>
  <c r="BC37" i="51" s="1"/>
  <c r="AA36" i="51"/>
  <c r="P36" i="51"/>
  <c r="E36" i="51"/>
  <c r="B36" i="51"/>
  <c r="BA36" i="51" s="1"/>
  <c r="BC36" i="51" s="1"/>
  <c r="AA35" i="51"/>
  <c r="Z35" i="51"/>
  <c r="P35" i="51"/>
  <c r="F35" i="51"/>
  <c r="E35" i="51"/>
  <c r="B35" i="51"/>
  <c r="BA35" i="51" s="1"/>
  <c r="BC35" i="51" s="1"/>
  <c r="AA34" i="51"/>
  <c r="P34" i="51"/>
  <c r="E34" i="51"/>
  <c r="B34" i="51"/>
  <c r="BA34" i="51" s="1"/>
  <c r="BC34" i="51" s="1"/>
  <c r="AA33" i="51"/>
  <c r="Z33" i="51"/>
  <c r="P33" i="51"/>
  <c r="F33" i="51"/>
  <c r="E33" i="51"/>
  <c r="B33" i="51"/>
  <c r="BA33" i="51" s="1"/>
  <c r="BC33" i="51" s="1"/>
  <c r="AA32" i="51"/>
  <c r="P32" i="51"/>
  <c r="E32" i="51"/>
  <c r="B32" i="51"/>
  <c r="BA32" i="51" s="1"/>
  <c r="BC32" i="51" s="1"/>
  <c r="AA31" i="51"/>
  <c r="Z31" i="51"/>
  <c r="P31" i="51"/>
  <c r="F31" i="51"/>
  <c r="E31" i="51"/>
  <c r="B31" i="51"/>
  <c r="BA31" i="51" s="1"/>
  <c r="BC31" i="51" s="1"/>
  <c r="AA30" i="51"/>
  <c r="Z30" i="51"/>
  <c r="P30" i="51"/>
  <c r="E30" i="51"/>
  <c r="B30" i="51"/>
  <c r="BA30" i="51" s="1"/>
  <c r="BC30" i="51" s="1"/>
  <c r="AA29" i="51"/>
  <c r="Z29" i="51"/>
  <c r="P29" i="51"/>
  <c r="F29" i="51"/>
  <c r="E29" i="51"/>
  <c r="B29" i="51"/>
  <c r="BA29" i="51" s="1"/>
  <c r="BC29" i="51" s="1"/>
  <c r="AA28" i="51"/>
  <c r="P28" i="51"/>
  <c r="E28" i="51"/>
  <c r="B28" i="51"/>
  <c r="BA28" i="51" s="1"/>
  <c r="BC28" i="51" s="1"/>
  <c r="AA27" i="51"/>
  <c r="Z27" i="51"/>
  <c r="P27" i="51"/>
  <c r="F27" i="51"/>
  <c r="E27" i="51"/>
  <c r="B27" i="51"/>
  <c r="BA27" i="51" s="1"/>
  <c r="BC27" i="51" s="1"/>
  <c r="AA26" i="51"/>
  <c r="P26" i="51"/>
  <c r="E26" i="51"/>
  <c r="B26" i="51"/>
  <c r="BA26" i="51" s="1"/>
  <c r="BC26" i="51" s="1"/>
  <c r="AA25" i="51"/>
  <c r="Z25" i="51"/>
  <c r="P25" i="51"/>
  <c r="F25" i="51"/>
  <c r="E25" i="51"/>
  <c r="B25" i="51"/>
  <c r="BA25" i="51" s="1"/>
  <c r="BC25" i="51" s="1"/>
  <c r="AA24" i="51"/>
  <c r="P24" i="51"/>
  <c r="E24" i="51"/>
  <c r="B24" i="51"/>
  <c r="BA24" i="51" s="1"/>
  <c r="BC24" i="51" s="1"/>
  <c r="AA23" i="51"/>
  <c r="Z23" i="51"/>
  <c r="P23" i="51"/>
  <c r="F23" i="51"/>
  <c r="E23" i="51"/>
  <c r="B23" i="51"/>
  <c r="BA23" i="51" s="1"/>
  <c r="BC23" i="51" s="1"/>
  <c r="AA22" i="51"/>
  <c r="Z22" i="51"/>
  <c r="P22" i="51"/>
  <c r="E22" i="51"/>
  <c r="B22" i="51"/>
  <c r="BA22" i="51" s="1"/>
  <c r="BC22" i="51" s="1"/>
  <c r="AA21" i="51"/>
  <c r="Z21" i="51"/>
  <c r="P21" i="51"/>
  <c r="F21" i="51"/>
  <c r="E21" i="51"/>
  <c r="B21" i="51"/>
  <c r="BA21" i="51" s="1"/>
  <c r="BC21" i="51" s="1"/>
  <c r="AA20" i="51"/>
  <c r="P20" i="51"/>
  <c r="E20" i="51"/>
  <c r="B20" i="51"/>
  <c r="BA20" i="51" s="1"/>
  <c r="BC20" i="51" s="1"/>
  <c r="AA19" i="51"/>
  <c r="Z19" i="51"/>
  <c r="P19" i="51"/>
  <c r="F19" i="51"/>
  <c r="E19" i="51"/>
  <c r="B19" i="51"/>
  <c r="BA19" i="51" s="1"/>
  <c r="BC19" i="51" s="1"/>
  <c r="AA18" i="51"/>
  <c r="P18" i="51"/>
  <c r="E18" i="51"/>
  <c r="B18" i="51"/>
  <c r="BA18" i="51" s="1"/>
  <c r="BC18" i="51" s="1"/>
  <c r="AA17" i="51"/>
  <c r="Z17" i="51"/>
  <c r="P17" i="51"/>
  <c r="F17" i="51"/>
  <c r="E17" i="51"/>
  <c r="B17" i="51"/>
  <c r="BA17" i="51" s="1"/>
  <c r="BC17" i="51" s="1"/>
  <c r="AA16" i="51"/>
  <c r="P16" i="51"/>
  <c r="F16" i="51"/>
  <c r="E16" i="51"/>
  <c r="B16" i="51"/>
  <c r="BA16" i="51" s="1"/>
  <c r="BC16" i="51" s="1"/>
  <c r="AA15" i="51"/>
  <c r="Z15" i="51"/>
  <c r="P15" i="51"/>
  <c r="F15" i="51"/>
  <c r="E15" i="51"/>
  <c r="B15" i="51"/>
  <c r="BA15" i="51" s="1"/>
  <c r="AA14" i="51"/>
  <c r="Z14" i="51"/>
  <c r="P14" i="51"/>
  <c r="G14" i="51"/>
  <c r="I14" i="51" s="1"/>
  <c r="F14" i="51"/>
  <c r="E14" i="51"/>
  <c r="B14" i="51"/>
  <c r="BA14" i="51" s="1"/>
  <c r="BC14" i="51" s="1"/>
  <c r="AE12" i="51"/>
  <c r="AB12" i="51"/>
  <c r="BE11" i="51"/>
  <c r="BD11" i="51"/>
  <c r="AH11" i="51"/>
  <c r="E36" i="8"/>
  <c r="E35" i="8"/>
  <c r="BD64" i="51" l="1"/>
  <c r="BD65" i="51"/>
  <c r="BD22" i="51"/>
  <c r="BE36" i="51"/>
  <c r="BD50" i="51"/>
  <c r="BD97" i="51"/>
  <c r="BD37" i="51"/>
  <c r="BD51" i="51"/>
  <c r="BE54" i="51"/>
  <c r="BE18" i="51"/>
  <c r="BD32" i="51"/>
  <c r="BD86" i="51"/>
  <c r="BD100" i="51"/>
  <c r="BE14" i="51"/>
  <c r="BD19" i="51"/>
  <c r="BD33" i="51"/>
  <c r="BD47" i="51"/>
  <c r="BE96" i="51"/>
  <c r="BD16" i="51"/>
  <c r="BD27" i="51"/>
  <c r="BE30" i="51"/>
  <c r="BD41" i="51"/>
  <c r="BD44" i="51"/>
  <c r="BD59" i="51"/>
  <c r="BD62" i="51"/>
  <c r="BD73" i="51"/>
  <c r="BD76" i="51"/>
  <c r="BD77" i="51"/>
  <c r="BD87" i="51"/>
  <c r="BE90" i="51"/>
  <c r="BD91" i="51"/>
  <c r="BD94" i="51"/>
  <c r="BD17" i="51"/>
  <c r="BD20" i="51"/>
  <c r="BD21" i="51"/>
  <c r="BD31" i="51"/>
  <c r="BD34" i="51"/>
  <c r="BD35" i="51"/>
  <c r="BD38" i="51"/>
  <c r="BE48" i="51"/>
  <c r="BD49" i="51"/>
  <c r="BD52" i="51"/>
  <c r="BD53" i="51"/>
  <c r="BD63" i="51"/>
  <c r="BE66" i="51"/>
  <c r="BD67" i="51"/>
  <c r="BD70" i="51"/>
  <c r="BD80" i="51"/>
  <c r="BD81" i="51"/>
  <c r="BE84" i="51"/>
  <c r="BD85" i="51"/>
  <c r="BD95" i="51"/>
  <c r="BD98" i="51"/>
  <c r="BD99" i="51"/>
  <c r="BD23" i="51"/>
  <c r="BD26" i="51"/>
  <c r="BD40" i="51"/>
  <c r="BD45" i="51"/>
  <c r="BD55" i="51"/>
  <c r="BD58" i="51"/>
  <c r="BE72" i="51"/>
  <c r="BE24" i="51"/>
  <c r="BD25" i="51"/>
  <c r="BD28" i="51"/>
  <c r="BD29" i="51"/>
  <c r="BD39" i="51"/>
  <c r="BE42" i="51"/>
  <c r="BD43" i="51"/>
  <c r="BD46" i="51"/>
  <c r="BD56" i="51"/>
  <c r="BE60" i="51"/>
  <c r="BD61" i="51"/>
  <c r="BD71" i="51"/>
  <c r="BD74" i="51"/>
  <c r="BD75" i="51"/>
  <c r="BE78" i="51"/>
  <c r="BD88" i="51"/>
  <c r="BD89" i="51"/>
  <c r="BD92" i="51"/>
  <c r="BD93" i="51"/>
  <c r="BD96" i="51"/>
  <c r="BD90" i="51"/>
  <c r="BD84" i="51"/>
  <c r="BD78" i="51"/>
  <c r="BD72" i="51"/>
  <c r="BD66" i="51"/>
  <c r="BD60" i="51"/>
  <c r="BD54" i="51"/>
  <c r="BD48" i="51"/>
  <c r="BD42" i="51"/>
  <c r="BD36" i="51"/>
  <c r="BD30" i="51"/>
  <c r="BD24" i="51"/>
  <c r="BD18" i="51"/>
  <c r="BD14" i="51"/>
  <c r="BE95" i="51"/>
  <c r="BE89" i="51"/>
  <c r="BE83" i="51"/>
  <c r="BE77" i="51"/>
  <c r="BE71" i="51"/>
  <c r="BE65" i="51"/>
  <c r="BE59" i="51"/>
  <c r="BE53" i="51"/>
  <c r="BE47" i="51"/>
  <c r="BE41" i="51"/>
  <c r="BE35" i="51"/>
  <c r="BE29" i="51"/>
  <c r="BE23" i="51"/>
  <c r="BE17" i="51"/>
  <c r="BE100" i="51"/>
  <c r="BE94" i="51"/>
  <c r="BE88" i="51"/>
  <c r="BE82" i="51"/>
  <c r="BE76" i="51"/>
  <c r="BE70" i="51"/>
  <c r="BE64" i="51"/>
  <c r="BE58" i="51"/>
  <c r="BE52" i="51"/>
  <c r="BE46" i="51"/>
  <c r="BE40" i="51"/>
  <c r="BE34" i="51"/>
  <c r="BE28" i="51"/>
  <c r="BE22" i="51"/>
  <c r="BE16" i="51"/>
  <c r="BE99" i="51"/>
  <c r="BE93" i="51"/>
  <c r="BE87" i="51"/>
  <c r="BE81" i="51"/>
  <c r="BE75" i="51"/>
  <c r="BE69" i="51"/>
  <c r="BE63" i="51"/>
  <c r="BE57" i="51"/>
  <c r="BE51" i="51"/>
  <c r="BE45" i="51"/>
  <c r="BE39" i="51"/>
  <c r="BE33" i="51"/>
  <c r="BE27" i="51"/>
  <c r="BE21" i="51"/>
  <c r="BE98" i="51"/>
  <c r="BE92" i="51"/>
  <c r="BE86" i="51"/>
  <c r="BE80" i="51"/>
  <c r="BE74" i="51"/>
  <c r="BE68" i="51"/>
  <c r="BE62" i="51"/>
  <c r="BE56" i="51"/>
  <c r="BE50" i="51"/>
  <c r="BE44" i="51"/>
  <c r="BE38" i="51"/>
  <c r="BE32" i="51"/>
  <c r="BE26" i="51"/>
  <c r="BE20" i="51"/>
  <c r="BE97" i="51"/>
  <c r="BE91" i="51"/>
  <c r="BE85" i="51"/>
  <c r="BE79" i="51"/>
  <c r="BE73" i="51"/>
  <c r="BE67" i="51"/>
  <c r="BE61" i="51"/>
  <c r="BE55" i="51"/>
  <c r="BE49" i="51"/>
  <c r="BE43" i="51"/>
  <c r="BE37" i="51"/>
  <c r="BE31" i="51"/>
  <c r="BE25" i="51"/>
  <c r="BE19" i="51"/>
  <c r="G15" i="51"/>
  <c r="I15" i="51" s="1"/>
  <c r="AC17" i="51"/>
  <c r="AC18" i="51" s="1"/>
  <c r="AC19" i="51" s="1"/>
  <c r="AC20" i="51" s="1"/>
  <c r="AC21" i="51" s="1"/>
  <c r="AC22" i="51" s="1"/>
  <c r="AC23" i="51" s="1"/>
  <c r="AC24" i="51" s="1"/>
  <c r="AC25" i="51" s="1"/>
  <c r="AC26" i="51" s="1"/>
  <c r="AC27" i="51" s="1"/>
  <c r="AC28" i="51" s="1"/>
  <c r="AC29" i="51" s="1"/>
  <c r="AC30" i="51" s="1"/>
  <c r="AC31" i="51" s="1"/>
  <c r="AC32" i="51" s="1"/>
  <c r="AC33" i="51" s="1"/>
  <c r="AC34" i="51" s="1"/>
  <c r="AC35" i="51" s="1"/>
  <c r="AC36" i="51" s="1"/>
  <c r="AC37" i="51" s="1"/>
  <c r="AC38" i="51" s="1"/>
  <c r="AC39" i="51" s="1"/>
  <c r="AC40" i="51" s="1"/>
  <c r="AC41" i="51" s="1"/>
  <c r="AC42" i="51" s="1"/>
  <c r="AC43" i="51" s="1"/>
  <c r="AC44" i="51" s="1"/>
  <c r="AC45" i="51" s="1"/>
  <c r="AC46" i="51" s="1"/>
  <c r="AC47" i="51" s="1"/>
  <c r="AC48" i="51" s="1"/>
  <c r="AC49" i="51" s="1"/>
  <c r="AC50" i="51" s="1"/>
  <c r="AC51" i="51" s="1"/>
  <c r="AC52" i="51" s="1"/>
  <c r="AC53" i="51" s="1"/>
  <c r="AC54" i="51" s="1"/>
  <c r="AC55" i="51" s="1"/>
  <c r="AC56" i="51" s="1"/>
  <c r="AC57" i="51" s="1"/>
  <c r="AC58" i="51" s="1"/>
  <c r="AC59" i="51" s="1"/>
  <c r="AC60" i="51" s="1"/>
  <c r="AC61" i="51" s="1"/>
  <c r="AC62" i="51" s="1"/>
  <c r="AC63" i="51" s="1"/>
  <c r="AC64" i="51" s="1"/>
  <c r="AC65" i="51" s="1"/>
  <c r="AC66" i="51" s="1"/>
  <c r="AC67" i="51" s="1"/>
  <c r="AC68" i="51" s="1"/>
  <c r="AC69" i="51" s="1"/>
  <c r="AC70" i="51" s="1"/>
  <c r="AC71" i="51" s="1"/>
  <c r="AC72" i="51" s="1"/>
  <c r="AC73" i="51" s="1"/>
  <c r="AC74" i="51" s="1"/>
  <c r="AC75" i="51" s="1"/>
  <c r="AC76" i="51" s="1"/>
  <c r="AC77" i="51" s="1"/>
  <c r="AC78" i="51" s="1"/>
  <c r="AC79" i="51" s="1"/>
  <c r="AC80" i="51" s="1"/>
  <c r="AC81" i="51" s="1"/>
  <c r="AC82" i="51" s="1"/>
  <c r="AC83" i="51" s="1"/>
  <c r="AC84" i="51" s="1"/>
  <c r="AC85" i="51" s="1"/>
  <c r="AC86" i="51" s="1"/>
  <c r="AC87" i="51" s="1"/>
  <c r="AC88" i="51" s="1"/>
  <c r="AC89" i="51" s="1"/>
  <c r="AC90" i="51" s="1"/>
  <c r="AC91" i="51" s="1"/>
  <c r="AC92" i="51" s="1"/>
  <c r="AC93" i="51" s="1"/>
  <c r="AC94" i="51" s="1"/>
  <c r="AC95" i="51" s="1"/>
  <c r="AC96" i="51" s="1"/>
  <c r="AC97" i="51" s="1"/>
  <c r="AC98" i="51" s="1"/>
  <c r="AC99" i="51" s="1"/>
  <c r="AC100" i="51" s="1"/>
  <c r="G16" i="51"/>
  <c r="I16" i="51" s="1"/>
  <c r="Y15" i="51"/>
  <c r="W15" i="51" s="1"/>
  <c r="AE16" i="51"/>
  <c r="AB22" i="51"/>
  <c r="AD14" i="51"/>
  <c r="L14" i="51" s="1"/>
  <c r="J14" i="51" s="1"/>
  <c r="AG98" i="51"/>
  <c r="AD97" i="51"/>
  <c r="O96" i="51"/>
  <c r="Q96" i="51" s="1"/>
  <c r="AD95" i="51"/>
  <c r="AD93" i="51"/>
  <c r="O92" i="51"/>
  <c r="AD91" i="51"/>
  <c r="AD89" i="51"/>
  <c r="AD88" i="51"/>
  <c r="AD84" i="51"/>
  <c r="O84" i="51"/>
  <c r="AG83" i="51"/>
  <c r="AD82" i="51"/>
  <c r="AG81" i="51"/>
  <c r="AD80" i="51"/>
  <c r="AG79" i="51"/>
  <c r="AD78" i="51"/>
  <c r="AG77" i="51"/>
  <c r="AD76" i="51"/>
  <c r="AG75" i="51"/>
  <c r="AD74" i="51"/>
  <c r="AG73" i="51"/>
  <c r="AD72" i="51"/>
  <c r="AD70" i="51"/>
  <c r="O70" i="51"/>
  <c r="Q70" i="51" s="1"/>
  <c r="AG69" i="51"/>
  <c r="AG67" i="51"/>
  <c r="AD66" i="51"/>
  <c r="O63" i="51"/>
  <c r="Q63" i="51" s="1"/>
  <c r="O60" i="51"/>
  <c r="AD57" i="51"/>
  <c r="AD54" i="51"/>
  <c r="AG100" i="51"/>
  <c r="O100" i="51"/>
  <c r="Q100" i="51" s="1"/>
  <c r="AG99" i="51"/>
  <c r="O99" i="51"/>
  <c r="Q99" i="51" s="1"/>
  <c r="AG96" i="51"/>
  <c r="O95" i="51"/>
  <c r="Q95" i="51" s="1"/>
  <c r="AD94" i="51"/>
  <c r="AG92" i="51"/>
  <c r="O91" i="51"/>
  <c r="Q91" i="51" s="1"/>
  <c r="AD90" i="51"/>
  <c r="O88" i="51"/>
  <c r="AD87" i="51"/>
  <c r="AD86" i="51"/>
  <c r="O86" i="51"/>
  <c r="Q86" i="51" s="1"/>
  <c r="AG85" i="51"/>
  <c r="O83" i="51"/>
  <c r="Q83" i="51" s="1"/>
  <c r="AG71" i="51"/>
  <c r="O69" i="51"/>
  <c r="Q69" i="51" s="1"/>
  <c r="AG68" i="51"/>
  <c r="O68" i="51"/>
  <c r="AD65" i="51"/>
  <c r="O65" i="51"/>
  <c r="AG64" i="51"/>
  <c r="AD63" i="51"/>
  <c r="AD62" i="51"/>
  <c r="O62" i="51"/>
  <c r="AG61" i="51"/>
  <c r="AD60" i="51"/>
  <c r="AG59" i="51"/>
  <c r="AG58" i="51"/>
  <c r="AG56" i="51"/>
  <c r="AG55" i="51"/>
  <c r="AD51" i="51"/>
  <c r="AD98" i="51"/>
  <c r="AG97" i="51"/>
  <c r="O97" i="51"/>
  <c r="Q97" i="51" s="1"/>
  <c r="AG95" i="51"/>
  <c r="O94" i="51"/>
  <c r="Q94" i="51" s="1"/>
  <c r="AG93" i="51"/>
  <c r="O93" i="51"/>
  <c r="Q93" i="51" s="1"/>
  <c r="AG91" i="51"/>
  <c r="AG89" i="51"/>
  <c r="AG88" i="51"/>
  <c r="O87" i="51"/>
  <c r="Q87" i="51" s="1"/>
  <c r="O85" i="51"/>
  <c r="AG84" i="51"/>
  <c r="AD83" i="51"/>
  <c r="AG82" i="51"/>
  <c r="AD81" i="51"/>
  <c r="O81" i="51"/>
  <c r="AG80" i="51"/>
  <c r="AD79" i="51"/>
  <c r="O79" i="51"/>
  <c r="Q79" i="51" s="1"/>
  <c r="AG78" i="51"/>
  <c r="AD77" i="51"/>
  <c r="O77" i="51"/>
  <c r="Q77" i="51" s="1"/>
  <c r="AG76" i="51"/>
  <c r="AD75" i="51"/>
  <c r="O75" i="51"/>
  <c r="AG74" i="51"/>
  <c r="AD73" i="51"/>
  <c r="O73" i="51"/>
  <c r="AG72" i="51"/>
  <c r="O71" i="51"/>
  <c r="Q71" i="51" s="1"/>
  <c r="AG70" i="51"/>
  <c r="AD69" i="51"/>
  <c r="AD67" i="51"/>
  <c r="O67" i="51"/>
  <c r="Q67" i="51" s="1"/>
  <c r="AG66" i="51"/>
  <c r="AD96" i="51"/>
  <c r="AG94" i="51"/>
  <c r="AD92" i="51"/>
  <c r="AG90" i="51"/>
  <c r="O66" i="51"/>
  <c r="AD64" i="51"/>
  <c r="AG63" i="51"/>
  <c r="O58" i="51"/>
  <c r="AD53" i="51"/>
  <c r="AD49" i="51"/>
  <c r="AD46" i="51"/>
  <c r="AD45" i="51"/>
  <c r="O45" i="51"/>
  <c r="Q45" i="51" s="1"/>
  <c r="AD44" i="51"/>
  <c r="O42" i="51"/>
  <c r="Q42" i="51" s="1"/>
  <c r="AG41" i="51"/>
  <c r="O40" i="51"/>
  <c r="Q40" i="51" s="1"/>
  <c r="O39" i="51"/>
  <c r="Q39" i="51" s="1"/>
  <c r="AG38" i="51"/>
  <c r="AG37" i="51"/>
  <c r="O37" i="51"/>
  <c r="Q37" i="51" s="1"/>
  <c r="AD36" i="51"/>
  <c r="O33" i="51"/>
  <c r="Q33" i="51" s="1"/>
  <c r="O31" i="51"/>
  <c r="Q31" i="51" s="1"/>
  <c r="AG29" i="51"/>
  <c r="AD28" i="51"/>
  <c r="O28" i="51"/>
  <c r="Q28" i="51" s="1"/>
  <c r="AG26" i="51"/>
  <c r="O89" i="51"/>
  <c r="Q89" i="51" s="1"/>
  <c r="AG87" i="51"/>
  <c r="AG86" i="51"/>
  <c r="AD61" i="51"/>
  <c r="AG60" i="51"/>
  <c r="AD59" i="51"/>
  <c r="O57" i="51"/>
  <c r="AD56" i="51"/>
  <c r="O55" i="51"/>
  <c r="Q55" i="51" s="1"/>
  <c r="AG54" i="51"/>
  <c r="AD52" i="51"/>
  <c r="AG50" i="51"/>
  <c r="AG48" i="51"/>
  <c r="AG47" i="51"/>
  <c r="AD43" i="51"/>
  <c r="O43" i="51"/>
  <c r="AD42" i="51"/>
  <c r="O41" i="51"/>
  <c r="AD40" i="51"/>
  <c r="AD39" i="51"/>
  <c r="O38" i="51"/>
  <c r="Q38" i="51" s="1"/>
  <c r="AD35" i="51"/>
  <c r="AG34" i="51"/>
  <c r="AG33" i="51"/>
  <c r="AD32" i="51"/>
  <c r="O32" i="51"/>
  <c r="Q32" i="51" s="1"/>
  <c r="AG31" i="51"/>
  <c r="AD30" i="51"/>
  <c r="O30" i="51"/>
  <c r="Q30" i="51" s="1"/>
  <c r="AD100" i="51"/>
  <c r="AD99" i="51"/>
  <c r="O98" i="51"/>
  <c r="Q98" i="51" s="1"/>
  <c r="O90" i="51"/>
  <c r="Q90" i="51" s="1"/>
  <c r="AD85" i="51"/>
  <c r="AD71" i="51"/>
  <c r="AG65" i="51"/>
  <c r="O64" i="51"/>
  <c r="Q64" i="51" s="1"/>
  <c r="AD58" i="51"/>
  <c r="AG53" i="51"/>
  <c r="O50" i="51"/>
  <c r="Q50" i="51" s="1"/>
  <c r="AG49" i="51"/>
  <c r="O48" i="51"/>
  <c r="Q48" i="51" s="1"/>
  <c r="O47" i="51"/>
  <c r="Q47" i="51" s="1"/>
  <c r="AG46" i="51"/>
  <c r="AG45" i="51"/>
  <c r="AG44" i="51"/>
  <c r="AD41" i="51"/>
  <c r="AD38" i="51"/>
  <c r="AD37" i="51"/>
  <c r="AG36" i="51"/>
  <c r="O35" i="51"/>
  <c r="Q35" i="51" s="1"/>
  <c r="O34" i="51"/>
  <c r="Q34" i="51" s="1"/>
  <c r="AD29" i="51"/>
  <c r="AG28" i="51"/>
  <c r="AD26" i="51"/>
  <c r="O26" i="51"/>
  <c r="Q26" i="51" s="1"/>
  <c r="AD23" i="51"/>
  <c r="O23" i="51"/>
  <c r="O18" i="51"/>
  <c r="Q18" i="51" s="1"/>
  <c r="O24" i="51"/>
  <c r="Q24" i="51" s="1"/>
  <c r="O27" i="51"/>
  <c r="AG30" i="51"/>
  <c r="AG39" i="51"/>
  <c r="AD47" i="51"/>
  <c r="O49" i="51"/>
  <c r="AG52" i="51"/>
  <c r="AD55" i="51"/>
  <c r="O56" i="51"/>
  <c r="Q56" i="51" s="1"/>
  <c r="AG57" i="51"/>
  <c r="O19" i="51"/>
  <c r="Q19" i="51" s="1"/>
  <c r="AD19" i="51"/>
  <c r="L19" i="51" s="1"/>
  <c r="AG21" i="51"/>
  <c r="AD22" i="51"/>
  <c r="O25" i="51"/>
  <c r="Q25" i="51" s="1"/>
  <c r="O29" i="51"/>
  <c r="Q29" i="51" s="1"/>
  <c r="AG32" i="51"/>
  <c r="AD48" i="51"/>
  <c r="O51" i="51"/>
  <c r="O59" i="51"/>
  <c r="AG62" i="51"/>
  <c r="O76" i="51"/>
  <c r="AD18" i="51"/>
  <c r="L18" i="51" s="1"/>
  <c r="AG20" i="51"/>
  <c r="AG25" i="51"/>
  <c r="AD27" i="51"/>
  <c r="AG35" i="51"/>
  <c r="AG40" i="51"/>
  <c r="AG43" i="51"/>
  <c r="O20" i="51"/>
  <c r="Q20" i="51" s="1"/>
  <c r="AG23" i="51"/>
  <c r="AG24" i="51"/>
  <c r="AD25" i="51"/>
  <c r="AG27" i="51"/>
  <c r="AD31" i="51"/>
  <c r="AG42" i="51"/>
  <c r="O46" i="51"/>
  <c r="Q46" i="51" s="1"/>
  <c r="AD50" i="51"/>
  <c r="O52" i="51"/>
  <c r="Q52" i="51" s="1"/>
  <c r="O74" i="51"/>
  <c r="O82" i="51"/>
  <c r="O22" i="51"/>
  <c r="Q22" i="51" s="1"/>
  <c r="AD24" i="51"/>
  <c r="AD34" i="51"/>
  <c r="O78" i="51"/>
  <c r="AG18" i="51"/>
  <c r="AD20" i="51"/>
  <c r="L20" i="51" s="1"/>
  <c r="AG19" i="51"/>
  <c r="O21" i="51"/>
  <c r="Q21" i="51" s="1"/>
  <c r="AD21" i="51"/>
  <c r="L21" i="51" s="1"/>
  <c r="AG22" i="51"/>
  <c r="AD33" i="51"/>
  <c r="O36" i="51"/>
  <c r="Q36" i="51" s="1"/>
  <c r="O44" i="51"/>
  <c r="Q44" i="51" s="1"/>
  <c r="AG51" i="51"/>
  <c r="O53" i="51"/>
  <c r="Q53" i="51" s="1"/>
  <c r="O54" i="51"/>
  <c r="Q54" i="51" s="1"/>
  <c r="O61" i="51"/>
  <c r="Q61" i="51" s="1"/>
  <c r="AD68" i="51"/>
  <c r="O72" i="51"/>
  <c r="O80" i="51"/>
  <c r="Q58" i="51"/>
  <c r="BC15" i="51"/>
  <c r="BA8" i="51"/>
  <c r="AG15" i="51"/>
  <c r="T15" i="51" s="1"/>
  <c r="V15" i="51" s="1"/>
  <c r="AG16" i="51"/>
  <c r="AG17" i="51"/>
  <c r="C25" i="51"/>
  <c r="AG14" i="51"/>
  <c r="T14" i="51" s="1"/>
  <c r="V14" i="51" s="1"/>
  <c r="O15" i="51"/>
  <c r="AD15" i="51"/>
  <c r="L15" i="51" s="1"/>
  <c r="J15" i="51" s="1"/>
  <c r="O16" i="51"/>
  <c r="AD16" i="51"/>
  <c r="L16" i="51" s="1"/>
  <c r="J16" i="51" s="1"/>
  <c r="O17" i="51"/>
  <c r="AD17" i="51"/>
  <c r="L17" i="51" s="1"/>
  <c r="Y14" i="51"/>
  <c r="O14" i="51"/>
  <c r="T16" i="51" l="1"/>
  <c r="V16" i="51" s="1"/>
  <c r="J17" i="51"/>
  <c r="G17" i="51"/>
  <c r="I17" i="51" s="1"/>
  <c r="BD15" i="51"/>
  <c r="BE15" i="51"/>
  <c r="D15" i="51" s="1"/>
  <c r="L22" i="51"/>
  <c r="J22" i="51" s="1"/>
  <c r="D63" i="51"/>
  <c r="C92" i="51"/>
  <c r="D93" i="51"/>
  <c r="M18" i="51"/>
  <c r="J19" i="51"/>
  <c r="J20" i="51"/>
  <c r="J18" i="51"/>
  <c r="G20" i="51"/>
  <c r="I20" i="51" s="1"/>
  <c r="J21" i="51"/>
  <c r="G21" i="51"/>
  <c r="I21" i="51" s="1"/>
  <c r="G18" i="51"/>
  <c r="I18" i="51" s="1"/>
  <c r="G19" i="51"/>
  <c r="I19" i="51" s="1"/>
  <c r="AE17" i="51"/>
  <c r="Y16" i="51"/>
  <c r="W16" i="51" s="1"/>
  <c r="G22" i="51"/>
  <c r="I22" i="51" s="1"/>
  <c r="AB23" i="51"/>
  <c r="L23" i="51" s="1"/>
  <c r="J23" i="51" s="1"/>
  <c r="M19" i="51"/>
  <c r="Q73" i="51"/>
  <c r="Q27" i="51"/>
  <c r="Q92" i="51"/>
  <c r="M20" i="51"/>
  <c r="Q81" i="51"/>
  <c r="C64" i="51"/>
  <c r="C73" i="51"/>
  <c r="D88" i="51"/>
  <c r="C71" i="51"/>
  <c r="D40" i="51"/>
  <c r="C32" i="51"/>
  <c r="C17" i="51"/>
  <c r="D84" i="51"/>
  <c r="C89" i="51"/>
  <c r="D66" i="51"/>
  <c r="C83" i="51"/>
  <c r="C78" i="51"/>
  <c r="D55" i="51"/>
  <c r="D22" i="51"/>
  <c r="D33" i="51"/>
  <c r="D72" i="51"/>
  <c r="D36" i="51"/>
  <c r="C77" i="51"/>
  <c r="C49" i="51"/>
  <c r="C91" i="51"/>
  <c r="C76" i="51"/>
  <c r="D47" i="51"/>
  <c r="C23" i="51"/>
  <c r="D21" i="51"/>
  <c r="C52" i="51"/>
  <c r="C95" i="51"/>
  <c r="C57" i="51"/>
  <c r="D43" i="51"/>
  <c r="D51" i="51"/>
  <c r="D59" i="51"/>
  <c r="D28" i="51"/>
  <c r="D48" i="51"/>
  <c r="D56" i="51"/>
  <c r="D37" i="51"/>
  <c r="D20" i="51"/>
  <c r="D35" i="51"/>
  <c r="D45" i="51"/>
  <c r="D53" i="51"/>
  <c r="D75" i="51"/>
  <c r="D79" i="51"/>
  <c r="C19" i="51"/>
  <c r="D31" i="51"/>
  <c r="C40" i="51"/>
  <c r="C22" i="51"/>
  <c r="C29" i="51"/>
  <c r="C36" i="51"/>
  <c r="C39" i="51"/>
  <c r="C47" i="51"/>
  <c r="C55" i="51"/>
  <c r="D62" i="51"/>
  <c r="D74" i="51"/>
  <c r="C65" i="51"/>
  <c r="D69" i="51"/>
  <c r="C72" i="51"/>
  <c r="D80" i="51"/>
  <c r="C66" i="51"/>
  <c r="D85" i="51"/>
  <c r="D96" i="51"/>
  <c r="C63" i="51"/>
  <c r="C84" i="51"/>
  <c r="D90" i="51"/>
  <c r="D100" i="51"/>
  <c r="D95" i="51"/>
  <c r="D98" i="51"/>
  <c r="C93" i="51"/>
  <c r="C97" i="51"/>
  <c r="D14" i="51"/>
  <c r="D17" i="51"/>
  <c r="C96" i="51"/>
  <c r="D67" i="51"/>
  <c r="C87" i="51"/>
  <c r="C90" i="51"/>
  <c r="C99" i="51"/>
  <c r="C98" i="51"/>
  <c r="C16" i="51"/>
  <c r="D99" i="51"/>
  <c r="D42" i="51"/>
  <c r="D58" i="51"/>
  <c r="D26" i="51"/>
  <c r="D34" i="51"/>
  <c r="D41" i="51"/>
  <c r="C33" i="51"/>
  <c r="D18" i="51"/>
  <c r="D27" i="51"/>
  <c r="D44" i="51"/>
  <c r="D73" i="51"/>
  <c r="D77" i="51"/>
  <c r="D81" i="51"/>
  <c r="D23" i="51"/>
  <c r="C24" i="51"/>
  <c r="C46" i="51"/>
  <c r="C54" i="51"/>
  <c r="D78" i="51"/>
  <c r="D64" i="51"/>
  <c r="D76" i="51"/>
  <c r="D83" i="51"/>
  <c r="D82" i="51"/>
  <c r="C67" i="51"/>
  <c r="D71" i="51"/>
  <c r="C94" i="51"/>
  <c r="D87" i="51"/>
  <c r="C86" i="51"/>
  <c r="D97" i="51"/>
  <c r="C15" i="51"/>
  <c r="D16" i="51"/>
  <c r="D68" i="51"/>
  <c r="D57" i="51"/>
  <c r="C50" i="51"/>
  <c r="C58" i="51"/>
  <c r="C34" i="51"/>
  <c r="D70" i="51"/>
  <c r="C43" i="51"/>
  <c r="C51" i="51"/>
  <c r="C59" i="51"/>
  <c r="C28" i="51"/>
  <c r="C48" i="51"/>
  <c r="C56" i="51"/>
  <c r="C37" i="51"/>
  <c r="C20" i="51"/>
  <c r="C35" i="51"/>
  <c r="C45" i="51"/>
  <c r="C53" i="51"/>
  <c r="C75" i="51"/>
  <c r="C79" i="51"/>
  <c r="D19" i="51"/>
  <c r="C31" i="51"/>
  <c r="C30" i="51"/>
  <c r="D24" i="51"/>
  <c r="D38" i="51"/>
  <c r="D46" i="51"/>
  <c r="D54" i="51"/>
  <c r="D60" i="51"/>
  <c r="C62" i="51"/>
  <c r="C74" i="51"/>
  <c r="D61" i="51"/>
  <c r="C69" i="51"/>
  <c r="C80" i="51"/>
  <c r="C85" i="51"/>
  <c r="D94" i="51"/>
  <c r="D86" i="51"/>
  <c r="C100" i="51"/>
  <c r="D50" i="51"/>
  <c r="D49" i="51"/>
  <c r="D25" i="51"/>
  <c r="D32" i="51"/>
  <c r="D52" i="51"/>
  <c r="C21" i="51"/>
  <c r="D30" i="51"/>
  <c r="C38" i="51"/>
  <c r="C60" i="51"/>
  <c r="C61" i="51"/>
  <c r="C70" i="51"/>
  <c r="D91" i="51"/>
  <c r="D89" i="51"/>
  <c r="D92" i="51"/>
  <c r="C88" i="51"/>
  <c r="C42" i="51"/>
  <c r="C26" i="51"/>
  <c r="C41" i="51"/>
  <c r="C68" i="51"/>
  <c r="C82" i="51"/>
  <c r="D65" i="51"/>
  <c r="D39" i="51"/>
  <c r="D29" i="51"/>
  <c r="C81" i="51"/>
  <c r="C44" i="51"/>
  <c r="C27" i="51"/>
  <c r="C18" i="51"/>
  <c r="Q51" i="51"/>
  <c r="Q84" i="51"/>
  <c r="M21" i="51"/>
  <c r="Q80" i="51"/>
  <c r="Q82" i="51"/>
  <c r="Q66" i="51"/>
  <c r="Q62" i="51"/>
  <c r="Q65" i="51"/>
  <c r="Q60" i="51"/>
  <c r="Q41" i="51"/>
  <c r="Q88" i="51"/>
  <c r="Q75" i="51"/>
  <c r="Q23" i="51"/>
  <c r="Q72" i="51"/>
  <c r="Q74" i="51"/>
  <c r="Q43" i="51"/>
  <c r="Q85" i="51"/>
  <c r="Q76" i="51"/>
  <c r="Q78" i="51"/>
  <c r="Q59" i="51"/>
  <c r="Q49" i="51"/>
  <c r="Q57" i="51"/>
  <c r="Q68" i="51"/>
  <c r="Q17" i="51"/>
  <c r="M17" i="51"/>
  <c r="Q15" i="51"/>
  <c r="S15" i="51"/>
  <c r="U15" i="51" s="1"/>
  <c r="X15" i="51" s="1"/>
  <c r="M15" i="51"/>
  <c r="K15" i="51" s="1"/>
  <c r="H15" i="51" s="1"/>
  <c r="C14" i="51"/>
  <c r="S14" i="51"/>
  <c r="U14" i="51" s="1"/>
  <c r="M14" i="51"/>
  <c r="K14" i="51" s="1"/>
  <c r="H14" i="51" s="1"/>
  <c r="Q14" i="51"/>
  <c r="W14" i="51"/>
  <c r="S16" i="51"/>
  <c r="U16" i="51" s="1"/>
  <c r="M16" i="51"/>
  <c r="K16" i="51" s="1"/>
  <c r="H16" i="51" s="1"/>
  <c r="Q16" i="51"/>
  <c r="K17" i="51" l="1"/>
  <c r="H17" i="51" s="1"/>
  <c r="M22" i="51"/>
  <c r="K22" i="51" s="1"/>
  <c r="H22" i="51" s="1"/>
  <c r="K20" i="51"/>
  <c r="H20" i="51" s="1"/>
  <c r="K18" i="51"/>
  <c r="H18" i="51" s="1"/>
  <c r="K21" i="51"/>
  <c r="H21" i="51" s="1"/>
  <c r="K19" i="51"/>
  <c r="H19" i="51" s="1"/>
  <c r="AE18" i="51"/>
  <c r="Y17" i="51"/>
  <c r="W17" i="51" s="1"/>
  <c r="X16" i="51"/>
  <c r="T17" i="51"/>
  <c r="M23" i="51"/>
  <c r="K23" i="51" s="1"/>
  <c r="AB24" i="51"/>
  <c r="G23" i="51"/>
  <c r="I23" i="51" s="1"/>
  <c r="X14" i="51"/>
  <c r="V17" i="51" l="1"/>
  <c r="S17" i="51"/>
  <c r="AE19" i="51"/>
  <c r="Y18" i="51"/>
  <c r="W18" i="51" s="1"/>
  <c r="T18" i="51"/>
  <c r="G24" i="51"/>
  <c r="I24" i="51" s="1"/>
  <c r="AB25" i="51"/>
  <c r="L24" i="51"/>
  <c r="H23" i="51"/>
  <c r="U17" i="51" l="1"/>
  <c r="X17" i="51" s="1"/>
  <c r="AE20" i="51"/>
  <c r="Y19" i="51"/>
  <c r="W19" i="51" s="1"/>
  <c r="T19" i="51"/>
  <c r="V18" i="51"/>
  <c r="S18" i="51"/>
  <c r="J24" i="51"/>
  <c r="M24" i="51"/>
  <c r="G25" i="51"/>
  <c r="I25" i="51" s="1"/>
  <c r="AB26" i="51"/>
  <c r="L25" i="51"/>
  <c r="U18" i="51" l="1"/>
  <c r="X18" i="51" s="1"/>
  <c r="V19" i="51"/>
  <c r="S19" i="51"/>
  <c r="AE21" i="51"/>
  <c r="T20" i="51"/>
  <c r="Y20" i="51"/>
  <c r="AB27" i="51"/>
  <c r="G26" i="51"/>
  <c r="I26" i="51" s="1"/>
  <c r="L26" i="51"/>
  <c r="K24" i="51"/>
  <c r="H24" i="51" s="1"/>
  <c r="J25" i="51"/>
  <c r="M25" i="51"/>
  <c r="AE22" i="51" l="1"/>
  <c r="Y21" i="51"/>
  <c r="W21" i="51" s="1"/>
  <c r="T21" i="51"/>
  <c r="W20" i="51"/>
  <c r="U19" i="51"/>
  <c r="X19" i="51" s="1"/>
  <c r="V20" i="51"/>
  <c r="S20" i="51"/>
  <c r="J26" i="51"/>
  <c r="M26" i="51"/>
  <c r="K25" i="51"/>
  <c r="H25" i="51" s="1"/>
  <c r="AB28" i="51"/>
  <c r="G27" i="51"/>
  <c r="I27" i="51" s="1"/>
  <c r="L27" i="51"/>
  <c r="J197" i="10"/>
  <c r="J187" i="10"/>
  <c r="N493" i="10"/>
  <c r="I492" i="10"/>
  <c r="G492" i="10"/>
  <c r="I491" i="10"/>
  <c r="G491" i="10"/>
  <c r="I490" i="10"/>
  <c r="G490" i="10"/>
  <c r="I489" i="10"/>
  <c r="G489" i="10"/>
  <c r="I488" i="10"/>
  <c r="G488" i="10"/>
  <c r="I487" i="10"/>
  <c r="G487" i="10"/>
  <c r="L486" i="10"/>
  <c r="I486" i="10"/>
  <c r="E486" i="10"/>
  <c r="A486" i="10"/>
  <c r="A487" i="10" s="1"/>
  <c r="A488" i="10" s="1"/>
  <c r="A489" i="10" s="1"/>
  <c r="A490" i="10" s="1"/>
  <c r="A491" i="10" s="1"/>
  <c r="A492" i="10" s="1"/>
  <c r="A493" i="10" s="1"/>
  <c r="N484" i="10"/>
  <c r="I483" i="10"/>
  <c r="G483" i="10"/>
  <c r="I482" i="10"/>
  <c r="G482" i="10"/>
  <c r="I481" i="10"/>
  <c r="G481" i="10"/>
  <c r="I480" i="10"/>
  <c r="G480" i="10"/>
  <c r="I479" i="10"/>
  <c r="G479" i="10"/>
  <c r="I478" i="10"/>
  <c r="G478" i="10"/>
  <c r="L477" i="10"/>
  <c r="I477" i="10"/>
  <c r="E477" i="10"/>
  <c r="A477" i="10"/>
  <c r="A478" i="10" s="1"/>
  <c r="A479" i="10" s="1"/>
  <c r="A480" i="10" s="1"/>
  <c r="K489" i="10"/>
  <c r="L489" i="10" s="1"/>
  <c r="K480" i="10"/>
  <c r="K491" i="10"/>
  <c r="L491" i="10" s="1"/>
  <c r="K490" i="10"/>
  <c r="L490" i="10" s="1"/>
  <c r="K492" i="10"/>
  <c r="L492" i="10" s="1"/>
  <c r="K488" i="10"/>
  <c r="L488" i="10" s="1"/>
  <c r="K478" i="10"/>
  <c r="N83" i="6" l="1"/>
  <c r="N151" i="6"/>
  <c r="K522" i="10"/>
  <c r="L522" i="10" s="1"/>
  <c r="L523" i="10" s="1"/>
  <c r="O523" i="10" s="1"/>
  <c r="K529" i="10"/>
  <c r="L529" i="10" s="1"/>
  <c r="L530" i="10" s="1"/>
  <c r="O530" i="10" s="1"/>
  <c r="K481" i="10"/>
  <c r="L481" i="10" s="1"/>
  <c r="U20" i="51"/>
  <c r="X20" i="51" s="1"/>
  <c r="K26" i="51"/>
  <c r="H26" i="51" s="1"/>
  <c r="S21" i="51"/>
  <c r="V21" i="51"/>
  <c r="Y22" i="51"/>
  <c r="W22" i="51" s="1"/>
  <c r="AE23" i="51"/>
  <c r="T22" i="51"/>
  <c r="AB29" i="51"/>
  <c r="G28" i="51"/>
  <c r="I28" i="51" s="1"/>
  <c r="L28" i="51"/>
  <c r="J27" i="51"/>
  <c r="M27" i="51"/>
  <c r="K479" i="10"/>
  <c r="L479" i="10" s="1"/>
  <c r="K483" i="10"/>
  <c r="K487" i="10"/>
  <c r="L487" i="10" s="1"/>
  <c r="L493" i="10" s="1"/>
  <c r="O493" i="10" s="1"/>
  <c r="K482" i="10"/>
  <c r="L482" i="10" s="1"/>
  <c r="A481" i="10"/>
  <c r="L480" i="10"/>
  <c r="L478" i="10"/>
  <c r="N307" i="6" l="1"/>
  <c r="N208" i="6"/>
  <c r="N225" i="6"/>
  <c r="D60" i="3"/>
  <c r="N340" i="6" s="1"/>
  <c r="D61" i="3"/>
  <c r="N341" i="6" s="1"/>
  <c r="U21" i="51"/>
  <c r="X21" i="51" s="1"/>
  <c r="AE24" i="51"/>
  <c r="Y23" i="51"/>
  <c r="T23" i="51"/>
  <c r="S22" i="51"/>
  <c r="V22" i="51"/>
  <c r="J28" i="51"/>
  <c r="M28" i="51"/>
  <c r="K27" i="51"/>
  <c r="H27" i="51" s="1"/>
  <c r="G29" i="51"/>
  <c r="I29" i="51" s="1"/>
  <c r="AB30" i="51"/>
  <c r="L29" i="51"/>
  <c r="A482" i="10"/>
  <c r="L483" i="10"/>
  <c r="A1016" i="8"/>
  <c r="K28" i="51" l="1"/>
  <c r="H28" i="51" s="1"/>
  <c r="W23" i="51"/>
  <c r="V23" i="51"/>
  <c r="S23" i="51"/>
  <c r="U22" i="51"/>
  <c r="X22" i="51" s="1"/>
  <c r="AE25" i="51"/>
  <c r="Y24" i="51"/>
  <c r="W24" i="51" s="1"/>
  <c r="T24" i="51"/>
  <c r="J29" i="51"/>
  <c r="M29" i="51"/>
  <c r="AB31" i="51"/>
  <c r="G30" i="51"/>
  <c r="I30" i="51" s="1"/>
  <c r="L30" i="51"/>
  <c r="A483" i="10"/>
  <c r="A484" i="10" s="1"/>
  <c r="A485" i="10" s="1"/>
  <c r="U23" i="51" l="1"/>
  <c r="X23" i="51" s="1"/>
  <c r="N298" i="6"/>
  <c r="N293" i="6"/>
  <c r="N221" i="6"/>
  <c r="N204" i="6"/>
  <c r="N238" i="6"/>
  <c r="N279" i="6"/>
  <c r="N303" i="6"/>
  <c r="N67" i="6"/>
  <c r="N231" i="6"/>
  <c r="N260" i="6"/>
  <c r="N248" i="6"/>
  <c r="K29" i="51"/>
  <c r="H29" i="51" s="1"/>
  <c r="S24" i="51"/>
  <c r="V24" i="51"/>
  <c r="T25" i="51"/>
  <c r="AE26" i="51"/>
  <c r="Y25" i="51"/>
  <c r="W25" i="51" s="1"/>
  <c r="J30" i="51"/>
  <c r="M30" i="51"/>
  <c r="AB32" i="51"/>
  <c r="G31" i="51"/>
  <c r="I31" i="51" s="1"/>
  <c r="L31" i="51"/>
  <c r="E859" i="8"/>
  <c r="F859" i="8" s="1"/>
  <c r="D860" i="8"/>
  <c r="D859" i="8"/>
  <c r="F844" i="8"/>
  <c r="F842" i="8"/>
  <c r="C851" i="8"/>
  <c r="H865" i="8" s="1"/>
  <c r="C852" i="8"/>
  <c r="H867" i="8" s="1"/>
  <c r="C853" i="8"/>
  <c r="C850" i="8"/>
  <c r="H863" i="8" s="1"/>
  <c r="C837" i="8"/>
  <c r="H845" i="8" s="1"/>
  <c r="C832" i="8"/>
  <c r="H835" i="8" s="1"/>
  <c r="D831" i="8"/>
  <c r="E858" i="8"/>
  <c r="E841" i="8"/>
  <c r="E834" i="8"/>
  <c r="L298" i="6"/>
  <c r="I298" i="6"/>
  <c r="N297" i="6"/>
  <c r="L297" i="6"/>
  <c r="I297" i="6"/>
  <c r="H297" i="6" s="1"/>
  <c r="D852" i="8" s="1"/>
  <c r="N296" i="6"/>
  <c r="L296" i="6"/>
  <c r="I296" i="6"/>
  <c r="H296" i="6" s="1"/>
  <c r="D851" i="8" s="1"/>
  <c r="L295" i="6"/>
  <c r="I295" i="6"/>
  <c r="H295" i="6" s="1"/>
  <c r="D850" i="8" s="1"/>
  <c r="N292" i="6"/>
  <c r="L292" i="6"/>
  <c r="I292" i="6"/>
  <c r="H292" i="6" s="1"/>
  <c r="D837" i="8" s="1"/>
  <c r="N291" i="6"/>
  <c r="L291" i="6"/>
  <c r="I291" i="6"/>
  <c r="H291" i="6" s="1"/>
  <c r="D832" i="8" s="1"/>
  <c r="H298" i="6" l="1"/>
  <c r="D853" i="8" s="1"/>
  <c r="N294" i="6"/>
  <c r="N232" i="6"/>
  <c r="N249" i="6"/>
  <c r="N68" i="6"/>
  <c r="N219" i="6"/>
  <c r="N277" i="6"/>
  <c r="N202" i="6"/>
  <c r="N280" i="6"/>
  <c r="N261" i="6"/>
  <c r="N222" i="6"/>
  <c r="N65" i="6"/>
  <c r="N304" i="6"/>
  <c r="N239" i="6"/>
  <c r="N205" i="6"/>
  <c r="N308" i="6"/>
  <c r="N226" i="6"/>
  <c r="U24" i="51"/>
  <c r="X24" i="51" s="1"/>
  <c r="K30" i="51"/>
  <c r="H30" i="51" s="1"/>
  <c r="AE27" i="51"/>
  <c r="Y26" i="51"/>
  <c r="W26" i="51" s="1"/>
  <c r="T26" i="51"/>
  <c r="V25" i="51"/>
  <c r="S25" i="51"/>
  <c r="G32" i="51"/>
  <c r="I32" i="51" s="1"/>
  <c r="AB33" i="51"/>
  <c r="L32" i="51"/>
  <c r="J31" i="51"/>
  <c r="M31" i="51"/>
  <c r="K31" i="51" l="1"/>
  <c r="H31" i="51" s="1"/>
  <c r="S26" i="51"/>
  <c r="V26" i="51"/>
  <c r="U25" i="51"/>
  <c r="X25" i="51" s="1"/>
  <c r="Y27" i="51"/>
  <c r="W27" i="51" s="1"/>
  <c r="AE28" i="51"/>
  <c r="T27" i="51"/>
  <c r="AB34" i="51"/>
  <c r="G33" i="51"/>
  <c r="I33" i="51" s="1"/>
  <c r="L33" i="51"/>
  <c r="J32" i="51"/>
  <c r="M32" i="51"/>
  <c r="U26" i="51" l="1"/>
  <c r="X26" i="51" s="1"/>
  <c r="K32" i="51"/>
  <c r="H32" i="51" s="1"/>
  <c r="S27" i="51"/>
  <c r="V27" i="51"/>
  <c r="Y28" i="51"/>
  <c r="W28" i="51" s="1"/>
  <c r="T28" i="51"/>
  <c r="AE29" i="51"/>
  <c r="J33" i="51"/>
  <c r="M33" i="51"/>
  <c r="G34" i="51"/>
  <c r="I34" i="51" s="1"/>
  <c r="AB35" i="51"/>
  <c r="L34" i="51"/>
  <c r="N379" i="6"/>
  <c r="P379" i="6" s="1"/>
  <c r="P470" i="10"/>
  <c r="P452" i="10"/>
  <c r="P456" i="10"/>
  <c r="P475" i="10"/>
  <c r="P474" i="10"/>
  <c r="P472" i="10"/>
  <c r="P471" i="10"/>
  <c r="P467" i="10"/>
  <c r="P462" i="10"/>
  <c r="P444" i="10"/>
  <c r="P461" i="10"/>
  <c r="P460" i="10"/>
  <c r="N476" i="10"/>
  <c r="K475" i="10"/>
  <c r="I475" i="10"/>
  <c r="G475" i="10"/>
  <c r="K474" i="10"/>
  <c r="I474" i="10"/>
  <c r="G474" i="10"/>
  <c r="K473" i="10"/>
  <c r="I473" i="10"/>
  <c r="G473" i="10"/>
  <c r="K472" i="10"/>
  <c r="I472" i="10"/>
  <c r="G472" i="10"/>
  <c r="K471" i="10"/>
  <c r="I471" i="10"/>
  <c r="G471" i="10"/>
  <c r="K470" i="10"/>
  <c r="I470" i="10"/>
  <c r="G470" i="10"/>
  <c r="K469" i="10"/>
  <c r="I469" i="10"/>
  <c r="G469" i="10"/>
  <c r="P468" i="10"/>
  <c r="K468" i="10"/>
  <c r="I468" i="10"/>
  <c r="G468" i="10"/>
  <c r="K467" i="10"/>
  <c r="I467" i="10"/>
  <c r="G467" i="10"/>
  <c r="P466" i="10"/>
  <c r="K466" i="10"/>
  <c r="I466" i="10"/>
  <c r="G466" i="10"/>
  <c r="K465" i="10"/>
  <c r="I465" i="10"/>
  <c r="G465" i="10"/>
  <c r="K464" i="10"/>
  <c r="I464" i="10"/>
  <c r="G464" i="10"/>
  <c r="K463" i="10"/>
  <c r="I463" i="10"/>
  <c r="G463" i="10"/>
  <c r="K462" i="10"/>
  <c r="I462" i="10"/>
  <c r="G462" i="10"/>
  <c r="K461" i="10"/>
  <c r="I461" i="10"/>
  <c r="G461" i="10"/>
  <c r="Q460" i="10"/>
  <c r="Q461" i="10" s="1"/>
  <c r="Q462" i="10" s="1"/>
  <c r="Q463" i="10" s="1"/>
  <c r="Q464" i="10" s="1"/>
  <c r="K460" i="10"/>
  <c r="I460" i="10"/>
  <c r="G460" i="10"/>
  <c r="L459" i="10"/>
  <c r="I459" i="10"/>
  <c r="E459" i="10"/>
  <c r="A459" i="10"/>
  <c r="A460" i="10" s="1"/>
  <c r="A461" i="10" s="1"/>
  <c r="A462" i="10" s="1"/>
  <c r="P457" i="10"/>
  <c r="P449" i="10"/>
  <c r="P443" i="10"/>
  <c r="Q442" i="10"/>
  <c r="Q443" i="10" s="1"/>
  <c r="Q444" i="10" s="1"/>
  <c r="Q445" i="10" s="1"/>
  <c r="Q446" i="10" s="1"/>
  <c r="Q447" i="10" s="1"/>
  <c r="Q448" i="10" s="1"/>
  <c r="Q449" i="10" s="1"/>
  <c r="Q450" i="10" s="1"/>
  <c r="Q451" i="10" s="1"/>
  <c r="Q452" i="10" s="1"/>
  <c r="Q453" i="10" s="1"/>
  <c r="Q454" i="10" s="1"/>
  <c r="Q455" i="10" s="1"/>
  <c r="Q456" i="10" s="1"/>
  <c r="Q457" i="10" s="1"/>
  <c r="P454" i="10"/>
  <c r="P455" i="10" s="1"/>
  <c r="P453" i="10"/>
  <c r="P450" i="10"/>
  <c r="P448" i="10"/>
  <c r="P442" i="10"/>
  <c r="K457" i="10"/>
  <c r="I457" i="10"/>
  <c r="G457" i="10"/>
  <c r="K456" i="10"/>
  <c r="I456" i="10"/>
  <c r="G456" i="10"/>
  <c r="K454" i="10"/>
  <c r="I454" i="10"/>
  <c r="G454" i="10"/>
  <c r="K453" i="10"/>
  <c r="I453" i="10"/>
  <c r="G453" i="10"/>
  <c r="K452" i="10"/>
  <c r="I452" i="10"/>
  <c r="G452" i="10"/>
  <c r="K450" i="10"/>
  <c r="I450" i="10"/>
  <c r="G450" i="10"/>
  <c r="K449" i="10"/>
  <c r="I449" i="10"/>
  <c r="G449" i="10"/>
  <c r="K448" i="10"/>
  <c r="I448" i="10"/>
  <c r="G448" i="10"/>
  <c r="N458" i="10"/>
  <c r="K455" i="10"/>
  <c r="I455" i="10"/>
  <c r="G455" i="10"/>
  <c r="K451" i="10"/>
  <c r="I451" i="10"/>
  <c r="G451" i="10"/>
  <c r="K447" i="10"/>
  <c r="I447" i="10"/>
  <c r="G447" i="10"/>
  <c r="K446" i="10"/>
  <c r="I446" i="10"/>
  <c r="G446" i="10"/>
  <c r="I445" i="10"/>
  <c r="G445" i="10"/>
  <c r="K444" i="10"/>
  <c r="I444" i="10"/>
  <c r="G444" i="10"/>
  <c r="K443" i="10"/>
  <c r="I443" i="10"/>
  <c r="G443" i="10"/>
  <c r="K442" i="10"/>
  <c r="I442" i="10"/>
  <c r="G442" i="10"/>
  <c r="L441" i="10"/>
  <c r="I441" i="10"/>
  <c r="E441" i="10"/>
  <c r="A441" i="10"/>
  <c r="A442" i="10" s="1"/>
  <c r="A443" i="10" s="1"/>
  <c r="A444" i="10" s="1"/>
  <c r="A445" i="10" s="1"/>
  <c r="A446" i="10" s="1"/>
  <c r="A447" i="10" s="1"/>
  <c r="A451" i="10" s="1"/>
  <c r="A455" i="10" s="1"/>
  <c r="A458" i="10" s="1"/>
  <c r="U27" i="51" l="1"/>
  <c r="X27" i="51" s="1"/>
  <c r="K33" i="51"/>
  <c r="H33" i="51" s="1"/>
  <c r="S28" i="51"/>
  <c r="V28" i="51"/>
  <c r="Y29" i="51"/>
  <c r="W29" i="51" s="1"/>
  <c r="AE30" i="51"/>
  <c r="T29" i="51"/>
  <c r="J34" i="51"/>
  <c r="M34" i="51"/>
  <c r="AB36" i="51"/>
  <c r="G35" i="51"/>
  <c r="I35" i="51" s="1"/>
  <c r="L35" i="51"/>
  <c r="J442" i="10"/>
  <c r="L442" i="10" s="1"/>
  <c r="J460" i="10"/>
  <c r="L460" i="10" s="1"/>
  <c r="P445" i="10"/>
  <c r="J445" i="10" s="1"/>
  <c r="J443" i="10"/>
  <c r="L443" i="10" s="1"/>
  <c r="J452" i="10"/>
  <c r="L452" i="10" s="1"/>
  <c r="J448" i="10"/>
  <c r="L448" i="10" s="1"/>
  <c r="J444" i="10"/>
  <c r="L444" i="10" s="1"/>
  <c r="J456" i="10"/>
  <c r="L456" i="10" s="1"/>
  <c r="J455" i="10"/>
  <c r="L455" i="10" s="1"/>
  <c r="J451" i="10"/>
  <c r="L451" i="10" s="1"/>
  <c r="J447" i="10"/>
  <c r="L447" i="10" s="1"/>
  <c r="J454" i="10"/>
  <c r="L454" i="10" s="1"/>
  <c r="J450" i="10"/>
  <c r="L450" i="10" s="1"/>
  <c r="J446" i="10"/>
  <c r="L446" i="10" s="1"/>
  <c r="J453" i="10"/>
  <c r="L453" i="10" s="1"/>
  <c r="J449" i="10"/>
  <c r="L449" i="10" s="1"/>
  <c r="J457" i="10"/>
  <c r="L457" i="10" s="1"/>
  <c r="A463" i="10"/>
  <c r="A466" i="10"/>
  <c r="A470" i="10" s="1"/>
  <c r="A474" i="10" s="1"/>
  <c r="J464" i="10"/>
  <c r="L464" i="10" s="1"/>
  <c r="Q465" i="10"/>
  <c r="J461" i="10"/>
  <c r="L461" i="10" s="1"/>
  <c r="J462" i="10"/>
  <c r="L462" i="10" s="1"/>
  <c r="P463" i="10"/>
  <c r="J463" i="10" s="1"/>
  <c r="L463" i="10" s="1"/>
  <c r="P473" i="10"/>
  <c r="A448" i="10"/>
  <c r="A452" i="10" s="1"/>
  <c r="A456" i="10" s="1"/>
  <c r="A449" i="10"/>
  <c r="A453" i="10" s="1"/>
  <c r="A457" i="10" s="1"/>
  <c r="A450" i="10"/>
  <c r="A454" i="10" s="1"/>
  <c r="E1042" i="8"/>
  <c r="E1043" i="8" s="1"/>
  <c r="F1043" i="8" s="1"/>
  <c r="F1041" i="8"/>
  <c r="F1040" i="8"/>
  <c r="C1040" i="8"/>
  <c r="A1040" i="8"/>
  <c r="A1041" i="8" s="1"/>
  <c r="A1042" i="8" s="1"/>
  <c r="A1043" i="8" s="1"/>
  <c r="A1020" i="8"/>
  <c r="A1021" i="8" s="1"/>
  <c r="A1022" i="8" s="1"/>
  <c r="A1023" i="8" s="1"/>
  <c r="A1024" i="8"/>
  <c r="A1025" i="8" s="1"/>
  <c r="A1026" i="8" s="1"/>
  <c r="A1027" i="8" s="1"/>
  <c r="A1028" i="8"/>
  <c r="A1029" i="8" s="1"/>
  <c r="A1030" i="8" s="1"/>
  <c r="A1031" i="8" s="1"/>
  <c r="A1032" i="8"/>
  <c r="A1033" i="8" s="1"/>
  <c r="A1034" i="8" s="1"/>
  <c r="A1035" i="8" s="1"/>
  <c r="A1036" i="8"/>
  <c r="A1037" i="8" s="1"/>
  <c r="A1038" i="8" s="1"/>
  <c r="A1039" i="8" s="1"/>
  <c r="E1023" i="8"/>
  <c r="F1023" i="8" s="1"/>
  <c r="E1026" i="8"/>
  <c r="E1027" i="8" s="1"/>
  <c r="F1027" i="8" s="1"/>
  <c r="E1030" i="8"/>
  <c r="E1031" i="8" s="1"/>
  <c r="F1031" i="8" s="1"/>
  <c r="E1034" i="8"/>
  <c r="E1035" i="8" s="1"/>
  <c r="F1035" i="8" s="1"/>
  <c r="E1038" i="8"/>
  <c r="E1039" i="8" s="1"/>
  <c r="F1037" i="8"/>
  <c r="F1036" i="8"/>
  <c r="C1036" i="8"/>
  <c r="F1033" i="8"/>
  <c r="C1032" i="8"/>
  <c r="F1029" i="8"/>
  <c r="C1028" i="8"/>
  <c r="F1025" i="8"/>
  <c r="F1024" i="8"/>
  <c r="C1024" i="8"/>
  <c r="F1021" i="8"/>
  <c r="F1020" i="8"/>
  <c r="C1020" i="8"/>
  <c r="J435" i="10"/>
  <c r="J434" i="10"/>
  <c r="N440" i="10"/>
  <c r="K439" i="10"/>
  <c r="L439" i="10" s="1"/>
  <c r="I439" i="10"/>
  <c r="G439" i="10"/>
  <c r="K438" i="10"/>
  <c r="L438" i="10" s="1"/>
  <c r="I438" i="10"/>
  <c r="G438" i="10"/>
  <c r="K437" i="10"/>
  <c r="L437" i="10" s="1"/>
  <c r="I437" i="10"/>
  <c r="G437" i="10"/>
  <c r="K436" i="10"/>
  <c r="L436" i="10" s="1"/>
  <c r="I436" i="10"/>
  <c r="G436" i="10"/>
  <c r="K435" i="10"/>
  <c r="I435" i="10"/>
  <c r="G435" i="10"/>
  <c r="K434" i="10"/>
  <c r="I434" i="10"/>
  <c r="G434" i="10"/>
  <c r="K433" i="10"/>
  <c r="L433" i="10" s="1"/>
  <c r="I433" i="10"/>
  <c r="G433" i="10"/>
  <c r="K432" i="10"/>
  <c r="L432" i="10" s="1"/>
  <c r="I432" i="10"/>
  <c r="G432" i="10"/>
  <c r="L431" i="10"/>
  <c r="I431" i="10"/>
  <c r="E431" i="10"/>
  <c r="A431" i="10"/>
  <c r="A432" i="10" s="1"/>
  <c r="A433" i="10" s="1"/>
  <c r="A434" i="10" s="1"/>
  <c r="A435" i="10" s="1"/>
  <c r="A436" i="10" s="1"/>
  <c r="A437" i="10" s="1"/>
  <c r="A438" i="10" s="1"/>
  <c r="A439" i="10" s="1"/>
  <c r="A440" i="10" s="1"/>
  <c r="C821" i="8"/>
  <c r="H829" i="8" s="1"/>
  <c r="C820" i="8"/>
  <c r="H827" i="8" s="1"/>
  <c r="D819" i="8"/>
  <c r="E827" i="8"/>
  <c r="A820" i="8" s="1"/>
  <c r="F825" i="8"/>
  <c r="E824" i="8"/>
  <c r="N258" i="6"/>
  <c r="L258" i="6"/>
  <c r="I258" i="6"/>
  <c r="H258" i="6" s="1"/>
  <c r="D707" i="8" s="1"/>
  <c r="N246" i="6"/>
  <c r="L246" i="6"/>
  <c r="I246" i="6"/>
  <c r="H246" i="6" s="1"/>
  <c r="D661" i="8" s="1"/>
  <c r="E795" i="8"/>
  <c r="E774" i="8"/>
  <c r="F774" i="8" s="1"/>
  <c r="C770" i="8"/>
  <c r="H778" i="8" s="1"/>
  <c r="C769" i="8"/>
  <c r="H776" i="8" s="1"/>
  <c r="E773" i="8"/>
  <c r="E763" i="8"/>
  <c r="F763" i="8" s="1"/>
  <c r="C759" i="8"/>
  <c r="H767" i="8" s="1"/>
  <c r="C758" i="8"/>
  <c r="H765" i="8" s="1"/>
  <c r="E762" i="8"/>
  <c r="E756" i="8"/>
  <c r="F756" i="8" s="1"/>
  <c r="E755" i="8"/>
  <c r="C753" i="8"/>
  <c r="H756" i="8" s="1"/>
  <c r="C801" i="8"/>
  <c r="H814" i="8" s="1"/>
  <c r="C802" i="8"/>
  <c r="H816" i="8" s="1"/>
  <c r="C803" i="8"/>
  <c r="H817" i="8" s="1"/>
  <c r="C800" i="8"/>
  <c r="H812" i="8" s="1"/>
  <c r="C790" i="8"/>
  <c r="C780" i="8"/>
  <c r="C743" i="8"/>
  <c r="H751" i="8" s="1"/>
  <c r="C742" i="8"/>
  <c r="H749" i="8" s="1"/>
  <c r="D741" i="8"/>
  <c r="E808" i="8"/>
  <c r="E794" i="8"/>
  <c r="F785" i="8"/>
  <c r="E784" i="8"/>
  <c r="A780" i="8"/>
  <c r="A783" i="8" s="1"/>
  <c r="A784" i="8" s="1"/>
  <c r="E747" i="8"/>
  <c r="E746" i="8"/>
  <c r="E701" i="8"/>
  <c r="A707" i="8"/>
  <c r="A710" i="8" s="1"/>
  <c r="A711" i="8" s="1"/>
  <c r="C697" i="8"/>
  <c r="H705" i="8" s="1"/>
  <c r="C696" i="8"/>
  <c r="H703" i="8" s="1"/>
  <c r="E700" i="8"/>
  <c r="C723" i="8"/>
  <c r="H736" i="8" s="1"/>
  <c r="C724" i="8"/>
  <c r="H738" i="8" s="1"/>
  <c r="C725" i="8"/>
  <c r="H739" i="8" s="1"/>
  <c r="C722" i="8"/>
  <c r="H734" i="8" s="1"/>
  <c r="C712" i="8"/>
  <c r="C707" i="8"/>
  <c r="H710" i="8" s="1"/>
  <c r="D695" i="8"/>
  <c r="E730" i="8"/>
  <c r="E717" i="8"/>
  <c r="E716" i="8"/>
  <c r="F710" i="8"/>
  <c r="E709" i="8"/>
  <c r="E686" i="8"/>
  <c r="E732" i="8" s="1"/>
  <c r="E810" i="8" s="1"/>
  <c r="E748" i="8" s="1"/>
  <c r="C677" i="8"/>
  <c r="H690" i="8" s="1"/>
  <c r="C678" i="8"/>
  <c r="H692" i="8" s="1"/>
  <c r="C679" i="8"/>
  <c r="H693" i="8" s="1"/>
  <c r="C676" i="8"/>
  <c r="H688" i="8" s="1"/>
  <c r="C666" i="8"/>
  <c r="C661" i="8"/>
  <c r="H664" i="8" s="1"/>
  <c r="C641" i="8"/>
  <c r="D660" i="8"/>
  <c r="E684" i="8"/>
  <c r="E671" i="8"/>
  <c r="E670" i="8"/>
  <c r="F664" i="8"/>
  <c r="E663" i="8"/>
  <c r="A661" i="8"/>
  <c r="A662" i="8" s="1"/>
  <c r="A663" i="8" s="1"/>
  <c r="E627" i="8"/>
  <c r="E656" i="8" s="1"/>
  <c r="E691" i="8" s="1"/>
  <c r="E737" i="8" s="1"/>
  <c r="E815" i="8" s="1"/>
  <c r="E866" i="8" s="1"/>
  <c r="E905" i="8" s="1"/>
  <c r="E623" i="8"/>
  <c r="E652" i="8" s="1"/>
  <c r="E607" i="8"/>
  <c r="A597" i="8"/>
  <c r="A600" i="8" s="1"/>
  <c r="N288" i="6"/>
  <c r="L288" i="6"/>
  <c r="I288" i="6"/>
  <c r="H288" i="6" s="1"/>
  <c r="D821" i="8" s="1"/>
  <c r="N287" i="6"/>
  <c r="L287" i="6"/>
  <c r="I287" i="6"/>
  <c r="H287" i="6" s="1"/>
  <c r="D820" i="8" s="1"/>
  <c r="N270" i="6"/>
  <c r="L270" i="6"/>
  <c r="I270" i="6"/>
  <c r="H270" i="6" s="1"/>
  <c r="D753" i="8" s="1"/>
  <c r="N269" i="6"/>
  <c r="L269" i="6"/>
  <c r="I269" i="6"/>
  <c r="H269" i="6" s="1"/>
  <c r="D743" i="8" s="1"/>
  <c r="N284" i="6"/>
  <c r="L284" i="6"/>
  <c r="I284" i="6"/>
  <c r="N283" i="6"/>
  <c r="L283" i="6"/>
  <c r="I283" i="6"/>
  <c r="H283" i="6" s="1"/>
  <c r="D802" i="8" s="1"/>
  <c r="N282" i="6"/>
  <c r="L282" i="6"/>
  <c r="I282" i="6"/>
  <c r="H282" i="6" s="1"/>
  <c r="D801" i="8" s="1"/>
  <c r="L281" i="6"/>
  <c r="I281" i="6"/>
  <c r="H281" i="6" s="1"/>
  <c r="D800" i="8" s="1"/>
  <c r="N278" i="6"/>
  <c r="L278" i="6"/>
  <c r="I278" i="6"/>
  <c r="H278" i="6" s="1"/>
  <c r="D790" i="8" s="1"/>
  <c r="L275" i="6"/>
  <c r="I275" i="6"/>
  <c r="N274" i="6"/>
  <c r="L274" i="6"/>
  <c r="I274" i="6"/>
  <c r="H274" i="6" s="1"/>
  <c r="D770" i="8" s="1"/>
  <c r="N273" i="6"/>
  <c r="L273" i="6"/>
  <c r="I273" i="6"/>
  <c r="H273" i="6" s="1"/>
  <c r="D769" i="8" s="1"/>
  <c r="N272" i="6"/>
  <c r="L272" i="6"/>
  <c r="I272" i="6"/>
  <c r="H272" i="6" s="1"/>
  <c r="D759" i="8" s="1"/>
  <c r="N271" i="6"/>
  <c r="L271" i="6"/>
  <c r="I271" i="6"/>
  <c r="H271" i="6" s="1"/>
  <c r="D758" i="8" s="1"/>
  <c r="N268" i="6"/>
  <c r="L268" i="6"/>
  <c r="I268" i="6"/>
  <c r="H268" i="6" s="1"/>
  <c r="D742" i="8" s="1"/>
  <c r="N257" i="6"/>
  <c r="L257" i="6"/>
  <c r="I257" i="6"/>
  <c r="H257" i="6" s="1"/>
  <c r="D697" i="8" s="1"/>
  <c r="N265" i="6"/>
  <c r="L265" i="6"/>
  <c r="I265" i="6"/>
  <c r="N264" i="6"/>
  <c r="L264" i="6"/>
  <c r="I264" i="6"/>
  <c r="H264" i="6" s="1"/>
  <c r="D724" i="8" s="1"/>
  <c r="N263" i="6"/>
  <c r="L263" i="6"/>
  <c r="I263" i="6"/>
  <c r="H263" i="6" s="1"/>
  <c r="D723" i="8" s="1"/>
  <c r="L262" i="6"/>
  <c r="I262" i="6"/>
  <c r="H262" i="6" s="1"/>
  <c r="D722" i="8" s="1"/>
  <c r="N259" i="6"/>
  <c r="L259" i="6"/>
  <c r="I259" i="6"/>
  <c r="H259" i="6" s="1"/>
  <c r="D712" i="8" s="1"/>
  <c r="N256" i="6"/>
  <c r="L256" i="6"/>
  <c r="I256" i="6"/>
  <c r="H256" i="6" s="1"/>
  <c r="D696" i="8" s="1"/>
  <c r="N253" i="6"/>
  <c r="L253" i="6"/>
  <c r="I253" i="6"/>
  <c r="N252" i="6"/>
  <c r="L252" i="6"/>
  <c r="I252" i="6"/>
  <c r="H252" i="6" s="1"/>
  <c r="D678" i="8" s="1"/>
  <c r="N251" i="6"/>
  <c r="L251" i="6"/>
  <c r="I251" i="6"/>
  <c r="H251" i="6" s="1"/>
  <c r="D677" i="8" s="1"/>
  <c r="L250" i="6"/>
  <c r="I250" i="6"/>
  <c r="H250" i="6" s="1"/>
  <c r="D676" i="8" s="1"/>
  <c r="N247" i="6"/>
  <c r="L247" i="6"/>
  <c r="I247" i="6"/>
  <c r="H247" i="6" s="1"/>
  <c r="D666" i="8" s="1"/>
  <c r="H275" i="6" l="1"/>
  <c r="D780" i="8" s="1"/>
  <c r="H284" i="6"/>
  <c r="D803" i="8" s="1"/>
  <c r="H265" i="6"/>
  <c r="D725" i="8" s="1"/>
  <c r="H253" i="6"/>
  <c r="D679" i="8" s="1"/>
  <c r="H795" i="8"/>
  <c r="A790" i="8"/>
  <c r="A793" i="8" s="1"/>
  <c r="A794" i="8" s="1"/>
  <c r="A795" i="8" s="1"/>
  <c r="A799" i="8" s="1"/>
  <c r="E797" i="8"/>
  <c r="E798" i="8" s="1"/>
  <c r="F798" i="8" s="1"/>
  <c r="H785" i="8"/>
  <c r="E731" i="8"/>
  <c r="F731" i="8" s="1"/>
  <c r="E719" i="8"/>
  <c r="E720" i="8" s="1"/>
  <c r="F720" i="8" s="1"/>
  <c r="H717" i="8"/>
  <c r="H671" i="8"/>
  <c r="E685" i="8"/>
  <c r="F685" i="8" s="1"/>
  <c r="E673" i="8"/>
  <c r="A602" i="8"/>
  <c r="E609" i="8"/>
  <c r="L435" i="10"/>
  <c r="E687" i="8"/>
  <c r="E733" i="8" s="1"/>
  <c r="E811" i="8" s="1"/>
  <c r="E862" i="8" s="1"/>
  <c r="E901" i="8" s="1"/>
  <c r="U28" i="51"/>
  <c r="X28" i="51" s="1"/>
  <c r="K34" i="51"/>
  <c r="H34" i="51" s="1"/>
  <c r="AE31" i="51"/>
  <c r="Y30" i="51"/>
  <c r="W30" i="51" s="1"/>
  <c r="T30" i="51"/>
  <c r="S29" i="51"/>
  <c r="V29" i="51"/>
  <c r="AB37" i="51"/>
  <c r="G36" i="51"/>
  <c r="I36" i="51" s="1"/>
  <c r="L36" i="51"/>
  <c r="J35" i="51"/>
  <c r="M35" i="51"/>
  <c r="F1022" i="8"/>
  <c r="A464" i="10"/>
  <c r="A467" i="10"/>
  <c r="A471" i="10" s="1"/>
  <c r="A475" i="10" s="1"/>
  <c r="J465" i="10"/>
  <c r="L465" i="10" s="1"/>
  <c r="Q466" i="10"/>
  <c r="F1042" i="8"/>
  <c r="F1034" i="8"/>
  <c r="F1030" i="8"/>
  <c r="F1026" i="8"/>
  <c r="F1038" i="8"/>
  <c r="F1039" i="8"/>
  <c r="F1032" i="8"/>
  <c r="F1028" i="8"/>
  <c r="L434" i="10"/>
  <c r="E702" i="8"/>
  <c r="E703" i="8" s="1"/>
  <c r="A696" i="8" s="1"/>
  <c r="E765" i="8"/>
  <c r="A758" i="8" s="1"/>
  <c r="A760" i="8" s="1"/>
  <c r="E749" i="8"/>
  <c r="F749" i="8" s="1"/>
  <c r="A712" i="8"/>
  <c r="A715" i="8" s="1"/>
  <c r="A716" i="8" s="1"/>
  <c r="A717" i="8" s="1"/>
  <c r="A721" i="8" s="1"/>
  <c r="E809" i="8"/>
  <c r="F809" i="8" s="1"/>
  <c r="A753" i="8"/>
  <c r="A754" i="8" s="1"/>
  <c r="A666" i="8"/>
  <c r="A669" i="8" s="1"/>
  <c r="A670" i="8" s="1"/>
  <c r="A671" i="8" s="1"/>
  <c r="A675" i="8" s="1"/>
  <c r="F827" i="8"/>
  <c r="E776" i="8"/>
  <c r="A785" i="8"/>
  <c r="A789" i="8" s="1"/>
  <c r="F795" i="8"/>
  <c r="F747" i="8"/>
  <c r="A708" i="8"/>
  <c r="A709" i="8" s="1"/>
  <c r="F717" i="8"/>
  <c r="A664" i="8"/>
  <c r="A665" i="8" s="1"/>
  <c r="F671" i="8"/>
  <c r="A667" i="8" l="1"/>
  <c r="A672" i="8" s="1"/>
  <c r="A673" i="8" s="1"/>
  <c r="E674" i="8"/>
  <c r="F674" i="8" s="1"/>
  <c r="A603" i="8"/>
  <c r="A608" i="8" s="1"/>
  <c r="A609" i="8" s="1"/>
  <c r="E610" i="8"/>
  <c r="F610" i="8" s="1"/>
  <c r="A713" i="8"/>
  <c r="A718" i="8" s="1"/>
  <c r="A719" i="8" s="1"/>
  <c r="A791" i="8"/>
  <c r="A796" i="8" s="1"/>
  <c r="A797" i="8" s="1"/>
  <c r="F797" i="8"/>
  <c r="A792" i="8"/>
  <c r="A798" i="8" s="1"/>
  <c r="F719" i="8"/>
  <c r="F673" i="8"/>
  <c r="F609" i="8"/>
  <c r="E688" i="8"/>
  <c r="A676" i="8" s="1"/>
  <c r="A680" i="8" s="1"/>
  <c r="A681" i="8" s="1"/>
  <c r="A682" i="8" s="1"/>
  <c r="A683" i="8" s="1"/>
  <c r="A684" i="8" s="1"/>
  <c r="A685" i="8" s="1"/>
  <c r="A686" i="8" s="1"/>
  <c r="A687" i="8" s="1"/>
  <c r="A688" i="8" s="1"/>
  <c r="E734" i="8"/>
  <c r="E738" i="8" s="1"/>
  <c r="E739" i="8" s="1"/>
  <c r="F739" i="8" s="1"/>
  <c r="L440" i="10"/>
  <c r="O440" i="10" s="1"/>
  <c r="K35" i="51"/>
  <c r="H35" i="51" s="1"/>
  <c r="V30" i="51"/>
  <c r="S30" i="51"/>
  <c r="U29" i="51"/>
  <c r="X29" i="51" s="1"/>
  <c r="AE32" i="51"/>
  <c r="Y31" i="51"/>
  <c r="W31" i="51" s="1"/>
  <c r="T31" i="51"/>
  <c r="G37" i="51"/>
  <c r="I37" i="51" s="1"/>
  <c r="AB38" i="51"/>
  <c r="L37" i="51"/>
  <c r="J36" i="51"/>
  <c r="M36" i="51"/>
  <c r="E812" i="8"/>
  <c r="A465" i="10"/>
  <c r="A469" i="10" s="1"/>
  <c r="A473" i="10" s="1"/>
  <c r="A476" i="10" s="1"/>
  <c r="A468" i="10"/>
  <c r="A472" i="10" s="1"/>
  <c r="Q467" i="10"/>
  <c r="J466" i="10"/>
  <c r="L466" i="10" s="1"/>
  <c r="F765" i="8"/>
  <c r="A742" i="8"/>
  <c r="A744" i="8" s="1"/>
  <c r="A756" i="8"/>
  <c r="A757" i="8" s="1"/>
  <c r="A698" i="8"/>
  <c r="A755" i="8"/>
  <c r="A766" i="8"/>
  <c r="A767" i="8" s="1"/>
  <c r="A768" i="8" s="1"/>
  <c r="A822" i="8"/>
  <c r="F776" i="8"/>
  <c r="A769" i="8"/>
  <c r="A771" i="8" s="1"/>
  <c r="A668" i="8" l="1"/>
  <c r="A674" i="8" s="1"/>
  <c r="A714" i="8"/>
  <c r="A720" i="8" s="1"/>
  <c r="A604" i="8"/>
  <c r="A610" i="8" s="1"/>
  <c r="F688" i="8"/>
  <c r="A722" i="8"/>
  <c r="A726" i="8" s="1"/>
  <c r="A727" i="8" s="1"/>
  <c r="A728" i="8" s="1"/>
  <c r="A729" i="8" s="1"/>
  <c r="A730" i="8" s="1"/>
  <c r="A731" i="8" s="1"/>
  <c r="A732" i="8" s="1"/>
  <c r="A733" i="8" s="1"/>
  <c r="A734" i="8" s="1"/>
  <c r="F734" i="8"/>
  <c r="T32" i="51"/>
  <c r="AE33" i="51"/>
  <c r="Y32" i="51"/>
  <c r="S31" i="51"/>
  <c r="V31" i="51"/>
  <c r="U30" i="51"/>
  <c r="X30" i="51" s="1"/>
  <c r="AB39" i="51"/>
  <c r="G38" i="51"/>
  <c r="I38" i="51" s="1"/>
  <c r="L38" i="51"/>
  <c r="K36" i="51"/>
  <c r="H36" i="51" s="1"/>
  <c r="J37" i="51"/>
  <c r="M37" i="51"/>
  <c r="E816" i="8"/>
  <c r="F812" i="8"/>
  <c r="A800" i="8"/>
  <c r="A804" i="8" s="1"/>
  <c r="A805" i="8" s="1"/>
  <c r="A806" i="8" s="1"/>
  <c r="A807" i="8" s="1"/>
  <c r="A808" i="8" s="1"/>
  <c r="A809" i="8" s="1"/>
  <c r="A810" i="8" s="1"/>
  <c r="A811" i="8" s="1"/>
  <c r="A812" i="8" s="1"/>
  <c r="Q468" i="10"/>
  <c r="J467" i="10"/>
  <c r="L467" i="10" s="1"/>
  <c r="A724" i="8"/>
  <c r="A737" i="8" s="1"/>
  <c r="A738" i="8" s="1"/>
  <c r="F738" i="8"/>
  <c r="K37" i="51" l="1"/>
  <c r="H37" i="51" s="1"/>
  <c r="F816" i="8"/>
  <c r="E817" i="8"/>
  <c r="F817" i="8" s="1"/>
  <c r="AE34" i="51"/>
  <c r="Y33" i="51"/>
  <c r="W33" i="51" s="1"/>
  <c r="T33" i="51"/>
  <c r="W32" i="51"/>
  <c r="U31" i="51"/>
  <c r="X31" i="51" s="1"/>
  <c r="V32" i="51"/>
  <c r="S32" i="51"/>
  <c r="J38" i="51"/>
  <c r="M38" i="51"/>
  <c r="AB40" i="51"/>
  <c r="G39" i="51"/>
  <c r="I39" i="51" s="1"/>
  <c r="L39" i="51"/>
  <c r="L484" i="10"/>
  <c r="O484" i="10" s="1"/>
  <c r="A802" i="8"/>
  <c r="A815" i="8" s="1"/>
  <c r="A816" i="8" s="1"/>
  <c r="Q469" i="10"/>
  <c r="J468" i="10"/>
  <c r="L468" i="10" s="1"/>
  <c r="F701" i="8"/>
  <c r="U32" i="51" l="1"/>
  <c r="X32" i="51" s="1"/>
  <c r="K38" i="51"/>
  <c r="H38" i="51" s="1"/>
  <c r="S33" i="51"/>
  <c r="V33" i="51"/>
  <c r="AE35" i="51"/>
  <c r="T34" i="51"/>
  <c r="Y34" i="51"/>
  <c r="W34" i="51" s="1"/>
  <c r="AB41" i="51"/>
  <c r="G40" i="51"/>
  <c r="I40" i="51" s="1"/>
  <c r="L40" i="51"/>
  <c r="J39" i="51"/>
  <c r="M39" i="51"/>
  <c r="Q470" i="10"/>
  <c r="J469" i="10"/>
  <c r="L469" i="10" s="1"/>
  <c r="U33" i="51" l="1"/>
  <c r="X33" i="51" s="1"/>
  <c r="V34" i="51"/>
  <c r="S34" i="51"/>
  <c r="AE36" i="51"/>
  <c r="T35" i="51"/>
  <c r="Y35" i="51"/>
  <c r="W35" i="51" s="1"/>
  <c r="J40" i="51"/>
  <c r="M40" i="51"/>
  <c r="K39" i="51"/>
  <c r="H39" i="51" s="1"/>
  <c r="G41" i="51"/>
  <c r="I41" i="51" s="1"/>
  <c r="AB42" i="51"/>
  <c r="L41" i="51"/>
  <c r="Q471" i="10"/>
  <c r="J470" i="10"/>
  <c r="L470" i="10" s="1"/>
  <c r="K40" i="51" l="1"/>
  <c r="H40" i="51" s="1"/>
  <c r="V35" i="51"/>
  <c r="S35" i="51"/>
  <c r="Y36" i="51"/>
  <c r="W36" i="51" s="1"/>
  <c r="AE37" i="51"/>
  <c r="T36" i="51"/>
  <c r="U34" i="51"/>
  <c r="X34" i="51" s="1"/>
  <c r="J41" i="51"/>
  <c r="M41" i="51"/>
  <c r="AB43" i="51"/>
  <c r="G42" i="51"/>
  <c r="I42" i="51" s="1"/>
  <c r="L42" i="51"/>
  <c r="Q472" i="10"/>
  <c r="J471" i="10"/>
  <c r="L471" i="10" s="1"/>
  <c r="U35" i="51" l="1"/>
  <c r="X35" i="51" s="1"/>
  <c r="AE38" i="51"/>
  <c r="T37" i="51"/>
  <c r="Y37" i="51"/>
  <c r="W37" i="51" s="1"/>
  <c r="V36" i="51"/>
  <c r="S36" i="51"/>
  <c r="AB44" i="51"/>
  <c r="G43" i="51"/>
  <c r="I43" i="51" s="1"/>
  <c r="L43" i="51"/>
  <c r="K41" i="51"/>
  <c r="H41" i="51" s="1"/>
  <c r="J42" i="51"/>
  <c r="M42" i="51"/>
  <c r="Q473" i="10"/>
  <c r="J472" i="10"/>
  <c r="L472" i="10" s="1"/>
  <c r="K42" i="51" l="1"/>
  <c r="H42" i="51" s="1"/>
  <c r="V37" i="51"/>
  <c r="S37" i="51"/>
  <c r="U36" i="51"/>
  <c r="X36" i="51" s="1"/>
  <c r="AE39" i="51"/>
  <c r="Y38" i="51"/>
  <c r="W38" i="51" s="1"/>
  <c r="T38" i="51"/>
  <c r="J43" i="51"/>
  <c r="M43" i="51"/>
  <c r="AB45" i="51"/>
  <c r="G44" i="51"/>
  <c r="I44" i="51" s="1"/>
  <c r="L44" i="51"/>
  <c r="Q474" i="10"/>
  <c r="J473" i="10"/>
  <c r="L473" i="10" s="1"/>
  <c r="K43" i="51" l="1"/>
  <c r="H43" i="51" s="1"/>
  <c r="Y39" i="51"/>
  <c r="W39" i="51" s="1"/>
  <c r="AE40" i="51"/>
  <c r="T39" i="51"/>
  <c r="V38" i="51"/>
  <c r="S38" i="51"/>
  <c r="U37" i="51"/>
  <c r="X37" i="51" s="1"/>
  <c r="AB46" i="51"/>
  <c r="G45" i="51"/>
  <c r="I45" i="51" s="1"/>
  <c r="L45" i="51"/>
  <c r="J44" i="51"/>
  <c r="M44" i="51"/>
  <c r="Q475" i="10"/>
  <c r="J475" i="10" s="1"/>
  <c r="L475" i="10" s="1"/>
  <c r="J474" i="10"/>
  <c r="L474" i="10" s="1"/>
  <c r="S39" i="51" l="1"/>
  <c r="V39" i="51"/>
  <c r="T40" i="51"/>
  <c r="Y40" i="51"/>
  <c r="W40" i="51" s="1"/>
  <c r="AE41" i="51"/>
  <c r="U38" i="51"/>
  <c r="X38" i="51" s="1"/>
  <c r="J45" i="51"/>
  <c r="M45" i="51"/>
  <c r="K44" i="51"/>
  <c r="H44" i="51" s="1"/>
  <c r="AB47" i="51"/>
  <c r="G46" i="51"/>
  <c r="I46" i="51" s="1"/>
  <c r="L46" i="51"/>
  <c r="L476" i="10"/>
  <c r="O476" i="10" s="1"/>
  <c r="K45" i="51" l="1"/>
  <c r="H45" i="51" s="1"/>
  <c r="U39" i="51"/>
  <c r="X39" i="51" s="1"/>
  <c r="J226" i="6"/>
  <c r="J224" i="6"/>
  <c r="E589" i="8"/>
  <c r="S40" i="51"/>
  <c r="V40" i="51"/>
  <c r="Y41" i="51"/>
  <c r="W41" i="51" s="1"/>
  <c r="AE42" i="51"/>
  <c r="T41" i="51"/>
  <c r="AB48" i="51"/>
  <c r="G47" i="51"/>
  <c r="I47" i="51" s="1"/>
  <c r="L47" i="51"/>
  <c r="J46" i="51"/>
  <c r="M46" i="51"/>
  <c r="J296" i="6"/>
  <c r="E864" i="8"/>
  <c r="E735" i="8"/>
  <c r="E736" i="8" s="1"/>
  <c r="J263" i="6"/>
  <c r="E813" i="8"/>
  <c r="E814" i="8" s="1"/>
  <c r="E689" i="8"/>
  <c r="E690" i="8" s="1"/>
  <c r="J282" i="6"/>
  <c r="J251" i="6"/>
  <c r="J298" i="6"/>
  <c r="J284" i="6"/>
  <c r="J253" i="6"/>
  <c r="J265" i="6"/>
  <c r="E454" i="8"/>
  <c r="E550" i="8" l="1"/>
  <c r="E531" i="8"/>
  <c r="J216" i="6"/>
  <c r="AE43" i="51"/>
  <c r="Y42" i="51"/>
  <c r="W42" i="51" s="1"/>
  <c r="T42" i="51"/>
  <c r="S41" i="51"/>
  <c r="V41" i="51"/>
  <c r="U40" i="51"/>
  <c r="X40" i="51" s="1"/>
  <c r="J47" i="51"/>
  <c r="M47" i="51"/>
  <c r="K46" i="51"/>
  <c r="H46" i="51" s="1"/>
  <c r="G48" i="51"/>
  <c r="I48" i="51" s="1"/>
  <c r="AB49" i="51"/>
  <c r="L48" i="51"/>
  <c r="E766" i="8"/>
  <c r="E767" i="8" s="1"/>
  <c r="E777" i="8"/>
  <c r="E778" i="8" s="1"/>
  <c r="J274" i="6"/>
  <c r="J272" i="6" s="1"/>
  <c r="A725" i="8"/>
  <c r="A739" i="8" s="1"/>
  <c r="A723" i="8"/>
  <c r="A735" i="8" s="1"/>
  <c r="A736" i="8" s="1"/>
  <c r="F736" i="8"/>
  <c r="F690" i="8"/>
  <c r="A677" i="8"/>
  <c r="A689" i="8" s="1"/>
  <c r="A690" i="8" s="1"/>
  <c r="A803" i="8"/>
  <c r="A801" i="8"/>
  <c r="A813" i="8" s="1"/>
  <c r="A814" i="8" s="1"/>
  <c r="F814" i="8"/>
  <c r="A817" i="8" l="1"/>
  <c r="A818" i="8" s="1"/>
  <c r="K47" i="51"/>
  <c r="H47" i="51" s="1"/>
  <c r="V42" i="51"/>
  <c r="S42" i="51"/>
  <c r="U41" i="51"/>
  <c r="X41" i="51" s="1"/>
  <c r="AE44" i="51"/>
  <c r="Y43" i="51"/>
  <c r="W43" i="51" s="1"/>
  <c r="T43" i="51"/>
  <c r="J48" i="51"/>
  <c r="M48" i="51"/>
  <c r="AB50" i="51"/>
  <c r="G49" i="51"/>
  <c r="I49" i="51" s="1"/>
  <c r="L49" i="51"/>
  <c r="F778" i="8"/>
  <c r="A770" i="8"/>
  <c r="A772" i="8" s="1"/>
  <c r="A773" i="8" s="1"/>
  <c r="A774" i="8" s="1"/>
  <c r="A775" i="8" s="1"/>
  <c r="A776" i="8" s="1"/>
  <c r="A740" i="8"/>
  <c r="F767" i="8"/>
  <c r="A759" i="8"/>
  <c r="A761" i="8" s="1"/>
  <c r="A762" i="8" s="1"/>
  <c r="A763" i="8" s="1"/>
  <c r="A764" i="8" s="1"/>
  <c r="A765" i="8" s="1"/>
  <c r="A777" i="8" s="1"/>
  <c r="A778" i="8" s="1"/>
  <c r="A779" i="8" s="1"/>
  <c r="K48" i="51" l="1"/>
  <c r="H48" i="51" s="1"/>
  <c r="U42" i="51"/>
  <c r="X42" i="51" s="1"/>
  <c r="AE45" i="51"/>
  <c r="Y44" i="51"/>
  <c r="W44" i="51" s="1"/>
  <c r="T44" i="51"/>
  <c r="V43" i="51"/>
  <c r="S43" i="51"/>
  <c r="G50" i="51"/>
  <c r="I50" i="51" s="1"/>
  <c r="AB51" i="51"/>
  <c r="L50" i="51"/>
  <c r="J49" i="51"/>
  <c r="M49" i="51"/>
  <c r="U43" i="51" l="1"/>
  <c r="X43" i="51" s="1"/>
  <c r="V44" i="51"/>
  <c r="S44" i="51"/>
  <c r="Y45" i="51"/>
  <c r="W45" i="51" s="1"/>
  <c r="AE46" i="51"/>
  <c r="T45" i="51"/>
  <c r="J50" i="51"/>
  <c r="M50" i="51"/>
  <c r="AB52" i="51"/>
  <c r="G51" i="51"/>
  <c r="I51" i="51" s="1"/>
  <c r="L51" i="51"/>
  <c r="K49" i="51"/>
  <c r="H49" i="51" s="1"/>
  <c r="U44" i="51" l="1"/>
  <c r="X44" i="51" s="1"/>
  <c r="AE47" i="51"/>
  <c r="T46" i="51"/>
  <c r="Y46" i="51"/>
  <c r="W46" i="51" s="1"/>
  <c r="V45" i="51"/>
  <c r="S45" i="51"/>
  <c r="G52" i="51"/>
  <c r="I52" i="51" s="1"/>
  <c r="AB53" i="51"/>
  <c r="L52" i="51"/>
  <c r="K50" i="51"/>
  <c r="H50" i="51" s="1"/>
  <c r="J51" i="51"/>
  <c r="M51" i="51"/>
  <c r="K51" i="51" l="1"/>
  <c r="H51" i="51" s="1"/>
  <c r="V46" i="51"/>
  <c r="S46" i="51"/>
  <c r="U45" i="51"/>
  <c r="X45" i="51" s="1"/>
  <c r="AE48" i="51"/>
  <c r="Y47" i="51"/>
  <c r="W47" i="51" s="1"/>
  <c r="T47" i="51"/>
  <c r="J52" i="51"/>
  <c r="M52" i="51"/>
  <c r="AB54" i="51"/>
  <c r="G53" i="51"/>
  <c r="I53" i="51" s="1"/>
  <c r="L53" i="51"/>
  <c r="K52" i="51" l="1"/>
  <c r="H52" i="51" s="1"/>
  <c r="U46" i="51"/>
  <c r="X46" i="51" s="1"/>
  <c r="T48" i="51"/>
  <c r="AE49" i="51"/>
  <c r="Y48" i="51"/>
  <c r="W48" i="51" s="1"/>
  <c r="V47" i="51"/>
  <c r="S47" i="51"/>
  <c r="J53" i="51"/>
  <c r="M53" i="51"/>
  <c r="AB55" i="51"/>
  <c r="G54" i="51"/>
  <c r="I54" i="51" s="1"/>
  <c r="L54" i="51"/>
  <c r="J87" i="6"/>
  <c r="U47" i="51" l="1"/>
  <c r="X47" i="51" s="1"/>
  <c r="K53" i="51"/>
  <c r="H53" i="51" s="1"/>
  <c r="AE50" i="51"/>
  <c r="Y49" i="51"/>
  <c r="W49" i="51" s="1"/>
  <c r="T49" i="51"/>
  <c r="V48" i="51"/>
  <c r="S48" i="51"/>
  <c r="AB56" i="51"/>
  <c r="G55" i="51"/>
  <c r="I55" i="51" s="1"/>
  <c r="L55" i="51"/>
  <c r="J54" i="51"/>
  <c r="M54" i="51"/>
  <c r="J39" i="10"/>
  <c r="J49" i="10"/>
  <c r="N430" i="10"/>
  <c r="K429" i="10"/>
  <c r="J429" i="10"/>
  <c r="I429" i="10"/>
  <c r="G429" i="10"/>
  <c r="K428" i="10"/>
  <c r="L428" i="10" s="1"/>
  <c r="I428" i="10"/>
  <c r="G428" i="10"/>
  <c r="K427" i="10"/>
  <c r="J427" i="10"/>
  <c r="I427" i="10"/>
  <c r="G427" i="10"/>
  <c r="K426" i="10"/>
  <c r="L426" i="10" s="1"/>
  <c r="I426" i="10"/>
  <c r="G426" i="10"/>
  <c r="K425" i="10"/>
  <c r="I425" i="10"/>
  <c r="G425" i="10"/>
  <c r="K424" i="10"/>
  <c r="I424" i="10"/>
  <c r="G424" i="10"/>
  <c r="K423" i="10"/>
  <c r="L423" i="10" s="1"/>
  <c r="I423" i="10"/>
  <c r="G423" i="10"/>
  <c r="K422" i="10"/>
  <c r="J422" i="10"/>
  <c r="I422" i="10"/>
  <c r="G422" i="10"/>
  <c r="K421" i="10"/>
  <c r="L421" i="10" s="1"/>
  <c r="I421" i="10"/>
  <c r="G421" i="10"/>
  <c r="L420" i="10"/>
  <c r="I420" i="10"/>
  <c r="E420" i="10"/>
  <c r="J418" i="10"/>
  <c r="J416" i="10"/>
  <c r="J411" i="10"/>
  <c r="C14" i="11"/>
  <c r="C13" i="11"/>
  <c r="C12" i="11"/>
  <c r="C11" i="11"/>
  <c r="L14" i="11"/>
  <c r="J13" i="11"/>
  <c r="G57" i="11"/>
  <c r="H57" i="11" s="1"/>
  <c r="E56" i="11"/>
  <c r="G56" i="11" s="1"/>
  <c r="H56" i="11" s="1"/>
  <c r="C56" i="11"/>
  <c r="C57" i="11" s="1"/>
  <c r="E55" i="11"/>
  <c r="G55" i="11" s="1"/>
  <c r="H55" i="11" s="1"/>
  <c r="F54" i="11"/>
  <c r="G54" i="11" s="1"/>
  <c r="H54" i="11" s="1"/>
  <c r="F53" i="11"/>
  <c r="G53" i="11" s="1"/>
  <c r="D53" i="11"/>
  <c r="G50" i="11"/>
  <c r="H50" i="11" s="1"/>
  <c r="E49" i="11"/>
  <c r="G49" i="11" s="1"/>
  <c r="H49" i="11" s="1"/>
  <c r="C49" i="11"/>
  <c r="C50" i="11" s="1"/>
  <c r="E48" i="11"/>
  <c r="G48" i="11" s="1"/>
  <c r="H48" i="11" s="1"/>
  <c r="F47" i="11"/>
  <c r="G47" i="11" s="1"/>
  <c r="H47" i="11" s="1"/>
  <c r="F46" i="11"/>
  <c r="G46" i="11" s="1"/>
  <c r="D46" i="11"/>
  <c r="N419" i="10"/>
  <c r="K418" i="10"/>
  <c r="I418" i="10"/>
  <c r="G418" i="10"/>
  <c r="K417" i="10"/>
  <c r="L417" i="10" s="1"/>
  <c r="I417" i="10"/>
  <c r="G417" i="10"/>
  <c r="K416" i="10"/>
  <c r="I416" i="10"/>
  <c r="G416" i="10"/>
  <c r="K415" i="10"/>
  <c r="L415" i="10" s="1"/>
  <c r="I415" i="10"/>
  <c r="G415" i="10"/>
  <c r="K414" i="10"/>
  <c r="I414" i="10"/>
  <c r="G414" i="10"/>
  <c r="K413" i="10"/>
  <c r="I413" i="10"/>
  <c r="G413" i="10"/>
  <c r="K412" i="10"/>
  <c r="L412" i="10" s="1"/>
  <c r="I412" i="10"/>
  <c r="G412" i="10"/>
  <c r="K411" i="10"/>
  <c r="I411" i="10"/>
  <c r="G411" i="10"/>
  <c r="K410" i="10"/>
  <c r="L410" i="10" s="1"/>
  <c r="I410" i="10"/>
  <c r="G410" i="10"/>
  <c r="L409" i="10"/>
  <c r="I409" i="10"/>
  <c r="E409" i="10"/>
  <c r="E34" i="11"/>
  <c r="K203" i="10"/>
  <c r="L203" i="10" s="1"/>
  <c r="I203" i="10"/>
  <c r="G203" i="10"/>
  <c r="K202" i="10"/>
  <c r="L202" i="10" s="1"/>
  <c r="I202" i="10"/>
  <c r="G202" i="10"/>
  <c r="K184" i="10"/>
  <c r="L184" i="10" s="1"/>
  <c r="I184" i="10"/>
  <c r="G184" i="10"/>
  <c r="I5" i="48"/>
  <c r="J198" i="10"/>
  <c r="J161" i="10"/>
  <c r="M159" i="10"/>
  <c r="A12" i="10"/>
  <c r="V49" i="51" l="1"/>
  <c r="S49" i="51"/>
  <c r="U48" i="51"/>
  <c r="X48" i="51" s="1"/>
  <c r="AE51" i="51"/>
  <c r="Y50" i="51"/>
  <c r="W50" i="51" s="1"/>
  <c r="T50" i="51"/>
  <c r="J55" i="51"/>
  <c r="M55" i="51"/>
  <c r="K54" i="51"/>
  <c r="H54" i="51" s="1"/>
  <c r="G56" i="51"/>
  <c r="I56" i="51" s="1"/>
  <c r="AB57" i="51"/>
  <c r="L56" i="51"/>
  <c r="L411" i="10"/>
  <c r="L416" i="10"/>
  <c r="L429" i="10"/>
  <c r="L418" i="10"/>
  <c r="L422" i="10"/>
  <c r="L427" i="10"/>
  <c r="H53" i="11"/>
  <c r="I54" i="11" s="1"/>
  <c r="K54" i="11" s="1"/>
  <c r="J424" i="10" s="1"/>
  <c r="L424" i="10" s="1"/>
  <c r="H46" i="11"/>
  <c r="I47" i="11" s="1"/>
  <c r="K47" i="11" s="1"/>
  <c r="J413" i="10" s="1"/>
  <c r="L413" i="10" s="1"/>
  <c r="I57" i="11"/>
  <c r="I50" i="11"/>
  <c r="A673" i="10"/>
  <c r="A674" i="10" s="1"/>
  <c r="A675" i="10" s="1"/>
  <c r="A676" i="10" s="1"/>
  <c r="A677" i="10" s="1"/>
  <c r="A401" i="10"/>
  <c r="A393" i="10"/>
  <c r="A386" i="10"/>
  <c r="A380" i="10"/>
  <c r="A374" i="10"/>
  <c r="A367" i="10"/>
  <c r="A363" i="10"/>
  <c r="A359" i="10"/>
  <c r="A355" i="10"/>
  <c r="A343" i="10"/>
  <c r="A334" i="10"/>
  <c r="A320" i="10"/>
  <c r="A311" i="10"/>
  <c r="A302" i="10"/>
  <c r="A293" i="10"/>
  <c r="A284" i="10"/>
  <c r="A277" i="10"/>
  <c r="A267" i="10"/>
  <c r="A261" i="10"/>
  <c r="A251" i="10"/>
  <c r="A241" i="10"/>
  <c r="A213" i="10"/>
  <c r="A205" i="10"/>
  <c r="A196" i="10"/>
  <c r="A186" i="10"/>
  <c r="A176" i="10"/>
  <c r="A170" i="10"/>
  <c r="A173" i="10" s="1"/>
  <c r="A163" i="10"/>
  <c r="A159" i="10"/>
  <c r="A145" i="10"/>
  <c r="A135" i="10"/>
  <c r="A125" i="10"/>
  <c r="A115" i="10"/>
  <c r="A105" i="10"/>
  <c r="A95" i="10"/>
  <c r="A88" i="10"/>
  <c r="A78" i="10"/>
  <c r="A68" i="10"/>
  <c r="A60" i="10"/>
  <c r="A52" i="10"/>
  <c r="A42" i="10"/>
  <c r="A420" i="10" s="1"/>
  <c r="A32" i="10"/>
  <c r="A409" i="10" s="1"/>
  <c r="A22" i="10"/>
  <c r="T42" i="10"/>
  <c r="T25" i="10"/>
  <c r="T26" i="10"/>
  <c r="T27" i="10"/>
  <c r="T28" i="10"/>
  <c r="T29" i="10"/>
  <c r="T30" i="10"/>
  <c r="T31" i="10"/>
  <c r="T32" i="10"/>
  <c r="T33" i="10"/>
  <c r="T34" i="10"/>
  <c r="T35" i="10"/>
  <c r="T36" i="10"/>
  <c r="T37" i="10"/>
  <c r="T38" i="10"/>
  <c r="T39" i="10"/>
  <c r="T40" i="10"/>
  <c r="T41" i="10"/>
  <c r="T16" i="10"/>
  <c r="T2" i="10"/>
  <c r="T3" i="10"/>
  <c r="T4" i="10"/>
  <c r="T5" i="10"/>
  <c r="T14" i="10"/>
  <c r="T12" i="10"/>
  <c r="T6" i="10"/>
  <c r="T13" i="10"/>
  <c r="T7" i="10"/>
  <c r="T8" i="10"/>
  <c r="T9" i="10"/>
  <c r="T10" i="10"/>
  <c r="T11" i="10"/>
  <c r="T17" i="10"/>
  <c r="T18" i="10"/>
  <c r="T19" i="10"/>
  <c r="T20" i="10"/>
  <c r="T21" i="10"/>
  <c r="T22" i="10"/>
  <c r="T23" i="10"/>
  <c r="T24" i="10"/>
  <c r="T15" i="10"/>
  <c r="A269" i="10" l="1"/>
  <c r="A272" i="10" s="1"/>
  <c r="A270" i="10"/>
  <c r="K55" i="51"/>
  <c r="H55" i="51" s="1"/>
  <c r="U49" i="51"/>
  <c r="X49" i="51" s="1"/>
  <c r="AE52" i="51"/>
  <c r="Y51" i="51"/>
  <c r="W51" i="51" s="1"/>
  <c r="T51" i="51"/>
  <c r="S50" i="51"/>
  <c r="V50" i="51"/>
  <c r="J56" i="51"/>
  <c r="M56" i="51"/>
  <c r="AB58" i="51"/>
  <c r="G57" i="51"/>
  <c r="I57" i="51" s="1"/>
  <c r="L57" i="51"/>
  <c r="A230" i="10"/>
  <c r="A219" i="10"/>
  <c r="C78" i="8"/>
  <c r="L50" i="6"/>
  <c r="I50" i="6"/>
  <c r="H50" i="6" s="1"/>
  <c r="A1144" i="8"/>
  <c r="A1145" i="8" s="1"/>
  <c r="A1146" i="8" s="1"/>
  <c r="A1147" i="8" s="1"/>
  <c r="A1148" i="8" s="1"/>
  <c r="A1139" i="8"/>
  <c r="A1140" i="8" s="1"/>
  <c r="A1141" i="8" s="1"/>
  <c r="A1142" i="8" s="1"/>
  <c r="A1143" i="8" s="1"/>
  <c r="A1128" i="8"/>
  <c r="A1129" i="8" s="1"/>
  <c r="A1125" i="8"/>
  <c r="E1018" i="8"/>
  <c r="F1017" i="8"/>
  <c r="A1046" i="8"/>
  <c r="A1047" i="8" s="1"/>
  <c r="A1048" i="8" s="1"/>
  <c r="A1049" i="8" s="1"/>
  <c r="A1050" i="8" s="1"/>
  <c r="A605" i="8"/>
  <c r="A606" i="8" s="1"/>
  <c r="A607" i="8" s="1"/>
  <c r="A611" i="8" s="1"/>
  <c r="A363" i="8"/>
  <c r="A364" i="8" s="1"/>
  <c r="A365" i="8" s="1"/>
  <c r="A366" i="8" s="1"/>
  <c r="A367" i="8" s="1"/>
  <c r="A337" i="8"/>
  <c r="A349" i="8" s="1"/>
  <c r="A350" i="8" s="1"/>
  <c r="A351" i="8" s="1"/>
  <c r="A352" i="8" s="1"/>
  <c r="A353" i="8" s="1"/>
  <c r="A327" i="8"/>
  <c r="A328" i="8" s="1"/>
  <c r="A329" i="8" s="1"/>
  <c r="A330" i="8" s="1"/>
  <c r="A331" i="8" s="1"/>
  <c r="A128" i="8"/>
  <c r="A129" i="8" s="1"/>
  <c r="A130" i="8" s="1"/>
  <c r="A131" i="8" s="1"/>
  <c r="F1" i="8"/>
  <c r="A3" i="6" s="1"/>
  <c r="K5" i="7"/>
  <c r="C7" i="10"/>
  <c r="C6" i="10"/>
  <c r="C5" i="10"/>
  <c r="D6" i="8"/>
  <c r="C6" i="8"/>
  <c r="D78" i="8" l="1"/>
  <c r="A1130" i="8"/>
  <c r="A1133" i="8"/>
  <c r="A1132" i="8"/>
  <c r="A1124" i="8"/>
  <c r="A1122" i="8"/>
  <c r="A1131" i="8"/>
  <c r="A132" i="8"/>
  <c r="A134" i="8"/>
  <c r="U50" i="51"/>
  <c r="X50" i="51" s="1"/>
  <c r="V51" i="51"/>
  <c r="S51" i="51"/>
  <c r="T52" i="51"/>
  <c r="Y52" i="51"/>
  <c r="W52" i="51" s="1"/>
  <c r="AE53" i="51"/>
  <c r="AB59" i="51"/>
  <c r="G58" i="51"/>
  <c r="I58" i="51" s="1"/>
  <c r="L58" i="51"/>
  <c r="K56" i="51"/>
  <c r="H56" i="51" s="1"/>
  <c r="J57" i="51"/>
  <c r="M57" i="51"/>
  <c r="F1018" i="8"/>
  <c r="E1019" i="8"/>
  <c r="E1044" i="8" s="1"/>
  <c r="A1017" i="8"/>
  <c r="A1018" i="8" s="1"/>
  <c r="A1019" i="8" s="1"/>
  <c r="F101" i="8"/>
  <c r="F1016" i="8"/>
  <c r="A1159" i="8" l="1"/>
  <c r="A1123" i="8"/>
  <c r="A1126" i="8"/>
  <c r="V52" i="51"/>
  <c r="S52" i="51"/>
  <c r="AE54" i="51"/>
  <c r="Y53" i="51"/>
  <c r="W53" i="51" s="1"/>
  <c r="T53" i="51"/>
  <c r="U51" i="51"/>
  <c r="X51" i="51" s="1"/>
  <c r="J58" i="51"/>
  <c r="M58" i="51"/>
  <c r="K57" i="51"/>
  <c r="H57" i="51" s="1"/>
  <c r="AB60" i="51"/>
  <c r="G59" i="51"/>
  <c r="I59" i="51" s="1"/>
  <c r="L59" i="51"/>
  <c r="F1019" i="8"/>
  <c r="A1013" i="8"/>
  <c r="A1014" i="8" s="1"/>
  <c r="A1015" i="8" s="1"/>
  <c r="A1044" i="8" s="1"/>
  <c r="A1045" i="8" s="1"/>
  <c r="K58" i="51" l="1"/>
  <c r="H58" i="51" s="1"/>
  <c r="U52" i="51"/>
  <c r="X52" i="51" s="1"/>
  <c r="AE55" i="51"/>
  <c r="T54" i="51"/>
  <c r="Y54" i="51"/>
  <c r="W54" i="51" s="1"/>
  <c r="V53" i="51"/>
  <c r="S53" i="51"/>
  <c r="G60" i="51"/>
  <c r="I60" i="51" s="1"/>
  <c r="AB61" i="51"/>
  <c r="L60" i="51"/>
  <c r="J59" i="51"/>
  <c r="M59" i="51"/>
  <c r="C57" i="8"/>
  <c r="L28" i="6"/>
  <c r="I28" i="6"/>
  <c r="H28" i="6" l="1"/>
  <c r="D57" i="8" s="1"/>
  <c r="V54" i="51"/>
  <c r="S54" i="51"/>
  <c r="U53" i="51"/>
  <c r="X53" i="51" s="1"/>
  <c r="AE56" i="51"/>
  <c r="Y55" i="51"/>
  <c r="W55" i="51" s="1"/>
  <c r="T55" i="51"/>
  <c r="AB62" i="51"/>
  <c r="G61" i="51"/>
  <c r="I61" i="51" s="1"/>
  <c r="L61" i="51"/>
  <c r="J60" i="51"/>
  <c r="M60" i="51"/>
  <c r="K59" i="51"/>
  <c r="H59" i="51" s="1"/>
  <c r="N408" i="10"/>
  <c r="K407" i="10"/>
  <c r="L407" i="10" s="1"/>
  <c r="I407" i="10"/>
  <c r="G407" i="10"/>
  <c r="K406" i="10"/>
  <c r="L406" i="10" s="1"/>
  <c r="I406" i="10"/>
  <c r="G406" i="10"/>
  <c r="K405" i="10"/>
  <c r="I405" i="10"/>
  <c r="G405" i="10"/>
  <c r="K404" i="10"/>
  <c r="I404" i="10"/>
  <c r="G404" i="10"/>
  <c r="K403" i="10"/>
  <c r="I403" i="10"/>
  <c r="G403" i="10"/>
  <c r="K402" i="10"/>
  <c r="L402" i="10" s="1"/>
  <c r="I402" i="10"/>
  <c r="G402" i="10"/>
  <c r="L401" i="10"/>
  <c r="E401" i="10"/>
  <c r="U54" i="51" l="1"/>
  <c r="X54" i="51" s="1"/>
  <c r="Y56" i="51"/>
  <c r="W56" i="51" s="1"/>
  <c r="AE57" i="51"/>
  <c r="T56" i="51"/>
  <c r="V55" i="51"/>
  <c r="S55" i="51"/>
  <c r="J61" i="51"/>
  <c r="M61" i="51"/>
  <c r="K60" i="51"/>
  <c r="H60" i="51" s="1"/>
  <c r="AB63" i="51"/>
  <c r="G62" i="51"/>
  <c r="I62" i="51" s="1"/>
  <c r="L62" i="51"/>
  <c r="L403" i="10"/>
  <c r="L404" i="10"/>
  <c r="L405" i="10"/>
  <c r="K61" i="51" l="1"/>
  <c r="H61" i="51" s="1"/>
  <c r="V56" i="51"/>
  <c r="S56" i="51"/>
  <c r="AE58" i="51"/>
  <c r="Y57" i="51"/>
  <c r="W57" i="51" s="1"/>
  <c r="T57" i="51"/>
  <c r="U55" i="51"/>
  <c r="X55" i="51" s="1"/>
  <c r="AB64" i="51"/>
  <c r="G63" i="51"/>
  <c r="I63" i="51" s="1"/>
  <c r="L63" i="51"/>
  <c r="J62" i="51"/>
  <c r="M62" i="51"/>
  <c r="L408" i="10"/>
  <c r="O408" i="10" s="1"/>
  <c r="L48" i="6"/>
  <c r="I48" i="6"/>
  <c r="H48" i="6" s="1"/>
  <c r="K62" i="51" l="1"/>
  <c r="H62" i="51" s="1"/>
  <c r="AE59" i="51"/>
  <c r="Y58" i="51"/>
  <c r="W58" i="51" s="1"/>
  <c r="T58" i="51"/>
  <c r="S57" i="51"/>
  <c r="V57" i="51"/>
  <c r="U56" i="51"/>
  <c r="X56" i="51" s="1"/>
  <c r="J63" i="51"/>
  <c r="M63" i="51"/>
  <c r="AB65" i="51"/>
  <c r="G64" i="51"/>
  <c r="I64" i="51" s="1"/>
  <c r="L64" i="51"/>
  <c r="U57" i="51" l="1"/>
  <c r="X57" i="51" s="1"/>
  <c r="K63" i="51"/>
  <c r="H63" i="51" s="1"/>
  <c r="S58" i="51"/>
  <c r="V58" i="51"/>
  <c r="T59" i="51"/>
  <c r="AE60" i="51"/>
  <c r="Y59" i="51"/>
  <c r="W59" i="51" s="1"/>
  <c r="AB66" i="51"/>
  <c r="G65" i="51"/>
  <c r="I65" i="51" s="1"/>
  <c r="L65" i="51"/>
  <c r="J64" i="51"/>
  <c r="M64" i="51"/>
  <c r="C1144" i="8"/>
  <c r="U58" i="51" l="1"/>
  <c r="X58" i="51" s="1"/>
  <c r="Y60" i="51"/>
  <c r="W60" i="51" s="1"/>
  <c r="AE61" i="51"/>
  <c r="T60" i="51"/>
  <c r="S59" i="51"/>
  <c r="V59" i="51"/>
  <c r="J65" i="51"/>
  <c r="M65" i="51"/>
  <c r="K64" i="51"/>
  <c r="H64" i="51" s="1"/>
  <c r="G66" i="51"/>
  <c r="I66" i="51" s="1"/>
  <c r="AB67" i="51"/>
  <c r="L66" i="51"/>
  <c r="U59" i="51" l="1"/>
  <c r="X59" i="51" s="1"/>
  <c r="Y61" i="51"/>
  <c r="W61" i="51" s="1"/>
  <c r="AE62" i="51"/>
  <c r="T61" i="51"/>
  <c r="S60" i="51"/>
  <c r="V60" i="51"/>
  <c r="J66" i="51"/>
  <c r="M66" i="51"/>
  <c r="K65" i="51"/>
  <c r="H65" i="51" s="1"/>
  <c r="AB68" i="51"/>
  <c r="G67" i="51"/>
  <c r="I67" i="51" s="1"/>
  <c r="L67" i="51"/>
  <c r="U60" i="51" l="1"/>
  <c r="X60" i="51" s="1"/>
  <c r="T62" i="51"/>
  <c r="AE63" i="51"/>
  <c r="Y62" i="51"/>
  <c r="W62" i="51" s="1"/>
  <c r="V61" i="51"/>
  <c r="S61" i="51"/>
  <c r="J67" i="51"/>
  <c r="M67" i="51"/>
  <c r="K66" i="51"/>
  <c r="H66" i="51" s="1"/>
  <c r="AB69" i="51"/>
  <c r="G68" i="51"/>
  <c r="I68" i="51" s="1"/>
  <c r="L68" i="51"/>
  <c r="I384" i="10"/>
  <c r="G384" i="10"/>
  <c r="I383" i="10"/>
  <c r="G383" i="10"/>
  <c r="I382" i="10"/>
  <c r="G382" i="10"/>
  <c r="I381" i="10"/>
  <c r="G381" i="10"/>
  <c r="F381" i="10" s="1"/>
  <c r="K67" i="51" l="1"/>
  <c r="H67" i="51" s="1"/>
  <c r="U61" i="51"/>
  <c r="X61" i="51" s="1"/>
  <c r="Y63" i="51"/>
  <c r="W63" i="51" s="1"/>
  <c r="T63" i="51"/>
  <c r="AE64" i="51"/>
  <c r="V62" i="51"/>
  <c r="S62" i="51"/>
  <c r="J68" i="51"/>
  <c r="M68" i="51"/>
  <c r="G69" i="51"/>
  <c r="I69" i="51" s="1"/>
  <c r="AB70" i="51"/>
  <c r="L69" i="51"/>
  <c r="J398" i="10"/>
  <c r="J391" i="10"/>
  <c r="J396" i="10"/>
  <c r="J389" i="10"/>
  <c r="J390" i="10" s="1"/>
  <c r="I358" i="6"/>
  <c r="H358" i="6" s="1"/>
  <c r="D1144" i="8" l="1"/>
  <c r="K68" i="51"/>
  <c r="H68" i="51" s="1"/>
  <c r="T64" i="51"/>
  <c r="AE65" i="51"/>
  <c r="Y64" i="51"/>
  <c r="W64" i="51" s="1"/>
  <c r="V63" i="51"/>
  <c r="S63" i="51"/>
  <c r="U62" i="51"/>
  <c r="X62" i="51" s="1"/>
  <c r="AB71" i="51"/>
  <c r="G70" i="51"/>
  <c r="L70" i="51"/>
  <c r="J69" i="51"/>
  <c r="M69" i="51"/>
  <c r="F1147" i="8"/>
  <c r="H1147" i="8"/>
  <c r="L358" i="6"/>
  <c r="E1146" i="8"/>
  <c r="J397" i="10"/>
  <c r="J394" i="10"/>
  <c r="J395" i="10" s="1"/>
  <c r="N400" i="10"/>
  <c r="K399" i="10"/>
  <c r="L399" i="10" s="1"/>
  <c r="I399" i="10"/>
  <c r="G399" i="10"/>
  <c r="K398" i="10"/>
  <c r="L398" i="10" s="1"/>
  <c r="I398" i="10"/>
  <c r="G398" i="10"/>
  <c r="K397" i="10"/>
  <c r="I397" i="10"/>
  <c r="G397" i="10"/>
  <c r="I396" i="10"/>
  <c r="G396" i="10"/>
  <c r="K395" i="10"/>
  <c r="I395" i="10"/>
  <c r="G395" i="10"/>
  <c r="K394" i="10"/>
  <c r="I394" i="10"/>
  <c r="G394" i="10"/>
  <c r="L393" i="10"/>
  <c r="E393" i="10"/>
  <c r="J387" i="10"/>
  <c r="J388" i="10" s="1"/>
  <c r="N392" i="10"/>
  <c r="K391" i="10"/>
  <c r="L391" i="10" s="1"/>
  <c r="I391" i="10"/>
  <c r="G391" i="10"/>
  <c r="K390" i="10"/>
  <c r="I390" i="10"/>
  <c r="G390" i="10"/>
  <c r="I389" i="10"/>
  <c r="G389" i="10"/>
  <c r="K388" i="10"/>
  <c r="I388" i="10"/>
  <c r="G388" i="10"/>
  <c r="K387" i="10"/>
  <c r="I387" i="10"/>
  <c r="G387" i="10"/>
  <c r="L386" i="10"/>
  <c r="E386" i="10"/>
  <c r="N385" i="10"/>
  <c r="K384" i="10"/>
  <c r="K383" i="10"/>
  <c r="K382" i="10"/>
  <c r="L380" i="10"/>
  <c r="E380" i="10"/>
  <c r="N379" i="10"/>
  <c r="I378" i="10"/>
  <c r="G378" i="10"/>
  <c r="K377" i="10"/>
  <c r="L377" i="10" s="1"/>
  <c r="I377" i="10"/>
  <c r="G377" i="10"/>
  <c r="K376" i="10"/>
  <c r="I376" i="10"/>
  <c r="G376" i="10"/>
  <c r="I375" i="10"/>
  <c r="G375" i="10"/>
  <c r="F375" i="10" s="1"/>
  <c r="L374" i="10"/>
  <c r="E374" i="10"/>
  <c r="F1158" i="8" l="1"/>
  <c r="A1150" i="8"/>
  <c r="U63" i="51"/>
  <c r="X63" i="51" s="1"/>
  <c r="Y65" i="51"/>
  <c r="W65" i="51" s="1"/>
  <c r="AE66" i="51"/>
  <c r="T65" i="51"/>
  <c r="S64" i="51"/>
  <c r="V64" i="51"/>
  <c r="J70" i="51"/>
  <c r="M70" i="51"/>
  <c r="I70" i="51"/>
  <c r="K69" i="51"/>
  <c r="H69" i="51" s="1"/>
  <c r="AB72" i="51"/>
  <c r="G71" i="51"/>
  <c r="I71" i="51" s="1"/>
  <c r="L71" i="51"/>
  <c r="L394" i="10"/>
  <c r="L395" i="10"/>
  <c r="L397" i="10"/>
  <c r="L387" i="10"/>
  <c r="L388" i="10"/>
  <c r="L390" i="10"/>
  <c r="L382" i="10"/>
  <c r="L383" i="10"/>
  <c r="L376" i="10"/>
  <c r="L384" i="10"/>
  <c r="A1158" i="8" l="1"/>
  <c r="A1157" i="8"/>
  <c r="K70" i="51"/>
  <c r="H70" i="51" s="1"/>
  <c r="S65" i="51"/>
  <c r="V65" i="51"/>
  <c r="AE67" i="51"/>
  <c r="T66" i="51"/>
  <c r="Y66" i="51"/>
  <c r="W66" i="51" s="1"/>
  <c r="U64" i="51"/>
  <c r="X64" i="51" s="1"/>
  <c r="J71" i="51"/>
  <c r="M71" i="51"/>
  <c r="G72" i="51"/>
  <c r="I72" i="51" s="1"/>
  <c r="AB73" i="51"/>
  <c r="L72" i="51"/>
  <c r="K71" i="51" l="1"/>
  <c r="H71" i="51" s="1"/>
  <c r="S66" i="51"/>
  <c r="V66" i="51"/>
  <c r="AE68" i="51"/>
  <c r="Y67" i="51"/>
  <c r="W67" i="51" s="1"/>
  <c r="T67" i="51"/>
  <c r="U65" i="51"/>
  <c r="X65" i="51" s="1"/>
  <c r="AB74" i="51"/>
  <c r="G73" i="51"/>
  <c r="I73" i="51" s="1"/>
  <c r="L73" i="51"/>
  <c r="J72" i="51"/>
  <c r="M72" i="51"/>
  <c r="I6" i="48"/>
  <c r="G5" i="48"/>
  <c r="K7" i="48"/>
  <c r="K9" i="48"/>
  <c r="K353" i="10"/>
  <c r="I353" i="10"/>
  <c r="G353" i="10"/>
  <c r="J348" i="10"/>
  <c r="J347" i="10"/>
  <c r="K274" i="10"/>
  <c r="I274" i="10"/>
  <c r="G274" i="10"/>
  <c r="K273" i="10"/>
  <c r="I273" i="10"/>
  <c r="G273" i="10"/>
  <c r="J156" i="10"/>
  <c r="J157" i="10" s="1"/>
  <c r="J147" i="10"/>
  <c r="J148" i="10"/>
  <c r="J149" i="10"/>
  <c r="J150" i="10"/>
  <c r="J151" i="10"/>
  <c r="J152" i="10"/>
  <c r="J153" i="10"/>
  <c r="J154" i="10"/>
  <c r="J155" i="10"/>
  <c r="J146" i="10"/>
  <c r="P157" i="10"/>
  <c r="T68" i="51" l="1"/>
  <c r="Y68" i="51"/>
  <c r="W68" i="51" s="1"/>
  <c r="AE69" i="51"/>
  <c r="V67" i="51"/>
  <c r="S67" i="51"/>
  <c r="U66" i="51"/>
  <c r="X66" i="51" s="1"/>
  <c r="J73" i="51"/>
  <c r="M73" i="51"/>
  <c r="K72" i="51"/>
  <c r="H72" i="51" s="1"/>
  <c r="G74" i="51"/>
  <c r="I74" i="51" s="1"/>
  <c r="AB75" i="51"/>
  <c r="L74" i="51"/>
  <c r="L274" i="10"/>
  <c r="L273" i="10"/>
  <c r="U67" i="51" l="1"/>
  <c r="X67" i="51" s="1"/>
  <c r="K73" i="51"/>
  <c r="H73" i="51" s="1"/>
  <c r="AE70" i="51"/>
  <c r="T69" i="51"/>
  <c r="Y69" i="51"/>
  <c r="W69" i="51" s="1"/>
  <c r="V68" i="51"/>
  <c r="S68" i="51"/>
  <c r="J74" i="51"/>
  <c r="M74" i="51"/>
  <c r="AB76" i="51"/>
  <c r="G75" i="51"/>
  <c r="I75" i="51" s="1"/>
  <c r="L75" i="51"/>
  <c r="J7" i="7"/>
  <c r="J6" i="7"/>
  <c r="K6" i="7"/>
  <c r="Q7" i="7"/>
  <c r="T85" i="11"/>
  <c r="R85" i="11"/>
  <c r="F85" i="11"/>
  <c r="G85" i="11" s="1"/>
  <c r="H85" i="11" s="1"/>
  <c r="I85" i="11" s="1"/>
  <c r="J85" i="11" s="1"/>
  <c r="F84" i="11"/>
  <c r="G84" i="11" s="1"/>
  <c r="H84" i="11" s="1"/>
  <c r="I84" i="11" s="1"/>
  <c r="J84" i="11" s="1"/>
  <c r="K84" i="11" s="1"/>
  <c r="L84" i="11" s="1"/>
  <c r="M84" i="11" s="1"/>
  <c r="N84" i="11" s="1"/>
  <c r="O84" i="11" s="1"/>
  <c r="P84" i="11" s="1"/>
  <c r="Q84" i="11" s="1"/>
  <c r="R84" i="11" s="1"/>
  <c r="S84" i="11" s="1"/>
  <c r="T84" i="11" s="1"/>
  <c r="F83" i="11"/>
  <c r="G83" i="11" s="1"/>
  <c r="H83" i="11" s="1"/>
  <c r="I83" i="11" s="1"/>
  <c r="J83" i="11" s="1"/>
  <c r="K83" i="11" s="1"/>
  <c r="L83" i="11" s="1"/>
  <c r="M83" i="11" s="1"/>
  <c r="P82" i="11"/>
  <c r="S81" i="11"/>
  <c r="T81" i="11" s="1"/>
  <c r="R81" i="11"/>
  <c r="J81" i="11"/>
  <c r="K81" i="11" s="1"/>
  <c r="L81" i="11" s="1"/>
  <c r="M81" i="11" s="1"/>
  <c r="N81" i="11" s="1"/>
  <c r="D81" i="11"/>
  <c r="I80" i="11"/>
  <c r="J80" i="11" s="1"/>
  <c r="K80" i="11" s="1"/>
  <c r="L80" i="11" s="1"/>
  <c r="M80" i="11" s="1"/>
  <c r="N80" i="11" s="1"/>
  <c r="O80" i="11" s="1"/>
  <c r="F80" i="11"/>
  <c r="G80" i="11" s="1"/>
  <c r="H80" i="11" s="1"/>
  <c r="Q77" i="11"/>
  <c r="R77" i="11" s="1"/>
  <c r="M77" i="11"/>
  <c r="N77" i="11" s="1"/>
  <c r="K77" i="11"/>
  <c r="L77" i="11" s="1"/>
  <c r="I77" i="11"/>
  <c r="J77" i="11" s="1"/>
  <c r="G77" i="11"/>
  <c r="E77" i="11"/>
  <c r="S76" i="11"/>
  <c r="T76" i="11" s="1"/>
  <c r="R76" i="11"/>
  <c r="P76" i="11"/>
  <c r="O76" i="11"/>
  <c r="E76" i="11"/>
  <c r="K75" i="11"/>
  <c r="J75" i="11"/>
  <c r="E75" i="11"/>
  <c r="E89" i="11" s="1"/>
  <c r="Q74" i="11"/>
  <c r="P74" i="11"/>
  <c r="R74" i="11" s="1"/>
  <c r="O74" i="11"/>
  <c r="M74" i="11"/>
  <c r="L74" i="11"/>
  <c r="J74" i="11"/>
  <c r="H74" i="11"/>
  <c r="H77" i="11" s="1"/>
  <c r="F74" i="11"/>
  <c r="F77" i="11" s="1"/>
  <c r="R73" i="11"/>
  <c r="M73" i="11"/>
  <c r="N73" i="11" s="1"/>
  <c r="G73" i="11"/>
  <c r="M76" i="11" s="1"/>
  <c r="F73" i="11"/>
  <c r="T71" i="11"/>
  <c r="R71" i="11"/>
  <c r="M70" i="11"/>
  <c r="N70" i="11" s="1"/>
  <c r="K70" i="11"/>
  <c r="L70" i="11" s="1"/>
  <c r="I70" i="11"/>
  <c r="J70" i="11" s="1"/>
  <c r="H70" i="11"/>
  <c r="F69" i="11"/>
  <c r="E68" i="11"/>
  <c r="H62" i="11"/>
  <c r="G62" i="11"/>
  <c r="P61" i="11"/>
  <c r="R61" i="11" s="1"/>
  <c r="S61" i="11" s="1"/>
  <c r="T61" i="11" s="1"/>
  <c r="O61" i="11"/>
  <c r="Q61" i="11" s="1"/>
  <c r="N373" i="10"/>
  <c r="K372" i="10"/>
  <c r="I372" i="10"/>
  <c r="G372" i="10"/>
  <c r="I371" i="10"/>
  <c r="G371" i="10"/>
  <c r="K370" i="10"/>
  <c r="I370" i="10"/>
  <c r="G370" i="10"/>
  <c r="K369" i="10"/>
  <c r="I369" i="10"/>
  <c r="G369" i="10"/>
  <c r="K368" i="10"/>
  <c r="I368" i="10"/>
  <c r="G368" i="10"/>
  <c r="L367" i="10"/>
  <c r="E367" i="10"/>
  <c r="N366" i="10"/>
  <c r="K365" i="10"/>
  <c r="L365" i="10" s="1"/>
  <c r="I365" i="10"/>
  <c r="G365" i="10"/>
  <c r="F365" i="10" s="1"/>
  <c r="K364" i="10"/>
  <c r="L364" i="10" s="1"/>
  <c r="I364" i="10"/>
  <c r="G364" i="10"/>
  <c r="F364" i="10" s="1"/>
  <c r="L363" i="10"/>
  <c r="E363" i="10"/>
  <c r="N362" i="10"/>
  <c r="K361" i="10"/>
  <c r="L361" i="10" s="1"/>
  <c r="I361" i="10"/>
  <c r="G361" i="10"/>
  <c r="F361" i="10" s="1"/>
  <c r="K360" i="10"/>
  <c r="L360" i="10" s="1"/>
  <c r="I360" i="10"/>
  <c r="G360" i="10"/>
  <c r="F360" i="10" s="1"/>
  <c r="L359" i="10"/>
  <c r="E359" i="10"/>
  <c r="N358" i="10"/>
  <c r="K357" i="10"/>
  <c r="I357" i="10"/>
  <c r="G357" i="10"/>
  <c r="F357" i="10" s="1"/>
  <c r="K356" i="10"/>
  <c r="I356" i="10"/>
  <c r="G356" i="10"/>
  <c r="F356" i="10" s="1"/>
  <c r="L355" i="10"/>
  <c r="E355" i="10"/>
  <c r="E90" i="11" l="1"/>
  <c r="E65" i="11" s="1"/>
  <c r="J369" i="10" s="1"/>
  <c r="L369" i="10" s="1"/>
  <c r="V69" i="51"/>
  <c r="S69" i="51"/>
  <c r="U68" i="51"/>
  <c r="X68" i="51" s="1"/>
  <c r="T70" i="51"/>
  <c r="AE71" i="51"/>
  <c r="Y70" i="51"/>
  <c r="W70" i="51" s="1"/>
  <c r="G76" i="51"/>
  <c r="I76" i="51" s="1"/>
  <c r="AB77" i="51"/>
  <c r="L76" i="51"/>
  <c r="J75" i="51"/>
  <c r="M75" i="51"/>
  <c r="K74" i="51"/>
  <c r="H74" i="51" s="1"/>
  <c r="M90" i="11"/>
  <c r="G75" i="11"/>
  <c r="G89" i="11" s="1"/>
  <c r="N74" i="11"/>
  <c r="K85" i="11"/>
  <c r="L85" i="11" s="1"/>
  <c r="M85" i="11" s="1"/>
  <c r="N85" i="11" s="1"/>
  <c r="J78" i="11"/>
  <c r="P80" i="11"/>
  <c r="O75" i="11"/>
  <c r="N83" i="11"/>
  <c r="O83" i="11" s="1"/>
  <c r="H75" i="11"/>
  <c r="K76" i="11"/>
  <c r="G76" i="11"/>
  <c r="G87" i="11" s="1"/>
  <c r="I73" i="11"/>
  <c r="H73" i="11"/>
  <c r="S73" i="11"/>
  <c r="F75" i="11"/>
  <c r="F86" i="11" s="1"/>
  <c r="I76" i="11"/>
  <c r="M87" i="11"/>
  <c r="F68" i="11"/>
  <c r="F76" i="11"/>
  <c r="M75" i="11"/>
  <c r="K78" i="11"/>
  <c r="L75" i="11"/>
  <c r="L78" i="11" s="1"/>
  <c r="N76" i="11"/>
  <c r="N68" i="11" s="1"/>
  <c r="E87" i="11"/>
  <c r="E67" i="11"/>
  <c r="G68" i="11"/>
  <c r="I78" i="11"/>
  <c r="E86" i="11"/>
  <c r="O77" i="11"/>
  <c r="O90" i="11" s="1"/>
  <c r="S77" i="11"/>
  <c r="T77" i="11" s="1"/>
  <c r="P77" i="11"/>
  <c r="L366" i="10"/>
  <c r="O366" i="10" s="1"/>
  <c r="L362" i="10"/>
  <c r="O362" i="10" s="1"/>
  <c r="L357" i="10"/>
  <c r="O89" i="11" l="1"/>
  <c r="O65" i="11" s="1"/>
  <c r="G90" i="11"/>
  <c r="M68" i="11"/>
  <c r="F89" i="11"/>
  <c r="P90" i="11"/>
  <c r="G86" i="11"/>
  <c r="G66" i="11" s="1"/>
  <c r="G67" i="11"/>
  <c r="G64" i="11"/>
  <c r="V70" i="51"/>
  <c r="S70" i="51"/>
  <c r="AE72" i="51"/>
  <c r="Y71" i="51"/>
  <c r="W71" i="51" s="1"/>
  <c r="T71" i="51"/>
  <c r="U69" i="51"/>
  <c r="X69" i="51" s="1"/>
  <c r="J76" i="51"/>
  <c r="M76" i="51"/>
  <c r="AB78" i="51"/>
  <c r="G77" i="51"/>
  <c r="I77" i="51" s="1"/>
  <c r="L77" i="51"/>
  <c r="K75" i="51"/>
  <c r="H75" i="51" s="1"/>
  <c r="F64" i="11"/>
  <c r="O87" i="11"/>
  <c r="F90" i="11"/>
  <c r="F65" i="11" s="1"/>
  <c r="G65" i="11"/>
  <c r="N75" i="11"/>
  <c r="M78" i="11"/>
  <c r="M67" i="11" s="1"/>
  <c r="T73" i="11"/>
  <c r="S74" i="11"/>
  <c r="N87" i="11"/>
  <c r="O86" i="11"/>
  <c r="O68" i="11"/>
  <c r="O67" i="11"/>
  <c r="P83" i="11"/>
  <c r="P64" i="11" s="1"/>
  <c r="P66" i="11" s="1"/>
  <c r="P75" i="11"/>
  <c r="Q80" i="11"/>
  <c r="F87" i="11"/>
  <c r="F66" i="11" s="1"/>
  <c r="F67" i="11"/>
  <c r="J76" i="11"/>
  <c r="J68" i="11" s="1"/>
  <c r="I68" i="11"/>
  <c r="I64" i="11"/>
  <c r="I67" i="11"/>
  <c r="K73" i="11"/>
  <c r="I89" i="11"/>
  <c r="I86" i="11"/>
  <c r="J73" i="11"/>
  <c r="I90" i="11"/>
  <c r="I87" i="11"/>
  <c r="M89" i="11"/>
  <c r="M65" i="11" s="1"/>
  <c r="L76" i="11"/>
  <c r="L68" i="11" s="1"/>
  <c r="K68" i="11"/>
  <c r="H89" i="11"/>
  <c r="H86" i="11"/>
  <c r="H76" i="11"/>
  <c r="H90" i="11" s="1"/>
  <c r="H68" i="11"/>
  <c r="E66" i="11"/>
  <c r="J370" i="10" s="1"/>
  <c r="L370" i="10" s="1"/>
  <c r="E64" i="11"/>
  <c r="J368" i="10" s="1"/>
  <c r="M64" i="11"/>
  <c r="N90" i="11"/>
  <c r="N64" i="11"/>
  <c r="M86" i="11"/>
  <c r="M66" i="11" s="1"/>
  <c r="O64" i="11"/>
  <c r="O66" i="11" s="1"/>
  <c r="I65" i="11" l="1"/>
  <c r="P87" i="11"/>
  <c r="U70" i="51"/>
  <c r="X70" i="51" s="1"/>
  <c r="Y72" i="51"/>
  <c r="W72" i="51" s="1"/>
  <c r="T72" i="51"/>
  <c r="AE73" i="51"/>
  <c r="V71" i="51"/>
  <c r="S71" i="51"/>
  <c r="AB79" i="51"/>
  <c r="G78" i="51"/>
  <c r="I78" i="51" s="1"/>
  <c r="L78" i="51"/>
  <c r="K76" i="51"/>
  <c r="H76" i="51" s="1"/>
  <c r="J77" i="51"/>
  <c r="M77" i="51"/>
  <c r="J372" i="10"/>
  <c r="L372" i="10" s="1"/>
  <c r="L368" i="10"/>
  <c r="R80" i="11"/>
  <c r="Q78" i="11"/>
  <c r="Q90" i="11"/>
  <c r="H64" i="11"/>
  <c r="H65" i="11"/>
  <c r="J67" i="11"/>
  <c r="J64" i="11"/>
  <c r="J90" i="11"/>
  <c r="J89" i="11"/>
  <c r="J87" i="11"/>
  <c r="J86" i="11"/>
  <c r="N78" i="11"/>
  <c r="N67" i="11" s="1"/>
  <c r="N89" i="11"/>
  <c r="N65" i="11" s="1"/>
  <c r="N86" i="11"/>
  <c r="N66" i="11" s="1"/>
  <c r="P86" i="11"/>
  <c r="Q83" i="11"/>
  <c r="Q89" i="11" s="1"/>
  <c r="P67" i="11"/>
  <c r="P68" i="11"/>
  <c r="T74" i="11"/>
  <c r="H87" i="11"/>
  <c r="H66" i="11" s="1"/>
  <c r="K90" i="11"/>
  <c r="K89" i="11"/>
  <c r="K87" i="11"/>
  <c r="K86" i="11"/>
  <c r="L73" i="11"/>
  <c r="K67" i="11"/>
  <c r="K64" i="11"/>
  <c r="H67" i="11"/>
  <c r="I66" i="11"/>
  <c r="P89" i="11"/>
  <c r="P65" i="11" s="1"/>
  <c r="Q65" i="11" l="1"/>
  <c r="K77" i="51"/>
  <c r="H77" i="51" s="1"/>
  <c r="J66" i="11"/>
  <c r="U71" i="51"/>
  <c r="X71" i="51" s="1"/>
  <c r="AE74" i="51"/>
  <c r="Y73" i="51"/>
  <c r="W73" i="51" s="1"/>
  <c r="T73" i="51"/>
  <c r="S72" i="51"/>
  <c r="V72" i="51"/>
  <c r="J78" i="51"/>
  <c r="M78" i="51"/>
  <c r="AB80" i="51"/>
  <c r="G79" i="51"/>
  <c r="I79" i="51" s="1"/>
  <c r="L79" i="51"/>
  <c r="K66" i="11"/>
  <c r="K65" i="11"/>
  <c r="R83" i="11"/>
  <c r="R64" i="11" s="1"/>
  <c r="R66" i="11" s="1"/>
  <c r="Q68" i="11"/>
  <c r="Q67" i="11"/>
  <c r="Q86" i="11"/>
  <c r="Q87" i="11"/>
  <c r="S80" i="11"/>
  <c r="R78" i="11"/>
  <c r="R90" i="11"/>
  <c r="L90" i="11"/>
  <c r="L89" i="11"/>
  <c r="L87" i="11"/>
  <c r="L86" i="11"/>
  <c r="L67" i="11"/>
  <c r="L64" i="11"/>
  <c r="J65" i="11"/>
  <c r="Q64" i="11"/>
  <c r="Q66" i="11" s="1"/>
  <c r="L65" i="11" l="1"/>
  <c r="R89" i="11"/>
  <c r="R65" i="11" s="1"/>
  <c r="R87" i="11"/>
  <c r="V73" i="51"/>
  <c r="S73" i="51"/>
  <c r="U72" i="51"/>
  <c r="X72" i="51" s="1"/>
  <c r="Y74" i="51"/>
  <c r="W74" i="51" s="1"/>
  <c r="T74" i="51"/>
  <c r="AE75" i="51"/>
  <c r="J79" i="51"/>
  <c r="M79" i="51"/>
  <c r="G80" i="51"/>
  <c r="I80" i="51" s="1"/>
  <c r="AB81" i="51"/>
  <c r="L80" i="51"/>
  <c r="K78" i="51"/>
  <c r="H78" i="51" s="1"/>
  <c r="L66" i="11"/>
  <c r="S75" i="11"/>
  <c r="T80" i="11"/>
  <c r="S90" i="11"/>
  <c r="S83" i="11"/>
  <c r="R67" i="11"/>
  <c r="R68" i="11"/>
  <c r="R86" i="11"/>
  <c r="K79" i="51" l="1"/>
  <c r="H79" i="51" s="1"/>
  <c r="AE76" i="51"/>
  <c r="Y75" i="51"/>
  <c r="W75" i="51" s="1"/>
  <c r="T75" i="51"/>
  <c r="V74" i="51"/>
  <c r="S74" i="51"/>
  <c r="U73" i="51"/>
  <c r="X73" i="51" s="1"/>
  <c r="AB82" i="51"/>
  <c r="G81" i="51"/>
  <c r="I81" i="51" s="1"/>
  <c r="L81" i="51"/>
  <c r="J80" i="51"/>
  <c r="M80" i="51"/>
  <c r="T83" i="11"/>
  <c r="T87" i="11" s="1"/>
  <c r="S68" i="11"/>
  <c r="S86" i="11"/>
  <c r="S87" i="11"/>
  <c r="T75" i="11"/>
  <c r="T90" i="11"/>
  <c r="S64" i="11"/>
  <c r="S66" i="11" s="1"/>
  <c r="S78" i="11"/>
  <c r="S67" i="11" s="1"/>
  <c r="S89" i="11"/>
  <c r="S65" i="11" s="1"/>
  <c r="T64" i="11" l="1"/>
  <c r="T66" i="11" s="1"/>
  <c r="K80" i="51"/>
  <c r="H80" i="51" s="1"/>
  <c r="V75" i="51"/>
  <c r="S75" i="51"/>
  <c r="U74" i="51"/>
  <c r="X74" i="51" s="1"/>
  <c r="T76" i="51"/>
  <c r="Y76" i="51"/>
  <c r="W76" i="51" s="1"/>
  <c r="AE77" i="51"/>
  <c r="J81" i="51"/>
  <c r="M81" i="51"/>
  <c r="G82" i="51"/>
  <c r="I82" i="51" s="1"/>
  <c r="AB83" i="51"/>
  <c r="L82" i="51"/>
  <c r="T78" i="11"/>
  <c r="T67" i="11" s="1"/>
  <c r="T89" i="11"/>
  <c r="T65" i="11" s="1"/>
  <c r="T68" i="11"/>
  <c r="T86" i="11"/>
  <c r="U75" i="51" l="1"/>
  <c r="X75" i="51" s="1"/>
  <c r="S76" i="51"/>
  <c r="V76" i="51"/>
  <c r="AE78" i="51"/>
  <c r="Y77" i="51"/>
  <c r="W77" i="51" s="1"/>
  <c r="T77" i="51"/>
  <c r="AB84" i="51"/>
  <c r="G83" i="51"/>
  <c r="I83" i="51" s="1"/>
  <c r="L83" i="51"/>
  <c r="K81" i="51"/>
  <c r="H81" i="51" s="1"/>
  <c r="J82" i="51"/>
  <c r="M82" i="51"/>
  <c r="I17" i="48"/>
  <c r="I16" i="48"/>
  <c r="I15" i="48"/>
  <c r="I14" i="48"/>
  <c r="I13" i="48"/>
  <c r="J12" i="48"/>
  <c r="I12" i="48"/>
  <c r="Y78" i="51" l="1"/>
  <c r="W78" i="51" s="1"/>
  <c r="AE79" i="51"/>
  <c r="T78" i="51"/>
  <c r="V77" i="51"/>
  <c r="S77" i="51"/>
  <c r="U76" i="51"/>
  <c r="X76" i="51" s="1"/>
  <c r="J83" i="51"/>
  <c r="M83" i="51"/>
  <c r="K82" i="51"/>
  <c r="H82" i="51" s="1"/>
  <c r="G84" i="51"/>
  <c r="I84" i="51" s="1"/>
  <c r="AB85" i="51"/>
  <c r="L84" i="51"/>
  <c r="O325" i="10"/>
  <c r="P325" i="10" s="1"/>
  <c r="O324" i="10"/>
  <c r="P324" i="10" s="1"/>
  <c r="K282" i="10"/>
  <c r="I282" i="10"/>
  <c r="G282" i="10"/>
  <c r="K265" i="10"/>
  <c r="I265" i="10"/>
  <c r="G265" i="10"/>
  <c r="K143" i="10"/>
  <c r="J143" i="10"/>
  <c r="I143" i="10"/>
  <c r="G143" i="10"/>
  <c r="K133" i="10"/>
  <c r="J133" i="10"/>
  <c r="I133" i="10"/>
  <c r="G133" i="10"/>
  <c r="N134" i="10"/>
  <c r="K123" i="10"/>
  <c r="J123" i="10"/>
  <c r="I123" i="10"/>
  <c r="G123" i="10"/>
  <c r="U77" i="51" l="1"/>
  <c r="X77" i="51" s="1"/>
  <c r="AE80" i="51"/>
  <c r="Y79" i="51"/>
  <c r="W79" i="51" s="1"/>
  <c r="T79" i="51"/>
  <c r="V78" i="51"/>
  <c r="S78" i="51"/>
  <c r="J84" i="51"/>
  <c r="M84" i="51"/>
  <c r="K83" i="51"/>
  <c r="H83" i="51" s="1"/>
  <c r="G85" i="51"/>
  <c r="I85" i="51" s="1"/>
  <c r="AB86" i="51"/>
  <c r="L85" i="51"/>
  <c r="L143" i="10"/>
  <c r="L133" i="10"/>
  <c r="L123" i="10"/>
  <c r="K84" i="51" l="1"/>
  <c r="H84" i="51" s="1"/>
  <c r="S79" i="51"/>
  <c r="V79" i="51"/>
  <c r="U79" i="51" s="1"/>
  <c r="X79" i="51" s="1"/>
  <c r="U78" i="51"/>
  <c r="X78" i="51" s="1"/>
  <c r="AE81" i="51"/>
  <c r="Y80" i="51"/>
  <c r="W80" i="51" s="1"/>
  <c r="T80" i="51"/>
  <c r="J85" i="51"/>
  <c r="M85" i="51"/>
  <c r="G86" i="51"/>
  <c r="I86" i="51" s="1"/>
  <c r="AB87" i="51"/>
  <c r="L86" i="51"/>
  <c r="J113" i="10"/>
  <c r="K113" i="10"/>
  <c r="I113" i="10"/>
  <c r="G113" i="10"/>
  <c r="K103" i="10"/>
  <c r="I103" i="10"/>
  <c r="G103" i="10"/>
  <c r="K86" i="10"/>
  <c r="I86" i="10"/>
  <c r="G86" i="10"/>
  <c r="K76" i="10"/>
  <c r="I76" i="10"/>
  <c r="G76" i="10"/>
  <c r="K66" i="10"/>
  <c r="I66" i="10"/>
  <c r="G66" i="10"/>
  <c r="K58" i="10"/>
  <c r="I58" i="10"/>
  <c r="G58" i="10"/>
  <c r="I50" i="10"/>
  <c r="G50" i="10"/>
  <c r="I40" i="10"/>
  <c r="G40" i="10"/>
  <c r="I30" i="10"/>
  <c r="G30" i="10"/>
  <c r="G70" i="10"/>
  <c r="I20" i="10"/>
  <c r="G20" i="10"/>
  <c r="P18" i="11"/>
  <c r="N18" i="11"/>
  <c r="L18" i="11"/>
  <c r="J18" i="11"/>
  <c r="H18" i="11"/>
  <c r="F18" i="11"/>
  <c r="M17" i="11"/>
  <c r="N17" i="11" s="1"/>
  <c r="G17" i="11"/>
  <c r="I17" i="11" s="1"/>
  <c r="F17" i="11"/>
  <c r="K85" i="51" l="1"/>
  <c r="H85" i="51" s="1"/>
  <c r="Y81" i="51"/>
  <c r="W81" i="51" s="1"/>
  <c r="T81" i="51"/>
  <c r="AE82" i="51"/>
  <c r="V80" i="51"/>
  <c r="S80" i="51"/>
  <c r="AB88" i="51"/>
  <c r="G87" i="51"/>
  <c r="I87" i="51" s="1"/>
  <c r="L87" i="51"/>
  <c r="J86" i="51"/>
  <c r="M86" i="51"/>
  <c r="H17" i="11"/>
  <c r="L113" i="10"/>
  <c r="K17" i="11"/>
  <c r="L17" i="11" s="1"/>
  <c r="J17" i="11"/>
  <c r="U80" i="51" l="1"/>
  <c r="X80" i="51" s="1"/>
  <c r="K86" i="51"/>
  <c r="H86" i="51" s="1"/>
  <c r="Y82" i="51"/>
  <c r="W82" i="51" s="1"/>
  <c r="AE83" i="51"/>
  <c r="T82" i="51"/>
  <c r="V81" i="51"/>
  <c r="S81" i="51"/>
  <c r="J87" i="51"/>
  <c r="M87" i="51"/>
  <c r="G88" i="51"/>
  <c r="I88" i="51" s="1"/>
  <c r="AB89" i="51"/>
  <c r="L88" i="51"/>
  <c r="U81" i="51" l="1"/>
  <c r="X81" i="51" s="1"/>
  <c r="V82" i="51"/>
  <c r="S82" i="51"/>
  <c r="T83" i="51"/>
  <c r="AE84" i="51"/>
  <c r="Y83" i="51"/>
  <c r="W83" i="51" s="1"/>
  <c r="AB90" i="51"/>
  <c r="G89" i="51"/>
  <c r="I89" i="51" s="1"/>
  <c r="L89" i="51"/>
  <c r="J88" i="51"/>
  <c r="M88" i="51"/>
  <c r="K87" i="51"/>
  <c r="H87" i="51" s="1"/>
  <c r="I69" i="6"/>
  <c r="H69" i="6" s="1"/>
  <c r="L69" i="6"/>
  <c r="I61" i="6"/>
  <c r="H61" i="6" s="1"/>
  <c r="L61" i="6"/>
  <c r="N61" i="6"/>
  <c r="J344" i="10"/>
  <c r="N354" i="10"/>
  <c r="K352" i="10"/>
  <c r="L352" i="10" s="1"/>
  <c r="I352" i="10"/>
  <c r="G352" i="10"/>
  <c r="K351" i="10"/>
  <c r="L351" i="10" s="1"/>
  <c r="I351" i="10"/>
  <c r="G351" i="10"/>
  <c r="K350" i="10"/>
  <c r="I350" i="10"/>
  <c r="G350" i="10"/>
  <c r="K349" i="10"/>
  <c r="I349" i="10"/>
  <c r="G349" i="10"/>
  <c r="K348" i="10"/>
  <c r="I348" i="10"/>
  <c r="G348" i="10"/>
  <c r="K347" i="10"/>
  <c r="I347" i="10"/>
  <c r="G347" i="10"/>
  <c r="K346" i="10"/>
  <c r="I346" i="10"/>
  <c r="G346" i="10"/>
  <c r="K345" i="10"/>
  <c r="I345" i="10"/>
  <c r="G345" i="10"/>
  <c r="I344" i="10"/>
  <c r="G344" i="10"/>
  <c r="L343" i="10"/>
  <c r="E343" i="10"/>
  <c r="N342" i="10"/>
  <c r="K341" i="10"/>
  <c r="L341" i="10" s="1"/>
  <c r="I341" i="10"/>
  <c r="G341" i="10"/>
  <c r="K340" i="10"/>
  <c r="L340" i="10" s="1"/>
  <c r="I340" i="10"/>
  <c r="G340" i="10"/>
  <c r="K339" i="10"/>
  <c r="L339" i="10" s="1"/>
  <c r="I339" i="10"/>
  <c r="G339" i="10"/>
  <c r="K338" i="10"/>
  <c r="I338" i="10"/>
  <c r="G338" i="10"/>
  <c r="K337" i="10"/>
  <c r="I337" i="10"/>
  <c r="G337" i="10"/>
  <c r="I336" i="10"/>
  <c r="G336" i="10"/>
  <c r="F336" i="10" s="1"/>
  <c r="K335" i="10"/>
  <c r="L335" i="10" s="1"/>
  <c r="I335" i="10"/>
  <c r="G335" i="10"/>
  <c r="L334" i="10"/>
  <c r="E334" i="10"/>
  <c r="J325" i="10"/>
  <c r="L356" i="10" s="1"/>
  <c r="J324" i="10"/>
  <c r="J323" i="10"/>
  <c r="J322" i="10"/>
  <c r="K329" i="10"/>
  <c r="I329" i="10"/>
  <c r="G329" i="10"/>
  <c r="K328" i="10"/>
  <c r="I328" i="10"/>
  <c r="G328" i="10"/>
  <c r="K331" i="10"/>
  <c r="I331" i="10"/>
  <c r="G331" i="10"/>
  <c r="K330" i="10"/>
  <c r="I330" i="10"/>
  <c r="G330" i="10"/>
  <c r="J279" i="10"/>
  <c r="J278" i="10"/>
  <c r="J265" i="10"/>
  <c r="L265" i="10" s="1"/>
  <c r="J252" i="10"/>
  <c r="J43" i="11"/>
  <c r="J50" i="11" s="1"/>
  <c r="G43" i="11"/>
  <c r="H43" i="11" s="1"/>
  <c r="E42" i="11"/>
  <c r="G42" i="11" s="1"/>
  <c r="H42" i="11" s="1"/>
  <c r="C42" i="11"/>
  <c r="C43" i="11" s="1"/>
  <c r="E41" i="11"/>
  <c r="G41" i="11" s="1"/>
  <c r="H41" i="11" s="1"/>
  <c r="F40" i="11"/>
  <c r="G40" i="11" s="1"/>
  <c r="H40" i="11" s="1"/>
  <c r="F39" i="11"/>
  <c r="G39" i="11" s="1"/>
  <c r="D39" i="11"/>
  <c r="C39" i="11"/>
  <c r="C46" i="11" s="1"/>
  <c r="C53" i="11" s="1"/>
  <c r="G36" i="11"/>
  <c r="H36" i="11" s="1"/>
  <c r="E35" i="11"/>
  <c r="G35" i="11" s="1"/>
  <c r="H35" i="11" s="1"/>
  <c r="C35" i="11"/>
  <c r="C36" i="11" s="1"/>
  <c r="G34" i="11"/>
  <c r="H34" i="11" s="1"/>
  <c r="F33" i="11"/>
  <c r="G33" i="11" s="1"/>
  <c r="H33" i="11" s="1"/>
  <c r="C33" i="11"/>
  <c r="C40" i="11" s="1"/>
  <c r="C47" i="11" s="1"/>
  <c r="C54" i="11" s="1"/>
  <c r="F32" i="11"/>
  <c r="G32" i="11" s="1"/>
  <c r="D32" i="11"/>
  <c r="T29" i="11"/>
  <c r="R29" i="11"/>
  <c r="F29" i="11"/>
  <c r="G29" i="11" s="1"/>
  <c r="F28" i="11"/>
  <c r="G28" i="11" s="1"/>
  <c r="H28" i="11" s="1"/>
  <c r="I28" i="11" s="1"/>
  <c r="J28" i="11" s="1"/>
  <c r="K28" i="11" s="1"/>
  <c r="L28" i="11" s="1"/>
  <c r="M28" i="11" s="1"/>
  <c r="N28" i="11" s="1"/>
  <c r="O28" i="11" s="1"/>
  <c r="P28" i="11" s="1"/>
  <c r="Q28" i="11" s="1"/>
  <c r="R28" i="11" s="1"/>
  <c r="S28" i="11" s="1"/>
  <c r="T28" i="11" s="1"/>
  <c r="F27" i="11"/>
  <c r="G27" i="11" s="1"/>
  <c r="H27" i="11" s="1"/>
  <c r="P26" i="11"/>
  <c r="S25" i="11"/>
  <c r="T25" i="11" s="1"/>
  <c r="R25" i="11"/>
  <c r="J25" i="11"/>
  <c r="K25" i="11" s="1"/>
  <c r="L25" i="11" s="1"/>
  <c r="M25" i="11" s="1"/>
  <c r="N25" i="11" s="1"/>
  <c r="D25" i="11"/>
  <c r="I24" i="11"/>
  <c r="J24" i="11" s="1"/>
  <c r="K24" i="11" s="1"/>
  <c r="F24" i="11"/>
  <c r="Q21" i="11"/>
  <c r="R21" i="11" s="1"/>
  <c r="E21" i="11"/>
  <c r="S20" i="11"/>
  <c r="R20" i="11"/>
  <c r="O20" i="11"/>
  <c r="M20" i="11"/>
  <c r="N20" i="11" s="1"/>
  <c r="K20" i="11"/>
  <c r="L20" i="11" s="1"/>
  <c r="I20" i="11"/>
  <c r="J20" i="11" s="1"/>
  <c r="G20" i="11"/>
  <c r="F20" i="11"/>
  <c r="E20" i="11"/>
  <c r="E6" i="11" s="1"/>
  <c r="E8" i="11" s="1"/>
  <c r="K19" i="11"/>
  <c r="M19" i="11" s="1"/>
  <c r="J19" i="11"/>
  <c r="E19" i="11"/>
  <c r="Q18" i="11"/>
  <c r="O18" i="11"/>
  <c r="O21" i="11" s="1"/>
  <c r="M21" i="11"/>
  <c r="N21" i="11" s="1"/>
  <c r="F21" i="11"/>
  <c r="P20" i="11"/>
  <c r="H20" i="11"/>
  <c r="T15" i="11"/>
  <c r="R15" i="11"/>
  <c r="H12" i="11"/>
  <c r="F11" i="11"/>
  <c r="E10" i="11"/>
  <c r="H4" i="11"/>
  <c r="G4" i="11"/>
  <c r="P3" i="11"/>
  <c r="R3" i="11" s="1"/>
  <c r="S3" i="11" s="1"/>
  <c r="T3" i="11" s="1"/>
  <c r="O3" i="11"/>
  <c r="Q3" i="11" s="1"/>
  <c r="J210" i="10"/>
  <c r="J207" i="10"/>
  <c r="J201" i="10"/>
  <c r="J191" i="10"/>
  <c r="K336" i="10"/>
  <c r="E5" i="11" l="1"/>
  <c r="L19" i="11"/>
  <c r="T84" i="51"/>
  <c r="Y84" i="51"/>
  <c r="W84" i="51" s="1"/>
  <c r="AE85" i="51"/>
  <c r="S83" i="51"/>
  <c r="V83" i="51"/>
  <c r="U82" i="51"/>
  <c r="X82" i="51" s="1"/>
  <c r="J89" i="51"/>
  <c r="M89" i="51"/>
  <c r="K88" i="51"/>
  <c r="H88" i="51" s="1"/>
  <c r="AB91" i="51"/>
  <c r="G90" i="51"/>
  <c r="I90" i="51" s="1"/>
  <c r="L90" i="51"/>
  <c r="G10" i="11"/>
  <c r="E9" i="11"/>
  <c r="J57" i="11"/>
  <c r="K57" i="11" s="1"/>
  <c r="J425" i="10" s="1"/>
  <c r="L425" i="10" s="1"/>
  <c r="L430" i="10" s="1"/>
  <c r="O430" i="10" s="1"/>
  <c r="K50" i="11"/>
  <c r="J414" i="10" s="1"/>
  <c r="L414" i="10" s="1"/>
  <c r="L419" i="10" s="1"/>
  <c r="O419" i="10" s="1"/>
  <c r="F10" i="11"/>
  <c r="F19" i="11"/>
  <c r="F5" i="11" s="1"/>
  <c r="J281" i="10"/>
  <c r="J282" i="10"/>
  <c r="L282" i="10" s="1"/>
  <c r="H39" i="11"/>
  <c r="I40" i="11" s="1"/>
  <c r="K40" i="11" s="1"/>
  <c r="J234" i="10" s="1"/>
  <c r="H32" i="11"/>
  <c r="I33" i="11" s="1"/>
  <c r="K33" i="11" s="1"/>
  <c r="J223" i="10" s="1"/>
  <c r="I36" i="11"/>
  <c r="K36" i="11" s="1"/>
  <c r="E7" i="11"/>
  <c r="R17" i="11"/>
  <c r="S17" i="11" s="1"/>
  <c r="T17" i="11" s="1"/>
  <c r="L347" i="10"/>
  <c r="L348" i="10"/>
  <c r="L336" i="10"/>
  <c r="L337" i="10"/>
  <c r="L338" i="10"/>
  <c r="I43" i="11"/>
  <c r="K43" i="11" s="1"/>
  <c r="L24" i="11"/>
  <c r="M24" i="11" s="1"/>
  <c r="I27" i="11"/>
  <c r="N19" i="11"/>
  <c r="K21" i="11"/>
  <c r="L21" i="11" s="1"/>
  <c r="F6" i="11"/>
  <c r="F8" i="11" s="1"/>
  <c r="F7" i="11"/>
  <c r="T20" i="11"/>
  <c r="G24" i="11"/>
  <c r="H29" i="11"/>
  <c r="I29" i="11" s="1"/>
  <c r="G21" i="11"/>
  <c r="S21" i="11"/>
  <c r="T21" i="11" s="1"/>
  <c r="I21" i="11"/>
  <c r="F9" i="11" l="1"/>
  <c r="U83" i="51"/>
  <c r="X83" i="51" s="1"/>
  <c r="T85" i="51"/>
  <c r="Y85" i="51"/>
  <c r="W85" i="51" s="1"/>
  <c r="AE86" i="51"/>
  <c r="V84" i="51"/>
  <c r="S84" i="51"/>
  <c r="AB92" i="51"/>
  <c r="G91" i="51"/>
  <c r="L91" i="51"/>
  <c r="J90" i="51"/>
  <c r="M90" i="51"/>
  <c r="K89" i="51"/>
  <c r="H89" i="51" s="1"/>
  <c r="G6" i="11"/>
  <c r="G8" i="11" s="1"/>
  <c r="S18" i="11"/>
  <c r="G7" i="11"/>
  <c r="L342" i="10"/>
  <c r="O342" i="10" s="1"/>
  <c r="J29" i="11"/>
  <c r="I22" i="11"/>
  <c r="I5" i="11" s="1"/>
  <c r="H21" i="11"/>
  <c r="J21" i="11"/>
  <c r="I7" i="11"/>
  <c r="T18" i="11"/>
  <c r="I10" i="11"/>
  <c r="I6" i="11"/>
  <c r="I8" i="11" s="1"/>
  <c r="J27" i="11"/>
  <c r="H24" i="11"/>
  <c r="H19" i="11" s="1"/>
  <c r="G19" i="11"/>
  <c r="R18" i="11"/>
  <c r="P21" i="11"/>
  <c r="H10" i="11"/>
  <c r="N24" i="11"/>
  <c r="U84" i="51" l="1"/>
  <c r="X84" i="51" s="1"/>
  <c r="Y86" i="51"/>
  <c r="W86" i="51" s="1"/>
  <c r="AE87" i="51"/>
  <c r="T86" i="51"/>
  <c r="V85" i="51"/>
  <c r="S85" i="51"/>
  <c r="J91" i="51"/>
  <c r="M91" i="51"/>
  <c r="I91" i="51"/>
  <c r="K90" i="51"/>
  <c r="H90" i="51" s="1"/>
  <c r="AB93" i="51"/>
  <c r="G92" i="51"/>
  <c r="L92" i="51"/>
  <c r="H5" i="11"/>
  <c r="I9" i="11"/>
  <c r="J7" i="11"/>
  <c r="H9" i="11"/>
  <c r="K29" i="11"/>
  <c r="J22" i="11"/>
  <c r="J9" i="11" s="1"/>
  <c r="G9" i="11"/>
  <c r="G5" i="11"/>
  <c r="H6" i="11"/>
  <c r="H8" i="11" s="1"/>
  <c r="K27" i="11"/>
  <c r="J6" i="11"/>
  <c r="J8" i="11" s="1"/>
  <c r="J10" i="11"/>
  <c r="O24" i="11"/>
  <c r="H7" i="11"/>
  <c r="U85" i="51" l="1"/>
  <c r="X85" i="51" s="1"/>
  <c r="K91" i="51"/>
  <c r="H91" i="51" s="1"/>
  <c r="V86" i="51"/>
  <c r="S86" i="51"/>
  <c r="AE88" i="51"/>
  <c r="Y87" i="51"/>
  <c r="W87" i="51" s="1"/>
  <c r="T87" i="51"/>
  <c r="I92" i="51"/>
  <c r="J92" i="51"/>
  <c r="M92" i="51"/>
  <c r="AB94" i="51"/>
  <c r="G93" i="51"/>
  <c r="I93" i="51" s="1"/>
  <c r="L93" i="51"/>
  <c r="J5" i="11"/>
  <c r="L27" i="11"/>
  <c r="K10" i="11"/>
  <c r="K6" i="11"/>
  <c r="K8" i="11" s="1"/>
  <c r="K7" i="11"/>
  <c r="O19" i="11"/>
  <c r="P24" i="11"/>
  <c r="O7" i="11"/>
  <c r="L29" i="11"/>
  <c r="K22" i="11"/>
  <c r="K9" i="11" s="1"/>
  <c r="U86" i="51" l="1"/>
  <c r="X86" i="51" s="1"/>
  <c r="K92" i="51"/>
  <c r="H92" i="51" s="1"/>
  <c r="Y88" i="51"/>
  <c r="W88" i="51" s="1"/>
  <c r="T88" i="51"/>
  <c r="AE89" i="51"/>
  <c r="V87" i="51"/>
  <c r="S87" i="51"/>
  <c r="J93" i="51"/>
  <c r="M93" i="51"/>
  <c r="G94" i="51"/>
  <c r="I94" i="51" s="1"/>
  <c r="AB95" i="51"/>
  <c r="L94" i="51"/>
  <c r="K5" i="11"/>
  <c r="M29" i="11"/>
  <c r="L22" i="11"/>
  <c r="L5" i="11" s="1"/>
  <c r="Q24" i="11"/>
  <c r="P19" i="11"/>
  <c r="P7" i="11"/>
  <c r="L10" i="11"/>
  <c r="M27" i="11"/>
  <c r="L7" i="11"/>
  <c r="L6" i="11"/>
  <c r="L8" i="11" s="1"/>
  <c r="U87" i="51" l="1"/>
  <c r="X87" i="51" s="1"/>
  <c r="V88" i="51"/>
  <c r="S88" i="51"/>
  <c r="T89" i="51"/>
  <c r="Y89" i="51"/>
  <c r="W89" i="51" s="1"/>
  <c r="AE90" i="51"/>
  <c r="AB96" i="51"/>
  <c r="G95" i="51"/>
  <c r="I95" i="51" s="1"/>
  <c r="L95" i="51"/>
  <c r="K93" i="51"/>
  <c r="H93" i="51" s="1"/>
  <c r="J94" i="51"/>
  <c r="M94" i="51"/>
  <c r="L9" i="11"/>
  <c r="M10" i="11"/>
  <c r="N27" i="11"/>
  <c r="M7" i="11"/>
  <c r="M6" i="11"/>
  <c r="M8" i="11" s="1"/>
  <c r="R24" i="11"/>
  <c r="Q22" i="11"/>
  <c r="N29" i="11"/>
  <c r="N22" i="11" s="1"/>
  <c r="M22" i="11"/>
  <c r="M9" i="11" s="1"/>
  <c r="K94" i="51" l="1"/>
  <c r="H94" i="51" s="1"/>
  <c r="U88" i="51"/>
  <c r="X88" i="51" s="1"/>
  <c r="S89" i="51"/>
  <c r="V89" i="51"/>
  <c r="Y90" i="51"/>
  <c r="W90" i="51" s="1"/>
  <c r="AE91" i="51"/>
  <c r="T90" i="51"/>
  <c r="J95" i="51"/>
  <c r="M95" i="51"/>
  <c r="AB97" i="51"/>
  <c r="G96" i="51"/>
  <c r="I96" i="51" s="1"/>
  <c r="L96" i="51"/>
  <c r="M5" i="11"/>
  <c r="S24" i="11"/>
  <c r="R22" i="11"/>
  <c r="O27" i="11"/>
  <c r="N5" i="11"/>
  <c r="N9" i="11"/>
  <c r="N10" i="11"/>
  <c r="N6" i="11"/>
  <c r="N8" i="11" s="1"/>
  <c r="N7" i="11"/>
  <c r="T91" i="51" l="1"/>
  <c r="AE92" i="51"/>
  <c r="Y91" i="51"/>
  <c r="W91" i="51" s="1"/>
  <c r="V90" i="51"/>
  <c r="S90" i="51"/>
  <c r="U89" i="51"/>
  <c r="X89" i="51" s="1"/>
  <c r="G97" i="51"/>
  <c r="AB98" i="51"/>
  <c r="L97" i="51"/>
  <c r="K95" i="51"/>
  <c r="H95" i="51" s="1"/>
  <c r="J96" i="51"/>
  <c r="M96" i="51"/>
  <c r="P27" i="11"/>
  <c r="O10" i="11"/>
  <c r="O9" i="11"/>
  <c r="O5" i="11"/>
  <c r="O6" i="11"/>
  <c r="O8" i="11" s="1"/>
  <c r="T24" i="11"/>
  <c r="S19" i="11"/>
  <c r="S22" i="11" s="1"/>
  <c r="U90" i="51" l="1"/>
  <c r="X90" i="51" s="1"/>
  <c r="AE93" i="51"/>
  <c r="T92" i="51"/>
  <c r="Y92" i="51"/>
  <c r="W92" i="51" s="1"/>
  <c r="V91" i="51"/>
  <c r="S91" i="51"/>
  <c r="J97" i="51"/>
  <c r="M97" i="51"/>
  <c r="K96" i="51"/>
  <c r="H96" i="51" s="1"/>
  <c r="AB99" i="51"/>
  <c r="G98" i="51"/>
  <c r="I98" i="51" s="1"/>
  <c r="L98" i="51"/>
  <c r="I97" i="51"/>
  <c r="T19" i="11"/>
  <c r="T22" i="11" s="1"/>
  <c r="P9" i="11"/>
  <c r="P5" i="11"/>
  <c r="Q27" i="11"/>
  <c r="P10" i="11"/>
  <c r="P6" i="11"/>
  <c r="P8" i="11" s="1"/>
  <c r="V92" i="51" l="1"/>
  <c r="S92" i="51"/>
  <c r="U91" i="51"/>
  <c r="X91" i="51" s="1"/>
  <c r="T93" i="51"/>
  <c r="Y93" i="51"/>
  <c r="W93" i="51" s="1"/>
  <c r="AE94" i="51"/>
  <c r="AB100" i="51"/>
  <c r="G99" i="51"/>
  <c r="I99" i="51" s="1"/>
  <c r="L99" i="51"/>
  <c r="J98" i="51"/>
  <c r="M98" i="51"/>
  <c r="K97" i="51"/>
  <c r="H97" i="51" s="1"/>
  <c r="Q9" i="11"/>
  <c r="Q5" i="11"/>
  <c r="R27" i="11"/>
  <c r="Q10" i="11"/>
  <c r="Q6" i="11"/>
  <c r="Q8" i="11" s="1"/>
  <c r="Q7" i="11"/>
  <c r="S93" i="51" l="1"/>
  <c r="V93" i="51"/>
  <c r="AE95" i="51"/>
  <c r="Y94" i="51"/>
  <c r="W94" i="51" s="1"/>
  <c r="T94" i="51"/>
  <c r="U92" i="51"/>
  <c r="X92" i="51" s="1"/>
  <c r="J99" i="51"/>
  <c r="M99" i="51"/>
  <c r="K98" i="51"/>
  <c r="H98" i="51" s="1"/>
  <c r="G100" i="51"/>
  <c r="I100" i="51" s="1"/>
  <c r="L100" i="51"/>
  <c r="S27" i="11"/>
  <c r="R10" i="11"/>
  <c r="R5" i="11"/>
  <c r="R9" i="11"/>
  <c r="R6" i="11"/>
  <c r="R8" i="11" s="1"/>
  <c r="R7" i="11"/>
  <c r="Y95" i="51" l="1"/>
  <c r="W95" i="51" s="1"/>
  <c r="T95" i="51"/>
  <c r="AE96" i="51"/>
  <c r="V94" i="51"/>
  <c r="S94" i="51"/>
  <c r="U93" i="51"/>
  <c r="X93" i="51" s="1"/>
  <c r="K99" i="51"/>
  <c r="H99" i="51" s="1"/>
  <c r="J100" i="51"/>
  <c r="M100" i="51"/>
  <c r="T27" i="11"/>
  <c r="S5" i="11"/>
  <c r="S10" i="11"/>
  <c r="S9" i="11"/>
  <c r="S7" i="11"/>
  <c r="S6" i="11"/>
  <c r="S8" i="11" s="1"/>
  <c r="U94" i="51" l="1"/>
  <c r="X94" i="51" s="1"/>
  <c r="K100" i="51"/>
  <c r="H100" i="51" s="1"/>
  <c r="V95" i="51"/>
  <c r="S95" i="51"/>
  <c r="Y96" i="51"/>
  <c r="W96" i="51" s="1"/>
  <c r="AE97" i="51"/>
  <c r="T96" i="51"/>
  <c r="T9" i="11"/>
  <c r="T5" i="11"/>
  <c r="T10" i="11"/>
  <c r="T6" i="11"/>
  <c r="T8" i="11" s="1"/>
  <c r="T7" i="11"/>
  <c r="AE98" i="51" l="1"/>
  <c r="Y97" i="51"/>
  <c r="W97" i="51" s="1"/>
  <c r="T97" i="51"/>
  <c r="V96" i="51"/>
  <c r="S96" i="51"/>
  <c r="U95" i="51"/>
  <c r="X95" i="51" s="1"/>
  <c r="E380" i="8"/>
  <c r="A378" i="8" s="1"/>
  <c r="A370" i="8" l="1"/>
  <c r="A379" i="8"/>
  <c r="A380" i="8" s="1"/>
  <c r="V97" i="51"/>
  <c r="S97" i="51"/>
  <c r="U96" i="51"/>
  <c r="X96" i="51" s="1"/>
  <c r="AE99" i="51"/>
  <c r="Y98" i="51"/>
  <c r="W98" i="51" s="1"/>
  <c r="T98" i="51"/>
  <c r="E115" i="8"/>
  <c r="E37" i="8"/>
  <c r="A31" i="8" s="1"/>
  <c r="E29" i="8"/>
  <c r="A23" i="8" s="1"/>
  <c r="C39" i="8"/>
  <c r="H43" i="8" s="1"/>
  <c r="C31" i="8"/>
  <c r="H37" i="8" s="1"/>
  <c r="F34" i="8"/>
  <c r="N17" i="6"/>
  <c r="L17" i="6"/>
  <c r="I17" i="6"/>
  <c r="D39" i="8" s="1"/>
  <c r="N16" i="6"/>
  <c r="L16" i="6"/>
  <c r="I16" i="6"/>
  <c r="H16" i="6" s="1"/>
  <c r="D31" i="8" s="1"/>
  <c r="V98" i="51" l="1"/>
  <c r="S98" i="51"/>
  <c r="Y99" i="51"/>
  <c r="W99" i="51" s="1"/>
  <c r="T99" i="51"/>
  <c r="AE100" i="51"/>
  <c r="U97" i="51"/>
  <c r="X97" i="51" s="1"/>
  <c r="A32" i="8"/>
  <c r="A33" i="8" s="1"/>
  <c r="A34" i="8" s="1"/>
  <c r="A35" i="8" s="1"/>
  <c r="A36" i="8" s="1"/>
  <c r="A37" i="8" s="1"/>
  <c r="A38" i="8" s="1"/>
  <c r="A24" i="8"/>
  <c r="A25" i="8" s="1"/>
  <c r="A26" i="8" s="1"/>
  <c r="A27" i="8" s="1"/>
  <c r="A28" i="8" s="1"/>
  <c r="A29" i="8" s="1"/>
  <c r="A30" i="8" s="1"/>
  <c r="F37" i="8"/>
  <c r="U98" i="51" l="1"/>
  <c r="X98" i="51" s="1"/>
  <c r="V99" i="51"/>
  <c r="S99" i="51"/>
  <c r="T100" i="51"/>
  <c r="Y100" i="51"/>
  <c r="W100" i="51" s="1"/>
  <c r="N333" i="10"/>
  <c r="K332" i="10"/>
  <c r="I332" i="10"/>
  <c r="G332" i="10"/>
  <c r="K327" i="10"/>
  <c r="I327" i="10"/>
  <c r="G327" i="10"/>
  <c r="K326" i="10"/>
  <c r="I326" i="10"/>
  <c r="G326" i="10"/>
  <c r="K325" i="10"/>
  <c r="I325" i="10"/>
  <c r="G325" i="10"/>
  <c r="K324" i="10"/>
  <c r="I324" i="10"/>
  <c r="G324" i="10"/>
  <c r="K323" i="10"/>
  <c r="I323" i="10"/>
  <c r="G323" i="10"/>
  <c r="K322" i="10"/>
  <c r="I322" i="10"/>
  <c r="G322" i="10"/>
  <c r="K321" i="10"/>
  <c r="I321" i="10"/>
  <c r="G321" i="10"/>
  <c r="L320" i="10"/>
  <c r="E320" i="10"/>
  <c r="U99" i="51" l="1"/>
  <c r="X99" i="51" s="1"/>
  <c r="V100" i="51"/>
  <c r="S100" i="51"/>
  <c r="L332" i="10"/>
  <c r="U100" i="51" l="1"/>
  <c r="X100" i="51" s="1"/>
  <c r="F1142" i="8" l="1"/>
  <c r="E1141" i="8"/>
  <c r="C1139" i="8"/>
  <c r="H1142" i="8" s="1"/>
  <c r="L357" i="6"/>
  <c r="I357" i="6"/>
  <c r="H357" i="6" s="1"/>
  <c r="L371" i="6"/>
  <c r="D1139" i="8" l="1"/>
  <c r="E1005" i="8"/>
  <c r="A988" i="8" s="1"/>
  <c r="R32" i="50"/>
  <c r="A990" i="8" l="1"/>
  <c r="A1000" i="8"/>
  <c r="A1001" i="8" s="1"/>
  <c r="A1002" i="8" s="1"/>
  <c r="B87" i="50"/>
  <c r="B86" i="50"/>
  <c r="B85" i="50"/>
  <c r="B84" i="50"/>
  <c r="B83" i="50"/>
  <c r="G71" i="50"/>
  <c r="G78" i="50" s="1"/>
  <c r="F71" i="50"/>
  <c r="F78" i="50" s="1"/>
  <c r="C50" i="50"/>
  <c r="AA30" i="50"/>
  <c r="Z30" i="50"/>
  <c r="X30" i="50"/>
  <c r="AF29" i="50"/>
  <c r="AA29" i="50"/>
  <c r="Z29" i="50"/>
  <c r="X29" i="50"/>
  <c r="AF28" i="50"/>
  <c r="AA28" i="50"/>
  <c r="Z28" i="50"/>
  <c r="X28" i="50"/>
  <c r="AF27" i="50"/>
  <c r="AA27" i="50"/>
  <c r="Z27" i="50"/>
  <c r="X27" i="50"/>
  <c r="AF26" i="50"/>
  <c r="X26" i="50"/>
  <c r="W26" i="50"/>
  <c r="K10" i="50"/>
  <c r="K90" i="50" s="1"/>
  <c r="I10" i="50"/>
  <c r="I90" i="50" s="1"/>
  <c r="F10" i="50"/>
  <c r="F90" i="50" s="1"/>
  <c r="AG9" i="50"/>
  <c r="AF9" i="50"/>
  <c r="AG7" i="50"/>
  <c r="AA7" i="50"/>
  <c r="Y7" i="50"/>
  <c r="AG13" i="50" s="1"/>
  <c r="AG6" i="50"/>
  <c r="AA6" i="50"/>
  <c r="Y6" i="50"/>
  <c r="AG12" i="50" s="1"/>
  <c r="AG5" i="50"/>
  <c r="AA5" i="50"/>
  <c r="Y5" i="50"/>
  <c r="AG11" i="50" s="1"/>
  <c r="AG4" i="50"/>
  <c r="AF4" i="50"/>
  <c r="AF5" i="50" s="1"/>
  <c r="AA4" i="50"/>
  <c r="Y4" i="50"/>
  <c r="AG10" i="50" s="1"/>
  <c r="AG3" i="50"/>
  <c r="AE3" i="50" s="1"/>
  <c r="AD3" i="50" s="1"/>
  <c r="AA3" i="50"/>
  <c r="AE27" i="50" l="1"/>
  <c r="AE29" i="50"/>
  <c r="D10" i="50"/>
  <c r="D90" i="50" s="1"/>
  <c r="AE30" i="50"/>
  <c r="AE28" i="50"/>
  <c r="AE9" i="50"/>
  <c r="AD9" i="50" s="1"/>
  <c r="AE4" i="50"/>
  <c r="AD4" i="50" s="1"/>
  <c r="A1003" i="8"/>
  <c r="A1004" i="8" s="1"/>
  <c r="A1005" i="8" s="1"/>
  <c r="H12" i="50"/>
  <c r="C12" i="50"/>
  <c r="C92" i="50" s="1"/>
  <c r="AF11" i="50"/>
  <c r="AE11" i="50" s="1"/>
  <c r="AD11" i="50" s="1"/>
  <c r="AF6" i="50"/>
  <c r="AE5" i="50"/>
  <c r="AD5" i="50" s="1"/>
  <c r="AH5" i="50" s="1"/>
  <c r="AF10" i="50"/>
  <c r="AE10" i="50" s="1"/>
  <c r="AD10" i="50" s="1"/>
  <c r="W30" i="50"/>
  <c r="W27" i="50"/>
  <c r="W28" i="50"/>
  <c r="W29" i="50"/>
  <c r="G44" i="50" l="1"/>
  <c r="H92" i="50"/>
  <c r="AG28" i="50"/>
  <c r="AG29" i="50"/>
  <c r="C22" i="50"/>
  <c r="I22" i="50" s="1"/>
  <c r="AG27" i="50"/>
  <c r="AG26" i="50"/>
  <c r="AG30" i="50"/>
  <c r="AF12" i="50"/>
  <c r="AE12" i="50" s="1"/>
  <c r="AD12" i="50" s="1"/>
  <c r="AF7" i="50"/>
  <c r="AE6" i="50"/>
  <c r="AD6" i="50" s="1"/>
  <c r="AH6" i="50" s="1"/>
  <c r="F366" i="8"/>
  <c r="E376" i="8"/>
  <c r="C368" i="8"/>
  <c r="H384" i="8" s="1"/>
  <c r="E372" i="8"/>
  <c r="C363" i="8"/>
  <c r="H366" i="8" s="1"/>
  <c r="J313" i="10"/>
  <c r="L188" i="6"/>
  <c r="I188" i="6"/>
  <c r="E365" i="8"/>
  <c r="N319" i="10"/>
  <c r="K318" i="10"/>
  <c r="L318" i="10" s="1"/>
  <c r="I318" i="10"/>
  <c r="G318" i="10"/>
  <c r="K317" i="10"/>
  <c r="L317" i="10" s="1"/>
  <c r="I317" i="10"/>
  <c r="G317" i="10"/>
  <c r="K316" i="10"/>
  <c r="L316" i="10" s="1"/>
  <c r="I316" i="10"/>
  <c r="G316" i="10"/>
  <c r="K315" i="10"/>
  <c r="L315" i="10" s="1"/>
  <c r="I315" i="10"/>
  <c r="G315" i="10"/>
  <c r="K314" i="10"/>
  <c r="L314" i="10" s="1"/>
  <c r="I314" i="10"/>
  <c r="G314" i="10"/>
  <c r="K313" i="10"/>
  <c r="I313" i="10"/>
  <c r="G313" i="10"/>
  <c r="K312" i="10"/>
  <c r="L312" i="10" s="1"/>
  <c r="I312" i="10"/>
  <c r="G312" i="10"/>
  <c r="L311" i="10"/>
  <c r="I311" i="10"/>
  <c r="E311" i="10"/>
  <c r="C327" i="8"/>
  <c r="H330" i="8" s="1"/>
  <c r="F330" i="8"/>
  <c r="E329" i="8"/>
  <c r="N181" i="6"/>
  <c r="L181" i="6"/>
  <c r="I181" i="6"/>
  <c r="H181" i="6" s="1"/>
  <c r="D327" i="8" s="1"/>
  <c r="I30" i="6"/>
  <c r="H30" i="6" s="1"/>
  <c r="K164" i="10"/>
  <c r="L164" i="10" s="1"/>
  <c r="K160" i="10"/>
  <c r="I160" i="10"/>
  <c r="G160" i="10"/>
  <c r="K165" i="10"/>
  <c r="K161" i="10"/>
  <c r="I161" i="10"/>
  <c r="G161" i="10"/>
  <c r="K44" i="50"/>
  <c r="H188" i="6" l="1"/>
  <c r="D363" i="8" s="1"/>
  <c r="C84" i="50"/>
  <c r="G141" i="50"/>
  <c r="D104" i="50"/>
  <c r="AG31" i="50"/>
  <c r="AF13" i="50"/>
  <c r="AE13" i="50" s="1"/>
  <c r="AD13" i="50" s="1"/>
  <c r="AE7" i="50"/>
  <c r="AD7" i="50" s="1"/>
  <c r="AH7" i="50" s="1"/>
  <c r="F28" i="50"/>
  <c r="L313" i="10"/>
  <c r="L319" i="10" s="1"/>
  <c r="O319" i="10" s="1"/>
  <c r="L160" i="10"/>
  <c r="L165" i="10"/>
  <c r="L161" i="10"/>
  <c r="L189" i="6"/>
  <c r="I189" i="6"/>
  <c r="H189" i="6" s="1"/>
  <c r="D368" i="8" s="1"/>
  <c r="J141" i="50"/>
  <c r="J104" i="50"/>
  <c r="O28" i="50" l="1"/>
  <c r="E38" i="50"/>
  <c r="E541" i="8" s="1"/>
  <c r="D110" i="50"/>
  <c r="I110" i="50" s="1"/>
  <c r="C181" i="50"/>
  <c r="I28" i="50"/>
  <c r="M28" i="50" s="1"/>
  <c r="C51" i="50"/>
  <c r="F56" i="50" s="1"/>
  <c r="G66" i="50" s="1"/>
  <c r="K66" i="50"/>
  <c r="L28" i="50" l="1"/>
  <c r="K28" i="50"/>
  <c r="P95" i="50"/>
  <c r="S134" i="50"/>
  <c r="P28" i="50"/>
  <c r="E545" i="8"/>
  <c r="E449" i="8"/>
  <c r="C85" i="50"/>
  <c r="C52" i="50"/>
  <c r="F58" i="50" s="1"/>
  <c r="G73" i="50" s="1"/>
  <c r="C1209" i="8"/>
  <c r="H1239" i="8" s="1"/>
  <c r="C1208" i="8"/>
  <c r="H1238" i="8" s="1"/>
  <c r="D1205" i="8"/>
  <c r="D20" i="48"/>
  <c r="C26" i="7"/>
  <c r="C51" i="7" s="1"/>
  <c r="E1212" i="8"/>
  <c r="I371" i="6"/>
  <c r="H371" i="6" s="1"/>
  <c r="L370" i="6"/>
  <c r="I370" i="6"/>
  <c r="H370" i="6" s="1"/>
  <c r="Q369" i="6"/>
  <c r="R369" i="6" s="1"/>
  <c r="P369" i="6"/>
  <c r="C1110" i="8"/>
  <c r="A1110" i="8"/>
  <c r="F1113" i="8"/>
  <c r="E1112" i="8"/>
  <c r="C1090" i="8"/>
  <c r="H1095" i="8" s="1"/>
  <c r="F1093" i="8"/>
  <c r="A1091" i="8"/>
  <c r="A1092" i="8" s="1"/>
  <c r="A1095" i="8" s="1"/>
  <c r="A1096" i="8" s="1"/>
  <c r="N346" i="6"/>
  <c r="L346" i="6"/>
  <c r="I346" i="6"/>
  <c r="H346" i="6" s="1"/>
  <c r="D1090" i="8" s="1"/>
  <c r="L349" i="6"/>
  <c r="I349" i="6"/>
  <c r="H349" i="6" s="1"/>
  <c r="D1110" i="8" s="1"/>
  <c r="E1092" i="8"/>
  <c r="C1046" i="8"/>
  <c r="H1049" i="8" s="1"/>
  <c r="F1049" i="8"/>
  <c r="E1048" i="8"/>
  <c r="N310" i="10"/>
  <c r="K309" i="10"/>
  <c r="L309" i="10" s="1"/>
  <c r="I309" i="10"/>
  <c r="G309" i="10"/>
  <c r="K308" i="10"/>
  <c r="L308" i="10" s="1"/>
  <c r="I308" i="10"/>
  <c r="G308" i="10"/>
  <c r="K307" i="10"/>
  <c r="J307" i="10"/>
  <c r="I307" i="10"/>
  <c r="G307" i="10"/>
  <c r="K306" i="10"/>
  <c r="L306" i="10" s="1"/>
  <c r="I306" i="10"/>
  <c r="G306" i="10"/>
  <c r="K305" i="10"/>
  <c r="L305" i="10" s="1"/>
  <c r="I305" i="10"/>
  <c r="G305" i="10"/>
  <c r="K304" i="10"/>
  <c r="J304" i="10"/>
  <c r="I304" i="10"/>
  <c r="G304" i="10"/>
  <c r="K303" i="10"/>
  <c r="I303" i="10"/>
  <c r="G303" i="10"/>
  <c r="F303" i="10" s="1"/>
  <c r="L302" i="10"/>
  <c r="I302" i="10"/>
  <c r="E302" i="10"/>
  <c r="F1044" i="8"/>
  <c r="J297" i="10"/>
  <c r="J295" i="10"/>
  <c r="N301" i="10"/>
  <c r="K300" i="10"/>
  <c r="L300" i="10" s="1"/>
  <c r="I300" i="10"/>
  <c r="G300" i="10"/>
  <c r="K299" i="10"/>
  <c r="L299" i="10" s="1"/>
  <c r="I299" i="10"/>
  <c r="G299" i="10"/>
  <c r="K298" i="10"/>
  <c r="I298" i="10"/>
  <c r="G298" i="10"/>
  <c r="K297" i="10"/>
  <c r="I297" i="10"/>
  <c r="G297" i="10"/>
  <c r="K296" i="10"/>
  <c r="L296" i="10" s="1"/>
  <c r="I296" i="10"/>
  <c r="G296" i="10"/>
  <c r="K295" i="10"/>
  <c r="I295" i="10"/>
  <c r="G295" i="10"/>
  <c r="K294" i="10"/>
  <c r="L294" i="10" s="1"/>
  <c r="I294" i="10"/>
  <c r="G294" i="10"/>
  <c r="F294" i="10" s="1"/>
  <c r="L293" i="10"/>
  <c r="I293" i="10"/>
  <c r="E293" i="10"/>
  <c r="J286" i="10"/>
  <c r="N292" i="10"/>
  <c r="K291" i="10"/>
  <c r="L291" i="10" s="1"/>
  <c r="I291" i="10"/>
  <c r="G291" i="10"/>
  <c r="K290" i="10"/>
  <c r="L290" i="10" s="1"/>
  <c r="I290" i="10"/>
  <c r="G290" i="10"/>
  <c r="K289" i="10"/>
  <c r="J289" i="10"/>
  <c r="I289" i="10"/>
  <c r="G289" i="10"/>
  <c r="K288" i="10"/>
  <c r="L288" i="10" s="1"/>
  <c r="I288" i="10"/>
  <c r="G288" i="10"/>
  <c r="K287" i="10"/>
  <c r="L287" i="10" s="1"/>
  <c r="I287" i="10"/>
  <c r="G287" i="10"/>
  <c r="K286" i="10"/>
  <c r="I286" i="10"/>
  <c r="G286" i="10"/>
  <c r="K285" i="10"/>
  <c r="I285" i="10"/>
  <c r="G285" i="10"/>
  <c r="F285" i="10" s="1"/>
  <c r="L284" i="10"/>
  <c r="I284" i="10"/>
  <c r="E284" i="10"/>
  <c r="N327" i="6"/>
  <c r="L327" i="6"/>
  <c r="I327" i="6"/>
  <c r="H327" i="6" s="1"/>
  <c r="D1046" i="8" s="1"/>
  <c r="D596" i="8"/>
  <c r="K281" i="10"/>
  <c r="I281" i="10"/>
  <c r="G281" i="10"/>
  <c r="N283" i="10"/>
  <c r="K280" i="10"/>
  <c r="L280" i="10" s="1"/>
  <c r="I280" i="10"/>
  <c r="G280" i="10"/>
  <c r="K279" i="10"/>
  <c r="I279" i="10"/>
  <c r="G279" i="10"/>
  <c r="K278" i="10"/>
  <c r="L278" i="10" s="1"/>
  <c r="I278" i="10"/>
  <c r="G278" i="10"/>
  <c r="L277" i="10"/>
  <c r="I277" i="10"/>
  <c r="E277" i="10"/>
  <c r="F131" i="8"/>
  <c r="E15" i="8"/>
  <c r="E353" i="8" s="1"/>
  <c r="C333" i="8"/>
  <c r="H348" i="8" s="1"/>
  <c r="N183" i="6"/>
  <c r="L183" i="6"/>
  <c r="I183" i="6"/>
  <c r="H183" i="6" s="1"/>
  <c r="D333" i="8" s="1"/>
  <c r="N275" i="10"/>
  <c r="I268" i="10"/>
  <c r="G268" i="10"/>
  <c r="L267" i="10"/>
  <c r="I267" i="10"/>
  <c r="E267" i="10"/>
  <c r="C128" i="8"/>
  <c r="H131" i="8" s="1"/>
  <c r="E130" i="8"/>
  <c r="E135" i="8" s="1"/>
  <c r="N79" i="6"/>
  <c r="L79" i="6"/>
  <c r="I79" i="6"/>
  <c r="C121" i="8"/>
  <c r="H125" i="8" s="1"/>
  <c r="E124" i="8"/>
  <c r="F110" i="8"/>
  <c r="F109" i="8"/>
  <c r="E111" i="8"/>
  <c r="E118" i="8" s="1"/>
  <c r="D104" i="8"/>
  <c r="C104" i="8"/>
  <c r="H108" i="8" s="1"/>
  <c r="E107" i="8"/>
  <c r="K74" i="6"/>
  <c r="G73" i="6"/>
  <c r="C102" i="8" s="1"/>
  <c r="G74" i="6"/>
  <c r="I74" i="6" s="1"/>
  <c r="H74" i="6" s="1"/>
  <c r="D103" i="8" s="1"/>
  <c r="F74" i="6"/>
  <c r="F73" i="6"/>
  <c r="N77" i="6"/>
  <c r="L77" i="6"/>
  <c r="I77" i="6"/>
  <c r="H77" i="6" s="1"/>
  <c r="D121" i="8" s="1"/>
  <c r="C65" i="8"/>
  <c r="C66" i="8"/>
  <c r="N37" i="6"/>
  <c r="L37" i="6"/>
  <c r="I37" i="6"/>
  <c r="H37" i="6" s="1"/>
  <c r="D66" i="8" s="1"/>
  <c r="N36" i="6"/>
  <c r="L36" i="6"/>
  <c r="I36" i="6"/>
  <c r="H36" i="6" s="1"/>
  <c r="D65" i="8" s="1"/>
  <c r="K73" i="50"/>
  <c r="H79" i="6" l="1"/>
  <c r="D128" i="8" s="1"/>
  <c r="J195" i="6"/>
  <c r="E416" i="8" s="1"/>
  <c r="J182" i="6"/>
  <c r="J183" i="6" s="1"/>
  <c r="E119" i="8"/>
  <c r="A105" i="8" s="1"/>
  <c r="H114" i="8"/>
  <c r="H119" i="8"/>
  <c r="E17" i="8"/>
  <c r="D1208" i="8"/>
  <c r="D1209" i="8"/>
  <c r="A1111" i="8"/>
  <c r="H1115" i="8"/>
  <c r="E547" i="8"/>
  <c r="E544" i="8" s="1"/>
  <c r="E542" i="8"/>
  <c r="F542" i="8" s="1"/>
  <c r="E592" i="8"/>
  <c r="E593" i="8" s="1"/>
  <c r="A577" i="8" s="1"/>
  <c r="A593" i="8" s="1"/>
  <c r="A574" i="8"/>
  <c r="A578" i="8" s="1"/>
  <c r="E590" i="8"/>
  <c r="A333" i="8"/>
  <c r="A347" i="8" s="1"/>
  <c r="A332" i="8"/>
  <c r="A345" i="8" s="1"/>
  <c r="N74" i="6"/>
  <c r="J298" i="10"/>
  <c r="L298" i="10" s="1"/>
  <c r="J345" i="10"/>
  <c r="C86" i="50"/>
  <c r="B9" i="50"/>
  <c r="L289" i="10"/>
  <c r="L303" i="10"/>
  <c r="L297" i="10"/>
  <c r="L73" i="6"/>
  <c r="I73" i="6"/>
  <c r="H73" i="6" s="1"/>
  <c r="D102" i="8" s="1"/>
  <c r="A987" i="8"/>
  <c r="F1115" i="8"/>
  <c r="F1095" i="8"/>
  <c r="L307" i="10"/>
  <c r="L304" i="10"/>
  <c r="L295" i="10"/>
  <c r="L286" i="10"/>
  <c r="C103" i="8"/>
  <c r="H116" i="8" s="1"/>
  <c r="N73" i="6"/>
  <c r="L74" i="6"/>
  <c r="L285" i="10"/>
  <c r="L279" i="10"/>
  <c r="F346" i="8"/>
  <c r="L268" i="10"/>
  <c r="L275" i="10" s="1"/>
  <c r="E511" i="8" l="1"/>
  <c r="E42" i="8"/>
  <c r="E409" i="8"/>
  <c r="E19" i="8"/>
  <c r="E245" i="8"/>
  <c r="J160" i="6" s="1"/>
  <c r="E267" i="8"/>
  <c r="E945" i="8"/>
  <c r="A1112" i="8"/>
  <c r="A1115" i="8" s="1"/>
  <c r="A999" i="8"/>
  <c r="A997" i="8"/>
  <c r="E526" i="8"/>
  <c r="E546" i="8"/>
  <c r="F592" i="8"/>
  <c r="A576" i="8"/>
  <c r="A591" i="8" s="1"/>
  <c r="A592" i="8" s="1"/>
  <c r="F590" i="8"/>
  <c r="A575" i="8"/>
  <c r="A589" i="8" s="1"/>
  <c r="A590" i="8" s="1"/>
  <c r="A594" i="8"/>
  <c r="A579" i="8"/>
  <c r="A580" i="8" s="1"/>
  <c r="A581" i="8" s="1"/>
  <c r="A582" i="8" s="1"/>
  <c r="A583" i="8" s="1"/>
  <c r="A584" i="8" s="1"/>
  <c r="A587" i="8" s="1"/>
  <c r="A588" i="8" s="1"/>
  <c r="F348" i="8"/>
  <c r="A991" i="8"/>
  <c r="A989" i="8"/>
  <c r="A1012" i="8" s="1"/>
  <c r="A992" i="8"/>
  <c r="A993" i="8" s="1"/>
  <c r="A994" i="8" s="1"/>
  <c r="A346" i="8"/>
  <c r="F125" i="8"/>
  <c r="A121" i="8"/>
  <c r="J353" i="10"/>
  <c r="L353" i="10" s="1"/>
  <c r="J346" i="10"/>
  <c r="L346" i="10" s="1"/>
  <c r="L345" i="10"/>
  <c r="L283" i="10"/>
  <c r="O283" i="10" s="1"/>
  <c r="L292" i="10"/>
  <c r="O292" i="10" s="1"/>
  <c r="L310" i="10"/>
  <c r="O310" i="10" s="1"/>
  <c r="L301" i="10"/>
  <c r="O301" i="10" s="1"/>
  <c r="O275" i="10"/>
  <c r="J164" i="6" l="1"/>
  <c r="E268" i="8"/>
  <c r="E246" i="8"/>
  <c r="A123" i="8"/>
  <c r="A125" i="8"/>
  <c r="F593" i="8"/>
  <c r="A996" i="8"/>
  <c r="A984" i="8" s="1"/>
  <c r="N189" i="6"/>
  <c r="C642" i="8"/>
  <c r="H655" i="8" s="1"/>
  <c r="C643" i="8"/>
  <c r="H657" i="8" s="1"/>
  <c r="C644" i="8"/>
  <c r="H658" i="8" s="1"/>
  <c r="H653" i="8"/>
  <c r="C631" i="8"/>
  <c r="E649" i="8"/>
  <c r="E635" i="8"/>
  <c r="C613" i="8"/>
  <c r="H626" i="8" s="1"/>
  <c r="C614" i="8"/>
  <c r="H628" i="8" s="1"/>
  <c r="C615" i="8"/>
  <c r="H629" i="8" s="1"/>
  <c r="C612" i="8"/>
  <c r="H624" i="8" s="1"/>
  <c r="C602" i="8"/>
  <c r="E620" i="8"/>
  <c r="E606" i="8"/>
  <c r="C597" i="8"/>
  <c r="H600" i="8" s="1"/>
  <c r="E599" i="8"/>
  <c r="N236" i="6"/>
  <c r="L236" i="6"/>
  <c r="I236" i="6"/>
  <c r="N235" i="6"/>
  <c r="L235" i="6"/>
  <c r="I235" i="6"/>
  <c r="H235" i="6" s="1"/>
  <c r="D614" i="8" s="1"/>
  <c r="N234" i="6"/>
  <c r="L234" i="6"/>
  <c r="I234" i="6"/>
  <c r="H234" i="6" s="1"/>
  <c r="D613" i="8" s="1"/>
  <c r="L233" i="6"/>
  <c r="I233" i="6"/>
  <c r="H233" i="6" s="1"/>
  <c r="D612" i="8" s="1"/>
  <c r="N230" i="6"/>
  <c r="L230" i="6"/>
  <c r="I230" i="6"/>
  <c r="H230" i="6" s="1"/>
  <c r="D602" i="8" s="1"/>
  <c r="N243" i="6"/>
  <c r="L243" i="6"/>
  <c r="I243" i="6"/>
  <c r="N242" i="6"/>
  <c r="L242" i="6"/>
  <c r="I242" i="6"/>
  <c r="H242" i="6" s="1"/>
  <c r="D643" i="8" s="1"/>
  <c r="N241" i="6"/>
  <c r="L241" i="6"/>
  <c r="I241" i="6"/>
  <c r="H241" i="6" s="1"/>
  <c r="D642" i="8" s="1"/>
  <c r="L240" i="6"/>
  <c r="I240" i="6"/>
  <c r="H240" i="6" s="1"/>
  <c r="D641" i="8" s="1"/>
  <c r="N237" i="6"/>
  <c r="L237" i="6"/>
  <c r="I237" i="6"/>
  <c r="H237" i="6" s="1"/>
  <c r="D631" i="8" s="1"/>
  <c r="N229" i="6"/>
  <c r="L229" i="6"/>
  <c r="I229" i="6"/>
  <c r="H229" i="6" s="1"/>
  <c r="D597" i="8" s="1"/>
  <c r="H236" i="6" l="1"/>
  <c r="D615" i="8" s="1"/>
  <c r="H243" i="6"/>
  <c r="D644" i="8" s="1"/>
  <c r="E843" i="8"/>
  <c r="H636" i="8"/>
  <c r="H607" i="8"/>
  <c r="F246" i="8"/>
  <c r="A233" i="8"/>
  <c r="A255" i="8"/>
  <c r="F268" i="8"/>
  <c r="A124" i="8"/>
  <c r="A127" i="8"/>
  <c r="E621" i="8"/>
  <c r="A598" i="8"/>
  <c r="A599" i="8" s="1"/>
  <c r="E636" i="8"/>
  <c r="F843" i="8" l="1"/>
  <c r="E845" i="8"/>
  <c r="E860" i="8"/>
  <c r="E863" i="8" s="1"/>
  <c r="A631" i="8"/>
  <c r="A634" i="8" s="1"/>
  <c r="A635" i="8" s="1"/>
  <c r="A636" i="8" s="1"/>
  <c r="A640" i="8" s="1"/>
  <c r="E638" i="8"/>
  <c r="A266" i="8"/>
  <c r="A269" i="8" s="1"/>
  <c r="A258" i="8"/>
  <c r="A268" i="8"/>
  <c r="A267" i="8"/>
  <c r="A245" i="8"/>
  <c r="A246" i="8"/>
  <c r="A236" i="8"/>
  <c r="A244" i="8"/>
  <c r="A247" i="8" s="1"/>
  <c r="A601" i="8"/>
  <c r="E624" i="8"/>
  <c r="A612" i="8" s="1"/>
  <c r="A616" i="8" s="1"/>
  <c r="A617" i="8" s="1"/>
  <c r="A618" i="8" s="1"/>
  <c r="A619" i="8" s="1"/>
  <c r="A620" i="8" s="1"/>
  <c r="A621" i="8" s="1"/>
  <c r="A622" i="8" s="1"/>
  <c r="A623" i="8" s="1"/>
  <c r="A624" i="8" s="1"/>
  <c r="E867" i="8" l="1"/>
  <c r="A850" i="8"/>
  <c r="A854" i="8" s="1"/>
  <c r="E865" i="8"/>
  <c r="F863" i="8"/>
  <c r="E847" i="8"/>
  <c r="E835" i="8"/>
  <c r="A837" i="8"/>
  <c r="F845" i="8"/>
  <c r="A632" i="8"/>
  <c r="A637" i="8" s="1"/>
  <c r="A638" i="8" s="1"/>
  <c r="E639" i="8"/>
  <c r="F639" i="8" s="1"/>
  <c r="F638" i="8"/>
  <c r="E628" i="8"/>
  <c r="F865" i="8" l="1"/>
  <c r="A851" i="8"/>
  <c r="A864" i="8" s="1"/>
  <c r="A865" i="8" s="1"/>
  <c r="A855" i="8"/>
  <c r="A856" i="8" s="1"/>
  <c r="A857" i="8" s="1"/>
  <c r="A858" i="8" s="1"/>
  <c r="A868" i="8"/>
  <c r="A843" i="8"/>
  <c r="A840" i="8"/>
  <c r="F835" i="8"/>
  <c r="A832" i="8"/>
  <c r="E848" i="8"/>
  <c r="A838" i="8"/>
  <c r="F847" i="8"/>
  <c r="E868" i="8"/>
  <c r="F867" i="8"/>
  <c r="A852" i="8"/>
  <c r="A866" i="8" s="1"/>
  <c r="A867" i="8" s="1"/>
  <c r="A614" i="8"/>
  <c r="A627" i="8" s="1"/>
  <c r="A628" i="8" s="1"/>
  <c r="E629" i="8"/>
  <c r="F629" i="8" s="1"/>
  <c r="A633" i="8"/>
  <c r="A639" i="8" s="1"/>
  <c r="N266" i="10"/>
  <c r="K264" i="10"/>
  <c r="L264" i="10" s="1"/>
  <c r="I264" i="10"/>
  <c r="G264" i="10"/>
  <c r="K263" i="10"/>
  <c r="I263" i="10"/>
  <c r="G263" i="10"/>
  <c r="K262" i="10"/>
  <c r="L262" i="10" s="1"/>
  <c r="I262" i="10"/>
  <c r="G262" i="10"/>
  <c r="L261" i="10"/>
  <c r="I261" i="10"/>
  <c r="E261" i="10"/>
  <c r="F868" i="8" l="1"/>
  <c r="A853" i="8"/>
  <c r="F848" i="8"/>
  <c r="A839" i="8"/>
  <c r="A859" i="8"/>
  <c r="A861" i="8" s="1"/>
  <c r="A862" i="8" s="1"/>
  <c r="A863" i="8" s="1"/>
  <c r="A860" i="8"/>
  <c r="A835" i="8"/>
  <c r="A836" i="8" s="1"/>
  <c r="A842" i="8" s="1"/>
  <c r="A848" i="8" s="1"/>
  <c r="A833" i="8"/>
  <c r="A834" i="8" s="1"/>
  <c r="A841" i="8"/>
  <c r="A844" i="8"/>
  <c r="L263" i="10"/>
  <c r="E650" i="8"/>
  <c r="K156" i="10"/>
  <c r="Q156" i="10" s="1"/>
  <c r="I156" i="10"/>
  <c r="G156" i="10"/>
  <c r="K155" i="10"/>
  <c r="Q155" i="10" s="1"/>
  <c r="I155" i="10"/>
  <c r="G155" i="10"/>
  <c r="K154" i="10"/>
  <c r="Q154" i="10" s="1"/>
  <c r="I154" i="10"/>
  <c r="G154" i="10"/>
  <c r="K153" i="10"/>
  <c r="Q153" i="10" s="1"/>
  <c r="I153" i="10"/>
  <c r="G153" i="10"/>
  <c r="K152" i="10"/>
  <c r="Q152" i="10" s="1"/>
  <c r="I152" i="10"/>
  <c r="G152" i="10"/>
  <c r="K151" i="10"/>
  <c r="Q151" i="10" s="1"/>
  <c r="I151" i="10"/>
  <c r="G151" i="10"/>
  <c r="K150" i="10"/>
  <c r="Q150" i="10" s="1"/>
  <c r="I150" i="10"/>
  <c r="G150" i="10"/>
  <c r="K149" i="10"/>
  <c r="Q149" i="10" s="1"/>
  <c r="I149" i="10"/>
  <c r="G149" i="10"/>
  <c r="K148" i="10"/>
  <c r="Q148" i="10" s="1"/>
  <c r="I148" i="10"/>
  <c r="G148" i="10"/>
  <c r="K147" i="10"/>
  <c r="Q147" i="10" s="1"/>
  <c r="I147" i="10"/>
  <c r="G147" i="10"/>
  <c r="L80" i="8"/>
  <c r="L68" i="8"/>
  <c r="K61" i="8"/>
  <c r="L54" i="8"/>
  <c r="K54" i="8"/>
  <c r="L81" i="8" l="1"/>
  <c r="K62" i="8"/>
  <c r="L69" i="8"/>
  <c r="A845" i="8"/>
  <c r="A846" i="8"/>
  <c r="A847" i="8" s="1"/>
  <c r="E54" i="8"/>
  <c r="L266" i="10"/>
  <c r="O266" i="10" s="1"/>
  <c r="E653" i="8"/>
  <c r="A641" i="8" s="1"/>
  <c r="A645" i="8" s="1"/>
  <c r="A646" i="8" s="1"/>
  <c r="A647" i="8" s="1"/>
  <c r="A648" i="8" s="1"/>
  <c r="A649" i="8" s="1"/>
  <c r="A650" i="8" s="1"/>
  <c r="A651" i="8" s="1"/>
  <c r="A652" i="8" s="1"/>
  <c r="A653" i="8" s="1"/>
  <c r="L85" i="8"/>
  <c r="L147" i="10"/>
  <c r="L148" i="10"/>
  <c r="L149" i="10"/>
  <c r="L156" i="10"/>
  <c r="L82" i="8" l="1"/>
  <c r="K63" i="8"/>
  <c r="L70" i="8"/>
  <c r="A849" i="8"/>
  <c r="A831" i="8" s="1"/>
  <c r="A869" i="8" s="1"/>
  <c r="E657" i="8"/>
  <c r="E658" i="8" s="1"/>
  <c r="F658" i="8" s="1"/>
  <c r="L86" i="8"/>
  <c r="L71" i="8"/>
  <c r="L150" i="10"/>
  <c r="L83" i="8" l="1"/>
  <c r="K64" i="8"/>
  <c r="A643" i="8"/>
  <c r="A656" i="8" s="1"/>
  <c r="L72" i="8"/>
  <c r="L87" i="8"/>
  <c r="L151" i="10"/>
  <c r="L88" i="8" l="1"/>
  <c r="L73" i="8"/>
  <c r="L152" i="10"/>
  <c r="K11" i="48"/>
  <c r="I36" i="48"/>
  <c r="I35" i="48"/>
  <c r="I34" i="48"/>
  <c r="C30" i="48"/>
  <c r="D21" i="48"/>
  <c r="D19" i="48"/>
  <c r="D18" i="48"/>
  <c r="D17" i="48"/>
  <c r="D16" i="48"/>
  <c r="D15" i="48"/>
  <c r="D14" i="48"/>
  <c r="D13" i="48"/>
  <c r="E7" i="48"/>
  <c r="C7" i="48"/>
  <c r="K6" i="48"/>
  <c r="E6" i="48"/>
  <c r="C6" i="48"/>
  <c r="K5" i="48"/>
  <c r="J5" i="48"/>
  <c r="E5" i="48"/>
  <c r="C5" i="48"/>
  <c r="B14" i="8"/>
  <c r="B20" i="8" s="1"/>
  <c r="C1252" i="8"/>
  <c r="H1261" i="8" s="1"/>
  <c r="C1253" i="8"/>
  <c r="H1262" i="8" s="1"/>
  <c r="C1254" i="8"/>
  <c r="H1263" i="8" s="1"/>
  <c r="C1251" i="8"/>
  <c r="H1260" i="8" s="1"/>
  <c r="D1248" i="8"/>
  <c r="E1256" i="8"/>
  <c r="F1132" i="8"/>
  <c r="F1131" i="8"/>
  <c r="C1121" i="8"/>
  <c r="H1125" i="8" s="1"/>
  <c r="C1128" i="8"/>
  <c r="H1132" i="8" s="1"/>
  <c r="C1120" i="8"/>
  <c r="H1124" i="8" s="1"/>
  <c r="D1117" i="8"/>
  <c r="E1130" i="8"/>
  <c r="L74" i="8" l="1"/>
  <c r="L153" i="10"/>
  <c r="F1071" i="8"/>
  <c r="C1051" i="8"/>
  <c r="H1071" i="8" s="1"/>
  <c r="E1070" i="8"/>
  <c r="C1013" i="8"/>
  <c r="H1044" i="8" s="1"/>
  <c r="E1015" i="8"/>
  <c r="E991" i="8"/>
  <c r="C988" i="8"/>
  <c r="H1005" i="8" s="1"/>
  <c r="C987" i="8"/>
  <c r="H999" i="8" s="1"/>
  <c r="D984" i="8"/>
  <c r="C979" i="8"/>
  <c r="H982" i="8" s="1"/>
  <c r="E981" i="8"/>
  <c r="L154" i="10" l="1"/>
  <c r="I259" i="10"/>
  <c r="G259" i="10"/>
  <c r="I258" i="10"/>
  <c r="G258" i="10"/>
  <c r="I257" i="10"/>
  <c r="G257" i="10"/>
  <c r="I256" i="10"/>
  <c r="G256" i="10"/>
  <c r="I255" i="10"/>
  <c r="G255" i="10"/>
  <c r="I254" i="10"/>
  <c r="G254" i="10"/>
  <c r="I253" i="10"/>
  <c r="G253" i="10"/>
  <c r="I252" i="10"/>
  <c r="G252" i="10"/>
  <c r="N260" i="10"/>
  <c r="K259" i="10"/>
  <c r="L259" i="10" s="1"/>
  <c r="K258" i="10"/>
  <c r="L258" i="10" s="1"/>
  <c r="K257" i="10"/>
  <c r="K256" i="10"/>
  <c r="K255" i="10"/>
  <c r="K254" i="10"/>
  <c r="L254" i="10" s="1"/>
  <c r="K253" i="10"/>
  <c r="L253" i="10" s="1"/>
  <c r="K252" i="10"/>
  <c r="L252" i="10" s="1"/>
  <c r="L251" i="10"/>
  <c r="I251" i="10"/>
  <c r="E251" i="10"/>
  <c r="N250" i="10"/>
  <c r="K249" i="10"/>
  <c r="L249" i="10" s="1"/>
  <c r="I249" i="10"/>
  <c r="G249" i="10"/>
  <c r="K248" i="10"/>
  <c r="L248" i="10" s="1"/>
  <c r="I248" i="10"/>
  <c r="G248" i="10"/>
  <c r="K247" i="10"/>
  <c r="L247" i="10" s="1"/>
  <c r="I247" i="10"/>
  <c r="G247" i="10"/>
  <c r="K246" i="10"/>
  <c r="I246" i="10"/>
  <c r="G246" i="10"/>
  <c r="K245" i="10"/>
  <c r="I245" i="10"/>
  <c r="G245" i="10"/>
  <c r="K244" i="10"/>
  <c r="L244" i="10" s="1"/>
  <c r="I244" i="10"/>
  <c r="G244" i="10"/>
  <c r="K243" i="10"/>
  <c r="L243" i="10" s="1"/>
  <c r="I243" i="10"/>
  <c r="G243" i="10"/>
  <c r="K242" i="10"/>
  <c r="L242" i="10" s="1"/>
  <c r="I242" i="10"/>
  <c r="G242" i="10"/>
  <c r="L241" i="10"/>
  <c r="I241" i="10"/>
  <c r="E241" i="10"/>
  <c r="C928" i="8"/>
  <c r="C929" i="8"/>
  <c r="C927" i="8"/>
  <c r="D97" i="8"/>
  <c r="I14" i="8"/>
  <c r="C914" i="8"/>
  <c r="C913" i="8"/>
  <c r="D910" i="8"/>
  <c r="H943" i="8" l="1"/>
  <c r="H946" i="8"/>
  <c r="H940" i="8"/>
  <c r="H925" i="8"/>
  <c r="H924" i="8"/>
  <c r="D59" i="3"/>
  <c r="N337" i="6" s="1"/>
  <c r="D56" i="3"/>
  <c r="D58" i="3"/>
  <c r="D57" i="3"/>
  <c r="D54" i="3"/>
  <c r="K396" i="10" s="1"/>
  <c r="L396" i="10" s="1"/>
  <c r="L400" i="10" s="1"/>
  <c r="O400" i="10" s="1"/>
  <c r="D45" i="3" s="1"/>
  <c r="D55" i="3"/>
  <c r="D51" i="3"/>
  <c r="N373" i="6" s="1"/>
  <c r="D52" i="3"/>
  <c r="D53" i="3"/>
  <c r="A979" i="8"/>
  <c r="A980" i="8" s="1"/>
  <c r="A981" i="8" s="1"/>
  <c r="A982" i="8" s="1"/>
  <c r="F982" i="8"/>
  <c r="D46" i="3"/>
  <c r="N28" i="6" s="1"/>
  <c r="D34" i="3"/>
  <c r="N188" i="6" s="1"/>
  <c r="D33" i="3"/>
  <c r="D30" i="3"/>
  <c r="L155" i="10"/>
  <c r="L257" i="10"/>
  <c r="L255" i="10"/>
  <c r="L256" i="10"/>
  <c r="L246" i="10"/>
  <c r="L245" i="10"/>
  <c r="I15" i="8"/>
  <c r="C483" i="8"/>
  <c r="H498" i="8" s="1"/>
  <c r="C484" i="8"/>
  <c r="H500" i="8" s="1"/>
  <c r="C485" i="8"/>
  <c r="H501" i="8" s="1"/>
  <c r="C482" i="8"/>
  <c r="H496" i="8" s="1"/>
  <c r="E490" i="8"/>
  <c r="C468" i="8"/>
  <c r="E472" i="8"/>
  <c r="C458" i="8"/>
  <c r="H463" i="8" s="1"/>
  <c r="E462" i="8"/>
  <c r="E451" i="8"/>
  <c r="D450" i="8"/>
  <c r="D448" i="8"/>
  <c r="C440" i="8"/>
  <c r="H456" i="8" s="1"/>
  <c r="C439" i="8"/>
  <c r="H453" i="8" s="1"/>
  <c r="D452" i="8"/>
  <c r="D451" i="8"/>
  <c r="E443" i="8"/>
  <c r="C421" i="8"/>
  <c r="H437" i="8" s="1"/>
  <c r="D433" i="8"/>
  <c r="D432" i="8"/>
  <c r="D429" i="8"/>
  <c r="D411" i="8" s="1"/>
  <c r="D428" i="8"/>
  <c r="C420" i="8"/>
  <c r="H434" i="8" s="1"/>
  <c r="E424" i="8"/>
  <c r="D444" i="8"/>
  <c r="C390" i="8"/>
  <c r="H399" i="8" s="1"/>
  <c r="D386" i="8"/>
  <c r="E392" i="8"/>
  <c r="D356" i="8"/>
  <c r="E350" i="8"/>
  <c r="C334" i="8"/>
  <c r="H354" i="8" s="1"/>
  <c r="C335" i="8"/>
  <c r="H359" i="8" s="1"/>
  <c r="C336" i="8"/>
  <c r="H360" i="8" s="1"/>
  <c r="C337" i="8"/>
  <c r="H344" i="8" s="1"/>
  <c r="C332" i="8"/>
  <c r="H346" i="8" s="1"/>
  <c r="E341" i="8"/>
  <c r="D322" i="8"/>
  <c r="C318" i="8"/>
  <c r="H325" i="8" s="1"/>
  <c r="E320" i="8"/>
  <c r="F25" i="8"/>
  <c r="F33" i="8" s="1"/>
  <c r="F41" i="8" s="1"/>
  <c r="E25" i="8"/>
  <c r="E33" i="8" s="1"/>
  <c r="E41" i="8" s="1"/>
  <c r="D315" i="8"/>
  <c r="E49" i="8"/>
  <c r="D22" i="6"/>
  <c r="D23" i="6" s="1"/>
  <c r="D24" i="6" s="1"/>
  <c r="D25" i="6" s="1"/>
  <c r="D26" i="6" s="1"/>
  <c r="D27" i="6" s="1"/>
  <c r="B50" i="8"/>
  <c r="B51" i="8" s="1"/>
  <c r="B52" i="8" s="1"/>
  <c r="B53" i="8" s="1"/>
  <c r="B54" i="8" s="1"/>
  <c r="B55" i="8" s="1"/>
  <c r="B56" i="8" s="1"/>
  <c r="H477" i="8" l="1"/>
  <c r="I16" i="8"/>
  <c r="N349" i="6"/>
  <c r="D447" i="8"/>
  <c r="D409" i="8"/>
  <c r="K389" i="10"/>
  <c r="L389" i="10" s="1"/>
  <c r="L392" i="10" s="1"/>
  <c r="O392" i="10" s="1"/>
  <c r="D44" i="3" s="1"/>
  <c r="N358" i="6" s="1"/>
  <c r="K344" i="10"/>
  <c r="L344" i="10" s="1"/>
  <c r="A915" i="8"/>
  <c r="A916" i="8" s="1"/>
  <c r="A917" i="8" s="1"/>
  <c r="A918" i="8" s="1"/>
  <c r="A919" i="8" s="1"/>
  <c r="A920" i="8" s="1"/>
  <c r="A921" i="8" s="1"/>
  <c r="A922" i="8" s="1"/>
  <c r="A923" i="8" s="1"/>
  <c r="A924" i="8" s="1"/>
  <c r="A925" i="8" s="1"/>
  <c r="A926" i="8" s="1"/>
  <c r="B58" i="8"/>
  <c r="B59" i="8" s="1"/>
  <c r="B57" i="8"/>
  <c r="D29" i="6"/>
  <c r="D30" i="6" s="1"/>
  <c r="D31" i="6" s="1"/>
  <c r="D28" i="6"/>
  <c r="L260" i="10"/>
  <c r="O260" i="10" s="1"/>
  <c r="D48" i="3" s="1"/>
  <c r="L250" i="10"/>
  <c r="O250" i="10" s="1"/>
  <c r="E448" i="8"/>
  <c r="E450" i="8" s="1"/>
  <c r="J15" i="8"/>
  <c r="E351" i="8"/>
  <c r="E352" i="8" s="1"/>
  <c r="E360" i="8" s="1"/>
  <c r="D32" i="6" l="1"/>
  <c r="B60" i="8"/>
  <c r="J243" i="6"/>
  <c r="A615" i="8"/>
  <c r="J236" i="6"/>
  <c r="J209" i="6"/>
  <c r="J72" i="6"/>
  <c r="E430" i="8"/>
  <c r="C94" i="8"/>
  <c r="C97" i="8"/>
  <c r="C98" i="8"/>
  <c r="C99" i="8"/>
  <c r="C100" i="8"/>
  <c r="C82" i="8"/>
  <c r="C84" i="8"/>
  <c r="C85" i="8"/>
  <c r="C86" i="8"/>
  <c r="C87" i="8"/>
  <c r="C89" i="8"/>
  <c r="D89" i="8"/>
  <c r="C90" i="8"/>
  <c r="C91" i="8"/>
  <c r="C51" i="8"/>
  <c r="C52" i="8"/>
  <c r="C53" i="8"/>
  <c r="C54" i="8"/>
  <c r="C55" i="8"/>
  <c r="C56" i="8"/>
  <c r="C58" i="8"/>
  <c r="C59" i="8"/>
  <c r="D59" i="8"/>
  <c r="C60" i="8"/>
  <c r="C61" i="8"/>
  <c r="C62" i="8"/>
  <c r="C63" i="8"/>
  <c r="C67" i="8"/>
  <c r="C68" i="8"/>
  <c r="C69" i="8"/>
  <c r="C70" i="8"/>
  <c r="C71" i="8"/>
  <c r="C72" i="8"/>
  <c r="C73" i="8"/>
  <c r="C74" i="8"/>
  <c r="C75" i="8"/>
  <c r="C76" i="8"/>
  <c r="C77" i="8"/>
  <c r="C79" i="8"/>
  <c r="C80" i="8"/>
  <c r="C81" i="8"/>
  <c r="C50" i="8"/>
  <c r="D46" i="8"/>
  <c r="J205" i="6" l="1"/>
  <c r="J202" i="6"/>
  <c r="A629" i="8"/>
  <c r="A630" i="8" s="1"/>
  <c r="A644" i="8"/>
  <c r="A658" i="8" s="1"/>
  <c r="B61" i="8"/>
  <c r="D33" i="6"/>
  <c r="N15" i="6"/>
  <c r="F26" i="8"/>
  <c r="C23" i="8"/>
  <c r="H29" i="8" s="1"/>
  <c r="D11" i="8"/>
  <c r="C28" i="7"/>
  <c r="C53" i="7" s="1"/>
  <c r="C24" i="7"/>
  <c r="C49" i="7" s="1"/>
  <c r="C22" i="7"/>
  <c r="C47" i="7" s="1"/>
  <c r="C20" i="7"/>
  <c r="C45" i="7" s="1"/>
  <c r="C18" i="7"/>
  <c r="C43" i="7" s="1"/>
  <c r="C16" i="7"/>
  <c r="C41" i="7" s="1"/>
  <c r="C14" i="7"/>
  <c r="C39" i="7" s="1"/>
  <c r="C12" i="7"/>
  <c r="C37" i="7" s="1"/>
  <c r="Q6" i="7"/>
  <c r="Q5" i="7"/>
  <c r="P5" i="7"/>
  <c r="D7" i="7"/>
  <c r="B7" i="7"/>
  <c r="D6" i="7"/>
  <c r="B6" i="7"/>
  <c r="D5" i="7"/>
  <c r="B5" i="7"/>
  <c r="J84" i="6" l="1"/>
  <c r="E828" i="8"/>
  <c r="E829" i="8" s="1"/>
  <c r="E750" i="8"/>
  <c r="E751" i="8" s="1"/>
  <c r="E704" i="8"/>
  <c r="E705" i="8" s="1"/>
  <c r="F703" i="8"/>
  <c r="D34" i="6"/>
  <c r="D35" i="6" s="1"/>
  <c r="B62" i="8"/>
  <c r="E625" i="8"/>
  <c r="E626" i="8" s="1"/>
  <c r="A613" i="8" s="1"/>
  <c r="J234" i="6"/>
  <c r="E654" i="8"/>
  <c r="E655" i="8" s="1"/>
  <c r="J241" i="6"/>
  <c r="J184" i="6"/>
  <c r="J197" i="6"/>
  <c r="E435" i="8"/>
  <c r="E497" i="8"/>
  <c r="E1168" i="8"/>
  <c r="E1173" i="8" s="1"/>
  <c r="E1175" i="8" s="1"/>
  <c r="F16" i="8"/>
  <c r="F15" i="8"/>
  <c r="L353" i="6"/>
  <c r="I353" i="6"/>
  <c r="N212" i="10"/>
  <c r="K211" i="10"/>
  <c r="L211" i="10" s="1"/>
  <c r="I211" i="10"/>
  <c r="G211" i="10"/>
  <c r="K210" i="10"/>
  <c r="I210" i="10"/>
  <c r="G210" i="10"/>
  <c r="K209" i="10"/>
  <c r="L209" i="10" s="1"/>
  <c r="I209" i="10"/>
  <c r="G209" i="10"/>
  <c r="K208" i="10"/>
  <c r="L208" i="10" s="1"/>
  <c r="I208" i="10"/>
  <c r="G208" i="10"/>
  <c r="K207" i="10"/>
  <c r="L207" i="10" s="1"/>
  <c r="I207" i="10"/>
  <c r="G207" i="10"/>
  <c r="K206" i="10"/>
  <c r="I206" i="10"/>
  <c r="G206" i="10"/>
  <c r="F206" i="10" s="1"/>
  <c r="L205" i="10"/>
  <c r="I205" i="10"/>
  <c r="E205" i="10"/>
  <c r="N204" i="10"/>
  <c r="K201" i="10"/>
  <c r="I201" i="10"/>
  <c r="G201" i="10"/>
  <c r="K200" i="10"/>
  <c r="L200" i="10" s="1"/>
  <c r="I200" i="10"/>
  <c r="G200" i="10"/>
  <c r="K199" i="10"/>
  <c r="L199" i="10" s="1"/>
  <c r="I199" i="10"/>
  <c r="G199" i="10"/>
  <c r="K198" i="10"/>
  <c r="L198" i="10" s="1"/>
  <c r="I198" i="10"/>
  <c r="G198" i="10"/>
  <c r="K197" i="10"/>
  <c r="L197" i="10" s="1"/>
  <c r="I197" i="10"/>
  <c r="G197" i="10"/>
  <c r="F197" i="10" s="1"/>
  <c r="L196" i="10"/>
  <c r="I196" i="10"/>
  <c r="E196" i="10"/>
  <c r="N195" i="10"/>
  <c r="K193" i="10"/>
  <c r="L193" i="10" s="1"/>
  <c r="I193" i="10"/>
  <c r="G193" i="10"/>
  <c r="K192" i="10"/>
  <c r="L192" i="10" s="1"/>
  <c r="I192" i="10"/>
  <c r="G192" i="10"/>
  <c r="K191" i="10"/>
  <c r="I191" i="10"/>
  <c r="G191" i="10"/>
  <c r="K190" i="10"/>
  <c r="L190" i="10" s="1"/>
  <c r="I190" i="10"/>
  <c r="G190" i="10"/>
  <c r="K189" i="10"/>
  <c r="L189" i="10" s="1"/>
  <c r="I189" i="10"/>
  <c r="G189" i="10"/>
  <c r="K188" i="10"/>
  <c r="L188" i="10" s="1"/>
  <c r="I188" i="10"/>
  <c r="G188" i="10"/>
  <c r="K187" i="10"/>
  <c r="I187" i="10"/>
  <c r="G187" i="10"/>
  <c r="F187" i="10" s="1"/>
  <c r="L186" i="10"/>
  <c r="I186" i="10"/>
  <c r="E186" i="10"/>
  <c r="K182" i="10"/>
  <c r="L182" i="10" s="1"/>
  <c r="I182" i="10"/>
  <c r="G182" i="10"/>
  <c r="K181" i="10"/>
  <c r="I181" i="10"/>
  <c r="G181" i="10"/>
  <c r="K180" i="10"/>
  <c r="I180" i="10"/>
  <c r="G180" i="10"/>
  <c r="K179" i="10"/>
  <c r="L179" i="10" s="1"/>
  <c r="I179" i="10"/>
  <c r="G179" i="10"/>
  <c r="K178" i="10"/>
  <c r="L178" i="10" s="1"/>
  <c r="I178" i="10"/>
  <c r="G178" i="10"/>
  <c r="N217" i="10"/>
  <c r="K216" i="10"/>
  <c r="L216" i="10" s="1"/>
  <c r="I216" i="10"/>
  <c r="G216" i="10"/>
  <c r="K215" i="10"/>
  <c r="L215" i="10" s="1"/>
  <c r="I215" i="10"/>
  <c r="G215" i="10"/>
  <c r="K214" i="10"/>
  <c r="L214" i="10" s="1"/>
  <c r="I214" i="10"/>
  <c r="G214" i="10"/>
  <c r="L213" i="10"/>
  <c r="I213" i="10"/>
  <c r="E213" i="10"/>
  <c r="H353" i="6" l="1"/>
  <c r="D1121" i="8" s="1"/>
  <c r="D36" i="6"/>
  <c r="D37" i="6" s="1"/>
  <c r="D38" i="6" s="1"/>
  <c r="B64" i="8"/>
  <c r="F1168" i="8"/>
  <c r="A141" i="8"/>
  <c r="F141" i="8"/>
  <c r="A138" i="8"/>
  <c r="F138" i="8"/>
  <c r="F409" i="8"/>
  <c r="F751" i="8"/>
  <c r="A743" i="8"/>
  <c r="A821" i="8"/>
  <c r="F829" i="8"/>
  <c r="F705" i="8"/>
  <c r="A697" i="8"/>
  <c r="A704" i="8" s="1"/>
  <c r="A642" i="8"/>
  <c r="A654" i="8" s="1"/>
  <c r="A655" i="8" s="1"/>
  <c r="A657" i="8" s="1"/>
  <c r="E692" i="8"/>
  <c r="E693" i="8" s="1"/>
  <c r="F693" i="8" s="1"/>
  <c r="B63" i="8"/>
  <c r="A625" i="8"/>
  <c r="A626" i="8" s="1"/>
  <c r="F17" i="8"/>
  <c r="I9" i="6" s="1"/>
  <c r="K27" i="48" s="1"/>
  <c r="L191" i="10"/>
  <c r="L210" i="10"/>
  <c r="F29" i="8"/>
  <c r="L201" i="10"/>
  <c r="L206" i="10"/>
  <c r="E322" i="8"/>
  <c r="L187" i="10"/>
  <c r="L180" i="10"/>
  <c r="L181" i="10"/>
  <c r="E324" i="8" l="1"/>
  <c r="E321" i="8"/>
  <c r="A750" i="8"/>
  <c r="A751" i="8" s="1"/>
  <c r="A752" i="8" s="1"/>
  <c r="I17" i="8"/>
  <c r="L195" i="10"/>
  <c r="O195" i="10" s="1"/>
  <c r="F1173" i="8"/>
  <c r="F511" i="8"/>
  <c r="E524" i="8"/>
  <c r="A828" i="8"/>
  <c r="A829" i="8" s="1"/>
  <c r="A830" i="8" s="1"/>
  <c r="A823" i="8"/>
  <c r="A824" i="8" s="1"/>
  <c r="A825" i="8" s="1"/>
  <c r="A826" i="8" s="1"/>
  <c r="A827" i="8" s="1"/>
  <c r="A745" i="8"/>
  <c r="A746" i="8" s="1"/>
  <c r="A747" i="8" s="1"/>
  <c r="A748" i="8" s="1"/>
  <c r="A749" i="8" s="1"/>
  <c r="A699" i="8"/>
  <c r="A700" i="8" s="1"/>
  <c r="A701" i="8" s="1"/>
  <c r="A702" i="8" s="1"/>
  <c r="A703" i="8" s="1"/>
  <c r="A596" i="8"/>
  <c r="A678" i="8"/>
  <c r="F692" i="8"/>
  <c r="L204" i="10"/>
  <c r="O204" i="10" s="1"/>
  <c r="L212" i="10"/>
  <c r="O212" i="10" s="1"/>
  <c r="B65" i="8"/>
  <c r="A348" i="8"/>
  <c r="F380" i="8"/>
  <c r="D32" i="3"/>
  <c r="D31" i="3"/>
  <c r="E428" i="8"/>
  <c r="F396" i="8"/>
  <c r="F322" i="8"/>
  <c r="F19" i="8"/>
  <c r="L217" i="10"/>
  <c r="O217" i="10" s="1"/>
  <c r="A741" i="8" l="1"/>
  <c r="J17" i="8"/>
  <c r="I18" i="8"/>
  <c r="E1177" i="8"/>
  <c r="E1178" i="8" s="1"/>
  <c r="F1175" i="8"/>
  <c r="A1160" i="8"/>
  <c r="E543" i="8"/>
  <c r="F524" i="8"/>
  <c r="A819" i="8"/>
  <c r="A679" i="8"/>
  <c r="A693" i="8" s="1"/>
  <c r="A691" i="8"/>
  <c r="A692" i="8" s="1"/>
  <c r="B66" i="8"/>
  <c r="F42" i="8"/>
  <c r="F43" i="8" s="1"/>
  <c r="E43" i="8"/>
  <c r="A39" i="8" s="1"/>
  <c r="F321" i="8"/>
  <c r="E325" i="8"/>
  <c r="F428" i="8"/>
  <c r="E447" i="8"/>
  <c r="F324" i="8"/>
  <c r="N185" i="10"/>
  <c r="K177" i="10"/>
  <c r="I177" i="10"/>
  <c r="G177" i="10"/>
  <c r="F177" i="10" s="1"/>
  <c r="L176" i="10"/>
  <c r="I176" i="10"/>
  <c r="E176" i="10"/>
  <c r="N175" i="10"/>
  <c r="K172" i="10"/>
  <c r="I172" i="10"/>
  <c r="G172" i="10"/>
  <c r="K171" i="10"/>
  <c r="I171" i="10"/>
  <c r="G171" i="10"/>
  <c r="L170" i="10"/>
  <c r="I170" i="10"/>
  <c r="E170" i="10"/>
  <c r="N169" i="10"/>
  <c r="K167" i="10"/>
  <c r="K166" i="10"/>
  <c r="L163" i="10"/>
  <c r="I163" i="10"/>
  <c r="E163" i="10"/>
  <c r="N162" i="10"/>
  <c r="L159" i="10"/>
  <c r="I159" i="10"/>
  <c r="E159" i="10"/>
  <c r="K157" i="10"/>
  <c r="Q157" i="10" s="1"/>
  <c r="I230" i="10"/>
  <c r="I219" i="10"/>
  <c r="I145" i="10"/>
  <c r="I135" i="10"/>
  <c r="I125" i="10"/>
  <c r="I115" i="10"/>
  <c r="I105" i="10"/>
  <c r="I78" i="10"/>
  <c r="I88" i="10"/>
  <c r="I68" i="10"/>
  <c r="I60" i="10"/>
  <c r="I42" i="10"/>
  <c r="I32" i="10"/>
  <c r="I22" i="10"/>
  <c r="I12" i="10"/>
  <c r="E12" i="10"/>
  <c r="N158" i="10"/>
  <c r="I157" i="10"/>
  <c r="G157" i="10"/>
  <c r="K146" i="10"/>
  <c r="Q146" i="10" s="1"/>
  <c r="I146" i="10"/>
  <c r="G146" i="10"/>
  <c r="L145" i="10"/>
  <c r="E145" i="10"/>
  <c r="J139" i="10"/>
  <c r="J141" i="10"/>
  <c r="J142" i="10"/>
  <c r="J138" i="10"/>
  <c r="N144" i="10"/>
  <c r="K142" i="10"/>
  <c r="I142" i="10"/>
  <c r="G142" i="10"/>
  <c r="K141" i="10"/>
  <c r="I141" i="10"/>
  <c r="G141" i="10"/>
  <c r="K140" i="10"/>
  <c r="L140" i="10" s="1"/>
  <c r="I140" i="10"/>
  <c r="G140" i="10"/>
  <c r="K139" i="10"/>
  <c r="I139" i="10"/>
  <c r="G139" i="10"/>
  <c r="K138" i="10"/>
  <c r="I138" i="10"/>
  <c r="G138" i="10"/>
  <c r="K137" i="10"/>
  <c r="L137" i="10" s="1"/>
  <c r="I137" i="10"/>
  <c r="G137" i="10"/>
  <c r="K136" i="10"/>
  <c r="L136" i="10" s="1"/>
  <c r="I136" i="10"/>
  <c r="G136" i="10"/>
  <c r="L135" i="10"/>
  <c r="E135" i="10"/>
  <c r="J132" i="10"/>
  <c r="J131" i="10"/>
  <c r="J121" i="10"/>
  <c r="J129" i="10"/>
  <c r="J128" i="10"/>
  <c r="K132" i="10"/>
  <c r="I132" i="10"/>
  <c r="G132" i="10"/>
  <c r="K131" i="10"/>
  <c r="I131" i="10"/>
  <c r="G131" i="10"/>
  <c r="K130" i="10"/>
  <c r="L130" i="10" s="1"/>
  <c r="I130" i="10"/>
  <c r="G130" i="10"/>
  <c r="K129" i="10"/>
  <c r="I129" i="10"/>
  <c r="G129" i="10"/>
  <c r="K128" i="10"/>
  <c r="I128" i="10"/>
  <c r="G128" i="10"/>
  <c r="K127" i="10"/>
  <c r="L127" i="10" s="1"/>
  <c r="I127" i="10"/>
  <c r="G127" i="10"/>
  <c r="K126" i="10"/>
  <c r="L126" i="10" s="1"/>
  <c r="I126" i="10"/>
  <c r="G126" i="10"/>
  <c r="L125" i="10"/>
  <c r="E125" i="10"/>
  <c r="J122" i="10"/>
  <c r="J119" i="10"/>
  <c r="J118" i="10"/>
  <c r="N124" i="10"/>
  <c r="K122" i="10"/>
  <c r="I122" i="10"/>
  <c r="G122" i="10"/>
  <c r="K121" i="10"/>
  <c r="I121" i="10"/>
  <c r="G121" i="10"/>
  <c r="K120" i="10"/>
  <c r="L120" i="10" s="1"/>
  <c r="I120" i="10"/>
  <c r="G120" i="10"/>
  <c r="K119" i="10"/>
  <c r="I119" i="10"/>
  <c r="G119" i="10"/>
  <c r="K118" i="10"/>
  <c r="I118" i="10"/>
  <c r="G118" i="10"/>
  <c r="K117" i="10"/>
  <c r="I117" i="10"/>
  <c r="G117" i="10"/>
  <c r="K116" i="10"/>
  <c r="I116" i="10"/>
  <c r="G116" i="10"/>
  <c r="L115" i="10"/>
  <c r="E115" i="10"/>
  <c r="J112" i="10"/>
  <c r="J111" i="10"/>
  <c r="J109" i="10"/>
  <c r="J108" i="10"/>
  <c r="K108" i="10"/>
  <c r="I108" i="10"/>
  <c r="G108" i="10"/>
  <c r="K109" i="10"/>
  <c r="I109" i="10"/>
  <c r="G109" i="10"/>
  <c r="K100" i="10"/>
  <c r="I100" i="10"/>
  <c r="G100" i="10"/>
  <c r="K99" i="10"/>
  <c r="I99" i="10"/>
  <c r="G99" i="10"/>
  <c r="N114" i="10"/>
  <c r="K112" i="10"/>
  <c r="I112" i="10"/>
  <c r="G112" i="10"/>
  <c r="K111" i="10"/>
  <c r="I111" i="10"/>
  <c r="G111" i="10"/>
  <c r="K110" i="10"/>
  <c r="I110" i="10"/>
  <c r="G110" i="10"/>
  <c r="K107" i="10"/>
  <c r="I107" i="10"/>
  <c r="G107" i="10"/>
  <c r="K106" i="10"/>
  <c r="I106" i="10"/>
  <c r="G106" i="10"/>
  <c r="L105" i="10"/>
  <c r="E105" i="10"/>
  <c r="N104" i="10"/>
  <c r="K102" i="10"/>
  <c r="L102" i="10" s="1"/>
  <c r="I102" i="10"/>
  <c r="G102" i="10"/>
  <c r="K101" i="10"/>
  <c r="L101" i="10" s="1"/>
  <c r="I101" i="10"/>
  <c r="G101" i="10"/>
  <c r="K98" i="10"/>
  <c r="I98" i="10"/>
  <c r="G98" i="10"/>
  <c r="K97" i="10"/>
  <c r="I97" i="10"/>
  <c r="G97" i="10"/>
  <c r="K96" i="10"/>
  <c r="I96" i="10"/>
  <c r="G96" i="10"/>
  <c r="L95" i="10"/>
  <c r="E95" i="10"/>
  <c r="N94" i="10"/>
  <c r="K93" i="10"/>
  <c r="I93" i="10"/>
  <c r="G93" i="10"/>
  <c r="K92" i="10"/>
  <c r="I92" i="10"/>
  <c r="G92" i="10"/>
  <c r="K91" i="10"/>
  <c r="I91" i="10"/>
  <c r="G91" i="10"/>
  <c r="K90" i="10"/>
  <c r="I90" i="10"/>
  <c r="G90" i="10"/>
  <c r="K89" i="10"/>
  <c r="I89" i="10"/>
  <c r="G89" i="10"/>
  <c r="L88" i="10"/>
  <c r="E88" i="10"/>
  <c r="N87" i="10"/>
  <c r="K85" i="10"/>
  <c r="I85" i="10"/>
  <c r="G85" i="10"/>
  <c r="K84" i="10"/>
  <c r="I84" i="10"/>
  <c r="G84" i="10"/>
  <c r="K83" i="10"/>
  <c r="I83" i="10"/>
  <c r="G83" i="10"/>
  <c r="K82" i="10"/>
  <c r="I82" i="10"/>
  <c r="G82" i="10"/>
  <c r="K81" i="10"/>
  <c r="I81" i="10"/>
  <c r="G81" i="10"/>
  <c r="K80" i="10"/>
  <c r="I80" i="10"/>
  <c r="G80" i="10"/>
  <c r="K79" i="10"/>
  <c r="I79" i="10"/>
  <c r="G79" i="10"/>
  <c r="L78" i="10"/>
  <c r="E78" i="10"/>
  <c r="G69" i="10"/>
  <c r="G71" i="10"/>
  <c r="G72" i="10"/>
  <c r="G73" i="10"/>
  <c r="G74" i="10"/>
  <c r="G75" i="10"/>
  <c r="J75" i="10"/>
  <c r="J350" i="10" s="1"/>
  <c r="L350" i="10" s="1"/>
  <c r="K74" i="10"/>
  <c r="I74" i="10"/>
  <c r="K73" i="10"/>
  <c r="I73" i="10"/>
  <c r="N77" i="10"/>
  <c r="K75" i="10"/>
  <c r="I75" i="10"/>
  <c r="K72" i="10"/>
  <c r="I72" i="10"/>
  <c r="K71" i="10"/>
  <c r="I71" i="10"/>
  <c r="K70" i="10"/>
  <c r="I70" i="10"/>
  <c r="K69" i="10"/>
  <c r="I69" i="10"/>
  <c r="L68" i="10"/>
  <c r="E68" i="10"/>
  <c r="N67" i="10"/>
  <c r="K65" i="10"/>
  <c r="I65" i="10"/>
  <c r="G65" i="10"/>
  <c r="K64" i="10"/>
  <c r="I64" i="10"/>
  <c r="G64" i="10"/>
  <c r="K63" i="10"/>
  <c r="I63" i="10"/>
  <c r="G63" i="10"/>
  <c r="K62" i="10"/>
  <c r="I62" i="10"/>
  <c r="G62" i="10"/>
  <c r="K61" i="10"/>
  <c r="I61" i="10"/>
  <c r="G61" i="10"/>
  <c r="L60" i="10"/>
  <c r="E60" i="10"/>
  <c r="N59" i="10"/>
  <c r="K57" i="10"/>
  <c r="I57" i="10"/>
  <c r="G57" i="10"/>
  <c r="K56" i="10"/>
  <c r="I56" i="10"/>
  <c r="G56" i="10"/>
  <c r="K55" i="10"/>
  <c r="I55" i="10"/>
  <c r="G55" i="10"/>
  <c r="K54" i="10"/>
  <c r="I54" i="10"/>
  <c r="G54" i="10"/>
  <c r="K53" i="10"/>
  <c r="I53" i="10"/>
  <c r="G53" i="10"/>
  <c r="L52" i="10"/>
  <c r="E52" i="10"/>
  <c r="N51" i="10"/>
  <c r="I49" i="10"/>
  <c r="G49" i="10"/>
  <c r="F49" i="10" s="1"/>
  <c r="K48" i="10"/>
  <c r="I48" i="10"/>
  <c r="G48" i="10"/>
  <c r="K47" i="10"/>
  <c r="I47" i="10"/>
  <c r="G47" i="10"/>
  <c r="K46" i="10"/>
  <c r="I46" i="10"/>
  <c r="G46" i="10"/>
  <c r="K45" i="10"/>
  <c r="I45" i="10"/>
  <c r="G45" i="10"/>
  <c r="K44" i="10"/>
  <c r="I44" i="10"/>
  <c r="G44" i="10"/>
  <c r="K43" i="10"/>
  <c r="I43" i="10"/>
  <c r="G43" i="10"/>
  <c r="L42" i="10"/>
  <c r="E42" i="10"/>
  <c r="N41" i="10"/>
  <c r="I39" i="10"/>
  <c r="G39" i="10"/>
  <c r="F39" i="10" s="1"/>
  <c r="K38" i="10"/>
  <c r="I38" i="10"/>
  <c r="G38" i="10"/>
  <c r="K37" i="10"/>
  <c r="I37" i="10"/>
  <c r="G37" i="10"/>
  <c r="K36" i="10"/>
  <c r="I36" i="10"/>
  <c r="G36" i="10"/>
  <c r="K35" i="10"/>
  <c r="I35" i="10"/>
  <c r="G35" i="10"/>
  <c r="K34" i="10"/>
  <c r="I34" i="10"/>
  <c r="G34" i="10"/>
  <c r="K33" i="10"/>
  <c r="I33" i="10"/>
  <c r="G33" i="10"/>
  <c r="L32" i="10"/>
  <c r="E32" i="10"/>
  <c r="J29" i="10"/>
  <c r="N31" i="10"/>
  <c r="I29" i="10"/>
  <c r="G29" i="10"/>
  <c r="F29" i="10" s="1"/>
  <c r="K28" i="10"/>
  <c r="I28" i="10"/>
  <c r="G28" i="10"/>
  <c r="K27" i="10"/>
  <c r="I27" i="10"/>
  <c r="G27" i="10"/>
  <c r="K26" i="10"/>
  <c r="I26" i="10"/>
  <c r="G26" i="10"/>
  <c r="K25" i="10"/>
  <c r="I25" i="10"/>
  <c r="G25" i="10"/>
  <c r="K24" i="10"/>
  <c r="I24" i="10"/>
  <c r="G24" i="10"/>
  <c r="K23" i="10"/>
  <c r="I23" i="10"/>
  <c r="G23" i="10"/>
  <c r="L22" i="10"/>
  <c r="E22" i="10"/>
  <c r="N240" i="10"/>
  <c r="N229" i="10"/>
  <c r="K239" i="10"/>
  <c r="L239" i="10" s="1"/>
  <c r="I239" i="10"/>
  <c r="G239" i="10"/>
  <c r="K238" i="10"/>
  <c r="L238" i="10" s="1"/>
  <c r="I238" i="10"/>
  <c r="G238" i="10"/>
  <c r="K237" i="10"/>
  <c r="L237" i="10" s="1"/>
  <c r="I237" i="10"/>
  <c r="G237" i="10"/>
  <c r="K236" i="10"/>
  <c r="L236" i="10" s="1"/>
  <c r="I236" i="10"/>
  <c r="G236" i="10"/>
  <c r="K235" i="10"/>
  <c r="I235" i="10"/>
  <c r="G235" i="10"/>
  <c r="K234" i="10"/>
  <c r="I234" i="10"/>
  <c r="G234" i="10"/>
  <c r="K233" i="10"/>
  <c r="L233" i="10" s="1"/>
  <c r="I233" i="10"/>
  <c r="G233" i="10"/>
  <c r="K232" i="10"/>
  <c r="L232" i="10" s="1"/>
  <c r="I232" i="10"/>
  <c r="G232" i="10"/>
  <c r="K231" i="10"/>
  <c r="L231" i="10" s="1"/>
  <c r="I231" i="10"/>
  <c r="G231" i="10"/>
  <c r="L230" i="10"/>
  <c r="E230" i="10"/>
  <c r="K228" i="10"/>
  <c r="I228" i="10"/>
  <c r="G228" i="10"/>
  <c r="K227" i="10"/>
  <c r="I227" i="10"/>
  <c r="G227" i="10"/>
  <c r="K226" i="10"/>
  <c r="I226" i="10"/>
  <c r="G226" i="10"/>
  <c r="N21" i="10"/>
  <c r="K225" i="10"/>
  <c r="I225" i="10"/>
  <c r="G225" i="10"/>
  <c r="K224" i="10"/>
  <c r="I224" i="10"/>
  <c r="G224" i="10"/>
  <c r="K223" i="10"/>
  <c r="I223" i="10"/>
  <c r="G223" i="10"/>
  <c r="K222" i="10"/>
  <c r="I222" i="10"/>
  <c r="G222" i="10"/>
  <c r="K221" i="10"/>
  <c r="L221" i="10" s="1"/>
  <c r="I221" i="10"/>
  <c r="G221" i="10"/>
  <c r="K220" i="10"/>
  <c r="L220" i="10" s="1"/>
  <c r="I220" i="10"/>
  <c r="G220" i="10"/>
  <c r="L219" i="10"/>
  <c r="E219" i="10"/>
  <c r="J19" i="10"/>
  <c r="J17" i="10"/>
  <c r="J90" i="10" s="1"/>
  <c r="J85" i="10"/>
  <c r="J18" i="10"/>
  <c r="J91" i="10" s="1"/>
  <c r="J15" i="10"/>
  <c r="I19" i="10"/>
  <c r="G19" i="10"/>
  <c r="F19" i="10" s="1"/>
  <c r="K18" i="10"/>
  <c r="I18" i="10"/>
  <c r="G18" i="10"/>
  <c r="K17" i="10"/>
  <c r="I17" i="10"/>
  <c r="G17" i="10"/>
  <c r="I19" i="8" l="1"/>
  <c r="L122" i="10"/>
  <c r="A1163" i="8"/>
  <c r="A1168" i="8"/>
  <c r="A1175" i="8" s="1"/>
  <c r="F1177" i="8"/>
  <c r="F543" i="8"/>
  <c r="E548" i="8"/>
  <c r="A40" i="8"/>
  <c r="A41" i="8" s="1"/>
  <c r="A42" i="8" s="1"/>
  <c r="A43" i="8" s="1"/>
  <c r="A44" i="8" s="1"/>
  <c r="D39" i="6"/>
  <c r="B67" i="8"/>
  <c r="E356" i="8"/>
  <c r="E358" i="8" s="1"/>
  <c r="A318" i="8"/>
  <c r="F325" i="8"/>
  <c r="L327" i="10"/>
  <c r="L331" i="10"/>
  <c r="L111" i="10"/>
  <c r="D29" i="3"/>
  <c r="F600" i="8"/>
  <c r="D27" i="3"/>
  <c r="N86" i="6" s="1"/>
  <c r="D26" i="3"/>
  <c r="N161" i="6" s="1"/>
  <c r="E452" i="8"/>
  <c r="L234" i="10"/>
  <c r="J16" i="10"/>
  <c r="J14" i="10"/>
  <c r="J20" i="10" s="1"/>
  <c r="J13" i="10"/>
  <c r="J89" i="10" s="1"/>
  <c r="L89" i="10" s="1"/>
  <c r="J224" i="10"/>
  <c r="L224" i="10" s="1"/>
  <c r="L85" i="10"/>
  <c r="L177" i="10"/>
  <c r="L185" i="10" s="1"/>
  <c r="L167" i="10"/>
  <c r="L171" i="10"/>
  <c r="L172" i="10"/>
  <c r="L166" i="10"/>
  <c r="L146" i="10"/>
  <c r="L141" i="10"/>
  <c r="L112" i="10"/>
  <c r="L132" i="10"/>
  <c r="L142" i="10"/>
  <c r="L138" i="10"/>
  <c r="L139" i="10"/>
  <c r="L131" i="10"/>
  <c r="L128" i="10"/>
  <c r="L129" i="10"/>
  <c r="L117" i="10"/>
  <c r="L121" i="10"/>
  <c r="L118" i="10"/>
  <c r="L119" i="10"/>
  <c r="L108" i="10"/>
  <c r="L109" i="10"/>
  <c r="L110" i="10"/>
  <c r="L106" i="10"/>
  <c r="L91" i="10"/>
  <c r="L90" i="10"/>
  <c r="L92" i="10"/>
  <c r="L93" i="10"/>
  <c r="L75" i="10"/>
  <c r="L18" i="10"/>
  <c r="L226" i="10"/>
  <c r="L227" i="10"/>
  <c r="L228" i="10"/>
  <c r="L225" i="10"/>
  <c r="L222" i="10"/>
  <c r="L17" i="10"/>
  <c r="J235" i="10"/>
  <c r="L235" i="10" s="1"/>
  <c r="J28" i="10"/>
  <c r="L28" i="10" s="1"/>
  <c r="I20" i="8" l="1"/>
  <c r="I26" i="8" s="1"/>
  <c r="I27" i="8" s="1"/>
  <c r="I28" i="8" s="1"/>
  <c r="I29" i="8" s="1"/>
  <c r="I34" i="8" s="1"/>
  <c r="I35" i="8" s="1"/>
  <c r="I36" i="8" s="1"/>
  <c r="I37" i="8" s="1"/>
  <c r="I42" i="8" s="1"/>
  <c r="J42" i="8" s="1"/>
  <c r="A319" i="8"/>
  <c r="A320" i="8" s="1"/>
  <c r="A321" i="8" s="1"/>
  <c r="A322" i="8" s="1"/>
  <c r="A323" i="8" s="1"/>
  <c r="A324" i="8" s="1"/>
  <c r="A325" i="8" s="1"/>
  <c r="A326" i="8" s="1"/>
  <c r="L175" i="10"/>
  <c r="O175" i="10" s="1"/>
  <c r="J19" i="8"/>
  <c r="E1181" i="8"/>
  <c r="A1161" i="8"/>
  <c r="F1178" i="8"/>
  <c r="A1167" i="8"/>
  <c r="A1171" i="8"/>
  <c r="N75" i="6"/>
  <c r="N153" i="6"/>
  <c r="F548" i="8"/>
  <c r="E549" i="8"/>
  <c r="E552" i="8" s="1"/>
  <c r="A45" i="8"/>
  <c r="A705" i="8"/>
  <c r="A706" i="8" s="1"/>
  <c r="A695" i="8" s="1"/>
  <c r="L169" i="10"/>
  <c r="O169" i="10" s="1"/>
  <c r="D40" i="6"/>
  <c r="B68" i="8"/>
  <c r="F356" i="8"/>
  <c r="L144" i="10"/>
  <c r="O144" i="10" s="1"/>
  <c r="L134" i="10"/>
  <c r="O134" i="10" s="1"/>
  <c r="L162" i="10"/>
  <c r="O162" i="10" s="1"/>
  <c r="F624" i="8"/>
  <c r="F607" i="8"/>
  <c r="J26" i="10"/>
  <c r="L26" i="10" s="1"/>
  <c r="J24" i="10"/>
  <c r="L223" i="10"/>
  <c r="L229" i="10" s="1"/>
  <c r="O229" i="10" s="1"/>
  <c r="O185" i="10"/>
  <c r="L158" i="10"/>
  <c r="L94" i="10"/>
  <c r="O94" i="10" s="1"/>
  <c r="L240" i="10"/>
  <c r="O240" i="10" s="1"/>
  <c r="J37" i="10"/>
  <c r="L37" i="10" s="1"/>
  <c r="J38" i="10"/>
  <c r="J35" i="10"/>
  <c r="L35" i="10" s="1"/>
  <c r="J48" i="10"/>
  <c r="L48" i="10" s="1"/>
  <c r="J25" i="10"/>
  <c r="L25" i="10" s="1"/>
  <c r="J33" i="10"/>
  <c r="A1176" i="8" l="1"/>
  <c r="A1177" i="8" s="1"/>
  <c r="A1178" i="8" s="1"/>
  <c r="A1182" i="8" s="1"/>
  <c r="A1164" i="8"/>
  <c r="A1172" i="8" s="1"/>
  <c r="A1169" i="8"/>
  <c r="A1165" i="8"/>
  <c r="A1173" i="8" s="1"/>
  <c r="F1181" i="8"/>
  <c r="A1162" i="8"/>
  <c r="F549" i="8"/>
  <c r="A535" i="8"/>
  <c r="A537" i="8" s="1"/>
  <c r="D28" i="3"/>
  <c r="D49" i="3"/>
  <c r="A660" i="8"/>
  <c r="A694" i="8" s="1"/>
  <c r="D25" i="3"/>
  <c r="K50" i="10" s="1"/>
  <c r="D47" i="3"/>
  <c r="D41" i="6"/>
  <c r="B69" i="8"/>
  <c r="O158" i="10"/>
  <c r="Q158" i="10"/>
  <c r="K30" i="10"/>
  <c r="K40" i="10"/>
  <c r="L24" i="10"/>
  <c r="J30" i="10"/>
  <c r="I43" i="8"/>
  <c r="J43" i="8" s="1"/>
  <c r="J37" i="8"/>
  <c r="F621" i="8"/>
  <c r="F626" i="8"/>
  <c r="J29" i="8"/>
  <c r="L116" i="10"/>
  <c r="L38" i="10"/>
  <c r="L107" i="10"/>
  <c r="L33" i="10"/>
  <c r="J36" i="10"/>
  <c r="L36" i="10" s="1"/>
  <c r="J34" i="10"/>
  <c r="D23" i="3"/>
  <c r="N353" i="6" s="1"/>
  <c r="D24" i="3"/>
  <c r="K445" i="10" s="1"/>
  <c r="L445" i="10" s="1"/>
  <c r="J47" i="10"/>
  <c r="L47" i="10" s="1"/>
  <c r="J43" i="10"/>
  <c r="L43" i="10" s="1"/>
  <c r="J45" i="10"/>
  <c r="L45" i="10" s="1"/>
  <c r="J23" i="10"/>
  <c r="L23" i="10" s="1"/>
  <c r="J27" i="10"/>
  <c r="L27" i="10" s="1"/>
  <c r="N317" i="6" l="1"/>
  <c r="K666" i="10"/>
  <c r="L666" i="10" s="1"/>
  <c r="A1179" i="8"/>
  <c r="A1204" i="8" s="1"/>
  <c r="A1180" i="8"/>
  <c r="A1166" i="8"/>
  <c r="A1174" i="8" s="1"/>
  <c r="A1170" i="8"/>
  <c r="A1181" i="8"/>
  <c r="F552" i="8"/>
  <c r="A536" i="8"/>
  <c r="A550" i="8" s="1"/>
  <c r="A551" i="8" s="1"/>
  <c r="A552" i="8" s="1"/>
  <c r="A553" i="8"/>
  <c r="A538" i="8"/>
  <c r="A539" i="8" s="1"/>
  <c r="A540" i="8" s="1"/>
  <c r="A541" i="8" s="1"/>
  <c r="A542" i="8" s="1"/>
  <c r="A543" i="8" s="1"/>
  <c r="A544" i="8" s="1"/>
  <c r="A545" i="8" s="1"/>
  <c r="A546" i="8" s="1"/>
  <c r="A547" i="8" s="1"/>
  <c r="A548" i="8" s="1"/>
  <c r="A549" i="8" s="1"/>
  <c r="L458" i="10"/>
  <c r="D42" i="6"/>
  <c r="B70" i="8"/>
  <c r="K375" i="10"/>
  <c r="L375" i="10" s="1"/>
  <c r="K381" i="10"/>
  <c r="L381" i="10" s="1"/>
  <c r="L385" i="10" s="1"/>
  <c r="O385" i="10" s="1"/>
  <c r="D43" i="3" s="1"/>
  <c r="K378" i="10"/>
  <c r="L378" i="10" s="1"/>
  <c r="K20" i="10"/>
  <c r="L20" i="10" s="1"/>
  <c r="K371" i="10"/>
  <c r="L371" i="10" s="1"/>
  <c r="L30" i="10"/>
  <c r="L124" i="10"/>
  <c r="O124" i="10" s="1"/>
  <c r="L114" i="10"/>
  <c r="O114" i="10" s="1"/>
  <c r="L34" i="10"/>
  <c r="J40" i="10"/>
  <c r="L40" i="10" s="1"/>
  <c r="I50" i="8"/>
  <c r="I51" i="8" s="1"/>
  <c r="F628" i="8"/>
  <c r="N352" i="6"/>
  <c r="J46" i="10"/>
  <c r="L46" i="10" s="1"/>
  <c r="J44" i="10"/>
  <c r="K39" i="10"/>
  <c r="L39" i="10" s="1"/>
  <c r="K49" i="10"/>
  <c r="L49" i="10" s="1"/>
  <c r="K19" i="10"/>
  <c r="L19" i="10" s="1"/>
  <c r="K29" i="10"/>
  <c r="L29" i="10" s="1"/>
  <c r="J55" i="10"/>
  <c r="L55" i="10" s="1"/>
  <c r="A1117" i="8" l="1"/>
  <c r="L670" i="10"/>
  <c r="O670" i="10" s="1"/>
  <c r="D73" i="3" s="1"/>
  <c r="N367" i="6" s="1"/>
  <c r="A557" i="8"/>
  <c r="A561" i="8"/>
  <c r="M445" i="10"/>
  <c r="O458" i="10"/>
  <c r="D50" i="3" s="1"/>
  <c r="M455" i="10"/>
  <c r="M452" i="10"/>
  <c r="M442" i="10"/>
  <c r="M451" i="10"/>
  <c r="M447" i="10"/>
  <c r="M448" i="10"/>
  <c r="M443" i="10"/>
  <c r="M444" i="10"/>
  <c r="M457" i="10"/>
  <c r="M456" i="10"/>
  <c r="M450" i="10"/>
  <c r="M453" i="10"/>
  <c r="M454" i="10"/>
  <c r="M446" i="10"/>
  <c r="M449" i="10"/>
  <c r="D43" i="6"/>
  <c r="B71" i="8"/>
  <c r="L379" i="10"/>
  <c r="O379" i="10" s="1"/>
  <c r="D42" i="3" s="1"/>
  <c r="N48" i="6" s="1"/>
  <c r="L44" i="10"/>
  <c r="J50" i="10"/>
  <c r="L50" i="10" s="1"/>
  <c r="L41" i="10"/>
  <c r="O41" i="10" s="1"/>
  <c r="L31" i="10"/>
  <c r="O31" i="10" s="1"/>
  <c r="E1259" i="8"/>
  <c r="E1260" i="8" s="1"/>
  <c r="A1251" i="8" s="1"/>
  <c r="F636" i="8"/>
  <c r="I52" i="8"/>
  <c r="J63" i="10"/>
  <c r="L63" i="10" s="1"/>
  <c r="N371" i="6" l="1"/>
  <c r="N372" i="6"/>
  <c r="N370" i="6"/>
  <c r="D44" i="6"/>
  <c r="B72" i="8"/>
  <c r="A1260" i="8"/>
  <c r="L51" i="10"/>
  <c r="O51" i="10" s="1"/>
  <c r="E1262" i="8"/>
  <c r="A1253" i="8" s="1"/>
  <c r="A1262" i="8" s="1"/>
  <c r="E1261" i="8"/>
  <c r="A1252" i="8" s="1"/>
  <c r="A1261" i="8" s="1"/>
  <c r="E1263" i="8"/>
  <c r="A1254" i="8" s="1"/>
  <c r="A1263" i="8" s="1"/>
  <c r="F650" i="8"/>
  <c r="F999" i="8"/>
  <c r="F1257" i="8"/>
  <c r="F447" i="8"/>
  <c r="I53" i="8"/>
  <c r="J52" i="8" l="1"/>
  <c r="D45" i="6"/>
  <c r="B73" i="8"/>
  <c r="A1255" i="8"/>
  <c r="A1256" i="8" s="1"/>
  <c r="A1257" i="8" s="1"/>
  <c r="A1258" i="8" s="1"/>
  <c r="A1259" i="8" s="1"/>
  <c r="F655" i="8"/>
  <c r="F653" i="8"/>
  <c r="F1262" i="8"/>
  <c r="F1263" i="8"/>
  <c r="F1261" i="8"/>
  <c r="F1260" i="8"/>
  <c r="F1259" i="8"/>
  <c r="I54" i="8"/>
  <c r="I55" i="8" s="1"/>
  <c r="J55" i="8" s="1"/>
  <c r="J57" i="10"/>
  <c r="L57" i="10" s="1"/>
  <c r="J53" i="10"/>
  <c r="L53" i="10" s="1"/>
  <c r="D46" i="6" l="1"/>
  <c r="B74" i="8"/>
  <c r="A1248" i="8"/>
  <c r="F657" i="8"/>
  <c r="F1005" i="8"/>
  <c r="I56" i="8"/>
  <c r="F358" i="8"/>
  <c r="F350" i="8"/>
  <c r="J56" i="10"/>
  <c r="L56" i="10" s="1"/>
  <c r="J54" i="10"/>
  <c r="J65" i="10"/>
  <c r="L65" i="10" s="1"/>
  <c r="J61" i="10"/>
  <c r="L61" i="10" s="1"/>
  <c r="A1249" i="8" l="1"/>
  <c r="A1250" i="8" s="1"/>
  <c r="A1264" i="8"/>
  <c r="I57" i="8"/>
  <c r="J53" i="8" s="1"/>
  <c r="D47" i="6"/>
  <c r="B76" i="8" s="1"/>
  <c r="B75" i="8"/>
  <c r="L54" i="10"/>
  <c r="J58" i="10"/>
  <c r="L58" i="10" s="1"/>
  <c r="F351" i="8"/>
  <c r="J64" i="10"/>
  <c r="L64" i="10" s="1"/>
  <c r="J62" i="10"/>
  <c r="J74" i="10"/>
  <c r="J349" i="10" s="1"/>
  <c r="L349" i="10" s="1"/>
  <c r="J73" i="10"/>
  <c r="J69" i="10"/>
  <c r="J71" i="10"/>
  <c r="I58" i="8" l="1"/>
  <c r="I59" i="8" s="1"/>
  <c r="J59" i="8" s="1"/>
  <c r="D48" i="6"/>
  <c r="L354" i="10"/>
  <c r="O354" i="10" s="1"/>
  <c r="L59" i="10"/>
  <c r="O59" i="10" s="1"/>
  <c r="L62" i="10"/>
  <c r="J66" i="10"/>
  <c r="L66" i="10" s="1"/>
  <c r="J98" i="10"/>
  <c r="L71" i="10"/>
  <c r="L330" i="10"/>
  <c r="L74" i="10"/>
  <c r="J96" i="10"/>
  <c r="L69" i="10"/>
  <c r="J72" i="10"/>
  <c r="J70" i="10"/>
  <c r="J76" i="10" s="1"/>
  <c r="J100" i="10"/>
  <c r="L329" i="10" s="1"/>
  <c r="L73" i="10"/>
  <c r="J84" i="10"/>
  <c r="L84" i="10" s="1"/>
  <c r="J83" i="10"/>
  <c r="L83" i="10" s="1"/>
  <c r="J79" i="10"/>
  <c r="L79" i="10" s="1"/>
  <c r="J81" i="10"/>
  <c r="L81" i="10" s="1"/>
  <c r="D49" i="6" l="1"/>
  <c r="D51" i="6" s="1"/>
  <c r="B80" i="8" s="1"/>
  <c r="B77" i="8"/>
  <c r="L76" i="10"/>
  <c r="L67" i="10"/>
  <c r="O67" i="10" s="1"/>
  <c r="L100" i="10"/>
  <c r="L325" i="10"/>
  <c r="L98" i="10"/>
  <c r="L323" i="10"/>
  <c r="L96" i="10"/>
  <c r="L321" i="10"/>
  <c r="L326" i="10"/>
  <c r="I60" i="8"/>
  <c r="J82" i="10"/>
  <c r="L82" i="10" s="1"/>
  <c r="J80" i="10"/>
  <c r="J99" i="10"/>
  <c r="L328" i="10" s="1"/>
  <c r="L72" i="10"/>
  <c r="J97" i="10"/>
  <c r="L70" i="10"/>
  <c r="D50" i="6" l="1"/>
  <c r="B79" i="8" s="1"/>
  <c r="B78" i="8"/>
  <c r="D52" i="6"/>
  <c r="B81" i="8" s="1"/>
  <c r="J103" i="10"/>
  <c r="L103" i="10" s="1"/>
  <c r="L373" i="10"/>
  <c r="O373" i="10" s="1"/>
  <c r="L80" i="10"/>
  <c r="J86" i="10"/>
  <c r="L77" i="10"/>
  <c r="O77" i="10" s="1"/>
  <c r="L97" i="10"/>
  <c r="L322" i="10"/>
  <c r="L99" i="10"/>
  <c r="L324" i="10"/>
  <c r="I61" i="8"/>
  <c r="F452" i="8"/>
  <c r="D53" i="6" l="1"/>
  <c r="D54" i="6" s="1"/>
  <c r="L86" i="10"/>
  <c r="L87" i="10" s="1"/>
  <c r="O87" i="10" s="1"/>
  <c r="L358" i="10"/>
  <c r="O358" i="10" s="1"/>
  <c r="L104" i="10"/>
  <c r="O104" i="10" s="1"/>
  <c r="L333" i="10"/>
  <c r="O333" i="10" s="1"/>
  <c r="I62" i="8"/>
  <c r="G13" i="10"/>
  <c r="K16" i="10"/>
  <c r="L16" i="10" s="1"/>
  <c r="I16" i="10"/>
  <c r="G16" i="10"/>
  <c r="K15" i="10"/>
  <c r="L15" i="10" s="1"/>
  <c r="I15" i="10"/>
  <c r="G15" i="10"/>
  <c r="K14" i="10"/>
  <c r="L14" i="10" s="1"/>
  <c r="I14" i="10"/>
  <c r="G14" i="10"/>
  <c r="K13" i="10"/>
  <c r="L13" i="10" s="1"/>
  <c r="I13" i="10"/>
  <c r="J677" i="10"/>
  <c r="J676" i="10"/>
  <c r="J675" i="10"/>
  <c r="C673" i="10"/>
  <c r="L8" i="10"/>
  <c r="L7" i="10"/>
  <c r="L6" i="10"/>
  <c r="L5" i="10"/>
  <c r="K5" i="10"/>
  <c r="J5" i="10"/>
  <c r="I7" i="10"/>
  <c r="I5" i="10"/>
  <c r="E7" i="10"/>
  <c r="E6" i="10"/>
  <c r="E5" i="10"/>
  <c r="L12" i="10"/>
  <c r="N207" i="6"/>
  <c r="I206" i="6"/>
  <c r="H206" i="6" s="1"/>
  <c r="D482" i="8" s="1"/>
  <c r="L379" i="6"/>
  <c r="I379" i="6"/>
  <c r="H379" i="6" s="1"/>
  <c r="D1254" i="8" s="1"/>
  <c r="L378" i="6"/>
  <c r="I378" i="6"/>
  <c r="L377" i="6"/>
  <c r="I377" i="6"/>
  <c r="L376" i="6"/>
  <c r="I376" i="6"/>
  <c r="Q375" i="6"/>
  <c r="R375" i="6" s="1"/>
  <c r="P375" i="6"/>
  <c r="I314" i="6"/>
  <c r="H314" i="6" s="1"/>
  <c r="D927" i="8" s="1"/>
  <c r="N314" i="6"/>
  <c r="L314" i="6"/>
  <c r="L316" i="6"/>
  <c r="I316" i="6"/>
  <c r="H316" i="6" s="1"/>
  <c r="D929" i="8" s="1"/>
  <c r="L315" i="6"/>
  <c r="I315" i="6"/>
  <c r="H315" i="6" s="1"/>
  <c r="D928" i="8" s="1"/>
  <c r="C386" i="6"/>
  <c r="C387" i="6" s="1"/>
  <c r="C388" i="6" s="1"/>
  <c r="C389" i="6" s="1"/>
  <c r="C390" i="6" s="1"/>
  <c r="C391" i="6" s="1"/>
  <c r="I209" i="6"/>
  <c r="I208" i="6"/>
  <c r="H208" i="6" s="1"/>
  <c r="D484" i="8" s="1"/>
  <c r="J207" i="6"/>
  <c r="I207" i="6"/>
  <c r="H207" i="6" s="1"/>
  <c r="D483" i="8" s="1"/>
  <c r="I203" i="6"/>
  <c r="H203" i="6" s="1"/>
  <c r="D468" i="8" s="1"/>
  <c r="I200" i="6"/>
  <c r="J199" i="6"/>
  <c r="I199" i="6"/>
  <c r="H199" i="6" s="1"/>
  <c r="D440" i="8" s="1"/>
  <c r="I198" i="6"/>
  <c r="H198" i="6" s="1"/>
  <c r="D439" i="8" s="1"/>
  <c r="L208" i="6"/>
  <c r="L207" i="6"/>
  <c r="L206" i="6"/>
  <c r="N203" i="6"/>
  <c r="L203" i="6"/>
  <c r="H200" i="6" l="1"/>
  <c r="D458" i="8" s="1"/>
  <c r="H376" i="6"/>
  <c r="D1251" i="8" s="1"/>
  <c r="H209" i="6"/>
  <c r="D485" i="8" s="1"/>
  <c r="H377" i="6"/>
  <c r="D1252" i="8" s="1"/>
  <c r="H378" i="6"/>
  <c r="D1253" i="8" s="1"/>
  <c r="D55" i="6"/>
  <c r="B83" i="8"/>
  <c r="B82" i="8"/>
  <c r="D38" i="3"/>
  <c r="N376" i="6" s="1"/>
  <c r="D39" i="3"/>
  <c r="N377" i="6" s="1"/>
  <c r="D40" i="3"/>
  <c r="N378" i="6" s="1"/>
  <c r="D41" i="3"/>
  <c r="D37" i="3"/>
  <c r="N50" i="6" s="1"/>
  <c r="L21" i="10"/>
  <c r="O21" i="10" s="1"/>
  <c r="D35" i="3"/>
  <c r="D36" i="3"/>
  <c r="I63" i="8"/>
  <c r="N184" i="6"/>
  <c r="L184" i="6"/>
  <c r="I184" i="6"/>
  <c r="H184" i="6" s="1"/>
  <c r="D334" i="8" s="1"/>
  <c r="N187" i="6"/>
  <c r="L187" i="6"/>
  <c r="I187" i="6"/>
  <c r="H187" i="6" s="1"/>
  <c r="D337" i="8" s="1"/>
  <c r="N182" i="6"/>
  <c r="L182" i="6"/>
  <c r="I182" i="6"/>
  <c r="H182" i="6" s="1"/>
  <c r="D332" i="8" s="1"/>
  <c r="N186" i="6"/>
  <c r="L186" i="6"/>
  <c r="I186" i="6"/>
  <c r="H186" i="6" s="1"/>
  <c r="D336" i="8" s="1"/>
  <c r="N185" i="6"/>
  <c r="L185" i="6"/>
  <c r="I185" i="6"/>
  <c r="H185" i="6" s="1"/>
  <c r="D335" i="8" s="1"/>
  <c r="N180" i="6"/>
  <c r="L180" i="6"/>
  <c r="I180" i="6"/>
  <c r="H180" i="6" s="1"/>
  <c r="D318" i="8" s="1"/>
  <c r="Q179" i="6"/>
  <c r="R179" i="6" s="1"/>
  <c r="P179" i="6"/>
  <c r="L56" i="6"/>
  <c r="I56" i="6"/>
  <c r="H56" i="6" s="1"/>
  <c r="L58" i="6"/>
  <c r="I58" i="6"/>
  <c r="H58" i="6" s="1"/>
  <c r="L57" i="6"/>
  <c r="I57" i="6"/>
  <c r="H57" i="6" s="1"/>
  <c r="N54" i="6"/>
  <c r="L54" i="6"/>
  <c r="I54" i="6"/>
  <c r="H54" i="6" s="1"/>
  <c r="D82" i="8" s="1"/>
  <c r="N53" i="6"/>
  <c r="L53" i="6"/>
  <c r="I53" i="6"/>
  <c r="H53" i="6" s="1"/>
  <c r="D81" i="8" s="1"/>
  <c r="N52" i="6"/>
  <c r="L52" i="6"/>
  <c r="I52" i="6"/>
  <c r="H52" i="6" s="1"/>
  <c r="D80" i="8" s="1"/>
  <c r="N51" i="6"/>
  <c r="L51" i="6"/>
  <c r="I51" i="6"/>
  <c r="H51" i="6" s="1"/>
  <c r="D79" i="8" s="1"/>
  <c r="L49" i="6"/>
  <c r="I49" i="6"/>
  <c r="H49" i="6" s="1"/>
  <c r="L47" i="6"/>
  <c r="I47" i="6"/>
  <c r="N46" i="6"/>
  <c r="L46" i="6"/>
  <c r="I46" i="6"/>
  <c r="H46" i="6" s="1"/>
  <c r="D75" i="8" s="1"/>
  <c r="L45" i="6"/>
  <c r="I45" i="6"/>
  <c r="L44" i="6"/>
  <c r="I44" i="6"/>
  <c r="L43" i="6"/>
  <c r="I43" i="6"/>
  <c r="L42" i="6"/>
  <c r="I42" i="6"/>
  <c r="L41" i="6"/>
  <c r="I41" i="6"/>
  <c r="L40" i="6"/>
  <c r="I40" i="6"/>
  <c r="L39" i="6"/>
  <c r="I39" i="6"/>
  <c r="L38" i="6"/>
  <c r="I38" i="6"/>
  <c r="N72" i="6"/>
  <c r="L72" i="6"/>
  <c r="I72" i="6"/>
  <c r="H39" i="6" l="1"/>
  <c r="D68" i="8" s="1"/>
  <c r="H45" i="6"/>
  <c r="D74" i="8" s="1"/>
  <c r="H38" i="6"/>
  <c r="D67" i="8" s="1"/>
  <c r="H43" i="6"/>
  <c r="D72" i="8" s="1"/>
  <c r="H40" i="6"/>
  <c r="D69" i="8" s="1"/>
  <c r="H41" i="6"/>
  <c r="D70" i="8" s="1"/>
  <c r="H47" i="6"/>
  <c r="D76" i="8" s="1"/>
  <c r="H44" i="6"/>
  <c r="D73" i="8" s="1"/>
  <c r="H42" i="6"/>
  <c r="D71" i="8" s="1"/>
  <c r="H72" i="6"/>
  <c r="D100" i="8" s="1"/>
  <c r="D56" i="6"/>
  <c r="B84" i="8"/>
  <c r="I65" i="8"/>
  <c r="I64" i="8"/>
  <c r="N357" i="6"/>
  <c r="N365" i="6"/>
  <c r="D85" i="8"/>
  <c r="D84" i="8"/>
  <c r="D86" i="8"/>
  <c r="N275" i="6"/>
  <c r="N217" i="6"/>
  <c r="D77" i="8"/>
  <c r="D1" i="3"/>
  <c r="D2" i="3"/>
  <c r="N113" i="6" s="1"/>
  <c r="D6" i="3"/>
  <c r="D10" i="3"/>
  <c r="D14" i="3"/>
  <c r="N137" i="6" s="1"/>
  <c r="D18" i="3"/>
  <c r="N320" i="6" s="1"/>
  <c r="D22" i="3"/>
  <c r="D3" i="3"/>
  <c r="N114" i="6" s="1"/>
  <c r="D7" i="3"/>
  <c r="D11" i="3"/>
  <c r="D15" i="3"/>
  <c r="D19" i="3"/>
  <c r="D5" i="3"/>
  <c r="D9" i="3"/>
  <c r="D13" i="3"/>
  <c r="N136" i="6" s="1"/>
  <c r="D17" i="3"/>
  <c r="N318" i="6" s="1"/>
  <c r="D21" i="3"/>
  <c r="N335" i="6" s="1"/>
  <c r="D4" i="3"/>
  <c r="D8" i="3"/>
  <c r="D12" i="3"/>
  <c r="N135" i="6" s="1"/>
  <c r="D16" i="3"/>
  <c r="D20" i="3"/>
  <c r="D57" i="6" l="1"/>
  <c r="B85" i="8"/>
  <c r="I66" i="8"/>
  <c r="I67" i="8" s="1"/>
  <c r="N333" i="6"/>
  <c r="N329" i="6"/>
  <c r="N223" i="6"/>
  <c r="N295" i="6"/>
  <c r="N281" i="6"/>
  <c r="N250" i="6"/>
  <c r="N69" i="6"/>
  <c r="N262" i="6"/>
  <c r="N233" i="6"/>
  <c r="N240" i="6"/>
  <c r="N57" i="6"/>
  <c r="N49" i="6"/>
  <c r="N58" i="6"/>
  <c r="N206" i="6"/>
  <c r="N43" i="6"/>
  <c r="N41" i="6"/>
  <c r="N47" i="6"/>
  <c r="N56" i="6"/>
  <c r="N39" i="6"/>
  <c r="N40" i="6"/>
  <c r="N45" i="6"/>
  <c r="N42" i="6"/>
  <c r="N44" i="6"/>
  <c r="N38" i="6"/>
  <c r="D58" i="6" l="1"/>
  <c r="B86" i="8"/>
  <c r="I68" i="8"/>
  <c r="I69" i="8" s="1"/>
  <c r="I70" i="8" s="1"/>
  <c r="I71" i="8" s="1"/>
  <c r="I72" i="8" s="1"/>
  <c r="I73" i="8" s="1"/>
  <c r="I74" i="8" s="1"/>
  <c r="I75" i="8" s="1"/>
  <c r="I76" i="8" s="1"/>
  <c r="I77" i="8" s="1"/>
  <c r="D59" i="6" l="1"/>
  <c r="B87" i="8"/>
  <c r="I78" i="8"/>
  <c r="I79" i="8"/>
  <c r="I80" i="8" l="1"/>
  <c r="I81" i="8" s="1"/>
  <c r="I82" i="8" s="1"/>
  <c r="D60" i="6"/>
  <c r="D61" i="6" s="1"/>
  <c r="B88" i="8"/>
  <c r="I83" i="8" l="1"/>
  <c r="I84" i="8"/>
  <c r="B89" i="8"/>
  <c r="D62" i="6"/>
  <c r="N71" i="6"/>
  <c r="L71" i="6"/>
  <c r="I71" i="6"/>
  <c r="H71" i="6" s="1"/>
  <c r="D99" i="8" s="1"/>
  <c r="N34" i="6"/>
  <c r="L34" i="6"/>
  <c r="I34" i="6"/>
  <c r="I32" i="6"/>
  <c r="I22" i="6"/>
  <c r="H22" i="6" s="1"/>
  <c r="D51" i="8" s="1"/>
  <c r="L22" i="6"/>
  <c r="N22" i="6"/>
  <c r="N355" i="6"/>
  <c r="L355" i="6"/>
  <c r="L352" i="6"/>
  <c r="N336" i="6"/>
  <c r="L336" i="6"/>
  <c r="N334" i="6"/>
  <c r="L334" i="6"/>
  <c r="N332" i="6"/>
  <c r="L332" i="6"/>
  <c r="N328" i="6"/>
  <c r="L328" i="6"/>
  <c r="N326" i="6"/>
  <c r="L326" i="6"/>
  <c r="N325" i="6"/>
  <c r="L325" i="6"/>
  <c r="N324" i="6"/>
  <c r="L324" i="6"/>
  <c r="N321" i="6"/>
  <c r="L321" i="6"/>
  <c r="N316" i="6"/>
  <c r="N315" i="6"/>
  <c r="N313" i="6"/>
  <c r="L313" i="6"/>
  <c r="N312" i="6"/>
  <c r="L312" i="6"/>
  <c r="N209" i="6"/>
  <c r="L209" i="6"/>
  <c r="N200" i="6"/>
  <c r="L200" i="6"/>
  <c r="N199" i="6"/>
  <c r="L199" i="6"/>
  <c r="N198" i="6"/>
  <c r="L198" i="6"/>
  <c r="N197" i="6"/>
  <c r="L197" i="6"/>
  <c r="N196" i="6"/>
  <c r="L196" i="6"/>
  <c r="N193" i="6"/>
  <c r="L193" i="6"/>
  <c r="N59" i="6"/>
  <c r="L59" i="6"/>
  <c r="N70" i="6"/>
  <c r="L70" i="6"/>
  <c r="N66" i="6"/>
  <c r="L66" i="6"/>
  <c r="N63" i="6"/>
  <c r="L63" i="6"/>
  <c r="N62" i="6"/>
  <c r="L62" i="6"/>
  <c r="N33" i="6"/>
  <c r="L33" i="6"/>
  <c r="N32" i="6"/>
  <c r="L32" i="6"/>
  <c r="N31" i="6"/>
  <c r="L31" i="6"/>
  <c r="N30" i="6"/>
  <c r="L30" i="6"/>
  <c r="N29" i="6"/>
  <c r="L29" i="6"/>
  <c r="N27" i="6"/>
  <c r="L27" i="6"/>
  <c r="N26" i="6"/>
  <c r="L26" i="6"/>
  <c r="N25" i="6"/>
  <c r="L25" i="6"/>
  <c r="N24" i="6"/>
  <c r="L24" i="6"/>
  <c r="N23" i="6"/>
  <c r="L23" i="6"/>
  <c r="N21" i="6"/>
  <c r="L21" i="6"/>
  <c r="I355" i="6"/>
  <c r="H355" i="6" s="1"/>
  <c r="D1128" i="8" s="1"/>
  <c r="I352" i="6"/>
  <c r="H352" i="6" s="1"/>
  <c r="I336" i="6"/>
  <c r="H336" i="6" s="1"/>
  <c r="I334" i="6"/>
  <c r="I332" i="6"/>
  <c r="I328" i="6"/>
  <c r="H328" i="6" s="1"/>
  <c r="I326" i="6"/>
  <c r="H326" i="6" s="1"/>
  <c r="D1013" i="8" s="1"/>
  <c r="I325" i="6"/>
  <c r="H325" i="6" s="1"/>
  <c r="D988" i="8" s="1"/>
  <c r="I324" i="6"/>
  <c r="H324" i="6" s="1"/>
  <c r="D987" i="8" s="1"/>
  <c r="I321" i="6"/>
  <c r="I313" i="6"/>
  <c r="H313" i="6" s="1"/>
  <c r="I312" i="6"/>
  <c r="H312" i="6" s="1"/>
  <c r="I197" i="6"/>
  <c r="H197" i="6" s="1"/>
  <c r="D421" i="8" s="1"/>
  <c r="I196" i="6"/>
  <c r="H196" i="6" s="1"/>
  <c r="D420" i="8" s="1"/>
  <c r="I193" i="6"/>
  <c r="H193" i="6" s="1"/>
  <c r="D390" i="8" s="1"/>
  <c r="I59" i="6"/>
  <c r="H59" i="6" s="1"/>
  <c r="I70" i="6"/>
  <c r="H70" i="6" s="1"/>
  <c r="D98" i="8" s="1"/>
  <c r="I66" i="6"/>
  <c r="H66" i="6" s="1"/>
  <c r="D94" i="8" s="1"/>
  <c r="I63" i="6"/>
  <c r="I62" i="6"/>
  <c r="H62" i="6" s="1"/>
  <c r="D90" i="8" s="1"/>
  <c r="I33" i="6"/>
  <c r="I31" i="6"/>
  <c r="I29" i="6"/>
  <c r="H29" i="6" s="1"/>
  <c r="D58" i="8" s="1"/>
  <c r="I27" i="6"/>
  <c r="H27" i="6" s="1"/>
  <c r="D56" i="8" s="1"/>
  <c r="I26" i="6"/>
  <c r="H26" i="6" s="1"/>
  <c r="D55" i="8" s="1"/>
  <c r="I25" i="6"/>
  <c r="H25" i="6" s="1"/>
  <c r="D54" i="8" s="1"/>
  <c r="I24" i="6"/>
  <c r="H24" i="6" s="1"/>
  <c r="D53" i="8" s="1"/>
  <c r="I23" i="6"/>
  <c r="H23" i="6" s="1"/>
  <c r="D52" i="8" s="1"/>
  <c r="I21" i="6"/>
  <c r="H21" i="6" s="1"/>
  <c r="D50" i="8" s="1"/>
  <c r="L15" i="6"/>
  <c r="I15" i="6"/>
  <c r="D23" i="8" s="1"/>
  <c r="I85" i="8" l="1"/>
  <c r="I86" i="8" s="1"/>
  <c r="H32" i="6"/>
  <c r="D61" i="8" s="1"/>
  <c r="H33" i="6"/>
  <c r="D62" i="8" s="1"/>
  <c r="H34" i="6"/>
  <c r="D63" i="8" s="1"/>
  <c r="H31" i="6"/>
  <c r="D60" i="8" s="1"/>
  <c r="H321" i="6"/>
  <c r="D979" i="8" s="1"/>
  <c r="H63" i="6"/>
  <c r="D91" i="8" s="1"/>
  <c r="H332" i="6"/>
  <c r="D1055" i="8" s="1"/>
  <c r="H334" i="6"/>
  <c r="D1057" i="8" s="1"/>
  <c r="B90" i="8"/>
  <c r="D63" i="6"/>
  <c r="D1059" i="8"/>
  <c r="D87" i="8"/>
  <c r="D1120" i="8"/>
  <c r="D913" i="8"/>
  <c r="D1051" i="8"/>
  <c r="D914" i="8"/>
  <c r="D7" i="4"/>
  <c r="H24" i="4"/>
  <c r="H36" i="4"/>
  <c r="D8" i="8"/>
  <c r="C8" i="8"/>
  <c r="D7" i="8"/>
  <c r="C7" i="8"/>
  <c r="H68" i="7"/>
  <c r="H67" i="7"/>
  <c r="H66" i="7"/>
  <c r="B62" i="7"/>
  <c r="Q351" i="6"/>
  <c r="R351" i="6" s="1"/>
  <c r="P351" i="6"/>
  <c r="Q323" i="6"/>
  <c r="R323" i="6" s="1"/>
  <c r="P323" i="6"/>
  <c r="L323" i="6"/>
  <c r="Q311" i="6"/>
  <c r="R311" i="6" s="1"/>
  <c r="N311" i="6"/>
  <c r="P311" i="6" s="1"/>
  <c r="L311" i="6"/>
  <c r="Q191" i="6"/>
  <c r="R191" i="6" s="1"/>
  <c r="P191" i="6"/>
  <c r="J70" i="6"/>
  <c r="J62" i="6"/>
  <c r="J30" i="6"/>
  <c r="J26" i="6"/>
  <c r="J23" i="6"/>
  <c r="Q19" i="6"/>
  <c r="R19" i="6" s="1"/>
  <c r="P19" i="6"/>
  <c r="Q14" i="6"/>
  <c r="P14" i="6"/>
  <c r="Q13" i="6"/>
  <c r="P13" i="6"/>
  <c r="L13" i="6"/>
  <c r="D7" i="5"/>
  <c r="B7" i="5"/>
  <c r="D6" i="5"/>
  <c r="B6" i="5"/>
  <c r="D5" i="5"/>
  <c r="B5" i="5"/>
  <c r="F54" i="4"/>
  <c r="F53" i="4"/>
  <c r="F52" i="4"/>
  <c r="B48" i="4"/>
  <c r="E26" i="4"/>
  <c r="E30" i="4" s="1"/>
  <c r="H30" i="4" s="1"/>
  <c r="H21" i="4"/>
  <c r="D6" i="4"/>
  <c r="B6" i="4"/>
  <c r="D5" i="4"/>
  <c r="B5" i="4"/>
  <c r="D64" i="6" l="1"/>
  <c r="B91" i="8"/>
  <c r="I87" i="8"/>
  <c r="I88" i="8" s="1"/>
  <c r="H22" i="4"/>
  <c r="E37" i="4"/>
  <c r="H37" i="4" s="1"/>
  <c r="H23" i="4"/>
  <c r="E38" i="4"/>
  <c r="H38" i="4" s="1"/>
  <c r="H25" i="4"/>
  <c r="H40" i="4"/>
  <c r="B92" i="8" l="1"/>
  <c r="D65" i="6"/>
  <c r="I89" i="8"/>
  <c r="E31" i="4"/>
  <c r="N7" i="6" s="1"/>
  <c r="E46" i="4"/>
  <c r="N9" i="6" s="1"/>
  <c r="O293" i="6" l="1"/>
  <c r="P293" i="6" s="1"/>
  <c r="O252" i="6"/>
  <c r="P252" i="6" s="1"/>
  <c r="O225" i="6"/>
  <c r="P225" i="6" s="1"/>
  <c r="O71" i="6"/>
  <c r="P71" i="6" s="1"/>
  <c r="O264" i="6"/>
  <c r="P264" i="6" s="1"/>
  <c r="O284" i="6"/>
  <c r="P284" i="6" s="1"/>
  <c r="O249" i="6"/>
  <c r="P249" i="6" s="1"/>
  <c r="O222" i="6"/>
  <c r="P222" i="6" s="1"/>
  <c r="O68" i="6"/>
  <c r="P68" i="6" s="1"/>
  <c r="O283" i="6"/>
  <c r="P283" i="6" s="1"/>
  <c r="O248" i="6"/>
  <c r="P248" i="6" s="1"/>
  <c r="O221" i="6"/>
  <c r="P221" i="6" s="1"/>
  <c r="O67" i="6"/>
  <c r="P67" i="6" s="1"/>
  <c r="O280" i="6"/>
  <c r="P280" i="6" s="1"/>
  <c r="O243" i="6"/>
  <c r="P243" i="6" s="1"/>
  <c r="O219" i="6"/>
  <c r="P219" i="6" s="1"/>
  <c r="O65" i="6"/>
  <c r="P65" i="6" s="1"/>
  <c r="O205" i="6"/>
  <c r="P205" i="6" s="1"/>
  <c r="O303" i="6"/>
  <c r="P303" i="6" s="1"/>
  <c r="O204" i="6"/>
  <c r="P204" i="6" s="1"/>
  <c r="O279" i="6"/>
  <c r="P279" i="6" s="1"/>
  <c r="O242" i="6"/>
  <c r="P242" i="6" s="1"/>
  <c r="O218" i="6"/>
  <c r="P218" i="6" s="1"/>
  <c r="O64" i="6"/>
  <c r="P64" i="6" s="1"/>
  <c r="O308" i="6"/>
  <c r="P308" i="6" s="1"/>
  <c r="O277" i="6"/>
  <c r="P277" i="6" s="1"/>
  <c r="O239" i="6"/>
  <c r="P239" i="6" s="1"/>
  <c r="O209" i="6"/>
  <c r="P209" i="6" s="1"/>
  <c r="O307" i="6"/>
  <c r="P307" i="6" s="1"/>
  <c r="O276" i="6"/>
  <c r="P276" i="6" s="1"/>
  <c r="O238" i="6"/>
  <c r="P238" i="6" s="1"/>
  <c r="O208" i="6"/>
  <c r="P208" i="6" s="1"/>
  <c r="O304" i="6"/>
  <c r="P304" i="6" s="1"/>
  <c r="O265" i="6"/>
  <c r="P265" i="6" s="1"/>
  <c r="O232" i="6"/>
  <c r="P232" i="6" s="1"/>
  <c r="O231" i="6"/>
  <c r="P231" i="6" s="1"/>
  <c r="O298" i="6"/>
  <c r="P298" i="6" s="1"/>
  <c r="O261" i="6"/>
  <c r="P261" i="6" s="1"/>
  <c r="O236" i="6"/>
  <c r="P236" i="6" s="1"/>
  <c r="O202" i="6"/>
  <c r="P202" i="6" s="1"/>
  <c r="O294" i="6"/>
  <c r="P294" i="6" s="1"/>
  <c r="O253" i="6"/>
  <c r="P253" i="6" s="1"/>
  <c r="O226" i="6"/>
  <c r="P226" i="6" s="1"/>
  <c r="O72" i="6"/>
  <c r="P72" i="6" s="1"/>
  <c r="O297" i="6"/>
  <c r="P297" i="6" s="1"/>
  <c r="O260" i="6"/>
  <c r="P260" i="6" s="1"/>
  <c r="O235" i="6"/>
  <c r="P235" i="6" s="1"/>
  <c r="O201" i="6"/>
  <c r="P201" i="6" s="1"/>
  <c r="O372" i="6"/>
  <c r="P372" i="6" s="1"/>
  <c r="O358" i="6"/>
  <c r="P358" i="6" s="1"/>
  <c r="O344" i="6"/>
  <c r="P344" i="6" s="1"/>
  <c r="O332" i="6"/>
  <c r="P332" i="6" s="1"/>
  <c r="O318" i="6"/>
  <c r="P318" i="6" s="1"/>
  <c r="O295" i="6"/>
  <c r="P295" i="6" s="1"/>
  <c r="O271" i="6"/>
  <c r="P271" i="6" s="1"/>
  <c r="O247" i="6"/>
  <c r="P247" i="6" s="1"/>
  <c r="O217" i="6"/>
  <c r="P217" i="6" s="1"/>
  <c r="O197" i="6"/>
  <c r="P197" i="6" s="1"/>
  <c r="O182" i="6"/>
  <c r="P182" i="6" s="1"/>
  <c r="O167" i="6"/>
  <c r="P167" i="6" s="1"/>
  <c r="O155" i="6"/>
  <c r="P155" i="6" s="1"/>
  <c r="O143" i="6"/>
  <c r="P143" i="6" s="1"/>
  <c r="O131" i="6"/>
  <c r="P131" i="6" s="1"/>
  <c r="O119" i="6"/>
  <c r="P119" i="6" s="1"/>
  <c r="O107" i="6"/>
  <c r="P107" i="6" s="1"/>
  <c r="O95" i="6"/>
  <c r="P95" i="6" s="1"/>
  <c r="O83" i="6"/>
  <c r="P83" i="6" s="1"/>
  <c r="O63" i="6"/>
  <c r="P63" i="6" s="1"/>
  <c r="O51" i="6"/>
  <c r="P51" i="6" s="1"/>
  <c r="O39" i="6"/>
  <c r="P39" i="6" s="1"/>
  <c r="O27" i="6"/>
  <c r="P27" i="6" s="1"/>
  <c r="O371" i="6"/>
  <c r="P371" i="6" s="1"/>
  <c r="O357" i="6"/>
  <c r="P357" i="6" s="1"/>
  <c r="O343" i="6"/>
  <c r="P343" i="6" s="1"/>
  <c r="O331" i="6"/>
  <c r="P331" i="6" s="1"/>
  <c r="O317" i="6"/>
  <c r="P317" i="6" s="1"/>
  <c r="O292" i="6"/>
  <c r="P292" i="6" s="1"/>
  <c r="O270" i="6"/>
  <c r="P270" i="6" s="1"/>
  <c r="O246" i="6"/>
  <c r="P246" i="6" s="1"/>
  <c r="O216" i="6"/>
  <c r="P216" i="6" s="1"/>
  <c r="O196" i="6"/>
  <c r="P196" i="6" s="1"/>
  <c r="O181" i="6"/>
  <c r="P181" i="6" s="1"/>
  <c r="O166" i="6"/>
  <c r="P166" i="6" s="1"/>
  <c r="O154" i="6"/>
  <c r="P154" i="6" s="1"/>
  <c r="O142" i="6"/>
  <c r="P142" i="6" s="1"/>
  <c r="O130" i="6"/>
  <c r="P130" i="6" s="1"/>
  <c r="O118" i="6"/>
  <c r="P118" i="6" s="1"/>
  <c r="O106" i="6"/>
  <c r="P106" i="6" s="1"/>
  <c r="O94" i="6"/>
  <c r="P94" i="6" s="1"/>
  <c r="O82" i="6"/>
  <c r="P82" i="6" s="1"/>
  <c r="O62" i="6"/>
  <c r="P62" i="6" s="1"/>
  <c r="O50" i="6"/>
  <c r="P50" i="6" s="1"/>
  <c r="O38" i="6"/>
  <c r="P38" i="6" s="1"/>
  <c r="O26" i="6"/>
  <c r="P26" i="6" s="1"/>
  <c r="O378" i="6"/>
  <c r="P378" i="6" s="1"/>
  <c r="O123" i="6"/>
  <c r="O370" i="6"/>
  <c r="P370" i="6" s="1"/>
  <c r="O356" i="6"/>
  <c r="P356" i="6" s="1"/>
  <c r="O342" i="6"/>
  <c r="P342" i="6" s="1"/>
  <c r="O330" i="6"/>
  <c r="P330" i="6" s="1"/>
  <c r="O316" i="6"/>
  <c r="P316" i="6" s="1"/>
  <c r="O291" i="6"/>
  <c r="P291" i="6" s="1"/>
  <c r="O269" i="6"/>
  <c r="P269" i="6" s="1"/>
  <c r="O241" i="6"/>
  <c r="P241" i="6" s="1"/>
  <c r="O215" i="6"/>
  <c r="P215" i="6" s="1"/>
  <c r="O195" i="6"/>
  <c r="P195" i="6" s="1"/>
  <c r="O180" i="6"/>
  <c r="P180" i="6" s="1"/>
  <c r="O165" i="6"/>
  <c r="P165" i="6" s="1"/>
  <c r="O153" i="6"/>
  <c r="P153" i="6" s="1"/>
  <c r="O141" i="6"/>
  <c r="P141" i="6" s="1"/>
  <c r="O129" i="6"/>
  <c r="P129" i="6" s="1"/>
  <c r="O117" i="6"/>
  <c r="P117" i="6" s="1"/>
  <c r="O105" i="6"/>
  <c r="P105" i="6" s="1"/>
  <c r="O93" i="6"/>
  <c r="P93" i="6" s="1"/>
  <c r="O79" i="6"/>
  <c r="P79" i="6" s="1"/>
  <c r="O61" i="6"/>
  <c r="P61" i="6" s="1"/>
  <c r="O49" i="6"/>
  <c r="P49" i="6" s="1"/>
  <c r="O37" i="6"/>
  <c r="P37" i="6" s="1"/>
  <c r="O25" i="6"/>
  <c r="P25" i="6" s="1"/>
  <c r="O175" i="6"/>
  <c r="P175" i="6" s="1"/>
  <c r="O163" i="6"/>
  <c r="P163" i="6" s="1"/>
  <c r="O139" i="6"/>
  <c r="P139" i="6" s="1"/>
  <c r="O127" i="6"/>
  <c r="P127" i="6" s="1"/>
  <c r="O103" i="6"/>
  <c r="P103" i="6" s="1"/>
  <c r="O91" i="6"/>
  <c r="P91" i="6" s="1"/>
  <c r="O59" i="6"/>
  <c r="P59" i="6" s="1"/>
  <c r="O35" i="6"/>
  <c r="P35" i="6" s="1"/>
  <c r="O337" i="6"/>
  <c r="P337" i="6" s="1"/>
  <c r="O258" i="6"/>
  <c r="P258" i="6" s="1"/>
  <c r="O187" i="6"/>
  <c r="P187" i="6" s="1"/>
  <c r="O136" i="6"/>
  <c r="P136" i="6" s="1"/>
  <c r="O74" i="6"/>
  <c r="P74" i="6" s="1"/>
  <c r="O17" i="6"/>
  <c r="P17" i="6" s="1"/>
  <c r="O362" i="6"/>
  <c r="P362" i="6" s="1"/>
  <c r="O257" i="6"/>
  <c r="P257" i="6" s="1"/>
  <c r="O147" i="6"/>
  <c r="P147" i="6" s="1"/>
  <c r="O99" i="6"/>
  <c r="P99" i="6" s="1"/>
  <c r="O43" i="6"/>
  <c r="P43" i="6" s="1"/>
  <c r="O367" i="6"/>
  <c r="P367" i="6" s="1"/>
  <c r="O355" i="6"/>
  <c r="P355" i="6" s="1"/>
  <c r="O341" i="6"/>
  <c r="P341" i="6" s="1"/>
  <c r="O329" i="6"/>
  <c r="P329" i="6" s="1"/>
  <c r="O315" i="6"/>
  <c r="P315" i="6" s="1"/>
  <c r="O288" i="6"/>
  <c r="P288" i="6" s="1"/>
  <c r="O268" i="6"/>
  <c r="P268" i="6" s="1"/>
  <c r="O240" i="6"/>
  <c r="P240" i="6" s="1"/>
  <c r="O214" i="6"/>
  <c r="P214" i="6" s="1"/>
  <c r="O194" i="6"/>
  <c r="P194" i="6" s="1"/>
  <c r="O176" i="6"/>
  <c r="P176" i="6" s="1"/>
  <c r="O164" i="6"/>
  <c r="P164" i="6" s="1"/>
  <c r="O152" i="6"/>
  <c r="P152" i="6" s="1"/>
  <c r="O140" i="6"/>
  <c r="P140" i="6" s="1"/>
  <c r="O128" i="6"/>
  <c r="P128" i="6" s="1"/>
  <c r="O116" i="6"/>
  <c r="P116" i="6" s="1"/>
  <c r="O104" i="6"/>
  <c r="P104" i="6" s="1"/>
  <c r="O92" i="6"/>
  <c r="P92" i="6" s="1"/>
  <c r="O78" i="6"/>
  <c r="P78" i="6" s="1"/>
  <c r="O60" i="6"/>
  <c r="P60" i="6" s="1"/>
  <c r="O48" i="6"/>
  <c r="P48" i="6" s="1"/>
  <c r="O36" i="6"/>
  <c r="P36" i="6" s="1"/>
  <c r="O24" i="6"/>
  <c r="P24" i="6" s="1"/>
  <c r="O193" i="6"/>
  <c r="P193" i="6" s="1"/>
  <c r="O151" i="6"/>
  <c r="P151" i="6" s="1"/>
  <c r="O115" i="6"/>
  <c r="P115" i="6" s="1"/>
  <c r="O77" i="6"/>
  <c r="P77" i="6" s="1"/>
  <c r="O47" i="6"/>
  <c r="P47" i="6" s="1"/>
  <c r="O23" i="6"/>
  <c r="P23" i="6" s="1"/>
  <c r="O172" i="6"/>
  <c r="P172" i="6" s="1"/>
  <c r="O88" i="6"/>
  <c r="P88" i="6" s="1"/>
  <c r="O32" i="6"/>
  <c r="P32" i="6" s="1"/>
  <c r="O324" i="6"/>
  <c r="P324" i="6" s="1"/>
  <c r="O275" i="6"/>
  <c r="P275" i="6" s="1"/>
  <c r="O229" i="6"/>
  <c r="P229" i="6" s="1"/>
  <c r="O159" i="6"/>
  <c r="P159" i="6" s="1"/>
  <c r="O73" i="6"/>
  <c r="P73" i="6" s="1"/>
  <c r="O366" i="6"/>
  <c r="P366" i="6" s="1"/>
  <c r="O354" i="6"/>
  <c r="P354" i="6" s="1"/>
  <c r="O340" i="6"/>
  <c r="P340" i="6" s="1"/>
  <c r="O328" i="6"/>
  <c r="P328" i="6" s="1"/>
  <c r="O314" i="6"/>
  <c r="P314" i="6" s="1"/>
  <c r="O287" i="6"/>
  <c r="P287" i="6" s="1"/>
  <c r="O263" i="6"/>
  <c r="P263" i="6" s="1"/>
  <c r="O237" i="6"/>
  <c r="P237" i="6" s="1"/>
  <c r="O213" i="6"/>
  <c r="P213" i="6" s="1"/>
  <c r="O383" i="6"/>
  <c r="P383" i="6" s="1"/>
  <c r="O365" i="6"/>
  <c r="P365" i="6" s="1"/>
  <c r="O353" i="6"/>
  <c r="P353" i="6" s="1"/>
  <c r="O339" i="6"/>
  <c r="P339" i="6" s="1"/>
  <c r="O327" i="6"/>
  <c r="P327" i="6" s="1"/>
  <c r="O313" i="6"/>
  <c r="P313" i="6" s="1"/>
  <c r="O282" i="6"/>
  <c r="P282" i="6" s="1"/>
  <c r="O262" i="6"/>
  <c r="P262" i="6" s="1"/>
  <c r="O234" i="6"/>
  <c r="P234" i="6" s="1"/>
  <c r="O212" i="6"/>
  <c r="P212" i="6" s="1"/>
  <c r="O189" i="6"/>
  <c r="P189" i="6" s="1"/>
  <c r="O174" i="6"/>
  <c r="P174" i="6" s="1"/>
  <c r="O162" i="6"/>
  <c r="P162" i="6" s="1"/>
  <c r="O150" i="6"/>
  <c r="P150" i="6" s="1"/>
  <c r="O138" i="6"/>
  <c r="P138" i="6" s="1"/>
  <c r="O126" i="6"/>
  <c r="P126" i="6" s="1"/>
  <c r="O114" i="6"/>
  <c r="P114" i="6" s="1"/>
  <c r="O102" i="6"/>
  <c r="P102" i="6" s="1"/>
  <c r="O90" i="6"/>
  <c r="P90" i="6" s="1"/>
  <c r="O76" i="6"/>
  <c r="P76" i="6" s="1"/>
  <c r="O58" i="6"/>
  <c r="P58" i="6" s="1"/>
  <c r="O46" i="6"/>
  <c r="P46" i="6" s="1"/>
  <c r="O34" i="6"/>
  <c r="P34" i="6" s="1"/>
  <c r="O22" i="6"/>
  <c r="P22" i="6" s="1"/>
  <c r="O349" i="6"/>
  <c r="P349" i="6" s="1"/>
  <c r="O206" i="6"/>
  <c r="P206" i="6" s="1"/>
  <c r="O124" i="6"/>
  <c r="P124" i="6" s="1"/>
  <c r="O44" i="6"/>
  <c r="P44" i="6" s="1"/>
  <c r="O203" i="6"/>
  <c r="P203" i="6" s="1"/>
  <c r="O16" i="6"/>
  <c r="P16" i="6" s="1"/>
  <c r="O382" i="6"/>
  <c r="P382" i="6" s="1"/>
  <c r="O364" i="6"/>
  <c r="P364" i="6" s="1"/>
  <c r="O352" i="6"/>
  <c r="P352" i="6" s="1"/>
  <c r="O338" i="6"/>
  <c r="P338" i="6" s="1"/>
  <c r="O326" i="6"/>
  <c r="P326" i="6" s="1"/>
  <c r="O312" i="6"/>
  <c r="P312" i="6" s="1"/>
  <c r="O281" i="6"/>
  <c r="P281" i="6" s="1"/>
  <c r="O259" i="6"/>
  <c r="P259" i="6" s="1"/>
  <c r="O233" i="6"/>
  <c r="P233" i="6" s="1"/>
  <c r="O207" i="6"/>
  <c r="P207" i="6" s="1"/>
  <c r="O188" i="6"/>
  <c r="P188" i="6" s="1"/>
  <c r="O173" i="6"/>
  <c r="P173" i="6" s="1"/>
  <c r="O161" i="6"/>
  <c r="P161" i="6" s="1"/>
  <c r="O149" i="6"/>
  <c r="P149" i="6" s="1"/>
  <c r="O137" i="6"/>
  <c r="P137" i="6" s="1"/>
  <c r="O125" i="6"/>
  <c r="P125" i="6" s="1"/>
  <c r="O113" i="6"/>
  <c r="P113" i="6" s="1"/>
  <c r="O101" i="6"/>
  <c r="P101" i="6" s="1"/>
  <c r="O89" i="6"/>
  <c r="P89" i="6" s="1"/>
  <c r="O75" i="6"/>
  <c r="P75" i="6" s="1"/>
  <c r="O57" i="6"/>
  <c r="P57" i="6" s="1"/>
  <c r="O45" i="6"/>
  <c r="P45" i="6" s="1"/>
  <c r="O33" i="6"/>
  <c r="P33" i="6" s="1"/>
  <c r="O21" i="6"/>
  <c r="P21" i="6" s="1"/>
  <c r="O379" i="6"/>
  <c r="O363" i="6"/>
  <c r="P363" i="6" s="1"/>
  <c r="O325" i="6"/>
  <c r="P325" i="6" s="1"/>
  <c r="O306" i="6"/>
  <c r="P306" i="6" s="1"/>
  <c r="O278" i="6"/>
  <c r="P278" i="6" s="1"/>
  <c r="O230" i="6"/>
  <c r="P230" i="6" s="1"/>
  <c r="O160" i="6"/>
  <c r="P160" i="6" s="1"/>
  <c r="O148" i="6"/>
  <c r="P148" i="6" s="1"/>
  <c r="O112" i="6"/>
  <c r="P112" i="6" s="1"/>
  <c r="O100" i="6"/>
  <c r="P100" i="6" s="1"/>
  <c r="O56" i="6"/>
  <c r="P56" i="6" s="1"/>
  <c r="O336" i="6"/>
  <c r="P336" i="6" s="1"/>
  <c r="O305" i="6"/>
  <c r="P305" i="6" s="1"/>
  <c r="O186" i="6"/>
  <c r="P186" i="6" s="1"/>
  <c r="O135" i="6"/>
  <c r="P135" i="6" s="1"/>
  <c r="O87" i="6"/>
  <c r="P87" i="6" s="1"/>
  <c r="O55" i="6"/>
  <c r="P55" i="6" s="1"/>
  <c r="O377" i="6"/>
  <c r="P377" i="6" s="1"/>
  <c r="O361" i="6"/>
  <c r="P361" i="6" s="1"/>
  <c r="O347" i="6"/>
  <c r="P347" i="6" s="1"/>
  <c r="O335" i="6"/>
  <c r="P335" i="6" s="1"/>
  <c r="O321" i="6"/>
  <c r="P321" i="6" s="1"/>
  <c r="O302" i="6"/>
  <c r="P302" i="6" s="1"/>
  <c r="O274" i="6"/>
  <c r="P274" i="6" s="1"/>
  <c r="O256" i="6"/>
  <c r="P256" i="6" s="1"/>
  <c r="O224" i="6"/>
  <c r="P224" i="6" s="1"/>
  <c r="O200" i="6"/>
  <c r="P200" i="6" s="1"/>
  <c r="O185" i="6"/>
  <c r="P185" i="6" s="1"/>
  <c r="O170" i="6"/>
  <c r="P170" i="6" s="1"/>
  <c r="O158" i="6"/>
  <c r="P158" i="6" s="1"/>
  <c r="O146" i="6"/>
  <c r="P146" i="6" s="1"/>
  <c r="O134" i="6"/>
  <c r="P134" i="6" s="1"/>
  <c r="O122" i="6"/>
  <c r="P122" i="6" s="1"/>
  <c r="O110" i="6"/>
  <c r="P110" i="6" s="1"/>
  <c r="O98" i="6"/>
  <c r="P98" i="6" s="1"/>
  <c r="O86" i="6"/>
  <c r="P86" i="6" s="1"/>
  <c r="O70" i="6"/>
  <c r="P70" i="6" s="1"/>
  <c r="O54" i="6"/>
  <c r="P54" i="6" s="1"/>
  <c r="O42" i="6"/>
  <c r="P42" i="6" s="1"/>
  <c r="O30" i="6"/>
  <c r="P30" i="6" s="1"/>
  <c r="O15" i="6"/>
  <c r="P15" i="6" s="1"/>
  <c r="O373" i="6"/>
  <c r="P373" i="6" s="1"/>
  <c r="O359" i="6"/>
  <c r="P359" i="6" s="1"/>
  <c r="O345" i="6"/>
  <c r="P345" i="6" s="1"/>
  <c r="O333" i="6"/>
  <c r="P333" i="6" s="1"/>
  <c r="O319" i="6"/>
  <c r="P319" i="6" s="1"/>
  <c r="O296" i="6"/>
  <c r="P296" i="6" s="1"/>
  <c r="O272" i="6"/>
  <c r="P272" i="6" s="1"/>
  <c r="O250" i="6"/>
  <c r="P250" i="6" s="1"/>
  <c r="O220" i="6"/>
  <c r="P220" i="6" s="1"/>
  <c r="O198" i="6"/>
  <c r="P198" i="6" s="1"/>
  <c r="O183" i="6"/>
  <c r="P183" i="6" s="1"/>
  <c r="O168" i="6"/>
  <c r="P168" i="6" s="1"/>
  <c r="O156" i="6"/>
  <c r="P156" i="6" s="1"/>
  <c r="O144" i="6"/>
  <c r="P144" i="6" s="1"/>
  <c r="O132" i="6"/>
  <c r="P132" i="6" s="1"/>
  <c r="O120" i="6"/>
  <c r="P120" i="6" s="1"/>
  <c r="O108" i="6"/>
  <c r="P108" i="6" s="1"/>
  <c r="O96" i="6"/>
  <c r="O84" i="6"/>
  <c r="P84" i="6" s="1"/>
  <c r="O66" i="6"/>
  <c r="P66" i="6" s="1"/>
  <c r="O52" i="6"/>
  <c r="P52" i="6" s="1"/>
  <c r="O40" i="6"/>
  <c r="P40" i="6" s="1"/>
  <c r="O28" i="6"/>
  <c r="P28" i="6" s="1"/>
  <c r="O376" i="6"/>
  <c r="P376" i="6" s="1"/>
  <c r="O360" i="6"/>
  <c r="P360" i="6" s="1"/>
  <c r="O346" i="6"/>
  <c r="P346" i="6" s="1"/>
  <c r="O334" i="6"/>
  <c r="P334" i="6" s="1"/>
  <c r="O320" i="6"/>
  <c r="P320" i="6" s="1"/>
  <c r="O301" i="6"/>
  <c r="P301" i="6" s="1"/>
  <c r="O273" i="6"/>
  <c r="P273" i="6" s="1"/>
  <c r="O251" i="6"/>
  <c r="P251" i="6" s="1"/>
  <c r="O223" i="6"/>
  <c r="P223" i="6" s="1"/>
  <c r="O199" i="6"/>
  <c r="P199" i="6" s="1"/>
  <c r="O184" i="6"/>
  <c r="P184" i="6" s="1"/>
  <c r="O169" i="6"/>
  <c r="P169" i="6" s="1"/>
  <c r="O157" i="6"/>
  <c r="P157" i="6" s="1"/>
  <c r="O145" i="6"/>
  <c r="P145" i="6" s="1"/>
  <c r="O133" i="6"/>
  <c r="P133" i="6" s="1"/>
  <c r="O121" i="6"/>
  <c r="P121" i="6" s="1"/>
  <c r="O109" i="6"/>
  <c r="P109" i="6" s="1"/>
  <c r="O97" i="6"/>
  <c r="P97" i="6" s="1"/>
  <c r="O85" i="6"/>
  <c r="P85" i="6" s="1"/>
  <c r="O69" i="6"/>
  <c r="P69" i="6" s="1"/>
  <c r="O53" i="6"/>
  <c r="P53" i="6" s="1"/>
  <c r="O41" i="6"/>
  <c r="P41" i="6" s="1"/>
  <c r="O29" i="6"/>
  <c r="P29" i="6" s="1"/>
  <c r="O348" i="6"/>
  <c r="P348" i="6" s="1"/>
  <c r="O171" i="6"/>
  <c r="P171" i="6" s="1"/>
  <c r="O111" i="6"/>
  <c r="P111" i="6" s="1"/>
  <c r="O31" i="6"/>
  <c r="P31" i="6" s="1"/>
  <c r="D66" i="6"/>
  <c r="B93" i="8"/>
  <c r="I90" i="8"/>
  <c r="H46" i="4"/>
  <c r="I7" i="48"/>
  <c r="K7" i="7"/>
  <c r="J7" i="10"/>
  <c r="D67" i="6" l="1"/>
  <c r="B94" i="8"/>
  <c r="J90" i="8"/>
  <c r="I91" i="8"/>
  <c r="D68" i="6" l="1"/>
  <c r="B95" i="8"/>
  <c r="I92" i="8"/>
  <c r="I93" i="8" s="1"/>
  <c r="J93" i="8" s="1"/>
  <c r="I94" i="8"/>
  <c r="D69" i="6" l="1"/>
  <c r="B96" i="8"/>
  <c r="J92" i="8"/>
  <c r="I97" i="8"/>
  <c r="I95" i="8"/>
  <c r="J95" i="8" s="1"/>
  <c r="I96" i="8" l="1"/>
  <c r="J96" i="8" s="1"/>
  <c r="D70" i="6"/>
  <c r="B97" i="8"/>
  <c r="I98" i="8" l="1"/>
  <c r="J98" i="8" s="1"/>
  <c r="D71" i="6"/>
  <c r="B98" i="8"/>
  <c r="A104" i="8"/>
  <c r="E112" i="8"/>
  <c r="F108" i="8"/>
  <c r="I99" i="8" l="1"/>
  <c r="I100" i="8" s="1"/>
  <c r="J100" i="8" s="1"/>
  <c r="B99" i="8"/>
  <c r="D72" i="6"/>
  <c r="E114" i="8"/>
  <c r="F112" i="8"/>
  <c r="I108" i="8" l="1"/>
  <c r="I109" i="8" s="1"/>
  <c r="I110" i="8" s="1"/>
  <c r="I111" i="8" s="1"/>
  <c r="J111" i="8" s="1"/>
  <c r="D75" i="6"/>
  <c r="D73" i="6" s="1"/>
  <c r="B100" i="8"/>
  <c r="A102" i="8"/>
  <c r="A117" i="8" s="1"/>
  <c r="A118" i="8" s="1"/>
  <c r="A119" i="8" s="1"/>
  <c r="F114" i="8"/>
  <c r="E116" i="8"/>
  <c r="F119" i="8" s="1"/>
  <c r="I112" i="8" l="1"/>
  <c r="J112" i="8" s="1"/>
  <c r="A103" i="8"/>
  <c r="A115" i="8" s="1"/>
  <c r="A116" i="8" s="1"/>
  <c r="F116" i="8"/>
  <c r="A108" i="8"/>
  <c r="A109" i="8" s="1"/>
  <c r="A110" i="8" s="1"/>
  <c r="A111" i="8" s="1"/>
  <c r="A112" i="8" s="1"/>
  <c r="A113" i="8"/>
  <c r="A114" i="8" s="1"/>
  <c r="I113" i="8" l="1"/>
  <c r="I114" i="8" s="1"/>
  <c r="J114" i="8" s="1"/>
  <c r="A106" i="8"/>
  <c r="A120" i="8" s="1"/>
  <c r="I115" i="8" l="1"/>
  <c r="J115" i="8" s="1"/>
  <c r="A107" i="8"/>
  <c r="I116" i="8" l="1"/>
  <c r="J116" i="8" s="1"/>
  <c r="I117" i="8" l="1"/>
  <c r="I118" i="8" s="1"/>
  <c r="J118" i="8" s="1"/>
  <c r="A54" i="8"/>
  <c r="E55" i="8"/>
  <c r="F54" i="8"/>
  <c r="A55" i="8" l="1"/>
  <c r="I119" i="8"/>
  <c r="F882" i="8"/>
  <c r="E899" i="8"/>
  <c r="E902" i="8" s="1"/>
  <c r="E884" i="8"/>
  <c r="E886" i="8" s="1"/>
  <c r="Q25" i="6"/>
  <c r="R25" i="6" s="1"/>
  <c r="F57" i="8"/>
  <c r="Q28" i="6" s="1"/>
  <c r="R28" i="6" s="1"/>
  <c r="A57" i="8"/>
  <c r="F55" i="8"/>
  <c r="AP8" i="53" l="1"/>
  <c r="CD8" i="53"/>
  <c r="J119" i="8"/>
  <c r="I125" i="8"/>
  <c r="I126" i="8" s="1"/>
  <c r="I131" i="8" s="1"/>
  <c r="A877" i="8"/>
  <c r="E887" i="8"/>
  <c r="F887" i="8" s="1"/>
  <c r="F886" i="8"/>
  <c r="A876" i="8"/>
  <c r="F884" i="8"/>
  <c r="E874" i="8"/>
  <c r="E904" i="8"/>
  <c r="E906" i="8"/>
  <c r="E907" i="8" s="1"/>
  <c r="F907" i="8" s="1"/>
  <c r="F902" i="8"/>
  <c r="A889" i="8"/>
  <c r="A893" i="8" s="1"/>
  <c r="Q26" i="6"/>
  <c r="R26" i="6" s="1"/>
  <c r="A33" i="10"/>
  <c r="A34" i="10" s="1"/>
  <c r="A35" i="10" s="1"/>
  <c r="A36" i="10" s="1"/>
  <c r="A37" i="10" s="1"/>
  <c r="A38" i="10" s="1"/>
  <c r="A39" i="10" s="1"/>
  <c r="A40" i="10" s="1"/>
  <c r="A41" i="10" s="1"/>
  <c r="F66" i="8"/>
  <c r="A66" i="8"/>
  <c r="F65" i="8"/>
  <c r="A65" i="8"/>
  <c r="BK12" i="53" l="1"/>
  <c r="BK16" i="53" s="1"/>
  <c r="AV12" i="53"/>
  <c r="AU12" i="53"/>
  <c r="BM12" i="53"/>
  <c r="BQ12" i="53"/>
  <c r="BQ16" i="53" s="1"/>
  <c r="BE12" i="53"/>
  <c r="BE16" i="53" s="1"/>
  <c r="DO12" i="53"/>
  <c r="A894" i="8"/>
  <c r="A895" i="8" s="1"/>
  <c r="A896" i="8" s="1"/>
  <c r="A897" i="8" s="1"/>
  <c r="A899" i="8" s="1"/>
  <c r="A907" i="8"/>
  <c r="A878" i="8"/>
  <c r="A871" i="8"/>
  <c r="F874" i="8"/>
  <c r="F906" i="8"/>
  <c r="A891" i="8"/>
  <c r="A905" i="8" s="1"/>
  <c r="A906" i="8" s="1"/>
  <c r="F904" i="8"/>
  <c r="A890" i="8"/>
  <c r="A903" i="8" s="1"/>
  <c r="A904" i="8" s="1"/>
  <c r="A882" i="8"/>
  <c r="A879" i="8"/>
  <c r="A43" i="10"/>
  <c r="A106" i="10"/>
  <c r="A107" i="10" s="1"/>
  <c r="A108" i="10" s="1"/>
  <c r="A109" i="10" s="1"/>
  <c r="A110" i="10" s="1"/>
  <c r="A111" i="10" s="1"/>
  <c r="A112" i="10" s="1"/>
  <c r="A113" i="10" s="1"/>
  <c r="A114" i="10" s="1"/>
  <c r="A116" i="10" s="1"/>
  <c r="A117" i="10" s="1"/>
  <c r="A118" i="10" s="1"/>
  <c r="A119" i="10" s="1"/>
  <c r="A120" i="10" s="1"/>
  <c r="A121" i="10" s="1"/>
  <c r="A122" i="10" s="1"/>
  <c r="A123" i="10" s="1"/>
  <c r="A124" i="10" s="1"/>
  <c r="A126" i="10"/>
  <c r="A127" i="10" s="1"/>
  <c r="A128" i="10" s="1"/>
  <c r="A129" i="10" s="1"/>
  <c r="A130" i="10" s="1"/>
  <c r="A131" i="10" s="1"/>
  <c r="A132" i="10" s="1"/>
  <c r="A133" i="10" s="1"/>
  <c r="A134" i="10" s="1"/>
  <c r="BW12" i="53" l="1"/>
  <c r="E94" i="8" s="1"/>
  <c r="BY12" i="53"/>
  <c r="BY16" i="53" s="1"/>
  <c r="AT12" i="53"/>
  <c r="AT16" i="53" s="1"/>
  <c r="AW12" i="53"/>
  <c r="E63" i="8" s="1"/>
  <c r="BS12" i="53"/>
  <c r="E89" i="8" s="1"/>
  <c r="BD12" i="53"/>
  <c r="BD16" i="53" s="1"/>
  <c r="BV12" i="53"/>
  <c r="BV16" i="53" s="1"/>
  <c r="BH12" i="53"/>
  <c r="BH16" i="53" s="1"/>
  <c r="BU12" i="53"/>
  <c r="BU16" i="53" s="1"/>
  <c r="DC12" i="53"/>
  <c r="DC16" i="53" s="1"/>
  <c r="DB12" i="53"/>
  <c r="DB16" i="53" s="1"/>
  <c r="DJ12" i="53"/>
  <c r="DJ16" i="53" s="1"/>
  <c r="DO16" i="53"/>
  <c r="E87" i="8"/>
  <c r="AX12" i="53"/>
  <c r="CT12" i="53"/>
  <c r="CT16" i="53" s="1"/>
  <c r="DG12" i="53"/>
  <c r="CV12" i="53"/>
  <c r="DI12" i="53"/>
  <c r="BM16" i="53"/>
  <c r="CY12" i="53"/>
  <c r="DF12" i="53"/>
  <c r="AU16" i="53"/>
  <c r="E61" i="8"/>
  <c r="BP12" i="53"/>
  <c r="DH12" i="53"/>
  <c r="DA12" i="53"/>
  <c r="AV16" i="53"/>
  <c r="E62" i="8"/>
  <c r="BG12" i="53"/>
  <c r="E51" i="8" s="1"/>
  <c r="CK12" i="53"/>
  <c r="CK16" i="53" s="1"/>
  <c r="DK12" i="53"/>
  <c r="CR12" i="53"/>
  <c r="CR16" i="53" s="1"/>
  <c r="DL12" i="53"/>
  <c r="CW12" i="53"/>
  <c r="CL12" i="53"/>
  <c r="CL16" i="53" s="1"/>
  <c r="DE12" i="53"/>
  <c r="DD12" i="53"/>
  <c r="DD16" i="53" s="1"/>
  <c r="CO12" i="53"/>
  <c r="CO16" i="53" s="1"/>
  <c r="DQ12" i="53"/>
  <c r="CZ12" i="53"/>
  <c r="DR12" i="53"/>
  <c r="DR16" i="53" s="1"/>
  <c r="CX12" i="53"/>
  <c r="DM12" i="53"/>
  <c r="DN12" i="53"/>
  <c r="DP12" i="53"/>
  <c r="DS12" i="53"/>
  <c r="A898" i="8"/>
  <c r="A900" i="8" s="1"/>
  <c r="A901" i="8" s="1"/>
  <c r="A902" i="8" s="1"/>
  <c r="A892" i="8"/>
  <c r="A880" i="8"/>
  <c r="A883" i="8"/>
  <c r="A874" i="8"/>
  <c r="A875" i="8" s="1"/>
  <c r="A881" i="8" s="1"/>
  <c r="A887" i="8" s="1"/>
  <c r="A872" i="8"/>
  <c r="A873" i="8" s="1"/>
  <c r="A44" i="10"/>
  <c r="A45" i="10" s="1"/>
  <c r="A46" i="10" s="1"/>
  <c r="A47" i="10" s="1"/>
  <c r="A48" i="10" s="1"/>
  <c r="A49" i="10" s="1"/>
  <c r="A50" i="10" s="1"/>
  <c r="A51" i="10" s="1"/>
  <c r="A53" i="10" s="1"/>
  <c r="A54" i="10" s="1"/>
  <c r="A55" i="10" s="1"/>
  <c r="A56" i="10" s="1"/>
  <c r="A57" i="10" s="1"/>
  <c r="A58" i="10" s="1"/>
  <c r="A59" i="10" s="1"/>
  <c r="A61" i="10" s="1"/>
  <c r="A62" i="10" s="1"/>
  <c r="A63" i="10" s="1"/>
  <c r="A64" i="10" s="1"/>
  <c r="A65" i="10" s="1"/>
  <c r="A66" i="10" s="1"/>
  <c r="A67" i="10" s="1"/>
  <c r="A69" i="10" s="1"/>
  <c r="A70" i="10" s="1"/>
  <c r="A71" i="10" s="1"/>
  <c r="A72" i="10" s="1"/>
  <c r="A73" i="10" s="1"/>
  <c r="A74" i="10" s="1"/>
  <c r="A75" i="10" s="1"/>
  <c r="A76" i="10" s="1"/>
  <c r="A77" i="10" s="1"/>
  <c r="A79" i="10" s="1"/>
  <c r="A80" i="10" s="1"/>
  <c r="A81" i="10" s="1"/>
  <c r="A82" i="10" s="1"/>
  <c r="A83" i="10" s="1"/>
  <c r="A84" i="10" s="1"/>
  <c r="A85" i="10" s="1"/>
  <c r="A86" i="10" s="1"/>
  <c r="A87" i="10" s="1"/>
  <c r="A89" i="10" s="1"/>
  <c r="A90" i="10" s="1"/>
  <c r="A91" i="10" s="1"/>
  <c r="A92" i="10" s="1"/>
  <c r="A93" i="10" s="1"/>
  <c r="A94" i="10" s="1"/>
  <c r="A96" i="10" s="1"/>
  <c r="A97" i="10" s="1"/>
  <c r="A98" i="10" s="1"/>
  <c r="A99" i="10" s="1"/>
  <c r="A100" i="10" s="1"/>
  <c r="A101" i="10" s="1"/>
  <c r="A102" i="10" s="1"/>
  <c r="A103" i="10" s="1"/>
  <c r="A104" i="10" s="1"/>
  <c r="A421" i="10"/>
  <c r="A422" i="10" s="1"/>
  <c r="A423" i="10" s="1"/>
  <c r="A424" i="10" s="1"/>
  <c r="A425" i="10" s="1"/>
  <c r="A426" i="10" s="1"/>
  <c r="A427" i="10" s="1"/>
  <c r="A428" i="10" s="1"/>
  <c r="A429" i="10" s="1"/>
  <c r="A430" i="10" s="1"/>
  <c r="A136" i="10"/>
  <c r="A137" i="10" s="1"/>
  <c r="A138" i="10" s="1"/>
  <c r="A139" i="10" s="1"/>
  <c r="A140" i="10" s="1"/>
  <c r="A141" i="10" s="1"/>
  <c r="A142" i="10" s="1"/>
  <c r="A143" i="10" s="1"/>
  <c r="A144" i="10" s="1"/>
  <c r="A146" i="10" s="1"/>
  <c r="A147" i="10" s="1"/>
  <c r="A148" i="10" s="1"/>
  <c r="A149" i="10" s="1"/>
  <c r="A150" i="10" s="1"/>
  <c r="A151" i="10" s="1"/>
  <c r="A152" i="10" s="1"/>
  <c r="A153" i="10" s="1"/>
  <c r="A154" i="10" s="1"/>
  <c r="A155" i="10" s="1"/>
  <c r="A156" i="10" s="1"/>
  <c r="A157" i="10" s="1"/>
  <c r="A158" i="10" s="1"/>
  <c r="A160" i="10" s="1"/>
  <c r="A161" i="10" s="1"/>
  <c r="A162" i="10" s="1"/>
  <c r="E60" i="8" l="1"/>
  <c r="F60" i="8" s="1"/>
  <c r="BS16" i="53"/>
  <c r="BW16" i="53"/>
  <c r="AW16" i="53"/>
  <c r="E82" i="8"/>
  <c r="F82" i="8" s="1"/>
  <c r="E97" i="8"/>
  <c r="E98" i="8" s="1"/>
  <c r="E74" i="8"/>
  <c r="F74" i="8" s="1"/>
  <c r="E73" i="8"/>
  <c r="F73" i="8" s="1"/>
  <c r="E56" i="8"/>
  <c r="A56" i="8" s="1"/>
  <c r="E91" i="8"/>
  <c r="F91" i="8" s="1"/>
  <c r="DI16" i="53"/>
  <c r="E81" i="8"/>
  <c r="CZ16" i="53"/>
  <c r="E71" i="8"/>
  <c r="DA16" i="53"/>
  <c r="E72" i="8"/>
  <c r="E67" i="8"/>
  <c r="CV16" i="53"/>
  <c r="DQ16" i="53"/>
  <c r="E77" i="8"/>
  <c r="DH16" i="53"/>
  <c r="E80" i="8"/>
  <c r="E76" i="8"/>
  <c r="DS16" i="53"/>
  <c r="A63" i="8"/>
  <c r="F63" i="8"/>
  <c r="CW16" i="53"/>
  <c r="E68" i="8"/>
  <c r="BP16" i="53"/>
  <c r="E58" i="8"/>
  <c r="E59" i="8" s="1"/>
  <c r="DP16" i="53"/>
  <c r="E88" i="8"/>
  <c r="F61" i="8"/>
  <c r="A61" i="8"/>
  <c r="DG16" i="53"/>
  <c r="E79" i="8"/>
  <c r="E95" i="8"/>
  <c r="F94" i="8"/>
  <c r="A94" i="8"/>
  <c r="DL16" i="53"/>
  <c r="E84" i="8"/>
  <c r="DF16" i="53"/>
  <c r="E78" i="8"/>
  <c r="AX16" i="53"/>
  <c r="E64" i="8"/>
  <c r="DN16" i="53"/>
  <c r="E86" i="8"/>
  <c r="CY16" i="53"/>
  <c r="E70" i="8"/>
  <c r="DM16" i="53"/>
  <c r="E85" i="8"/>
  <c r="DK16" i="53"/>
  <c r="E83" i="8"/>
  <c r="E50" i="8"/>
  <c r="A62" i="8"/>
  <c r="F62" i="8"/>
  <c r="CX16" i="53"/>
  <c r="E69" i="8"/>
  <c r="F87" i="8"/>
  <c r="A87" i="8"/>
  <c r="DE16" i="53"/>
  <c r="E75" i="8"/>
  <c r="E90" i="8"/>
  <c r="F89" i="8"/>
  <c r="A89" i="8"/>
  <c r="BG16" i="53"/>
  <c r="A884" i="8"/>
  <c r="A888" i="8" s="1"/>
  <c r="A885" i="8"/>
  <c r="A886" i="8" s="1"/>
  <c r="A164" i="10"/>
  <c r="A60" i="8" l="1"/>
  <c r="A74" i="8"/>
  <c r="A73" i="8"/>
  <c r="A91" i="8"/>
  <c r="E92" i="8"/>
  <c r="F92" i="8" s="1"/>
  <c r="A82" i="8"/>
  <c r="F97" i="8"/>
  <c r="A97" i="8"/>
  <c r="E99" i="8"/>
  <c r="F99" i="8" s="1"/>
  <c r="F56" i="8"/>
  <c r="F67" i="8"/>
  <c r="A67" i="8"/>
  <c r="F72" i="8"/>
  <c r="A72" i="8"/>
  <c r="F79" i="8"/>
  <c r="F204" i="8" s="1"/>
  <c r="A79" i="8"/>
  <c r="F76" i="8"/>
  <c r="A76" i="8"/>
  <c r="A71" i="8"/>
  <c r="F71" i="8"/>
  <c r="E96" i="8"/>
  <c r="A95" i="8"/>
  <c r="F95" i="8"/>
  <c r="A90" i="8"/>
  <c r="F90" i="8"/>
  <c r="F78" i="8"/>
  <c r="A78" i="8"/>
  <c r="F81" i="8"/>
  <c r="A81" i="8"/>
  <c r="E53" i="8"/>
  <c r="F50" i="8"/>
  <c r="A50" i="8"/>
  <c r="A88" i="8"/>
  <c r="F88" i="8"/>
  <c r="A70" i="8"/>
  <c r="F70" i="8"/>
  <c r="F86" i="8"/>
  <c r="A86" i="8"/>
  <c r="F75" i="8"/>
  <c r="A75" i="8"/>
  <c r="A83" i="8"/>
  <c r="F83" i="8"/>
  <c r="F80" i="8"/>
  <c r="A80" i="8"/>
  <c r="A64" i="8"/>
  <c r="F64" i="8"/>
  <c r="A58" i="8"/>
  <c r="F58" i="8"/>
  <c r="A51" i="8"/>
  <c r="F51" i="8"/>
  <c r="F85" i="8"/>
  <c r="A85" i="8"/>
  <c r="F77" i="8"/>
  <c r="A77" i="8"/>
  <c r="F84" i="8"/>
  <c r="A84" i="8"/>
  <c r="F69" i="8"/>
  <c r="A69" i="8"/>
  <c r="A68" i="8"/>
  <c r="F68" i="8"/>
  <c r="F98" i="8"/>
  <c r="A98" i="8"/>
  <c r="A870" i="8"/>
  <c r="A908" i="8" s="1"/>
  <c r="A165" i="10"/>
  <c r="A166" i="10" s="1"/>
  <c r="A167" i="10" s="1"/>
  <c r="E100" i="8" l="1"/>
  <c r="A100" i="8" s="1"/>
  <c r="A99" i="8"/>
  <c r="A92" i="8"/>
  <c r="E93" i="8"/>
  <c r="A93" i="8" s="1"/>
  <c r="A96" i="8"/>
  <c r="F96" i="8"/>
  <c r="F59" i="8"/>
  <c r="A59" i="8"/>
  <c r="E52" i="8"/>
  <c r="F53" i="8"/>
  <c r="A53" i="8"/>
  <c r="A168" i="10"/>
  <c r="A169" i="10" s="1"/>
  <c r="C25" i="6"/>
  <c r="F100" i="8" l="1"/>
  <c r="F93" i="8"/>
  <c r="F52" i="8"/>
  <c r="A52" i="8"/>
  <c r="A171" i="10"/>
  <c r="A49" i="8" l="1"/>
  <c r="A101" i="8" s="1"/>
  <c r="A47" i="8" s="1"/>
  <c r="A172" i="10"/>
  <c r="A174" i="10"/>
  <c r="A175" i="10" s="1"/>
  <c r="C26" i="6"/>
  <c r="A177" i="10"/>
  <c r="A178" i="10" s="1"/>
  <c r="A179" i="10" s="1"/>
  <c r="A180" i="10" s="1"/>
  <c r="A181" i="10" s="1"/>
  <c r="A182" i="10" s="1"/>
  <c r="A183" i="10" s="1"/>
  <c r="A184" i="10" s="1"/>
  <c r="A185" i="10" s="1"/>
  <c r="A46" i="8" l="1"/>
  <c r="A48" i="8" s="1"/>
  <c r="C28" i="6"/>
  <c r="A187" i="10" l="1"/>
  <c r="A188" i="10" s="1"/>
  <c r="A189" i="10" s="1"/>
  <c r="A190" i="10" s="1"/>
  <c r="A191" i="10" s="1"/>
  <c r="A192" i="10" s="1"/>
  <c r="A193" i="10" s="1"/>
  <c r="A194" i="10" s="1"/>
  <c r="A195" i="10" s="1"/>
  <c r="A197" i="10" l="1"/>
  <c r="A198" i="10" s="1"/>
  <c r="A199" i="10" s="1"/>
  <c r="A200" i="10" s="1"/>
  <c r="A201" i="10" s="1"/>
  <c r="A202" i="10" s="1"/>
  <c r="A203" i="10" s="1"/>
  <c r="A204" i="10" s="1"/>
  <c r="A206" i="10" l="1"/>
  <c r="A207" i="10" s="1"/>
  <c r="A208" i="10" s="1"/>
  <c r="A209" i="10" s="1"/>
  <c r="A210" i="10" s="1"/>
  <c r="A211" i="10" s="1"/>
  <c r="A212" i="10" s="1"/>
  <c r="A214" i="10" s="1"/>
  <c r="A215" i="10" s="1"/>
  <c r="A216" i="10" s="1"/>
  <c r="A217" i="10" s="1"/>
  <c r="A218" i="10" s="1"/>
  <c r="A410" i="10" l="1"/>
  <c r="A411" i="10" s="1"/>
  <c r="A412" i="10" s="1"/>
  <c r="A413" i="10" s="1"/>
  <c r="A414" i="10" s="1"/>
  <c r="A415" i="10" s="1"/>
  <c r="A416" i="10" s="1"/>
  <c r="A417" i="10" s="1"/>
  <c r="A418" i="10" s="1"/>
  <c r="A419" i="10" s="1"/>
  <c r="A13" i="10"/>
  <c r="A14" i="10" s="1"/>
  <c r="A15" i="10" s="1"/>
  <c r="A16" i="10" s="1"/>
  <c r="A17" i="10" s="1"/>
  <c r="A18" i="10" s="1"/>
  <c r="A19" i="10" s="1"/>
  <c r="A20" i="10" s="1"/>
  <c r="A21" i="10" s="1"/>
  <c r="A220" i="10"/>
  <c r="A221" i="10" s="1"/>
  <c r="A222" i="10" s="1"/>
  <c r="A223" i="10" s="1"/>
  <c r="A224" i="10" s="1"/>
  <c r="A225" i="10" s="1"/>
  <c r="A226" i="10" s="1"/>
  <c r="A227" i="10" s="1"/>
  <c r="A228" i="10" s="1"/>
  <c r="A229" i="10" s="1"/>
  <c r="A23" i="10" l="1"/>
  <c r="A24" i="10" s="1"/>
  <c r="A25" i="10" s="1"/>
  <c r="A26" i="10" s="1"/>
  <c r="A27" i="10" s="1"/>
  <c r="A28" i="10" s="1"/>
  <c r="A29" i="10" s="1"/>
  <c r="A30" i="10" s="1"/>
  <c r="A31" i="10" s="1"/>
  <c r="A231" i="10"/>
  <c r="A232" i="10" s="1"/>
  <c r="A233" i="10" s="1"/>
  <c r="A234" i="10" s="1"/>
  <c r="A235" i="10" s="1"/>
  <c r="A236" i="10" s="1"/>
  <c r="A237" i="10" s="1"/>
  <c r="A238" i="10" s="1"/>
  <c r="A239" i="10" s="1"/>
  <c r="A240" i="10" s="1"/>
  <c r="A242" i="10" s="1"/>
  <c r="A243" i="10" s="1"/>
  <c r="A244" i="10" s="1"/>
  <c r="A245" i="10" s="1"/>
  <c r="A246" i="10" s="1"/>
  <c r="A247" i="10" s="1"/>
  <c r="A248" i="10" s="1"/>
  <c r="A249" i="10" s="1"/>
  <c r="A250" i="10" s="1"/>
  <c r="A252" i="10" s="1"/>
  <c r="A253" i="10" s="1"/>
  <c r="A254" i="10" s="1"/>
  <c r="A255" i="10" s="1"/>
  <c r="A256" i="10" s="1"/>
  <c r="A257" i="10" s="1"/>
  <c r="A258" i="10" s="1"/>
  <c r="A259" i="10" s="1"/>
  <c r="A260" i="10" s="1"/>
  <c r="A262" i="10" s="1"/>
  <c r="A263" i="10" s="1"/>
  <c r="A264" i="10" s="1"/>
  <c r="A265" i="10" s="1"/>
  <c r="A266" i="10" s="1"/>
  <c r="A268" i="10" s="1"/>
  <c r="A273" i="10" l="1"/>
  <c r="A274" i="10" s="1"/>
  <c r="A275" i="10" s="1"/>
  <c r="A276" i="10" s="1"/>
  <c r="A271" i="10"/>
  <c r="A278" i="10"/>
  <c r="A279" i="10" s="1"/>
  <c r="A280" i="10" s="1"/>
  <c r="A281" i="10" s="1"/>
  <c r="A282" i="10" s="1"/>
  <c r="A283" i="10" s="1"/>
  <c r="A285" i="10" s="1"/>
  <c r="A286" i="10" s="1"/>
  <c r="A287" i="10" s="1"/>
  <c r="A288" i="10" s="1"/>
  <c r="A289" i="10" s="1"/>
  <c r="A290" i="10" s="1"/>
  <c r="A291" i="10" s="1"/>
  <c r="A292" i="10" s="1"/>
  <c r="A294" i="10" s="1"/>
  <c r="A295" i="10" s="1"/>
  <c r="A296" i="10" s="1"/>
  <c r="A297" i="10" s="1"/>
  <c r="A298" i="10" s="1"/>
  <c r="A299" i="10" s="1"/>
  <c r="A300" i="10" s="1"/>
  <c r="A301" i="10" s="1"/>
  <c r="A303" i="10" s="1"/>
  <c r="A304" i="10" s="1"/>
  <c r="A305" i="10" s="1"/>
  <c r="A306" i="10" s="1"/>
  <c r="A307" i="10" s="1"/>
  <c r="A308" i="10" s="1"/>
  <c r="A309" i="10" s="1"/>
  <c r="A310" i="10" s="1"/>
  <c r="A312" i="10" s="1"/>
  <c r="A313" i="10" s="1"/>
  <c r="A314" i="10" s="1"/>
  <c r="A315" i="10" s="1"/>
  <c r="A316" i="10" s="1"/>
  <c r="A317" i="10" s="1"/>
  <c r="A318" i="10" s="1"/>
  <c r="A319" i="10" s="1"/>
  <c r="A321" i="10" s="1"/>
  <c r="A322" i="10" s="1"/>
  <c r="A323" i="10" s="1"/>
  <c r="A324" i="10" s="1"/>
  <c r="A325" i="10" s="1"/>
  <c r="A326" i="10" s="1"/>
  <c r="A327" i="10" s="1"/>
  <c r="A328" i="10" s="1"/>
  <c r="A329" i="10" s="1"/>
  <c r="A330" i="10" s="1"/>
  <c r="A331" i="10" s="1"/>
  <c r="A332" i="10" s="1"/>
  <c r="A333" i="10" s="1"/>
  <c r="A335" i="10" s="1"/>
  <c r="A336" i="10" s="1"/>
  <c r="A337" i="10" s="1"/>
  <c r="A338" i="10" s="1"/>
  <c r="A339" i="10" s="1"/>
  <c r="A340" i="10" s="1"/>
  <c r="A341" i="10" s="1"/>
  <c r="A342" i="10" s="1"/>
  <c r="A344" i="10" s="1"/>
  <c r="A345" i="10" s="1"/>
  <c r="A346" i="10" s="1"/>
  <c r="A347" i="10" s="1"/>
  <c r="A348" i="10" s="1"/>
  <c r="A349" i="10" s="1"/>
  <c r="A350" i="10" s="1"/>
  <c r="A351" i="10" s="1"/>
  <c r="A352" i="10" s="1"/>
  <c r="A353" i="10" s="1"/>
  <c r="A354" i="10" s="1"/>
  <c r="A356" i="10" s="1"/>
  <c r="A357" i="10" s="1"/>
  <c r="A358" i="10" s="1"/>
  <c r="A360" i="10" s="1"/>
  <c r="A361" i="10" s="1"/>
  <c r="A362" i="10" s="1"/>
  <c r="A364" i="10" s="1"/>
  <c r="A365" i="10" s="1"/>
  <c r="A366" i="10" s="1"/>
  <c r="A368" i="10" s="1"/>
  <c r="A369" i="10" s="1"/>
  <c r="A370" i="10" s="1"/>
  <c r="A371" i="10" s="1"/>
  <c r="A372" i="10" s="1"/>
  <c r="A373" i="10" s="1"/>
  <c r="A375" i="10" s="1"/>
  <c r="A376" i="10" s="1"/>
  <c r="A377" i="10" s="1"/>
  <c r="A378" i="10" s="1"/>
  <c r="A379" i="10" s="1"/>
  <c r="A381" i="10" s="1"/>
  <c r="A382" i="10" s="1"/>
  <c r="A383" i="10" s="1"/>
  <c r="A384" i="10" s="1"/>
  <c r="A385" i="10" s="1"/>
  <c r="A387" i="10" s="1"/>
  <c r="A388" i="10" s="1"/>
  <c r="A389" i="10" s="1"/>
  <c r="A390" i="10" s="1"/>
  <c r="A391" i="10" s="1"/>
  <c r="A392" i="10" s="1"/>
  <c r="A394" i="10" s="1"/>
  <c r="A395" i="10" s="1"/>
  <c r="A396" i="10" s="1"/>
  <c r="A397" i="10" s="1"/>
  <c r="A398" i="10" s="1"/>
  <c r="A399" i="10" s="1"/>
  <c r="A400" i="10" s="1"/>
  <c r="A402" i="10" s="1"/>
  <c r="A403" i="10" s="1"/>
  <c r="A404" i="10" s="1"/>
  <c r="A405" i="10" s="1"/>
  <c r="A406" i="10" s="1"/>
  <c r="A407" i="10" s="1"/>
  <c r="A408" i="10" s="1"/>
  <c r="A659" i="8"/>
  <c r="J14" i="50" l="1"/>
  <c r="J94" i="50" s="1"/>
  <c r="H14" i="50"/>
  <c r="H94" i="50" s="1"/>
  <c r="C14" i="50" l="1"/>
  <c r="C19" i="50" l="1"/>
  <c r="I19" i="50" s="1"/>
  <c r="F29" i="50" s="1"/>
  <c r="C94" i="50"/>
  <c r="C99" i="50" s="1"/>
  <c r="D115" i="50" s="1"/>
  <c r="O29" i="50" l="1"/>
  <c r="O30" i="50" s="1"/>
  <c r="E39" i="50"/>
  <c r="E522" i="8" s="1"/>
  <c r="I29" i="50"/>
  <c r="M29" i="50" s="1"/>
  <c r="I99" i="50"/>
  <c r="G115" i="50"/>
  <c r="H115" i="50" s="1"/>
  <c r="L29" i="50"/>
  <c r="K29" i="50"/>
  <c r="D121" i="50" l="1"/>
  <c r="H121" i="50" s="1"/>
  <c r="E133" i="50" s="1"/>
  <c r="P96" i="50"/>
  <c r="P97" i="50" s="1"/>
  <c r="S135" i="50"/>
  <c r="S137" i="50" s="1"/>
  <c r="P29" i="50"/>
  <c r="P30" i="50" s="1"/>
  <c r="B117" i="50"/>
  <c r="B119" i="50" s="1"/>
  <c r="D119" i="50" s="1"/>
  <c r="C53" i="50"/>
  <c r="F60" i="50" s="1"/>
  <c r="G80" i="50" s="1"/>
  <c r="K80" i="50"/>
  <c r="G119" i="50" l="1"/>
  <c r="E119" i="50"/>
  <c r="I115" i="50"/>
  <c r="C87" i="50"/>
  <c r="H119" i="50" l="1"/>
  <c r="L938" i="8"/>
  <c r="E432" i="8"/>
  <c r="E429" i="8" s="1"/>
  <c r="M935" i="8"/>
  <c r="M938" i="8"/>
  <c r="L935" i="8"/>
  <c r="F395" i="8"/>
  <c r="E444" i="8"/>
  <c r="E463" i="8"/>
  <c r="E465" i="8" s="1"/>
  <c r="E466" i="8" s="1"/>
  <c r="F466" i="8" s="1"/>
  <c r="I119" i="50" l="1"/>
  <c r="E132" i="50"/>
  <c r="D126" i="50"/>
  <c r="E134" i="50" s="1"/>
  <c r="C149" i="50"/>
  <c r="T134" i="50"/>
  <c r="F477" i="8"/>
  <c r="E479" i="8"/>
  <c r="A459" i="8"/>
  <c r="A464" i="8" s="1"/>
  <c r="A460" i="8"/>
  <c r="A466" i="8" s="1"/>
  <c r="A458" i="8"/>
  <c r="A467" i="8" s="1"/>
  <c r="E938" i="8"/>
  <c r="E939" i="8" s="1"/>
  <c r="F939" i="8" s="1"/>
  <c r="E935" i="8"/>
  <c r="E936" i="8" s="1"/>
  <c r="F936" i="8" s="1"/>
  <c r="E431" i="8"/>
  <c r="E433" i="8" s="1"/>
  <c r="F433" i="8" s="1"/>
  <c r="E411" i="8"/>
  <c r="E410" i="8" s="1"/>
  <c r="E523" i="8"/>
  <c r="F523" i="8" s="1"/>
  <c r="E528" i="8"/>
  <c r="E525" i="8" s="1"/>
  <c r="E512" i="8" s="1"/>
  <c r="E513" i="8" s="1"/>
  <c r="F463" i="8"/>
  <c r="E427" i="8"/>
  <c r="F427" i="8" s="1"/>
  <c r="F425" i="8"/>
  <c r="A468" i="8"/>
  <c r="K25" i="48"/>
  <c r="F20" i="8"/>
  <c r="E446" i="8"/>
  <c r="F444" i="8"/>
  <c r="E412" i="8" l="1"/>
  <c r="E414" i="8" s="1"/>
  <c r="F414" i="8" s="1"/>
  <c r="E397" i="8"/>
  <c r="E398" i="8" s="1"/>
  <c r="E399" i="8" s="1"/>
  <c r="T133" i="50"/>
  <c r="C148" i="50"/>
  <c r="S95" i="50"/>
  <c r="F155" i="50"/>
  <c r="T135" i="50"/>
  <c r="T137" i="50" s="1"/>
  <c r="C150" i="50"/>
  <c r="A469" i="8"/>
  <c r="E480" i="8"/>
  <c r="F480" i="8" s="1"/>
  <c r="F479" i="8"/>
  <c r="A462" i="8"/>
  <c r="A463" i="8" s="1"/>
  <c r="F465" i="8"/>
  <c r="E940" i="8"/>
  <c r="A927" i="8" s="1"/>
  <c r="E527" i="8"/>
  <c r="E529" i="8" s="1"/>
  <c r="E434" i="8"/>
  <c r="F446" i="8"/>
  <c r="E453" i="8"/>
  <c r="E456" i="8" s="1"/>
  <c r="F491" i="8"/>
  <c r="A481" i="8"/>
  <c r="A472" i="8"/>
  <c r="A473" i="8" s="1"/>
  <c r="A474" i="8" s="1"/>
  <c r="A475" i="8" s="1"/>
  <c r="A476" i="8" s="1"/>
  <c r="A477" i="8" s="1"/>
  <c r="A478" i="8" s="1"/>
  <c r="A479" i="8" s="1"/>
  <c r="A471" i="8"/>
  <c r="E415" i="8" l="1"/>
  <c r="E418" i="8" s="1"/>
  <c r="A402" i="8" s="1"/>
  <c r="A416" i="8" s="1"/>
  <c r="F398" i="8"/>
  <c r="S94" i="50"/>
  <c r="F153" i="50"/>
  <c r="G163" i="50" s="1"/>
  <c r="F157" i="50"/>
  <c r="S96" i="50"/>
  <c r="A470" i="8"/>
  <c r="A480" i="8" s="1"/>
  <c r="F434" i="8"/>
  <c r="E437" i="8"/>
  <c r="F437" i="8" s="1"/>
  <c r="E942" i="8"/>
  <c r="E943" i="8" s="1"/>
  <c r="F940" i="8"/>
  <c r="E530" i="8"/>
  <c r="E533" i="8" s="1"/>
  <c r="F529" i="8"/>
  <c r="F513" i="8"/>
  <c r="E514" i="8"/>
  <c r="A930" i="8"/>
  <c r="A933" i="8" s="1"/>
  <c r="A936" i="8" s="1"/>
  <c r="A939" i="8" s="1"/>
  <c r="A942" i="8" s="1"/>
  <c r="A945" i="8" s="1"/>
  <c r="A928" i="8"/>
  <c r="F399" i="8"/>
  <c r="M193" i="6" s="1"/>
  <c r="A390" i="8"/>
  <c r="F415" i="8"/>
  <c r="A401" i="8"/>
  <c r="A403" i="8" s="1"/>
  <c r="A420" i="8"/>
  <c r="A422" i="8" s="1"/>
  <c r="A423" i="8" s="1"/>
  <c r="A424" i="8" s="1"/>
  <c r="A425" i="8" s="1"/>
  <c r="A426" i="8" s="1"/>
  <c r="A427" i="8" s="1"/>
  <c r="A428" i="8" s="1"/>
  <c r="A429" i="8" s="1"/>
  <c r="A430" i="8" s="1"/>
  <c r="A431" i="8" s="1"/>
  <c r="A432" i="8" s="1"/>
  <c r="A433" i="8" s="1"/>
  <c r="A434" i="8" s="1"/>
  <c r="A482" i="8"/>
  <c r="A486" i="8" s="1"/>
  <c r="E500" i="8"/>
  <c r="E501" i="8" s="1"/>
  <c r="F496" i="8"/>
  <c r="E498" i="8"/>
  <c r="F453" i="8"/>
  <c r="A439" i="8"/>
  <c r="F373" i="8"/>
  <c r="E377" i="8"/>
  <c r="J163" i="50"/>
  <c r="A391" i="8" l="1"/>
  <c r="A393" i="8"/>
  <c r="C182" i="50"/>
  <c r="G170" i="50"/>
  <c r="F501" i="8"/>
  <c r="A485" i="8"/>
  <c r="A501" i="8" s="1"/>
  <c r="F942" i="8"/>
  <c r="F943" i="8"/>
  <c r="E946" i="8"/>
  <c r="F946" i="8" s="1"/>
  <c r="A931" i="8"/>
  <c r="A934" i="8" s="1"/>
  <c r="A937" i="8" s="1"/>
  <c r="A940" i="8" s="1"/>
  <c r="A943" i="8" s="1"/>
  <c r="A946" i="8" s="1"/>
  <c r="A929" i="8"/>
  <c r="A516" i="8"/>
  <c r="A518" i="8" s="1"/>
  <c r="F530" i="8"/>
  <c r="A419" i="8"/>
  <c r="A404" i="8"/>
  <c r="A405" i="8" s="1"/>
  <c r="A406" i="8" s="1"/>
  <c r="A407" i="8" s="1"/>
  <c r="A408" i="8" s="1"/>
  <c r="A409" i="8" s="1"/>
  <c r="A410" i="8" s="1"/>
  <c r="A411" i="8" s="1"/>
  <c r="A412" i="8" s="1"/>
  <c r="A413" i="8" s="1"/>
  <c r="A414" i="8" s="1"/>
  <c r="A415" i="8" s="1"/>
  <c r="F514" i="8"/>
  <c r="A505" i="8"/>
  <c r="A506" i="8" s="1"/>
  <c r="A507" i="8" s="1"/>
  <c r="Q193" i="6"/>
  <c r="R193" i="6" s="1"/>
  <c r="B193" i="6"/>
  <c r="C193" i="6" s="1"/>
  <c r="A421" i="8"/>
  <c r="A435" i="8" s="1"/>
  <c r="A436" i="8" s="1"/>
  <c r="A437" i="8" s="1"/>
  <c r="A438" i="8"/>
  <c r="A483" i="8"/>
  <c r="A497" i="8" s="1"/>
  <c r="A498" i="8" s="1"/>
  <c r="F498" i="8"/>
  <c r="A441" i="8"/>
  <c r="F377" i="8"/>
  <c r="A374" i="8"/>
  <c r="A375" i="8" s="1"/>
  <c r="A376" i="8" s="1"/>
  <c r="A377" i="8" s="1"/>
  <c r="F456" i="8"/>
  <c r="A440" i="8"/>
  <c r="A454" i="8" s="1"/>
  <c r="A455" i="8" s="1"/>
  <c r="A456" i="8" s="1"/>
  <c r="A484" i="8"/>
  <c r="A499" i="8" s="1"/>
  <c r="A500" i="8" s="1"/>
  <c r="F500" i="8"/>
  <c r="A502" i="8"/>
  <c r="A487" i="8"/>
  <c r="A488" i="8" s="1"/>
  <c r="A489" i="8" s="1"/>
  <c r="A490" i="8" s="1"/>
  <c r="A491" i="8" s="1"/>
  <c r="A492" i="8" s="1"/>
  <c r="A495" i="8" s="1"/>
  <c r="A496" i="8" s="1"/>
  <c r="J170" i="50"/>
  <c r="A392" i="8" l="1"/>
  <c r="A395" i="8" s="1"/>
  <c r="A396" i="8" s="1"/>
  <c r="A397" i="8" s="1"/>
  <c r="A398" i="8" s="1"/>
  <c r="A399" i="8" s="1"/>
  <c r="A400" i="8" s="1"/>
  <c r="A394" i="8"/>
  <c r="C183" i="50"/>
  <c r="G177" i="50"/>
  <c r="A932" i="8"/>
  <c r="A935" i="8" s="1"/>
  <c r="A938" i="8" s="1"/>
  <c r="A941" i="8" s="1"/>
  <c r="A944" i="8" s="1"/>
  <c r="A947" i="8" s="1"/>
  <c r="A510" i="8"/>
  <c r="A511" i="8" s="1"/>
  <c r="A512" i="8" s="1"/>
  <c r="A513" i="8" s="1"/>
  <c r="A514" i="8" s="1"/>
  <c r="A515" i="8" s="1"/>
  <c r="F533" i="8"/>
  <c r="A517" i="8"/>
  <c r="A531" i="8" s="1"/>
  <c r="A532" i="8" s="1"/>
  <c r="A533" i="8" s="1"/>
  <c r="A534" i="8"/>
  <c r="A519" i="8"/>
  <c r="A520" i="8" s="1"/>
  <c r="A521" i="8" s="1"/>
  <c r="A522" i="8" s="1"/>
  <c r="A523" i="8" s="1"/>
  <c r="A524" i="8" s="1"/>
  <c r="A525" i="8" s="1"/>
  <c r="A526" i="8" s="1"/>
  <c r="A527" i="8" s="1"/>
  <c r="A528" i="8" s="1"/>
  <c r="A529" i="8" s="1"/>
  <c r="A530" i="8" s="1"/>
  <c r="A442" i="8"/>
  <c r="A443" i="8" s="1"/>
  <c r="A444" i="8" s="1"/>
  <c r="A445" i="8" s="1"/>
  <c r="A446" i="8" s="1"/>
  <c r="A447" i="8" s="1"/>
  <c r="A448" i="8" s="1"/>
  <c r="A449" i="8" s="1"/>
  <c r="A457" i="8"/>
  <c r="A461" i="8" s="1"/>
  <c r="J177" i="50"/>
  <c r="C184" i="50" l="1"/>
  <c r="A450" i="8"/>
  <c r="A465" i="8"/>
  <c r="A504" i="8"/>
  <c r="A595" i="8" s="1"/>
  <c r="A910" i="8"/>
  <c r="F352" i="8"/>
  <c r="E354" i="8"/>
  <c r="A334" i="8" s="1"/>
  <c r="A451" i="8" l="1"/>
  <c r="A452" i="8" s="1"/>
  <c r="A453" i="8" s="1"/>
  <c r="A911" i="8"/>
  <c r="A912" i="8" s="1"/>
  <c r="A983" i="8"/>
  <c r="F354" i="8"/>
  <c r="E359" i="8"/>
  <c r="F360" i="8"/>
  <c r="E378" i="8"/>
  <c r="F378" i="8" s="1"/>
  <c r="A336" i="8"/>
  <c r="A360" i="8" l="1"/>
  <c r="A361" i="8" s="1"/>
  <c r="E381" i="8"/>
  <c r="F359" i="8"/>
  <c r="A335" i="8"/>
  <c r="A354" i="8" s="1"/>
  <c r="A355" i="8" s="1"/>
  <c r="A356" i="8" s="1"/>
  <c r="A357" i="8" s="1"/>
  <c r="A358" i="8" s="1"/>
  <c r="A359" i="8" s="1"/>
  <c r="J316" i="6"/>
  <c r="A338" i="8" l="1"/>
  <c r="A339" i="8" s="1"/>
  <c r="A340" i="8" s="1"/>
  <c r="A341" i="8" s="1"/>
  <c r="A362" i="8" s="1"/>
  <c r="F381" i="8"/>
  <c r="E383" i="8"/>
  <c r="A417" i="8"/>
  <c r="A418" i="8" s="1"/>
  <c r="F418" i="8"/>
  <c r="M195" i="6" s="1"/>
  <c r="Q195" i="6" s="1"/>
  <c r="R195" i="6" s="1"/>
  <c r="A389" i="8" l="1"/>
  <c r="A503" i="8" s="1"/>
  <c r="A386" i="8" s="1"/>
  <c r="A387" i="8" s="1"/>
  <c r="A388" i="8" s="1"/>
  <c r="A381" i="8"/>
  <c r="F383" i="8"/>
  <c r="E384" i="8"/>
  <c r="A909" i="8" l="1"/>
  <c r="F384" i="8"/>
  <c r="A368" i="8"/>
  <c r="A382" i="8"/>
  <c r="A383" i="8" s="1"/>
  <c r="A371" i="8"/>
  <c r="A372" i="8" l="1"/>
  <c r="A373" i="8" s="1"/>
  <c r="A384" i="8"/>
  <c r="A369" i="8"/>
  <c r="A315" i="8" l="1"/>
  <c r="A385" i="8" s="1"/>
  <c r="A316" i="8" l="1"/>
  <c r="A317" i="8" s="1"/>
  <c r="I136" i="8" l="1"/>
  <c r="I137" i="8" l="1"/>
  <c r="I138" i="8" l="1"/>
  <c r="I139" i="8" l="1"/>
  <c r="J138" i="8" s="1"/>
  <c r="I140" i="8" l="1"/>
  <c r="I141" i="8" s="1"/>
  <c r="J141" i="8" s="1"/>
  <c r="I142" i="8" l="1"/>
  <c r="I143" i="8" s="1"/>
  <c r="I144" i="8" l="1"/>
  <c r="I145" i="8" s="1"/>
  <c r="I146" i="8" l="1"/>
  <c r="I147" i="8" l="1"/>
  <c r="I148" i="8" l="1"/>
  <c r="I149" i="8" l="1"/>
  <c r="I150" i="8" s="1"/>
  <c r="I151" i="8" s="1"/>
  <c r="I152" i="8" s="1"/>
  <c r="I153" i="8" s="1"/>
  <c r="I154" i="8" s="1"/>
  <c r="I155" i="8" s="1"/>
  <c r="I156" i="8" l="1"/>
  <c r="I179" i="8"/>
  <c r="I157" i="8" l="1"/>
  <c r="I180" i="8"/>
  <c r="I158" i="8" l="1"/>
  <c r="I181" i="8"/>
  <c r="I182" i="8" l="1"/>
  <c r="I159" i="8"/>
  <c r="I160" i="8" l="1"/>
  <c r="I183" i="8"/>
  <c r="I161" i="8" l="1"/>
  <c r="I184" i="8"/>
  <c r="I162" i="8" l="1"/>
  <c r="I185" i="8"/>
  <c r="I186" i="8" l="1"/>
  <c r="I163" i="8"/>
  <c r="I187" i="8" s="1"/>
  <c r="I164" i="8"/>
  <c r="I165" i="8" l="1"/>
  <c r="I188" i="8"/>
  <c r="I166" i="8" l="1"/>
  <c r="I189" i="8"/>
  <c r="I190" i="8" l="1"/>
  <c r="I167" i="8"/>
  <c r="I191" i="8" l="1"/>
  <c r="I168" i="8"/>
  <c r="I192" i="8" l="1"/>
  <c r="I169" i="8"/>
  <c r="I170" i="8" l="1"/>
  <c r="I193" i="8"/>
  <c r="I171" i="8" l="1"/>
  <c r="I194" i="8"/>
  <c r="I172" i="8" l="1"/>
  <c r="I195" i="8"/>
  <c r="I173" i="8" l="1"/>
  <c r="I196" i="8"/>
  <c r="I174" i="8" l="1"/>
  <c r="I197" i="8"/>
  <c r="I175" i="8" l="1"/>
  <c r="I198" i="8"/>
  <c r="I176" i="8" l="1"/>
  <c r="I199" i="8"/>
  <c r="I177" i="8" l="1"/>
  <c r="I200" i="8"/>
  <c r="I178" i="8" l="1"/>
  <c r="I201" i="8"/>
  <c r="I202" i="8" l="1"/>
  <c r="I203" i="8"/>
  <c r="I213" i="8" s="1"/>
  <c r="I214" i="8" s="1"/>
  <c r="I215" i="8" s="1"/>
  <c r="I216" i="8" s="1"/>
  <c r="J216" i="8" s="1"/>
  <c r="I217" i="8" l="1"/>
  <c r="I218" i="8" s="1"/>
  <c r="J218" i="8" s="1"/>
  <c r="I219" i="8" l="1"/>
  <c r="J219" i="8" s="1"/>
  <c r="I220" i="8" l="1"/>
  <c r="I221" i="8" l="1"/>
  <c r="J220" i="8"/>
  <c r="I222" i="8" l="1"/>
  <c r="J222" i="8" l="1"/>
  <c r="I228" i="8"/>
  <c r="I229" i="8"/>
  <c r="I238" i="8" s="1"/>
  <c r="J238" i="8" l="1"/>
  <c r="I239" i="8"/>
  <c r="I240" i="8" s="1"/>
  <c r="J240" i="8" l="1"/>
  <c r="I241" i="8"/>
  <c r="I242" i="8" s="1"/>
  <c r="J242" i="8" l="1"/>
  <c r="I243" i="8"/>
  <c r="J243" i="8" l="1"/>
  <c r="I244" i="8"/>
  <c r="I245" i="8" l="1"/>
  <c r="I246" i="8" l="1"/>
  <c r="J246" i="8" l="1"/>
  <c r="I251" i="8"/>
  <c r="I260" i="8" l="1"/>
  <c r="J260" i="8" l="1"/>
  <c r="I261" i="8"/>
  <c r="I262" i="8" s="1"/>
  <c r="J262" i="8" l="1"/>
  <c r="I263" i="8"/>
  <c r="I264" i="8" s="1"/>
  <c r="J264" i="8" l="1"/>
  <c r="I265" i="8"/>
  <c r="J265" i="8" l="1"/>
  <c r="I266" i="8"/>
  <c r="I267" i="8" l="1"/>
  <c r="I268" i="8" s="1"/>
  <c r="J268" i="8" l="1"/>
  <c r="I274" i="8"/>
  <c r="I275" i="8" s="1"/>
  <c r="I280" i="8" s="1"/>
  <c r="I288" i="8" s="1"/>
  <c r="I289" i="8" s="1"/>
  <c r="I290" i="8" s="1"/>
  <c r="I291" i="8" s="1"/>
  <c r="I297" i="8" s="1"/>
  <c r="I298" i="8" s="1"/>
  <c r="I303" i="8" l="1"/>
  <c r="I308" i="8" l="1"/>
  <c r="I313" i="8" l="1"/>
  <c r="I321" i="8" s="1"/>
  <c r="I322" i="8" l="1"/>
  <c r="J322" i="8" s="1"/>
  <c r="I323" i="8" l="1"/>
  <c r="I324" i="8" l="1"/>
  <c r="J324" i="8" s="1"/>
  <c r="I325" i="8" l="1"/>
  <c r="I330" i="8" s="1"/>
  <c r="I342" i="8" l="1"/>
  <c r="I343" i="8" s="1"/>
  <c r="I344" i="8" s="1"/>
  <c r="J325" i="8"/>
  <c r="I345" i="8" l="1"/>
  <c r="I346" i="8" s="1"/>
  <c r="J346" i="8" s="1"/>
  <c r="I347" i="8" l="1"/>
  <c r="J347" i="8" s="1"/>
  <c r="I348" i="8" l="1"/>
  <c r="J348" i="8" l="1"/>
  <c r="I349" i="8"/>
  <c r="I350" i="8" l="1"/>
  <c r="I351" i="8" s="1"/>
  <c r="J351" i="8" s="1"/>
  <c r="J350" i="8" l="1"/>
  <c r="I352" i="8"/>
  <c r="J352" i="8" s="1"/>
  <c r="I353" i="8" l="1"/>
  <c r="I354" i="8" s="1"/>
  <c r="J354" i="8" s="1"/>
  <c r="I355" i="8" l="1"/>
  <c r="I356" i="8" s="1"/>
  <c r="J356" i="8" s="1"/>
  <c r="I357" i="8" l="1"/>
  <c r="I358" i="8" s="1"/>
  <c r="J358" i="8" s="1"/>
  <c r="I359" i="8" l="1"/>
  <c r="J359" i="8" l="1"/>
  <c r="I360" i="8"/>
  <c r="J360" i="8" l="1"/>
  <c r="I361" i="8"/>
  <c r="I366" i="8" s="1"/>
  <c r="I373" i="8" l="1"/>
  <c r="I374" i="8" s="1"/>
  <c r="I375" i="8" s="1"/>
  <c r="I376" i="8" l="1"/>
  <c r="J376" i="8" l="1"/>
  <c r="I377" i="8"/>
  <c r="J377" i="8" l="1"/>
  <c r="I378" i="8"/>
  <c r="J378" i="8" l="1"/>
  <c r="I379" i="8"/>
  <c r="I380" i="8" l="1"/>
  <c r="J380" i="8" l="1"/>
  <c r="I381" i="8"/>
  <c r="J381" i="8" l="1"/>
  <c r="I382" i="8"/>
  <c r="I383" i="8" l="1"/>
  <c r="J383" i="8" l="1"/>
  <c r="I384" i="8"/>
  <c r="I394" i="8" l="1"/>
  <c r="I393" i="8"/>
  <c r="J384" i="8"/>
  <c r="I395" i="8"/>
  <c r="J395" i="8" l="1"/>
  <c r="I396" i="8"/>
  <c r="I397" i="8" l="1"/>
  <c r="I398" i="8" l="1"/>
  <c r="J398" i="8" l="1"/>
  <c r="I399" i="8"/>
  <c r="J399" i="8" l="1"/>
  <c r="I406" i="8"/>
  <c r="J406" i="8" l="1"/>
  <c r="I407" i="8"/>
  <c r="I408" i="8" l="1"/>
  <c r="J408" i="8" l="1"/>
  <c r="I409" i="8"/>
  <c r="J409" i="8" l="1"/>
  <c r="I410" i="8"/>
  <c r="I411" i="8" l="1"/>
  <c r="I412" i="8" l="1"/>
  <c r="J412" i="8" l="1"/>
  <c r="I413" i="8"/>
  <c r="J413" i="8" l="1"/>
  <c r="I414" i="8"/>
  <c r="J410" i="8"/>
  <c r="J414" i="8" l="1"/>
  <c r="I415" i="8"/>
  <c r="J415" i="8" l="1"/>
  <c r="I416" i="8"/>
  <c r="I417" i="8" l="1"/>
  <c r="I418" i="8" l="1"/>
  <c r="J418" i="8" s="1"/>
  <c r="I425" i="8" l="1"/>
  <c r="J425" i="8" l="1"/>
  <c r="I426" i="8"/>
  <c r="I427" i="8" l="1"/>
  <c r="J427" i="8" l="1"/>
  <c r="I428" i="8"/>
  <c r="J428" i="8" l="1"/>
  <c r="I429" i="8"/>
  <c r="I430" i="8" l="1"/>
  <c r="J397" i="8"/>
  <c r="J411" i="8"/>
  <c r="I431" i="8" l="1"/>
  <c r="J431" i="8" l="1"/>
  <c r="I432" i="8"/>
  <c r="J432" i="8" l="1"/>
  <c r="I433" i="8"/>
  <c r="J429" i="8"/>
  <c r="J433" i="8" l="1"/>
  <c r="I434" i="8"/>
  <c r="J434" i="8" l="1"/>
  <c r="I435" i="8"/>
  <c r="I436" i="8" l="1"/>
  <c r="I437" i="8" s="1"/>
  <c r="J437" i="8" s="1"/>
  <c r="I444" i="8" l="1"/>
  <c r="J444" i="8" l="1"/>
  <c r="I445" i="8"/>
  <c r="I446" i="8" l="1"/>
  <c r="J446" i="8" l="1"/>
  <c r="I447" i="8"/>
  <c r="J447" i="8" l="1"/>
  <c r="I448" i="8"/>
  <c r="I449" i="8" l="1"/>
  <c r="J430" i="8"/>
  <c r="I450" i="8" l="1"/>
  <c r="J450" i="8" l="1"/>
  <c r="I451" i="8"/>
  <c r="J448" i="8" l="1"/>
  <c r="J451" i="8"/>
  <c r="I452" i="8"/>
  <c r="J452" i="8" l="1"/>
  <c r="I453" i="8"/>
  <c r="J453" i="8" l="1"/>
  <c r="I454" i="8"/>
  <c r="I455" i="8" l="1"/>
  <c r="I456" i="8" l="1"/>
  <c r="J456" i="8" s="1"/>
  <c r="I463" i="8" l="1"/>
  <c r="I464" i="8" s="1"/>
  <c r="I465" i="8" s="1"/>
  <c r="J465" i="8" l="1"/>
  <c r="I466" i="8"/>
  <c r="I473" i="8" s="1"/>
  <c r="J463" i="8"/>
  <c r="I474" i="8" l="1"/>
  <c r="I475" i="8" s="1"/>
  <c r="J473" i="8"/>
  <c r="J466" i="8"/>
  <c r="I476" i="8" l="1"/>
  <c r="I477" i="8" s="1"/>
  <c r="J477" i="8" s="1"/>
  <c r="J475" i="8"/>
  <c r="I478" i="8" l="1"/>
  <c r="I479" i="8" s="1"/>
  <c r="I480" i="8" l="1"/>
  <c r="J480" i="8" s="1"/>
  <c r="J479" i="8"/>
  <c r="I491" i="8" l="1"/>
  <c r="J491" i="8" s="1"/>
  <c r="I492" i="8" l="1"/>
  <c r="I493" i="8" s="1"/>
  <c r="I494" i="8" s="1"/>
  <c r="I495" i="8" l="1"/>
  <c r="I496" i="8" s="1"/>
  <c r="J493" i="8"/>
  <c r="I497" i="8" l="1"/>
  <c r="I498" i="8" s="1"/>
  <c r="J498" i="8" s="1"/>
  <c r="J496" i="8"/>
  <c r="I499" i="8" l="1"/>
  <c r="J99" i="8" s="1"/>
  <c r="I500" i="8" l="1"/>
  <c r="J500" i="8" l="1"/>
  <c r="I501" i="8"/>
  <c r="J501" i="8" l="1"/>
  <c r="I510" i="8"/>
  <c r="I509" i="8"/>
  <c r="I508" i="8"/>
  <c r="I511" i="8" s="1"/>
  <c r="J510" i="8" l="1"/>
  <c r="I512" i="8"/>
  <c r="I513" i="8" s="1"/>
  <c r="J513" i="8" s="1"/>
  <c r="I514" i="8" l="1"/>
  <c r="J514" i="8" s="1"/>
  <c r="I521" i="8" l="1"/>
  <c r="J521" i="8" s="1"/>
  <c r="I522" i="8" l="1"/>
  <c r="I523" i="8" s="1"/>
  <c r="J523" i="8" s="1"/>
  <c r="I524" i="8" l="1"/>
  <c r="J524" i="8" s="1"/>
  <c r="I525" i="8" l="1"/>
  <c r="J512" i="8" s="1"/>
  <c r="I526" i="8" l="1"/>
  <c r="I527" i="8" s="1"/>
  <c r="J527" i="8" l="1"/>
  <c r="I528" i="8"/>
  <c r="J528" i="8" l="1"/>
  <c r="I529" i="8"/>
  <c r="J525" i="8"/>
  <c r="J529" i="8" l="1"/>
  <c r="I530" i="8"/>
  <c r="J530" i="8" l="1"/>
  <c r="I531" i="8"/>
  <c r="I532" i="8" l="1"/>
  <c r="I533" i="8" l="1"/>
  <c r="J533" i="8" s="1"/>
  <c r="I540" i="8" l="1"/>
  <c r="J540" i="8" l="1"/>
  <c r="I541" i="8"/>
  <c r="I542" i="8" l="1"/>
  <c r="J542" i="8" l="1"/>
  <c r="I543" i="8"/>
  <c r="J543" i="8" l="1"/>
  <c r="I544" i="8"/>
  <c r="I545" i="8" l="1"/>
  <c r="I546" i="8" s="1"/>
  <c r="J526" i="8"/>
  <c r="J546" i="8" l="1"/>
  <c r="I547" i="8"/>
  <c r="J544" i="8" s="1"/>
  <c r="J547" i="8" l="1"/>
  <c r="I548" i="8"/>
  <c r="J548" i="8" l="1"/>
  <c r="I549" i="8"/>
  <c r="J549" i="8" l="1"/>
  <c r="I550" i="8"/>
  <c r="I551" i="8" l="1"/>
  <c r="I552" i="8" l="1"/>
  <c r="J552" i="8" s="1"/>
  <c r="I559" i="8" l="1"/>
  <c r="I560" i="8" s="1"/>
  <c r="I561" i="8" s="1"/>
  <c r="J561" i="8" l="1"/>
  <c r="I562" i="8"/>
  <c r="J562" i="8" s="1"/>
  <c r="J559" i="8"/>
  <c r="I569" i="8" l="1"/>
  <c r="J569" i="8" l="1"/>
  <c r="I570" i="8"/>
  <c r="I571" i="8" l="1"/>
  <c r="I572" i="8" s="1"/>
  <c r="J572" i="8" l="1"/>
  <c r="I583" i="8"/>
  <c r="J571" i="8"/>
  <c r="J583" i="8" l="1"/>
  <c r="I584" i="8"/>
  <c r="I587" i="8" l="1"/>
  <c r="I585" i="8"/>
  <c r="J585" i="8" l="1"/>
  <c r="I586" i="8"/>
  <c r="I588" i="8" l="1"/>
  <c r="J588" i="8" l="1"/>
  <c r="I589" i="8"/>
  <c r="I590" i="8" s="1"/>
  <c r="J590" i="8" l="1"/>
  <c r="I591" i="8"/>
  <c r="I592" i="8" s="1"/>
  <c r="J592" i="8" s="1"/>
  <c r="I593" i="8" l="1"/>
  <c r="J593" i="8" s="1"/>
  <c r="I600" i="8" l="1"/>
  <c r="I607" i="8" l="1"/>
  <c r="I608" i="8" l="1"/>
  <c r="J607" i="8"/>
  <c r="I609" i="8" l="1"/>
  <c r="I610" i="8" l="1"/>
  <c r="J609" i="8"/>
  <c r="J610" i="8" l="1"/>
  <c r="I621" i="8"/>
  <c r="J621" i="8" l="1"/>
  <c r="I622" i="8"/>
  <c r="I623" i="8" l="1"/>
  <c r="I624" i="8" l="1"/>
  <c r="I625" i="8" s="1"/>
  <c r="J624" i="8" l="1"/>
  <c r="I626" i="8"/>
  <c r="J626" i="8" l="1"/>
  <c r="I627" i="8"/>
  <c r="I628" i="8" s="1"/>
  <c r="I629" i="8" l="1"/>
  <c r="J629" i="8" s="1"/>
  <c r="J628" i="8"/>
  <c r="I636" i="8" l="1"/>
  <c r="I637" i="8" s="1"/>
  <c r="I638" i="8" s="1"/>
  <c r="I639" i="8" l="1"/>
  <c r="J639" i="8" s="1"/>
  <c r="J638" i="8"/>
  <c r="J636" i="8"/>
  <c r="I650" i="8" l="1"/>
  <c r="I651" i="8" s="1"/>
  <c r="I652" i="8" s="1"/>
  <c r="J650" i="8" l="1"/>
  <c r="I653" i="8"/>
  <c r="J653" i="8" s="1"/>
  <c r="I654" i="8" l="1"/>
  <c r="I655" i="8" l="1"/>
  <c r="J655" i="8" l="1"/>
  <c r="I656" i="8"/>
  <c r="I657" i="8" s="1"/>
  <c r="I658" i="8" l="1"/>
  <c r="J658" i="8" s="1"/>
  <c r="J657" i="8"/>
  <c r="I664" i="8" l="1"/>
  <c r="I671" i="8" s="1"/>
  <c r="I672" i="8" l="1"/>
  <c r="I673" i="8" s="1"/>
  <c r="J671" i="8"/>
  <c r="I674" i="8" l="1"/>
  <c r="J674" i="8" s="1"/>
  <c r="J673" i="8"/>
  <c r="I685" i="8" l="1"/>
  <c r="I686" i="8" s="1"/>
  <c r="I687" i="8" s="1"/>
  <c r="J685" i="8" l="1"/>
  <c r="I688" i="8"/>
  <c r="J688" i="8" s="1"/>
  <c r="I689" i="8" l="1"/>
  <c r="I690" i="8" s="1"/>
  <c r="J690" i="8" s="1"/>
  <c r="I691" i="8" l="1"/>
  <c r="I692" i="8" s="1"/>
  <c r="I693" i="8" s="1"/>
  <c r="J693" i="8" s="1"/>
  <c r="J692" i="8" l="1"/>
  <c r="I701" i="8" l="1"/>
  <c r="I702" i="8" l="1"/>
  <c r="I703" i="8" l="1"/>
  <c r="J703" i="8" l="1"/>
  <c r="I704" i="8"/>
  <c r="I705" i="8" l="1"/>
  <c r="J705" i="8" s="1"/>
  <c r="I710" i="8" l="1"/>
  <c r="I717" i="8" l="1"/>
  <c r="I718" i="8" s="1"/>
  <c r="I719" i="8" s="1"/>
  <c r="I720" i="8" s="1"/>
  <c r="J720" i="8" s="1"/>
  <c r="J701" i="8"/>
  <c r="J719" i="8" l="1"/>
  <c r="J717" i="8"/>
  <c r="I731" i="8" l="1"/>
  <c r="J731" i="8" s="1"/>
  <c r="I732" i="8" l="1"/>
  <c r="I733" i="8" s="1"/>
  <c r="I734" i="8" l="1"/>
  <c r="J734" i="8" l="1"/>
  <c r="I735" i="8"/>
  <c r="I736" i="8" l="1"/>
  <c r="J736" i="8" l="1"/>
  <c r="I737" i="8"/>
  <c r="I738" i="8" l="1"/>
  <c r="I739" i="8" s="1"/>
  <c r="J739" i="8" s="1"/>
  <c r="J738" i="8" l="1"/>
  <c r="I747" i="8" l="1"/>
  <c r="I748" i="8" l="1"/>
  <c r="I749" i="8" l="1"/>
  <c r="J749" i="8" l="1"/>
  <c r="I750" i="8"/>
  <c r="I751" i="8" l="1"/>
  <c r="J751" i="8" s="1"/>
  <c r="I756" i="8" l="1"/>
  <c r="I763" i="8" l="1"/>
  <c r="I764" i="8" l="1"/>
  <c r="I765" i="8" l="1"/>
  <c r="J765" i="8" l="1"/>
  <c r="I766" i="8"/>
  <c r="I767" i="8" s="1"/>
  <c r="J767" i="8" s="1"/>
  <c r="I774" i="8" l="1"/>
  <c r="I775" i="8" l="1"/>
  <c r="I776" i="8" s="1"/>
  <c r="J776" i="8" l="1"/>
  <c r="I777" i="8"/>
  <c r="I778" i="8" s="1"/>
  <c r="J778" i="8" s="1"/>
  <c r="I785" i="8" l="1"/>
  <c r="I786" i="8" s="1"/>
  <c r="I787" i="8" s="1"/>
  <c r="I788" i="8" s="1"/>
  <c r="J788" i="8" s="1"/>
  <c r="J787" i="8" l="1"/>
  <c r="J747" i="8"/>
  <c r="J756" i="8"/>
  <c r="J763" i="8"/>
  <c r="J774" i="8"/>
  <c r="I795" i="8" l="1"/>
  <c r="J795" i="8" l="1"/>
  <c r="I796" i="8"/>
  <c r="I797" i="8" s="1"/>
  <c r="I798" i="8" l="1"/>
  <c r="J798" i="8" s="1"/>
  <c r="J797" i="8"/>
  <c r="I809" i="8" l="1"/>
  <c r="J809" i="8" l="1"/>
  <c r="I810" i="8"/>
  <c r="I811" i="8" s="1"/>
  <c r="I812" i="8" s="1"/>
  <c r="J812" i="8" s="1"/>
  <c r="I813" i="8" l="1"/>
  <c r="I814" i="8" s="1"/>
  <c r="J814" i="8" s="1"/>
  <c r="I815" i="8" l="1"/>
  <c r="I816" i="8" s="1"/>
  <c r="J816" i="8" s="1"/>
  <c r="I817" i="8" l="1"/>
  <c r="J817" i="8" s="1"/>
  <c r="I825" i="8" l="1"/>
  <c r="I826" i="8" s="1"/>
  <c r="I827" i="8" s="1"/>
  <c r="J827" i="8" s="1"/>
  <c r="I828" i="8" l="1"/>
  <c r="I829" i="8" s="1"/>
  <c r="J829" i="8" s="1"/>
  <c r="I835" i="8" l="1"/>
  <c r="I842" i="8" s="1"/>
  <c r="I843" i="8" s="1"/>
  <c r="J843" i="8" s="1"/>
  <c r="I844" i="8" l="1"/>
  <c r="I845" i="8" s="1"/>
  <c r="J835" i="8" s="1"/>
  <c r="I846" i="8" l="1"/>
  <c r="I847" i="8" s="1"/>
  <c r="J845" i="8"/>
  <c r="J847" i="8" l="1"/>
  <c r="I848" i="8"/>
  <c r="J848" i="8" s="1"/>
  <c r="I859" i="8" l="1"/>
  <c r="J859" i="8" s="1"/>
  <c r="I860" i="8" l="1"/>
  <c r="J860" i="8" s="1"/>
  <c r="I861" i="8" l="1"/>
  <c r="I862" i="8" s="1"/>
  <c r="I863" i="8" s="1"/>
  <c r="J863" i="8" l="1"/>
  <c r="I864" i="8"/>
  <c r="I865" i="8" l="1"/>
  <c r="I866" i="8" s="1"/>
  <c r="I867" i="8" s="1"/>
  <c r="J867" i="8" l="1"/>
  <c r="I868" i="8"/>
  <c r="J868" i="8" s="1"/>
  <c r="J865" i="8"/>
  <c r="I874" i="8" l="1"/>
  <c r="I881" i="8" l="1"/>
  <c r="I882" i="8" s="1"/>
  <c r="I883" i="8" l="1"/>
  <c r="I884" i="8" s="1"/>
  <c r="J874" i="8" l="1"/>
  <c r="I885" i="8"/>
  <c r="I886" i="8" s="1"/>
  <c r="I887" i="8" s="1"/>
  <c r="J887" i="8" s="1"/>
  <c r="J884" i="8"/>
  <c r="J886" i="8" l="1"/>
  <c r="I898" i="8"/>
  <c r="J898" i="8" s="1"/>
  <c r="I899" i="8" l="1"/>
  <c r="J899" i="8" s="1"/>
  <c r="I900" i="8" l="1"/>
  <c r="I901" i="8" s="1"/>
  <c r="I902" i="8" s="1"/>
  <c r="J902" i="8" s="1"/>
  <c r="I903" i="8" l="1"/>
  <c r="I904" i="8" s="1"/>
  <c r="J904" i="8" s="1"/>
  <c r="I905" i="8" l="1"/>
  <c r="I906" i="8" l="1"/>
  <c r="I907" i="8" s="1"/>
  <c r="J907" i="8" s="1"/>
  <c r="J906" i="8" l="1"/>
  <c r="I917" i="8" l="1"/>
  <c r="I918" i="8" s="1"/>
  <c r="I919" i="8" l="1"/>
  <c r="J919" i="8" s="1"/>
  <c r="I920" i="8" l="1"/>
  <c r="I921" i="8" l="1"/>
  <c r="I922" i="8" s="1"/>
  <c r="J922" i="8" s="1"/>
  <c r="I923" i="8" l="1"/>
  <c r="I924" i="8" s="1"/>
  <c r="J924" i="8" s="1"/>
  <c r="I925" i="8" l="1"/>
  <c r="J925" i="8" s="1"/>
  <c r="I934" i="8" l="1"/>
  <c r="J934" i="8" s="1"/>
  <c r="I935" i="8" l="1"/>
  <c r="I936" i="8" s="1"/>
  <c r="J936" i="8" s="1"/>
  <c r="I937" i="8" l="1"/>
  <c r="J937" i="8" s="1"/>
  <c r="J941" i="8" s="1"/>
  <c r="I938" i="8" l="1"/>
  <c r="I939" i="8" s="1"/>
  <c r="J939" i="8" l="1"/>
  <c r="I940" i="8"/>
  <c r="J940" i="8" l="1"/>
  <c r="I941" i="8"/>
  <c r="I942" i="8" l="1"/>
  <c r="J942" i="8" l="1"/>
  <c r="I943" i="8"/>
  <c r="J943" i="8" l="1"/>
  <c r="I944" i="8"/>
  <c r="I945" i="8" l="1"/>
  <c r="I946" i="8" l="1"/>
  <c r="J946" i="8" l="1"/>
  <c r="I953" i="8"/>
  <c r="J953" i="8" l="1"/>
  <c r="I954" i="8"/>
  <c r="I955" i="8" l="1"/>
  <c r="I956" i="8" l="1"/>
  <c r="I957" i="8" l="1"/>
  <c r="I958" i="8" l="1"/>
  <c r="J958" i="8" l="1"/>
  <c r="I959" i="8"/>
  <c r="I960" i="8" l="1"/>
  <c r="J960" i="8" l="1"/>
  <c r="I961" i="8"/>
  <c r="I962" i="8" l="1"/>
  <c r="I963" i="8" l="1"/>
  <c r="J963" i="8" l="1"/>
  <c r="I964" i="8"/>
  <c r="J964" i="8" l="1"/>
  <c r="I965" i="8"/>
  <c r="I966" i="8" l="1"/>
  <c r="I967" i="8" l="1"/>
  <c r="J957" i="8" s="1"/>
  <c r="J967" i="8" l="1"/>
  <c r="I972" i="8"/>
  <c r="I977" i="8" l="1"/>
  <c r="I982" i="8" l="1"/>
  <c r="I992" i="8" l="1"/>
  <c r="I993" i="8" l="1"/>
  <c r="I994" i="8" l="1"/>
  <c r="I995" i="8" l="1"/>
  <c r="I996" i="8" l="1"/>
  <c r="I997" i="8" l="1"/>
  <c r="I998" i="8" l="1"/>
  <c r="I999" i="8"/>
  <c r="J999" i="8" l="1"/>
  <c r="I1000" i="8"/>
  <c r="I1001" i="8" l="1"/>
  <c r="I1002" i="8" l="1"/>
  <c r="I1003" i="8" l="1"/>
  <c r="I1004" i="8" l="1"/>
  <c r="I1005" i="8"/>
  <c r="J1005" i="8" l="1"/>
  <c r="I1016" i="8"/>
  <c r="I1017" i="8" l="1"/>
  <c r="A1116" i="8"/>
  <c r="A985" i="8"/>
  <c r="A986" i="8" s="1"/>
  <c r="I1018" i="8" l="1"/>
  <c r="J1018" i="8" l="1"/>
  <c r="I1019" i="8"/>
  <c r="J1019" i="8" l="1"/>
  <c r="I1020" i="8"/>
  <c r="I1021" i="8" l="1"/>
  <c r="I1022" i="8" l="1"/>
  <c r="J1022" i="8" l="1"/>
  <c r="I1023" i="8"/>
  <c r="J1023" i="8" l="1"/>
  <c r="I1024" i="8"/>
  <c r="I1025" i="8" l="1"/>
  <c r="I1026" i="8" s="1"/>
  <c r="J1026" i="8" l="1"/>
  <c r="I1027" i="8"/>
  <c r="J1027" i="8" l="1"/>
  <c r="I1028" i="8"/>
  <c r="I1029" i="8" s="1"/>
  <c r="I1030" i="8" s="1"/>
  <c r="J1030" i="8" l="1"/>
  <c r="I1031" i="8"/>
  <c r="J1031" i="8" l="1"/>
  <c r="I1032" i="8"/>
  <c r="I1033" i="8" s="1"/>
  <c r="I1034" i="8" s="1"/>
  <c r="J1034" i="8" l="1"/>
  <c r="I1035" i="8"/>
  <c r="J1035" i="8" l="1"/>
  <c r="I1036" i="8"/>
  <c r="I1037" i="8" s="1"/>
  <c r="I1038" i="8" s="1"/>
  <c r="J1038" i="8" l="1"/>
  <c r="I1039" i="8"/>
  <c r="J1039" i="8" l="1"/>
  <c r="I1040" i="8"/>
  <c r="I1041" i="8" s="1"/>
  <c r="I1042" i="8" s="1"/>
  <c r="J1042" i="8" l="1"/>
  <c r="I1043" i="8"/>
  <c r="J1043" i="8" l="1"/>
  <c r="I1044" i="8"/>
  <c r="J1044" i="8" l="1"/>
  <c r="I1049" i="8"/>
  <c r="I1071" i="8" s="1"/>
  <c r="I1072" i="8" s="1"/>
  <c r="I1073" i="8" s="1"/>
  <c r="I1074" i="8" s="1"/>
  <c r="I1075" i="8" s="1"/>
  <c r="I1076" i="8" s="1"/>
  <c r="I1077" i="8" s="1"/>
  <c r="I1078" i="8" s="1"/>
  <c r="I1079" i="8" s="1"/>
  <c r="I1080" i="8" s="1"/>
  <c r="I1081" i="8" l="1"/>
  <c r="I1082" i="8" s="1"/>
  <c r="I1083" i="8" s="1"/>
  <c r="I1084" i="8" s="1"/>
  <c r="I1085" i="8" s="1"/>
  <c r="I1086" i="8" s="1"/>
  <c r="I1087" i="8" s="1"/>
  <c r="I1088" i="8" s="1"/>
  <c r="I1093" i="8" l="1"/>
  <c r="I1094" i="8" s="1"/>
  <c r="I1095" i="8" s="1"/>
  <c r="J1095" i="8" s="1"/>
  <c r="I1100" i="8" l="1"/>
  <c r="I1101" i="8" s="1"/>
  <c r="I1102" i="8" l="1"/>
  <c r="J1102" i="8" s="1"/>
  <c r="I1106" i="8"/>
  <c r="I1107" i="8" s="1"/>
  <c r="I1108" i="8" s="1"/>
  <c r="J1108" i="8" s="1"/>
  <c r="I1113" i="8" l="1"/>
  <c r="I1114" i="8" s="1"/>
  <c r="I1115" i="8" s="1"/>
  <c r="J1115" i="8" s="1"/>
  <c r="I1124" i="8" l="1"/>
  <c r="I1125" i="8" s="1"/>
  <c r="I1131" i="8" s="1"/>
  <c r="I1132" i="8" s="1"/>
  <c r="I1137" i="8" s="1"/>
  <c r="I1142" i="8" s="1"/>
  <c r="I1147" i="8" s="1"/>
  <c r="I1153" i="8" s="1"/>
  <c r="I1154" i="8" l="1"/>
  <c r="I1155" i="8" s="1"/>
  <c r="J1153" i="8"/>
  <c r="I1156" i="8"/>
  <c r="J1156" i="8" l="1"/>
  <c r="I1158" i="8"/>
  <c r="I1157" i="8"/>
  <c r="J1158" i="8" l="1"/>
  <c r="I1168" i="8"/>
  <c r="J1168" i="8" l="1"/>
  <c r="I1169" i="8"/>
  <c r="J1169" i="8" s="1"/>
  <c r="I1174" i="8"/>
  <c r="I1170" i="8" l="1"/>
  <c r="J1170" i="8" s="1"/>
  <c r="I1171" i="8" l="1"/>
  <c r="J1171" i="8" s="1"/>
  <c r="I1172" i="8" l="1"/>
  <c r="J1172" i="8" l="1"/>
  <c r="I1173" i="8"/>
  <c r="J1173" i="8" s="1"/>
  <c r="I1175" i="8" l="1"/>
  <c r="J1175" i="8" s="1"/>
  <c r="I1176" i="8" l="1"/>
  <c r="I1177" i="8" l="1"/>
  <c r="I1178" i="8" s="1"/>
  <c r="J1178" i="8" s="1"/>
  <c r="J1177" i="8" l="1"/>
  <c r="I1179" i="8"/>
  <c r="I1180" i="8" s="1"/>
  <c r="I1181" i="8" s="1"/>
  <c r="J1181" i="8" s="1"/>
  <c r="I1186" i="8" l="1"/>
  <c r="I1187" i="8" s="1"/>
  <c r="J1188" i="8" s="1"/>
  <c r="I1188" i="8"/>
  <c r="I1193" i="8" l="1"/>
  <c r="I1198" i="8" l="1"/>
  <c r="I1203" i="8" l="1"/>
  <c r="I1213" i="8" s="1"/>
  <c r="I1214" i="8" s="1"/>
  <c r="I1215" i="8" s="1"/>
  <c r="J1215" i="8" s="1"/>
  <c r="I1216" i="8" l="1"/>
  <c r="I1217" i="8" s="1"/>
  <c r="J1217" i="8" s="1"/>
  <c r="I1218" i="8" l="1"/>
  <c r="I1219" i="8" s="1"/>
  <c r="I1220" i="8" s="1"/>
  <c r="J1220" i="8" s="1"/>
  <c r="I1221" i="8" l="1"/>
  <c r="I1222" i="8" s="1"/>
  <c r="J1222" i="8" s="1"/>
  <c r="I1223" i="8" l="1"/>
  <c r="I1224" i="8" s="1"/>
  <c r="I1225" i="8" s="1"/>
  <c r="J1225" i="8" s="1"/>
  <c r="I1226" i="8" l="1"/>
  <c r="I1227" i="8" s="1"/>
  <c r="J1227" i="8" s="1"/>
  <c r="I1228" i="8" l="1"/>
  <c r="I1229" i="8" s="1"/>
  <c r="I1230" i="8" s="1"/>
  <c r="J1230" i="8" s="1"/>
  <c r="I1231" i="8" l="1"/>
  <c r="I1232" i="8" s="1"/>
  <c r="J1232" i="8" s="1"/>
  <c r="I1233" i="8" l="1"/>
  <c r="I1234" i="8" s="1"/>
  <c r="I1235" i="8" s="1"/>
  <c r="J1235" i="8" s="1"/>
  <c r="I1236" i="8" l="1"/>
  <c r="I1237" i="8" s="1"/>
  <c r="J1237" i="8" s="1"/>
  <c r="I1238" i="8" l="1"/>
  <c r="J1238" i="8" s="1"/>
  <c r="I1239" i="8" l="1"/>
  <c r="I1245" i="8" l="1"/>
  <c r="I1246" i="8" s="1"/>
  <c r="I1257" i="8" s="1"/>
  <c r="J1257" i="8" s="1"/>
  <c r="J1239" i="8"/>
  <c r="B195" i="6"/>
  <c r="C195" i="6" s="1"/>
  <c r="I1258" i="8" l="1"/>
  <c r="I1259" i="8" s="1"/>
  <c r="J1259" i="8" s="1"/>
  <c r="B108" i="8"/>
  <c r="B114" i="8"/>
  <c r="D74" i="6"/>
  <c r="B116" i="8" s="1"/>
  <c r="I1260" i="8" l="1"/>
  <c r="J1260" i="8" s="1"/>
  <c r="D76" i="6"/>
  <c r="D77" i="6" s="1"/>
  <c r="I1261" i="8" l="1"/>
  <c r="B119" i="8"/>
  <c r="D78" i="6"/>
  <c r="B125" i="8"/>
  <c r="I1262" i="8" l="1"/>
  <c r="I1263" i="8" s="1"/>
  <c r="J1261" i="8"/>
  <c r="D79" i="6"/>
  <c r="B126" i="8"/>
  <c r="J1263" i="8" l="1"/>
  <c r="J1262" i="8"/>
  <c r="I1272" i="8"/>
  <c r="I1273" i="8" s="1"/>
  <c r="I1274" i="8" s="1"/>
  <c r="J1274" i="8" s="1"/>
  <c r="D82" i="6"/>
  <c r="B131" i="8"/>
  <c r="I1275" i="8" l="1"/>
  <c r="J1275" i="8" s="1"/>
  <c r="D83" i="6"/>
  <c r="B136" i="8"/>
  <c r="I1276" i="8" l="1"/>
  <c r="I1277" i="8" s="1"/>
  <c r="J1277" i="8" s="1"/>
  <c r="D84" i="6"/>
  <c r="B137" i="8"/>
  <c r="B138" i="8" l="1"/>
  <c r="D85" i="6"/>
  <c r="D86" i="6" l="1"/>
  <c r="B139" i="8"/>
  <c r="D87" i="6" l="1"/>
  <c r="B140" i="8"/>
  <c r="D88" i="6" l="1"/>
  <c r="B141" i="8"/>
  <c r="D89" i="6" l="1"/>
  <c r="B142" i="8"/>
  <c r="D90" i="6" l="1"/>
  <c r="B143" i="8"/>
  <c r="B144" i="8" l="1"/>
  <c r="D91" i="6"/>
  <c r="D92" i="6" l="1"/>
  <c r="B145" i="8"/>
  <c r="B146" i="8" l="1"/>
  <c r="D93" i="6"/>
  <c r="D94" i="6" l="1"/>
  <c r="B147" i="8"/>
  <c r="D95" i="6" l="1"/>
  <c r="B148" i="8"/>
  <c r="D96" i="6" l="1"/>
  <c r="B149" i="8"/>
  <c r="B150" i="8" l="1"/>
  <c r="D97" i="6"/>
  <c r="D98" i="6" l="1"/>
  <c r="B151" i="8"/>
  <c r="D99" i="6" l="1"/>
  <c r="B152" i="8"/>
  <c r="B153" i="8" l="1"/>
  <c r="D100" i="6"/>
  <c r="D101" i="6" l="1"/>
  <c r="B154" i="8"/>
  <c r="D102" i="6" l="1"/>
  <c r="B155" i="8"/>
  <c r="D103" i="6" l="1"/>
  <c r="B156" i="8"/>
  <c r="D104" i="6" l="1"/>
  <c r="B157" i="8"/>
  <c r="D105" i="6" l="1"/>
  <c r="B158" i="8"/>
  <c r="B159" i="8" l="1"/>
  <c r="D106" i="6"/>
  <c r="D107" i="6" l="1"/>
  <c r="B160" i="8"/>
  <c r="D108" i="6" l="1"/>
  <c r="B161" i="8"/>
  <c r="D109" i="6" l="1"/>
  <c r="B162" i="8"/>
  <c r="D110" i="6" l="1"/>
  <c r="B163" i="8"/>
  <c r="D111" i="6" l="1"/>
  <c r="B164" i="8"/>
  <c r="B165" i="8" l="1"/>
  <c r="D112" i="6"/>
  <c r="D113" i="6" l="1"/>
  <c r="B166" i="8"/>
  <c r="D114" i="6" l="1"/>
  <c r="B167" i="8"/>
  <c r="D115" i="6" l="1"/>
  <c r="B168" i="8"/>
  <c r="D116" i="6" l="1"/>
  <c r="B169" i="8"/>
  <c r="D117" i="6" l="1"/>
  <c r="B170" i="8"/>
  <c r="B171" i="8" l="1"/>
  <c r="D118" i="6"/>
  <c r="D119" i="6" l="1"/>
  <c r="B172" i="8"/>
  <c r="D120" i="6" l="1"/>
  <c r="B173" i="8"/>
  <c r="D121" i="6" l="1"/>
  <c r="B174" i="8"/>
  <c r="D122" i="6" l="1"/>
  <c r="B175" i="8"/>
  <c r="D123" i="6" l="1"/>
  <c r="B176" i="8"/>
  <c r="B177" i="8" l="1"/>
  <c r="D124" i="6"/>
  <c r="D125" i="6" l="1"/>
  <c r="B178" i="8"/>
  <c r="D126" i="6" l="1"/>
  <c r="B179" i="8"/>
  <c r="D127" i="6" l="1"/>
  <c r="B180" i="8"/>
  <c r="B181" i="8" l="1"/>
  <c r="D128" i="6"/>
  <c r="B182" i="8" l="1"/>
  <c r="D129" i="6"/>
  <c r="D130" i="6" l="1"/>
  <c r="B183" i="8"/>
  <c r="D131" i="6" l="1"/>
  <c r="B184" i="8"/>
  <c r="D132" i="6" l="1"/>
  <c r="B185" i="8"/>
  <c r="D133" i="6" l="1"/>
  <c r="B186" i="8"/>
  <c r="B187" i="8" l="1"/>
  <c r="D134" i="6"/>
  <c r="B188" i="8" l="1"/>
  <c r="D135" i="6"/>
  <c r="D136" i="6" l="1"/>
  <c r="B189" i="8"/>
  <c r="D137" i="6" l="1"/>
  <c r="B190" i="8"/>
  <c r="D138" i="6" l="1"/>
  <c r="B191" i="8"/>
  <c r="D139" i="6" l="1"/>
  <c r="D140" i="6" s="1"/>
  <c r="B192" i="8"/>
  <c r="B194" i="8" l="1"/>
  <c r="D141" i="6"/>
  <c r="B195" i="8" s="1"/>
  <c r="B193" i="8"/>
  <c r="D142" i="6" l="1"/>
  <c r="B196" i="8" s="1"/>
  <c r="D143" i="6" l="1"/>
  <c r="B197" i="8" s="1"/>
  <c r="D144" i="6" l="1"/>
  <c r="D146" i="6" l="1"/>
  <c r="B198" i="8"/>
  <c r="D145" i="6"/>
  <c r="B199" i="8" l="1"/>
  <c r="D147" i="6"/>
  <c r="B200" i="8"/>
  <c r="D148" i="6"/>
  <c r="B202" i="8" s="1"/>
  <c r="B201" i="8" l="1"/>
  <c r="D149" i="6"/>
  <c r="D152" i="6" l="1"/>
  <c r="B203" i="8"/>
  <c r="B213" i="8" l="1"/>
  <c r="D153" i="6"/>
  <c r="B214" i="8" l="1"/>
  <c r="D154" i="6"/>
  <c r="D150" i="6" l="1"/>
  <c r="B215" i="8"/>
  <c r="B218" i="8" l="1"/>
  <c r="D151" i="6"/>
  <c r="D155" i="6" l="1"/>
  <c r="B220" i="8"/>
  <c r="B222" i="8" l="1"/>
  <c r="D156" i="6"/>
  <c r="D157" i="6" l="1"/>
  <c r="B228" i="8"/>
  <c r="D158" i="6" l="1"/>
  <c r="D159" i="6" s="1"/>
  <c r="D160" i="6" s="1"/>
  <c r="D161" i="6" s="1"/>
  <c r="B229" i="8"/>
  <c r="B240" i="8" s="1"/>
  <c r="B243" i="8" s="1"/>
  <c r="B246" i="8" l="1"/>
  <c r="B245" i="8"/>
  <c r="D162" i="6"/>
  <c r="D163" i="6" s="1"/>
  <c r="D164" i="6" s="1"/>
  <c r="D165" i="6" s="1"/>
  <c r="D166" i="6" s="1"/>
  <c r="D167" i="6" s="1"/>
  <c r="B251" i="8"/>
  <c r="B262" i="8" s="1"/>
  <c r="B265" i="8" s="1"/>
  <c r="B267" i="8" l="1"/>
  <c r="B268" i="8"/>
  <c r="B274" i="8" s="1"/>
  <c r="B275" i="8" s="1"/>
  <c r="D168" i="6"/>
  <c r="B280" i="8"/>
  <c r="D169" i="6" l="1"/>
  <c r="B288" i="8"/>
  <c r="D170" i="6" l="1"/>
  <c r="B289" i="8"/>
  <c r="B290" i="8" l="1"/>
  <c r="D171" i="6"/>
  <c r="D172" i="6" l="1"/>
  <c r="B291" i="8"/>
  <c r="D173" i="6" l="1"/>
  <c r="D174" i="6" s="1"/>
  <c r="D175" i="6" s="1"/>
  <c r="D176" i="6" s="1"/>
  <c r="D180" i="6" s="1"/>
  <c r="B297" i="8"/>
  <c r="B298" i="8" l="1"/>
  <c r="B303" i="8" s="1"/>
  <c r="B308" i="8" s="1"/>
  <c r="B313" i="8" s="1"/>
  <c r="D181" i="6" l="1"/>
  <c r="B325" i="8"/>
  <c r="D187" i="6" l="1"/>
  <c r="B330" i="8"/>
  <c r="B344" i="8" l="1"/>
  <c r="D182" i="6"/>
  <c r="D183" i="6" l="1"/>
  <c r="B352" i="8"/>
  <c r="D184" i="6" l="1"/>
  <c r="B348" i="8"/>
  <c r="D185" i="6" l="1"/>
  <c r="B354" i="8"/>
  <c r="B359" i="8" l="1"/>
  <c r="D186" i="6"/>
  <c r="D188" i="6" l="1"/>
  <c r="B360" i="8"/>
  <c r="D189" i="6" l="1"/>
  <c r="B366" i="8"/>
  <c r="D193" i="6" l="1"/>
  <c r="B384" i="8"/>
  <c r="B399" i="8" l="1"/>
  <c r="B426" i="8" s="1"/>
  <c r="D194" i="6"/>
  <c r="D195" i="6" l="1"/>
  <c r="B415" i="8"/>
  <c r="B418" i="8" l="1"/>
  <c r="D196" i="6"/>
  <c r="B434" i="8" l="1"/>
  <c r="D197" i="6"/>
  <c r="B437" i="8" l="1"/>
  <c r="B445" i="8" s="1"/>
  <c r="D198" i="6"/>
  <c r="B453" i="8" l="1"/>
  <c r="D199" i="6"/>
  <c r="D200" i="6" l="1"/>
  <c r="D201" i="6" s="1"/>
  <c r="D202" i="6" s="1"/>
  <c r="D203" i="6" s="1"/>
  <c r="B456" i="8"/>
  <c r="B463" i="8" s="1"/>
  <c r="B465" i="8" s="1"/>
  <c r="B466" i="8" s="1"/>
  <c r="B477" i="8" l="1"/>
  <c r="B479" i="8" s="1"/>
  <c r="B480" i="8" s="1"/>
  <c r="D204" i="6"/>
  <c r="D205" i="6" s="1"/>
  <c r="D206" i="6" s="1"/>
  <c r="B496" i="8" l="1"/>
  <c r="B498" i="8" s="1"/>
  <c r="B500" i="8" s="1"/>
  <c r="B501" i="8" s="1"/>
  <c r="D207" i="6"/>
  <c r="D208" i="6" s="1"/>
  <c r="D209" i="6" s="1"/>
  <c r="D212" i="6" s="1"/>
  <c r="B514" i="8" l="1"/>
  <c r="B522" i="8" s="1"/>
  <c r="D213" i="6"/>
  <c r="D214" i="6" l="1"/>
  <c r="B530" i="8"/>
  <c r="D215" i="6" l="1"/>
  <c r="B533" i="8"/>
  <c r="B549" i="8" l="1"/>
  <c r="D216" i="6"/>
  <c r="D217" i="6" l="1"/>
  <c r="D218" i="6" s="1"/>
  <c r="D219" i="6" s="1"/>
  <c r="D220" i="6" s="1"/>
  <c r="B552" i="8"/>
  <c r="B559" i="8" s="1"/>
  <c r="B561" i="8" s="1"/>
  <c r="B562" i="8" s="1"/>
  <c r="D221" i="6" l="1"/>
  <c r="D222" i="6" s="1"/>
  <c r="D223" i="6" s="1"/>
  <c r="B569" i="8"/>
  <c r="B571" i="8" s="1"/>
  <c r="B572" i="8" s="1"/>
  <c r="B588" i="8" l="1"/>
  <c r="B590" i="8" s="1"/>
  <c r="B592" i="8" s="1"/>
  <c r="B593" i="8" s="1"/>
  <c r="D224" i="6"/>
  <c r="D225" i="6" s="1"/>
  <c r="D226" i="6" l="1"/>
  <c r="D229" i="6" s="1"/>
  <c r="D230" i="6" s="1"/>
  <c r="D231" i="6" s="1"/>
  <c r="D232" i="6" s="1"/>
  <c r="D233" i="6" s="1"/>
  <c r="D234" i="6" s="1"/>
  <c r="D235" i="6" s="1"/>
  <c r="D236" i="6" s="1"/>
  <c r="D237" i="6" s="1"/>
  <c r="D238" i="6" s="1"/>
  <c r="D239" i="6" s="1"/>
  <c r="D240" i="6" s="1"/>
  <c r="B600" i="8"/>
  <c r="B607" i="8" s="1"/>
  <c r="B622" i="8" l="1"/>
  <c r="B624" i="8"/>
  <c r="B626" i="8" s="1"/>
  <c r="B628" i="8" s="1"/>
  <c r="B629" i="8" s="1"/>
  <c r="B636" i="8" s="1"/>
  <c r="B638" i="8" s="1"/>
  <c r="B639" i="8" s="1"/>
  <c r="B609" i="8"/>
  <c r="B610" i="8" s="1"/>
  <c r="D241" i="6"/>
  <c r="D242" i="6" s="1"/>
  <c r="D243" i="6" s="1"/>
  <c r="D246" i="6" s="1"/>
  <c r="B653" i="8"/>
  <c r="B655" i="8" s="1"/>
  <c r="B657" i="8" s="1"/>
  <c r="B658" i="8" s="1"/>
  <c r="B664" i="8" l="1"/>
  <c r="B671" i="8" s="1"/>
  <c r="D247" i="6"/>
  <c r="D248" i="6" s="1"/>
  <c r="D249" i="6" s="1"/>
  <c r="D250" i="6" s="1"/>
  <c r="D251" i="6" s="1"/>
  <c r="D252" i="6" s="1"/>
  <c r="D253" i="6" s="1"/>
  <c r="D256" i="6" s="1"/>
  <c r="B703" i="8" l="1"/>
  <c r="B705" i="8" s="1"/>
  <c r="B710" i="8" s="1"/>
  <c r="B717" i="8" s="1"/>
  <c r="B719" i="8" s="1"/>
  <c r="B720" i="8" s="1"/>
  <c r="B734" i="8" s="1"/>
  <c r="B736" i="8" s="1"/>
  <c r="B738" i="8" s="1"/>
  <c r="B739" i="8" s="1"/>
  <c r="D257" i="6"/>
  <c r="D258" i="6" s="1"/>
  <c r="D259" i="6" s="1"/>
  <c r="D260" i="6" s="1"/>
  <c r="D261" i="6" s="1"/>
  <c r="D262" i="6" s="1"/>
  <c r="D263" i="6" s="1"/>
  <c r="D264" i="6" s="1"/>
  <c r="D265" i="6" s="1"/>
  <c r="D268" i="6" s="1"/>
  <c r="B673" i="8"/>
  <c r="B674" i="8" s="1"/>
  <c r="B686" i="8"/>
  <c r="B688" i="8"/>
  <c r="B690" i="8" s="1"/>
  <c r="B692" i="8" s="1"/>
  <c r="B693" i="8" s="1"/>
  <c r="D269" i="6" l="1"/>
  <c r="B749" i="8"/>
  <c r="B751" i="8" s="1"/>
  <c r="B756" i="8" s="1"/>
  <c r="B765" i="8" s="1"/>
  <c r="B767" i="8" s="1"/>
  <c r="B776" i="8" s="1"/>
  <c r="B778" i="8" s="1"/>
  <c r="B785" i="8" s="1"/>
  <c r="B787" i="8" l="1"/>
  <c r="D270" i="6"/>
  <c r="B788" i="8" l="1"/>
  <c r="B795" i="8" s="1"/>
  <c r="B797" i="8" s="1"/>
  <c r="B798" i="8" s="1"/>
  <c r="B812" i="8" s="1"/>
  <c r="B814" i="8" s="1"/>
  <c r="B816" i="8" s="1"/>
  <c r="B817" i="8" s="1"/>
  <c r="D271" i="6"/>
  <c r="D272" i="6" l="1"/>
  <c r="D273" i="6" l="1"/>
  <c r="D274" i="6" l="1"/>
  <c r="D275" i="6" s="1"/>
  <c r="D276" i="6" s="1"/>
  <c r="D277" i="6" s="1"/>
  <c r="D278" i="6" s="1"/>
  <c r="D279" i="6" s="1"/>
  <c r="D280" i="6" s="1"/>
  <c r="D281" i="6" s="1"/>
  <c r="D282" i="6" s="1"/>
  <c r="D283" i="6" s="1"/>
  <c r="D284" i="6" s="1"/>
  <c r="D287" i="6" l="1"/>
  <c r="B827" i="8" l="1"/>
  <c r="B829" i="8" s="1"/>
  <c r="D288" i="6"/>
  <c r="D291" i="6" l="1"/>
  <c r="D292" i="6" l="1"/>
  <c r="D293" i="6" s="1"/>
  <c r="D294" i="6" s="1"/>
  <c r="D295" i="6" s="1"/>
  <c r="D296" i="6" s="1"/>
  <c r="D297" i="6" s="1"/>
  <c r="D298" i="6" s="1"/>
  <c r="B835" i="8"/>
  <c r="B845" i="8" s="1"/>
  <c r="B847" i="8" l="1"/>
  <c r="D301" i="6"/>
  <c r="B848" i="8" l="1"/>
  <c r="B863" i="8" s="1"/>
  <c r="B865" i="8" s="1"/>
  <c r="B867" i="8" s="1"/>
  <c r="B868" i="8" s="1"/>
  <c r="D302" i="6"/>
  <c r="D303" i="6" s="1"/>
  <c r="D304" i="6" s="1"/>
  <c r="D305" i="6" s="1"/>
  <c r="D306" i="6" s="1"/>
  <c r="D307" i="6" s="1"/>
  <c r="D308" i="6" s="1"/>
  <c r="B874" i="8"/>
  <c r="B884" i="8" s="1"/>
  <c r="B886" i="8" l="1"/>
  <c r="D313" i="6"/>
  <c r="B887" i="8" l="1"/>
  <c r="B902" i="8" s="1"/>
  <c r="B904" i="8" s="1"/>
  <c r="B906" i="8" s="1"/>
  <c r="B907" i="8" s="1"/>
  <c r="B924" i="8"/>
  <c r="B925" i="8" s="1"/>
  <c r="B940" i="8" s="1"/>
  <c r="B943" i="8" s="1"/>
  <c r="D312" i="6"/>
  <c r="B946" i="8" l="1"/>
  <c r="B945" i="8"/>
  <c r="D314" i="6"/>
  <c r="D315" i="6" l="1"/>
  <c r="D316" i="6" l="1"/>
  <c r="D317" i="6" l="1"/>
  <c r="B957" i="8" l="1"/>
  <c r="B967" i="8" s="1"/>
  <c r="B972" i="8" s="1"/>
  <c r="B977" i="8" s="1"/>
  <c r="D318" i="6"/>
  <c r="D319" i="6" l="1"/>
  <c r="D320" i="6" l="1"/>
  <c r="D321" i="6" l="1"/>
  <c r="B982" i="8" l="1"/>
  <c r="D324" i="6"/>
  <c r="D325" i="6" l="1"/>
  <c r="B999" i="8"/>
  <c r="B1005" i="8" s="1"/>
  <c r="B1044" i="8" s="1"/>
  <c r="M225" i="6" s="1"/>
  <c r="M226" i="6" s="1"/>
  <c r="M36" i="6" l="1"/>
  <c r="M37" i="6"/>
  <c r="M223" i="6"/>
  <c r="M23" i="6"/>
  <c r="B1049" i="8"/>
  <c r="M184" i="6"/>
  <c r="Q184" i="6" s="1"/>
  <c r="R184" i="6" s="1"/>
  <c r="M185" i="6"/>
  <c r="Q185" i="6" s="1"/>
  <c r="R185" i="6" s="1"/>
  <c r="M186" i="6"/>
  <c r="Q186" i="6" s="1"/>
  <c r="R186" i="6" s="1"/>
  <c r="M187" i="6"/>
  <c r="Q187" i="6" s="1"/>
  <c r="R187" i="6" s="1"/>
  <c r="M188" i="6"/>
  <c r="Q188" i="6" s="1"/>
  <c r="R188" i="6" s="1"/>
  <c r="M189" i="6"/>
  <c r="Q189" i="6" s="1"/>
  <c r="R189" i="6" s="1"/>
  <c r="M175" i="6"/>
  <c r="M176" i="6"/>
  <c r="D326" i="6"/>
  <c r="Q176" i="6" l="1"/>
  <c r="R176" i="6" s="1"/>
  <c r="Q175" i="6"/>
  <c r="R175" i="6" s="1"/>
  <c r="D327" i="6"/>
  <c r="D328" i="6" l="1"/>
  <c r="D329" i="6" l="1"/>
  <c r="B1071" i="8"/>
  <c r="M174" i="6" s="1"/>
  <c r="Q174" i="6" l="1"/>
  <c r="R174" i="6" s="1"/>
  <c r="M148" i="6"/>
  <c r="M149" i="6"/>
  <c r="M146" i="6"/>
  <c r="Q146" i="6" s="1"/>
  <c r="R146" i="6" s="1"/>
  <c r="M141" i="6"/>
  <c r="M142" i="6"/>
  <c r="M143" i="6"/>
  <c r="M144" i="6"/>
  <c r="M145" i="6"/>
  <c r="M147" i="6"/>
  <c r="M207" i="6"/>
  <c r="M140" i="6"/>
  <c r="M55" i="6"/>
  <c r="Q55" i="6" s="1"/>
  <c r="R55" i="6" s="1"/>
  <c r="M60" i="6"/>
  <c r="M182" i="6"/>
  <c r="M183" i="6"/>
  <c r="Q183" i="6" s="1"/>
  <c r="R183" i="6" s="1"/>
  <c r="M35" i="6"/>
  <c r="Q35" i="6" s="1"/>
  <c r="R35" i="6" s="1"/>
  <c r="M65" i="6"/>
  <c r="M66" i="6"/>
  <c r="M173" i="6"/>
  <c r="Q173" i="6" s="1"/>
  <c r="R173" i="6" s="1"/>
  <c r="B1072" i="8"/>
  <c r="D330" i="6"/>
  <c r="Q149" i="6" l="1"/>
  <c r="R149" i="6" s="1"/>
  <c r="Q148" i="6"/>
  <c r="R148" i="6" s="1"/>
  <c r="Q147" i="6"/>
  <c r="R147" i="6" s="1"/>
  <c r="Q145" i="6"/>
  <c r="R145" i="6" s="1"/>
  <c r="Q144" i="6"/>
  <c r="R144" i="6" s="1"/>
  <c r="Q143" i="6"/>
  <c r="R143" i="6" s="1"/>
  <c r="Q142" i="6"/>
  <c r="R142" i="6" s="1"/>
  <c r="Q141" i="6"/>
  <c r="R141" i="6" s="1"/>
  <c r="Q140" i="6"/>
  <c r="R140" i="6" s="1"/>
  <c r="Q60" i="6"/>
  <c r="R60" i="6" s="1"/>
  <c r="D331" i="6"/>
  <c r="B1073" i="8"/>
  <c r="D332" i="6" l="1"/>
  <c r="B1074" i="8"/>
  <c r="D333" i="6" l="1"/>
  <c r="B1075" i="8"/>
  <c r="D334" i="6" l="1"/>
  <c r="B1076" i="8"/>
  <c r="D335" i="6" l="1"/>
  <c r="B1077" i="8"/>
  <c r="B1078" i="8" l="1"/>
  <c r="D336" i="6"/>
  <c r="D337" i="6" s="1"/>
  <c r="D338" i="6" s="1"/>
  <c r="D339" i="6" s="1"/>
  <c r="D340" i="6" s="1"/>
  <c r="D341" i="6" s="1"/>
  <c r="D342" i="6" s="1"/>
  <c r="D343" i="6" s="1"/>
  <c r="D344" i="6" s="1"/>
  <c r="B1087" i="8" l="1"/>
  <c r="D345" i="6"/>
  <c r="B1079" i="8"/>
  <c r="B1088" i="8" l="1"/>
  <c r="D346" i="6"/>
  <c r="D347" i="6" s="1"/>
  <c r="D348" i="6" s="1"/>
  <c r="D349" i="6" s="1"/>
  <c r="B1080" i="8"/>
  <c r="B1081" i="8" l="1"/>
  <c r="B1082" i="8" l="1"/>
  <c r="B1083" i="8" l="1"/>
  <c r="B1084" i="8" l="1"/>
  <c r="B1095" i="8" l="1"/>
  <c r="B1085" i="8"/>
  <c r="B1086" i="8" l="1"/>
  <c r="B1102" i="8"/>
  <c r="B1108" i="8" l="1"/>
  <c r="D352" i="6" l="1"/>
  <c r="B1115" i="8"/>
  <c r="M202" i="6"/>
  <c r="M204" i="6"/>
  <c r="M201" i="6"/>
  <c r="M205" i="6"/>
  <c r="M194" i="6"/>
  <c r="M196" i="6"/>
  <c r="M197" i="6"/>
  <c r="M198" i="6"/>
  <c r="M199" i="6"/>
  <c r="M200" i="6"/>
  <c r="M203" i="6"/>
  <c r="M206" i="6"/>
  <c r="M208" i="6"/>
  <c r="M209" i="6"/>
  <c r="M212" i="6"/>
  <c r="M213" i="6"/>
  <c r="M214" i="6"/>
  <c r="M215" i="6"/>
  <c r="M216" i="6"/>
  <c r="M217" i="6"/>
  <c r="M220" i="6"/>
  <c r="M224" i="6"/>
  <c r="M229" i="6"/>
  <c r="M230" i="6"/>
  <c r="M233" i="6"/>
  <c r="B233" i="6" s="1"/>
  <c r="C233" i="6" s="1"/>
  <c r="M234" i="6"/>
  <c r="B234" i="6" s="1"/>
  <c r="C234" i="6" s="1"/>
  <c r="M235" i="6"/>
  <c r="B235" i="6" s="1"/>
  <c r="C235" i="6" s="1"/>
  <c r="M236" i="6"/>
  <c r="B236" i="6" s="1"/>
  <c r="C236" i="6" s="1"/>
  <c r="M237" i="6"/>
  <c r="B237" i="6" s="1"/>
  <c r="C237" i="6" s="1"/>
  <c r="M240" i="6"/>
  <c r="B240" i="6" s="1"/>
  <c r="C240" i="6" s="1"/>
  <c r="M241" i="6"/>
  <c r="B241" i="6" s="1"/>
  <c r="C241" i="6" s="1"/>
  <c r="M242" i="6"/>
  <c r="M243" i="6"/>
  <c r="M246" i="6"/>
  <c r="M247" i="6"/>
  <c r="M250" i="6"/>
  <c r="B250" i="6" s="1"/>
  <c r="C250" i="6" s="1"/>
  <c r="M251" i="6"/>
  <c r="B251" i="6" s="1"/>
  <c r="C251" i="6" s="1"/>
  <c r="M252" i="6"/>
  <c r="B252" i="6" s="1"/>
  <c r="C252" i="6" s="1"/>
  <c r="M253" i="6"/>
  <c r="M256" i="6"/>
  <c r="B256" i="6" s="1"/>
  <c r="C256" i="6" s="1"/>
  <c r="M257" i="6"/>
  <c r="M258" i="6"/>
  <c r="M259" i="6"/>
  <c r="M262" i="6"/>
  <c r="B262" i="6" s="1"/>
  <c r="C262" i="6" s="1"/>
  <c r="M263" i="6"/>
  <c r="B263" i="6" s="1"/>
  <c r="C263" i="6" s="1"/>
  <c r="M264" i="6"/>
  <c r="B264" i="6" s="1"/>
  <c r="C264" i="6" s="1"/>
  <c r="M265" i="6"/>
  <c r="M268" i="6"/>
  <c r="M269" i="6"/>
  <c r="M270" i="6"/>
  <c r="M271" i="6"/>
  <c r="M272" i="6"/>
  <c r="M273" i="6"/>
  <c r="M274" i="6"/>
  <c r="M275" i="6"/>
  <c r="M278" i="6"/>
  <c r="B278" i="6" s="1"/>
  <c r="C278" i="6" s="1"/>
  <c r="M281" i="6"/>
  <c r="B281" i="6" s="1"/>
  <c r="C281" i="6" s="1"/>
  <c r="M282" i="6"/>
  <c r="B282" i="6" s="1"/>
  <c r="C282" i="6" s="1"/>
  <c r="M283" i="6"/>
  <c r="B283" i="6" s="1"/>
  <c r="C283" i="6" s="1"/>
  <c r="M284" i="6"/>
  <c r="B284" i="6" s="1"/>
  <c r="C284" i="6" s="1"/>
  <c r="M287" i="6"/>
  <c r="B287" i="6" s="1"/>
  <c r="C287" i="6" s="1"/>
  <c r="M288" i="6"/>
  <c r="M291" i="6"/>
  <c r="M292" i="6"/>
  <c r="M295" i="6"/>
  <c r="B295" i="6" s="1"/>
  <c r="C295" i="6" s="1"/>
  <c r="M296" i="6"/>
  <c r="M297" i="6"/>
  <c r="M298" i="6"/>
  <c r="M301" i="6"/>
  <c r="M302" i="6"/>
  <c r="M305" i="6"/>
  <c r="M306" i="6"/>
  <c r="M307" i="6"/>
  <c r="M308" i="6"/>
  <c r="M313" i="6"/>
  <c r="M312" i="6"/>
  <c r="M314" i="6"/>
  <c r="M315" i="6"/>
  <c r="M316" i="6"/>
  <c r="M317" i="6"/>
  <c r="M318" i="6"/>
  <c r="M319" i="6"/>
  <c r="M320" i="6"/>
  <c r="M321" i="6"/>
  <c r="M324" i="6"/>
  <c r="M325" i="6"/>
  <c r="M326" i="6"/>
  <c r="Q205" i="6" l="1"/>
  <c r="R205" i="6" s="1"/>
  <c r="Q204" i="6"/>
  <c r="R204" i="6" s="1"/>
  <c r="Q201" i="6"/>
  <c r="R201" i="6" s="1"/>
  <c r="Q202" i="6"/>
  <c r="R202" i="6" s="1"/>
  <c r="Q315" i="6"/>
  <c r="R315" i="6" s="1"/>
  <c r="B296" i="6"/>
  <c r="C296" i="6" s="1"/>
  <c r="Q296" i="6"/>
  <c r="R296" i="6" s="1"/>
  <c r="Q274" i="6"/>
  <c r="R274" i="6" s="1"/>
  <c r="B274" i="6"/>
  <c r="C274" i="6" s="1"/>
  <c r="B258" i="6"/>
  <c r="C258" i="6" s="1"/>
  <c r="Q258" i="6"/>
  <c r="R258" i="6" s="1"/>
  <c r="Q240" i="6"/>
  <c r="R240" i="6" s="1"/>
  <c r="Q220" i="6"/>
  <c r="R220" i="6" s="1"/>
  <c r="Q200" i="6"/>
  <c r="R200" i="6" s="1"/>
  <c r="Q314" i="6"/>
  <c r="R314" i="6" s="1"/>
  <c r="Q295" i="6"/>
  <c r="R295" i="6" s="1"/>
  <c r="Q273" i="6"/>
  <c r="R273" i="6" s="1"/>
  <c r="B273" i="6"/>
  <c r="C273" i="6" s="1"/>
  <c r="Q257" i="6"/>
  <c r="R257" i="6" s="1"/>
  <c r="B257" i="6"/>
  <c r="C257" i="6" s="1"/>
  <c r="Q237" i="6"/>
  <c r="R237" i="6" s="1"/>
  <c r="Q217" i="6"/>
  <c r="R217" i="6" s="1"/>
  <c r="Q199" i="6"/>
  <c r="R199" i="6" s="1"/>
  <c r="B312" i="6"/>
  <c r="B317" i="6" s="1"/>
  <c r="C317" i="6" s="1"/>
  <c r="Q312" i="6"/>
  <c r="R312" i="6" s="1"/>
  <c r="Q292" i="6"/>
  <c r="R292" i="6" s="1"/>
  <c r="B292" i="6"/>
  <c r="C292" i="6" s="1"/>
  <c r="Q272" i="6"/>
  <c r="R272" i="6" s="1"/>
  <c r="B272" i="6"/>
  <c r="C272" i="6" s="1"/>
  <c r="Q236" i="6"/>
  <c r="R236" i="6" s="1"/>
  <c r="Q216" i="6"/>
  <c r="R216" i="6" s="1"/>
  <c r="Q198" i="6"/>
  <c r="R198" i="6" s="1"/>
  <c r="Q326" i="6"/>
  <c r="R326" i="6" s="1"/>
  <c r="Q313" i="6"/>
  <c r="R313" i="6" s="1"/>
  <c r="Q291" i="6"/>
  <c r="R291" i="6" s="1"/>
  <c r="B291" i="6"/>
  <c r="C291" i="6" s="1"/>
  <c r="B271" i="6"/>
  <c r="C271" i="6" s="1"/>
  <c r="Q271" i="6"/>
  <c r="R271" i="6" s="1"/>
  <c r="B253" i="6"/>
  <c r="C253" i="6" s="1"/>
  <c r="Q253" i="6"/>
  <c r="R253" i="6" s="1"/>
  <c r="Q235" i="6"/>
  <c r="R235" i="6" s="1"/>
  <c r="Q215" i="6"/>
  <c r="R215" i="6" s="1"/>
  <c r="Q197" i="6"/>
  <c r="R197" i="6" s="1"/>
  <c r="Q325" i="6"/>
  <c r="R325" i="6" s="1"/>
  <c r="Q308" i="6"/>
  <c r="R308" i="6" s="1"/>
  <c r="Q288" i="6"/>
  <c r="B288" i="6"/>
  <c r="C288" i="6" s="1"/>
  <c r="C286" i="6" s="1"/>
  <c r="B270" i="6"/>
  <c r="C270" i="6" s="1"/>
  <c r="Q270" i="6"/>
  <c r="R270" i="6" s="1"/>
  <c r="Q252" i="6"/>
  <c r="R252" i="6" s="1"/>
  <c r="Q234" i="6"/>
  <c r="R234" i="6" s="1"/>
  <c r="Q214" i="6"/>
  <c r="R214" i="6" s="1"/>
  <c r="Q196" i="6"/>
  <c r="R196" i="6" s="1"/>
  <c r="B196" i="6"/>
  <c r="C196" i="6" s="1"/>
  <c r="Q324" i="6"/>
  <c r="R324" i="6" s="1"/>
  <c r="B324" i="6"/>
  <c r="Q307" i="6"/>
  <c r="R307" i="6" s="1"/>
  <c r="B269" i="6"/>
  <c r="C269" i="6" s="1"/>
  <c r="Q269" i="6"/>
  <c r="R269" i="6" s="1"/>
  <c r="Q251" i="6"/>
  <c r="R251" i="6" s="1"/>
  <c r="Q233" i="6"/>
  <c r="R233" i="6" s="1"/>
  <c r="Q213" i="6"/>
  <c r="R213" i="6" s="1"/>
  <c r="Q321" i="6"/>
  <c r="R321" i="6" s="1"/>
  <c r="Q306" i="6"/>
  <c r="R306" i="6" s="1"/>
  <c r="Q284" i="6"/>
  <c r="R284" i="6" s="1"/>
  <c r="B268" i="6"/>
  <c r="C268" i="6" s="1"/>
  <c r="Q268" i="6"/>
  <c r="R268" i="6" s="1"/>
  <c r="Q250" i="6"/>
  <c r="R250" i="6" s="1"/>
  <c r="Q230" i="6"/>
  <c r="R230" i="6" s="1"/>
  <c r="B230" i="6"/>
  <c r="C230" i="6" s="1"/>
  <c r="B212" i="6"/>
  <c r="C212" i="6" s="1"/>
  <c r="Q212" i="6"/>
  <c r="Q320" i="6"/>
  <c r="R320" i="6" s="1"/>
  <c r="Q305" i="6"/>
  <c r="R305" i="6" s="1"/>
  <c r="Q283" i="6"/>
  <c r="Q265" i="6"/>
  <c r="R265" i="6" s="1"/>
  <c r="B265" i="6"/>
  <c r="C265" i="6" s="1"/>
  <c r="B247" i="6"/>
  <c r="C247" i="6" s="1"/>
  <c r="Q247" i="6"/>
  <c r="R247" i="6" s="1"/>
  <c r="B229" i="6"/>
  <c r="C229" i="6" s="1"/>
  <c r="Q229" i="6"/>
  <c r="R229" i="6" s="1"/>
  <c r="Q209" i="6"/>
  <c r="R209" i="6" s="1"/>
  <c r="B194" i="6"/>
  <c r="Q194" i="6"/>
  <c r="R194" i="6" s="1"/>
  <c r="Q319" i="6"/>
  <c r="R319" i="6" s="1"/>
  <c r="Q302" i="6"/>
  <c r="R302" i="6" s="1"/>
  <c r="Q282" i="6"/>
  <c r="Q264" i="6"/>
  <c r="R264" i="6" s="1"/>
  <c r="B246" i="6"/>
  <c r="C246" i="6" s="1"/>
  <c r="Q246" i="6"/>
  <c r="R246" i="6" s="1"/>
  <c r="Q226" i="6"/>
  <c r="R226" i="6" s="1"/>
  <c r="Q208" i="6"/>
  <c r="R208" i="6" s="1"/>
  <c r="Q318" i="6"/>
  <c r="R318" i="6" s="1"/>
  <c r="Q301" i="6"/>
  <c r="R301" i="6" s="1"/>
  <c r="B301" i="6"/>
  <c r="C301" i="6" s="1"/>
  <c r="Q281" i="6"/>
  <c r="R281" i="6" s="1"/>
  <c r="Q263" i="6"/>
  <c r="R263" i="6" s="1"/>
  <c r="B243" i="6"/>
  <c r="C243" i="6" s="1"/>
  <c r="Q243" i="6"/>
  <c r="R243" i="6" s="1"/>
  <c r="Q225" i="6"/>
  <c r="R225" i="6" s="1"/>
  <c r="Q207" i="6"/>
  <c r="R207" i="6" s="1"/>
  <c r="Q317" i="6"/>
  <c r="R317" i="6" s="1"/>
  <c r="B298" i="6"/>
  <c r="C298" i="6" s="1"/>
  <c r="Q298" i="6"/>
  <c r="R298" i="6" s="1"/>
  <c r="Q278" i="6"/>
  <c r="R278" i="6" s="1"/>
  <c r="Q262" i="6"/>
  <c r="R262" i="6" s="1"/>
  <c r="Q242" i="6"/>
  <c r="R242" i="6" s="1"/>
  <c r="B242" i="6"/>
  <c r="C242" i="6" s="1"/>
  <c r="Q224" i="6"/>
  <c r="R224" i="6" s="1"/>
  <c r="Q206" i="6"/>
  <c r="R206" i="6" s="1"/>
  <c r="D353" i="6"/>
  <c r="B1124" i="8"/>
  <c r="Q316" i="6"/>
  <c r="R316" i="6" s="1"/>
  <c r="B297" i="6"/>
  <c r="C297" i="6" s="1"/>
  <c r="Q297" i="6"/>
  <c r="R297" i="6" s="1"/>
  <c r="Q275" i="6"/>
  <c r="R275" i="6" s="1"/>
  <c r="B275" i="6"/>
  <c r="C275" i="6" s="1"/>
  <c r="B259" i="6"/>
  <c r="C259" i="6" s="1"/>
  <c r="Q259" i="6"/>
  <c r="R259" i="6" s="1"/>
  <c r="Q241" i="6"/>
  <c r="R241" i="6" s="1"/>
  <c r="Q223" i="6"/>
  <c r="Q203" i="6"/>
  <c r="R203" i="6" s="1"/>
  <c r="R210" i="6" l="1"/>
  <c r="S282" i="6"/>
  <c r="R282" i="6"/>
  <c r="S283" i="6"/>
  <c r="R283" i="6"/>
  <c r="Q289" i="6"/>
  <c r="R288" i="6"/>
  <c r="R212" i="6"/>
  <c r="R223" i="6"/>
  <c r="S226" i="6"/>
  <c r="R322" i="6"/>
  <c r="Q322" i="6"/>
  <c r="S209" i="6"/>
  <c r="S203" i="6"/>
  <c r="S200" i="6"/>
  <c r="B313" i="6"/>
  <c r="C313" i="6" s="1"/>
  <c r="B302" i="6"/>
  <c r="C302" i="6" s="1"/>
  <c r="B197" i="6"/>
  <c r="C197" i="6" s="1"/>
  <c r="S197" i="6"/>
  <c r="S216" i="6"/>
  <c r="S214" i="6"/>
  <c r="S199" i="6"/>
  <c r="S272" i="6"/>
  <c r="S274" i="6"/>
  <c r="B213" i="6"/>
  <c r="C213" i="6" s="1"/>
  <c r="B325" i="6"/>
  <c r="B326" i="6" s="1"/>
  <c r="C326" i="6" s="1"/>
  <c r="C312" i="6"/>
  <c r="C289" i="6"/>
  <c r="C324" i="6"/>
  <c r="D354" i="6"/>
  <c r="B1125" i="8"/>
  <c r="S281" i="6"/>
  <c r="S284" i="6"/>
  <c r="Q210" i="6"/>
  <c r="S195" i="6"/>
  <c r="C194" i="6"/>
  <c r="B314" i="6" l="1"/>
  <c r="C314" i="6" s="1"/>
  <c r="B318" i="6"/>
  <c r="C318" i="6" s="1"/>
  <c r="B198" i="6"/>
  <c r="C198" i="6" s="1"/>
  <c r="B214" i="6"/>
  <c r="K17" i="48"/>
  <c r="E20" i="7" s="1"/>
  <c r="D355" i="6"/>
  <c r="B1131" i="8"/>
  <c r="C325" i="6"/>
  <c r="M21" i="7" l="1"/>
  <c r="N21" i="7"/>
  <c r="E45" i="7"/>
  <c r="H46" i="7"/>
  <c r="I46" i="7"/>
  <c r="G46" i="7"/>
  <c r="Q46" i="7"/>
  <c r="P46" i="7"/>
  <c r="R46" i="7"/>
  <c r="O46" i="7"/>
  <c r="N46" i="7"/>
  <c r="L46" i="7"/>
  <c r="K46" i="7"/>
  <c r="J46" i="7"/>
  <c r="B315" i="6"/>
  <c r="B316" i="6" s="1"/>
  <c r="C316" i="6" s="1"/>
  <c r="B319" i="6"/>
  <c r="C319" i="6" s="1"/>
  <c r="B199" i="6"/>
  <c r="Q21" i="7"/>
  <c r="P21" i="7"/>
  <c r="O21" i="7"/>
  <c r="L21" i="7"/>
  <c r="B215" i="6"/>
  <c r="C215" i="6" s="1"/>
  <c r="C214" i="6"/>
  <c r="R21" i="7"/>
  <c r="J21" i="7"/>
  <c r="G21" i="7"/>
  <c r="K21" i="7"/>
  <c r="I21" i="7"/>
  <c r="H21" i="7"/>
  <c r="H17" i="48"/>
  <c r="J17" i="48" s="1"/>
  <c r="B1132" i="8"/>
  <c r="D356" i="6"/>
  <c r="B321" i="6" l="1"/>
  <c r="C321" i="6" s="1"/>
  <c r="M46" i="7"/>
  <c r="S46" i="7" s="1"/>
  <c r="C315" i="6"/>
  <c r="B320" i="6"/>
  <c r="C320" i="6" s="1"/>
  <c r="C199" i="6"/>
  <c r="B200" i="6"/>
  <c r="B216" i="6"/>
  <c r="C216" i="6" s="1"/>
  <c r="A43" i="7" s="1"/>
  <c r="A44" i="7" s="1"/>
  <c r="D357" i="6"/>
  <c r="B1137" i="8"/>
  <c r="T46" i="7" l="1"/>
  <c r="C311" i="6"/>
  <c r="C322" i="6" s="1"/>
  <c r="C200" i="6"/>
  <c r="B201" i="6"/>
  <c r="B217" i="6"/>
  <c r="C217" i="6" s="1"/>
  <c r="D358" i="6"/>
  <c r="B1142" i="8"/>
  <c r="A17" i="48" l="1"/>
  <c r="A20" i="7"/>
  <c r="A21" i="7" s="1"/>
  <c r="C201" i="6"/>
  <c r="B202" i="6"/>
  <c r="B1147" i="8"/>
  <c r="B1156" i="8" s="1"/>
  <c r="B1158" i="8" s="1"/>
  <c r="D359" i="6"/>
  <c r="C202" i="6" l="1"/>
  <c r="B203" i="6"/>
  <c r="D360" i="6"/>
  <c r="C203" i="6" l="1"/>
  <c r="B204" i="6"/>
  <c r="D361" i="6"/>
  <c r="C204" i="6" l="1"/>
  <c r="A41" i="7" s="1"/>
  <c r="A42" i="7" s="1"/>
  <c r="B205" i="6"/>
  <c r="B1175" i="8"/>
  <c r="D362" i="6"/>
  <c r="B1178" i="8" l="1"/>
  <c r="B1181" i="8" s="1"/>
  <c r="B1188" i="8" s="1"/>
  <c r="B1193" i="8" s="1"/>
  <c r="B1198" i="8" s="1"/>
  <c r="B1203" i="8" s="1"/>
  <c r="M344" i="6"/>
  <c r="M345" i="6"/>
  <c r="M327" i="6"/>
  <c r="B327" i="6" s="1"/>
  <c r="C327" i="6" s="1"/>
  <c r="C205" i="6"/>
  <c r="B206" i="6"/>
  <c r="D363" i="6"/>
  <c r="B1180" i="8" l="1"/>
  <c r="M328" i="6" s="1"/>
  <c r="Q328" i="6" s="1"/>
  <c r="R328" i="6" s="1"/>
  <c r="Q345" i="6"/>
  <c r="R345" i="6" s="1"/>
  <c r="Q344" i="6"/>
  <c r="R344" i="6" s="1"/>
  <c r="C206" i="6"/>
  <c r="B207" i="6"/>
  <c r="D364" i="6"/>
  <c r="D365" i="6" s="1"/>
  <c r="D366" i="6" s="1"/>
  <c r="B328" i="6" l="1"/>
  <c r="C328" i="6" s="1"/>
  <c r="D367" i="6"/>
  <c r="D370" i="6" s="1"/>
  <c r="C207" i="6"/>
  <c r="B208" i="6"/>
  <c r="C208" i="6" l="1"/>
  <c r="B209" i="6"/>
  <c r="C209" i="6" s="1"/>
  <c r="C192" i="6" l="1"/>
  <c r="B192" i="6" s="1"/>
  <c r="D371" i="6"/>
  <c r="B1238" i="8"/>
  <c r="C210" i="6" l="1"/>
  <c r="B1239" i="8"/>
  <c r="B1245" i="8" s="1"/>
  <c r="M367" i="6" s="1"/>
  <c r="D372" i="6"/>
  <c r="D373" i="6" s="1"/>
  <c r="D376" i="6" s="1"/>
  <c r="D377" i="6" s="1"/>
  <c r="Q367" i="6" l="1"/>
  <c r="R367" i="6" s="1"/>
  <c r="B1246" i="8"/>
  <c r="M366" i="6"/>
  <c r="B1260" i="8"/>
  <c r="B1261" i="8" s="1"/>
  <c r="B1262" i="8" s="1"/>
  <c r="B1263" i="8" s="1"/>
  <c r="D378" i="6"/>
  <c r="Q366" i="6" l="1"/>
  <c r="R366" i="6" s="1"/>
  <c r="D379" i="6"/>
  <c r="D382" i="6" l="1"/>
  <c r="D383" i="6" l="1"/>
  <c r="B1274" i="8"/>
  <c r="M372" i="6" l="1"/>
  <c r="M332" i="6"/>
  <c r="B1277" i="8"/>
  <c r="M334" i="6" s="1"/>
  <c r="M363" i="6"/>
  <c r="M371" i="6"/>
  <c r="B371" i="6" s="1"/>
  <c r="C371" i="6" s="1"/>
  <c r="M352" i="6"/>
  <c r="M358" i="6"/>
  <c r="M355" i="6"/>
  <c r="Q355" i="6" s="1"/>
  <c r="R355" i="6" s="1"/>
  <c r="M376" i="6"/>
  <c r="M180" i="6"/>
  <c r="M75" i="6"/>
  <c r="M155" i="6"/>
  <c r="Q155" i="6" s="1"/>
  <c r="R155" i="6" s="1"/>
  <c r="M40" i="6"/>
  <c r="M231" i="6"/>
  <c r="M31" i="6"/>
  <c r="M50" i="6"/>
  <c r="M232" i="6"/>
  <c r="M169" i="6"/>
  <c r="M151" i="6"/>
  <c r="M90" i="6"/>
  <c r="M62" i="6"/>
  <c r="M78" i="6"/>
  <c r="M63" i="6"/>
  <c r="M98" i="6"/>
  <c r="M44" i="6"/>
  <c r="M113" i="6"/>
  <c r="M93" i="6"/>
  <c r="M69" i="6"/>
  <c r="M239" i="6"/>
  <c r="M47" i="6"/>
  <c r="M24" i="6"/>
  <c r="M110" i="6"/>
  <c r="M127" i="6"/>
  <c r="M22" i="6"/>
  <c r="M161" i="6"/>
  <c r="M125" i="6"/>
  <c r="M27" i="6"/>
  <c r="M94" i="6"/>
  <c r="M95" i="6"/>
  <c r="M107" i="6"/>
  <c r="M114" i="6"/>
  <c r="M64" i="6"/>
  <c r="M42" i="6"/>
  <c r="M21" i="6"/>
  <c r="M238" i="6"/>
  <c r="M106" i="6"/>
  <c r="B37" i="6"/>
  <c r="C37" i="6" s="1"/>
  <c r="M82" i="6"/>
  <c r="M276" i="6"/>
  <c r="M115" i="6"/>
  <c r="M108" i="6"/>
  <c r="M109" i="6"/>
  <c r="M130" i="6"/>
  <c r="M165" i="6"/>
  <c r="Q165" i="6" s="1"/>
  <c r="R165" i="6" s="1"/>
  <c r="M71" i="6"/>
  <c r="M61" i="6"/>
  <c r="M45" i="6"/>
  <c r="M70" i="6"/>
  <c r="M304" i="6"/>
  <c r="M168" i="6"/>
  <c r="Q168" i="6" s="1"/>
  <c r="R168" i="6" s="1"/>
  <c r="M30" i="6"/>
  <c r="M57" i="6"/>
  <c r="M156" i="6"/>
  <c r="M131" i="6"/>
  <c r="M46" i="6"/>
  <c r="M181" i="6"/>
  <c r="M134" i="6"/>
  <c r="M133" i="6"/>
  <c r="M132" i="6"/>
  <c r="M76" i="6"/>
  <c r="Q76" i="6" s="1"/>
  <c r="R76" i="6" s="1"/>
  <c r="M33" i="6"/>
  <c r="M43" i="6"/>
  <c r="M150" i="6"/>
  <c r="M249" i="6"/>
  <c r="M162" i="6"/>
  <c r="M86" i="6"/>
  <c r="M32" i="6"/>
  <c r="M54" i="6"/>
  <c r="M52" i="6"/>
  <c r="M261" i="6"/>
  <c r="M159" i="6"/>
  <c r="M17" i="6"/>
  <c r="M221" i="6"/>
  <c r="M56" i="6"/>
  <c r="M248" i="6"/>
  <c r="M222" i="6"/>
  <c r="M163" i="6"/>
  <c r="M79" i="6"/>
  <c r="M172" i="6"/>
  <c r="Q172" i="6" s="1"/>
  <c r="R172" i="6" s="1"/>
  <c r="M152" i="6"/>
  <c r="M84" i="6"/>
  <c r="M171" i="6"/>
  <c r="Q171" i="6" s="1"/>
  <c r="R171" i="6" s="1"/>
  <c r="M101" i="6"/>
  <c r="M89" i="6"/>
  <c r="M166" i="6"/>
  <c r="M293" i="6"/>
  <c r="M53" i="6"/>
  <c r="M83" i="6"/>
  <c r="M105" i="6"/>
  <c r="M29" i="6"/>
  <c r="M303" i="6"/>
  <c r="M123" i="6"/>
  <c r="B123" i="6" s="1"/>
  <c r="C123" i="6" s="1"/>
  <c r="M99" i="6"/>
  <c r="M58" i="6"/>
  <c r="M158" i="6"/>
  <c r="M38" i="6"/>
  <c r="M170" i="6"/>
  <c r="M87" i="6"/>
  <c r="M91" i="6"/>
  <c r="M128" i="6"/>
  <c r="M88" i="6"/>
  <c r="M129" i="6"/>
  <c r="M279" i="6"/>
  <c r="M294" i="6"/>
  <c r="M153" i="6"/>
  <c r="M112" i="6"/>
  <c r="M85" i="6"/>
  <c r="M68" i="6"/>
  <c r="M157" i="6"/>
  <c r="M154" i="6"/>
  <c r="M124" i="6"/>
  <c r="M48" i="6"/>
  <c r="M72" i="6"/>
  <c r="M104" i="6"/>
  <c r="M164" i="6"/>
  <c r="M39" i="6"/>
  <c r="M73" i="6"/>
  <c r="M97" i="6"/>
  <c r="M59" i="6"/>
  <c r="M102" i="6"/>
  <c r="M92" i="6"/>
  <c r="M219" i="6"/>
  <c r="M74" i="6"/>
  <c r="M103" i="6"/>
  <c r="M49" i="6"/>
  <c r="M126" i="6"/>
  <c r="M51" i="6"/>
  <c r="M96" i="6"/>
  <c r="M260" i="6"/>
  <c r="M41" i="6"/>
  <c r="M111" i="6"/>
  <c r="M77" i="6"/>
  <c r="M280" i="6"/>
  <c r="M160" i="6"/>
  <c r="M16" i="6"/>
  <c r="M122" i="6"/>
  <c r="M277" i="6"/>
  <c r="B36" i="6"/>
  <c r="C36" i="6" s="1"/>
  <c r="M167" i="6"/>
  <c r="Q167" i="6" s="1"/>
  <c r="R167" i="6" s="1"/>
  <c r="M15" i="6"/>
  <c r="M34" i="6"/>
  <c r="M67" i="6"/>
  <c r="Q67" i="6" s="1"/>
  <c r="R67" i="6" s="1"/>
  <c r="M100" i="6"/>
  <c r="M218" i="6"/>
  <c r="M377" i="6"/>
  <c r="M378" i="6"/>
  <c r="M379" i="6"/>
  <c r="M383" i="6"/>
  <c r="M382" i="6"/>
  <c r="Q46" i="6" l="1"/>
  <c r="R46" i="6" s="1"/>
  <c r="B46" i="6"/>
  <c r="M373" i="6"/>
  <c r="Q373" i="6" s="1"/>
  <c r="R373" i="6" s="1"/>
  <c r="Q372" i="6"/>
  <c r="R372" i="6" s="1"/>
  <c r="Q334" i="6"/>
  <c r="R334" i="6" s="1"/>
  <c r="Q332" i="6"/>
  <c r="R332" i="6" s="1"/>
  <c r="M360" i="6"/>
  <c r="Q360" i="6" s="1"/>
  <c r="R360" i="6" s="1"/>
  <c r="M359" i="6"/>
  <c r="Q359" i="6" s="1"/>
  <c r="R359" i="6" s="1"/>
  <c r="M361" i="6"/>
  <c r="Q361" i="6" s="1"/>
  <c r="R361" i="6" s="1"/>
  <c r="M338" i="6"/>
  <c r="Q338" i="6" s="1"/>
  <c r="R338" i="6" s="1"/>
  <c r="M365" i="6"/>
  <c r="M343" i="6"/>
  <c r="Q343" i="6" s="1"/>
  <c r="R343" i="6" s="1"/>
  <c r="M347" i="6"/>
  <c r="Q347" i="6" s="1"/>
  <c r="R347" i="6" s="1"/>
  <c r="M349" i="6"/>
  <c r="Q349" i="6" s="1"/>
  <c r="R349" i="6" s="1"/>
  <c r="M330" i="6"/>
  <c r="M333" i="6"/>
  <c r="M353" i="6"/>
  <c r="Q353" i="6" s="1"/>
  <c r="R353" i="6" s="1"/>
  <c r="M341" i="6"/>
  <c r="Q341" i="6" s="1"/>
  <c r="R341" i="6" s="1"/>
  <c r="M336" i="6"/>
  <c r="Q336" i="6" s="1"/>
  <c r="R336" i="6" s="1"/>
  <c r="M362" i="6"/>
  <c r="B362" i="6" s="1"/>
  <c r="C362" i="6" s="1"/>
  <c r="M339" i="6"/>
  <c r="Q339" i="6" s="1"/>
  <c r="R339" i="6" s="1"/>
  <c r="M331" i="6"/>
  <c r="M370" i="6"/>
  <c r="B370" i="6" s="1"/>
  <c r="M329" i="6"/>
  <c r="M335" i="6"/>
  <c r="Q335" i="6" s="1"/>
  <c r="R335" i="6" s="1"/>
  <c r="M357" i="6"/>
  <c r="Q357" i="6" s="1"/>
  <c r="R357" i="6" s="1"/>
  <c r="M346" i="6"/>
  <c r="Q346" i="6" s="1"/>
  <c r="R346" i="6" s="1"/>
  <c r="M348" i="6"/>
  <c r="Q348" i="6" s="1"/>
  <c r="R348" i="6" s="1"/>
  <c r="M354" i="6"/>
  <c r="Q354" i="6" s="1"/>
  <c r="R354" i="6" s="1"/>
  <c r="M342" i="6"/>
  <c r="Q342" i="6" s="1"/>
  <c r="R342" i="6" s="1"/>
  <c r="M337" i="6"/>
  <c r="Q337" i="6" s="1"/>
  <c r="R337" i="6" s="1"/>
  <c r="M356" i="6"/>
  <c r="Q356" i="6" s="1"/>
  <c r="R356" i="6" s="1"/>
  <c r="M364" i="6"/>
  <c r="Q364" i="6" s="1"/>
  <c r="R364" i="6" s="1"/>
  <c r="M340" i="6"/>
  <c r="Q340" i="6" s="1"/>
  <c r="R340" i="6" s="1"/>
  <c r="Q221" i="6"/>
  <c r="R221" i="6" s="1"/>
  <c r="Q239" i="6"/>
  <c r="R239" i="6" s="1"/>
  <c r="B239" i="6"/>
  <c r="C239" i="6" s="1"/>
  <c r="Q277" i="6"/>
  <c r="R277" i="6" s="1"/>
  <c r="B277" i="6"/>
  <c r="C277" i="6" s="1"/>
  <c r="Q294" i="6"/>
  <c r="R294" i="6" s="1"/>
  <c r="B294" i="6"/>
  <c r="C294" i="6" s="1"/>
  <c r="Q232" i="6"/>
  <c r="R232" i="6" s="1"/>
  <c r="B232" i="6"/>
  <c r="C232" i="6" s="1"/>
  <c r="Q279" i="6"/>
  <c r="R279" i="6" s="1"/>
  <c r="B279" i="6"/>
  <c r="C279" i="6" s="1"/>
  <c r="Q276" i="6"/>
  <c r="R276" i="6" s="1"/>
  <c r="B276" i="6"/>
  <c r="C276" i="6" s="1"/>
  <c r="Q303" i="6"/>
  <c r="R303" i="6" s="1"/>
  <c r="B303" i="6"/>
  <c r="B304" i="6" s="1"/>
  <c r="C304" i="6" s="1"/>
  <c r="Q261" i="6"/>
  <c r="R261" i="6" s="1"/>
  <c r="B261" i="6"/>
  <c r="C261" i="6" s="1"/>
  <c r="Q304" i="6"/>
  <c r="R304" i="6" s="1"/>
  <c r="Q280" i="6"/>
  <c r="R280" i="6" s="1"/>
  <c r="B280" i="6"/>
  <c r="C280" i="6" s="1"/>
  <c r="Q231" i="6"/>
  <c r="R231" i="6" s="1"/>
  <c r="B231" i="6"/>
  <c r="C231" i="6" s="1"/>
  <c r="Q238" i="6"/>
  <c r="R238" i="6" s="1"/>
  <c r="B238" i="6"/>
  <c r="C238" i="6" s="1"/>
  <c r="Q219" i="6"/>
  <c r="R219" i="6" s="1"/>
  <c r="Q293" i="6"/>
  <c r="R293" i="6" s="1"/>
  <c r="B293" i="6"/>
  <c r="C293" i="6" s="1"/>
  <c r="Q222" i="6"/>
  <c r="R222" i="6" s="1"/>
  <c r="Q248" i="6"/>
  <c r="R248" i="6" s="1"/>
  <c r="B248" i="6"/>
  <c r="C248" i="6" s="1"/>
  <c r="Q218" i="6"/>
  <c r="B218" i="6"/>
  <c r="Q260" i="6"/>
  <c r="R260" i="6" s="1"/>
  <c r="B260" i="6"/>
  <c r="C260" i="6" s="1"/>
  <c r="Q249" i="6"/>
  <c r="R249" i="6" s="1"/>
  <c r="B249" i="6"/>
  <c r="C249" i="6" s="1"/>
  <c r="Q376" i="6"/>
  <c r="R376" i="6" s="1"/>
  <c r="B376" i="6"/>
  <c r="C376" i="6" s="1"/>
  <c r="Q358" i="6"/>
  <c r="R358" i="6" s="1"/>
  <c r="Q352" i="6"/>
  <c r="R352" i="6" s="1"/>
  <c r="B352" i="6"/>
  <c r="Q363" i="6"/>
  <c r="R363" i="6" s="1"/>
  <c r="B363" i="6"/>
  <c r="C363" i="6" s="1"/>
  <c r="Q371" i="6"/>
  <c r="R371" i="6" s="1"/>
  <c r="Q34" i="6"/>
  <c r="R34" i="6" s="1"/>
  <c r="Q15" i="6"/>
  <c r="R15" i="6" s="1"/>
  <c r="B15" i="6"/>
  <c r="B16" i="6" s="1"/>
  <c r="C16" i="6" s="1"/>
  <c r="Q59" i="6"/>
  <c r="R59" i="6" s="1"/>
  <c r="B85" i="6"/>
  <c r="C85" i="6" s="1"/>
  <c r="Q85" i="6"/>
  <c r="R85" i="6" s="1"/>
  <c r="Q158" i="6"/>
  <c r="R158" i="6" s="1"/>
  <c r="Q89" i="6"/>
  <c r="R89" i="6" s="1"/>
  <c r="B56" i="6"/>
  <c r="C56" i="6" s="1"/>
  <c r="Q56" i="6"/>
  <c r="R56" i="6" s="1"/>
  <c r="B180" i="6"/>
  <c r="Q180" i="6"/>
  <c r="R180" i="6" s="1"/>
  <c r="B131" i="6"/>
  <c r="C131" i="6" s="1"/>
  <c r="Q131" i="6"/>
  <c r="R131" i="6" s="1"/>
  <c r="Q130" i="6"/>
  <c r="R130" i="6" s="1"/>
  <c r="B130" i="6"/>
  <c r="C130" i="6" s="1"/>
  <c r="Q64" i="6"/>
  <c r="R64" i="6" s="1"/>
  <c r="Q47" i="6"/>
  <c r="R47" i="6" s="1"/>
  <c r="Q112" i="6"/>
  <c r="R112" i="6" s="1"/>
  <c r="B58" i="6"/>
  <c r="C58" i="6" s="1"/>
  <c r="Q58" i="6"/>
  <c r="R58" i="6" s="1"/>
  <c r="Q156" i="6"/>
  <c r="R156" i="6" s="1"/>
  <c r="Q109" i="6"/>
  <c r="R109" i="6" s="1"/>
  <c r="Q114" i="6"/>
  <c r="R114" i="6" s="1"/>
  <c r="Q90" i="6"/>
  <c r="R90" i="6" s="1"/>
  <c r="Q73" i="6"/>
  <c r="R73" i="6" s="1"/>
  <c r="Q153" i="6"/>
  <c r="R153" i="6" s="1"/>
  <c r="Q99" i="6"/>
  <c r="R99" i="6" s="1"/>
  <c r="B99" i="6"/>
  <c r="C99" i="6" s="1"/>
  <c r="Q101" i="6"/>
  <c r="R101" i="6" s="1"/>
  <c r="B101" i="6"/>
  <c r="C101" i="6" s="1"/>
  <c r="Q17" i="6"/>
  <c r="R17" i="6" s="1"/>
  <c r="Q150" i="6"/>
  <c r="R150" i="6" s="1"/>
  <c r="Q108" i="6"/>
  <c r="R108" i="6" s="1"/>
  <c r="Q107" i="6"/>
  <c r="R107" i="6" s="1"/>
  <c r="Q151" i="6"/>
  <c r="R151" i="6" s="1"/>
  <c r="Q43" i="6"/>
  <c r="R43" i="6" s="1"/>
  <c r="Q57" i="6"/>
  <c r="R57" i="6" s="1"/>
  <c r="Q95" i="6"/>
  <c r="R95" i="6" s="1"/>
  <c r="Q69" i="6"/>
  <c r="R69" i="6" s="1"/>
  <c r="Q169" i="6"/>
  <c r="R169" i="6" s="1"/>
  <c r="B51" i="6"/>
  <c r="C51" i="6" s="1"/>
  <c r="Q51" i="6"/>
  <c r="R51" i="6" s="1"/>
  <c r="Q122" i="6"/>
  <c r="R122" i="6" s="1"/>
  <c r="B126" i="6"/>
  <c r="C126" i="6" s="1"/>
  <c r="Q126" i="6"/>
  <c r="R126" i="6" s="1"/>
  <c r="Q164" i="6"/>
  <c r="R164" i="6" s="1"/>
  <c r="Q159" i="6"/>
  <c r="R159" i="6" s="1"/>
  <c r="Q66" i="6"/>
  <c r="R66" i="6" s="1"/>
  <c r="Q30" i="6"/>
  <c r="R30" i="6" s="1"/>
  <c r="Q115" i="6"/>
  <c r="R115" i="6" s="1"/>
  <c r="Q94" i="6"/>
  <c r="R94" i="6" s="1"/>
  <c r="Q93" i="6"/>
  <c r="R93" i="6" s="1"/>
  <c r="Q16" i="6"/>
  <c r="R16" i="6" s="1"/>
  <c r="Q49" i="6"/>
  <c r="R49" i="6" s="1"/>
  <c r="B104" i="6"/>
  <c r="C104" i="6" s="1"/>
  <c r="Q104" i="6"/>
  <c r="R104" i="6" s="1"/>
  <c r="Q129" i="6"/>
  <c r="R129" i="6" s="1"/>
  <c r="B84" i="6"/>
  <c r="C84" i="6" s="1"/>
  <c r="Q84" i="6"/>
  <c r="R84" i="6" s="1"/>
  <c r="Q33" i="6"/>
  <c r="R33" i="6" s="1"/>
  <c r="Q27" i="6"/>
  <c r="R27" i="6" s="1"/>
  <c r="Q113" i="6"/>
  <c r="R113" i="6" s="1"/>
  <c r="Q23" i="6"/>
  <c r="R23" i="6" s="1"/>
  <c r="Q39" i="6"/>
  <c r="R39" i="6" s="1"/>
  <c r="Q160" i="6"/>
  <c r="R160" i="6" s="1"/>
  <c r="B103" i="6"/>
  <c r="C103" i="6" s="1"/>
  <c r="Q103" i="6"/>
  <c r="R103" i="6" s="1"/>
  <c r="Q72" i="6"/>
  <c r="R72" i="6" s="1"/>
  <c r="Q88" i="6"/>
  <c r="R88" i="6" s="1"/>
  <c r="Q29" i="6"/>
  <c r="R29" i="6" s="1"/>
  <c r="Q152" i="6"/>
  <c r="R152" i="6" s="1"/>
  <c r="Q52" i="6"/>
  <c r="R52" i="6" s="1"/>
  <c r="Q82" i="6"/>
  <c r="B82" i="6"/>
  <c r="Q125" i="6"/>
  <c r="R125" i="6" s="1"/>
  <c r="B125" i="6"/>
  <c r="C125" i="6" s="1"/>
  <c r="Q44" i="6"/>
  <c r="R44" i="6" s="1"/>
  <c r="Q50" i="6"/>
  <c r="R50" i="6" s="1"/>
  <c r="Q74" i="6"/>
  <c r="R74" i="6" s="1"/>
  <c r="Q48" i="6"/>
  <c r="R48" i="6" s="1"/>
  <c r="Q128" i="6"/>
  <c r="R128" i="6" s="1"/>
  <c r="B128" i="6"/>
  <c r="C128" i="6" s="1"/>
  <c r="B105" i="6"/>
  <c r="C105" i="6" s="1"/>
  <c r="Q105" i="6"/>
  <c r="R105" i="6" s="1"/>
  <c r="Q54" i="6"/>
  <c r="R54" i="6" s="1"/>
  <c r="Q132" i="6"/>
  <c r="R132" i="6" s="1"/>
  <c r="B132" i="6"/>
  <c r="C132" i="6" s="1"/>
  <c r="Q70" i="6"/>
  <c r="R70" i="6" s="1"/>
  <c r="Q161" i="6"/>
  <c r="R161" i="6" s="1"/>
  <c r="Q31" i="6"/>
  <c r="R31" i="6" s="1"/>
  <c r="B100" i="6"/>
  <c r="C100" i="6" s="1"/>
  <c r="Q100" i="6"/>
  <c r="R100" i="6" s="1"/>
  <c r="B77" i="6"/>
  <c r="C77" i="6" s="1"/>
  <c r="Q77" i="6"/>
  <c r="R77" i="6" s="1"/>
  <c r="Q182" i="6"/>
  <c r="R182" i="6" s="1"/>
  <c r="B124" i="6"/>
  <c r="C124" i="6" s="1"/>
  <c r="Q124" i="6"/>
  <c r="R124" i="6" s="1"/>
  <c r="Q91" i="6"/>
  <c r="R91" i="6" s="1"/>
  <c r="Q83" i="6"/>
  <c r="R83" i="6" s="1"/>
  <c r="Q79" i="6"/>
  <c r="R79" i="6" s="1"/>
  <c r="Q32" i="6"/>
  <c r="R32" i="6" s="1"/>
  <c r="Q133" i="6"/>
  <c r="R133" i="6" s="1"/>
  <c r="B133" i="6"/>
  <c r="C133" i="6" s="1"/>
  <c r="Q45" i="6"/>
  <c r="R45" i="6" s="1"/>
  <c r="Q106" i="6"/>
  <c r="R106" i="6" s="1"/>
  <c r="B106" i="6"/>
  <c r="C106" i="6" s="1"/>
  <c r="Q22" i="6"/>
  <c r="R22" i="6" s="1"/>
  <c r="Q98" i="6"/>
  <c r="R98" i="6" s="1"/>
  <c r="B98" i="6"/>
  <c r="C98" i="6" s="1"/>
  <c r="Q65" i="6"/>
  <c r="R65" i="6" s="1"/>
  <c r="Q154" i="6"/>
  <c r="R154" i="6" s="1"/>
  <c r="B87" i="6"/>
  <c r="C87" i="6" s="1"/>
  <c r="Q87" i="6"/>
  <c r="R87" i="6" s="1"/>
  <c r="B53" i="6"/>
  <c r="C53" i="6" s="1"/>
  <c r="Q53" i="6"/>
  <c r="R53" i="6" s="1"/>
  <c r="Q163" i="6"/>
  <c r="R163" i="6" s="1"/>
  <c r="Q134" i="6"/>
  <c r="R134" i="6" s="1"/>
  <c r="Q61" i="6"/>
  <c r="R61" i="6" s="1"/>
  <c r="B127" i="6"/>
  <c r="C127" i="6" s="1"/>
  <c r="Q127" i="6"/>
  <c r="R127" i="6" s="1"/>
  <c r="Q63" i="6"/>
  <c r="R63" i="6" s="1"/>
  <c r="Q40" i="6"/>
  <c r="R40" i="6" s="1"/>
  <c r="Q111" i="6"/>
  <c r="R111" i="6" s="1"/>
  <c r="Q92" i="6"/>
  <c r="R92" i="6" s="1"/>
  <c r="Q157" i="6"/>
  <c r="R157" i="6" s="1"/>
  <c r="Q170" i="6"/>
  <c r="R170" i="6" s="1"/>
  <c r="Q86" i="6"/>
  <c r="R86" i="6" s="1"/>
  <c r="B86" i="6"/>
  <c r="C86" i="6" s="1"/>
  <c r="Q181" i="6"/>
  <c r="R181" i="6" s="1"/>
  <c r="Q71" i="6"/>
  <c r="R71" i="6" s="1"/>
  <c r="Q21" i="6"/>
  <c r="R21" i="6" s="1"/>
  <c r="Q110" i="6"/>
  <c r="R110" i="6" s="1"/>
  <c r="Q78" i="6"/>
  <c r="R78" i="6" s="1"/>
  <c r="B41" i="6"/>
  <c r="C41" i="6" s="1"/>
  <c r="Q41" i="6"/>
  <c r="R41" i="6" s="1"/>
  <c r="Q102" i="6"/>
  <c r="R102" i="6" s="1"/>
  <c r="B102" i="6"/>
  <c r="C102" i="6" s="1"/>
  <c r="Q68" i="6"/>
  <c r="R68" i="6" s="1"/>
  <c r="Q38" i="6"/>
  <c r="R38" i="6" s="1"/>
  <c r="B166" i="6"/>
  <c r="C166" i="6" s="1"/>
  <c r="Q166" i="6"/>
  <c r="R166" i="6" s="1"/>
  <c r="Q162" i="6"/>
  <c r="R162" i="6" s="1"/>
  <c r="Q42" i="6"/>
  <c r="R42" i="6" s="1"/>
  <c r="Q24" i="6"/>
  <c r="R24" i="6" s="1"/>
  <c r="Q62" i="6"/>
  <c r="R62" i="6" s="1"/>
  <c r="Q75" i="6"/>
  <c r="R75" i="6" s="1"/>
  <c r="R379" i="6"/>
  <c r="B379" i="6"/>
  <c r="C379" i="6" s="1"/>
  <c r="B378" i="6"/>
  <c r="C378" i="6" s="1"/>
  <c r="A49" i="7" s="1"/>
  <c r="A50" i="7" s="1"/>
  <c r="Q378" i="6"/>
  <c r="R378" i="6" s="1"/>
  <c r="Q377" i="6"/>
  <c r="R377" i="6" s="1"/>
  <c r="B377" i="6"/>
  <c r="Q382" i="6"/>
  <c r="R382" i="6" s="1"/>
  <c r="Q383" i="6"/>
  <c r="R383" i="6" s="1"/>
  <c r="R384" i="6" l="1"/>
  <c r="R380" i="6"/>
  <c r="R82" i="6"/>
  <c r="R18" i="6"/>
  <c r="R190" i="6"/>
  <c r="R218" i="6"/>
  <c r="R310" i="6" s="1"/>
  <c r="Q227" i="6"/>
  <c r="Q190" i="6"/>
  <c r="Q384" i="6"/>
  <c r="B181" i="6"/>
  <c r="B182" i="6" s="1"/>
  <c r="B372" i="6"/>
  <c r="C372" i="6" s="1"/>
  <c r="B373" i="6"/>
  <c r="C373" i="6" s="1"/>
  <c r="C303" i="6"/>
  <c r="B305" i="6"/>
  <c r="C305" i="6" s="1"/>
  <c r="Q80" i="6"/>
  <c r="B353" i="6"/>
  <c r="C353" i="6" s="1"/>
  <c r="Q365" i="6"/>
  <c r="R365" i="6" s="1"/>
  <c r="B361" i="6"/>
  <c r="C361" i="6" s="1"/>
  <c r="Q362" i="6"/>
  <c r="R362" i="6" s="1"/>
  <c r="Q370" i="6"/>
  <c r="Q329" i="6"/>
  <c r="R329" i="6" s="1"/>
  <c r="B329" i="6"/>
  <c r="B331" i="6"/>
  <c r="C331" i="6" s="1"/>
  <c r="Q331" i="6"/>
  <c r="R331" i="6" s="1"/>
  <c r="Q333" i="6"/>
  <c r="R333" i="6" s="1"/>
  <c r="B330" i="6"/>
  <c r="C330" i="6" s="1"/>
  <c r="Q330" i="6"/>
  <c r="R330" i="6" s="1"/>
  <c r="Q299" i="6"/>
  <c r="C245" i="6"/>
  <c r="C254" i="6" s="1"/>
  <c r="Q254" i="6"/>
  <c r="C228" i="6"/>
  <c r="C244" i="6" s="1"/>
  <c r="Q266" i="6"/>
  <c r="Q244" i="6"/>
  <c r="C290" i="6"/>
  <c r="C299" i="6" s="1"/>
  <c r="Q285" i="6"/>
  <c r="C218" i="6"/>
  <c r="B219" i="6"/>
  <c r="Q309" i="6"/>
  <c r="C255" i="6"/>
  <c r="C266" i="6" s="1"/>
  <c r="C267" i="6"/>
  <c r="C285" i="6" s="1"/>
  <c r="C370" i="6"/>
  <c r="C82" i="6"/>
  <c r="C352" i="6"/>
  <c r="B83" i="6"/>
  <c r="B382" i="6"/>
  <c r="B383" i="6" s="1"/>
  <c r="C383" i="6" s="1"/>
  <c r="B17" i="6"/>
  <c r="C17" i="6" s="1"/>
  <c r="C15" i="6"/>
  <c r="C180" i="6"/>
  <c r="Q18" i="6"/>
  <c r="C377" i="6"/>
  <c r="C375" i="6"/>
  <c r="A19" i="56" s="1"/>
  <c r="A30" i="56" s="1"/>
  <c r="Q380" i="6"/>
  <c r="R368" i="6" l="1"/>
  <c r="R350" i="6"/>
  <c r="Q374" i="6"/>
  <c r="R370" i="6"/>
  <c r="R374" i="6" s="1"/>
  <c r="C181" i="6"/>
  <c r="C20" i="6"/>
  <c r="Q310" i="6"/>
  <c r="K16" i="48" s="1"/>
  <c r="E18" i="7" s="1"/>
  <c r="Q350" i="6"/>
  <c r="C182" i="6"/>
  <c r="B183" i="6"/>
  <c r="C183" i="6" s="1"/>
  <c r="Q368" i="6"/>
  <c r="C369" i="6"/>
  <c r="C374" i="6" s="1"/>
  <c r="B306" i="6"/>
  <c r="C306" i="6" s="1"/>
  <c r="B354" i="6"/>
  <c r="B355" i="6" s="1"/>
  <c r="C355" i="6" s="1"/>
  <c r="B88" i="6"/>
  <c r="C329" i="6"/>
  <c r="B332" i="6"/>
  <c r="C332" i="6" s="1"/>
  <c r="C219" i="6"/>
  <c r="B220" i="6"/>
  <c r="K20" i="48"/>
  <c r="C83" i="6"/>
  <c r="C382" i="6"/>
  <c r="C381" i="6"/>
  <c r="K15" i="48"/>
  <c r="E16" i="7" s="1"/>
  <c r="C14" i="6"/>
  <c r="A11" i="56" s="1"/>
  <c r="A22" i="56" s="1"/>
  <c r="K13" i="48"/>
  <c r="E12" i="7" s="1"/>
  <c r="C380" i="6"/>
  <c r="A21" i="48"/>
  <c r="A28" i="7"/>
  <c r="A29" i="7" s="1"/>
  <c r="K21" i="48"/>
  <c r="E28" i="7" s="1"/>
  <c r="E53" i="7" s="1"/>
  <c r="K22" i="48"/>
  <c r="E30" i="7" s="1"/>
  <c r="B184" i="6" l="1"/>
  <c r="B185" i="6" s="1"/>
  <c r="C185" i="6" s="1"/>
  <c r="H20" i="48"/>
  <c r="J20" i="48" s="1"/>
  <c r="E26" i="7"/>
  <c r="E51" i="7" s="1"/>
  <c r="C384" i="6"/>
  <c r="A20" i="56"/>
  <c r="A31" i="56" s="1"/>
  <c r="E43" i="7"/>
  <c r="L19" i="7"/>
  <c r="J44" i="7"/>
  <c r="K44" i="7"/>
  <c r="L44" i="7"/>
  <c r="M44" i="7"/>
  <c r="N44" i="7"/>
  <c r="O44" i="7"/>
  <c r="P44" i="7"/>
  <c r="E41" i="7"/>
  <c r="N17" i="7"/>
  <c r="O17" i="7"/>
  <c r="M17" i="7"/>
  <c r="P17" i="7"/>
  <c r="J42" i="7"/>
  <c r="J17" i="7"/>
  <c r="K17" i="7"/>
  <c r="L17" i="7"/>
  <c r="R31" i="7"/>
  <c r="R56" i="7"/>
  <c r="G56" i="7"/>
  <c r="E55" i="7"/>
  <c r="G38" i="7"/>
  <c r="E37" i="7"/>
  <c r="H42" i="7"/>
  <c r="R42" i="7"/>
  <c r="Q42" i="7"/>
  <c r="P42" i="7"/>
  <c r="O42" i="7"/>
  <c r="L42" i="7"/>
  <c r="N42" i="7"/>
  <c r="K42" i="7"/>
  <c r="M42" i="7"/>
  <c r="I42" i="7"/>
  <c r="G42" i="7"/>
  <c r="Q54" i="7"/>
  <c r="P54" i="7"/>
  <c r="L54" i="7"/>
  <c r="K54" i="7"/>
  <c r="I54" i="7"/>
  <c r="G54" i="7"/>
  <c r="J54" i="7"/>
  <c r="H54" i="7"/>
  <c r="R54" i="7"/>
  <c r="O54" i="7"/>
  <c r="N54" i="7"/>
  <c r="M54" i="7"/>
  <c r="K38" i="7"/>
  <c r="J38" i="7"/>
  <c r="I38" i="7"/>
  <c r="H38" i="7"/>
  <c r="R38" i="7"/>
  <c r="O38" i="7"/>
  <c r="Q38" i="7"/>
  <c r="M38" i="7"/>
  <c r="P38" i="7"/>
  <c r="N38" i="7"/>
  <c r="L38" i="7"/>
  <c r="L56" i="7"/>
  <c r="K56" i="7"/>
  <c r="I56" i="7"/>
  <c r="N56" i="7"/>
  <c r="P56" i="7"/>
  <c r="H56" i="7"/>
  <c r="Q56" i="7"/>
  <c r="O56" i="7"/>
  <c r="M56" i="7"/>
  <c r="J56" i="7"/>
  <c r="Q19" i="7"/>
  <c r="I44" i="7"/>
  <c r="H44" i="7"/>
  <c r="G44" i="7"/>
  <c r="R44" i="7"/>
  <c r="Q44" i="7"/>
  <c r="A20" i="48"/>
  <c r="A26" i="7"/>
  <c r="A27" i="7" s="1"/>
  <c r="K19" i="48"/>
  <c r="B307" i="6"/>
  <c r="C307" i="6" s="1"/>
  <c r="C354" i="6"/>
  <c r="L13" i="7"/>
  <c r="Q13" i="7"/>
  <c r="O13" i="7"/>
  <c r="P13" i="7"/>
  <c r="N13" i="7"/>
  <c r="M13" i="7"/>
  <c r="Q17" i="7"/>
  <c r="L31" i="7"/>
  <c r="M31" i="7"/>
  <c r="N31" i="7"/>
  <c r="O31" i="7"/>
  <c r="P31" i="7"/>
  <c r="Q31" i="7"/>
  <c r="Q29" i="7"/>
  <c r="P29" i="7"/>
  <c r="O29" i="7"/>
  <c r="N29" i="7"/>
  <c r="M29" i="7"/>
  <c r="L29" i="7"/>
  <c r="O19" i="7"/>
  <c r="P19" i="7"/>
  <c r="N19" i="7"/>
  <c r="M19" i="7"/>
  <c r="B89" i="6"/>
  <c r="C88" i="6"/>
  <c r="K18" i="48"/>
  <c r="B333" i="6"/>
  <c r="B356" i="6"/>
  <c r="C356" i="6" s="1"/>
  <c r="H16" i="48"/>
  <c r="J16" i="48" s="1"/>
  <c r="C220" i="6"/>
  <c r="B221" i="6"/>
  <c r="A22" i="48"/>
  <c r="A30" i="7"/>
  <c r="A31" i="7" s="1"/>
  <c r="J19" i="7"/>
  <c r="G19" i="7"/>
  <c r="K19" i="7"/>
  <c r="R19" i="7"/>
  <c r="I19" i="7"/>
  <c r="H19" i="7"/>
  <c r="C18" i="6"/>
  <c r="A12" i="7"/>
  <c r="A13" i="7" s="1"/>
  <c r="A13" i="48"/>
  <c r="A14" i="6"/>
  <c r="I13" i="7"/>
  <c r="H13" i="7"/>
  <c r="J13" i="7"/>
  <c r="R13" i="7"/>
  <c r="G13" i="7"/>
  <c r="K13" i="7"/>
  <c r="H15" i="48"/>
  <c r="J15" i="48" s="1"/>
  <c r="H13" i="48"/>
  <c r="I17" i="7"/>
  <c r="G17" i="7"/>
  <c r="R17" i="7"/>
  <c r="H17" i="7"/>
  <c r="R29" i="7"/>
  <c r="G29" i="7"/>
  <c r="I29" i="7"/>
  <c r="H29" i="7"/>
  <c r="J29" i="7"/>
  <c r="K29" i="7"/>
  <c r="H21" i="48"/>
  <c r="J21" i="48" s="1"/>
  <c r="I31" i="7"/>
  <c r="G31" i="7"/>
  <c r="K31" i="7"/>
  <c r="J31" i="7"/>
  <c r="H31" i="7"/>
  <c r="H22" i="48"/>
  <c r="J22" i="48" s="1"/>
  <c r="B186" i="6" l="1"/>
  <c r="C186" i="6" s="1"/>
  <c r="C184" i="6"/>
  <c r="B188" i="6"/>
  <c r="C188" i="6" s="1"/>
  <c r="M27" i="7"/>
  <c r="L27" i="7"/>
  <c r="Q52" i="7"/>
  <c r="K27" i="7"/>
  <c r="G52" i="7"/>
  <c r="P52" i="7"/>
  <c r="H52" i="7"/>
  <c r="N52" i="7"/>
  <c r="I52" i="7"/>
  <c r="O27" i="7"/>
  <c r="K52" i="7"/>
  <c r="G27" i="7"/>
  <c r="O52" i="7"/>
  <c r="L52" i="7"/>
  <c r="N27" i="7"/>
  <c r="Q27" i="7"/>
  <c r="M52" i="7"/>
  <c r="I27" i="7"/>
  <c r="J27" i="7"/>
  <c r="H27" i="7"/>
  <c r="P27" i="7"/>
  <c r="J52" i="7"/>
  <c r="H19" i="48"/>
  <c r="J19" i="48" s="1"/>
  <c r="E24" i="7"/>
  <c r="K25" i="7" s="1"/>
  <c r="H18" i="48"/>
  <c r="J18" i="48" s="1"/>
  <c r="E22" i="7"/>
  <c r="S56" i="7"/>
  <c r="S54" i="7"/>
  <c r="T54" i="7" s="1"/>
  <c r="S44" i="7"/>
  <c r="S42" i="7"/>
  <c r="S38" i="7"/>
  <c r="B90" i="6"/>
  <c r="B91" i="6" s="1"/>
  <c r="C91" i="6" s="1"/>
  <c r="B308" i="6"/>
  <c r="C308" i="6" s="1"/>
  <c r="C300" i="6" s="1"/>
  <c r="C309" i="6" s="1"/>
  <c r="C89" i="6"/>
  <c r="C333" i="6"/>
  <c r="B334" i="6"/>
  <c r="C334" i="6" s="1"/>
  <c r="B357" i="6"/>
  <c r="C221" i="6"/>
  <c r="B222" i="6"/>
  <c r="J13" i="48"/>
  <c r="E14" i="6"/>
  <c r="A15" i="6"/>
  <c r="B187" i="6" l="1"/>
  <c r="B189" i="6" s="1"/>
  <c r="C189" i="6" s="1"/>
  <c r="H25" i="7"/>
  <c r="G25" i="7"/>
  <c r="E49" i="7"/>
  <c r="K50" i="7"/>
  <c r="I25" i="7"/>
  <c r="J25" i="7"/>
  <c r="Q25" i="7"/>
  <c r="M25" i="7"/>
  <c r="L25" i="7"/>
  <c r="R27" i="7"/>
  <c r="O25" i="7"/>
  <c r="R25" i="7"/>
  <c r="P25" i="7"/>
  <c r="Q50" i="7"/>
  <c r="H50" i="7"/>
  <c r="J50" i="7"/>
  <c r="L50" i="7"/>
  <c r="N50" i="7"/>
  <c r="R52" i="7"/>
  <c r="M50" i="7"/>
  <c r="N25" i="7"/>
  <c r="O50" i="7"/>
  <c r="P50" i="7"/>
  <c r="R50" i="7"/>
  <c r="G50" i="7"/>
  <c r="I50" i="7"/>
  <c r="I48" i="7"/>
  <c r="O23" i="7"/>
  <c r="P48" i="7"/>
  <c r="Q23" i="7"/>
  <c r="O48" i="7"/>
  <c r="P23" i="7"/>
  <c r="J23" i="7"/>
  <c r="N48" i="7"/>
  <c r="N23" i="7"/>
  <c r="E47" i="7"/>
  <c r="M48" i="7"/>
  <c r="M23" i="7"/>
  <c r="R23" i="7"/>
  <c r="R48" i="7"/>
  <c r="Q48" i="7"/>
  <c r="G23" i="7"/>
  <c r="L48" i="7"/>
  <c r="I23" i="7"/>
  <c r="H48" i="7"/>
  <c r="K23" i="7"/>
  <c r="K48" i="7"/>
  <c r="G48" i="7"/>
  <c r="J48" i="7"/>
  <c r="L23" i="7"/>
  <c r="H23" i="7"/>
  <c r="C90" i="6"/>
  <c r="T56" i="7"/>
  <c r="T38" i="7"/>
  <c r="T42" i="7"/>
  <c r="T44" i="7"/>
  <c r="B92" i="6"/>
  <c r="B335" i="6"/>
  <c r="C357" i="6"/>
  <c r="B358" i="6"/>
  <c r="B359" i="6" s="1"/>
  <c r="C359" i="6" s="1"/>
  <c r="C222" i="6"/>
  <c r="B223" i="6"/>
  <c r="A16" i="6"/>
  <c r="E15" i="6"/>
  <c r="C13" i="48"/>
  <c r="B12" i="7"/>
  <c r="B37" i="7" s="1"/>
  <c r="C187" i="6" l="1"/>
  <c r="C179" i="6"/>
  <c r="A15" i="48" s="1"/>
  <c r="S52" i="7"/>
  <c r="T52" i="7" s="1"/>
  <c r="S50" i="7"/>
  <c r="S48" i="7"/>
  <c r="T48" i="7" s="1"/>
  <c r="C92" i="6"/>
  <c r="B93" i="6"/>
  <c r="C93" i="6" s="1"/>
  <c r="B94" i="6"/>
  <c r="B336" i="6"/>
  <c r="B337" i="6" s="1"/>
  <c r="B340" i="6" s="1"/>
  <c r="C340" i="6" s="1"/>
  <c r="C335" i="6"/>
  <c r="C358" i="6"/>
  <c r="B360" i="6"/>
  <c r="B364" i="6" s="1"/>
  <c r="C223" i="6"/>
  <c r="B224" i="6"/>
  <c r="E16" i="6"/>
  <c r="A17" i="6"/>
  <c r="E17" i="6" s="1"/>
  <c r="C190" i="6" l="1"/>
  <c r="A16" i="7"/>
  <c r="A17" i="7" s="1"/>
  <c r="B97" i="6"/>
  <c r="C97" i="6" s="1"/>
  <c r="B95" i="6"/>
  <c r="T50" i="7"/>
  <c r="C94" i="6"/>
  <c r="C364" i="6"/>
  <c r="B365" i="6"/>
  <c r="B366" i="6" s="1"/>
  <c r="B367" i="6" s="1"/>
  <c r="C367" i="6" s="1"/>
  <c r="B110" i="6"/>
  <c r="B338" i="6"/>
  <c r="C337" i="6"/>
  <c r="C336" i="6"/>
  <c r="A45" i="7" s="1"/>
  <c r="A46" i="7" s="1"/>
  <c r="C360" i="6"/>
  <c r="C224" i="6"/>
  <c r="B225" i="6"/>
  <c r="C225" i="6" s="1"/>
  <c r="C95" i="6" l="1"/>
  <c r="B96" i="6"/>
  <c r="C96" i="6" s="1"/>
  <c r="C366" i="6"/>
  <c r="C351" i="6"/>
  <c r="A19" i="48" s="1"/>
  <c r="C365" i="6"/>
  <c r="C110" i="6"/>
  <c r="B107" i="6"/>
  <c r="C107" i="6" s="1"/>
  <c r="C338" i="6"/>
  <c r="B339" i="6"/>
  <c r="B226" i="6"/>
  <c r="C226" i="6" s="1"/>
  <c r="C211" i="6" s="1"/>
  <c r="B211" i="6" s="1"/>
  <c r="A24" i="7" l="1"/>
  <c r="A25" i="7" s="1"/>
  <c r="C368" i="6"/>
  <c r="B341" i="6"/>
  <c r="C341" i="6" s="1"/>
  <c r="B108" i="6"/>
  <c r="C108" i="6" s="1"/>
  <c r="C339" i="6"/>
  <c r="C227" i="6"/>
  <c r="B228" i="6"/>
  <c r="B245" i="6" s="1"/>
  <c r="B255" i="6" s="1"/>
  <c r="B267" i="6" s="1"/>
  <c r="B286" i="6" s="1"/>
  <c r="B290" i="6" s="1"/>
  <c r="B300" i="6" s="1"/>
  <c r="B346" i="6" l="1"/>
  <c r="C346" i="6" s="1"/>
  <c r="B342" i="6"/>
  <c r="B109" i="6"/>
  <c r="B111" i="6" s="1"/>
  <c r="C111" i="6" s="1"/>
  <c r="B347" i="6"/>
  <c r="C347" i="6" s="1"/>
  <c r="C191" i="6"/>
  <c r="A16" i="48" s="1"/>
  <c r="C342" i="6" l="1"/>
  <c r="B343" i="6"/>
  <c r="C343" i="6" s="1"/>
  <c r="B112" i="6"/>
  <c r="C112" i="6" s="1"/>
  <c r="C109" i="6"/>
  <c r="C310" i="6"/>
  <c r="A18" i="7"/>
  <c r="A19" i="7" s="1"/>
  <c r="B344" i="6" l="1"/>
  <c r="B113" i="6"/>
  <c r="C113" i="6" s="1"/>
  <c r="C344" i="6" l="1"/>
  <c r="B345" i="6"/>
  <c r="B348" i="6" s="1"/>
  <c r="C348" i="6" s="1"/>
  <c r="B114" i="6"/>
  <c r="C114" i="6" s="1"/>
  <c r="C345" i="6" l="1"/>
  <c r="B349" i="6"/>
  <c r="B115" i="6"/>
  <c r="C115" i="6" s="1"/>
  <c r="C349" i="6" l="1"/>
  <c r="C323" i="6"/>
  <c r="A18" i="48" l="1"/>
  <c r="C350" i="6"/>
  <c r="A47" i="7" s="1"/>
  <c r="A48" i="7" s="1"/>
  <c r="A22" i="7"/>
  <c r="A23" i="7" s="1"/>
  <c r="B22" i="6" l="1"/>
  <c r="C22" i="6" s="1"/>
  <c r="B34" i="6" l="1"/>
  <c r="C34" i="6" s="1"/>
  <c r="B35" i="6"/>
  <c r="C35" i="6" s="1"/>
  <c r="B47" i="6" l="1"/>
  <c r="C47" i="6" s="1"/>
  <c r="B48" i="6" l="1"/>
  <c r="B49" i="6"/>
  <c r="C48" i="6" l="1"/>
  <c r="B50" i="6"/>
  <c r="C49" i="6"/>
  <c r="B52" i="6" l="1"/>
  <c r="C52" i="6" s="1"/>
  <c r="B54" i="6"/>
  <c r="C50" i="6"/>
  <c r="B55" i="6"/>
  <c r="B57" i="6" l="1"/>
  <c r="C57" i="6" s="1"/>
  <c r="C55" i="6"/>
  <c r="B60" i="6"/>
  <c r="C60" i="6" s="1"/>
  <c r="B59" i="6"/>
  <c r="C54" i="6"/>
  <c r="B61" i="6"/>
  <c r="C61" i="6" s="1"/>
  <c r="B63" i="6" l="1"/>
  <c r="C63" i="6" s="1"/>
  <c r="C59" i="6"/>
  <c r="B62" i="6"/>
  <c r="C62" i="6" s="1"/>
  <c r="B65" i="6" l="1"/>
  <c r="C65" i="6" s="1"/>
  <c r="B64" i="6"/>
  <c r="B67" i="6" l="1"/>
  <c r="C67" i="6" s="1"/>
  <c r="C64" i="6"/>
  <c r="B66" i="6"/>
  <c r="C66" i="6" l="1"/>
  <c r="B68" i="6"/>
  <c r="B69" i="6"/>
  <c r="B71" i="6" l="1"/>
  <c r="C71" i="6" s="1"/>
  <c r="C69" i="6"/>
  <c r="C68" i="6"/>
  <c r="B70" i="6"/>
  <c r="C70" i="6" l="1"/>
  <c r="B72" i="6"/>
  <c r="C72" i="6" l="1"/>
  <c r="B74" i="6"/>
  <c r="C74" i="6" l="1"/>
  <c r="T15" i="52" l="1"/>
  <c r="W15" i="52"/>
  <c r="Y15" i="52" s="1"/>
  <c r="Z15" i="52" s="1"/>
  <c r="T14" i="52"/>
  <c r="W14" i="52"/>
  <c r="Y14" i="52" s="1"/>
  <c r="Z14" i="52" s="1"/>
  <c r="AA15" i="52" l="1"/>
  <c r="AB15" i="52"/>
  <c r="AB14" i="52"/>
  <c r="AA14" i="52"/>
  <c r="W9" i="52"/>
  <c r="Y9" i="52" s="1"/>
  <c r="Z9" i="52" s="1"/>
  <c r="AA9" i="52" s="1"/>
  <c r="AB9" i="52" l="1"/>
  <c r="B31" i="56"/>
  <c r="B30" i="56"/>
  <c r="B29" i="56"/>
  <c r="B28" i="56"/>
  <c r="B27" i="56"/>
  <c r="B26" i="56"/>
  <c r="B25" i="56"/>
  <c r="B24" i="56"/>
  <c r="B23" i="56"/>
  <c r="FM17" i="52"/>
  <c r="E175" i="8" s="1"/>
  <c r="FJ17" i="52"/>
  <c r="E172" i="8" s="1"/>
  <c r="GM17" i="52"/>
  <c r="E191" i="8" s="1"/>
  <c r="FI17" i="52"/>
  <c r="E171" i="8" s="1"/>
  <c r="GL17" i="52"/>
  <c r="E190" i="8" s="1"/>
  <c r="A190" i="8" s="1"/>
  <c r="FL17" i="52"/>
  <c r="E174" i="8" s="1"/>
  <c r="GK17" i="52"/>
  <c r="E189" i="8" s="1"/>
  <c r="GN17" i="52"/>
  <c r="FK17" i="52"/>
  <c r="E173" i="8" s="1"/>
  <c r="FH17" i="52"/>
  <c r="E170" i="8" s="1"/>
  <c r="A170" i="8" s="1"/>
  <c r="E192" i="8" l="1"/>
  <c r="A192" i="8" s="1"/>
  <c r="E193" i="8"/>
  <c r="F175" i="8"/>
  <c r="M121" i="6" s="1"/>
  <c r="Q121" i="6" s="1"/>
  <c r="R121" i="6" s="1"/>
  <c r="A175" i="8"/>
  <c r="F190" i="8"/>
  <c r="M136" i="6" s="1"/>
  <c r="F189" i="8"/>
  <c r="M135" i="6" s="1"/>
  <c r="A189" i="8"/>
  <c r="A172" i="8"/>
  <c r="F172" i="8"/>
  <c r="M118" i="6" s="1"/>
  <c r="F173" i="8"/>
  <c r="M119" i="6" s="1"/>
  <c r="A173" i="8"/>
  <c r="A171" i="8"/>
  <c r="F171" i="8"/>
  <c r="M117" i="6" s="1"/>
  <c r="A191" i="8"/>
  <c r="F191" i="8"/>
  <c r="M137" i="6" s="1"/>
  <c r="F170" i="8"/>
  <c r="M116" i="6" s="1"/>
  <c r="F174" i="8"/>
  <c r="M120" i="6" s="1"/>
  <c r="A174" i="8"/>
  <c r="F192" i="8" l="1"/>
  <c r="M138" i="6" s="1"/>
  <c r="Q138" i="6" s="1"/>
  <c r="R138" i="6" s="1"/>
  <c r="A193" i="8"/>
  <c r="F193" i="8"/>
  <c r="M139" i="6" s="1"/>
  <c r="A135" i="8"/>
  <c r="A204" i="8" s="1"/>
  <c r="A133" i="8" s="1"/>
  <c r="A314" i="8" s="1"/>
  <c r="B121" i="6"/>
  <c r="Q136" i="6"/>
  <c r="R136" i="6" s="1"/>
  <c r="Q119" i="6"/>
  <c r="R119" i="6" s="1"/>
  <c r="Q118" i="6"/>
  <c r="R118" i="6" s="1"/>
  <c r="Q117" i="6"/>
  <c r="R117" i="6" s="1"/>
  <c r="Q137" i="6"/>
  <c r="R137" i="6" s="1"/>
  <c r="Q120" i="6"/>
  <c r="R120" i="6" s="1"/>
  <c r="B120" i="6"/>
  <c r="C120" i="6" s="1"/>
  <c r="B116" i="6"/>
  <c r="Q116" i="6"/>
  <c r="Q135" i="6"/>
  <c r="R135" i="6" s="1"/>
  <c r="R116" i="6" l="1"/>
  <c r="Q139" i="6"/>
  <c r="R139" i="6" s="1"/>
  <c r="C121" i="6"/>
  <c r="B117" i="6"/>
  <c r="C117" i="6" s="1"/>
  <c r="C116" i="6"/>
  <c r="Q177" i="6" l="1"/>
  <c r="Q178" i="6" s="1"/>
  <c r="R178" i="6"/>
  <c r="R385" i="6" s="1"/>
  <c r="B118" i="6"/>
  <c r="B119" i="6" s="1"/>
  <c r="Q385" i="6" l="1"/>
  <c r="K14" i="48"/>
  <c r="B122" i="6"/>
  <c r="B129" i="6" s="1"/>
  <c r="C129" i="6" s="1"/>
  <c r="C118" i="6"/>
  <c r="C119" i="6"/>
  <c r="H14" i="48" l="1"/>
  <c r="H23" i="48" s="1"/>
  <c r="E14" i="7"/>
  <c r="K23" i="48"/>
  <c r="C122" i="6"/>
  <c r="B134" i="6"/>
  <c r="L14" i="48" l="1"/>
  <c r="J14" i="48"/>
  <c r="J23" i="48" s="1"/>
  <c r="J24" i="48" s="1"/>
  <c r="J15" i="7"/>
  <c r="J33" i="7" s="1"/>
  <c r="J40" i="7"/>
  <c r="J58" i="7" s="1"/>
  <c r="L40" i="7"/>
  <c r="L58" i="7" s="1"/>
  <c r="P15" i="7"/>
  <c r="P33" i="7" s="1"/>
  <c r="G15" i="7"/>
  <c r="G33" i="7" s="1"/>
  <c r="I15" i="7"/>
  <c r="I33" i="7" s="1"/>
  <c r="O15" i="7"/>
  <c r="O33" i="7" s="1"/>
  <c r="K15" i="7"/>
  <c r="K33" i="7" s="1"/>
  <c r="I40" i="7"/>
  <c r="I58" i="7" s="1"/>
  <c r="E39" i="7"/>
  <c r="L15" i="7"/>
  <c r="L33" i="7" s="1"/>
  <c r="H15" i="7"/>
  <c r="H33" i="7" s="1"/>
  <c r="E33" i="7"/>
  <c r="F14" i="7" s="1"/>
  <c r="M40" i="7"/>
  <c r="M58" i="7" s="1"/>
  <c r="G40" i="7"/>
  <c r="K40" i="7"/>
  <c r="K58" i="7" s="1"/>
  <c r="R40" i="7"/>
  <c r="R58" i="7" s="1"/>
  <c r="R15" i="7"/>
  <c r="R33" i="7" s="1"/>
  <c r="Q15" i="7"/>
  <c r="Q33" i="7" s="1"/>
  <c r="Q40" i="7"/>
  <c r="Q58" i="7" s="1"/>
  <c r="P40" i="7"/>
  <c r="P58" i="7" s="1"/>
  <c r="N40" i="7"/>
  <c r="N58" i="7" s="1"/>
  <c r="O40" i="7"/>
  <c r="O58" i="7" s="1"/>
  <c r="H40" i="7"/>
  <c r="H58" i="7" s="1"/>
  <c r="M15" i="7"/>
  <c r="M33" i="7" s="1"/>
  <c r="N15" i="7"/>
  <c r="N33" i="7" s="1"/>
  <c r="L19" i="48"/>
  <c r="L15" i="48"/>
  <c r="L21" i="48"/>
  <c r="K28" i="48"/>
  <c r="M28" i="48" s="1"/>
  <c r="E56" i="4"/>
  <c r="L22" i="48"/>
  <c r="L23" i="48"/>
  <c r="K26" i="48"/>
  <c r="H24" i="48"/>
  <c r="K24" i="48"/>
  <c r="L17" i="48"/>
  <c r="L16" i="48"/>
  <c r="L20" i="48"/>
  <c r="L18" i="48"/>
  <c r="L13" i="48"/>
  <c r="C134" i="6"/>
  <c r="B135" i="6"/>
  <c r="O32" i="7" l="1"/>
  <c r="P57" i="7"/>
  <c r="I57" i="7"/>
  <c r="Q57" i="7"/>
  <c r="K32" i="7"/>
  <c r="R32" i="7"/>
  <c r="Q32" i="7"/>
  <c r="K57" i="7"/>
  <c r="I32" i="7"/>
  <c r="N32" i="7"/>
  <c r="P32" i="7"/>
  <c r="M57" i="7"/>
  <c r="L57" i="7"/>
  <c r="H57" i="7"/>
  <c r="O57" i="7"/>
  <c r="N57" i="7"/>
  <c r="H32" i="7"/>
  <c r="L32" i="7"/>
  <c r="F39" i="7"/>
  <c r="E58" i="7"/>
  <c r="G35" i="7"/>
  <c r="H35" i="7" s="1"/>
  <c r="I35" i="7" s="1"/>
  <c r="J35" i="7" s="1"/>
  <c r="K35" i="7" s="1"/>
  <c r="L35" i="7" s="1"/>
  <c r="M35" i="7" s="1"/>
  <c r="N35" i="7" s="1"/>
  <c r="O35" i="7" s="1"/>
  <c r="P35" i="7" s="1"/>
  <c r="Q35" i="7" s="1"/>
  <c r="R35" i="7" s="1"/>
  <c r="S35" i="7" s="1"/>
  <c r="G32" i="7"/>
  <c r="G34" i="7" s="1"/>
  <c r="S40" i="7"/>
  <c r="T40" i="7" s="1"/>
  <c r="G58" i="7"/>
  <c r="J57" i="7"/>
  <c r="F53" i="7"/>
  <c r="F32" i="7"/>
  <c r="F37" i="7"/>
  <c r="F20" i="7"/>
  <c r="F45" i="7"/>
  <c r="F30" i="7"/>
  <c r="F12" i="7"/>
  <c r="E35" i="7"/>
  <c r="F34" i="7" s="1"/>
  <c r="F43" i="7"/>
  <c r="F16" i="7"/>
  <c r="F47" i="7"/>
  <c r="F24" i="7"/>
  <c r="F22" i="7"/>
  <c r="F51" i="7"/>
  <c r="F49" i="7"/>
  <c r="F55" i="7"/>
  <c r="F26" i="7"/>
  <c r="F18" i="7"/>
  <c r="F28" i="7"/>
  <c r="F41" i="7"/>
  <c r="J32" i="7"/>
  <c r="C135" i="6"/>
  <c r="B136" i="6"/>
  <c r="F57" i="7" l="1"/>
  <c r="E60" i="7"/>
  <c r="F59" i="7" s="1"/>
  <c r="G57" i="7"/>
  <c r="G60" i="7"/>
  <c r="H60" i="7" s="1"/>
  <c r="I60" i="7" s="1"/>
  <c r="J60" i="7" s="1"/>
  <c r="K60" i="7" s="1"/>
  <c r="L60" i="7" s="1"/>
  <c r="M60" i="7" s="1"/>
  <c r="N60" i="7" s="1"/>
  <c r="O60" i="7" s="1"/>
  <c r="P60" i="7" s="1"/>
  <c r="Q60" i="7" s="1"/>
  <c r="R60" i="7" s="1"/>
  <c r="S60" i="7" s="1"/>
  <c r="H34" i="7"/>
  <c r="I34" i="7" s="1"/>
  <c r="J34" i="7" s="1"/>
  <c r="K34" i="7" s="1"/>
  <c r="L34" i="7" s="1"/>
  <c r="M32" i="7" s="1"/>
  <c r="C136" i="6"/>
  <c r="B137" i="6"/>
  <c r="C137" i="6" s="1"/>
  <c r="M34" i="7" l="1"/>
  <c r="N34" i="7" s="1"/>
  <c r="O34" i="7" s="1"/>
  <c r="P34" i="7" s="1"/>
  <c r="Q34" i="7" s="1"/>
  <c r="R34" i="7" s="1"/>
  <c r="G59" i="7" s="1"/>
  <c r="H59" i="7" s="1"/>
  <c r="I59" i="7" s="1"/>
  <c r="J59" i="7" s="1"/>
  <c r="K59" i="7" s="1"/>
  <c r="L59" i="7" s="1"/>
  <c r="M59" i="7" s="1"/>
  <c r="N59" i="7" s="1"/>
  <c r="O59" i="7" s="1"/>
  <c r="P59" i="7" s="1"/>
  <c r="Q59" i="7" s="1"/>
  <c r="B138" i="6"/>
  <c r="B139" i="6" s="1"/>
  <c r="B140" i="6" s="1"/>
  <c r="B141" i="6" s="1"/>
  <c r="R57" i="7" l="1"/>
  <c r="R59" i="7" s="1"/>
  <c r="C141" i="6"/>
  <c r="B142" i="6"/>
  <c r="C140" i="6"/>
  <c r="C139" i="6"/>
  <c r="C138" i="6"/>
  <c r="C142" i="6" l="1"/>
  <c r="B143" i="6"/>
  <c r="C143" i="6" l="1"/>
  <c r="B144" i="6"/>
  <c r="C144" i="6" l="1"/>
  <c r="B145" i="6"/>
  <c r="C145" i="6" l="1"/>
  <c r="B146" i="6"/>
  <c r="C146" i="6" l="1"/>
  <c r="B147" i="6"/>
  <c r="B148" i="6" s="1"/>
  <c r="C148" i="6" l="1"/>
  <c r="B149" i="6"/>
  <c r="C149" i="6" s="1"/>
  <c r="C147" i="6"/>
  <c r="B150" i="6"/>
  <c r="C150" i="6" l="1"/>
  <c r="B151" i="6"/>
  <c r="C151" i="6" l="1"/>
  <c r="B152" i="6"/>
  <c r="C152" i="6" l="1"/>
  <c r="B153" i="6"/>
  <c r="B154" i="6" s="1"/>
  <c r="C154" i="6" s="1"/>
  <c r="B156" i="6" l="1"/>
  <c r="C153" i="6"/>
  <c r="B155" i="6"/>
  <c r="C155" i="6" s="1"/>
  <c r="C156" i="6" l="1"/>
  <c r="B157" i="6"/>
  <c r="C157" i="6" s="1"/>
  <c r="B158" i="6" l="1"/>
  <c r="C158" i="6" s="1"/>
  <c r="B159" i="6" l="1"/>
  <c r="C159" i="6" s="1"/>
  <c r="B160" i="6" l="1"/>
  <c r="C160" i="6" s="1"/>
  <c r="B161" i="6" l="1"/>
  <c r="C161" i="6" s="1"/>
  <c r="B162" i="6" l="1"/>
  <c r="C162" i="6" s="1"/>
  <c r="B163" i="6" l="1"/>
  <c r="C163" i="6" s="1"/>
  <c r="B164" i="6" l="1"/>
  <c r="C164" i="6" s="1"/>
  <c r="B165" i="6" l="1"/>
  <c r="C165" i="6" s="1"/>
  <c r="B167" i="6" l="1"/>
  <c r="C167" i="6" s="1"/>
  <c r="B168" i="6" l="1"/>
  <c r="B169" i="6" s="1"/>
  <c r="C169" i="6" s="1"/>
  <c r="C168" i="6" l="1"/>
  <c r="B170" i="6"/>
  <c r="C170" i="6" s="1"/>
  <c r="B171" i="6" l="1"/>
  <c r="C171" i="6" l="1"/>
  <c r="B172" i="6"/>
  <c r="C172" i="6" s="1"/>
  <c r="B173" i="6" l="1"/>
  <c r="C173" i="6" s="1"/>
  <c r="B174" i="6" l="1"/>
  <c r="C174" i="6" s="1"/>
  <c r="B40" i="6"/>
  <c r="C40" i="6" s="1"/>
  <c r="C80" i="6"/>
  <c r="B20" i="6"/>
  <c r="B175" i="6" l="1"/>
  <c r="C175" i="6" s="1"/>
  <c r="B21" i="6"/>
  <c r="B23" i="6" l="1"/>
  <c r="C23" i="6" s="1"/>
  <c r="B176" i="6"/>
  <c r="C176" i="6" s="1"/>
  <c r="C81" i="6" s="1"/>
  <c r="C177" i="6" s="1"/>
  <c r="C21" i="6"/>
  <c r="B24" i="6"/>
  <c r="C24" i="6" s="1"/>
  <c r="B81" i="6" l="1"/>
  <c r="B27" i="6"/>
  <c r="B29" i="6" s="1"/>
  <c r="C29" i="6" s="1"/>
  <c r="B30" i="6" l="1"/>
  <c r="B32" i="6" s="1"/>
  <c r="C32" i="6" s="1"/>
  <c r="C27" i="6"/>
  <c r="B31" i="6"/>
  <c r="C31" i="6" s="1"/>
  <c r="B33" i="6" l="1"/>
  <c r="C33" i="6" s="1"/>
  <c r="C30" i="6"/>
  <c r="B38" i="6" l="1"/>
  <c r="C38" i="6" s="1"/>
  <c r="B39" i="6"/>
  <c r="C39" i="6" s="1"/>
  <c r="A37" i="7" s="1"/>
  <c r="A38" i="7" s="1"/>
  <c r="B43" i="6" l="1"/>
  <c r="C43" i="6" s="1"/>
  <c r="B42" i="6"/>
  <c r="C42" i="6" s="1"/>
  <c r="B44" i="6" l="1"/>
  <c r="C44" i="6" s="1"/>
  <c r="A39" i="7" s="1"/>
  <c r="A40" i="7" s="1"/>
  <c r="B45" i="6"/>
  <c r="C45" i="6" s="1"/>
  <c r="B73" i="6" l="1"/>
  <c r="C46" i="6"/>
  <c r="C73" i="6" l="1"/>
  <c r="B75" i="6" l="1"/>
  <c r="C75" i="6" s="1"/>
  <c r="B76" i="6"/>
  <c r="C76" i="6" l="1"/>
  <c r="B78" i="6"/>
  <c r="C78" i="6" s="1"/>
  <c r="B79" i="6"/>
  <c r="C79" i="6" s="1"/>
  <c r="C19" i="6" l="1"/>
  <c r="A14" i="48" s="1"/>
  <c r="A14" i="7" l="1"/>
  <c r="A15" i="7" s="1"/>
  <c r="A19" i="6"/>
  <c r="E19" i="6" s="1"/>
  <c r="C178" i="6"/>
  <c r="A20" i="6" l="1"/>
  <c r="E20" i="6" s="1"/>
  <c r="A179" i="6"/>
  <c r="B14" i="7"/>
  <c r="B39" i="7" s="1"/>
  <c r="C14" i="48"/>
  <c r="A182" i="6" l="1"/>
  <c r="A185" i="6" s="1"/>
  <c r="A181" i="6"/>
  <c r="E179" i="6"/>
  <c r="C15" i="48" s="1"/>
  <c r="A180" i="6"/>
  <c r="E180" i="6" s="1"/>
  <c r="A191" i="6"/>
  <c r="A255" i="6" s="1"/>
  <c r="A21" i="6"/>
  <c r="A22" i="6" s="1"/>
  <c r="E182" i="6" l="1"/>
  <c r="A184" i="6"/>
  <c r="E184" i="6" s="1"/>
  <c r="E181" i="6"/>
  <c r="A311" i="6"/>
  <c r="A312" i="6" s="1"/>
  <c r="E191" i="6"/>
  <c r="C16" i="48" s="1"/>
  <c r="A192" i="6"/>
  <c r="E192" i="6" s="1"/>
  <c r="A267" i="6"/>
  <c r="A268" i="6" s="1"/>
  <c r="A193" i="6"/>
  <c r="A196" i="6" s="1"/>
  <c r="A194" i="6"/>
  <c r="E194" i="6" s="1"/>
  <c r="A211" i="6"/>
  <c r="A228" i="6" s="1"/>
  <c r="E228" i="6" s="1"/>
  <c r="A245" i="6"/>
  <c r="E245" i="6" s="1"/>
  <c r="B16" i="7"/>
  <c r="B41" i="7" s="1"/>
  <c r="A183" i="6"/>
  <c r="E183" i="6" s="1"/>
  <c r="E21" i="6"/>
  <c r="E255" i="6"/>
  <c r="A256" i="6"/>
  <c r="E22" i="6"/>
  <c r="A23" i="6"/>
  <c r="E185" i="6"/>
  <c r="A187" i="6"/>
  <c r="B18" i="7" l="1"/>
  <c r="B43" i="7" s="1"/>
  <c r="E267" i="6"/>
  <c r="A286" i="6"/>
  <c r="A287" i="6" s="1"/>
  <c r="A269" i="6"/>
  <c r="E269" i="6" s="1"/>
  <c r="E311" i="6"/>
  <c r="B20" i="7" s="1"/>
  <c r="B45" i="7" s="1"/>
  <c r="A323" i="6"/>
  <c r="A351" i="6" s="1"/>
  <c r="A246" i="6"/>
  <c r="E246" i="6" s="1"/>
  <c r="E211" i="6"/>
  <c r="E193" i="6"/>
  <c r="A212" i="6"/>
  <c r="E212" i="6" s="1"/>
  <c r="A195" i="6"/>
  <c r="E195" i="6" s="1"/>
  <c r="A186" i="6"/>
  <c r="E186" i="6" s="1"/>
  <c r="A24" i="6"/>
  <c r="E23" i="6"/>
  <c r="A317" i="6"/>
  <c r="E317" i="6" s="1"/>
  <c r="A313" i="6"/>
  <c r="E312" i="6"/>
  <c r="A197" i="6"/>
  <c r="E196" i="6"/>
  <c r="E256" i="6"/>
  <c r="A257" i="6"/>
  <c r="E268" i="6"/>
  <c r="A271" i="6"/>
  <c r="A270" i="6"/>
  <c r="E270" i="6" s="1"/>
  <c r="E187" i="6"/>
  <c r="A189" i="6"/>
  <c r="E189" i="6" s="1"/>
  <c r="E286" i="6" l="1"/>
  <c r="A324" i="6"/>
  <c r="A325" i="6" s="1"/>
  <c r="E323" i="6"/>
  <c r="B22" i="7" s="1"/>
  <c r="B47" i="7" s="1"/>
  <c r="A290" i="6"/>
  <c r="A300" i="6" s="1"/>
  <c r="C17" i="48"/>
  <c r="A188" i="6"/>
  <c r="E188" i="6" s="1"/>
  <c r="A247" i="6"/>
  <c r="A248" i="6" s="1"/>
  <c r="A213" i="6"/>
  <c r="A214" i="6" s="1"/>
  <c r="A314" i="6"/>
  <c r="E313" i="6"/>
  <c r="A318" i="6"/>
  <c r="E318" i="6" s="1"/>
  <c r="E287" i="6"/>
  <c r="A288" i="6"/>
  <c r="E288" i="6" s="1"/>
  <c r="E351" i="6"/>
  <c r="A352" i="6"/>
  <c r="A369" i="6"/>
  <c r="A353" i="6"/>
  <c r="E24" i="6"/>
  <c r="A25" i="6"/>
  <c r="A272" i="6"/>
  <c r="E271" i="6"/>
  <c r="A258" i="6"/>
  <c r="E257" i="6"/>
  <c r="E197" i="6"/>
  <c r="A198" i="6"/>
  <c r="C18" i="48" l="1"/>
  <c r="E324" i="6"/>
  <c r="E247" i="6"/>
  <c r="A291" i="6"/>
  <c r="E291" i="6" s="1"/>
  <c r="E290" i="6"/>
  <c r="E213" i="6"/>
  <c r="C19" i="48"/>
  <c r="B24" i="7"/>
  <c r="B49" i="7" s="1"/>
  <c r="A354" i="6"/>
  <c r="E352" i="6"/>
  <c r="A326" i="6"/>
  <c r="E325" i="6"/>
  <c r="A273" i="6"/>
  <c r="E272" i="6"/>
  <c r="E25" i="6"/>
  <c r="A26" i="6"/>
  <c r="E214" i="6"/>
  <c r="A215" i="6"/>
  <c r="E198" i="6"/>
  <c r="A199" i="6"/>
  <c r="A319" i="6"/>
  <c r="E319" i="6" s="1"/>
  <c r="E314" i="6"/>
  <c r="A315" i="6"/>
  <c r="A355" i="6"/>
  <c r="E353" i="6"/>
  <c r="A259" i="6"/>
  <c r="E258" i="6"/>
  <c r="A249" i="6"/>
  <c r="E248" i="6"/>
  <c r="A375" i="6"/>
  <c r="A370" i="6"/>
  <c r="E369" i="6"/>
  <c r="A301" i="6"/>
  <c r="E300" i="6"/>
  <c r="A292" i="6" l="1"/>
  <c r="E292" i="6" s="1"/>
  <c r="E301" i="6"/>
  <c r="A302" i="6"/>
  <c r="E355" i="6"/>
  <c r="A357" i="6"/>
  <c r="E315" i="6"/>
  <c r="A316" i="6"/>
  <c r="A320" i="6"/>
  <c r="E320" i="6" s="1"/>
  <c r="E249" i="6"/>
  <c r="A250" i="6"/>
  <c r="E259" i="6"/>
  <c r="A260" i="6"/>
  <c r="E273" i="6"/>
  <c r="A274" i="6"/>
  <c r="A356" i="6"/>
  <c r="E354" i="6"/>
  <c r="A327" i="6"/>
  <c r="E326" i="6"/>
  <c r="E199" i="6"/>
  <c r="A200" i="6"/>
  <c r="A216" i="6"/>
  <c r="E215" i="6"/>
  <c r="E26" i="6"/>
  <c r="A27" i="6"/>
  <c r="B26" i="7"/>
  <c r="B51" i="7" s="1"/>
  <c r="C20" i="48"/>
  <c r="A371" i="6"/>
  <c r="E370" i="6"/>
  <c r="A376" i="6"/>
  <c r="E375" i="6"/>
  <c r="A381" i="6"/>
  <c r="A293" i="6" l="1"/>
  <c r="E293" i="6" s="1"/>
  <c r="A201" i="6"/>
  <c r="E200" i="6"/>
  <c r="E250" i="6"/>
  <c r="A251" i="6"/>
  <c r="B28" i="7"/>
  <c r="B53" i="7" s="1"/>
  <c r="C21" i="48"/>
  <c r="A275" i="6"/>
  <c r="E274" i="6"/>
  <c r="E216" i="6"/>
  <c r="A217" i="6"/>
  <c r="A382" i="6"/>
  <c r="E381" i="6"/>
  <c r="E316" i="6"/>
  <c r="A321" i="6"/>
  <c r="E321" i="6" s="1"/>
  <c r="E327" i="6"/>
  <c r="A328" i="6"/>
  <c r="A359" i="6"/>
  <c r="E357" i="6"/>
  <c r="A303" i="6"/>
  <c r="E302" i="6"/>
  <c r="A377" i="6"/>
  <c r="E376" i="6"/>
  <c r="E371" i="6"/>
  <c r="A372" i="6"/>
  <c r="A358" i="6"/>
  <c r="E356" i="6"/>
  <c r="E27" i="6"/>
  <c r="A28" i="6"/>
  <c r="E28" i="6" s="1"/>
  <c r="A29" i="6"/>
  <c r="A261" i="6"/>
  <c r="E260" i="6"/>
  <c r="A294" i="6" l="1"/>
  <c r="A295" i="6" s="1"/>
  <c r="A218" i="6"/>
  <c r="E217" i="6"/>
  <c r="A378" i="6"/>
  <c r="E377" i="6"/>
  <c r="E261" i="6"/>
  <c r="A262" i="6"/>
  <c r="A30" i="6"/>
  <c r="E29" i="6"/>
  <c r="C22" i="48"/>
  <c r="B30" i="7"/>
  <c r="B55" i="7" s="1"/>
  <c r="E359" i="6"/>
  <c r="A361" i="6"/>
  <c r="E328" i="6"/>
  <c r="A329" i="6"/>
  <c r="E251" i="6"/>
  <c r="A252" i="6"/>
  <c r="E372" i="6"/>
  <c r="A373" i="6"/>
  <c r="E373" i="6" s="1"/>
  <c r="E303" i="6"/>
  <c r="A304" i="6"/>
  <c r="E382" i="6"/>
  <c r="A383" i="6"/>
  <c r="E383" i="6" s="1"/>
  <c r="E275" i="6"/>
  <c r="A276" i="6"/>
  <c r="A362" i="6"/>
  <c r="A360" i="6"/>
  <c r="E360" i="6" s="1"/>
  <c r="E358" i="6"/>
  <c r="E201" i="6"/>
  <c r="A202" i="6"/>
  <c r="E294" i="6" l="1"/>
  <c r="A296" i="6"/>
  <c r="E295" i="6"/>
  <c r="A219" i="6"/>
  <c r="E218" i="6"/>
  <c r="A363" i="6"/>
  <c r="E361" i="6"/>
  <c r="A305" i="6"/>
  <c r="E304" i="6"/>
  <c r="A31" i="6"/>
  <c r="E30" i="6"/>
  <c r="E252" i="6"/>
  <c r="A253" i="6"/>
  <c r="E253" i="6" s="1"/>
  <c r="E362" i="6"/>
  <c r="A364" i="6"/>
  <c r="A379" i="6"/>
  <c r="E379" i="6" s="1"/>
  <c r="E378" i="6"/>
  <c r="A203" i="6"/>
  <c r="E202" i="6"/>
  <c r="A263" i="6"/>
  <c r="E262" i="6"/>
  <c r="E329" i="6"/>
  <c r="A330" i="6"/>
  <c r="A332" i="6"/>
  <c r="A277" i="6"/>
  <c r="E276" i="6"/>
  <c r="E364" i="6" l="1"/>
  <c r="A366" i="6"/>
  <c r="E366" i="6" s="1"/>
  <c r="E363" i="6"/>
  <c r="A365" i="6"/>
  <c r="E219" i="6"/>
  <c r="A220" i="6"/>
  <c r="A333" i="6"/>
  <c r="E332" i="6"/>
  <c r="A32" i="6"/>
  <c r="E31" i="6"/>
  <c r="E263" i="6"/>
  <c r="A264" i="6"/>
  <c r="E305" i="6"/>
  <c r="A306" i="6"/>
  <c r="E277" i="6"/>
  <c r="A278" i="6"/>
  <c r="E330" i="6"/>
  <c r="A331" i="6"/>
  <c r="E331" i="6" s="1"/>
  <c r="A204" i="6"/>
  <c r="E203" i="6"/>
  <c r="A297" i="6"/>
  <c r="E296" i="6"/>
  <c r="E365" i="6" l="1"/>
  <c r="A367" i="6"/>
  <c r="E367" i="6" s="1"/>
  <c r="E306" i="6"/>
  <c r="A307" i="6"/>
  <c r="E264" i="6"/>
  <c r="A265" i="6"/>
  <c r="E265" i="6" s="1"/>
  <c r="A298" i="6"/>
  <c r="E298" i="6" s="1"/>
  <c r="E297" i="6"/>
  <c r="A33" i="6"/>
  <c r="E32" i="6"/>
  <c r="E204" i="6"/>
  <c r="A205" i="6"/>
  <c r="E333" i="6"/>
  <c r="A334" i="6"/>
  <c r="A221" i="6"/>
  <c r="E220" i="6"/>
  <c r="E278" i="6"/>
  <c r="A279" i="6"/>
  <c r="A280" i="6" l="1"/>
  <c r="E279" i="6"/>
  <c r="E307" i="6"/>
  <c r="A308" i="6"/>
  <c r="E308" i="6" s="1"/>
  <c r="E334" i="6"/>
  <c r="A335" i="6"/>
  <c r="A206" i="6"/>
  <c r="E205" i="6"/>
  <c r="E33" i="6"/>
  <c r="A34" i="6"/>
  <c r="A222" i="6"/>
  <c r="E221" i="6"/>
  <c r="E222" i="6" l="1"/>
  <c r="A223" i="6"/>
  <c r="A36" i="6"/>
  <c r="A38" i="6"/>
  <c r="E34" i="6"/>
  <c r="A35" i="6"/>
  <c r="E35" i="6" s="1"/>
  <c r="E206" i="6"/>
  <c r="A207" i="6"/>
  <c r="A336" i="6"/>
  <c r="E335" i="6"/>
  <c r="A281" i="6"/>
  <c r="E280" i="6"/>
  <c r="A282" i="6" l="1"/>
  <c r="E281" i="6"/>
  <c r="E207" i="6"/>
  <c r="A208" i="6"/>
  <c r="A39" i="6"/>
  <c r="E38" i="6"/>
  <c r="E223" i="6"/>
  <c r="A224" i="6"/>
  <c r="E336" i="6"/>
  <c r="A337" i="6"/>
  <c r="E36" i="6"/>
  <c r="A37" i="6"/>
  <c r="E37" i="6" s="1"/>
  <c r="A338" i="6" l="1"/>
  <c r="E337" i="6"/>
  <c r="A340" i="6"/>
  <c r="A225" i="6"/>
  <c r="E224" i="6"/>
  <c r="E39" i="6"/>
  <c r="A40" i="6"/>
  <c r="E208" i="6"/>
  <c r="A209" i="6"/>
  <c r="A283" i="6"/>
  <c r="E282" i="6"/>
  <c r="A284" i="6" l="1"/>
  <c r="E284" i="6" s="1"/>
  <c r="E283" i="6"/>
  <c r="A41" i="6"/>
  <c r="E40" i="6"/>
  <c r="A229" i="6"/>
  <c r="E209" i="6"/>
  <c r="A226" i="6"/>
  <c r="E226" i="6" s="1"/>
  <c r="E225" i="6"/>
  <c r="A341" i="6"/>
  <c r="E340" i="6"/>
  <c r="A339" i="6"/>
  <c r="E339" i="6" s="1"/>
  <c r="E338" i="6"/>
  <c r="A342" i="6" l="1"/>
  <c r="E341" i="6"/>
  <c r="A346" i="6"/>
  <c r="E229" i="6"/>
  <c r="A230" i="6"/>
  <c r="A42" i="6"/>
  <c r="E41" i="6"/>
  <c r="E42" i="6" l="1"/>
  <c r="A43" i="6"/>
  <c r="E230" i="6"/>
  <c r="A231" i="6"/>
  <c r="E346" i="6"/>
  <c r="A347" i="6"/>
  <c r="E342" i="6"/>
  <c r="A343" i="6"/>
  <c r="E343" i="6" l="1"/>
  <c r="A344" i="6"/>
  <c r="A232" i="6"/>
  <c r="E231" i="6"/>
  <c r="E43" i="6"/>
  <c r="A44" i="6"/>
  <c r="E347" i="6"/>
  <c r="A348" i="6"/>
  <c r="E344" i="6" l="1"/>
  <c r="A345" i="6"/>
  <c r="E345" i="6" s="1"/>
  <c r="A349" i="6"/>
  <c r="E349" i="6" s="1"/>
  <c r="E348" i="6"/>
  <c r="E44" i="6"/>
  <c r="A45" i="6"/>
  <c r="A233" i="6"/>
  <c r="E232" i="6"/>
  <c r="E233" i="6" l="1"/>
  <c r="A234" i="6"/>
  <c r="A46" i="6"/>
  <c r="E45" i="6"/>
  <c r="A47" i="6" l="1"/>
  <c r="E46" i="6"/>
  <c r="E234" i="6"/>
  <c r="A235" i="6"/>
  <c r="E235" i="6" l="1"/>
  <c r="A236" i="6"/>
  <c r="E47" i="6"/>
  <c r="A48" i="6"/>
  <c r="A49" i="6" l="1"/>
  <c r="E48" i="6"/>
  <c r="A237" i="6"/>
  <c r="E236" i="6"/>
  <c r="A238" i="6" l="1"/>
  <c r="E237" i="6"/>
  <c r="A50" i="6"/>
  <c r="E50" i="6" s="1"/>
  <c r="A51" i="6"/>
  <c r="E49" i="6"/>
  <c r="E51" i="6" l="1"/>
  <c r="A52" i="6"/>
  <c r="E238" i="6"/>
  <c r="A239" i="6"/>
  <c r="A240" i="6" l="1"/>
  <c r="E239" i="6"/>
  <c r="E52" i="6"/>
  <c r="A53" i="6"/>
  <c r="E53" i="6" l="1"/>
  <c r="A54" i="6"/>
  <c r="A241" i="6"/>
  <c r="E240" i="6"/>
  <c r="E241" i="6" l="1"/>
  <c r="A242" i="6"/>
  <c r="E54" i="6"/>
  <c r="A56" i="6"/>
  <c r="A55" i="6"/>
  <c r="E55" i="6" s="1"/>
  <c r="E56" i="6" l="1"/>
  <c r="A57" i="6"/>
  <c r="E242" i="6"/>
  <c r="A243" i="6"/>
  <c r="E243" i="6" s="1"/>
  <c r="E57" i="6" l="1"/>
  <c r="A58" i="6"/>
  <c r="A59" i="6" l="1"/>
  <c r="E58" i="6"/>
  <c r="A61" i="6" l="1"/>
  <c r="A60" i="6"/>
  <c r="E60" i="6" s="1"/>
  <c r="E59" i="6"/>
  <c r="A62" i="6" l="1"/>
  <c r="E61" i="6"/>
  <c r="E62" i="6" l="1"/>
  <c r="A63" i="6"/>
  <c r="E63" i="6" l="1"/>
  <c r="A66" i="6"/>
  <c r="A64" i="6"/>
  <c r="A65" i="6" l="1"/>
  <c r="A67" i="6"/>
  <c r="E67" i="6" s="1"/>
  <c r="E64" i="6"/>
  <c r="E66" i="6"/>
  <c r="A69" i="6"/>
  <c r="E69" i="6" l="1"/>
  <c r="A70" i="6"/>
  <c r="E65" i="6"/>
  <c r="A68" i="6"/>
  <c r="E68" i="6" s="1"/>
  <c r="A71" i="6" l="1"/>
  <c r="E70" i="6"/>
  <c r="E71" i="6" l="1"/>
  <c r="A72" i="6"/>
  <c r="A73" i="6" l="1"/>
  <c r="E72" i="6"/>
  <c r="E73" i="6" l="1"/>
  <c r="A74" i="6"/>
  <c r="E74" i="6" l="1"/>
  <c r="A75" i="6"/>
  <c r="A77" i="6" l="1"/>
  <c r="E75" i="6"/>
  <c r="A76" i="6"/>
  <c r="E76" i="6" s="1"/>
  <c r="A78" i="6" l="1"/>
  <c r="E78" i="6" s="1"/>
  <c r="A79" i="6"/>
  <c r="E77" i="6"/>
  <c r="A81" i="6" l="1"/>
  <c r="E79" i="6"/>
  <c r="A82" i="6" l="1"/>
  <c r="E81" i="6"/>
  <c r="E82" i="6" l="1"/>
  <c r="A83" i="6"/>
  <c r="E83" i="6" l="1"/>
  <c r="A84" i="6"/>
  <c r="A85" i="6" l="1"/>
  <c r="E84" i="6"/>
  <c r="A86" i="6" l="1"/>
  <c r="E85" i="6"/>
  <c r="A87" i="6" l="1"/>
  <c r="E86" i="6"/>
  <c r="E87" i="6" l="1"/>
  <c r="A88" i="6"/>
  <c r="E88" i="6" l="1"/>
  <c r="A90" i="6"/>
  <c r="A89" i="6"/>
  <c r="E89" i="6" s="1"/>
  <c r="E90" i="6" l="1"/>
  <c r="A91" i="6"/>
  <c r="A92" i="6" l="1"/>
  <c r="E91" i="6"/>
  <c r="A93" i="6" l="1"/>
  <c r="E92" i="6"/>
  <c r="A94" i="6" l="1"/>
  <c r="E93" i="6"/>
  <c r="A95" i="6" l="1"/>
  <c r="E94" i="6"/>
  <c r="A96" i="6" l="1"/>
  <c r="A119" i="6"/>
  <c r="E95" i="6"/>
  <c r="A98" i="6"/>
  <c r="A122" i="6" l="1"/>
  <c r="E98" i="6"/>
  <c r="A99" i="6"/>
  <c r="A143" i="6"/>
  <c r="E143" i="6" s="1"/>
  <c r="E119" i="6"/>
  <c r="A120" i="6"/>
  <c r="A97" i="6"/>
  <c r="E96" i="6"/>
  <c r="A121" i="6" l="1"/>
  <c r="E97" i="6"/>
  <c r="A123" i="6"/>
  <c r="E99" i="6"/>
  <c r="A100" i="6"/>
  <c r="A144" i="6"/>
  <c r="E144" i="6" s="1"/>
  <c r="E120" i="6"/>
  <c r="A146" i="6"/>
  <c r="E146" i="6" s="1"/>
  <c r="E122" i="6"/>
  <c r="A101" i="6" l="1"/>
  <c r="A124" i="6"/>
  <c r="E100" i="6"/>
  <c r="E123" i="6"/>
  <c r="A147" i="6"/>
  <c r="E147" i="6" s="1"/>
  <c r="E121" i="6"/>
  <c r="A145" i="6"/>
  <c r="E145" i="6" s="1"/>
  <c r="A148" i="6" l="1"/>
  <c r="E148" i="6" s="1"/>
  <c r="A150" i="6"/>
  <c r="E150" i="6" s="1"/>
  <c r="E124" i="6"/>
  <c r="A102" i="6"/>
  <c r="E101" i="6"/>
  <c r="A125" i="6"/>
  <c r="A149" i="6" l="1"/>
  <c r="E149" i="6" s="1"/>
  <c r="A151" i="6"/>
  <c r="E151" i="6" s="1"/>
  <c r="E125" i="6"/>
  <c r="A103" i="6"/>
  <c r="A126" i="6"/>
  <c r="E102" i="6"/>
  <c r="E126" i="6" l="1"/>
  <c r="A152" i="6"/>
  <c r="E152" i="6" s="1"/>
  <c r="A104" i="6"/>
  <c r="E103" i="6"/>
  <c r="A127" i="6"/>
  <c r="E127" i="6" s="1"/>
  <c r="A105" i="6" l="1"/>
  <c r="E104" i="6"/>
  <c r="A128" i="6"/>
  <c r="E128" i="6" s="1"/>
  <c r="E105" i="6" l="1"/>
  <c r="A129" i="6"/>
  <c r="E129" i="6" s="1"/>
  <c r="A106" i="6"/>
  <c r="A130" i="6" l="1"/>
  <c r="E130" i="6" s="1"/>
  <c r="A107" i="6"/>
  <c r="E106" i="6"/>
  <c r="E107" i="6" l="1"/>
  <c r="A108" i="6"/>
  <c r="A131" i="6"/>
  <c r="E131" i="6" s="1"/>
  <c r="A132" i="6" l="1"/>
  <c r="E132" i="6" s="1"/>
  <c r="A109" i="6"/>
  <c r="E108" i="6"/>
  <c r="A111" i="6" l="1"/>
  <c r="A133" i="6"/>
  <c r="E133" i="6" s="1"/>
  <c r="E109" i="6"/>
  <c r="A110" i="6"/>
  <c r="A134" i="6" l="1"/>
  <c r="E134" i="6" s="1"/>
  <c r="E110" i="6"/>
  <c r="A112" i="6"/>
  <c r="E111" i="6"/>
  <c r="A135" i="6"/>
  <c r="E135" i="6" s="1"/>
  <c r="E112" i="6" l="1"/>
  <c r="A136" i="6"/>
  <c r="E136" i="6" s="1"/>
  <c r="A113" i="6"/>
  <c r="A114" i="6" l="1"/>
  <c r="A137" i="6"/>
  <c r="E137" i="6" s="1"/>
  <c r="E113" i="6"/>
  <c r="A115" i="6" l="1"/>
  <c r="E114" i="6"/>
  <c r="A138" i="6"/>
  <c r="E138" i="6" s="1"/>
  <c r="A139" i="6" l="1"/>
  <c r="E139" i="6" s="1"/>
  <c r="A116" i="6"/>
  <c r="E115" i="6"/>
  <c r="E116" i="6" l="1"/>
  <c r="A117" i="6"/>
  <c r="A140" i="6"/>
  <c r="E140" i="6" s="1"/>
  <c r="A118" i="6" l="1"/>
  <c r="E117" i="6"/>
  <c r="A141" i="6"/>
  <c r="E141" i="6" s="1"/>
  <c r="E118" i="6" l="1"/>
  <c r="A153" i="6"/>
  <c r="A142" i="6"/>
  <c r="E142" i="6" s="1"/>
  <c r="A156" i="6" l="1"/>
  <c r="A154" i="6"/>
  <c r="E153" i="6"/>
  <c r="A158" i="6"/>
  <c r="A164" i="6" l="1"/>
  <c r="E158" i="6"/>
  <c r="A155" i="6"/>
  <c r="E155" i="6" s="1"/>
  <c r="E154" i="6"/>
  <c r="A157" i="6"/>
  <c r="A159" i="6"/>
  <c r="A160" i="6"/>
  <c r="A162" i="6"/>
  <c r="E156" i="6"/>
  <c r="A166" i="6" l="1"/>
  <c r="E160" i="6"/>
  <c r="E162" i="6"/>
  <c r="A168" i="6"/>
  <c r="A165" i="6"/>
  <c r="E159" i="6"/>
  <c r="E157" i="6"/>
  <c r="A163" i="6"/>
  <c r="A161" i="6"/>
  <c r="E164" i="6"/>
  <c r="A170" i="6"/>
  <c r="A169" i="6" l="1"/>
  <c r="E163" i="6"/>
  <c r="E168" i="6"/>
  <c r="A174" i="6"/>
  <c r="E174" i="6" s="1"/>
  <c r="E161" i="6"/>
  <c r="A167" i="6"/>
  <c r="A176" i="6"/>
  <c r="E176" i="6" s="1"/>
  <c r="E170" i="6"/>
  <c r="E165" i="6"/>
  <c r="A171" i="6"/>
  <c r="E171" i="6" s="1"/>
  <c r="E166" i="6"/>
  <c r="A172" i="6"/>
  <c r="E172" i="6" s="1"/>
  <c r="A173" i="6" l="1"/>
  <c r="E173" i="6" s="1"/>
  <c r="E167" i="6"/>
  <c r="E169" i="6"/>
  <c r="A175" i="6"/>
  <c r="E175" i="6" s="1"/>
  <c r="A1118" i="8"/>
  <c r="A1119" i="8" s="1"/>
  <c r="A1247" i="8"/>
  <c r="A1206" i="8"/>
  <c r="A1207"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tc={2D203806-9920-4FD5-888D-6BED8320E71A}</author>
    <author>tc={56729F75-8C60-447B-A684-0F099DB3D7DB}</author>
    <author>tc={36E882C3-389F-419A-BDE8-26A7A46C8905}</author>
    <author>tc={2CCE43AE-1FFC-4CA7-9C28-113E81E05C20}</author>
  </authors>
  <commentList>
    <comment ref="F93" authorId="0" shapeId="0" xr:uid="{2D203806-9920-4FD5-888D-6BED8320E71A}">
      <text>
        <t>[Comentário encadeado]
Sua versão do Excel permite que você leia este comentário encadeado, no entanto, as edições serão removidas se o arquivo for aberto em uma versão mais recente do Excel. Saiba mais: https://go.microsoft.com/fwlink/?linkid=870924
Comentário:
    Cotação Traçado</t>
      </text>
    </comment>
    <comment ref="G93" authorId="1" shapeId="0" xr:uid="{56729F75-8C60-447B-A684-0F099DB3D7DB}">
      <text>
        <t>[Comentário encadeado]
Sua versão do Excel permite que você leia este comentário encadeado, no entanto, as edições serão removidas se o arquivo for aberto em uma versão mais recente do Excel. Saiba mais: https://go.microsoft.com/fwlink/?linkid=870924
Comentário:
    cotação CBB</t>
      </text>
    </comment>
    <comment ref="H93" authorId="2" shapeId="0" xr:uid="{36E882C3-389F-419A-BDE8-26A7A46C8905}">
      <text>
        <t>[Comentário encadeado]
Sua versão do Excel permite que você leia este comentário encadeado, no entanto, as edições serão removidas se o arquivo for aberto em uma versão mais recente do Excel. Saiba mais: https://go.microsoft.com/fwlink/?linkid=870924
Comentário:
    Cotação Greca</t>
      </text>
    </comment>
    <comment ref="I93" authorId="3" shapeId="0" xr:uid="{2CCE43AE-1FFC-4CA7-9C28-113E81E05C20}">
      <text>
        <t>[Comentário encadeado]
Sua versão do Excel permite que você leia este comentário encadeado, no entanto, as edições serão removidas se o arquivo for aberto em uma versão mais recente do Excel. Saiba mais: https://go.microsoft.com/fwlink/?linkid=870924
Comentário:
    Cotação Stratura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P146" authorId="0" shapeId="0" xr:uid="{00000000-0006-0000-0600-000001000000}">
      <text>
        <r>
          <rPr>
            <b/>
            <sz val="9"/>
            <color indexed="81"/>
            <rFont val="Segoe UI"/>
            <family val="2"/>
          </rPr>
          <t>Usuario:</t>
        </r>
        <r>
          <rPr>
            <sz val="9"/>
            <color indexed="81"/>
            <rFont val="Segoe UI"/>
            <family val="2"/>
          </rPr>
          <t xml:space="preserve">
Quantidades da composição PM Concordia
para 1m³</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C9" authorId="0" shapeId="0" xr:uid="{00000000-0006-0000-0900-000001000000}">
      <text>
        <r>
          <rPr>
            <b/>
            <sz val="9"/>
            <color indexed="81"/>
            <rFont val="Segoe UI"/>
            <family val="2"/>
          </rPr>
          <t>Usuario:</t>
        </r>
        <r>
          <rPr>
            <sz val="9"/>
            <color indexed="81"/>
            <rFont val="Segoe UI"/>
            <family val="2"/>
          </rPr>
          <t xml:space="preserve">
Retangular ou circular</t>
        </r>
      </text>
    </comment>
    <comment ref="AD9" authorId="0" shapeId="0" xr:uid="{00000000-0006-0000-0900-000002000000}">
      <text>
        <r>
          <rPr>
            <b/>
            <sz val="9"/>
            <color indexed="81"/>
            <rFont val="Segoe UI"/>
            <family val="2"/>
          </rPr>
          <t>Usuario:</t>
        </r>
        <r>
          <rPr>
            <sz val="9"/>
            <color indexed="81"/>
            <rFont val="Segoe UI"/>
            <family val="2"/>
          </rPr>
          <t xml:space="preserve">
Simples - 1
Duplo - 2
Triplo - 3</t>
        </r>
      </text>
    </comment>
    <comment ref="AC10" authorId="0" shapeId="0" xr:uid="{79C602A1-759A-4706-B256-18C917A5AB1C}">
      <text>
        <r>
          <rPr>
            <b/>
            <sz val="9"/>
            <color indexed="81"/>
            <rFont val="Segoe UI"/>
            <family val="2"/>
          </rPr>
          <t>Usuario:</t>
        </r>
        <r>
          <rPr>
            <sz val="9"/>
            <color indexed="81"/>
            <rFont val="Segoe UI"/>
            <family val="2"/>
          </rPr>
          <t xml:space="preserve">
Retangular ou circular</t>
        </r>
      </text>
    </comment>
    <comment ref="AD10" authorId="0" shapeId="0" xr:uid="{2C30F04D-2B92-4989-AD00-DD559F8987D4}">
      <text>
        <r>
          <rPr>
            <b/>
            <sz val="9"/>
            <color indexed="81"/>
            <rFont val="Segoe UI"/>
            <family val="2"/>
          </rPr>
          <t>Usuario:</t>
        </r>
        <r>
          <rPr>
            <sz val="9"/>
            <color indexed="81"/>
            <rFont val="Segoe UI"/>
            <family val="2"/>
          </rPr>
          <t xml:space="preserve">
Simples - 1
Duplo - 2
Triplo - 3</t>
        </r>
      </text>
    </comment>
    <comment ref="AC11" authorId="0" shapeId="0" xr:uid="{CAB2DC6E-0D05-43FD-996C-1C4CB9CDF04D}">
      <text>
        <r>
          <rPr>
            <b/>
            <sz val="9"/>
            <color indexed="81"/>
            <rFont val="Segoe UI"/>
            <family val="2"/>
          </rPr>
          <t>Usuario:</t>
        </r>
        <r>
          <rPr>
            <sz val="9"/>
            <color indexed="81"/>
            <rFont val="Segoe UI"/>
            <family val="2"/>
          </rPr>
          <t xml:space="preserve">
Retangular ou circular</t>
        </r>
      </text>
    </comment>
    <comment ref="AD11" authorId="0" shapeId="0" xr:uid="{C5D3E0BB-2A63-490D-9DE3-FDC45CE313AA}">
      <text>
        <r>
          <rPr>
            <b/>
            <sz val="9"/>
            <color indexed="81"/>
            <rFont val="Segoe UI"/>
            <family val="2"/>
          </rPr>
          <t>Usuario:</t>
        </r>
        <r>
          <rPr>
            <sz val="9"/>
            <color indexed="81"/>
            <rFont val="Segoe UI"/>
            <family val="2"/>
          </rPr>
          <t xml:space="preserve">
Simples - 1
Duplo - 2
Triplo - 3</t>
        </r>
      </text>
    </comment>
    <comment ref="AC12" authorId="0" shapeId="0" xr:uid="{35C04CDB-BB88-40A1-B394-F2774A55E4DC}">
      <text>
        <r>
          <rPr>
            <b/>
            <sz val="9"/>
            <color indexed="81"/>
            <rFont val="Segoe UI"/>
            <family val="2"/>
          </rPr>
          <t>Usuario:</t>
        </r>
        <r>
          <rPr>
            <sz val="9"/>
            <color indexed="81"/>
            <rFont val="Segoe UI"/>
            <family val="2"/>
          </rPr>
          <t xml:space="preserve">
Retangular ou circular</t>
        </r>
      </text>
    </comment>
    <comment ref="AD12" authorId="0" shapeId="0" xr:uid="{F0B7951B-3E66-4B3D-9ACE-36DED5DDF938}">
      <text>
        <r>
          <rPr>
            <b/>
            <sz val="9"/>
            <color indexed="81"/>
            <rFont val="Segoe UI"/>
            <family val="2"/>
          </rPr>
          <t>Usuario:</t>
        </r>
        <r>
          <rPr>
            <sz val="9"/>
            <color indexed="81"/>
            <rFont val="Segoe UI"/>
            <family val="2"/>
          </rPr>
          <t xml:space="preserve">
Simples - 1
Duplo - 2
Triplo - 3</t>
        </r>
      </text>
    </comment>
    <comment ref="AC13" authorId="0" shapeId="0" xr:uid="{7C6CE4A3-B15C-46F7-81C0-4BAF8659D368}">
      <text>
        <r>
          <rPr>
            <b/>
            <sz val="9"/>
            <color indexed="81"/>
            <rFont val="Segoe UI"/>
            <family val="2"/>
          </rPr>
          <t>Usuario:</t>
        </r>
        <r>
          <rPr>
            <sz val="9"/>
            <color indexed="81"/>
            <rFont val="Segoe UI"/>
            <family val="2"/>
          </rPr>
          <t xml:space="preserve">
Retangular ou circular</t>
        </r>
      </text>
    </comment>
    <comment ref="AD13" authorId="0" shapeId="0" xr:uid="{76A3336B-66E4-4A55-9EAD-7BA47E91A65C}">
      <text>
        <r>
          <rPr>
            <b/>
            <sz val="9"/>
            <color indexed="81"/>
            <rFont val="Segoe UI"/>
            <family val="2"/>
          </rPr>
          <t>Usuario:</t>
        </r>
        <r>
          <rPr>
            <sz val="9"/>
            <color indexed="81"/>
            <rFont val="Segoe UI"/>
            <family val="2"/>
          </rPr>
          <t xml:space="preserve">
Simples - 1
Duplo - 2
Triplo - 3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<sst xmlns="http://schemas.openxmlformats.org/spreadsheetml/2006/main" count="50941" uniqueCount="25023">
  <si>
    <t>-</t>
  </si>
  <si>
    <t>ORÇAMENTO BÁSICO</t>
  </si>
  <si>
    <t>DATA ORÇAMENTO:</t>
  </si>
  <si>
    <t>DATA BASE PREÇO:</t>
  </si>
  <si>
    <t>BDI:</t>
  </si>
  <si>
    <t xml:space="preserve"> </t>
  </si>
  <si>
    <t>Item</t>
  </si>
  <si>
    <t>Fonte</t>
  </si>
  <si>
    <t>Código</t>
  </si>
  <si>
    <t>Descrição</t>
  </si>
  <si>
    <t>DMT</t>
  </si>
  <si>
    <t>OBS</t>
  </si>
  <si>
    <t>Quantidade</t>
  </si>
  <si>
    <t>Unidade</t>
  </si>
  <si>
    <t>Custo Unitário (R$)</t>
  </si>
  <si>
    <t>%</t>
  </si>
  <si>
    <t>(Km)</t>
  </si>
  <si>
    <t>Composição</t>
  </si>
  <si>
    <t>COMP 01</t>
  </si>
  <si>
    <t>COMP 02</t>
  </si>
  <si>
    <t>SINAPI</t>
  </si>
  <si>
    <t>SERVIÇOS INICIAIS</t>
  </si>
  <si>
    <t>Bota-fora</t>
  </si>
  <si>
    <t>jazida</t>
  </si>
  <si>
    <t>Recomposição</t>
  </si>
  <si>
    <t>COMP 13</t>
  </si>
  <si>
    <t>COMP 12</t>
  </si>
  <si>
    <t>COMP 14</t>
  </si>
  <si>
    <t>COMP 03</t>
  </si>
  <si>
    <t>amarela</t>
  </si>
  <si>
    <t>branca</t>
  </si>
  <si>
    <t>faixa de pedestre</t>
  </si>
  <si>
    <t>COMP 05</t>
  </si>
  <si>
    <t>COMP 06</t>
  </si>
  <si>
    <t>COMP 07</t>
  </si>
  <si>
    <t>COMP 09</t>
  </si>
  <si>
    <t>TOTAL GERAL (R$)</t>
  </si>
  <si>
    <t>Juliano Wolschick</t>
  </si>
  <si>
    <t>Eng. Civil CREA/SC 057.254-9</t>
  </si>
  <si>
    <t>Responsável Técnico</t>
  </si>
  <si>
    <t>DIMENSIONAMENTO HIDRÁULICO DA DRENAGEM PLUVIAL</t>
  </si>
  <si>
    <t>MEMÓRIA DE CÁLCULO DA DRENAGEM PLUVIAL</t>
  </si>
  <si>
    <t>Trecho</t>
  </si>
  <si>
    <t>Área de Contribuição</t>
  </si>
  <si>
    <t>Precipitação</t>
  </si>
  <si>
    <t>% Ocupado</t>
  </si>
  <si>
    <t>Galerias</t>
  </si>
  <si>
    <t>Observação</t>
  </si>
  <si>
    <t>CÁLCULO DE ESCAVAÇÃO E REATERRO - TUBOS</t>
  </si>
  <si>
    <t>CÁLCULO DE ESCAVAÇÃO E REATERRO - DISPOSITIVOS</t>
  </si>
  <si>
    <t>Pontos</t>
  </si>
  <si>
    <t>Rua</t>
  </si>
  <si>
    <t>Situação</t>
  </si>
  <si>
    <t>Extensão</t>
  </si>
  <si>
    <t>C</t>
  </si>
  <si>
    <t>Ac</t>
  </si>
  <si>
    <t>C.Ac</t>
  </si>
  <si>
    <t>TC</t>
  </si>
  <si>
    <t>i</t>
  </si>
  <si>
    <t>QD</t>
  </si>
  <si>
    <t>I</t>
  </si>
  <si>
    <t>V</t>
  </si>
  <si>
    <r>
      <t>QG</t>
    </r>
    <r>
      <rPr>
        <vertAlign val="subscript"/>
        <sz val="7"/>
        <rFont val="Arial"/>
        <family val="2"/>
      </rPr>
      <t>max</t>
    </r>
  </si>
  <si>
    <t>TP</t>
  </si>
  <si>
    <t>Cotas Terreno</t>
  </si>
  <si>
    <t>Cotas Galeria</t>
  </si>
  <si>
    <t>Profundidades</t>
  </si>
  <si>
    <t>Tubos</t>
  </si>
  <si>
    <t>Largura (m)</t>
  </si>
  <si>
    <t>Escavação (m³)</t>
  </si>
  <si>
    <t>Seção tubo (m²)</t>
  </si>
  <si>
    <t>Desconto tubo</t>
  </si>
  <si>
    <t>Reaterro (m³)</t>
  </si>
  <si>
    <t>Lastro de brita</t>
  </si>
  <si>
    <t>Pavimento Asfáltico</t>
  </si>
  <si>
    <t>Dispositivo</t>
  </si>
  <si>
    <t>Tipo</t>
  </si>
  <si>
    <t>Profundidade</t>
  </si>
  <si>
    <t>Comprimento (m)</t>
  </si>
  <si>
    <t>Seção</t>
  </si>
  <si>
    <t xml:space="preserve">Desconto </t>
  </si>
  <si>
    <t>Classificação</t>
  </si>
  <si>
    <t>Início</t>
  </si>
  <si>
    <t>fim</t>
  </si>
  <si>
    <t>(m²)</t>
  </si>
  <si>
    <t>(hect.)</t>
  </si>
  <si>
    <t>Simples</t>
  </si>
  <si>
    <t>Acumulado</t>
  </si>
  <si>
    <t>Montante</t>
  </si>
  <si>
    <t>Jusante</t>
  </si>
  <si>
    <t>nº</t>
  </si>
  <si>
    <t>Ø</t>
  </si>
  <si>
    <t>h&lt;1,5m</t>
  </si>
  <si>
    <t>h&gt;1,5m</t>
  </si>
  <si>
    <t>Rocha</t>
  </si>
  <si>
    <t>Solo</t>
  </si>
  <si>
    <t>Total</t>
  </si>
  <si>
    <t>Aproveita</t>
  </si>
  <si>
    <t>Importa</t>
  </si>
  <si>
    <t>Esp. (m)</t>
  </si>
  <si>
    <t>Volume</t>
  </si>
  <si>
    <t>Área Total</t>
  </si>
  <si>
    <t>Área Pav.</t>
  </si>
  <si>
    <t>esp base</t>
  </si>
  <si>
    <t>Vol base</t>
  </si>
  <si>
    <t>Imprimação</t>
  </si>
  <si>
    <t>Pint.de ligação</t>
  </si>
  <si>
    <t>esp CAUQ</t>
  </si>
  <si>
    <t>CAUQ</t>
  </si>
  <si>
    <t>Novo</t>
  </si>
  <si>
    <t>CH</t>
  </si>
  <si>
    <t>Correção</t>
  </si>
  <si>
    <t>Reforma</t>
  </si>
  <si>
    <t>S</t>
  </si>
  <si>
    <t>Totais</t>
  </si>
  <si>
    <t>C= Coeficiente de escoamento superficial</t>
  </si>
  <si>
    <t>V= Velocidade do escoamento na galeria (m/s)</t>
  </si>
  <si>
    <t>Período de retorno=</t>
  </si>
  <si>
    <t>anos</t>
  </si>
  <si>
    <t>Ac= Área de contribuição (ha)</t>
  </si>
  <si>
    <r>
      <t>QG</t>
    </r>
    <r>
      <rPr>
        <vertAlign val="subscript"/>
        <sz val="8"/>
        <rFont val="Arial"/>
        <family val="2"/>
      </rPr>
      <t>max</t>
    </r>
    <r>
      <rPr>
        <sz val="8"/>
        <rFont val="Arial"/>
        <family val="2"/>
      </rPr>
      <t>= Vazão máxima da galeria (litros/s)</t>
    </r>
  </si>
  <si>
    <t>I= Declividade da galeria (%)</t>
  </si>
  <si>
    <t>TC= Tempo de concentração (min)</t>
  </si>
  <si>
    <t>TP= Tempo de percurso na galeria (min)</t>
  </si>
  <si>
    <r>
      <t>n</t>
    </r>
    <r>
      <rPr>
        <vertAlign val="subscript"/>
        <sz val="8"/>
        <rFont val="Arial"/>
        <family val="2"/>
      </rPr>
      <t>tubo</t>
    </r>
    <r>
      <rPr>
        <sz val="8"/>
        <rFont val="Arial"/>
        <family val="2"/>
      </rPr>
      <t>=</t>
    </r>
  </si>
  <si>
    <t>i= intensidade (mm/h)</t>
  </si>
  <si>
    <t>nº= Número de tubos por seção</t>
  </si>
  <si>
    <t>QD= Vazão da bacia contribuinte (litros/s)</t>
  </si>
  <si>
    <t>Ø= Diâmetro interno do tubo (m)</t>
  </si>
  <si>
    <r>
      <t>% Livre= Difrença das Vazões [(QG</t>
    </r>
    <r>
      <rPr>
        <vertAlign val="subscript"/>
        <sz val="8"/>
        <rFont val="Arial"/>
        <family val="2"/>
      </rPr>
      <t>max</t>
    </r>
    <r>
      <rPr>
        <sz val="8"/>
        <rFont val="Arial"/>
        <family val="2"/>
      </rPr>
      <t xml:space="preserve"> - QD)/QG</t>
    </r>
    <r>
      <rPr>
        <vertAlign val="subscript"/>
        <sz val="8"/>
        <rFont val="Arial"/>
        <family val="2"/>
      </rPr>
      <t>max</t>
    </r>
    <r>
      <rPr>
        <sz val="8"/>
        <rFont val="Arial"/>
        <family val="2"/>
      </rPr>
      <t>]</t>
    </r>
  </si>
  <si>
    <r>
      <t>n= coeficiente de rugosidade de Manning-Strickler (s/m</t>
    </r>
    <r>
      <rPr>
        <vertAlign val="superscript"/>
        <sz val="8"/>
        <rFont val="Arial"/>
        <family val="2"/>
      </rPr>
      <t>1/3</t>
    </r>
    <r>
      <rPr>
        <sz val="8"/>
        <rFont val="Arial"/>
        <family val="2"/>
      </rPr>
      <t>)</t>
    </r>
  </si>
  <si>
    <t>L</t>
  </si>
  <si>
    <t>BC I</t>
  </si>
  <si>
    <t>BC II</t>
  </si>
  <si>
    <t>BC III</t>
  </si>
  <si>
    <t>BC IV</t>
  </si>
  <si>
    <t>BC V</t>
  </si>
  <si>
    <t>b</t>
  </si>
  <si>
    <t>UN</t>
  </si>
  <si>
    <t>COMP 04</t>
  </si>
  <si>
    <t>COMP 08</t>
  </si>
  <si>
    <t>COMP 10</t>
  </si>
  <si>
    <t>COMP 11</t>
  </si>
  <si>
    <t>COMP 15</t>
  </si>
  <si>
    <t>COMP 16</t>
  </si>
  <si>
    <t>COMP 17</t>
  </si>
  <si>
    <t>COMP 18</t>
  </si>
  <si>
    <t>COMP 19</t>
  </si>
  <si>
    <t>COMP 20</t>
  </si>
  <si>
    <t>h</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</si>
  <si>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</si>
  <si>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</si>
  <si>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</si>
  <si>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</si>
  <si>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</si>
  <si>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</si>
  <si>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</si>
  <si>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</si>
  <si>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</si>
  <si>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</si>
  <si>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</si>
  <si>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</si>
  <si>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</si>
  <si>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</si>
  <si>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</si>
  <si>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</si>
  <si>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</si>
  <si>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</si>
  <si>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</si>
  <si>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</si>
  <si>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</si>
  <si>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</si>
  <si>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</si>
  <si>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</si>
  <si>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</si>
  <si>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</si>
  <si>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</si>
  <si>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</si>
  <si>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</si>
  <si>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</si>
  <si>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</si>
  <si>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</si>
  <si>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</si>
  <si>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</si>
  <si>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</si>
  <si>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</si>
  <si>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</si>
  <si>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</si>
  <si>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</si>
  <si>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</si>
  <si>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</si>
  <si>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</si>
  <si>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</si>
  <si>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</si>
  <si>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</si>
  <si>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</si>
  <si>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</si>
  <si>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</si>
  <si>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</si>
  <si>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</si>
  <si>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</si>
  <si>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</si>
  <si>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</si>
  <si>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</si>
  <si>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</si>
  <si>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</si>
  <si>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</si>
  <si>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</si>
  <si>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</si>
  <si>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</si>
  <si>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</si>
  <si>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</si>
  <si>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</si>
  <si>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</si>
  <si>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</si>
  <si>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</si>
  <si>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</si>
  <si>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</si>
  <si>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</si>
  <si>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</si>
  <si>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</si>
  <si>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</si>
  <si>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</si>
  <si>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</si>
  <si>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</si>
  <si>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</si>
  <si>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</si>
  <si>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</si>
  <si>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</si>
  <si>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</si>
  <si>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</si>
  <si>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</si>
  <si>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</si>
  <si>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</si>
  <si>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</si>
  <si>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</si>
  <si>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</si>
  <si>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</si>
  <si>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</si>
  <si>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</si>
  <si>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</si>
  <si>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</si>
  <si>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</si>
  <si>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</si>
  <si>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</si>
  <si>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</si>
  <si>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</si>
  <si>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</si>
  <si>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</si>
  <si>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</si>
  <si>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</si>
  <si>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</si>
  <si>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</si>
  <si>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</si>
  <si>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</si>
  <si>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</si>
  <si>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</si>
  <si>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</si>
  <si>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</si>
  <si>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</si>
  <si>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</si>
  <si>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</si>
  <si>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</si>
  <si>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</si>
  <si>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</si>
  <si>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</si>
  <si>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</si>
  <si>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</si>
  <si>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</si>
  <si>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</si>
  <si>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</si>
  <si>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</si>
  <si>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</si>
  <si>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</si>
  <si>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</si>
  <si>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</si>
  <si>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</si>
  <si>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</si>
  <si>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</si>
  <si>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</si>
  <si>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</si>
  <si>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</si>
  <si>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</si>
  <si>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</si>
  <si>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</si>
  <si>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</si>
  <si>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</si>
  <si>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</si>
  <si>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</si>
  <si>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</si>
  <si>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</si>
  <si>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</si>
  <si>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</si>
  <si>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</si>
  <si>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</si>
  <si>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</si>
  <si>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</si>
  <si>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</si>
  <si>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</si>
  <si>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</si>
  <si>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</si>
  <si>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</si>
  <si>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</si>
  <si>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</si>
  <si>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</si>
  <si>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</si>
  <si>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</si>
  <si>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</si>
  <si>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</si>
  <si>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</si>
  <si>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</si>
  <si>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</si>
  <si>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</si>
  <si>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</si>
  <si>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</si>
  <si>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</si>
  <si>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</si>
  <si>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</si>
  <si>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</si>
  <si>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</si>
  <si>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</si>
  <si>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</si>
  <si>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</si>
  <si>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</si>
  <si>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</si>
  <si>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</si>
  <si>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</si>
  <si>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</si>
  <si>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</si>
  <si>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</si>
  <si>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</si>
  <si>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</si>
  <si>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</si>
  <si>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</si>
  <si>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</si>
  <si>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</si>
  <si>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</si>
  <si>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</si>
  <si>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</si>
  <si>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</si>
  <si>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</si>
  <si>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</si>
  <si>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</si>
  <si>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</si>
  <si>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</si>
  <si>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</si>
  <si>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</si>
  <si>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</si>
  <si>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</si>
  <si>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</si>
  <si>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</si>
  <si>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</si>
  <si>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</si>
  <si>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</si>
  <si>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</si>
  <si>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</si>
  <si>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</si>
  <si>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</si>
  <si>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</si>
  <si>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</si>
  <si>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</si>
  <si>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</si>
  <si>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</si>
  <si>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</si>
  <si>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</si>
  <si>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</si>
  <si>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</si>
  <si>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</si>
  <si>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</si>
  <si>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</si>
  <si>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</si>
  <si>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</si>
  <si>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</si>
  <si>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</si>
  <si>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</si>
  <si>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</si>
  <si>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</si>
  <si>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</si>
  <si>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</si>
  <si>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</si>
  <si>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</si>
  <si>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</si>
  <si>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</si>
  <si>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</si>
  <si>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</si>
  <si>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</si>
  <si>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</si>
  <si>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</si>
  <si>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</si>
  <si>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</si>
  <si>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</si>
  <si>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</si>
  <si>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</si>
  <si>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</si>
  <si>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</si>
  <si>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</si>
  <si>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</si>
  <si>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</si>
  <si>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</si>
  <si>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</si>
  <si>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</si>
  <si>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</si>
  <si>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</si>
  <si>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</si>
  <si>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</si>
  <si>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</si>
  <si>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</si>
  <si>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</si>
  <si>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</si>
  <si>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</si>
  <si>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</si>
  <si>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</si>
  <si>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</si>
  <si>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</si>
  <si>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</si>
  <si>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</si>
  <si>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</si>
  <si>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</si>
  <si>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</si>
  <si>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</si>
  <si>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</si>
  <si>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</si>
  <si>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</si>
  <si>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</si>
  <si>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</si>
  <si>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</si>
  <si>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</si>
  <si>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</si>
  <si>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</si>
  <si>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</si>
  <si>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</si>
  <si>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</si>
  <si>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</si>
  <si>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</si>
  <si>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</si>
  <si>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</si>
  <si>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</si>
  <si>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</si>
  <si>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</si>
  <si>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</si>
  <si>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</si>
  <si>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</si>
  <si>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</si>
  <si>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</si>
  <si>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</si>
  <si>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</si>
  <si>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</si>
  <si>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</si>
  <si>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</si>
  <si>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</si>
  <si>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</si>
  <si>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</si>
  <si>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</si>
  <si>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</si>
  <si>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</si>
  <si>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</si>
  <si>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</si>
  <si>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</si>
  <si>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</si>
  <si>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</si>
  <si>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</si>
  <si>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</si>
  <si>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</si>
  <si>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</si>
  <si>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</si>
  <si>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</si>
  <si>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</si>
  <si>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</si>
  <si>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</si>
  <si>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</si>
  <si>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</si>
  <si>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</si>
  <si>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</si>
  <si>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</si>
  <si>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</si>
  <si>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</si>
  <si>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</si>
  <si>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</si>
  <si>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</si>
  <si>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</si>
  <si>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</si>
  <si>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</si>
  <si>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</si>
  <si>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</si>
  <si>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</si>
  <si>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</si>
  <si>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</si>
  <si>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</si>
  <si>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</si>
  <si>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</si>
  <si>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</si>
  <si>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</si>
  <si>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</si>
  <si>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</si>
  <si>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</si>
  <si>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</si>
  <si>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</si>
  <si>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</si>
  <si>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</si>
  <si>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</si>
  <si>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</si>
  <si>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</si>
  <si>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</si>
  <si>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</si>
  <si>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</si>
  <si>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</si>
  <si>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</si>
  <si>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</si>
  <si>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</si>
  <si>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</si>
  <si>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</si>
  <si>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</si>
  <si>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</si>
  <si>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</si>
  <si>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</si>
  <si>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</si>
  <si>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</si>
  <si>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</si>
  <si>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</si>
  <si>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</si>
  <si>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</si>
  <si>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</si>
  <si>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</si>
  <si>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</si>
  <si>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</si>
  <si>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</si>
  <si>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</si>
  <si>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</si>
  <si>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</si>
  <si>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</si>
  <si>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</si>
  <si>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</si>
  <si>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</si>
  <si>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</si>
  <si>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</si>
  <si>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</si>
  <si>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</si>
  <si>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</si>
  <si>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</si>
  <si>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</si>
  <si>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</si>
  <si>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</si>
  <si>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</si>
  <si>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</si>
  <si>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</si>
  <si>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</si>
  <si>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</si>
  <si>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</si>
  <si>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</si>
  <si>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</si>
  <si>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</si>
  <si>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</si>
  <si>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</si>
  <si>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</si>
  <si>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</si>
  <si>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</si>
  <si>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</si>
  <si>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</si>
  <si>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</si>
  <si>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</si>
  <si>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</si>
  <si>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</si>
  <si>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</si>
  <si>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</si>
  <si>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</si>
  <si>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</si>
  <si>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</si>
  <si>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</si>
  <si>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</si>
  <si>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</si>
  <si>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</si>
  <si>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</si>
  <si>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</si>
  <si>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</si>
  <si>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</si>
  <si>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</si>
  <si>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</si>
  <si>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</si>
  <si>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</si>
  <si>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</si>
  <si>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</si>
  <si>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</si>
  <si>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</si>
  <si>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</si>
  <si>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</si>
  <si>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</si>
  <si>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</si>
  <si>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</si>
  <si>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</si>
  <si>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</si>
  <si>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</si>
  <si>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</si>
  <si>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</si>
  <si>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</si>
  <si>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</si>
  <si>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</si>
  <si>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</si>
  <si>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</si>
  <si>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</si>
  <si>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</si>
  <si>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</si>
  <si>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</si>
  <si>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</si>
  <si>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</si>
  <si>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</si>
  <si>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</si>
  <si>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</si>
  <si>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</si>
  <si>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</si>
  <si>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</si>
  <si>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</si>
  <si>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</si>
  <si>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</si>
  <si>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</si>
  <si>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</si>
  <si>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</si>
  <si>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</si>
  <si>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</si>
  <si>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</si>
  <si>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</si>
  <si>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</si>
  <si>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</si>
  <si>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</si>
  <si>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</si>
  <si>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</si>
  <si>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</si>
  <si>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</si>
  <si>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</si>
  <si>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</si>
  <si>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</si>
  <si>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</si>
  <si>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</si>
  <si>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</si>
  <si>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</si>
  <si>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</si>
  <si>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</si>
  <si>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</si>
  <si>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</si>
  <si>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</si>
  <si>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</si>
  <si>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</si>
  <si>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</si>
  <si>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</si>
  <si>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</si>
  <si>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</si>
  <si>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</si>
  <si>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</si>
  <si>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</si>
  <si>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</si>
  <si>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</si>
  <si>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</si>
  <si>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</si>
  <si>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</si>
  <si>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</si>
  <si>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</si>
  <si>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</si>
  <si>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</si>
  <si>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</si>
  <si>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</si>
  <si>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</si>
  <si>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</si>
  <si>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</si>
  <si>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</si>
  <si>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</si>
  <si>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</si>
  <si>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</si>
  <si>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</si>
  <si>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</si>
  <si>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</si>
  <si>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</si>
  <si>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</si>
  <si>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</si>
  <si>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</si>
  <si>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</si>
  <si>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</si>
  <si>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</si>
  <si>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</si>
  <si>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</si>
  <si>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</si>
  <si>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</si>
  <si>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</si>
  <si>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</si>
  <si>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</si>
  <si>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</si>
  <si>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</si>
  <si>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</si>
  <si>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</si>
  <si>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</si>
  <si>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</si>
  <si>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</si>
  <si>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</si>
  <si>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</si>
  <si>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</si>
  <si>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</si>
  <si>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</si>
  <si>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</si>
  <si>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</si>
  <si>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</si>
  <si>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</si>
  <si>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</si>
  <si>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</si>
  <si>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</si>
  <si>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</si>
  <si>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</si>
  <si>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</si>
  <si>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</si>
  <si>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</si>
  <si>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</si>
  <si>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</si>
  <si>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</si>
  <si>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</si>
  <si>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</si>
  <si>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</si>
  <si>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</si>
  <si>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</si>
  <si>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</si>
  <si>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</si>
  <si>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</si>
  <si>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</si>
  <si>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</si>
  <si>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</si>
  <si>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</si>
  <si>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</si>
  <si>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</si>
  <si>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</si>
  <si>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</si>
  <si>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</si>
  <si>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</si>
  <si>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</si>
  <si>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</si>
  <si>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</si>
  <si>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</si>
  <si>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</si>
  <si>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</si>
  <si>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</si>
  <si>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</si>
  <si>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</si>
  <si>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</si>
  <si>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</si>
  <si>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</si>
  <si>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</si>
  <si>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</si>
  <si>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</si>
  <si>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</si>
  <si>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</si>
  <si>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</si>
  <si>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</si>
  <si>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</si>
  <si>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</si>
  <si>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</si>
  <si>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</si>
  <si>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</si>
  <si>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</si>
  <si>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</si>
  <si>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</si>
  <si>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</si>
  <si>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</si>
  <si>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</si>
  <si>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</si>
  <si>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</si>
  <si>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</si>
  <si>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</si>
  <si>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</si>
  <si>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</si>
  <si>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</si>
  <si>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</si>
  <si>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</si>
  <si>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</si>
  <si>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</si>
  <si>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</si>
  <si>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</si>
  <si>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</si>
  <si>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</si>
  <si>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</si>
  <si>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</si>
  <si>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</si>
  <si>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</si>
  <si>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</si>
  <si>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</si>
  <si>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</si>
  <si>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</si>
  <si>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</si>
  <si>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</si>
  <si>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</si>
  <si>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</si>
  <si>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</si>
  <si>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</si>
  <si>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</si>
  <si>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</si>
  <si>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</si>
  <si>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</si>
  <si>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</si>
  <si>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</si>
  <si>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</si>
  <si>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</si>
  <si>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</si>
  <si>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</si>
  <si>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</si>
  <si>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</si>
  <si>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</si>
  <si>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</si>
  <si>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</si>
  <si>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</si>
  <si>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</si>
  <si>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</si>
  <si>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</si>
  <si>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</si>
  <si>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</si>
  <si>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</si>
  <si>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</si>
  <si>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</si>
  <si>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</si>
  <si>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</si>
  <si>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</si>
  <si>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</si>
  <si>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</si>
  <si>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</si>
  <si>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</si>
  <si>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</si>
  <si>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</si>
  <si>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</si>
  <si>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</si>
  <si>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</si>
  <si>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</si>
  <si>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</si>
  <si>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</si>
  <si>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</si>
  <si>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</si>
  <si>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</si>
  <si>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</si>
  <si>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</si>
  <si>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</si>
  <si>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</si>
  <si>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</si>
  <si>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</si>
  <si>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</si>
  <si>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</si>
  <si>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</si>
  <si>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</si>
  <si>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</si>
  <si>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</si>
  <si>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</si>
  <si>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</si>
  <si>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</si>
  <si>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</si>
  <si>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</si>
  <si>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</si>
  <si>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</si>
  <si>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</si>
  <si>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</si>
  <si>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</si>
  <si>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</si>
  <si>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</si>
  <si>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</si>
  <si>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</si>
  <si>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</si>
  <si>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</si>
  <si>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</si>
  <si>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</si>
  <si>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</si>
  <si>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</si>
  <si>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</si>
  <si>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</si>
  <si>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</si>
  <si>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</si>
  <si>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</si>
  <si>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</si>
  <si>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</si>
  <si>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</si>
  <si>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</si>
  <si>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</si>
  <si>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</si>
  <si>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</si>
  <si>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</si>
  <si>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</si>
  <si>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</si>
  <si>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</si>
  <si>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</si>
  <si>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</si>
  <si>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</si>
  <si>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</si>
  <si>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</si>
  <si>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</si>
  <si>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</si>
  <si>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</si>
  <si>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</si>
  <si>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</si>
  <si>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</si>
  <si>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</si>
  <si>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</si>
  <si>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</si>
  <si>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</si>
  <si>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</si>
  <si>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</si>
  <si>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</si>
  <si>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</si>
  <si>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</si>
  <si>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</si>
  <si>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</si>
  <si>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</si>
  <si>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</si>
  <si>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</si>
  <si>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</si>
  <si>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</si>
  <si>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</si>
  <si>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</si>
  <si>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</si>
  <si>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</si>
  <si>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</si>
  <si>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</si>
  <si>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</si>
  <si>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</si>
  <si>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</si>
  <si>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</si>
  <si>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</si>
  <si>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</si>
  <si>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</si>
  <si>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</si>
  <si>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</si>
  <si>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</si>
  <si>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</si>
  <si>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</si>
  <si>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</si>
  <si>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</si>
  <si>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</si>
  <si>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</si>
  <si>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</si>
  <si>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</si>
  <si>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</si>
  <si>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</si>
  <si>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</si>
  <si>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</si>
  <si>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</si>
  <si>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</si>
  <si>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</si>
  <si>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</si>
  <si>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</si>
  <si>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</si>
  <si>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</si>
  <si>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</si>
  <si>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</si>
  <si>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</si>
  <si>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</si>
  <si>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</si>
  <si>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</si>
  <si>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</si>
  <si>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</si>
  <si>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</si>
  <si>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</si>
  <si>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</si>
  <si>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</si>
  <si>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</si>
  <si>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</si>
  <si>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</si>
  <si>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</si>
  <si>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</si>
  <si>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</si>
  <si>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</si>
  <si>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</si>
  <si>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</si>
  <si>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</si>
  <si>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</si>
  <si>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</si>
  <si>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</si>
  <si>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</si>
  <si>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</si>
  <si>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</si>
  <si>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</si>
  <si>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</si>
  <si>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</si>
  <si>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</si>
  <si>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</si>
  <si>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</si>
  <si>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</si>
  <si>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</si>
  <si>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</si>
  <si>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</si>
  <si>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</si>
  <si>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</si>
  <si>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</si>
  <si>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</si>
  <si>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</si>
  <si>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</si>
  <si>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</si>
  <si>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</si>
  <si>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</si>
  <si>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</si>
  <si>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</si>
  <si>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</si>
  <si>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</si>
  <si>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</si>
  <si>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</si>
  <si>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</si>
  <si>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</si>
  <si>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</si>
  <si>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</si>
  <si>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</si>
  <si>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</si>
  <si>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</si>
  <si>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</si>
  <si>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</si>
  <si>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</si>
  <si>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</si>
  <si>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</si>
  <si>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</si>
  <si>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</si>
  <si>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</si>
  <si>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</si>
  <si>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</si>
  <si>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</si>
  <si>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</si>
  <si>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</si>
  <si>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</si>
  <si>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</si>
  <si>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</si>
  <si>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</si>
  <si>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</si>
  <si>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</si>
  <si>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</si>
  <si>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</si>
  <si>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</si>
  <si>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</si>
  <si>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</si>
  <si>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</si>
  <si>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</si>
  <si>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</si>
  <si>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</si>
  <si>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</si>
  <si>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</si>
  <si>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</si>
  <si>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</si>
  <si>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</si>
  <si>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</si>
  <si>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</si>
  <si>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</si>
  <si>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</si>
  <si>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</si>
  <si>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</si>
  <si>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</si>
  <si>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</si>
  <si>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</si>
  <si>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</si>
  <si>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</si>
  <si>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</si>
  <si>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</si>
  <si>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</si>
  <si>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</si>
  <si>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</si>
  <si>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</si>
  <si>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</si>
  <si>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</si>
  <si>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</si>
  <si>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</si>
  <si>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</si>
  <si>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</si>
  <si>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</si>
  <si>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</si>
  <si>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</si>
  <si>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</si>
  <si>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</si>
  <si>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</si>
  <si>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</si>
  <si>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</si>
  <si>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</si>
  <si>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</si>
  <si>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</si>
  <si>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</si>
  <si>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</si>
  <si>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</si>
  <si>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</si>
  <si>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</si>
  <si>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</si>
  <si>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</si>
  <si>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</si>
  <si>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</si>
  <si>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</si>
  <si>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</si>
  <si>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</si>
  <si>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</si>
  <si>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</si>
  <si>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</si>
  <si>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</si>
  <si>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</si>
  <si>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</si>
  <si>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</si>
  <si>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</si>
  <si>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</si>
  <si>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</si>
  <si>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</si>
  <si>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</si>
  <si>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</si>
  <si>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</si>
  <si>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</si>
  <si>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</si>
  <si>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</si>
  <si>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</si>
  <si>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</si>
  <si>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</si>
  <si>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</si>
  <si>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</si>
  <si>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</si>
  <si>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</si>
  <si>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</si>
  <si>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</si>
  <si>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</si>
  <si>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</si>
  <si>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</si>
  <si>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</si>
  <si>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</si>
  <si>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</si>
  <si>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</si>
  <si>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</si>
  <si>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</si>
  <si>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</si>
  <si>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</si>
  <si>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</si>
  <si>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</si>
  <si>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</si>
  <si>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</si>
  <si>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</si>
  <si>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</si>
  <si>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</si>
  <si>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</si>
  <si>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</si>
  <si>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</si>
  <si>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</si>
  <si>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</si>
  <si>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</si>
  <si>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</si>
  <si>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</si>
  <si>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</si>
  <si>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</si>
  <si>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</si>
  <si>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</si>
  <si>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</si>
  <si>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</si>
  <si>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</si>
  <si>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</si>
  <si>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</si>
  <si>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</si>
  <si>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</si>
  <si>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</si>
  <si>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</si>
  <si>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</si>
  <si>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</si>
  <si>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</si>
  <si>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</si>
  <si>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</si>
  <si>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</si>
  <si>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</si>
  <si>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</si>
  <si>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</si>
  <si>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</si>
  <si>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</si>
  <si>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</si>
  <si>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</si>
  <si>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</si>
  <si>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</si>
  <si>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</si>
  <si>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</si>
  <si>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</si>
  <si>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</si>
  <si>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</si>
  <si>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</si>
  <si>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</si>
  <si>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</si>
  <si>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</si>
  <si>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</si>
  <si>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</si>
  <si>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</si>
  <si>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</si>
  <si>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</si>
  <si>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</si>
  <si>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</si>
  <si>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</si>
  <si>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</si>
  <si>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</si>
  <si>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</si>
  <si>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</si>
  <si>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</si>
  <si>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</si>
  <si>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</si>
  <si>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</si>
  <si>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</si>
  <si>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</si>
  <si>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</si>
  <si>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</si>
  <si>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</si>
  <si>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</si>
  <si>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</si>
  <si>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</si>
  <si>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</si>
  <si>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</si>
  <si>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</si>
  <si>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</si>
  <si>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</si>
  <si>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</si>
  <si>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</si>
  <si>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</si>
  <si>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</si>
  <si>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</si>
  <si>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</si>
  <si>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</si>
  <si>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</si>
  <si>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</si>
  <si>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</si>
  <si>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</si>
  <si>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</si>
  <si>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</si>
  <si>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</si>
  <si>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</si>
  <si>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</si>
  <si>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</si>
  <si>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</si>
  <si>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</si>
  <si>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</si>
  <si>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</si>
  <si>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</si>
  <si>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</si>
  <si>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</si>
  <si>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</si>
  <si>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</si>
  <si>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</si>
  <si>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</si>
  <si>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</si>
  <si>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</si>
  <si>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</si>
  <si>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</si>
  <si>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</si>
  <si>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</si>
  <si>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</si>
  <si>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</si>
  <si>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</si>
  <si>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</si>
  <si>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</si>
  <si>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</si>
  <si>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</si>
  <si>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</si>
  <si>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</si>
  <si>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</si>
  <si>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</si>
  <si>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</si>
  <si>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</si>
  <si>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</si>
  <si>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</si>
  <si>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</si>
  <si>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</si>
  <si>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</si>
  <si>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</si>
  <si>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</si>
  <si>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</si>
  <si>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</si>
  <si>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</si>
  <si>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</si>
  <si>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</si>
  <si>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</si>
  <si>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</si>
  <si>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</si>
  <si>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</si>
  <si>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</si>
  <si>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</si>
  <si>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</si>
  <si>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</si>
  <si>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</si>
  <si>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</si>
  <si>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</si>
  <si>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</si>
  <si>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</si>
  <si>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</si>
  <si>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</si>
  <si>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</si>
  <si>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</si>
  <si>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</si>
  <si>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</si>
  <si>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</si>
  <si>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</si>
  <si>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</si>
  <si>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</si>
  <si>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</si>
  <si>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</si>
  <si>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</si>
  <si>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</si>
  <si>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</si>
  <si>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</si>
  <si>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</si>
  <si>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</si>
  <si>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</si>
  <si>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</si>
  <si>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</si>
  <si>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</si>
  <si>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</si>
  <si>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</si>
  <si>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</si>
  <si>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</si>
  <si>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</si>
  <si>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</si>
  <si>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</si>
  <si>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</si>
  <si>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</si>
  <si>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</si>
  <si>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</si>
  <si>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</si>
  <si>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</si>
  <si>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</si>
  <si>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</si>
  <si>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</si>
  <si>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</si>
  <si>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</si>
  <si>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</si>
  <si>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</si>
  <si>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</si>
  <si>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</si>
  <si>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</si>
  <si>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</si>
  <si>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</si>
  <si>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</si>
  <si>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</si>
  <si>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</si>
  <si>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</si>
  <si>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</si>
  <si>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</si>
  <si>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</si>
  <si>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</si>
  <si>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</si>
  <si>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</si>
  <si>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</si>
  <si>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</si>
  <si>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</si>
  <si>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</si>
  <si>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</si>
  <si>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</si>
  <si>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</si>
  <si>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</si>
  <si>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</si>
  <si>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</si>
  <si>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</si>
  <si>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</si>
  <si>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</si>
  <si>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</si>
  <si>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</si>
  <si>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</si>
  <si>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</si>
  <si>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</si>
  <si>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</si>
  <si>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</si>
  <si>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</si>
  <si>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</si>
  <si>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</si>
  <si>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</si>
  <si>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</si>
  <si>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</si>
  <si>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</si>
  <si>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</si>
  <si>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</si>
  <si>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</si>
  <si>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</si>
  <si>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</si>
  <si>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</si>
  <si>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</si>
  <si>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</si>
  <si>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</si>
  <si>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</si>
  <si>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</si>
  <si>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</si>
  <si>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</si>
  <si>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</si>
  <si>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</si>
  <si>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</si>
  <si>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</si>
  <si>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</si>
  <si>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</si>
  <si>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</si>
  <si>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</si>
  <si>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</si>
  <si>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</si>
  <si>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</si>
  <si>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</si>
  <si>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</si>
  <si>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</si>
  <si>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</si>
  <si>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</si>
  <si>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</si>
  <si>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</si>
  <si>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</si>
  <si>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</si>
  <si>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</si>
  <si>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</si>
  <si>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</si>
  <si>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</si>
  <si>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</si>
  <si>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</si>
  <si>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</si>
  <si>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</si>
  <si>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</si>
  <si>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</si>
  <si>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</si>
  <si>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</si>
  <si>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</si>
  <si>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</si>
  <si>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</si>
  <si>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</si>
  <si>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</si>
  <si>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</si>
  <si>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</si>
  <si>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</si>
  <si>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</si>
  <si>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</si>
  <si>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</si>
  <si>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</si>
  <si>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</si>
  <si>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</si>
  <si>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</si>
  <si>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</si>
  <si>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</si>
  <si>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</si>
  <si>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</si>
  <si>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</si>
  <si>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</si>
  <si>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</si>
  <si>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</si>
  <si>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</si>
  <si>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</si>
  <si>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</si>
  <si>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</si>
  <si>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</si>
  <si>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</si>
  <si>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</si>
  <si>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</si>
  <si>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</si>
  <si>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</si>
  <si>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</si>
  <si>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</si>
  <si>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</si>
  <si>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</si>
  <si>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</si>
  <si>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</si>
  <si>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</si>
  <si>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</si>
  <si>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</si>
  <si>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</si>
  <si>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</si>
  <si>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</si>
  <si>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</si>
  <si>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</si>
  <si>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</si>
  <si>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</si>
  <si>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</si>
  <si>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</si>
  <si>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</si>
  <si>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</si>
  <si>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</si>
  <si>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</si>
  <si>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</si>
  <si>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</si>
  <si>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</si>
  <si>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</si>
  <si>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</si>
  <si>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</si>
  <si>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</si>
  <si>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</si>
  <si>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</si>
  <si>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</si>
  <si>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</si>
  <si>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</si>
  <si>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</si>
  <si>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</si>
  <si>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</si>
  <si>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</si>
  <si>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</si>
  <si>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</si>
  <si>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</si>
  <si>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</si>
  <si>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</si>
  <si>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</si>
  <si>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</si>
  <si>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</si>
  <si>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</si>
  <si>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</si>
  <si>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</si>
  <si>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</si>
  <si>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</si>
  <si>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</si>
  <si>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</si>
  <si>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</si>
  <si>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</si>
  <si>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</si>
  <si>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</si>
  <si>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</si>
  <si>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</si>
  <si>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</si>
  <si>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</si>
  <si>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</si>
  <si>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</si>
  <si>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</si>
  <si>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</si>
  <si>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</si>
  <si>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</si>
  <si>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</si>
  <si>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</si>
  <si>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</si>
  <si>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</si>
  <si>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</si>
  <si>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</si>
  <si>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</si>
  <si>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</si>
  <si>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</si>
  <si>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</si>
  <si>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</si>
  <si>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</si>
  <si>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</si>
  <si>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</si>
  <si>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</si>
  <si>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</si>
  <si>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</si>
  <si>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</si>
  <si>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</si>
  <si>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</si>
  <si>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</si>
  <si>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</si>
  <si>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</si>
  <si>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</si>
  <si>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</si>
  <si>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</si>
  <si>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</si>
  <si>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</si>
  <si>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</si>
  <si>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</si>
  <si>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</si>
  <si>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</si>
  <si>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</si>
  <si>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</si>
  <si>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</si>
  <si>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</si>
  <si>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</si>
  <si>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</si>
  <si>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</si>
  <si>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</si>
  <si>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</si>
  <si>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</si>
  <si>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</si>
  <si>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</si>
  <si>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</si>
  <si>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</si>
  <si>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</si>
  <si>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</si>
  <si>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</si>
  <si>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</si>
  <si>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</si>
  <si>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</si>
  <si>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</si>
  <si>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</si>
  <si>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</si>
  <si>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</si>
  <si>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</si>
  <si>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</si>
  <si>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</si>
  <si>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</si>
  <si>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</si>
  <si>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</si>
  <si>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</si>
  <si>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</si>
  <si>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</si>
  <si>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</si>
  <si>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</si>
  <si>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</si>
  <si>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</si>
  <si>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</si>
  <si>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</si>
  <si>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</si>
  <si>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</si>
  <si>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</si>
  <si>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</si>
  <si>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</si>
  <si>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</si>
  <si>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</si>
  <si>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</si>
  <si>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</si>
  <si>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</si>
  <si>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</si>
  <si>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</si>
  <si>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</si>
  <si>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</si>
  <si>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</si>
  <si>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</si>
  <si>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</si>
  <si>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</si>
  <si>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</si>
  <si>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</si>
  <si>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</si>
  <si>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</si>
  <si>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</si>
  <si>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</si>
  <si>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</si>
  <si>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</si>
  <si>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</si>
  <si>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</si>
  <si>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</si>
  <si>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</si>
  <si>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</si>
  <si>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</si>
  <si>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</si>
  <si>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</si>
  <si>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</si>
  <si>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</si>
  <si>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</si>
  <si>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</si>
  <si>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</si>
  <si>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</si>
  <si>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</si>
  <si>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</si>
  <si>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</si>
  <si>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</si>
  <si>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</si>
  <si>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</si>
  <si>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</si>
  <si>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</si>
  <si>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</si>
  <si>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</si>
  <si>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</si>
  <si>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</si>
  <si>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</si>
  <si>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</si>
  <si>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</si>
  <si>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</si>
  <si>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</si>
  <si>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</si>
  <si>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</si>
  <si>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</si>
  <si>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</si>
  <si>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</si>
  <si>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</si>
  <si>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</si>
  <si>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</si>
  <si>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</si>
  <si>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</si>
  <si>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</si>
  <si>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</si>
  <si>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</si>
  <si>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</si>
  <si>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</si>
  <si>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</si>
  <si>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</si>
  <si>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</si>
  <si>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</si>
  <si>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</si>
  <si>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</si>
  <si>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</si>
  <si>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</si>
  <si>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</si>
  <si>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</si>
  <si>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</si>
  <si>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</si>
  <si>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</si>
  <si>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</si>
  <si>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</si>
  <si>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</si>
  <si>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</si>
  <si>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</si>
  <si>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</si>
  <si>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</si>
  <si>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</si>
  <si>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</si>
  <si>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</si>
  <si>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</si>
  <si>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</si>
  <si>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</si>
  <si>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</si>
  <si>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</si>
  <si>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</si>
  <si>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</si>
  <si>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</si>
  <si>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</si>
  <si>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</si>
  <si>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</si>
  <si>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</si>
  <si>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</si>
  <si>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</si>
  <si>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</si>
  <si>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</si>
  <si>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</si>
  <si>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</si>
  <si>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</si>
  <si>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</si>
  <si>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</si>
  <si>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</si>
  <si>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</si>
  <si>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</si>
  <si>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</si>
  <si>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</si>
  <si>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</si>
  <si>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</si>
  <si>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</si>
  <si>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</si>
  <si>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</si>
  <si>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</si>
  <si>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</si>
  <si>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</si>
  <si>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</si>
  <si>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</si>
  <si>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</si>
  <si>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</si>
  <si>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</si>
  <si>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</si>
  <si>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</si>
  <si>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</si>
  <si>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</si>
  <si>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</si>
  <si>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</si>
  <si>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</si>
  <si>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</si>
  <si>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</si>
  <si>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</si>
  <si>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</si>
  <si>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</si>
  <si>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</si>
  <si>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</si>
  <si>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</si>
  <si>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</si>
  <si>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</si>
  <si>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</si>
  <si>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</si>
  <si>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</si>
  <si>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</si>
  <si>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</si>
  <si>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</si>
  <si>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</si>
  <si>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</si>
  <si>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</si>
  <si>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</si>
  <si>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</si>
  <si>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</si>
  <si>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</si>
  <si>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</si>
  <si>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</si>
  <si>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</si>
  <si>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</si>
  <si>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</si>
  <si>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</si>
  <si>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</si>
  <si>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</si>
  <si>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</si>
  <si>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</si>
  <si>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</si>
  <si>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</si>
  <si>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</si>
  <si>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</si>
  <si>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</si>
  <si>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</si>
  <si>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</si>
  <si>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</si>
  <si>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</si>
  <si>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</si>
  <si>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</si>
  <si>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</si>
  <si>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</si>
  <si>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</si>
  <si>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</si>
  <si>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</si>
  <si>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</si>
  <si>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</si>
  <si>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</si>
  <si>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</si>
  <si>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</si>
  <si>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</si>
  <si>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</si>
  <si>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</si>
  <si>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</si>
  <si>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</si>
  <si>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</si>
  <si>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</si>
  <si>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</si>
  <si>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</si>
  <si>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</si>
  <si>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</si>
  <si>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</si>
  <si>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</si>
  <si>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</si>
  <si>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</si>
  <si>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</si>
  <si>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</si>
  <si>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</si>
  <si>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</si>
  <si>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</si>
  <si>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</si>
  <si>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</si>
  <si>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</si>
  <si>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</si>
  <si>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</si>
  <si>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</si>
  <si>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</si>
  <si>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</si>
  <si>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</si>
  <si>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</si>
  <si>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</si>
  <si>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</si>
  <si>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</si>
  <si>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</si>
  <si>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</si>
  <si>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</si>
  <si>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</si>
  <si>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</si>
  <si>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</si>
  <si>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</si>
  <si>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</si>
  <si>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</si>
  <si>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</si>
  <si>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</si>
  <si>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</si>
  <si>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</si>
  <si>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</si>
  <si>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</si>
  <si>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</si>
  <si>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</si>
  <si>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</si>
  <si>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</si>
  <si>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</si>
  <si>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</si>
  <si>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</si>
  <si>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</si>
  <si>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</si>
  <si>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</si>
  <si>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</si>
  <si>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</si>
  <si>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</si>
  <si>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</si>
  <si>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</si>
  <si>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</si>
  <si>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</si>
  <si>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</si>
  <si>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</si>
  <si>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</si>
  <si>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</si>
  <si>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</si>
  <si>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</si>
  <si>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</si>
  <si>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</si>
  <si>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</si>
  <si>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</si>
  <si>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</si>
  <si>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</si>
  <si>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</si>
  <si>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</si>
  <si>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</si>
  <si>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</si>
  <si>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</si>
  <si>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</si>
  <si>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</si>
  <si>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</si>
  <si>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</si>
  <si>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</si>
  <si>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</si>
  <si>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</si>
  <si>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</si>
  <si>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</si>
  <si>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</si>
  <si>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</si>
  <si>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</si>
  <si>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</si>
  <si>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</si>
  <si>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</si>
  <si>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</si>
  <si>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</si>
  <si>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</si>
  <si>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</si>
  <si>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</si>
  <si>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</si>
  <si>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</si>
  <si>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</si>
  <si>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</si>
  <si>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</si>
  <si>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</si>
  <si>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</si>
  <si>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</si>
  <si>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</si>
  <si>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</si>
  <si>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</si>
  <si>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</si>
  <si>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</si>
  <si>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</si>
  <si>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</si>
  <si>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</si>
  <si>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</si>
  <si>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</si>
  <si>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</si>
  <si>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</si>
  <si>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</si>
  <si>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</si>
  <si>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</si>
  <si>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</si>
  <si>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</si>
  <si>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</si>
  <si>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</si>
  <si>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</si>
  <si>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</si>
  <si>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</si>
  <si>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</si>
  <si>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</si>
  <si>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</si>
  <si>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</si>
  <si>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</si>
  <si>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</si>
  <si>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</si>
  <si>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</si>
  <si>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</si>
  <si>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</si>
  <si>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</si>
  <si>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</si>
  <si>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</si>
  <si>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</si>
  <si>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</si>
  <si>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</si>
  <si>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</si>
  <si>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</si>
  <si>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</si>
  <si>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</si>
  <si>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</si>
  <si>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</si>
  <si>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</si>
  <si>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</si>
  <si>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</si>
  <si>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</si>
  <si>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</si>
  <si>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</si>
  <si>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</si>
  <si>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</si>
  <si>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</si>
  <si>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</si>
  <si>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</si>
  <si>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</si>
  <si>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</si>
  <si>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</si>
  <si>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</si>
  <si>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</si>
  <si>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</si>
  <si>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</si>
  <si>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</si>
  <si>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</si>
  <si>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</si>
  <si>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</si>
  <si>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</si>
  <si>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</si>
  <si>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</si>
  <si>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</si>
  <si>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</si>
  <si>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</si>
  <si>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</si>
  <si>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</si>
  <si>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</si>
  <si>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</si>
  <si>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</si>
  <si>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</si>
  <si>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</si>
  <si>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</si>
  <si>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</si>
  <si>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</si>
  <si>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</si>
  <si>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</si>
  <si>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</si>
  <si>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</si>
  <si>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</si>
  <si>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</si>
  <si>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</si>
  <si>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</si>
  <si>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</si>
  <si>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</si>
  <si>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</si>
  <si>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</si>
  <si>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</si>
  <si>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</si>
  <si>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</si>
  <si>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</si>
  <si>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</si>
  <si>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</si>
  <si>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</si>
  <si>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</si>
  <si>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</si>
  <si>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</si>
  <si>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</si>
  <si>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</si>
  <si>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</si>
  <si>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</si>
  <si>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</si>
  <si>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</si>
  <si>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</si>
  <si>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</si>
  <si>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</si>
  <si>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</si>
  <si>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</si>
  <si>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</si>
  <si>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</si>
  <si>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</si>
  <si>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</si>
  <si>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</si>
  <si>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</si>
  <si>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</si>
  <si>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</si>
  <si>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</si>
  <si>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</si>
  <si>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</si>
  <si>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</si>
  <si>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</si>
  <si>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</si>
  <si>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</si>
  <si>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</si>
  <si>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</si>
  <si>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</si>
  <si>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</si>
  <si>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</si>
  <si>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</si>
  <si>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</si>
  <si>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</si>
  <si>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</si>
  <si>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</si>
  <si>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</si>
  <si>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</si>
  <si>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</si>
  <si>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</si>
  <si>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</si>
  <si>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</si>
  <si>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</si>
  <si>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</si>
  <si>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</si>
  <si>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</si>
  <si>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</si>
  <si>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</si>
  <si>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</si>
  <si>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</si>
  <si>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</si>
  <si>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</si>
  <si>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</si>
  <si>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</si>
  <si>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</si>
  <si>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</si>
  <si>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</si>
  <si>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</si>
  <si>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</si>
  <si>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</si>
  <si>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</si>
  <si>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</si>
  <si>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</si>
  <si>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</si>
  <si>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</si>
  <si>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</si>
  <si>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</si>
  <si>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</si>
  <si>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</si>
  <si>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</si>
  <si>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</si>
  <si>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</si>
  <si>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</si>
  <si>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</si>
  <si>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</si>
  <si>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</si>
  <si>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</si>
  <si>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</si>
  <si>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</si>
  <si>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</si>
  <si>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</si>
  <si>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</si>
  <si>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</si>
  <si>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</si>
  <si>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</si>
  <si>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</si>
  <si>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</si>
  <si>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</si>
  <si>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</si>
  <si>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</si>
  <si>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</si>
  <si>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</si>
  <si>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</si>
  <si>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</si>
  <si>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</si>
  <si>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</si>
  <si>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</si>
  <si>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</si>
  <si>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</si>
  <si>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</si>
  <si>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</si>
  <si>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</si>
  <si>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</si>
  <si>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</si>
  <si>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</si>
  <si>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</si>
  <si>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</si>
  <si>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</si>
  <si>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</si>
  <si>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</si>
  <si>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</si>
  <si>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</si>
  <si>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</si>
  <si>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</si>
  <si>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</si>
  <si>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</si>
  <si>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</si>
  <si>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</si>
  <si>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</si>
  <si>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</si>
  <si>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</si>
  <si>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</si>
  <si>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</si>
  <si>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</si>
  <si>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</si>
  <si>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</si>
  <si>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</si>
  <si>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</si>
  <si>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</si>
  <si>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</si>
  <si>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</si>
  <si>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</si>
  <si>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</si>
  <si>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</si>
  <si>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</si>
  <si>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</si>
  <si>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</si>
  <si>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</si>
  <si>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</si>
  <si>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</si>
  <si>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</si>
  <si>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</si>
  <si>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</si>
  <si>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</si>
  <si>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</si>
  <si>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</si>
  <si>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</si>
  <si>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</si>
  <si>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</si>
  <si>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</si>
  <si>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</si>
  <si>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</si>
  <si>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</si>
  <si>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</si>
  <si>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</si>
  <si>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</si>
  <si>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</si>
  <si>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</si>
  <si>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</si>
  <si>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</si>
  <si>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</si>
  <si>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</si>
  <si>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</si>
  <si>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</si>
  <si>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</si>
  <si>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</si>
  <si>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</si>
  <si>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</si>
  <si>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</si>
  <si>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</si>
  <si>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</si>
  <si>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</si>
  <si>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</si>
  <si>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</si>
  <si>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</si>
  <si>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</si>
  <si>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</si>
  <si>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</si>
  <si>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</si>
  <si>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</si>
  <si>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</si>
  <si>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</si>
  <si>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</si>
  <si>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</si>
  <si>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</si>
  <si>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</si>
  <si>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</si>
  <si>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</si>
  <si>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</si>
  <si>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</si>
  <si>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</si>
  <si>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</si>
  <si>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</si>
  <si>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</si>
  <si>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</si>
  <si>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</si>
  <si>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</si>
  <si>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</si>
  <si>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</si>
  <si>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</si>
  <si>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</si>
  <si>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</si>
  <si>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</si>
  <si>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</si>
  <si>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</si>
  <si>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</si>
  <si>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</si>
  <si>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</si>
  <si>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</si>
  <si>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</si>
  <si>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</si>
  <si>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</si>
  <si>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</si>
  <si>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</si>
  <si>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</si>
  <si>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</si>
  <si>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</si>
  <si>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</si>
  <si>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</si>
  <si>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</si>
  <si>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</si>
  <si>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</si>
  <si>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</si>
  <si>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</si>
  <si>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</si>
  <si>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</si>
  <si>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</si>
  <si>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</si>
  <si>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</si>
  <si>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</si>
  <si>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</si>
  <si>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</si>
  <si>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</si>
  <si>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</si>
  <si>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</si>
  <si>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</si>
  <si>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</si>
  <si>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</si>
  <si>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</si>
  <si>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</si>
  <si>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</si>
  <si>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</si>
  <si>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</si>
  <si>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</si>
  <si>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</si>
  <si>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</si>
  <si>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</si>
  <si>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</si>
  <si>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</si>
  <si>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</si>
  <si>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</si>
  <si>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</si>
  <si>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</si>
  <si>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</si>
  <si>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</si>
  <si>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</si>
  <si>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</si>
  <si>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</si>
  <si>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</si>
  <si>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</si>
  <si>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</si>
  <si>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</si>
  <si>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</si>
  <si>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</si>
  <si>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</si>
  <si>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</si>
  <si>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</si>
  <si>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</si>
  <si>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</si>
  <si>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</si>
  <si>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</si>
  <si>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</si>
  <si>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</si>
  <si>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</si>
  <si>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</si>
  <si>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</si>
  <si>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</si>
  <si>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</si>
  <si>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</si>
  <si>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</si>
  <si>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</si>
  <si>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</si>
  <si>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</si>
  <si>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</si>
  <si>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</si>
  <si>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</si>
  <si>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</si>
  <si>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</si>
  <si>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</si>
  <si>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</si>
  <si>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</si>
  <si>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</si>
  <si>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</si>
  <si>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</si>
  <si>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</si>
  <si>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</si>
  <si>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</si>
  <si>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</si>
  <si>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</si>
  <si>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</si>
  <si>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</si>
  <si>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</si>
  <si>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</si>
  <si>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</si>
  <si>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</si>
  <si>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</si>
  <si>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</si>
  <si>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</si>
  <si>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</si>
  <si>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</si>
  <si>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</si>
  <si>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</si>
  <si>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</si>
  <si>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</si>
  <si>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</si>
  <si>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</si>
  <si>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</si>
  <si>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</si>
  <si>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</si>
  <si>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</si>
  <si>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</si>
  <si>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</si>
  <si>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</si>
  <si>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</si>
  <si>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</si>
  <si>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</si>
  <si>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</si>
  <si>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</si>
  <si>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</si>
  <si>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</si>
  <si>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</si>
  <si>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</si>
  <si>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</si>
  <si>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</si>
  <si>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</si>
  <si>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</si>
  <si>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</si>
  <si>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</si>
  <si>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</si>
  <si>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</si>
  <si>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</si>
  <si>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</si>
  <si>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</si>
  <si>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</si>
  <si>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</si>
  <si>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</si>
  <si>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</si>
  <si>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</si>
  <si>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</si>
  <si>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</si>
  <si>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</si>
  <si>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</si>
  <si>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</si>
  <si>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</si>
  <si>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</si>
  <si>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</si>
  <si>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</si>
  <si>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</si>
  <si>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</si>
  <si>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</si>
  <si>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</si>
  <si>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</si>
  <si>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</si>
  <si>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</si>
  <si>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</si>
  <si>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</si>
  <si>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</si>
  <si>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</si>
  <si>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</si>
  <si>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</si>
  <si>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</si>
  <si>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</si>
  <si>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</si>
  <si>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</si>
  <si>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</si>
  <si>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</si>
  <si>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</si>
  <si>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</si>
  <si>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</si>
  <si>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</si>
  <si>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</si>
  <si>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</si>
  <si>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</si>
  <si>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</si>
  <si>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</si>
  <si>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</si>
  <si>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</si>
  <si>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</si>
  <si>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</si>
  <si>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</si>
  <si>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</si>
  <si>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</si>
  <si>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</si>
  <si>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</si>
  <si>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</si>
  <si>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</si>
  <si>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</si>
  <si>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</si>
  <si>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</si>
  <si>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</si>
  <si>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</si>
  <si>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</si>
  <si>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</si>
  <si>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</si>
  <si>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</si>
  <si>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</si>
  <si>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</si>
  <si>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</si>
  <si>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</si>
  <si>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</si>
  <si>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</si>
  <si>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</si>
  <si>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</si>
  <si>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</si>
  <si>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</si>
  <si>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</si>
  <si>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</si>
  <si>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</si>
  <si>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</si>
  <si>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</si>
  <si>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</si>
  <si>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</si>
  <si>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</si>
  <si>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</si>
  <si>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</si>
  <si>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</si>
  <si>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</si>
  <si>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</si>
  <si>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</si>
  <si>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</si>
  <si>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</si>
  <si>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</si>
  <si>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</si>
  <si>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</si>
  <si>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</si>
  <si>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</si>
  <si>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</si>
  <si>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</si>
  <si>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</si>
  <si>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</si>
  <si>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</si>
  <si>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</si>
  <si>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</si>
  <si>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</si>
  <si>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</si>
  <si>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</si>
  <si>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</si>
  <si>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</si>
  <si>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</si>
  <si>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</si>
  <si>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</si>
  <si>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</si>
  <si>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</si>
  <si>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</si>
  <si>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</si>
  <si>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</si>
  <si>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</si>
  <si>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</si>
  <si>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</si>
  <si>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</si>
  <si>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</si>
  <si>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</si>
  <si>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</si>
  <si>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</si>
  <si>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</si>
  <si>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</si>
  <si>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</si>
  <si>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</si>
  <si>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</si>
  <si>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</si>
  <si>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</si>
  <si>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</si>
  <si>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</si>
  <si>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</si>
  <si>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</si>
  <si>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</si>
  <si>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</si>
  <si>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</si>
  <si>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</si>
  <si>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</si>
  <si>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</si>
  <si>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</si>
  <si>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</si>
  <si>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</si>
  <si>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</si>
  <si>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</si>
  <si>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</si>
  <si>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</si>
  <si>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</si>
  <si>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</si>
  <si>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</si>
  <si>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</si>
  <si>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</si>
  <si>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</si>
  <si>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</si>
  <si>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</si>
  <si>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</si>
  <si>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</si>
  <si>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</si>
  <si>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</si>
  <si>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</si>
  <si>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</si>
  <si>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</si>
  <si>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</si>
  <si>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</si>
  <si>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</si>
  <si>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</si>
  <si>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</si>
  <si>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</si>
  <si>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</si>
  <si>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</si>
  <si>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</si>
  <si>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</si>
  <si>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</si>
  <si>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</si>
  <si>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</si>
  <si>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</si>
  <si>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</si>
  <si>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</si>
  <si>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</si>
  <si>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</si>
  <si>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</si>
  <si>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</si>
  <si>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</si>
  <si>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</si>
  <si>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</si>
  <si>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</si>
  <si>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</si>
  <si>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</si>
  <si>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</si>
  <si>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</si>
  <si>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</si>
  <si>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</si>
  <si>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</si>
  <si>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</si>
  <si>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</si>
  <si>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</si>
  <si>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</si>
  <si>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</si>
  <si>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</si>
  <si>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</si>
  <si>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</si>
  <si>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</si>
  <si>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</si>
  <si>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</si>
  <si>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</si>
  <si>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</si>
  <si>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</si>
  <si>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</si>
  <si>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</si>
  <si>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</si>
  <si>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</si>
  <si>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</si>
  <si>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</si>
  <si>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</si>
  <si>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</si>
  <si>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</si>
  <si>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</si>
  <si>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</si>
  <si>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</si>
  <si>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</si>
  <si>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H     </t>
  </si>
  <si>
    <t xml:space="preserve">M2    </t>
  </si>
  <si>
    <t xml:space="preserve">M3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</si>
  <si>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</si>
  <si>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</si>
  <si>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</si>
  <si>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</si>
  <si>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</si>
  <si>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</si>
  <si>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</si>
  <si>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</si>
  <si>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</si>
  <si>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</si>
  <si>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</si>
  <si>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SC25KG</t>
  </si>
  <si>
    <t xml:space="preserve">310ML </t>
  </si>
  <si>
    <t>COMPOSIÇÃO DO BDI</t>
  </si>
  <si>
    <t>Fórmula do BDI</t>
  </si>
  <si>
    <t>BDI =</t>
  </si>
  <si>
    <t>(1 + AC + S + G + R) * (1 + DF) * (1 + L)</t>
  </si>
  <si>
    <t>(1 - I)</t>
  </si>
  <si>
    <t>Itens</t>
  </si>
  <si>
    <t>Adotado</t>
  </si>
  <si>
    <t>MÍN</t>
  </si>
  <si>
    <t>MÁX</t>
  </si>
  <si>
    <t>AC</t>
  </si>
  <si>
    <t>ADM CENTRAL</t>
  </si>
  <si>
    <t>S+G</t>
  </si>
  <si>
    <t>SEGURO E GARANTIA</t>
  </si>
  <si>
    <t>R</t>
  </si>
  <si>
    <t>RISCO</t>
  </si>
  <si>
    <t>DF</t>
  </si>
  <si>
    <t xml:space="preserve"> DESP. FINANCEIRAS</t>
  </si>
  <si>
    <t>LUCRO</t>
  </si>
  <si>
    <t>IMPOSTOS</t>
  </si>
  <si>
    <t>conf. Legislação</t>
  </si>
  <si>
    <t>PIS</t>
  </si>
  <si>
    <t>COFINS</t>
  </si>
  <si>
    <t>ISSQN (Alíquota x %Base de cálculo)</t>
  </si>
  <si>
    <t>Alíquota ISSQN:</t>
  </si>
  <si>
    <t>Base de cálculo ISSQN:</t>
  </si>
  <si>
    <t>valor total da obra</t>
  </si>
  <si>
    <t>BDI RESULTANTE</t>
  </si>
  <si>
    <t>DISTÂNCIAS MÉDIAS DE TRANSPORTE</t>
  </si>
  <si>
    <t>USINA 
CBUQ</t>
  </si>
  <si>
    <t>PEDREIRA / BRITADOR</t>
  </si>
  <si>
    <t>LOCAL 
BOTA-FORA</t>
  </si>
  <si>
    <t>Largura</t>
  </si>
  <si>
    <t>CRONOGRAMA FÍSICO FINANCEIRO</t>
  </si>
  <si>
    <t>Mês 01</t>
  </si>
  <si>
    <t>Mês 02</t>
  </si>
  <si>
    <t>Mês 03</t>
  </si>
  <si>
    <t>Mês 04</t>
  </si>
  <si>
    <t>Mês 05</t>
  </si>
  <si>
    <t>Mês 06</t>
  </si>
  <si>
    <t>TOTAL GERAL SIMPLES</t>
  </si>
  <si>
    <t>TOTAL GERAL ACUMULADO</t>
  </si>
  <si>
    <t>m²</t>
  </si>
  <si>
    <t>m³</t>
  </si>
  <si>
    <t>Jazida</t>
  </si>
  <si>
    <t>m</t>
  </si>
  <si>
    <t>und</t>
  </si>
  <si>
    <t>Área</t>
  </si>
  <si>
    <t>Área total</t>
  </si>
  <si>
    <t>Altura</t>
  </si>
  <si>
    <t/>
  </si>
  <si>
    <t>Preços c/ BDI (R$)</t>
  </si>
  <si>
    <t>Unitário</t>
  </si>
  <si>
    <t>RESUMO GERAL</t>
  </si>
  <si>
    <t>Total do Grupo</t>
  </si>
  <si>
    <t>PAVIMENTAÇÃO ASFÁLTICA</t>
  </si>
  <si>
    <t>MEIO-FIO E PASSEIOS</t>
  </si>
  <si>
    <t>CONTROLE TECNOLÓGICO</t>
  </si>
  <si>
    <t>Descrição do serviço</t>
  </si>
  <si>
    <t>Descrição da tabela</t>
  </si>
  <si>
    <t>Espalhamento de material em bota-fora</t>
  </si>
  <si>
    <t>Recomposição E = 30cm</t>
  </si>
  <si>
    <t>Recomposição E = 5cm</t>
  </si>
  <si>
    <t>BL IV</t>
  </si>
  <si>
    <t>Reforma e limpeza de boca de lobo em alvenaria</t>
  </si>
  <si>
    <t>Mudança de boca de lobo para caixa de ligação</t>
  </si>
  <si>
    <t>RBL</t>
  </si>
  <si>
    <t>Boca de lobo em alvenaria para tubo d= 40cm</t>
  </si>
  <si>
    <t>Boca de lobo em alvenaria para tubo d= 100cm</t>
  </si>
  <si>
    <t>Boca de lobo em alvenaria para tubo d= 60cm</t>
  </si>
  <si>
    <t>Boca de lobo em alvenaria para tubo d= 80cm</t>
  </si>
  <si>
    <t>Caixa de ligação em alvenaria para d= 80cm</t>
  </si>
  <si>
    <t>Caixa de ligação em alvenaria para d=100cm</t>
  </si>
  <si>
    <t>Poço de visita em alvenaria para d= 80cm</t>
  </si>
  <si>
    <t>Poço de visita em alvenaria para d=100cm</t>
  </si>
  <si>
    <t>TERRAPLENAGEM</t>
  </si>
  <si>
    <t>Grupo</t>
  </si>
  <si>
    <t>Filtro</t>
  </si>
  <si>
    <t>Camada de brita graduada</t>
  </si>
  <si>
    <t>Camada de CAUQ (exclusive CAP)</t>
  </si>
  <si>
    <t>OBRAS COMPLEMENTARES</t>
  </si>
  <si>
    <t>Remoção e relocação de postes</t>
  </si>
  <si>
    <t>Ensaio de controle tecnológico da mistura asfáltica - Ensaio Marshall</t>
  </si>
  <si>
    <t>Ensaio de controle tecnológico da mistura asfáltica - Grau de compactação</t>
  </si>
  <si>
    <t>Ensaio de controle tecnológico da mistura asfáltica - Teor de betume</t>
  </si>
  <si>
    <t>Escavação de vala em material de 3ª categoria</t>
  </si>
  <si>
    <t>SICRO</t>
  </si>
  <si>
    <t>un</t>
  </si>
  <si>
    <t>Confecção de placa em aço nº 16 galvanizado, com película retrorrefletiva tipo I + III</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</si>
  <si>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</si>
  <si>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</si>
  <si>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</si>
  <si>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</si>
  <si>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</si>
  <si>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</si>
  <si>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</si>
  <si>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</si>
  <si>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</si>
  <si>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</si>
  <si>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</si>
  <si>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</si>
  <si>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</si>
  <si>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</si>
  <si>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</si>
  <si>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</si>
  <si>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</si>
  <si>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</si>
  <si>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</si>
  <si>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CIRCULAR PRÉ-MOLDADA, VOLUME DE CONCRETO DE 10 A 30 LITROS, TAXA DE FIBRA DE POLIPROPILENO APROXIMADA DE 6 KG/M³. AF_01/2018_P</t>
  </si>
  <si>
    <t>PINTURA ANTICORROSIVA DE DUTO METÁLICO. AF_04/2018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</si>
  <si>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</si>
  <si>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</si>
  <si>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</si>
  <si>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</si>
  <si>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</si>
  <si>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</si>
  <si>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</si>
  <si>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</si>
  <si>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</si>
  <si>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</si>
  <si>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</si>
  <si>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</si>
  <si>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</si>
  <si>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</si>
  <si>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</si>
  <si>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</si>
  <si>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</si>
  <si>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</si>
  <si>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</si>
  <si>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</si>
  <si>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</si>
  <si>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</si>
  <si>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</si>
  <si>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</si>
  <si>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</si>
  <si>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</si>
  <si>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</si>
  <si>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</si>
  <si>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</si>
  <si>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</si>
  <si>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</si>
  <si>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</si>
  <si>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t</t>
  </si>
  <si>
    <t>COMP 21</t>
  </si>
  <si>
    <t>COMP 22</t>
  </si>
  <si>
    <t>Custo (R$)</t>
  </si>
  <si>
    <t>Alvenaria de tijolos maciços</t>
  </si>
  <si>
    <t>COMP 23</t>
  </si>
  <si>
    <t>COMP 24</t>
  </si>
  <si>
    <t>Concreto FCK 20MPa</t>
  </si>
  <si>
    <t>Forma comum de madeira</t>
  </si>
  <si>
    <t>Armadura de aço CA50/60</t>
  </si>
  <si>
    <t>Reboco com argamassa de cimento e areia</t>
  </si>
  <si>
    <t>Argamassa de cimento e areia para assentamento da grade</t>
  </si>
  <si>
    <t>BOCA DE LOBO</t>
  </si>
  <si>
    <t>CAIXA DE LIGAÇÃO</t>
  </si>
  <si>
    <t>POÇO DE VISITA</t>
  </si>
  <si>
    <t>POÇO DE QUEDA</t>
  </si>
  <si>
    <t>Ø40cm</t>
  </si>
  <si>
    <t>Ø60cm</t>
  </si>
  <si>
    <t>Ø80cm</t>
  </si>
  <si>
    <t>Ø100cm</t>
  </si>
  <si>
    <t>Ø120cm</t>
  </si>
  <si>
    <t>kg</t>
  </si>
  <si>
    <t>Grade BL 65x85cm</t>
  </si>
  <si>
    <t>Grade BL 85x85cm</t>
  </si>
  <si>
    <t>Tampão de PV</t>
  </si>
  <si>
    <t>BASE</t>
  </si>
  <si>
    <t>LARGURA</t>
  </si>
  <si>
    <t>BASE2</t>
  </si>
  <si>
    <t>LARGURA2</t>
  </si>
  <si>
    <t>h2</t>
  </si>
  <si>
    <t>altura laje fundo</t>
  </si>
  <si>
    <t>altura laje intermediária</t>
  </si>
  <si>
    <t>altura laje topo</t>
  </si>
  <si>
    <t>espessura da parede</t>
  </si>
  <si>
    <t>espessura do reboco</t>
  </si>
  <si>
    <t>espessura do assentamento</t>
  </si>
  <si>
    <t>q</t>
  </si>
  <si>
    <t>e</t>
  </si>
  <si>
    <t>desc</t>
  </si>
  <si>
    <t>ef</t>
  </si>
  <si>
    <t>kg/m</t>
  </si>
  <si>
    <t>00000559</t>
  </si>
  <si>
    <t>cantoneira 2 x 1/4"</t>
  </si>
  <si>
    <t>00004777</t>
  </si>
  <si>
    <t>Soldador</t>
  </si>
  <si>
    <t>Servente</t>
  </si>
  <si>
    <t>Eletrodo revestido  - diâmetro igual a 4mm</t>
  </si>
  <si>
    <t>Cantoneira de aço 2" x 1/4" - 5,06Kg/m</t>
  </si>
  <si>
    <t>Serra circular de bancada - CHP diurno</t>
  </si>
  <si>
    <t>Serra circular de bancada - CHI diurno</t>
  </si>
  <si>
    <t>Aparelho para corte e solda - CHP diurno</t>
  </si>
  <si>
    <t>Aparelho para corte e solda - CHI diurno</t>
  </si>
  <si>
    <t>SINAPI-C</t>
  </si>
  <si>
    <t>SINAPI-I</t>
  </si>
  <si>
    <t>Tampão articulado de ferro fundido D= 60cm</t>
  </si>
  <si>
    <t>Argamassa de cimento e areia para assentamento do tampão</t>
  </si>
  <si>
    <t>Pedreiro</t>
  </si>
  <si>
    <t>Pedra de mão para pedra argamassada</t>
  </si>
  <si>
    <t>Argamassa de cimento e areia para pedra argamassada</t>
  </si>
  <si>
    <t>Fornecimento de CAP 50/70</t>
  </si>
  <si>
    <t>descontar</t>
  </si>
  <si>
    <t>Lastro de brita 1 compactado</t>
  </si>
  <si>
    <t>COMP 25</t>
  </si>
  <si>
    <t>Caminhão guindaste - CHP Diurno</t>
  </si>
  <si>
    <t>Caminhão guindaste - CHI Diurno</t>
  </si>
  <si>
    <t>Concreto não estrutural preparado em betoneira</t>
  </si>
  <si>
    <t>Lançamento manual de concreto</t>
  </si>
  <si>
    <t xml:space="preserve">Parafuso zincado com fenda 1 1/2" x 3/16"  </t>
  </si>
  <si>
    <t xml:space="preserve">Parafuso zincado francês 4" x 5/16"  </t>
  </si>
  <si>
    <t>Remoção de cerca com mourões de concreto</t>
  </si>
  <si>
    <t>SINALIZAÇÃO</t>
  </si>
  <si>
    <t>DAER/RS</t>
  </si>
  <si>
    <t>7.1</t>
  </si>
  <si>
    <t>LOCAL</t>
  </si>
  <si>
    <t>Média</t>
  </si>
  <si>
    <t>Total Previsto (R$)</t>
  </si>
  <si>
    <t>Percentual
(%)</t>
  </si>
  <si>
    <t>Placa</t>
  </si>
  <si>
    <t>Linha</t>
  </si>
  <si>
    <t>Km Inicial</t>
  </si>
  <si>
    <t>Km Final</t>
  </si>
  <si>
    <t>Extensão final</t>
  </si>
  <si>
    <t>Largura da Pista</t>
  </si>
  <si>
    <t>Pista</t>
  </si>
  <si>
    <t>Pista Pavimentada</t>
  </si>
  <si>
    <t>Check</t>
  </si>
  <si>
    <t>BL=&gt;CL</t>
  </si>
  <si>
    <t>MATERIAL ASFÁLTICO</t>
  </si>
  <si>
    <t>m³xKm</t>
  </si>
  <si>
    <t>txKm</t>
  </si>
  <si>
    <t>Os serviços da terraplenagem são obtidos conforme os cálculos a seguir.</t>
  </si>
  <si>
    <t>Placas</t>
  </si>
  <si>
    <t>Área de trabalho obtida das plantas</t>
  </si>
  <si>
    <t>Via implantada</t>
  </si>
  <si>
    <t>A área de limpeza do terreno foi obtida considerando se a área total de trabalho (inclusive off-set's) diretamente em planta e descontando a área onde a via já se encontra implantada (extensão e largura), sendo relativa a retirada da camada orgânica.</t>
  </si>
  <si>
    <t>Área de Limpeza do terreno</t>
  </si>
  <si>
    <t>Largura implantada</t>
  </si>
  <si>
    <t>Área implantada</t>
  </si>
  <si>
    <t>Volumes obrigatórios</t>
  </si>
  <si>
    <t>Corte</t>
  </si>
  <si>
    <t>Aterro</t>
  </si>
  <si>
    <t>Necessário Aterro</t>
  </si>
  <si>
    <t>Empolamento</t>
  </si>
  <si>
    <t>Destino</t>
  </si>
  <si>
    <t>Km</t>
  </si>
  <si>
    <t>Transporte local - DMT</t>
  </si>
  <si>
    <t>Escavação Local</t>
  </si>
  <si>
    <t>As quantidades de escavação em jazida são determinadas pelo material que falta para o aterro.</t>
  </si>
  <si>
    <t>Escavação bota-fora</t>
  </si>
  <si>
    <t>As quantidades de escavação para bota fora são determinadas pelo material que sobra e pela material removido na limpeza. O volume de aterro em bota-fora é o material que sobra da escavação mais o material removido.</t>
  </si>
  <si>
    <t>Espessura</t>
  </si>
  <si>
    <t>Remoção da limpeza</t>
  </si>
  <si>
    <t>Volume Bota-fora</t>
  </si>
  <si>
    <t>Falta para aterro</t>
  </si>
  <si>
    <t>Sobra da escavação</t>
  </si>
  <si>
    <t>Origem</t>
  </si>
  <si>
    <t>Transporte Jazida - DMT</t>
  </si>
  <si>
    <t>Transporte Jazida - Momento</t>
  </si>
  <si>
    <t>Escavação em jazida</t>
  </si>
  <si>
    <t>Os serviços da pavimentação asfáltica são obtidos conforme os cálculos a seguir.</t>
  </si>
  <si>
    <t>Extensão de pista</t>
  </si>
  <si>
    <t>Sobre largura sub-base</t>
  </si>
  <si>
    <t>Área adicional</t>
  </si>
  <si>
    <t>Área de regularização</t>
  </si>
  <si>
    <t>O volume da camada é dada pela multiplicação da área pavimentada pela espessura da camada, devendo ser adicionada o volume relativo a sobre largura para apoio da camada superioradicionando a área de acessos.</t>
  </si>
  <si>
    <t>Volume de pista</t>
  </si>
  <si>
    <t>Espessura da camada</t>
  </si>
  <si>
    <t>Volume de apoio</t>
  </si>
  <si>
    <t>Sobre largura base</t>
  </si>
  <si>
    <t>Sobre largura média</t>
  </si>
  <si>
    <t>Volume da camada</t>
  </si>
  <si>
    <t>Transporte da camada</t>
  </si>
  <si>
    <t>Transporte - DMT</t>
  </si>
  <si>
    <t>Transporte - Momento</t>
  </si>
  <si>
    <t>Sobre largura meio-fio</t>
  </si>
  <si>
    <t>O momento de transporte da camada é dado pela multiplicação da DMT pelo volume da camada e pelo consumo unitário dos materiais.</t>
  </si>
  <si>
    <t>Volume unitário</t>
  </si>
  <si>
    <t>m³/m³</t>
  </si>
  <si>
    <t>A quantidade de CAUQ é dada pela multiplicação da área de pintura de ligação pela espessura da camada, devendo ainda ser multiplicada pela densidade da massa asfáltica.</t>
  </si>
  <si>
    <t>A quantidade de CAP é dada pela multiplicaão da qantidade de CAUQ pelo teor de batume previsto.</t>
  </si>
  <si>
    <t>O transporte do cimento asfáltico é dado pela multiplicação da quantidade de CAP pela DMT de obtenção do material.</t>
  </si>
  <si>
    <t>O transporte da massa asfáltica é dado pela multiplicação da quantidade de CBUQ pela DMT de obtenção do material.</t>
  </si>
  <si>
    <t>t/m³</t>
  </si>
  <si>
    <t>Densidade CAUQ</t>
  </si>
  <si>
    <t>CAP</t>
  </si>
  <si>
    <t>Teor de ligante</t>
  </si>
  <si>
    <t>Os serviços dos passeios e meio-fio são obtidos conforme os cálculos a seguir.</t>
  </si>
  <si>
    <t>desenho</t>
  </si>
  <si>
    <t>dados</t>
  </si>
  <si>
    <t>drenagem</t>
  </si>
  <si>
    <t>dimensionamento</t>
  </si>
  <si>
    <t>Para obtenção do volume de jazida multiplicamos o volume de aterro pelo empolamento e somamos.</t>
  </si>
  <si>
    <t>O transporte de material de jazida é dado pela multiplicação do volume de jazida e da DMT.</t>
  </si>
  <si>
    <t>Transporte de jazida</t>
  </si>
  <si>
    <t>COMP 26</t>
  </si>
  <si>
    <t>COMP 27</t>
  </si>
  <si>
    <t>Areia</t>
  </si>
  <si>
    <t>Ajudante</t>
  </si>
  <si>
    <t>Argamassa de cimento e areia 1:4</t>
  </si>
  <si>
    <t>Máquina extrusora para meio-fio - CHP Diurno</t>
  </si>
  <si>
    <t>Máquina extrusora para meio-fio - CHI Diurno</t>
  </si>
  <si>
    <t>Largura da faixa</t>
  </si>
  <si>
    <t>A área de plantio de grama deve ser obtida diretamente do desenho.</t>
  </si>
  <si>
    <t>Os serviços de sinalização são obtidos conforme os cálculos a seguir.</t>
  </si>
  <si>
    <t>Faixas amarelas</t>
  </si>
  <si>
    <t>Faixas brancas</t>
  </si>
  <si>
    <t>Total de faixas brancas</t>
  </si>
  <si>
    <t>A área de pintura de faixas brancas é dada pela multiplicação da extensão obtida do desenho pela largura da faixa presente no detalhe somada a área da faixa de limitação do estacionamento, acrescentando ainda a área de zebrados obtida do desenho.</t>
  </si>
  <si>
    <t>Total de faixas amarelas</t>
  </si>
  <si>
    <t>As placas de sinalização devem ser contadas diretamente do desenho.</t>
  </si>
  <si>
    <t>Os serviços das obras complementares são obtidos conforme os cálculos a seguir.</t>
  </si>
  <si>
    <t>A quantidade de postes a relocar deve ser obtida diretamente do desenho.</t>
  </si>
  <si>
    <t>A quantidade de cercas a remover e cercas a relocar deve ser obtida diretamente do desenho.</t>
  </si>
  <si>
    <t>Postes a relocar</t>
  </si>
  <si>
    <t>Remoção de cercas</t>
  </si>
  <si>
    <t>Relocação de cercas</t>
  </si>
  <si>
    <t>Os serviços do controle tenológico são obtidos conforme os cálculos a seguir.</t>
  </si>
  <si>
    <t>teor de batume a cada 700m²</t>
  </si>
  <si>
    <t>Área pavimentada</t>
  </si>
  <si>
    <t>Frequência de ensaios</t>
  </si>
  <si>
    <t>Quantidade de ensaios</t>
  </si>
  <si>
    <t>Ensaio Marshall</t>
  </si>
  <si>
    <t>A quantidade de ensaios é obtida de acordo com a especificação de serviço pertinente, no caso DNIT ES 031/2006, em seu item 7.2  Controle da produção, sendo execuatdos através da extração dos corpos de prova.</t>
  </si>
  <si>
    <t>Grau de compactação</t>
  </si>
  <si>
    <t>Teor de betume</t>
  </si>
  <si>
    <t>QUADRO RESUMO</t>
  </si>
  <si>
    <t>TOTAL GERAL</t>
  </si>
  <si>
    <t>R$</t>
  </si>
  <si>
    <t>Custo / m²</t>
  </si>
  <si>
    <t>R$ / m²</t>
  </si>
  <si>
    <t>Custo / m</t>
  </si>
  <si>
    <t>R$ / m</t>
  </si>
  <si>
    <t>Pavimento</t>
  </si>
  <si>
    <t>Extravação do corpo de prova</t>
  </si>
  <si>
    <t>COT 01</t>
  </si>
  <si>
    <t>COT 02</t>
  </si>
  <si>
    <t>Vibroacabadora CHP</t>
  </si>
  <si>
    <t>Vibroacabadora CHI</t>
  </si>
  <si>
    <t>Rasteleiro</t>
  </si>
  <si>
    <t>Rolo liso CHP</t>
  </si>
  <si>
    <t>Basculante CHP</t>
  </si>
  <si>
    <t>Rolo liso CHI</t>
  </si>
  <si>
    <t>Trator de pneus CHI</t>
  </si>
  <si>
    <t>Trator de pneus CHP</t>
  </si>
  <si>
    <t>Rolo de pneus CHP</t>
  </si>
  <si>
    <t>Rolo de pneus CHI</t>
  </si>
  <si>
    <t>Usinagem de CAUQ</t>
  </si>
  <si>
    <t>COT 03</t>
  </si>
  <si>
    <t>Meio-fio de concreto 11x7x30x100cm</t>
  </si>
  <si>
    <t>COMP 28</t>
  </si>
  <si>
    <t>Situação atual</t>
  </si>
  <si>
    <t>Área de limpeza</t>
  </si>
  <si>
    <t>A área da pintura de ligação é dada pela área pavimentada que é a área de limpeza.</t>
  </si>
  <si>
    <t>Área de pintura de ligação</t>
  </si>
  <si>
    <t>Pintura de ligação</t>
  </si>
  <si>
    <t>Espessura média da camada</t>
  </si>
  <si>
    <t>Descida d'água</t>
  </si>
  <si>
    <t>DAD05</t>
  </si>
  <si>
    <t>Drenos</t>
  </si>
  <si>
    <t>Dreno tipo 50x80cm</t>
  </si>
  <si>
    <t>Volume total</t>
  </si>
  <si>
    <t>Escavação</t>
  </si>
  <si>
    <t>Em rocha</t>
  </si>
  <si>
    <t>Em solo</t>
  </si>
  <si>
    <t>Percentual</t>
  </si>
  <si>
    <t>A quantidade de sarjeta deve ser obtida das plantas.</t>
  </si>
  <si>
    <t>A quantidade de bueiros a ser removida deve ser obtida diretamente do desenho.</t>
  </si>
  <si>
    <t>Remoção de bueiros</t>
  </si>
  <si>
    <t>COMP 29</t>
  </si>
  <si>
    <t>Escavação em solo</t>
  </si>
  <si>
    <t>Escavação  em rocha</t>
  </si>
  <si>
    <t>A área de regularização é a área a ser pavimentada, acrescida da sobre-largura para apoio da sub-base, adicionando a área de acostamento obtida do desenho.</t>
  </si>
  <si>
    <t>Dissipador de energia para d= 40cm</t>
  </si>
  <si>
    <t>Dissipador de energia para d= 60cm</t>
  </si>
  <si>
    <t>Dissipador de energia para d= 80cm</t>
  </si>
  <si>
    <t>Dissipador de energia para d= 100cm</t>
  </si>
  <si>
    <t>COMP 30</t>
  </si>
  <si>
    <t>Pigmento para concreto - consumo de 2% sobre o cimento</t>
  </si>
  <si>
    <t>COMP 31</t>
  </si>
  <si>
    <t>COMP 32</t>
  </si>
  <si>
    <t>Extensão pista continua</t>
  </si>
  <si>
    <t>Extensão pista segmentada</t>
  </si>
  <si>
    <t>Extensão ciclovia</t>
  </si>
  <si>
    <t>Quantidade pista</t>
  </si>
  <si>
    <t>Quantidade ciclovia</t>
  </si>
  <si>
    <t>A área de pintura de faixas amarelas é dada pela multiplicação da extensão obtida do desenho (pista e ciclovia) pela largura da faixa presente no detalhe e pela quantidade, também presente no detalhe, acrescentando ainda a área de zebrados obtida do desenho.</t>
  </si>
  <si>
    <t>Área de zebrados e sinais</t>
  </si>
  <si>
    <t>pare</t>
  </si>
  <si>
    <t>zebrado</t>
  </si>
  <si>
    <t>COMP 33</t>
  </si>
  <si>
    <t>A área das travessias de pedestres deve ser obtida do desenho.</t>
  </si>
  <si>
    <t>Tachão</t>
  </si>
  <si>
    <t>Cadência</t>
  </si>
  <si>
    <t>Os serviços das obras de contenção são obtidos conforme os cálculos a seguir.</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</si>
  <si>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</si>
  <si>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</si>
  <si>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</si>
  <si>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</si>
  <si>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</si>
  <si>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</si>
  <si>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</si>
  <si>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</si>
  <si>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</si>
  <si>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</si>
  <si>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</si>
  <si>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</si>
  <si>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</si>
  <si>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</si>
  <si>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</si>
  <si>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</si>
  <si>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</si>
  <si>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</si>
  <si>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</si>
  <si>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</si>
  <si>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</si>
  <si>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</si>
  <si>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</si>
  <si>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</si>
  <si>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</si>
  <si>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</si>
  <si>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</si>
  <si>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</si>
  <si>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</si>
  <si>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</si>
  <si>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</si>
  <si>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</si>
  <si>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</si>
  <si>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</si>
  <si>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</si>
  <si>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</si>
  <si>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</si>
  <si>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</si>
  <si>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</si>
  <si>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</si>
  <si>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</si>
  <si>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</si>
  <si>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</si>
  <si>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</si>
  <si>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</si>
  <si>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</si>
  <si>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</si>
  <si>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</si>
  <si>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</si>
  <si>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</si>
  <si>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</si>
  <si>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</si>
  <si>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</si>
  <si>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</si>
  <si>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</si>
  <si>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</si>
  <si>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</si>
  <si>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</si>
  <si>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</si>
  <si>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</si>
  <si>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</si>
  <si>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</si>
  <si>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</si>
  <si>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</si>
  <si>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</si>
  <si>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</si>
  <si>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</si>
  <si>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</si>
  <si>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</si>
  <si>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</si>
  <si>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</si>
  <si>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</si>
  <si>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</si>
  <si>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</si>
  <si>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</si>
  <si>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</si>
  <si>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</si>
  <si>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</si>
  <si>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</si>
  <si>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</si>
  <si>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</si>
  <si>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</si>
  <si>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</si>
  <si>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</si>
  <si>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</si>
  <si>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</si>
  <si>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</si>
  <si>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</si>
  <si>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</si>
  <si>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</si>
  <si>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Barreira de siltagem</t>
  </si>
  <si>
    <t>COMP 34</t>
  </si>
  <si>
    <t>Árvores d &gt; 20cm</t>
  </si>
  <si>
    <t>A extensão de barreiras de siltagem deve ser obtida diretamente do desenho.</t>
  </si>
  <si>
    <t>Hidrossemeadura</t>
  </si>
  <si>
    <t>Caminhão carroceria de madeira 15t - custo produtivo</t>
  </si>
  <si>
    <t>Caminhão carroceria de madeira 15t - custo improdutivo</t>
  </si>
  <si>
    <t>Arame recozido 18 BWG</t>
  </si>
  <si>
    <t>Geotextil não tecido agulhado RT-14</t>
  </si>
  <si>
    <t>Pontaletes d=20cm (tronco para escoras)</t>
  </si>
  <si>
    <t>Gastalho 10x2,5cm</t>
  </si>
  <si>
    <t>A área de hidrossemeadura de jazida é obtida pela divisão do volume de jazida pela espessura da camada de material retirado.</t>
  </si>
  <si>
    <t>A área de hidrossemeadura de bota-fora é obtida pela divisão do volume de bota-fora pela espessura da camada de material depositado.</t>
  </si>
  <si>
    <t>Talude</t>
  </si>
  <si>
    <t>Horizontal</t>
  </si>
  <si>
    <t>Vertical</t>
  </si>
  <si>
    <t>Inclinado</t>
  </si>
  <si>
    <t>Área de talude</t>
  </si>
  <si>
    <t>DIMENSIONAMENTO DO PAVIMENTO</t>
  </si>
  <si>
    <t>veículos comerciais</t>
  </si>
  <si>
    <t>1 veículos a cada __min</t>
  </si>
  <si>
    <t>veículos por hora</t>
  </si>
  <si>
    <t>horas por dia</t>
  </si>
  <si>
    <t>veículos por dia</t>
  </si>
  <si>
    <t>Para o dimensionamento do pavimento flexível deverão ser utilizados no mínimo dois métodos:</t>
  </si>
  <si>
    <t>Local residencial</t>
  </si>
  <si>
    <t>LEVE</t>
  </si>
  <si>
    <t>Método do DNER 1966/1981 do Eng. Murilo Lopes de Souza</t>
  </si>
  <si>
    <t>Coletora secundária</t>
  </si>
  <si>
    <t>MÉDIO</t>
  </si>
  <si>
    <t>Método da Resiliência do Eng. Ernesto S. Preussler.</t>
  </si>
  <si>
    <t>Coletora principal</t>
  </si>
  <si>
    <t>MEIO PESADO</t>
  </si>
  <si>
    <t>O dimensionamento adotado deverá atender essas duas metodologias.</t>
  </si>
  <si>
    <t>Arterial</t>
  </si>
  <si>
    <t>PESADO</t>
  </si>
  <si>
    <t>O projeto deverá identificar claramente as deflexões admissíveis, por camada, para fins de acompanhamento e aceitação dos serviços de pavimentação</t>
  </si>
  <si>
    <t>Arterial principal</t>
  </si>
  <si>
    <t>MUITO PESADO</t>
  </si>
  <si>
    <t>07hs as 19hs</t>
  </si>
  <si>
    <t>Amostra</t>
  </si>
  <si>
    <t>ISC (%)</t>
  </si>
  <si>
    <t>Veículos  comerciais por dia:</t>
  </si>
  <si>
    <t>a</t>
  </si>
  <si>
    <t>Via:</t>
  </si>
  <si>
    <t>Tráfego:</t>
  </si>
  <si>
    <t>N</t>
  </si>
  <si>
    <t>ISC</t>
  </si>
  <si>
    <t>Desvio padrão</t>
  </si>
  <si>
    <t>Amostras</t>
  </si>
  <si>
    <t>CBR médio</t>
  </si>
  <si>
    <t>Nº de amostras</t>
  </si>
  <si>
    <r>
      <t>H</t>
    </r>
    <r>
      <rPr>
        <vertAlign val="subscript"/>
        <sz val="11"/>
        <color indexed="8"/>
        <rFont val="Calibri"/>
        <family val="2"/>
      </rPr>
      <t>total</t>
    </r>
  </si>
  <si>
    <t>cm</t>
  </si>
  <si>
    <t>Arredondando =&gt;</t>
  </si>
  <si>
    <r>
      <t xml:space="preserve">CBR </t>
    </r>
    <r>
      <rPr>
        <vertAlign val="subscript"/>
        <sz val="11"/>
        <color indexed="8"/>
        <rFont val="Calibri"/>
        <family val="2"/>
      </rPr>
      <t>sub-base</t>
    </r>
  </si>
  <si>
    <r>
      <t>H</t>
    </r>
    <r>
      <rPr>
        <vertAlign val="subscript"/>
        <sz val="11"/>
        <color indexed="8"/>
        <rFont val="Calibri"/>
        <family val="2"/>
      </rPr>
      <t>20</t>
    </r>
  </si>
  <si>
    <r>
      <t>R. K</t>
    </r>
    <r>
      <rPr>
        <vertAlign val="subscript"/>
        <sz val="11"/>
        <color indexed="8"/>
        <rFont val="Calibri"/>
        <family val="2"/>
      </rPr>
      <t>r</t>
    </r>
    <r>
      <rPr>
        <sz val="11"/>
        <color theme="1"/>
        <rFont val="Calibri"/>
        <family val="2"/>
        <scheme val="minor"/>
      </rPr>
      <t xml:space="preserve"> + B.K</t>
    </r>
    <r>
      <rPr>
        <vertAlign val="subscript"/>
        <sz val="11"/>
        <color indexed="8"/>
        <rFont val="Calibri"/>
        <family val="2"/>
      </rPr>
      <t>b</t>
    </r>
    <r>
      <rPr>
        <sz val="11"/>
        <color theme="1"/>
        <rFont val="Calibri"/>
        <family val="2"/>
        <scheme val="minor"/>
      </rPr>
      <t xml:space="preserve"> &gt; H</t>
    </r>
    <r>
      <rPr>
        <vertAlign val="subscript"/>
        <sz val="11"/>
        <color indexed="8"/>
        <rFont val="Calibri"/>
        <family val="2"/>
      </rPr>
      <t>20</t>
    </r>
  </si>
  <si>
    <r>
      <t>R. K</t>
    </r>
    <r>
      <rPr>
        <vertAlign val="subscript"/>
        <sz val="11"/>
        <color indexed="8"/>
        <rFont val="Calibri"/>
        <family val="2"/>
      </rPr>
      <t>r</t>
    </r>
    <r>
      <rPr>
        <sz val="11"/>
        <color theme="1"/>
        <rFont val="Calibri"/>
        <family val="2"/>
        <scheme val="minor"/>
      </rPr>
      <t xml:space="preserve"> + B.K</t>
    </r>
    <r>
      <rPr>
        <vertAlign val="subscript"/>
        <sz val="11"/>
        <color indexed="8"/>
        <rFont val="Calibri"/>
        <family val="2"/>
      </rPr>
      <t xml:space="preserve">b </t>
    </r>
    <r>
      <rPr>
        <sz val="11"/>
        <color theme="1"/>
        <rFont val="Calibri"/>
        <family val="2"/>
        <scheme val="minor"/>
      </rPr>
      <t>+h</t>
    </r>
    <r>
      <rPr>
        <vertAlign val="subscript"/>
        <sz val="11"/>
        <color indexed="8"/>
        <rFont val="Calibri"/>
        <family val="2"/>
      </rPr>
      <t>20</t>
    </r>
    <r>
      <rPr>
        <sz val="11"/>
        <color theme="1"/>
        <rFont val="Calibri"/>
        <family val="2"/>
        <scheme val="minor"/>
      </rPr>
      <t>.K</t>
    </r>
    <r>
      <rPr>
        <vertAlign val="subscript"/>
        <sz val="11"/>
        <color indexed="8"/>
        <rFont val="Calibri"/>
        <family val="2"/>
      </rPr>
      <t>n</t>
    </r>
    <r>
      <rPr>
        <sz val="11"/>
        <color theme="1"/>
        <rFont val="Calibri"/>
        <family val="2"/>
        <scheme val="minor"/>
      </rPr>
      <t xml:space="preserve"> &gt; H</t>
    </r>
    <r>
      <rPr>
        <vertAlign val="subscript"/>
        <sz val="11"/>
        <color indexed="8"/>
        <rFont val="Calibri"/>
        <family val="2"/>
      </rPr>
      <t>total</t>
    </r>
  </si>
  <si>
    <r>
      <t>K</t>
    </r>
    <r>
      <rPr>
        <vertAlign val="subscript"/>
        <sz val="11"/>
        <color indexed="8"/>
        <rFont val="Calibri"/>
        <family val="2"/>
      </rPr>
      <t>r</t>
    </r>
  </si>
  <si>
    <r>
      <t>K</t>
    </r>
    <r>
      <rPr>
        <vertAlign val="subscript"/>
        <sz val="11"/>
        <color indexed="8"/>
        <rFont val="Calibri"/>
        <family val="2"/>
      </rPr>
      <t>b</t>
    </r>
    <r>
      <rPr>
        <sz val="11"/>
        <color theme="1"/>
        <rFont val="Calibri"/>
        <family val="2"/>
        <scheme val="minor"/>
      </rPr>
      <t/>
    </r>
  </si>
  <si>
    <t>B</t>
  </si>
  <si>
    <r>
      <t>K</t>
    </r>
    <r>
      <rPr>
        <vertAlign val="subscript"/>
        <sz val="11"/>
        <color indexed="8"/>
        <rFont val="Calibri"/>
        <family val="2"/>
      </rPr>
      <t>n</t>
    </r>
    <r>
      <rPr>
        <sz val="11"/>
        <color theme="1"/>
        <rFont val="Calibri"/>
        <family val="2"/>
        <scheme val="minor"/>
      </rPr>
      <t/>
    </r>
  </si>
  <si>
    <r>
      <t>h</t>
    </r>
    <r>
      <rPr>
        <vertAlign val="subscript"/>
        <sz val="11"/>
        <color indexed="8"/>
        <rFont val="Calibri"/>
        <family val="2"/>
      </rPr>
      <t>20</t>
    </r>
    <r>
      <rPr>
        <sz val="11"/>
        <color theme="1"/>
        <rFont val="Calibri"/>
        <family val="2"/>
        <scheme val="minor"/>
      </rPr>
      <t/>
    </r>
  </si>
  <si>
    <t>Estrutura do pavimento</t>
  </si>
  <si>
    <t>Camada</t>
  </si>
  <si>
    <t>Material</t>
  </si>
  <si>
    <t>Espessura (cm)</t>
  </si>
  <si>
    <t>Revestimento</t>
  </si>
  <si>
    <t>Base</t>
  </si>
  <si>
    <t>Brita Graduada</t>
  </si>
  <si>
    <t>Sub-base</t>
  </si>
  <si>
    <t>Macadame Seco</t>
  </si>
  <si>
    <t>Sub-leito</t>
  </si>
  <si>
    <t>Solo local</t>
  </si>
  <si>
    <t>DEFLEXÕES ADMISSÍVEIS CONFORME DNER PRO 11/79</t>
  </si>
  <si>
    <t>Deflexão admissível no revestimento:</t>
  </si>
  <si>
    <t>Dr:</t>
  </si>
  <si>
    <r>
      <t>x10</t>
    </r>
    <r>
      <rPr>
        <vertAlign val="superscript"/>
        <sz val="11"/>
        <color indexed="8"/>
        <rFont val="Calibri"/>
        <family val="2"/>
      </rPr>
      <t>-2</t>
    </r>
    <r>
      <rPr>
        <sz val="11"/>
        <color theme="1"/>
        <rFont val="Calibri"/>
        <family val="2"/>
        <scheme val="minor"/>
      </rPr>
      <t>mm</t>
    </r>
  </si>
  <si>
    <t>=&gt;</t>
  </si>
  <si>
    <t>Coeficiente</t>
  </si>
  <si>
    <t>Altura equivalente acima da base:</t>
  </si>
  <si>
    <r>
      <t>h</t>
    </r>
    <r>
      <rPr>
        <vertAlign val="subscript"/>
        <sz val="11"/>
        <color indexed="8"/>
        <rFont val="Calibri"/>
        <family val="2"/>
      </rPr>
      <t>er</t>
    </r>
    <r>
      <rPr>
        <sz val="11"/>
        <color theme="1"/>
        <rFont val="Calibri"/>
        <family val="2"/>
        <scheme val="minor"/>
      </rPr>
      <t>:</t>
    </r>
  </si>
  <si>
    <t>(Revestimento considerado como CBUQ)</t>
  </si>
  <si>
    <t>Altura equivalente acima da sub-base:</t>
  </si>
  <si>
    <r>
      <t>h</t>
    </r>
    <r>
      <rPr>
        <vertAlign val="subscript"/>
        <sz val="11"/>
        <color indexed="8"/>
        <rFont val="Calibri"/>
        <family val="2"/>
      </rPr>
      <t>eB</t>
    </r>
    <r>
      <rPr>
        <sz val="11"/>
        <color theme="1"/>
        <rFont val="Calibri"/>
        <family val="2"/>
        <scheme val="minor"/>
      </rPr>
      <t>:</t>
    </r>
  </si>
  <si>
    <t>(BG considerada como CBUQ)</t>
  </si>
  <si>
    <t>Altura equivalente acima do sub-leito:</t>
  </si>
  <si>
    <r>
      <t>h</t>
    </r>
    <r>
      <rPr>
        <vertAlign val="subscript"/>
        <sz val="11"/>
        <color indexed="8"/>
        <rFont val="Calibri"/>
        <family val="2"/>
      </rPr>
      <t>en</t>
    </r>
    <r>
      <rPr>
        <sz val="11"/>
        <color theme="1"/>
        <rFont val="Calibri"/>
        <family val="2"/>
        <scheme val="minor"/>
      </rPr>
      <t>:</t>
    </r>
  </si>
  <si>
    <t>(MS considerada como CBUQ)</t>
  </si>
  <si>
    <t>Deflexão admissível na camada de base</t>
  </si>
  <si>
    <t>R:</t>
  </si>
  <si>
    <t>Db:</t>
  </si>
  <si>
    <t>Deflexão admissível na camada de sub-base</t>
  </si>
  <si>
    <t>Dn:</t>
  </si>
  <si>
    <t>Deflexão admissível no sub-leito:</t>
  </si>
  <si>
    <t>Dm:</t>
  </si>
  <si>
    <t>Deflexão admissível</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</si>
  <si>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</si>
  <si>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</si>
  <si>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</si>
  <si>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</si>
  <si>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</si>
  <si>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</si>
  <si>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</si>
  <si>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</si>
  <si>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</si>
  <si>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</si>
  <si>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</si>
  <si>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</si>
  <si>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</si>
  <si>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</si>
  <si>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</si>
  <si>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</si>
  <si>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</si>
  <si>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</si>
  <si>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</si>
  <si>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</si>
  <si>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</si>
  <si>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</si>
  <si>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</si>
  <si>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</si>
  <si>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</si>
  <si>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</si>
  <si>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</si>
  <si>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JAZIDA</t>
  </si>
  <si>
    <t>COMP 35</t>
  </si>
  <si>
    <t>DAD01</t>
  </si>
  <si>
    <t>COMPOSIÇÕES DE CUSTOS UNITÁRIOS</t>
  </si>
  <si>
    <t>A área de placa de obra padrão financiamento é dada pela multiplicação das suas dimensões pela quantidade.</t>
  </si>
  <si>
    <t>Topografia</t>
  </si>
  <si>
    <t>A extensão deve ser obtida do desenho.</t>
  </si>
  <si>
    <t>Meio fio de concreto extrusado FCK 20MPa conforme detalhe</t>
  </si>
  <si>
    <t>Passeio em concreto FCK 20MPa  pigmentado (e= 5cm) sobre lastro de brita (e= 5cm), inclusive formas</t>
  </si>
  <si>
    <t>Guarda corpo metálico conforme detalhamento em tela soldada galvanizada 5x15cm</t>
  </si>
  <si>
    <t>COMP 36</t>
  </si>
  <si>
    <t>Imprimação com emulsão asfáltica de imprimação EAI</t>
  </si>
  <si>
    <t>EAI</t>
  </si>
  <si>
    <t>COMP 37</t>
  </si>
  <si>
    <t>Mudança de boca de lobo para PV</t>
  </si>
  <si>
    <t>ICMS</t>
  </si>
  <si>
    <t>Ferro 3/4"</t>
  </si>
  <si>
    <t>ferro Ø3/4</t>
  </si>
  <si>
    <t>Tubo circular de ferro galvanizado Ø 1"</t>
  </si>
  <si>
    <t>Tubo circular de ferro galvanizado Ø 2"</t>
  </si>
  <si>
    <t>Tela soldada galvanizada arame 12BWG malha 15x5cm</t>
  </si>
  <si>
    <t>Arame galvanizado 12BWG malha</t>
  </si>
  <si>
    <t>Chapa de aço galvanizado e= 1,95mm</t>
  </si>
  <si>
    <t>Vassoura Mecânica</t>
  </si>
  <si>
    <t>ANP</t>
  </si>
  <si>
    <t>Caminhão espargidor - CHP</t>
  </si>
  <si>
    <t>Trator de Pneus - CHP</t>
  </si>
  <si>
    <t>Trator de Pneus - CHI</t>
  </si>
  <si>
    <t>Caminhão espargidor - CHI</t>
  </si>
  <si>
    <t>Concreto Usinado FCK 20MPa - aquisição</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</si>
  <si>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</si>
  <si>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</si>
  <si>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</si>
  <si>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</si>
  <si>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</si>
  <si>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</si>
  <si>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</si>
  <si>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</si>
  <si>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</si>
  <si>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</si>
  <si>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</si>
  <si>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</si>
  <si>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</si>
  <si>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</si>
  <si>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</si>
  <si>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</si>
  <si>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</si>
  <si>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</si>
  <si>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</si>
  <si>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</si>
  <si>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</si>
  <si>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</si>
  <si>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</si>
  <si>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M2XMES</t>
  </si>
  <si>
    <t xml:space="preserve">MXMES </t>
  </si>
  <si>
    <t>Grelha metálica articulada 60x75cm</t>
  </si>
  <si>
    <t>Grelha metálica articulada 80x75cm</t>
  </si>
  <si>
    <t>Concreto FCK 20MPa - preparado em betoneira</t>
  </si>
  <si>
    <t>1 m³</t>
  </si>
  <si>
    <t>Mão de obra</t>
  </si>
  <si>
    <t>Materiais e equipamentos</t>
  </si>
  <si>
    <t>(%)</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</si>
  <si>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</si>
  <si>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</si>
  <si>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Lajota de concreto lisa, cor natural, 45x45x2,5cm</t>
  </si>
  <si>
    <t>COMP 38</t>
  </si>
  <si>
    <t>COMP 39</t>
  </si>
  <si>
    <t>COMP 40</t>
  </si>
  <si>
    <t>COMP 41</t>
  </si>
  <si>
    <t>Boca de lobo em concreto pré-moldada conforme detalhe</t>
  </si>
  <si>
    <t>Forma de placa compensada resinada 17mm, 8 utilizações</t>
  </si>
  <si>
    <t>BOCA DE LOBO EM CONCRETO</t>
  </si>
  <si>
    <t>PAREDE</t>
  </si>
  <si>
    <t>LAJES</t>
  </si>
  <si>
    <t>Revisão:</t>
  </si>
  <si>
    <t>(SEM DESON.)</t>
  </si>
  <si>
    <t>Tubo corugado PEAD</t>
  </si>
  <si>
    <t>COMP 42</t>
  </si>
  <si>
    <t>COMP 43</t>
  </si>
  <si>
    <t>COMP 44</t>
  </si>
  <si>
    <t>COMP 45</t>
  </si>
  <si>
    <t>Reboco com argamassa de cimento e areia traço 1:4</t>
  </si>
  <si>
    <t>Concreto FCK 20MPa para fixação da grade preparado em betoneira</t>
  </si>
  <si>
    <t>Tampão de ferro fundido para esgoto</t>
  </si>
  <si>
    <t>Substituição de Grelha metálica em boca de lobo existente (60x75cm)</t>
  </si>
  <si>
    <t>Substituição de Grelha metálica em boca de lobo existente (80x75cm)</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</si>
  <si>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</si>
  <si>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</si>
  <si>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</si>
  <si>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</si>
  <si>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</si>
  <si>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</si>
  <si>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</si>
  <si>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</si>
  <si>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</si>
  <si>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</si>
  <si>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</si>
  <si>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</si>
  <si>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</si>
  <si>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</si>
  <si>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</si>
  <si>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</si>
  <si>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</si>
  <si>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</si>
  <si>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</si>
  <si>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</si>
  <si>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</si>
  <si>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</si>
  <si>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</si>
  <si>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</si>
  <si>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</si>
  <si>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</si>
  <si>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</si>
  <si>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</si>
  <si>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</si>
  <si>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</si>
  <si>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</si>
  <si>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</si>
  <si>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</si>
  <si>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</si>
  <si>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</si>
  <si>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</si>
  <si>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</si>
  <si>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</si>
  <si>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</si>
  <si>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</si>
  <si>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</si>
  <si>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</si>
  <si>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</si>
  <si>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</si>
  <si>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</si>
  <si>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</si>
  <si>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</si>
  <si>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</si>
  <si>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</si>
  <si>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</si>
  <si>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</si>
  <si>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COMP 46</t>
  </si>
  <si>
    <t>Reaterro de vala com brita</t>
  </si>
  <si>
    <t>Compactador de solo - CHP</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</si>
  <si>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</si>
  <si>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</si>
  <si>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</si>
  <si>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</si>
  <si>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</si>
  <si>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</si>
  <si>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</si>
  <si>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</si>
  <si>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</si>
  <si>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</si>
  <si>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</si>
  <si>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</si>
  <si>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</si>
  <si>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</si>
  <si>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t>
  </si>
  <si>
    <t>D</t>
  </si>
  <si>
    <t>PROPRIETÁRIO:</t>
  </si>
  <si>
    <t>OBRA:</t>
  </si>
  <si>
    <t>OBRAS DE CONTENÇÃO</t>
  </si>
  <si>
    <t>Guia de travamento de passeio em concreto moldado no local conforme detalhe</t>
  </si>
  <si>
    <t>Extensão da faixa</t>
  </si>
  <si>
    <t>Correção de altura de caixas existentes, com troca de tampa</t>
  </si>
  <si>
    <t>Correção de altura de caixas existentes, sem troca de tampa</t>
  </si>
  <si>
    <t>BL=&gt;PV</t>
  </si>
  <si>
    <t>Pó-de-pedra</t>
  </si>
  <si>
    <t>Calceteiro</t>
  </si>
  <si>
    <t>Placa vibratória a gasolina CHP</t>
  </si>
  <si>
    <t>Placa vibratória a gasolina CHI</t>
  </si>
  <si>
    <t>Cortadora de piso a gasolina com disco diamantado CHP</t>
  </si>
  <si>
    <t>Cortadora de piso a gasolina com disco diamantado CHI</t>
  </si>
  <si>
    <t>Bloco de concreto tatil, alerta ou direcional, pigmentada, 20x20x6cm</t>
  </si>
  <si>
    <t>Concreto FCK 20MPa preparado em betoneira</t>
  </si>
  <si>
    <t>Forma de madeira, fornecimento, instalação e retirada</t>
  </si>
  <si>
    <t>MEMÓRIA DE CÁLCULO DE QUANTIDADES</t>
  </si>
  <si>
    <t>BL =&gt; PV</t>
  </si>
  <si>
    <t>BL =&gt; CL</t>
  </si>
  <si>
    <t>Grade BL 75x60cm</t>
  </si>
  <si>
    <t>Grade BL 75x80cm</t>
  </si>
  <si>
    <t>Grelha metálica articulada 115x75cm</t>
  </si>
  <si>
    <t>COMP 47</t>
  </si>
  <si>
    <t>Grade BL 75x115cm</t>
  </si>
  <si>
    <t>Grade BL 75x135cm</t>
  </si>
  <si>
    <t>COMP 48</t>
  </si>
  <si>
    <t>Grelha metálica articulada 135x75cm</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</si>
  <si>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</si>
  <si>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</si>
  <si>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</si>
  <si>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</si>
  <si>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</si>
  <si>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</si>
  <si>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</si>
  <si>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</si>
  <si>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</si>
  <si>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</si>
  <si>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</si>
  <si>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</si>
  <si>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</si>
  <si>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</si>
  <si>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</si>
  <si>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</si>
  <si>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</si>
  <si>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</si>
  <si>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</si>
  <si>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</si>
  <si>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</si>
  <si>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</si>
  <si>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</si>
  <si>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</si>
  <si>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</si>
  <si>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</si>
  <si>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</si>
  <si>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</si>
  <si>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</si>
  <si>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</si>
  <si>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</si>
  <si>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</si>
  <si>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</si>
  <si>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</si>
  <si>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</si>
  <si>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</si>
  <si>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</si>
  <si>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</si>
  <si>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</si>
  <si>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</si>
  <si>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</si>
  <si>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</si>
  <si>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</si>
  <si>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</si>
  <si>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</si>
  <si>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</si>
  <si>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</si>
  <si>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</si>
  <si>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</si>
  <si>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</si>
  <si>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</si>
  <si>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</si>
  <si>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</si>
  <si>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</si>
  <si>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</si>
  <si>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</si>
  <si>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</si>
  <si>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</si>
  <si>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</si>
  <si>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</si>
  <si>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</si>
  <si>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</si>
  <si>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</si>
  <si>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</si>
  <si>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</si>
  <si>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</si>
  <si>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</si>
  <si>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</si>
  <si>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</si>
  <si>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</si>
  <si>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</si>
  <si>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</si>
  <si>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</si>
  <si>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</si>
  <si>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</si>
  <si>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</si>
  <si>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</si>
  <si>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</si>
  <si>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</si>
  <si>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</si>
  <si>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</si>
  <si>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</si>
  <si>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</si>
  <si>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</si>
  <si>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</si>
  <si>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</si>
  <si>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</si>
  <si>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</si>
  <si>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</si>
  <si>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</si>
  <si>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</si>
  <si>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</si>
  <si>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</si>
  <si>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</si>
  <si>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</si>
  <si>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</si>
  <si>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</si>
  <si>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</si>
  <si>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</si>
  <si>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</si>
  <si>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</si>
  <si>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</si>
  <si>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</si>
  <si>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</si>
  <si>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</si>
  <si>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</si>
  <si>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</si>
  <si>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</si>
  <si>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</si>
  <si>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</si>
  <si>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</si>
  <si>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</si>
  <si>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</si>
  <si>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</si>
  <si>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</si>
  <si>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</si>
  <si>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</si>
  <si>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</si>
  <si>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</si>
  <si>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</si>
  <si>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</si>
  <si>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</si>
  <si>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</si>
  <si>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</si>
  <si>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</si>
  <si>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</si>
  <si>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</si>
  <si>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</si>
  <si>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</si>
  <si>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</si>
  <si>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</si>
  <si>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</si>
  <si>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</si>
  <si>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</si>
  <si>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</si>
  <si>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</si>
  <si>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</si>
  <si>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</si>
  <si>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</si>
  <si>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</si>
  <si>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</si>
  <si>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</si>
  <si>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</si>
  <si>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</si>
  <si>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</si>
  <si>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</si>
  <si>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</si>
  <si>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</si>
  <si>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</si>
  <si>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</si>
  <si>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</si>
  <si>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</si>
  <si>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</si>
  <si>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</si>
  <si>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</si>
  <si>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</si>
  <si>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</si>
  <si>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</si>
  <si>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</si>
  <si>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</si>
  <si>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</si>
  <si>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</si>
  <si>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</si>
  <si>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</si>
  <si>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</si>
  <si>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</si>
  <si>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</si>
  <si>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</si>
  <si>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</si>
  <si>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</si>
  <si>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</si>
  <si>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</si>
  <si>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</si>
  <si>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</si>
  <si>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</si>
  <si>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</si>
  <si>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</si>
  <si>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</si>
  <si>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</si>
  <si>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</si>
  <si>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</si>
  <si>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</si>
  <si>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</si>
  <si>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</si>
  <si>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</si>
  <si>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</si>
  <si>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</si>
  <si>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</si>
  <si>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</si>
  <si>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</si>
  <si>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</si>
  <si>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</si>
  <si>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</si>
  <si>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</si>
  <si>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</si>
  <si>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</si>
  <si>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</si>
  <si>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</si>
  <si>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</si>
  <si>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</si>
  <si>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</si>
  <si>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</si>
  <si>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</si>
  <si>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</si>
  <si>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</si>
  <si>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</si>
  <si>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</si>
  <si>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</si>
  <si>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</si>
  <si>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</si>
  <si>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</si>
  <si>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</si>
  <si>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</si>
  <si>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</si>
  <si>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</si>
  <si>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</si>
  <si>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</si>
  <si>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</si>
  <si>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</si>
  <si>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</si>
  <si>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</si>
  <si>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</si>
  <si>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</si>
  <si>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</si>
  <si>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</si>
  <si>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</si>
  <si>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</si>
  <si>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</si>
  <si>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</si>
  <si>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</si>
  <si>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</si>
  <si>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</si>
  <si>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</si>
  <si>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</si>
  <si>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</si>
  <si>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</si>
  <si>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</si>
  <si>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</si>
  <si>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</si>
  <si>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</si>
  <si>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</si>
  <si>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</si>
  <si>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</si>
  <si>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</si>
  <si>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</si>
  <si>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</si>
  <si>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</si>
  <si>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</si>
  <si>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</si>
  <si>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</si>
  <si>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</si>
  <si>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</si>
  <si>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</si>
  <si>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</si>
  <si>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</si>
  <si>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</si>
  <si>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</si>
  <si>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</si>
  <si>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</si>
  <si>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</si>
  <si>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</si>
  <si>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</si>
  <si>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</si>
  <si>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</si>
  <si>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1. USINA DE CBUQ</t>
  </si>
  <si>
    <t>2. BRITADOR</t>
  </si>
  <si>
    <t>IMPOSTOS (Não desonerado)</t>
  </si>
  <si>
    <t>TRECHO:</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</si>
  <si>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</si>
  <si>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</si>
  <si>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</si>
  <si>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</si>
  <si>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</si>
  <si>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</si>
  <si>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</si>
  <si>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</si>
  <si>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</si>
  <si>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</si>
  <si>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</si>
  <si>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</si>
  <si>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</si>
  <si>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</si>
  <si>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</si>
  <si>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</si>
  <si>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</si>
  <si>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</si>
  <si>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</si>
  <si>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</si>
  <si>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</si>
  <si>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</si>
  <si>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</si>
  <si>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</si>
  <si>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</si>
  <si>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</si>
  <si>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</si>
  <si>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</si>
  <si>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</si>
  <si>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</si>
  <si>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</si>
  <si>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</si>
  <si>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</si>
  <si>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</si>
  <si>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</si>
  <si>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</si>
  <si>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</si>
  <si>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</si>
  <si>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</si>
  <si>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</si>
  <si>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</si>
  <si>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</si>
  <si>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</si>
  <si>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</si>
  <si>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</si>
  <si>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</si>
  <si>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</si>
  <si>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</si>
  <si>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</si>
  <si>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</si>
  <si>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</si>
  <si>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</si>
  <si>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</si>
  <si>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</si>
  <si>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</si>
  <si>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</si>
  <si>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</si>
  <si>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</si>
  <si>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</si>
  <si>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</si>
  <si>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</si>
  <si>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</si>
  <si>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</si>
  <si>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</si>
  <si>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</si>
  <si>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</si>
  <si>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</si>
  <si>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</si>
  <si>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</si>
  <si>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</si>
  <si>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</si>
  <si>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</si>
  <si>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</si>
  <si>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</si>
  <si>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</si>
  <si>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</si>
  <si>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</si>
  <si>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</si>
  <si>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</si>
  <si>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</si>
  <si>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</si>
  <si>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</si>
  <si>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</si>
  <si>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</si>
  <si>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</si>
  <si>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</si>
  <si>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</si>
  <si>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</si>
  <si>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</si>
  <si>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</si>
  <si>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</si>
  <si>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</si>
  <si>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</si>
  <si>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</si>
  <si>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</si>
  <si>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</si>
  <si>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</si>
  <si>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</si>
  <si>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</si>
  <si>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</si>
  <si>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</si>
  <si>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</si>
  <si>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</si>
  <si>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</si>
  <si>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</si>
  <si>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</si>
  <si>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</si>
  <si>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</si>
  <si>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</si>
  <si>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</si>
  <si>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</si>
  <si>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</si>
  <si>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</si>
  <si>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</si>
  <si>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</si>
  <si>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</si>
  <si>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</si>
  <si>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</si>
  <si>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</si>
  <si>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</si>
  <si>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</si>
  <si>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</si>
  <si>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</si>
  <si>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</si>
  <si>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</si>
  <si>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</si>
  <si>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</si>
  <si>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</si>
  <si>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</si>
  <si>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</si>
  <si>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</si>
  <si>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</si>
  <si>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</si>
  <si>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</si>
  <si>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</si>
  <si>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</si>
  <si>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</si>
  <si>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</si>
  <si>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</si>
  <si>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</si>
  <si>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</si>
  <si>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</si>
  <si>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</si>
  <si>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</si>
  <si>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</si>
  <si>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</si>
  <si>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</si>
  <si>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</si>
  <si>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</si>
  <si>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</si>
  <si>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</si>
  <si>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</si>
  <si>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</si>
  <si>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</si>
  <si>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</si>
  <si>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</si>
  <si>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</si>
  <si>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</si>
  <si>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</si>
  <si>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</si>
  <si>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</si>
  <si>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</si>
  <si>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</si>
  <si>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</si>
  <si>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</si>
  <si>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</si>
  <si>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</si>
  <si>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</si>
  <si>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</si>
  <si>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</si>
  <si>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</si>
  <si>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</si>
  <si>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</si>
  <si>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</si>
  <si>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</si>
  <si>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</si>
  <si>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</si>
  <si>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</si>
  <si>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</si>
  <si>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</si>
  <si>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</si>
  <si>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</si>
  <si>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</si>
  <si>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</si>
  <si>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</si>
  <si>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</si>
  <si>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</si>
  <si>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</si>
  <si>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</si>
  <si>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</si>
  <si>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</si>
  <si>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</si>
  <si>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</si>
  <si>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</si>
  <si>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</si>
  <si>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</si>
  <si>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</si>
  <si>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</si>
  <si>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</si>
  <si>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</si>
  <si>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</si>
  <si>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</si>
  <si>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</si>
  <si>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</si>
  <si>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</si>
  <si>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</si>
  <si>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</si>
  <si>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</si>
  <si>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</si>
  <si>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</si>
  <si>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</si>
  <si>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</si>
  <si>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</si>
  <si>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</si>
  <si>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</si>
  <si>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</si>
  <si>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</si>
  <si>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</si>
  <si>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</si>
  <si>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</si>
  <si>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</si>
  <si>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</si>
  <si>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</si>
  <si>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</si>
  <si>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</si>
  <si>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</si>
  <si>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</si>
  <si>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</si>
  <si>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</si>
  <si>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</si>
  <si>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</si>
  <si>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</si>
  <si>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</si>
  <si>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</si>
  <si>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</si>
  <si>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</si>
  <si>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</si>
  <si>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</si>
  <si>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</si>
  <si>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</si>
  <si>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</si>
  <si>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</si>
  <si>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</si>
  <si>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</si>
  <si>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</si>
  <si>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</si>
  <si>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</si>
  <si>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</si>
  <si>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</si>
  <si>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</si>
  <si>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</si>
  <si>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</si>
  <si>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</si>
  <si>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</si>
  <si>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</si>
  <si>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</si>
  <si>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</si>
  <si>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</si>
  <si>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</si>
  <si>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</si>
  <si>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</si>
  <si>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</si>
  <si>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</si>
  <si>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</si>
  <si>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</si>
  <si>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</si>
  <si>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</si>
  <si>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</si>
  <si>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</si>
  <si>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</si>
  <si>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</si>
  <si>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Área de pavimento novo</t>
  </si>
  <si>
    <t>A área da imprimação é dada pela área pavimentada.</t>
  </si>
  <si>
    <t>A área da pintura de ligação é dada pela área pavimentada.</t>
  </si>
  <si>
    <t>Sub-total</t>
  </si>
  <si>
    <t>RECAPEAMENTO - DUAS CAMADAS</t>
  </si>
  <si>
    <t>RECAPEAMENTO - UMA CAMADA</t>
  </si>
  <si>
    <t>REMENDO SUPERFICIAL</t>
  </si>
  <si>
    <t>REMENDO PROFUNDO</t>
  </si>
  <si>
    <t>FRESAGEM</t>
  </si>
  <si>
    <t>O volume de fresagem é dado pela multiplicação da área de remendos pela espessura da fresagem.</t>
  </si>
  <si>
    <t>O transporte do material fresado é dado pela multiplicação do volume fresado pela DMT até o bota-fora.</t>
  </si>
  <si>
    <t>Fresagem</t>
  </si>
  <si>
    <t>Área de remendos</t>
  </si>
  <si>
    <t>O volume de remoção é dado pela multiplicação da área de remendos pela de remoção.</t>
  </si>
  <si>
    <t>A área de imprimação é a área a ser pavimentada.</t>
  </si>
  <si>
    <t>A área de limpeza do pavimento é a área a ser pavimentada, obtida do desenho.</t>
  </si>
  <si>
    <t>Área de imprimação</t>
  </si>
  <si>
    <t>A área de regularização é a área a ser pavimentada.</t>
  </si>
  <si>
    <t>O volume da camada é dado pela multiplicação da área de remendos pela espessura indicada no detalhe.</t>
  </si>
  <si>
    <t>O transporte do material é dado pela multiplicação do volume pela DMT.</t>
  </si>
  <si>
    <t>O transporte do material removido é dado pela multiplicação do volume pela DMT até o bota-fora.</t>
  </si>
  <si>
    <t>COMP 49</t>
  </si>
  <si>
    <t>Assentamento de blocos de concreto intertravado liso ou tatil 20x20x6cm FCK 35MPa, inclusive colchão de assentamento com reaproveitamento dos blocos removidos</t>
  </si>
  <si>
    <t>Área unitária</t>
  </si>
  <si>
    <t>COMP 50</t>
  </si>
  <si>
    <t>COMP 51</t>
  </si>
  <si>
    <t>M0107</t>
  </si>
  <si>
    <t>Geocomposto para drenagem</t>
  </si>
  <si>
    <t>Broca de concreto Ø20cm, exclusive armadura, inclusive escavação</t>
  </si>
  <si>
    <t>Alvenaria de blocos de concreto estrutural</t>
  </si>
  <si>
    <t>Argamassa de cimento e areia para assentamento reboco</t>
  </si>
  <si>
    <t>Aplicação de pintura com tinta acrílica, duas demão</t>
  </si>
  <si>
    <t>Aplicação de fundo selador acrílico, uma demão</t>
  </si>
  <si>
    <t>Escavação manual</t>
  </si>
  <si>
    <t>Aterro manual com soquete</t>
  </si>
  <si>
    <t>Muro de alvenaria de blocos com vigas e pilares em concreto (e= 20cm) rebocado em uma face, h &lt; 1,50m conforme detalhamento, inclusive escavação, reaterro e pintura em uma face</t>
  </si>
  <si>
    <t>Muro de alvenaria de blocos com vigas e pilares em concreto (e= 20cm) rebocado em uma face, 1,50 &lt; h &lt; 2,50m conforme detalhamento, inclusive escavação, reaterro e pintura em uma face</t>
  </si>
  <si>
    <t>total</t>
  </si>
  <si>
    <t>área</t>
  </si>
  <si>
    <t>As quantidades dos serviços do muro são obtidas diretamento do desenho.</t>
  </si>
  <si>
    <t>Forma de madeira serrada, 4 reutilizações</t>
  </si>
  <si>
    <t>A área de limpeza do pavimento é a área de pintura de ligação</t>
  </si>
  <si>
    <t>Largura da via</t>
  </si>
  <si>
    <t>Área da seção</t>
  </si>
  <si>
    <t>faixa elevada</t>
  </si>
  <si>
    <t>A área pintura amarela deve ser obtida do desenho.</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</si>
  <si>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</si>
  <si>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</si>
  <si>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</si>
  <si>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</si>
  <si>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</si>
  <si>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</si>
  <si>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</si>
  <si>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</si>
  <si>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</si>
  <si>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</si>
  <si>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</si>
  <si>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</si>
  <si>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</si>
  <si>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</si>
  <si>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</si>
  <si>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</si>
  <si>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</si>
  <si>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</si>
  <si>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</si>
  <si>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</si>
  <si>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</si>
  <si>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</si>
  <si>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</si>
  <si>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</si>
  <si>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</si>
  <si>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</si>
  <si>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</si>
  <si>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</si>
  <si>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</si>
  <si>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</si>
  <si>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</si>
  <si>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</si>
  <si>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</si>
  <si>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</si>
  <si>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</si>
  <si>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</si>
  <si>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</si>
  <si>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</si>
  <si>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</si>
  <si>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</si>
  <si>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</si>
  <si>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</si>
  <si>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</si>
  <si>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</si>
  <si>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</si>
  <si>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</si>
  <si>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</si>
  <si>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</si>
  <si>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</si>
  <si>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</si>
  <si>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</si>
  <si>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</si>
  <si>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</si>
  <si>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</si>
  <si>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</si>
  <si>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</si>
  <si>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</si>
  <si>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</si>
  <si>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</si>
  <si>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</si>
  <si>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</si>
  <si>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</si>
  <si>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</si>
  <si>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</si>
  <si>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</si>
  <si>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</si>
  <si>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</si>
  <si>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</si>
  <si>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</si>
  <si>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</si>
  <si>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</si>
  <si>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</si>
  <si>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</si>
  <si>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</si>
  <si>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</si>
  <si>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</si>
  <si>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</si>
  <si>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</si>
  <si>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</si>
  <si>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</si>
  <si>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</si>
  <si>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</si>
  <si>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</si>
  <si>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</si>
  <si>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</si>
  <si>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</si>
  <si>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</si>
  <si>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</si>
  <si>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</si>
  <si>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</si>
  <si>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</si>
  <si>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</si>
  <si>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</si>
  <si>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</si>
  <si>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</si>
  <si>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</si>
  <si>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</si>
  <si>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</si>
  <si>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</si>
  <si>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</si>
  <si>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</si>
  <si>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</si>
  <si>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</si>
  <si>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</si>
  <si>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</si>
  <si>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</si>
  <si>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</si>
  <si>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</si>
  <si>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</si>
  <si>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</si>
  <si>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</si>
  <si>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</si>
  <si>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</si>
  <si>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</si>
  <si>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</si>
  <si>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</si>
  <si>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</si>
  <si>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</si>
  <si>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</si>
  <si>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</si>
  <si>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</si>
  <si>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</si>
  <si>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</si>
  <si>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</si>
  <si>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</si>
  <si>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</si>
  <si>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</si>
  <si>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</si>
  <si>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</si>
  <si>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</si>
  <si>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</si>
  <si>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</si>
  <si>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</si>
  <si>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</si>
  <si>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</si>
  <si>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</si>
  <si>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</si>
  <si>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</si>
  <si>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</si>
  <si>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</si>
  <si>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</si>
  <si>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</si>
  <si>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</si>
  <si>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</si>
  <si>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</si>
  <si>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</si>
  <si>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</si>
  <si>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</si>
  <si>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</si>
  <si>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</si>
  <si>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</si>
  <si>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</si>
  <si>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</si>
  <si>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</si>
  <si>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</si>
  <si>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</si>
  <si>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</si>
  <si>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</si>
  <si>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</si>
  <si>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</si>
  <si>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</si>
  <si>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</si>
  <si>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</si>
  <si>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</si>
  <si>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</si>
  <si>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</si>
  <si>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</si>
  <si>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</si>
  <si>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</si>
  <si>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</si>
  <si>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</si>
  <si>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</si>
  <si>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</si>
  <si>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</si>
  <si>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</si>
  <si>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</si>
  <si>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</si>
  <si>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</si>
  <si>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</si>
  <si>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</si>
  <si>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</si>
  <si>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</si>
  <si>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</si>
  <si>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</si>
  <si>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</si>
  <si>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</si>
  <si>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</si>
  <si>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</si>
  <si>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</si>
  <si>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</si>
  <si>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</si>
  <si>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</si>
  <si>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</si>
  <si>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</si>
  <si>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</si>
  <si>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</si>
  <si>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</si>
  <si>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</si>
  <si>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</si>
  <si>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</si>
  <si>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</si>
  <si>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</si>
  <si>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</si>
  <si>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</si>
  <si>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</si>
  <si>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</si>
  <si>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</si>
  <si>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</si>
  <si>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</si>
  <si>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</si>
  <si>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</si>
  <si>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</si>
  <si>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</si>
  <si>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</si>
  <si>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</si>
  <si>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</si>
  <si>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</si>
  <si>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</si>
  <si>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</si>
  <si>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</si>
  <si>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</si>
  <si>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</si>
  <si>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</si>
  <si>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</si>
  <si>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</si>
  <si>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</si>
  <si>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</si>
  <si>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</si>
  <si>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</si>
  <si>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</si>
  <si>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</si>
  <si>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</si>
  <si>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</si>
  <si>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</si>
  <si>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</si>
  <si>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</si>
  <si>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</si>
  <si>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</si>
  <si>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</si>
  <si>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</si>
  <si>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</si>
  <si>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</si>
  <si>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</si>
  <si>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</si>
  <si>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</si>
  <si>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</si>
  <si>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</si>
  <si>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</si>
  <si>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</si>
  <si>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</si>
  <si>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</si>
  <si>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</si>
  <si>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</si>
  <si>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</si>
  <si>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</si>
  <si>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</si>
  <si>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</si>
  <si>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</si>
  <si>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</si>
  <si>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</si>
  <si>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</si>
  <si>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</si>
  <si>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</si>
  <si>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</si>
  <si>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</si>
  <si>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</si>
  <si>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</si>
  <si>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</si>
  <si>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</si>
  <si>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</si>
  <si>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</si>
  <si>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</si>
  <si>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</si>
  <si>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</si>
  <si>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</si>
  <si>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</si>
  <si>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</si>
  <si>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</si>
  <si>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</si>
  <si>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</si>
  <si>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</si>
  <si>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</si>
  <si>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</si>
  <si>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</si>
  <si>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</si>
  <si>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</si>
  <si>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</si>
  <si>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</si>
  <si>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</si>
  <si>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</si>
  <si>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</si>
  <si>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</si>
  <si>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</si>
  <si>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</si>
  <si>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</si>
  <si>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</si>
  <si>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</si>
  <si>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</si>
  <si>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</si>
  <si>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</si>
  <si>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</si>
  <si>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</si>
  <si>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</si>
  <si>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</si>
  <si>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</si>
  <si>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</si>
  <si>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</si>
  <si>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</si>
  <si>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</si>
  <si>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</si>
  <si>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</si>
  <si>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</si>
  <si>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</si>
  <si>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</si>
  <si>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</si>
  <si>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</si>
  <si>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</si>
  <si>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</si>
  <si>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</si>
  <si>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</si>
  <si>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</si>
  <si>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</si>
  <si>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</si>
  <si>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</si>
  <si>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</si>
  <si>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 52</t>
  </si>
  <si>
    <t>COMP 53</t>
  </si>
  <si>
    <t>Fornecimento e assentamento de tubo de concreto simples d= 60cm</t>
  </si>
  <si>
    <t>Escavadeira hidráulica CHP</t>
  </si>
  <si>
    <t>Escavadeira hidráulica CHI</t>
  </si>
  <si>
    <t>Argamassa de cimento e areia 1:3</t>
  </si>
  <si>
    <t>Assentador de tubos</t>
  </si>
  <si>
    <t>Tubo de concreto simples D= 60cm M/F</t>
  </si>
  <si>
    <t>BC01</t>
  </si>
  <si>
    <t>A área de placa de obra padrão é dada pela multiplicação das suas dimensões pela quantidade.</t>
  </si>
  <si>
    <t>CAIXA DE FERRAMENTAS</t>
  </si>
  <si>
    <t>REPORTS MANAGER</t>
  </si>
  <si>
    <t>ALIGMENT</t>
  </si>
  <si>
    <t>SELECIONAR AS CÉLULAS DA ESTACA</t>
  </si>
  <si>
    <t>INCREMENTAL STATIONING REPORT</t>
  </si>
  <si>
    <t>CORRIDOR =&gt; PAVIMENTO</t>
  </si>
  <si>
    <t>PI</t>
  </si>
  <si>
    <t>FÓRMULA PARA PIS</t>
  </si>
  <si>
    <t>NOTA DE SERVIÇO DE TERRAPLENAGEM</t>
  </si>
  <si>
    <t>SALVAR EM XLS</t>
  </si>
  <si>
    <t>SE NÃO FOR PI, USAR FÓMULA PARA CÁLCULO DA ESTACA INTERMEDIÁRIA ABAIXO</t>
  </si>
  <si>
    <t>LOCAÇÃO DO EIXO</t>
  </si>
  <si>
    <t>LADO ESQUERDO</t>
  </si>
  <si>
    <t>EIXO</t>
  </si>
  <si>
    <t>LADO DIREITO</t>
  </si>
  <si>
    <t>Lado Esquerdo</t>
  </si>
  <si>
    <t>Eixo</t>
  </si>
  <si>
    <t>Lado direito</t>
  </si>
  <si>
    <t>INTERMEDIÁRIA</t>
  </si>
  <si>
    <t>Coordenadas (m)</t>
  </si>
  <si>
    <t>OFFSET</t>
  </si>
  <si>
    <t>PASSEIO EXTERNO</t>
  </si>
  <si>
    <t>PASSEIO INTERNO</t>
  </si>
  <si>
    <t>BORDO PLATAFORMA</t>
  </si>
  <si>
    <t>Cotas (m)</t>
  </si>
  <si>
    <t>BORDO_PISTA</t>
  </si>
  <si>
    <t>Estaca</t>
  </si>
  <si>
    <t>Pontos Notáveis da Geometria Horizontal</t>
  </si>
  <si>
    <t>Pontos Notáveis da Geometria Vertical</t>
  </si>
  <si>
    <t>Cota Projeto</t>
  </si>
  <si>
    <t>Cota Terreno</t>
  </si>
  <si>
    <t>Cota Vermelha</t>
  </si>
  <si>
    <t>Norte</t>
  </si>
  <si>
    <t>Este</t>
  </si>
  <si>
    <t>Afast. (m)</t>
  </si>
  <si>
    <t>Cota (m)</t>
  </si>
  <si>
    <t>Incl. (%)</t>
  </si>
  <si>
    <t>Projeto</t>
  </si>
  <si>
    <t>Terreno</t>
  </si>
  <si>
    <t>Vermelha</t>
  </si>
  <si>
    <t>Leste</t>
  </si>
  <si>
    <t>Direção tangencial</t>
  </si>
  <si>
    <t>PCV</t>
  </si>
  <si>
    <t>PTV</t>
  </si>
  <si>
    <t>Os serviços relativos aos drenos devem ser quantificados com base na extensão do dreno obtida das plantas, descontados os tubos reaterrados com brita, as dimensões da vala obtida dos detalhes e da classificação do material no local.</t>
  </si>
  <si>
    <t>A quantidade deve ser obtida diretamente do desenho.</t>
  </si>
  <si>
    <t>Boca de bueiro</t>
  </si>
  <si>
    <t>Passa gado</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</si>
  <si>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</si>
  <si>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</si>
  <si>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</si>
  <si>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</si>
  <si>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</si>
  <si>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</si>
  <si>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</si>
  <si>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</si>
  <si>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</si>
  <si>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</si>
  <si>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</si>
  <si>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</si>
  <si>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</si>
  <si>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</si>
  <si>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</si>
  <si>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</si>
  <si>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</si>
  <si>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</si>
  <si>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</si>
  <si>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</si>
  <si>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</si>
  <si>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</si>
  <si>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</si>
  <si>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</si>
  <si>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</si>
  <si>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</si>
  <si>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</si>
  <si>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</si>
  <si>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</si>
  <si>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</si>
  <si>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</si>
  <si>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</si>
  <si>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</si>
  <si>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</si>
  <si>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</si>
  <si>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</si>
  <si>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</si>
  <si>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</si>
  <si>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</si>
  <si>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</si>
  <si>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</si>
  <si>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</si>
  <si>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</si>
  <si>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</si>
  <si>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</si>
  <si>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</si>
  <si>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</si>
  <si>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</si>
  <si>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</si>
  <si>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</si>
  <si>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</si>
  <si>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</si>
  <si>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</si>
  <si>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</si>
  <si>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</si>
  <si>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</si>
  <si>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</si>
  <si>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</si>
  <si>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</si>
  <si>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</si>
  <si>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</si>
  <si>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</si>
  <si>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</si>
  <si>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</si>
  <si>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</si>
  <si>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</si>
  <si>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</si>
  <si>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</si>
  <si>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</si>
  <si>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</si>
  <si>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</si>
  <si>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</si>
  <si>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</si>
  <si>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</si>
  <si>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</si>
  <si>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</si>
  <si>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</si>
  <si>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</si>
  <si>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</si>
  <si>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</si>
  <si>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</si>
  <si>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</si>
  <si>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</si>
  <si>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</si>
  <si>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</si>
  <si>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</si>
  <si>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</si>
  <si>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</si>
  <si>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</si>
  <si>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</si>
  <si>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</si>
  <si>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</si>
  <si>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</si>
  <si>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</si>
  <si>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</si>
  <si>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</si>
  <si>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</si>
  <si>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</si>
  <si>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</si>
  <si>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</si>
  <si>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</si>
  <si>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</si>
  <si>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</si>
  <si>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</si>
  <si>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</si>
  <si>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</si>
  <si>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</si>
  <si>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</si>
  <si>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</si>
  <si>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</si>
  <si>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</si>
  <si>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</si>
  <si>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</si>
  <si>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</si>
  <si>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</si>
  <si>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</si>
  <si>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</si>
  <si>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</si>
  <si>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</si>
  <si>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</si>
  <si>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</si>
  <si>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</si>
  <si>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</si>
  <si>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</si>
  <si>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</si>
  <si>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</si>
  <si>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</si>
  <si>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</si>
  <si>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</si>
  <si>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</si>
  <si>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</si>
  <si>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</si>
  <si>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</si>
  <si>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</si>
  <si>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</si>
  <si>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</si>
  <si>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</si>
  <si>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</si>
  <si>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</si>
  <si>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</si>
  <si>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</si>
  <si>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</si>
  <si>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</si>
  <si>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</si>
  <si>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</si>
  <si>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</si>
  <si>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</si>
  <si>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</si>
  <si>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</si>
  <si>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</si>
  <si>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</si>
  <si>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</si>
  <si>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</si>
  <si>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</si>
  <si>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</si>
  <si>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</si>
  <si>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</si>
  <si>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</si>
  <si>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</si>
  <si>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</si>
  <si>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</si>
  <si>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</si>
  <si>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</si>
  <si>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</si>
  <si>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</si>
  <si>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</si>
  <si>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</si>
  <si>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</si>
  <si>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</si>
  <si>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</si>
  <si>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</si>
  <si>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</si>
  <si>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</si>
  <si>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</si>
  <si>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</si>
  <si>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</si>
  <si>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</si>
  <si>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</si>
  <si>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</si>
  <si>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</si>
  <si>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</si>
  <si>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</si>
  <si>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</si>
  <si>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</si>
  <si>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</si>
  <si>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</si>
  <si>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</si>
  <si>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</si>
  <si>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</si>
  <si>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</si>
  <si>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</si>
  <si>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</si>
  <si>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</si>
  <si>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</si>
  <si>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</si>
  <si>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</si>
  <si>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</si>
  <si>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</si>
  <si>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</si>
  <si>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</si>
  <si>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</si>
  <si>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</si>
  <si>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</si>
  <si>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</si>
  <si>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</si>
  <si>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</si>
  <si>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</si>
  <si>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</si>
  <si>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</si>
  <si>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</si>
  <si>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</si>
  <si>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</si>
  <si>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</si>
  <si>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</si>
  <si>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</si>
  <si>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</si>
  <si>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</si>
  <si>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</si>
  <si>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</si>
  <si>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</si>
  <si>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</si>
  <si>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</si>
  <si>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</si>
  <si>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</si>
  <si>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</si>
  <si>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</si>
  <si>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</si>
  <si>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</si>
  <si>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</si>
  <si>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</si>
  <si>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</si>
  <si>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</si>
  <si>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</si>
  <si>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</si>
  <si>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</si>
  <si>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</si>
  <si>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</si>
  <si>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</si>
  <si>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</si>
  <si>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</si>
  <si>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</si>
  <si>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</si>
  <si>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</si>
  <si>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</si>
  <si>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</si>
  <si>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</si>
  <si>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</si>
  <si>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</si>
  <si>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</si>
  <si>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</si>
  <si>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</si>
  <si>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</si>
  <si>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</si>
  <si>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</si>
  <si>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</si>
  <si>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</si>
  <si>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</si>
  <si>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</si>
  <si>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</si>
  <si>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</si>
  <si>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</si>
  <si>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</si>
  <si>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</si>
  <si>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</si>
  <si>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</si>
  <si>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</si>
  <si>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</si>
  <si>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</si>
  <si>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</si>
  <si>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</si>
  <si>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</si>
  <si>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</si>
  <si>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</si>
  <si>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</si>
  <si>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</si>
  <si>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</si>
  <si>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</si>
  <si>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COMP 54</t>
  </si>
  <si>
    <t>Tijolo cerêmico maciço 5x10x20cm</t>
  </si>
  <si>
    <t>Argamassa de cimento, cal e areia 1:2:8</t>
  </si>
  <si>
    <t>COMP 55</t>
  </si>
  <si>
    <t>Boca para bueiro d= 150cm</t>
  </si>
  <si>
    <t>BDI SERVIÇOS</t>
  </si>
  <si>
    <t xml:space="preserve">         Os serviços foram enquadrados como CONSTRUÇÃO DE RODOVIAS E FERROVIAS, sendo considerados os percentuais máximos e mínimo indicados para este tipo de obra.</t>
  </si>
  <si>
    <t xml:space="preserve">         O fornecimento de materiais foi enquadrados como Fornecimento de Materiais e Equipamentos (aquisição indireta - em conjunto com licitação de obras), sendo considerados os percentuais máximos e mínimo indicados para este tipo de obra.</t>
  </si>
  <si>
    <t>BDI MATERIAIS</t>
  </si>
  <si>
    <t>Distância média em relação ao centro</t>
  </si>
  <si>
    <t>Fornecimento e assentamento de tubo de concreto d= 40cm envelopado com concreto</t>
  </si>
  <si>
    <t>Serviços topográficos são quantificados da extensão de projeto.</t>
  </si>
  <si>
    <t>Escavação para visibilidade</t>
  </si>
  <si>
    <t>A área de hidrossemeadura de taludes é obtida do desenho multiplicada pela inclinação dos taludes.</t>
  </si>
  <si>
    <t>O volume da camada é dada pela multiplicação da área pavimentada pela espessura da camada, devendo ser adicionada o volume relativo a sobre largura para apoio da camada superior adicionando a área de acessos.</t>
  </si>
  <si>
    <t>Sobre largura da camada</t>
  </si>
  <si>
    <t>seta direcional</t>
  </si>
  <si>
    <t>seta bi-direcional</t>
  </si>
  <si>
    <t>seta lateral</t>
  </si>
  <si>
    <t>seta mudança</t>
  </si>
  <si>
    <t>Fornecimento e implantação de placas totalmente refletivas de advertência tipo retangular 50x150cm</t>
  </si>
  <si>
    <t>Tacha</t>
  </si>
  <si>
    <t>Caixa coletora de sarjeta - CCS 01 - com grelha de concreto - TCC 01 - areia e brita comerciais</t>
  </si>
  <si>
    <t>Construção de corpo de aterro com material de 3ª categoria oriundo de corte</t>
  </si>
  <si>
    <t>Fresagem descontínua de revestimento asfáltico</t>
  </si>
  <si>
    <t>Concreto asfáltico - faixa B - areia e brita comerciais</t>
  </si>
  <si>
    <t>COMP 56</t>
  </si>
  <si>
    <t>COMP 57</t>
  </si>
  <si>
    <t>COMP 58</t>
  </si>
  <si>
    <t>COMP 59</t>
  </si>
  <si>
    <t>Caminhão carroceria com guindauto CHP</t>
  </si>
  <si>
    <t>Caminhão carroceria com guindauto CHI</t>
  </si>
  <si>
    <t>Tubo de concreto d= 40cm</t>
  </si>
  <si>
    <t>M2163</t>
  </si>
  <si>
    <t>Montador</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</si>
  <si>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</si>
  <si>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</si>
  <si>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</si>
  <si>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</si>
  <si>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</si>
  <si>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</si>
  <si>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</si>
  <si>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</si>
  <si>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</si>
  <si>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</si>
  <si>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</si>
  <si>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</si>
  <si>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</si>
  <si>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</si>
  <si>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</si>
  <si>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</si>
  <si>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</si>
  <si>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</si>
  <si>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</si>
  <si>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</si>
  <si>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</si>
  <si>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</si>
  <si>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</si>
  <si>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</si>
  <si>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</si>
  <si>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</si>
  <si>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</si>
  <si>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</si>
  <si>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</si>
  <si>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</si>
  <si>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</si>
  <si>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</si>
  <si>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</si>
  <si>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</si>
  <si>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</si>
  <si>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</si>
  <si>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</si>
  <si>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</si>
  <si>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</si>
  <si>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</si>
  <si>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</si>
  <si>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</si>
  <si>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</si>
  <si>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</si>
  <si>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</si>
  <si>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</si>
  <si>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</si>
  <si>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</si>
  <si>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</si>
  <si>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</si>
  <si>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</si>
  <si>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</si>
  <si>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</si>
  <si>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</si>
  <si>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</si>
  <si>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</si>
  <si>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</si>
  <si>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</si>
  <si>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</si>
  <si>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</si>
  <si>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</si>
  <si>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</si>
  <si>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</si>
  <si>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</si>
  <si>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</si>
  <si>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</si>
  <si>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</si>
  <si>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</si>
  <si>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</si>
  <si>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</si>
  <si>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</si>
  <si>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</si>
  <si>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</si>
  <si>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</si>
  <si>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</si>
  <si>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</si>
  <si>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</si>
  <si>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</si>
  <si>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</si>
  <si>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</si>
  <si>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</si>
  <si>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</si>
  <si>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</si>
  <si>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</si>
  <si>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</si>
  <si>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</si>
  <si>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</si>
  <si>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</si>
  <si>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</si>
  <si>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</si>
  <si>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</si>
  <si>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</si>
  <si>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</si>
  <si>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</si>
  <si>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</si>
  <si>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</si>
  <si>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</si>
  <si>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</si>
  <si>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</si>
  <si>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</si>
  <si>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</si>
  <si>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</si>
  <si>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</si>
  <si>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</si>
  <si>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</si>
  <si>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</si>
  <si>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</si>
  <si>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</si>
  <si>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</si>
  <si>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</si>
  <si>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</si>
  <si>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</si>
  <si>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</si>
  <si>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</si>
  <si>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</si>
  <si>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</si>
  <si>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</si>
  <si>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</si>
  <si>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</si>
  <si>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</si>
  <si>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</si>
  <si>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</si>
  <si>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</si>
  <si>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</si>
  <si>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</si>
  <si>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</si>
  <si>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</si>
  <si>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</si>
  <si>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</si>
  <si>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</si>
  <si>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</si>
  <si>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</si>
  <si>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</si>
  <si>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</si>
  <si>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</si>
  <si>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</si>
  <si>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</si>
  <si>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</si>
  <si>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</si>
  <si>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</si>
  <si>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</si>
  <si>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</si>
  <si>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</si>
  <si>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</si>
  <si>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</si>
  <si>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</si>
  <si>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</si>
  <si>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</si>
  <si>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</si>
  <si>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</si>
  <si>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</si>
  <si>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</si>
  <si>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</si>
  <si>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</si>
  <si>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</si>
  <si>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</si>
  <si>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</si>
  <si>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</si>
  <si>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</si>
  <si>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</si>
  <si>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</si>
  <si>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</si>
  <si>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</si>
  <si>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</si>
  <si>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</si>
  <si>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</si>
  <si>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</si>
  <si>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</si>
  <si>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</si>
  <si>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</si>
  <si>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</si>
  <si>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</si>
  <si>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</si>
  <si>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</si>
  <si>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</si>
  <si>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</si>
  <si>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</si>
  <si>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</si>
  <si>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</si>
  <si>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</si>
  <si>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</si>
  <si>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</si>
  <si>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</si>
  <si>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</si>
  <si>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</si>
  <si>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</si>
  <si>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</si>
  <si>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</si>
  <si>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</si>
  <si>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</si>
  <si>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</si>
  <si>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</si>
  <si>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</si>
  <si>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</si>
  <si>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</si>
  <si>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</si>
  <si>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</si>
  <si>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</si>
  <si>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</si>
  <si>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</si>
  <si>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</si>
  <si>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</si>
  <si>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</si>
  <si>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</si>
  <si>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</si>
  <si>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</si>
  <si>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</si>
  <si>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</si>
  <si>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</si>
  <si>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</si>
  <si>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</si>
  <si>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</si>
  <si>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</si>
  <si>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</si>
  <si>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</si>
  <si>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</si>
  <si>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</si>
  <si>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</si>
  <si>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</si>
  <si>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</si>
  <si>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</si>
  <si>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</si>
  <si>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</si>
  <si>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</si>
  <si>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</si>
  <si>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</si>
  <si>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</si>
  <si>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</si>
  <si>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</si>
  <si>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</si>
  <si>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</si>
  <si>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</si>
  <si>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</si>
  <si>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</si>
  <si>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</si>
  <si>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</si>
  <si>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</si>
  <si>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</si>
  <si>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</si>
  <si>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</si>
  <si>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</si>
  <si>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</si>
  <si>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</si>
  <si>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</si>
  <si>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</si>
  <si>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</si>
  <si>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</si>
  <si>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</si>
  <si>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</si>
  <si>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</si>
  <si>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</si>
  <si>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</si>
  <si>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</si>
  <si>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</si>
  <si>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</si>
  <si>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</si>
  <si>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</si>
  <si>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</si>
  <si>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</si>
  <si>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</si>
  <si>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</si>
  <si>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</si>
  <si>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</si>
  <si>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</si>
  <si>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</si>
  <si>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</si>
  <si>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</si>
  <si>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</si>
  <si>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</si>
  <si>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</si>
  <si>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</si>
  <si>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</si>
  <si>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</si>
  <si>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</si>
  <si>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</si>
  <si>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</si>
  <si>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</si>
  <si>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</si>
  <si>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</si>
  <si>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</si>
  <si>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</si>
  <si>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</si>
  <si>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</si>
  <si>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</si>
  <si>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</si>
  <si>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</si>
  <si>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</si>
  <si>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</si>
  <si>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</si>
  <si>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</si>
  <si>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</si>
  <si>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</si>
  <si>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</si>
  <si>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</si>
  <si>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</si>
  <si>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</si>
  <si>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</si>
  <si>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</si>
  <si>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</si>
  <si>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</si>
  <si>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</si>
  <si>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</si>
  <si>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</si>
  <si>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</si>
  <si>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</si>
  <si>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</si>
  <si>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</si>
  <si>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</si>
  <si>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</si>
  <si>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</si>
  <si>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</si>
  <si>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</si>
  <si>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</si>
  <si>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</si>
  <si>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</si>
  <si>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</si>
  <si>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</si>
  <si>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</si>
  <si>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</si>
  <si>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</si>
  <si>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</si>
  <si>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</si>
  <si>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</si>
  <si>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</si>
  <si>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</si>
  <si>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</si>
  <si>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</si>
  <si>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</si>
  <si>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</si>
  <si>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</si>
  <si>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</si>
  <si>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</si>
  <si>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</si>
  <si>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</si>
  <si>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</si>
  <si>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</si>
  <si>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</si>
  <si>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</si>
  <si>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</si>
  <si>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</si>
  <si>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</si>
  <si>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</si>
  <si>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</si>
  <si>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</si>
  <si>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</si>
  <si>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</si>
  <si>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</si>
  <si>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</si>
  <si>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</si>
  <si>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</si>
  <si>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</si>
  <si>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</si>
  <si>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</si>
  <si>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</si>
  <si>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</si>
  <si>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</si>
  <si>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</si>
  <si>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</si>
  <si>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</si>
  <si>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</si>
  <si>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</si>
  <si>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</si>
  <si>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</si>
  <si>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</si>
  <si>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</si>
  <si>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</si>
  <si>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</si>
  <si>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</si>
  <si>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</si>
  <si>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</si>
  <si>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</si>
  <si>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</si>
  <si>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</si>
  <si>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</si>
  <si>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</si>
  <si>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</si>
  <si>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</si>
  <si>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</si>
  <si>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</si>
  <si>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</si>
  <si>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</si>
  <si>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</si>
  <si>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</si>
  <si>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</si>
  <si>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</si>
  <si>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</si>
  <si>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</si>
  <si>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</si>
  <si>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</si>
  <si>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</si>
  <si>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</si>
  <si>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</si>
  <si>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</si>
  <si>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</si>
  <si>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</si>
  <si>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</si>
  <si>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</si>
  <si>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</si>
  <si>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</si>
  <si>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</si>
  <si>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</si>
  <si>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</si>
  <si>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</si>
  <si>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</si>
  <si>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</si>
  <si>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</si>
  <si>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</si>
  <si>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</si>
  <si>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</si>
  <si>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</si>
  <si>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</si>
  <si>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</si>
  <si>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</si>
  <si>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</si>
  <si>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</si>
  <si>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</si>
  <si>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</si>
  <si>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</si>
  <si>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</si>
  <si>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</si>
  <si>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</si>
  <si>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</si>
  <si>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</si>
  <si>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</si>
  <si>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</si>
  <si>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</si>
  <si>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</si>
  <si>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</si>
  <si>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</si>
  <si>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</si>
  <si>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</si>
  <si>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</si>
  <si>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</si>
  <si>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</si>
  <si>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</si>
  <si>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</si>
  <si>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</si>
  <si>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</si>
  <si>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</si>
  <si>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</si>
  <si>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</si>
  <si>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Escavação e carga de material de jazida com escavadeira hidráulica de 1,56 m³</t>
  </si>
  <si>
    <t>02</t>
  </si>
  <si>
    <t>DIMENSIONAMENTO HIDRÁULICO DAS OBRAS E ARTE CORRENTES (BUEIROS DE GREIDE)</t>
  </si>
  <si>
    <t>MEMÓRIA DE CÁLCULO DOS BUEIROS DE GREIDE</t>
  </si>
  <si>
    <t>MEMÓRIA DE CÁLCULO DOS BUEIROS DE GRADE</t>
  </si>
  <si>
    <t>Bacia de Contribuição</t>
  </si>
  <si>
    <t>Tempo de concentração</t>
  </si>
  <si>
    <t>Período de retorno</t>
  </si>
  <si>
    <t xml:space="preserve">Vazão de escoamento </t>
  </si>
  <si>
    <t>CANAL TRAPEZOIDAL</t>
  </si>
  <si>
    <t>CANAL CIRCULAR</t>
  </si>
  <si>
    <t>Extensão - L</t>
  </si>
  <si>
    <t>Elevações</t>
  </si>
  <si>
    <r>
      <t>Q</t>
    </r>
    <r>
      <rPr>
        <vertAlign val="subscript"/>
        <sz val="7"/>
        <color theme="1"/>
        <rFont val="Arial"/>
        <family val="2"/>
      </rPr>
      <t>max</t>
    </r>
  </si>
  <si>
    <t>nº de linhas</t>
  </si>
  <si>
    <t>Dimensões (m)</t>
  </si>
  <si>
    <t>Especificação</t>
  </si>
  <si>
    <t>dimensões</t>
  </si>
  <si>
    <t>área molhada</t>
  </si>
  <si>
    <t>Perímetro molhado</t>
  </si>
  <si>
    <t>Raio hidráulico</t>
  </si>
  <si>
    <t>Velocidade</t>
  </si>
  <si>
    <t>BSTC (cm)</t>
  </si>
  <si>
    <t>BDTC (cm)</t>
  </si>
  <si>
    <t>BTTC (cm)</t>
  </si>
  <si>
    <t>BSCC (m)</t>
  </si>
  <si>
    <t>BDCC (m)</t>
  </si>
  <si>
    <t>BTCC (m)</t>
  </si>
  <si>
    <t>Seção (m²)</t>
  </si>
  <si>
    <t>BOCAS DE BUEIRO</t>
  </si>
  <si>
    <t>CAIXA COLETORA</t>
  </si>
  <si>
    <t>DISSIPADOR</t>
  </si>
  <si>
    <t>(km²)</t>
  </si>
  <si>
    <t>(m)</t>
  </si>
  <si>
    <t>Inicial</t>
  </si>
  <si>
    <t xml:space="preserve">Final </t>
  </si>
  <si>
    <t xml:space="preserve"> Variação - H</t>
  </si>
  <si>
    <t>tc</t>
  </si>
  <si>
    <t>m³/s</t>
  </si>
  <si>
    <t>litros/s</t>
  </si>
  <si>
    <t>(m/m)</t>
  </si>
  <si>
    <t>(m/s)</t>
  </si>
  <si>
    <t>CCS</t>
  </si>
  <si>
    <t>DEB</t>
  </si>
  <si>
    <t>(min</t>
  </si>
  <si>
    <t>(anos</t>
  </si>
  <si>
    <t>(mm/h)</t>
  </si>
  <si>
    <t>n</t>
  </si>
  <si>
    <r>
      <t>h</t>
    </r>
    <r>
      <rPr>
        <vertAlign val="subscript"/>
        <sz val="8"/>
        <rFont val="Arial"/>
        <family val="2"/>
      </rPr>
      <t>n</t>
    </r>
    <r>
      <rPr>
        <sz val="8"/>
        <rFont val="Arial"/>
        <family val="2"/>
      </rPr>
      <t>=</t>
    </r>
  </si>
  <si>
    <t>P</t>
  </si>
  <si>
    <t>hn</t>
  </si>
  <si>
    <t>% ocupado</t>
  </si>
  <si>
    <t>teta</t>
  </si>
  <si>
    <t>1/n</t>
  </si>
  <si>
    <t>Rh^2/3</t>
  </si>
  <si>
    <t>Raiz</t>
  </si>
  <si>
    <t>Vazão</t>
  </si>
  <si>
    <t>(m³)</t>
  </si>
  <si>
    <t>Nome</t>
  </si>
  <si>
    <t>Profundidade (m)</t>
  </si>
  <si>
    <t>03</t>
  </si>
  <si>
    <t>04</t>
  </si>
  <si>
    <t>05</t>
  </si>
  <si>
    <t>Linhas</t>
  </si>
  <si>
    <t>Dimensão</t>
  </si>
  <si>
    <t>Circular</t>
  </si>
  <si>
    <t>Largura da vala</t>
  </si>
  <si>
    <t>seção tubo/galeria</t>
  </si>
  <si>
    <t>% Ocupado= Difrença das Vazões [(QGmax - QD)/QGmax]</t>
  </si>
  <si>
    <t>A= Área molhada das galerias (m²)</t>
  </si>
  <si>
    <t xml:space="preserve"> Boca BSTC (cm)</t>
  </si>
  <si>
    <t>Boca BDTC (cm)</t>
  </si>
  <si>
    <t xml:space="preserve"> Boca BTTC (cm)</t>
  </si>
  <si>
    <t xml:space="preserve"> Boca BSCC (m)</t>
  </si>
  <si>
    <t xml:space="preserve"> Boca  BDCC (m)</t>
  </si>
  <si>
    <t xml:space="preserve"> Boca  BTCC (m)</t>
  </si>
  <si>
    <t>01</t>
  </si>
  <si>
    <t>Tubulações considerando seção 70% ocupada.</t>
  </si>
  <si>
    <t>SEÇÃO</t>
  </si>
  <si>
    <t>DRENAGEM TRECHO RURAL</t>
  </si>
  <si>
    <t>DRENAGEM TRECHO URBANO</t>
  </si>
  <si>
    <t>Os serviços da drenagem urbana são obtidos diretamente da MEMÓRIA DE CÁLCULO DA DRENAGEM PLUVIAL.</t>
  </si>
  <si>
    <t>OAC</t>
  </si>
  <si>
    <t>Os serviços relativos aos drenos devem ser quantificados com base na extensão do dreno obtida das plantas, as dimensões da vala obtida dos detalhes e da calssificação do material no local.</t>
  </si>
  <si>
    <t>Dreno tipo</t>
  </si>
  <si>
    <t>Os serviços da drenagem são obtidos diretamente da MEMÓRIA DE CÁLCULO DAS OAC'S.</t>
  </si>
  <si>
    <t>Caixa coletora de sarjeta - CCS 02 - com grelha de concreto - TCC 01 - areia e brita comerciais</t>
  </si>
  <si>
    <t>Caixa coletora de sarjeta - CCS 03 - com grelha de concreto - TCC 01 - areia e brita comerciais</t>
  </si>
  <si>
    <t>Caixa coletora de sarjeta - CCS 04 - com grelha de concreto - TCC 01 - areia e brita comerciais</t>
  </si>
  <si>
    <t>Caixa coletora de talvegue - CCT 01 - areia e brita comerciais</t>
  </si>
  <si>
    <t>Caixa coletora de talvegue - CCT 04 - areia e brita comerciais</t>
  </si>
  <si>
    <t>Dreno longitudinal profundo para corte em rocha - DPR 04 - brita comercial</t>
  </si>
  <si>
    <t>A quantidade de meio-fio normal pode ser obtida diretamente do desenho, devendo ser descontada a quantidade de meio-fio rebaixado presente nas rampas e nos acessos de veículos.</t>
  </si>
  <si>
    <t>Rampas PNE</t>
  </si>
  <si>
    <t>Acessos de veículos</t>
  </si>
  <si>
    <t>Meio-fio</t>
  </si>
  <si>
    <t>Rebaixado</t>
  </si>
  <si>
    <t>Normal</t>
  </si>
  <si>
    <t>O volume de reaterro para meio-fio é obtido da multpilicação da extensão de meio-fio pela seção unitária de aterro, conforme cada tipo.</t>
  </si>
  <si>
    <t>Meio-fio rebaixado</t>
  </si>
  <si>
    <t>m³/m</t>
  </si>
  <si>
    <t>Meio-fio normal</t>
  </si>
  <si>
    <t>Volume de aterro para meio-fio</t>
  </si>
  <si>
    <t>A quantidade de guia de travamento de passeios deve ser obtida diretamente do desenho.</t>
  </si>
  <si>
    <t>Guia de travamento</t>
  </si>
  <si>
    <t>A área de passeio deve ser obtida diretamente do desenho, sendo descontada a área de sinalização tátil.</t>
  </si>
  <si>
    <t>A área de passeio tátil pode ser obtida pela multiplicação da extensão de meio-fio pela largura da faixa tátil, somada a multiplicação da quantidade de mudanças de direção multiplicada pela área unitária e multiplicação da quantidade de rampas pela área unitária tatil em cada uma.</t>
  </si>
  <si>
    <t>Adicional acessos de veículos</t>
  </si>
  <si>
    <t>Passeio</t>
  </si>
  <si>
    <t>Passeio total</t>
  </si>
  <si>
    <t>Alerta em Rampas</t>
  </si>
  <si>
    <t>Área unitária tatil</t>
  </si>
  <si>
    <t>Alerta em mudanças de direção</t>
  </si>
  <si>
    <t>Total sinalização tatil alerta</t>
  </si>
  <si>
    <t>Sinalização tátil guia</t>
  </si>
  <si>
    <t>Área sinalização guia</t>
  </si>
  <si>
    <t>Total sinalização tatil</t>
  </si>
  <si>
    <t>Plantio de grama para passeios e canteiros</t>
  </si>
  <si>
    <t>Área de reforço</t>
  </si>
  <si>
    <t>Cerca com 4 fios de arame farpado e mourão de concreto de seção quadrada de 11 cm a cada 2,5 m e esticador de 15 cm a cada 50 m - areia e brita comerciais</t>
  </si>
  <si>
    <t>Cerca nova</t>
  </si>
  <si>
    <t>Dreno</t>
  </si>
  <si>
    <t>STC 01</t>
  </si>
  <si>
    <t>STC 04</t>
  </si>
  <si>
    <t>Padrão a relocar</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</si>
  <si>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</si>
  <si>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</si>
  <si>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</si>
  <si>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</si>
  <si>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</si>
  <si>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</si>
  <si>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</si>
  <si>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</si>
  <si>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</si>
  <si>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</si>
  <si>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</si>
  <si>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</si>
  <si>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</si>
  <si>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</si>
  <si>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</si>
  <si>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</si>
  <si>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</si>
  <si>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</si>
  <si>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</si>
  <si>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</si>
  <si>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</si>
  <si>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</si>
  <si>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</si>
  <si>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</si>
  <si>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</si>
  <si>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</si>
  <si>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</si>
  <si>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</si>
  <si>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</si>
  <si>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</si>
  <si>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</si>
  <si>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</si>
  <si>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</si>
  <si>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</si>
  <si>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</si>
  <si>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</si>
  <si>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</si>
  <si>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</si>
  <si>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</si>
  <si>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</si>
  <si>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</si>
  <si>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</si>
  <si>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</si>
  <si>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</si>
  <si>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</si>
  <si>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</si>
  <si>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</si>
  <si>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</si>
  <si>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</si>
  <si>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</si>
  <si>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</si>
  <si>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</si>
  <si>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</si>
  <si>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</si>
  <si>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</si>
  <si>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</si>
  <si>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</si>
  <si>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</si>
  <si>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</si>
  <si>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</si>
  <si>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</si>
  <si>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</si>
  <si>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</si>
  <si>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</si>
  <si>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</si>
  <si>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</si>
  <si>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</si>
  <si>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</si>
  <si>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</si>
  <si>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</si>
  <si>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</si>
  <si>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</si>
  <si>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</si>
  <si>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</si>
  <si>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</si>
  <si>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</si>
  <si>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</si>
  <si>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</si>
  <si>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</si>
  <si>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</si>
  <si>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</si>
  <si>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</si>
  <si>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</si>
  <si>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</si>
  <si>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</si>
  <si>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</si>
  <si>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</si>
  <si>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</si>
  <si>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</si>
  <si>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</si>
  <si>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</si>
  <si>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</si>
  <si>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</si>
  <si>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</si>
  <si>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</si>
  <si>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</si>
  <si>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</si>
  <si>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</si>
  <si>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</si>
  <si>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</si>
  <si>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</si>
  <si>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</si>
  <si>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</si>
  <si>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</si>
  <si>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</si>
  <si>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</si>
  <si>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</si>
  <si>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</si>
  <si>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</si>
  <si>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</si>
  <si>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</si>
  <si>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</si>
  <si>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</si>
  <si>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</si>
  <si>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</si>
  <si>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</si>
  <si>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</si>
  <si>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</si>
  <si>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</si>
  <si>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</si>
  <si>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</si>
  <si>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</si>
  <si>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</si>
  <si>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</si>
  <si>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</si>
  <si>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</si>
  <si>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</si>
  <si>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</si>
  <si>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</si>
  <si>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</si>
  <si>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</si>
  <si>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</si>
  <si>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</si>
  <si>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</si>
  <si>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</si>
  <si>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</si>
  <si>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</si>
  <si>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</si>
  <si>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</si>
  <si>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</si>
  <si>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</si>
  <si>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</si>
  <si>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</si>
  <si>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</si>
  <si>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</si>
  <si>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</si>
  <si>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</si>
  <si>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</si>
  <si>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</si>
  <si>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</si>
  <si>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</si>
  <si>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</si>
  <si>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</si>
  <si>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</si>
  <si>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</si>
  <si>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</si>
  <si>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</si>
  <si>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</si>
  <si>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</si>
  <si>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</si>
  <si>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</si>
  <si>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</si>
  <si>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</si>
  <si>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</si>
  <si>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</si>
  <si>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</si>
  <si>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</si>
  <si>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</si>
  <si>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</si>
  <si>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</si>
  <si>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</si>
  <si>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</si>
  <si>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</si>
  <si>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</si>
  <si>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</si>
  <si>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</si>
  <si>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</si>
  <si>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</si>
  <si>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</si>
  <si>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</si>
  <si>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</si>
  <si>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</si>
  <si>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</si>
  <si>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</si>
  <si>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</si>
  <si>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</si>
  <si>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</si>
  <si>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</si>
  <si>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</si>
  <si>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</si>
  <si>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</si>
  <si>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</si>
  <si>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</si>
  <si>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</si>
  <si>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</si>
  <si>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</si>
  <si>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</si>
  <si>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</si>
  <si>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</si>
  <si>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</si>
  <si>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</si>
  <si>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</si>
  <si>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</si>
  <si>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</si>
  <si>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</si>
  <si>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</si>
  <si>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</si>
  <si>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</si>
  <si>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</si>
  <si>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</si>
  <si>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</si>
  <si>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</si>
  <si>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</si>
  <si>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</si>
  <si>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</si>
  <si>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</si>
  <si>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</si>
  <si>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</si>
  <si>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</si>
  <si>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</si>
  <si>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</si>
  <si>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</si>
  <si>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</si>
  <si>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</si>
  <si>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</si>
  <si>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</si>
  <si>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</si>
  <si>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</si>
  <si>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</si>
  <si>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</si>
  <si>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</si>
  <si>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</si>
  <si>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</si>
  <si>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</si>
  <si>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</si>
  <si>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</si>
  <si>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</si>
  <si>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</si>
  <si>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</si>
  <si>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</si>
  <si>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</si>
  <si>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</si>
  <si>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</si>
  <si>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</si>
  <si>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</si>
  <si>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</si>
  <si>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</si>
  <si>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</si>
  <si>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</si>
  <si>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</si>
  <si>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</si>
  <si>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</si>
  <si>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</si>
  <si>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</si>
  <si>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</si>
  <si>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</si>
  <si>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</si>
  <si>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</si>
  <si>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</si>
  <si>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</si>
  <si>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</si>
  <si>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</si>
  <si>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</si>
  <si>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</si>
  <si>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</si>
  <si>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</si>
  <si>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</si>
  <si>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</si>
  <si>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</si>
  <si>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</si>
  <si>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</si>
  <si>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</si>
  <si>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</si>
  <si>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</si>
  <si>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</si>
  <si>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</si>
  <si>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</si>
  <si>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</si>
  <si>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</si>
  <si>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</si>
  <si>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</si>
  <si>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</si>
  <si>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</si>
  <si>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</si>
  <si>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</si>
  <si>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</si>
  <si>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</si>
  <si>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</si>
  <si>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</si>
  <si>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</si>
  <si>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</si>
  <si>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</si>
  <si>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</si>
  <si>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</si>
  <si>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</si>
  <si>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</si>
  <si>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</si>
  <si>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</si>
  <si>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</si>
  <si>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</si>
  <si>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</si>
  <si>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</si>
  <si>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</si>
  <si>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</si>
  <si>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</si>
  <si>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</si>
  <si>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</si>
  <si>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</si>
  <si>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</si>
  <si>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</si>
  <si>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</si>
  <si>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</si>
  <si>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</si>
  <si>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</si>
  <si>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</si>
  <si>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</si>
  <si>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</si>
  <si>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</si>
  <si>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</si>
  <si>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</si>
  <si>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</si>
  <si>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</si>
  <si>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</si>
  <si>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</si>
  <si>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</si>
  <si>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</si>
  <si>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</si>
  <si>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</si>
  <si>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</si>
  <si>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</si>
  <si>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</si>
  <si>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</si>
  <si>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</si>
  <si>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</si>
  <si>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</si>
  <si>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</si>
  <si>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</si>
  <si>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</si>
  <si>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</si>
  <si>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</si>
  <si>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</si>
  <si>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</si>
  <si>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</si>
  <si>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</si>
  <si>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</si>
  <si>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</si>
  <si>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</si>
  <si>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</si>
  <si>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</si>
  <si>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</si>
  <si>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</si>
  <si>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</si>
  <si>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</si>
  <si>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</si>
  <si>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</si>
  <si>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</si>
  <si>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</si>
  <si>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</si>
  <si>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</si>
  <si>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</si>
  <si>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</si>
  <si>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</si>
  <si>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</si>
  <si>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</si>
  <si>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</si>
  <si>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</si>
  <si>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</si>
  <si>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</si>
  <si>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</si>
  <si>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</si>
  <si>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</si>
  <si>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</si>
  <si>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</si>
  <si>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</si>
  <si>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</si>
  <si>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</si>
  <si>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</si>
  <si>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</si>
  <si>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</si>
  <si>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</si>
  <si>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</si>
  <si>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</si>
  <si>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</si>
  <si>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</si>
  <si>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</si>
  <si>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</si>
  <si>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</si>
  <si>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</si>
  <si>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</si>
  <si>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</si>
  <si>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</si>
  <si>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</si>
  <si>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</si>
  <si>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</si>
  <si>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</si>
  <si>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</si>
  <si>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</si>
  <si>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</si>
  <si>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</si>
  <si>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</si>
  <si>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</si>
  <si>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</si>
  <si>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</si>
  <si>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</si>
  <si>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</si>
  <si>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</si>
  <si>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</si>
  <si>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</si>
  <si>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</si>
  <si>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</si>
  <si>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</si>
  <si>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</si>
  <si>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</si>
  <si>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</si>
  <si>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</si>
  <si>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</si>
  <si>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</si>
  <si>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</si>
  <si>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</si>
  <si>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</si>
  <si>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</si>
  <si>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</si>
  <si>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</si>
  <si>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</si>
  <si>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</si>
  <si>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</si>
  <si>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</si>
  <si>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</si>
  <si>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</si>
  <si>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</si>
  <si>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</si>
  <si>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</si>
  <si>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</si>
  <si>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</si>
  <si>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</si>
  <si>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</si>
  <si>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</si>
  <si>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</si>
  <si>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</si>
  <si>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</si>
  <si>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</si>
  <si>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</si>
  <si>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</si>
  <si>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</si>
  <si>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</si>
  <si>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</si>
  <si>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</si>
  <si>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</si>
  <si>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</si>
  <si>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</si>
  <si>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</si>
  <si>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</si>
  <si>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</si>
  <si>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</si>
  <si>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</si>
  <si>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</si>
  <si>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</si>
  <si>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</si>
  <si>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</si>
  <si>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</si>
  <si>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</si>
  <si>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</si>
  <si>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</si>
  <si>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</si>
  <si>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</si>
  <si>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</si>
  <si>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</si>
  <si>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</si>
  <si>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</si>
  <si>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</si>
  <si>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</si>
  <si>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</si>
  <si>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</si>
  <si>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</si>
  <si>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</si>
  <si>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</si>
  <si>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</si>
  <si>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</si>
  <si>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</si>
  <si>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</si>
  <si>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</si>
  <si>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</si>
  <si>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</si>
  <si>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</si>
  <si>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Cantoneira em aço de abas iguais de 1" x 1/8"</t>
  </si>
  <si>
    <t>M0285</t>
  </si>
  <si>
    <t>Pontalete para escoramento - D = 15 cm</t>
  </si>
  <si>
    <t>Argamassa de cimento e areia para assentamento das lajotas</t>
  </si>
  <si>
    <t>Tubo de aço galvanizado DN 2" e=3mm</t>
  </si>
  <si>
    <t>Tampão de ferro galvanizado (CAP) DN 2 "</t>
  </si>
  <si>
    <t>Fornecimento e implantação de placas  totalmente refletivas de regulamentação tipo octogonal (R1 - Pare) L= 25cm, inclusive suporte metálico e base de concreto conforme detalhe - urbano</t>
  </si>
  <si>
    <t>Fornecimento e implantação de placas totalmente refletivas de advertência tipo quadrada 45x45cm, inclusive suporte metálico e base de concreto conforme detalhe - urbano</t>
  </si>
  <si>
    <t>Fornecimento e implantação de placas totalmente refletivas de regulamentação tipo circular D= 50cm, inclusive suporte metálico e base de concreto conforme detalhe - urbano</t>
  </si>
  <si>
    <t>Fornecimento e implantação de placas totalmente refletivas de identificação de ruas (duas por suporte) 25x50cm, inclusive suporte metálico e base de concreto conforme detalhe - urbano</t>
  </si>
  <si>
    <t>Fornecimento e implantação de placas totalmente refletivas de regulamentação tipo triangular (R-2 - Preferencial) L= 70cm, inclusive suporte metálico e base de concreto conforme detalhe - urbano</t>
  </si>
  <si>
    <t>Fornecimento e implantação de placas totalmente refletivas retangular 100x200cm, inclusive dois suportes metálicos e base de concreto conforme detalhe - urbano</t>
  </si>
  <si>
    <t>Fornecimento e implantação de placas totalmente refletivas de regulamentação tipo retangular (ônibus) 40x60cm, inclusive suporte metálico e base de concreto conforme detalhe - urbano</t>
  </si>
  <si>
    <t>Fornecimento e implantação de placas totalmente refletivas retangular 50x200cm - urbano</t>
  </si>
  <si>
    <t>COMP 60</t>
  </si>
  <si>
    <t>COMP 61</t>
  </si>
  <si>
    <t>COMP 62</t>
  </si>
  <si>
    <t>COMP 63</t>
  </si>
  <si>
    <t>COMP 64</t>
  </si>
  <si>
    <t>COMP 65</t>
  </si>
  <si>
    <t>Fornecimento e implantação de placas  totalmente refletivas de regulamentação tipo octogonal (R1 - Pare) L= 31cm, inclusive suporte metálico e base de concreto conforme detalhe - rural</t>
  </si>
  <si>
    <t>Fornecimento e implantação de placas totalmente refletivas de advertência tipo quadrada 60x60cm, inclusive suporte metálico e base de concreto conforme detalhe - rural</t>
  </si>
  <si>
    <t>Fornecimento e implantação de placas totalmente refletivas de regulamentação tipo circular D= 60cm, inclusive suporte metálico e base de concreto conforme detalhe - rural</t>
  </si>
  <si>
    <t>3. LOCAL DA JAZIDA DE ARGILA</t>
  </si>
  <si>
    <t>4. LOCAIS DE BOTA-FORA</t>
  </si>
  <si>
    <t>Relativo</t>
  </si>
  <si>
    <t>BDI MATERIAIS:</t>
  </si>
  <si>
    <t>O volume de reaterro para sarjetas é obtido da multiplicação da extensão de sarjetas pela seção unitária de aterro.</t>
  </si>
  <si>
    <t>Sarjeta</t>
  </si>
  <si>
    <t>Volume de aterro</t>
  </si>
  <si>
    <t>O volume de reaterro para banquetas é obtido da multiplicação da extensão de banquetas pela seção unitária de aterro.</t>
  </si>
  <si>
    <t>Banqueta</t>
  </si>
  <si>
    <t>A quantidade de travessias deve ser obtida das plantas.</t>
  </si>
  <si>
    <t>TSS 01</t>
  </si>
  <si>
    <t>TSS 02</t>
  </si>
  <si>
    <t>Transposição de segmentos de sarjeta - TSS 01 - areia e brita comerciais</t>
  </si>
  <si>
    <t>Transposição de segmentos de sarjeta - TSS 02 - areia e brita comerciais</t>
  </si>
  <si>
    <t>O volume de reaterro para bordo é obtido da multiplicação da extensão do trecho pela seção unitária de aterro.</t>
  </si>
  <si>
    <t>A extensão do trecho a ser reaterrado é a extensão total dobrada (dois lados), devendo ser descontada a extensão de meio-fio, sarjetas, banquetas e travessias.</t>
  </si>
  <si>
    <t>Extensão dobrada</t>
  </si>
  <si>
    <t>Travessia</t>
  </si>
  <si>
    <t>Acessos</t>
  </si>
  <si>
    <t>SERVIÇOS TÉCNICOS AMBIENTAIS</t>
  </si>
  <si>
    <t>Os serviços ambientais são obtidos conforme os cálculos a seguir.</t>
  </si>
  <si>
    <t>A quantidade de profissionais é igual ao periodo da obra multiplicado pelo número de profissionais.</t>
  </si>
  <si>
    <t>Profissional</t>
  </si>
  <si>
    <t>Meses (cronograma)</t>
  </si>
  <si>
    <t>mês</t>
  </si>
  <si>
    <t>Quantidade de profissionais</t>
  </si>
  <si>
    <t>Total de meses</t>
  </si>
  <si>
    <t>Técnico</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</si>
  <si>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</si>
  <si>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</si>
  <si>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</si>
  <si>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</si>
  <si>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</si>
  <si>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</si>
  <si>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</si>
  <si>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</si>
  <si>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</si>
  <si>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</si>
  <si>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</si>
  <si>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</si>
  <si>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</si>
  <si>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</si>
  <si>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</si>
  <si>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</si>
  <si>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</si>
  <si>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</si>
  <si>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</si>
  <si>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</si>
  <si>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</si>
  <si>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</si>
  <si>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</si>
  <si>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</si>
  <si>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</si>
  <si>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</si>
  <si>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</si>
  <si>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</si>
  <si>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</si>
  <si>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</si>
  <si>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</si>
  <si>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</si>
  <si>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</si>
  <si>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</si>
  <si>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</si>
  <si>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</si>
  <si>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</si>
  <si>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</si>
  <si>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</si>
  <si>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</si>
  <si>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</si>
  <si>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</si>
  <si>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</si>
  <si>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</si>
  <si>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</si>
  <si>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</si>
  <si>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</si>
  <si>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</si>
  <si>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</si>
  <si>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</si>
  <si>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</si>
  <si>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</si>
  <si>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</si>
  <si>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</si>
  <si>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</si>
  <si>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</si>
  <si>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</si>
  <si>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</si>
  <si>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</si>
  <si>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</si>
  <si>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</si>
  <si>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</si>
  <si>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</si>
  <si>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</si>
  <si>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</si>
  <si>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</si>
  <si>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</si>
  <si>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</si>
  <si>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</si>
  <si>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</si>
  <si>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</si>
  <si>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</si>
  <si>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</si>
  <si>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</si>
  <si>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</si>
  <si>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</si>
  <si>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</si>
  <si>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</si>
  <si>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</si>
  <si>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</si>
  <si>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</si>
  <si>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</si>
  <si>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</si>
  <si>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</si>
  <si>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</si>
  <si>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</si>
  <si>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</si>
  <si>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</si>
  <si>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</si>
  <si>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</si>
  <si>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</si>
  <si>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</si>
  <si>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</si>
  <si>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</si>
  <si>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</si>
  <si>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</si>
  <si>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</si>
  <si>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</si>
  <si>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</si>
  <si>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</si>
  <si>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</si>
  <si>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</si>
  <si>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</si>
  <si>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</si>
  <si>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</si>
  <si>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</si>
  <si>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</si>
  <si>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</si>
  <si>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</si>
  <si>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</si>
  <si>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</si>
  <si>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</si>
  <si>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</si>
  <si>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</si>
  <si>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</si>
  <si>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</si>
  <si>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</si>
  <si>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</si>
  <si>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</si>
  <si>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</si>
  <si>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</si>
  <si>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</si>
  <si>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</si>
  <si>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</si>
  <si>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</si>
  <si>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</si>
  <si>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</si>
  <si>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</si>
  <si>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</si>
  <si>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</si>
  <si>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</si>
  <si>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</si>
  <si>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</si>
  <si>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</si>
  <si>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</si>
  <si>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</si>
  <si>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</si>
  <si>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</si>
  <si>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</si>
  <si>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</si>
  <si>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</si>
  <si>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</si>
  <si>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</si>
  <si>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</si>
  <si>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</si>
  <si>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</si>
  <si>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</si>
  <si>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</si>
  <si>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</si>
  <si>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</si>
  <si>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</si>
  <si>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</si>
  <si>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</si>
  <si>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</si>
  <si>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</si>
  <si>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</si>
  <si>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</si>
  <si>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</si>
  <si>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</si>
  <si>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</si>
  <si>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</si>
  <si>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</si>
  <si>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</si>
  <si>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</si>
  <si>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</si>
  <si>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</si>
  <si>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</si>
  <si>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</si>
  <si>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</si>
  <si>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</si>
  <si>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</si>
  <si>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</si>
  <si>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</si>
  <si>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</si>
  <si>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</si>
  <si>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</si>
  <si>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</si>
  <si>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</si>
  <si>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</si>
  <si>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</si>
  <si>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</si>
  <si>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</si>
  <si>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</si>
  <si>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</si>
  <si>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</si>
  <si>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</si>
  <si>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</si>
  <si>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</si>
  <si>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MARÇO/2021</t>
  </si>
  <si>
    <t>DIMENSIONAMENTO BUEIROS NOVOS</t>
  </si>
  <si>
    <t>altura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</si>
  <si>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</si>
  <si>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</si>
  <si>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</si>
  <si>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</si>
  <si>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</si>
  <si>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</si>
  <si>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</si>
  <si>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</si>
  <si>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</si>
  <si>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</si>
  <si>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</si>
  <si>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</si>
  <si>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</si>
  <si>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</si>
  <si>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</si>
  <si>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</si>
  <si>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</si>
  <si>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</si>
  <si>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</si>
  <si>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</si>
  <si>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</si>
  <si>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</si>
  <si>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</si>
  <si>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</si>
  <si>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</si>
  <si>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</si>
  <si>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</si>
  <si>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</si>
  <si>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</si>
  <si>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</si>
  <si>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</si>
  <si>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</si>
  <si>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</si>
  <si>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</si>
  <si>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</si>
  <si>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</si>
  <si>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</si>
  <si>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</si>
  <si>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</si>
  <si>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</si>
  <si>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</si>
  <si>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</si>
  <si>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</si>
  <si>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</si>
  <si>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</si>
  <si>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</si>
  <si>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</si>
  <si>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</si>
  <si>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</si>
  <si>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</si>
  <si>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</si>
  <si>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</si>
  <si>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</si>
  <si>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</si>
  <si>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</si>
  <si>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</si>
  <si>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</si>
  <si>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</si>
  <si>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</si>
  <si>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</si>
  <si>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</si>
  <si>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</si>
  <si>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</si>
  <si>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</si>
  <si>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</si>
  <si>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</si>
  <si>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</si>
  <si>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</si>
  <si>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</si>
  <si>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</si>
  <si>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</si>
  <si>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</si>
  <si>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</si>
  <si>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</si>
  <si>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</si>
  <si>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</si>
  <si>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</si>
  <si>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</si>
  <si>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</si>
  <si>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</si>
  <si>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</si>
  <si>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</si>
  <si>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</si>
  <si>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</si>
  <si>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</si>
  <si>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</si>
  <si>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</si>
  <si>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</si>
  <si>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</si>
  <si>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</si>
  <si>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</si>
  <si>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</si>
  <si>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</si>
  <si>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</si>
  <si>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</si>
  <si>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</si>
  <si>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</si>
  <si>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</si>
  <si>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</si>
  <si>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</si>
  <si>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</si>
  <si>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</si>
  <si>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</si>
  <si>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</si>
  <si>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</si>
  <si>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</si>
  <si>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</si>
  <si>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</si>
  <si>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</si>
  <si>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</si>
  <si>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</si>
  <si>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</si>
  <si>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</si>
  <si>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</si>
  <si>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</si>
  <si>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</si>
  <si>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</si>
  <si>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</si>
  <si>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</si>
  <si>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CAP 50-70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</si>
  <si>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</si>
  <si>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</si>
  <si>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</si>
  <si>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</si>
  <si>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</si>
  <si>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</si>
  <si>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</si>
  <si>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</si>
  <si>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</si>
  <si>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</si>
  <si>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</si>
  <si>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</si>
  <si>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</si>
  <si>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</si>
  <si>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</si>
  <si>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</si>
  <si>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</si>
  <si>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</si>
  <si>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</si>
  <si>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</si>
  <si>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</si>
  <si>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</si>
  <si>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</si>
  <si>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Remoção de tubos de concreto com diâmetro de 0,40 m a 1,00 m em valas e bueiros</t>
  </si>
  <si>
    <t>A área de mureta é dada pela multiplicação da extensão pela altura da mureta.</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</si>
  <si>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</si>
  <si>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</si>
  <si>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</si>
  <si>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</si>
  <si>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</si>
  <si>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</si>
  <si>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</si>
  <si>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</si>
  <si>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</si>
  <si>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</si>
  <si>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</si>
  <si>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</si>
  <si>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</si>
  <si>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</si>
  <si>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</si>
  <si>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</si>
  <si>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</si>
  <si>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</si>
  <si>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</si>
  <si>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</si>
  <si>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</si>
  <si>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</si>
  <si>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</si>
  <si>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</si>
  <si>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</si>
  <si>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</si>
  <si>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</si>
  <si>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</si>
  <si>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</si>
  <si>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</si>
  <si>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</si>
  <si>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</si>
  <si>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</si>
  <si>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</si>
  <si>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</si>
  <si>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</si>
  <si>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</si>
  <si>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</si>
  <si>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</si>
  <si>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</si>
  <si>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</si>
  <si>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</si>
  <si>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</si>
  <si>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</si>
  <si>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</si>
  <si>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</si>
  <si>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</si>
  <si>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</si>
  <si>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</si>
  <si>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</si>
  <si>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</si>
  <si>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</si>
  <si>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</si>
  <si>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</si>
  <si>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</si>
  <si>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</si>
  <si>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</si>
  <si>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</si>
  <si>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</si>
  <si>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</si>
  <si>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</si>
  <si>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</si>
  <si>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</si>
  <si>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</si>
  <si>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</si>
  <si>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</si>
  <si>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</si>
  <si>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</si>
  <si>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</si>
  <si>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</si>
  <si>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</si>
  <si>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</si>
  <si>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</si>
  <si>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</si>
  <si>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</si>
  <si>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</si>
  <si>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</si>
  <si>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</si>
  <si>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</si>
  <si>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</si>
  <si>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</si>
  <si>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</si>
  <si>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</si>
  <si>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</si>
  <si>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</si>
  <si>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</si>
  <si>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</si>
  <si>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</si>
  <si>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</si>
  <si>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</si>
  <si>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</si>
  <si>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</si>
  <si>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</si>
  <si>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</si>
  <si>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</si>
  <si>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</si>
  <si>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</si>
  <si>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</si>
  <si>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</si>
  <si>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</si>
  <si>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</si>
  <si>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</si>
  <si>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</si>
  <si>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</si>
  <si>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</si>
  <si>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</si>
  <si>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</si>
  <si>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</si>
  <si>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</si>
  <si>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</si>
  <si>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</si>
  <si>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</si>
  <si>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</si>
  <si>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</si>
  <si>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</si>
  <si>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</si>
  <si>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</si>
  <si>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</si>
  <si>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</si>
  <si>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</si>
  <si>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</si>
  <si>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</si>
  <si>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</si>
  <si>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</si>
  <si>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</si>
  <si>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</si>
  <si>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</si>
  <si>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</si>
  <si>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</si>
  <si>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06</t>
  </si>
  <si>
    <t>Mureta de alvenaria de bloco de concreto rebocada na face externa</t>
  </si>
  <si>
    <t>LOMBADA</t>
  </si>
  <si>
    <t>A extensão de valetas deve ser obtida diretamente do desenho.</t>
  </si>
  <si>
    <t>A área da pintura de ligação é dada multiplicação da quantidade de lomabdas, da largura da via e da largura da lombada.</t>
  </si>
  <si>
    <t>Quantidade de lombabas</t>
  </si>
  <si>
    <t>Largura da lombada</t>
  </si>
  <si>
    <t>A quantidade de CAUQ é dada pela multiplicaçãoda quantidade de lombadas, pela largura da via e pelo área unitária da seção, devendo ainda ser multiplicada pela densidade da massa asfáltica.</t>
  </si>
  <si>
    <t>A quantidade de CAP é dada pela multiplicaão da quantidade de CAUQ pelo teor de batume previsto.</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</si>
  <si>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</si>
  <si>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</si>
  <si>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</si>
  <si>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</si>
  <si>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</si>
  <si>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</si>
  <si>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</si>
  <si>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</si>
  <si>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</si>
  <si>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</si>
  <si>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</si>
  <si>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</si>
  <si>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</si>
  <si>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</si>
  <si>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</si>
  <si>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</si>
  <si>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</si>
  <si>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</si>
  <si>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</si>
  <si>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</si>
  <si>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</si>
  <si>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</si>
  <si>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</si>
  <si>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</si>
  <si>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</si>
  <si>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</si>
  <si>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</si>
  <si>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</si>
  <si>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</si>
  <si>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</si>
  <si>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</si>
  <si>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</si>
  <si>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</si>
  <si>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</si>
  <si>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</si>
  <si>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</si>
  <si>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</si>
  <si>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Descida d'água de cortes em degraus - DCD 01 - areia e brita comerciais</t>
  </si>
  <si>
    <t>Projeção da área de talude</t>
  </si>
  <si>
    <t>FAIXA ELEVADA</t>
  </si>
  <si>
    <t>A área da pintura de ligação é dada multiplicação da quantidade, da largura da via e da largura.</t>
  </si>
  <si>
    <t>A quantidade de CAUQ é dada pela multiplicaçãoda quantidade, pela largura da via e pelo área unitária da seção, devendo ainda ser multiplicada pela densidade da massa asfáltica.</t>
  </si>
  <si>
    <t>Mureta</t>
  </si>
  <si>
    <t>Seção A</t>
  </si>
  <si>
    <t>Unitário escavação</t>
  </si>
  <si>
    <t>Volume de escavação</t>
  </si>
  <si>
    <t>Unitário muro</t>
  </si>
  <si>
    <t>Volume muro</t>
  </si>
  <si>
    <t>Seção B</t>
  </si>
  <si>
    <t>Seção C</t>
  </si>
  <si>
    <t>Seção D</t>
  </si>
  <si>
    <t>Seção E</t>
  </si>
  <si>
    <t>Muro</t>
  </si>
  <si>
    <t>Escavação mecânica de vala em material de 2ª categoria</t>
  </si>
  <si>
    <t>t.Km</t>
  </si>
  <si>
    <t>Transporte com caminhão basculante de 10 m³ - rodovia em revestimento primário</t>
  </si>
  <si>
    <t>Reaterro e compactação com soquete vibratório</t>
  </si>
  <si>
    <t>Corpo de BSTC D = 0,60 m PA2 - areia, brita e pedra de mão comerciais</t>
  </si>
  <si>
    <t>Corpo de BSTC D = 0,80 m PA2 - areia, brita e pedra de mão comerciais</t>
  </si>
  <si>
    <t>Corpo de BSTC D = 1,00 m PA2 - areia, brita e pedra de mão comerciais</t>
  </si>
  <si>
    <t>Corpo de BSTC D = 1,20 m PA2 - areia, brita e pedra de mão comerciais</t>
  </si>
  <si>
    <t>Corpo de BDTC D = 0,80 m PA2 - areia, brita e pedra de mão comerciais</t>
  </si>
  <si>
    <t>Corpo de BDTC D = 1,00 m PA2 - areia, brita e pedra de mão comerciais</t>
  </si>
  <si>
    <t>Corpo de BDTC D = 1,20 m PA2 - areia, brita e pedra de mão comerciais</t>
  </si>
  <si>
    <t>Corpo de BTTC D = 1,00 m PA2 - areia, brita e pedra de mão comerciais</t>
  </si>
  <si>
    <t>Corpo de BTTC D = 1,20 m PA2 - areia, brita e pedra de mão comerciais</t>
  </si>
  <si>
    <t>Corpo de BSCC - seção canal de 1,5 x 1,5 m - pré-moldado - areia e brita comerciais</t>
  </si>
  <si>
    <t>Corpo de BSCC - seção canal de 2,0 x 2,0 m - pré-moldado - tipo I - areia e brita comerciais</t>
  </si>
  <si>
    <t>Corpo de BSCC - seção fechada de 2,5 x 2,5 m - pré-moldado - altura do aterro de 0,25 a 1,00 m - areia e brita comerciais</t>
  </si>
  <si>
    <t>Corpo de BDCC 1,50 x 1,50 m - moldado no local - altura do aterro 1,00 a 2,50 m - areia e brita comerciais</t>
  </si>
  <si>
    <t>Corpo de BDCC 2,00 x 2,00 m - moldado no local - altura do aterro 1,00 a 2,50 m - areia e brita comerciais</t>
  </si>
  <si>
    <t>Corpo de BDCC 2,50 x 2,50 m - moldado no local - altura do aterro 1,00 a 2,50 m - areia e brita comerciais</t>
  </si>
  <si>
    <t>Corpo de BTCC 1,50 x 1,50 m - moldado no local - altura do aterro 1,00 a 2,50 m - areia e brita comerciais</t>
  </si>
  <si>
    <t>Corpo de BTCC 2,00 x 2,00 m - moldado no local - altura do aterro 1,00 a 2,50 m - areia e brita comerciais</t>
  </si>
  <si>
    <t>Corpo de BTCC 2,50 x 2,50 m - moldado no local - altura do aterro 1,00 a 2,50 m - areia e brita comerciais</t>
  </si>
  <si>
    <t>Boca de lobo simples - BLS 01 - areia e brita comerciais</t>
  </si>
  <si>
    <t>Boca de lobo simples - BLS 02 - areia e brita comerciais</t>
  </si>
  <si>
    <t>Boca de BSTC D = 0,60 m - esconsidade 0° - areia e brita comerciais - alas retas</t>
  </si>
  <si>
    <t>Boca de BSTC D = 0,80 m - esconsidade 0° - areia e brita comerciais - alas retas</t>
  </si>
  <si>
    <t>Boca de BSTC D = 1,20 m - esconsidade 0° - areia e brita comerciais - alas retas</t>
  </si>
  <si>
    <t>Boca de BSTC D = 1,00 m - esconsidade 0° - areia e brita comerciais - alas retas</t>
  </si>
  <si>
    <t>Boca de BDTC D = 0,80 m - esconsidade 0° - areia e brita comerciais - alas retas</t>
  </si>
  <si>
    <t>Boca de BDTC D = 1,00 m - esconsidade 0° - areia e brita comerciais - alas retas</t>
  </si>
  <si>
    <t>Boca de BTTC D = 1,00 m - esconsidade 0° - areia e brita comerciais - alas retas</t>
  </si>
  <si>
    <t>Boca de BTTC D = 1,20 m - esconsidade 0° - areia e brita comerciais - alas retas</t>
  </si>
  <si>
    <t>Boca de BSCC 1,50 x 1,50 m - esconsidade 0° - areia e brita comerciais</t>
  </si>
  <si>
    <t>Boca de BSCC 2,50 x 2,50 m - esconsidade 0° - areia e brita comerciais</t>
  </si>
  <si>
    <t>Boca de BDCC 1,50 x 1,50 m - esconsidade 0° - areia e brita comerciais</t>
  </si>
  <si>
    <t>Boca de BDCC 2,50 x 2,50 m - esconsidade 0° - areia e brita comerciais</t>
  </si>
  <si>
    <t>Boca de BTCC 1,50 x 1,50 m - esconsidade 0° - areia e brita comerciais</t>
  </si>
  <si>
    <t>Boca de BTCC 2,50 x 2,50 m - esconsidade 0° - areia e brita comerciais</t>
  </si>
  <si>
    <t>Dissipador de energia - DEB 03 - areia, brita e pedra de mão comerciais</t>
  </si>
  <si>
    <t>Dissipador de energia - DEB 04 - areia, brita e pedra de mão comerciais</t>
  </si>
  <si>
    <t>Dissipador de energia - DEB 05 - areia, brita e pedra de mão comerciais</t>
  </si>
  <si>
    <t>Dissipador de energia - DEB 06 - areia, brita e pedra de mão comerciais</t>
  </si>
  <si>
    <t>Dissipador de energia - DEB 01 - areia, brita e pedra de mão comerciais</t>
  </si>
  <si>
    <t>Dissipador de energia - DEB 02 - areia, brita e pedra de mão comerciais</t>
  </si>
  <si>
    <t>Dreno longitudinal profundo para corte em solo - DPS 08 - tubo PEAD e brita comercial</t>
  </si>
  <si>
    <t>Compactação manual com soquete vibratório</t>
  </si>
  <si>
    <t>Meio-fio de concreto - MFC 03 moldado no local com extrusora e concreto usinado - areia e brita comerciais</t>
  </si>
  <si>
    <t>Meio-fio de concreto - MFC 05 moldado no local com extrusora e concreto usinado - areia e brita comerciais</t>
  </si>
  <si>
    <t>Meio-fio de concreto - MFC 08 moldado no local com extrusora e concreto usinado - areia e brita comerciais</t>
  </si>
  <si>
    <t>Descida d'água de cortes em degraus - DCD 02 - areia e brita comerciais</t>
  </si>
  <si>
    <t>Descida d'água de aterros tipo rápido - DAR 02 - areia e brita comerciais</t>
  </si>
  <si>
    <t>Descida d'água de aterros tipo rápido - DAR 03 - areia e brita comerciais</t>
  </si>
  <si>
    <t>Descida d'água de aterros em degraus - DAD 02 - areia e brita comerciais</t>
  </si>
  <si>
    <t>Descida d'água de aterros em degraus - DAD 04 - areia e brita comerciais</t>
  </si>
  <si>
    <t>Descida d'água de aterros em degraus - DAD 06 - areia e brita comerciais</t>
  </si>
  <si>
    <t>Descida d'água de aterros em degraus - DAD 08 - areia e brita comerciais</t>
  </si>
  <si>
    <t>Descida d'água de aterros em degraus - DAD 10 - areia e brita comerciais</t>
  </si>
  <si>
    <t>Descida d'água de aterros em degraus - DAD 12 - areia e brita comerciais</t>
  </si>
  <si>
    <t>Descida d'água de aterros em degraus - DAD 14 - areia e brita comerciais</t>
  </si>
  <si>
    <t>Descida d'água de aterros em degraus - DAD 16 - areia e brita comerciais</t>
  </si>
  <si>
    <t>Descida d'água de aterros em degraus - DAD 18 - areia e brita comerciais</t>
  </si>
  <si>
    <t>Tubo de concreto PA1 comercial para drenagem - D = 0,60 m - fornecimento e instalação</t>
  </si>
  <si>
    <t>Tubo de concreto PA1 comercial para drenagem - D = 0,80 m - fornecimento e instalação</t>
  </si>
  <si>
    <t>Tubo de concreto PA2 comercial para drenagem - D = 1,00 m - fornecimento e instalação</t>
  </si>
  <si>
    <t>Tubo de concreto PA2 comercial para drenagem - D = 1,20 m - fornecimento e instalação</t>
  </si>
  <si>
    <t>Boca de lobo simples - grelha de concreto - BLSG 01 - areia e brita comerciais</t>
  </si>
  <si>
    <t>Boca de lobo simples - grelha de concreto - BLSG 02 - areia e brita comerciais</t>
  </si>
  <si>
    <t>Boca de lobo simples - grelha de concreto - BLSG 03 - areia e brita comerciais</t>
  </si>
  <si>
    <t>Boca de lobo simples - grelha de concreto - BLSG 04 - areia e brita comerciais</t>
  </si>
  <si>
    <t>Caixa de ligação e passagem - CLP 03 - areia e brita comerciais</t>
  </si>
  <si>
    <t>Caixa de ligação e passagem - CLP 04 - areia e brita comerciais</t>
  </si>
  <si>
    <t>Poço de visita - PVI 03 - areia e brita comerciais</t>
  </si>
  <si>
    <t>Poço de visita - PVI 04 - areia e brita comerciais</t>
  </si>
  <si>
    <t>Boca de BSTC D = 0,40 m - esconsidade 0° - areia e brita comerciais - alas retas</t>
  </si>
  <si>
    <t>Transporte com caminhão basculante de 10 m³ - rodovia pavimentada</t>
  </si>
  <si>
    <t>Base ou sub-base de brita graduada com brita comercial</t>
  </si>
  <si>
    <t>Imprimação com emulsão asfáltica</t>
  </si>
  <si>
    <t>Concreto asfáltico com borracha - faixa B - brita comercial</t>
  </si>
  <si>
    <t>Regularização do subleito</t>
  </si>
  <si>
    <t>Base ou sub-base de macadame seco com brita comercial</t>
  </si>
  <si>
    <t>Fresagem contínua de revestimento asfáltico</t>
  </si>
  <si>
    <t>Desmatamento, destocamento, limpeza de área e estocagem do material de limpeza com árvores de diâmetro até 0,15 m</t>
  </si>
  <si>
    <t>Escavação, carga e transporte de material de 2ª categoria - DMT de 50 a 200 m - caminho de serviço em revestimento primário - com escavadeira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</si>
  <si>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</si>
  <si>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</si>
  <si>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</si>
  <si>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50 m</t>
  </si>
  <si>
    <t>Destocamento de árvores com diâmetro de 0,15 a 0,30 m</t>
  </si>
  <si>
    <t>Destocamento de árvores com diâmetro maior que 0,30 m</t>
  </si>
  <si>
    <t>Escavação e transporte de material de 3ª categoria - DMT de 0 a 50 m</t>
  </si>
  <si>
    <t>Escavação, carga e transporte de material de 3ª categoria - DMT de 50 a 200 m - caminho de serviço em revestimento primário -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</si>
  <si>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</si>
  <si>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</si>
  <si>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600 a 800 m - caminho de serviço em revestimento primário - com caminhão basculante de 12 m³</t>
  </si>
  <si>
    <t>Escavação, carga e transporte de material de 3ª categoria na distância de 3.000 m - caminho de serviço em revestimento primário - com caminhão basculante de 12 m³</t>
  </si>
  <si>
    <t>Lastro de brita comercial compactado com soquete vibratório - espalhamento manual</t>
  </si>
  <si>
    <t>Compactação de aterros a 100% do Proctor normal</t>
  </si>
  <si>
    <t>Compactação de camada final de aterro de rocha</t>
  </si>
  <si>
    <t>Remoção mecanizada de camada granular do pavimento</t>
  </si>
  <si>
    <t>Remoção mecanizada de revestimento asfáltico</t>
  </si>
  <si>
    <t>Reparo localizado com pintura de ligação - demolição mecânica e corte com serra</t>
  </si>
  <si>
    <t>Meio-fio de concreto - MFC 06 moldado no local com extrusora e concreto usinado - areia e brita comerciais</t>
  </si>
  <si>
    <t>Plantio de grama comercial em placas</t>
  </si>
  <si>
    <t>Pintura de faixa com tinta acrílica emulsionada em água - espessura de 0,5 mm</t>
  </si>
  <si>
    <t>Pintura de faixa com termoplástico por aspersão - espessura de 1,5 mm</t>
  </si>
  <si>
    <t>Pintura de setas e zebrados com tinta acrílica emulsionada em água - espessura de 0,5 mm</t>
  </si>
  <si>
    <t>Tachão refletivo em plástico injetado - bidirecional - fornecimento e colocação</t>
  </si>
  <si>
    <t>Tacha refletiva metálica - bidirecional tipo II - com um pino - fornecimento e colocação</t>
  </si>
  <si>
    <t>Suporte metálico galvanizado para placa de advertência ou regulamentação - lado ou diâmetro de 1,00 m - fornecimento e implantação</t>
  </si>
  <si>
    <t>Suporte metálico galvanizado para placa de regulamentação - R1 - lado de 0,414 m - fornecimento e implantação</t>
  </si>
  <si>
    <t>Suporte metálico galvanizado para placa de regulamentação - R2 - lado de 1,00 m - fornecimento e implantação</t>
  </si>
  <si>
    <t>Suporte metálico galvanizado para placas - 2,00 x 1,00 m - fornecimento e implantação</t>
  </si>
  <si>
    <t>Suporte metálico galvanizado para marco quilométrico - fornecimento e implantação</t>
  </si>
  <si>
    <t>Placa de advertência em aço, lado de 1,00 m - película retrorrefletiva tipo I + SI - fornecimento e implantação</t>
  </si>
  <si>
    <t>Placa de marco quilométrico em aço - 0,70 x 1,00 m - película retrorrefletiva tipo I + III - fornecimento e implantação</t>
  </si>
  <si>
    <t>Placa de regulamentação em aço D = 1,00 m - película retrorrefletiva tipo I + SI - fornecimento e implantação</t>
  </si>
  <si>
    <t>Placa de regulamentação em aço, R1 lado 0,414 m - película retrorrefletiva tipo I + SI - fornecimento e implantação</t>
  </si>
  <si>
    <t>Placa de regulamentação em aço, R2 lado 1,00 m - película retrorrefletiva tipo I + SI - fornecimento e implantação</t>
  </si>
  <si>
    <t>Placa em aço - 2,00 x 1,00 m - película retrorrefletiva tipo I + I - fornecimento e implantação</t>
  </si>
  <si>
    <t>Remoção de paralelepípedos</t>
  </si>
  <si>
    <t>Remoção de defensa metálica</t>
  </si>
  <si>
    <t>Remoção de placa de sinalização</t>
  </si>
  <si>
    <t>Cerca com 4 fios de arame farpado e mourão de madeira a cada 2,5 m e esticador a cada 50 m</t>
  </si>
  <si>
    <t>Cerca com 4 fios de arame liso galvanizado e mourão de madeira a cada 2,5 m e esticador a cada 50 m</t>
  </si>
  <si>
    <t>Defensa semimaleável simples - fornecimento e implantação</t>
  </si>
  <si>
    <t>Cerca de passagem de fauna com tela de alambrado sobre mureta de blocos de concreto - H = 20 cm - mourões de madeira a cada 2,5 m e esticador a cada 50 m</t>
  </si>
  <si>
    <t>Recomposição parcial de cerca com mourão de concreto - arame</t>
  </si>
  <si>
    <t>Recomposição parcial de cerca com mourão de madeira - mourão</t>
  </si>
  <si>
    <t>Recomposição parcial de cerca com mourão de concreto seção quadrada - mourão - areia e brita comerciais</t>
  </si>
  <si>
    <t>Recomposição total de cerca com mourão de concreto seção quadrada - areia e brita comerciais</t>
  </si>
  <si>
    <t>Recomposição total de cerca com mourão de madeira</t>
  </si>
  <si>
    <t>Placa em aço nº 16 galvanizado com película retrorrefletiva tipo I + I - confecção</t>
  </si>
  <si>
    <t>Boca de BSTC D = 1,50 m - esconsidade 0° - areia e brita comerciais - alas retas</t>
  </si>
  <si>
    <t>Corpo de BSTC D = 1,50 m PA2 - areia, brita e pedra de mão comerciais</t>
  </si>
  <si>
    <t>Alvenaria de blocos de concreto 19 x 19 x 39 cm com espessura de 20 cm com argamassa traço 1:0,5:3,5 - areia comercial</t>
  </si>
  <si>
    <t>Pedra argamassada com cimento e areia 1:3 - areia e pedra de mão comercial - fornecimento e assentamento</t>
  </si>
  <si>
    <t>Demolição de concreto armado</t>
  </si>
  <si>
    <t>Demolição de concreto simples</t>
  </si>
  <si>
    <t>Demolição de concreto simples com martelete</t>
  </si>
  <si>
    <t>E9556</t>
  </si>
  <si>
    <t>Compactador manual de placa vibratória - 3,00 kW</t>
  </si>
  <si>
    <t>P9821</t>
  </si>
  <si>
    <t>P9824</t>
  </si>
  <si>
    <t>Base composição SICRO 200379</t>
  </si>
  <si>
    <t>M0191</t>
  </si>
  <si>
    <t>M0192</t>
  </si>
  <si>
    <t>Brita 1</t>
  </si>
  <si>
    <t>Brita 2</t>
  </si>
  <si>
    <t>M2051</t>
  </si>
  <si>
    <t>Compactador manual de placa vibratória</t>
  </si>
  <si>
    <t>M2160</t>
  </si>
  <si>
    <t>Tubo corugado PEAD DN 100mm</t>
  </si>
  <si>
    <t>Tubo PEAD corrugado perfurado para drenagem - D = 100 mm</t>
  </si>
  <si>
    <t>Geotêxtil não-tecido agulhado em poliéster - resistência à tração longitudinal de 14 kN/m</t>
  </si>
  <si>
    <t>E9592P</t>
  </si>
  <si>
    <t>Caminhão carroceria com capacidade de 15 t - 188 kW - CHP</t>
  </si>
  <si>
    <t>Caminhão carroceria com capacidade de 15 t - 188 kW - CHI</t>
  </si>
  <si>
    <t>E9592I</t>
  </si>
  <si>
    <t>Armação em aço CA-25 - fornecimento, preparo e colocação</t>
  </si>
  <si>
    <t>Armação em aço CA-50 - fornecimento, preparo e colocação</t>
  </si>
  <si>
    <t>Armação em aço CA-60 - fornecimento, preparo e colocação</t>
  </si>
  <si>
    <t>M0075</t>
  </si>
  <si>
    <t>Arame liso recozido em aço-carbono - D = 1,24 mm (18 BWG)</t>
  </si>
  <si>
    <t>M0290</t>
  </si>
  <si>
    <t>Tábua - E = 2,5 cm e L = 10 cm</t>
  </si>
  <si>
    <t>E9686P</t>
  </si>
  <si>
    <t>E9686I</t>
  </si>
  <si>
    <t>Caminhão carroceria com guindauto com capacidade de 20 t.m - 136 kW CHP</t>
  </si>
  <si>
    <t>Caminhão carroceria com guindauto com capacidade de 20 t.m - 136 kW CHI</t>
  </si>
  <si>
    <t>Tubo de concreto armado PA1 - D = 0,40 m</t>
  </si>
  <si>
    <t>Tubo de concreto  D= 40cm M/F PA1</t>
  </si>
  <si>
    <t>Argamassa de cimento e areia 1:3 - confecção em betoneira e lançamento manual - areia comercial</t>
  </si>
  <si>
    <t>Tubo de concreto PA1 comercial para drenagem - D = 0,40 m - fornecimento e instalação</t>
  </si>
  <si>
    <t>E9526P</t>
  </si>
  <si>
    <t>E9526I</t>
  </si>
  <si>
    <t>Retroescavadeira de pneus com capacidade de 0,76 m³ - 58 Kw CHP</t>
  </si>
  <si>
    <t>Retroescavadeira de pneus com capacidade de 0,76 m³ - 58 Kw CHI</t>
  </si>
  <si>
    <t>Retroescavadeira - CHP</t>
  </si>
  <si>
    <t>Retroescavadeira - CHI</t>
  </si>
  <si>
    <t>E9556P</t>
  </si>
  <si>
    <t>E9556I</t>
  </si>
  <si>
    <t>Compactador manual de placa vibratória - 3,00 kW CHP</t>
  </si>
  <si>
    <t>Compactador manual de placa vibratória - 3,00 kW CHI</t>
  </si>
  <si>
    <t>Compactador de solo - CHI</t>
  </si>
  <si>
    <t>Fôrmas de tábuas de pinho para dispositivos de drenagem - utilização de 3 vezes - confecção, instalação e retirada</t>
  </si>
  <si>
    <t>Concreto fck = 20 MPa - confecção em betoneira e lançamento manual - areia e brita comerciais</t>
  </si>
  <si>
    <t>Lançamento manual de concreto usinado - confecção em central dosadora de 40 m³/h</t>
  </si>
  <si>
    <t>VPC 02</t>
  </si>
  <si>
    <t>VPC 04</t>
  </si>
  <si>
    <t>VPA 02</t>
  </si>
  <si>
    <t>Valeta de corte</t>
  </si>
  <si>
    <t>Valeta de aterro</t>
  </si>
  <si>
    <t>VPA 04</t>
  </si>
  <si>
    <t>trevo</t>
  </si>
  <si>
    <t>Os volumes de escavação são dados pela tabela de volumes obrigatórios apresentados abaixo obtidos do desenho, acrescidos de 10% de eventuais), considerando o material necessário para o aterro com o empolamento. Também deverá ser estocado o material necessário para o aterro dos meio-fios somados aos volumes de escavação para visibilidade.</t>
  </si>
  <si>
    <t>eventual</t>
  </si>
  <si>
    <t>PISTA</t>
  </si>
  <si>
    <t>ACOSTAMENTO</t>
  </si>
  <si>
    <t>Placa delineador em aço - 0,30 x 0,90 m - película retrorrefletiva tipo I + IV - fornecimento e implantação</t>
  </si>
  <si>
    <t>Placa em aço - 2,00 x 0,50 m - película retrorrefletiva tipo I + I - fornecimento e implantação</t>
  </si>
  <si>
    <t>Base composição SICRO 5213489</t>
  </si>
  <si>
    <t>P9830</t>
  </si>
  <si>
    <t>E9687P</t>
  </si>
  <si>
    <t>E9687I</t>
  </si>
  <si>
    <t>Caminhão carroceria com capacidade de 5 t - 115 kW CHP</t>
  </si>
  <si>
    <t>Caminhão carroceria com capacidade de 5 t - 115 kW CHI</t>
  </si>
  <si>
    <t>Caminhão carroceria com capacidade de 5t  CHP</t>
  </si>
  <si>
    <t>Caminhão carroceria com capacidade de 5 t CHI</t>
  </si>
  <si>
    <t>Suporte metálico galvanizado para placas - 2,00 x 0,50 m - fornecimento e implantação</t>
  </si>
  <si>
    <t>M0789</t>
  </si>
  <si>
    <t>Conjunto para fixação de placas em aço galvanizado composto por barra chata, abraçadeira, parafusos, porcas e arruelas</t>
  </si>
  <si>
    <t>M0787</t>
  </si>
  <si>
    <t>Suporte em aço-carbono galvanizado tipo perfil C para placa de sinalização</t>
  </si>
  <si>
    <t>Escavação manual em material de 1ª categoria na profundidade de até 1 m</t>
  </si>
  <si>
    <t>Suporte</t>
  </si>
  <si>
    <t>Corpo de BSTC D = 2,00 m PA2 - areia, brita e pedra de mão comerciais</t>
  </si>
  <si>
    <t>Base composição SICRO 0804055</t>
  </si>
  <si>
    <t>Base composição SICRO 5213868</t>
  </si>
  <si>
    <t>Tubo de concreto armado classe PA2 D= 2,00m</t>
  </si>
  <si>
    <t>Argamassa de cimento e areia 1:4 - confecção em betoneira e lançamento manual - areia comercial</t>
  </si>
  <si>
    <t>Concreto ciclópico fck = 20 MPa - confecção em betoneira e lançamento manual - areia, brita e pedra de mão comerciais</t>
  </si>
  <si>
    <t>Forma de tábuas de madeira</t>
  </si>
  <si>
    <t>Defensa</t>
  </si>
  <si>
    <t>5. REFINARIA EM RELAÇÃO A USINA</t>
  </si>
  <si>
    <t>CAP AB8</t>
  </si>
  <si>
    <t>RR-1C</t>
  </si>
  <si>
    <t>RR-2C</t>
  </si>
  <si>
    <t>DNIT</t>
  </si>
  <si>
    <t>Transporte da brita</t>
  </si>
  <si>
    <t>Taxa de aplicação</t>
  </si>
  <si>
    <t>RR</t>
  </si>
  <si>
    <t>Transporte RR</t>
  </si>
  <si>
    <t>Transporte EAI</t>
  </si>
  <si>
    <t>Transporte CAP</t>
  </si>
  <si>
    <t>Base composição 84400 Remanejamento postes linha transmissão da tabela DER/PR</t>
  </si>
  <si>
    <t>Os volumes podem ser calculados multiplicando a extensão do passa gado pela largura da vala e pela altura.</t>
  </si>
  <si>
    <t>Altura média</t>
  </si>
  <si>
    <t>Retaerro</t>
  </si>
  <si>
    <t>Esconcidade</t>
  </si>
  <si>
    <t>Extensão (m)</t>
  </si>
  <si>
    <t>Direita</t>
  </si>
  <si>
    <t>Esquerda</t>
  </si>
  <si>
    <t>CCT</t>
  </si>
  <si>
    <t>Caixa coletora de talvegue - CCT 02 - areia e brita comerciais</t>
  </si>
  <si>
    <t>Caixa coletora de talvegue - CCT 03 - areia e brita comerciais</t>
  </si>
  <si>
    <t>DCD 01</t>
  </si>
  <si>
    <t>Mês 07</t>
  </si>
  <si>
    <t>Mês 08</t>
  </si>
  <si>
    <t>Mês 09</t>
  </si>
  <si>
    <t>Mês 10</t>
  </si>
  <si>
    <t>Mês 11</t>
  </si>
  <si>
    <t>Mês 12</t>
  </si>
  <si>
    <t>Chaminé dos poços de visita - CPV 01 - areia e brita comerciais</t>
  </si>
  <si>
    <t>Descida d'água de aterros em degraus - DAD 05 - areia e brita comerciais</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</si>
  <si>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</si>
  <si>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</si>
  <si>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</si>
  <si>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</si>
  <si>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</si>
  <si>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</si>
  <si>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</si>
  <si>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</si>
  <si>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</si>
  <si>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</si>
  <si>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</si>
  <si>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</si>
  <si>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</si>
  <si>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</si>
  <si>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</si>
  <si>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</si>
  <si>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</si>
  <si>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</si>
  <si>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</si>
  <si>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</si>
  <si>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</si>
  <si>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</si>
  <si>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</si>
  <si>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</si>
  <si>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</si>
  <si>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</si>
  <si>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</si>
  <si>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</si>
  <si>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</si>
  <si>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</si>
  <si>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</si>
  <si>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</si>
  <si>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</si>
  <si>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</si>
  <si>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</si>
  <si>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</si>
  <si>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</si>
  <si>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</si>
  <si>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</si>
  <si>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</si>
  <si>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</si>
  <si>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</si>
  <si>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</si>
  <si>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</si>
  <si>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</si>
  <si>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</si>
  <si>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</si>
  <si>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</si>
  <si>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</si>
  <si>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</si>
  <si>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</si>
  <si>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</si>
  <si>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</si>
  <si>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</si>
  <si>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</si>
  <si>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</si>
  <si>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</si>
  <si>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</si>
  <si>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</si>
  <si>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</si>
  <si>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</si>
  <si>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</si>
  <si>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</si>
  <si>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</si>
  <si>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</si>
  <si>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</si>
  <si>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</si>
  <si>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</si>
  <si>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</si>
  <si>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</si>
  <si>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</si>
  <si>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</si>
  <si>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</si>
  <si>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</si>
  <si>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</si>
  <si>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</si>
  <si>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</si>
  <si>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</si>
  <si>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</si>
  <si>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</si>
  <si>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</si>
  <si>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</si>
  <si>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</si>
  <si>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</si>
  <si>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</si>
  <si>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</si>
  <si>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</si>
  <si>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</si>
  <si>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</si>
  <si>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</si>
  <si>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</si>
  <si>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</si>
  <si>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</si>
  <si>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</si>
  <si>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</si>
  <si>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</si>
  <si>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</si>
  <si>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</si>
  <si>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</si>
  <si>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</si>
  <si>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</si>
  <si>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</si>
  <si>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</si>
  <si>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</si>
  <si>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</si>
  <si>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</si>
  <si>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</si>
  <si>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</si>
  <si>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</si>
  <si>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</si>
  <si>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</si>
  <si>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</si>
  <si>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</si>
  <si>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</si>
  <si>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</si>
  <si>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</si>
  <si>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</si>
  <si>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</si>
  <si>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</si>
  <si>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</si>
  <si>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</si>
  <si>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</si>
  <si>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</si>
  <si>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</si>
  <si>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</si>
  <si>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</si>
  <si>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</si>
  <si>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</si>
  <si>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</si>
  <si>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</si>
  <si>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</si>
  <si>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</si>
  <si>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</si>
  <si>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</si>
  <si>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</si>
  <si>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</si>
  <si>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</si>
  <si>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</si>
  <si>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</si>
  <si>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</si>
  <si>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</si>
  <si>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</si>
  <si>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</si>
  <si>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</si>
  <si>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</si>
  <si>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</si>
  <si>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</si>
  <si>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</si>
  <si>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</si>
  <si>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</si>
  <si>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</si>
  <si>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</si>
  <si>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</si>
  <si>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</si>
  <si>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</si>
  <si>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</si>
  <si>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</si>
  <si>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</si>
  <si>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</si>
  <si>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</si>
  <si>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</si>
  <si>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</si>
  <si>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</si>
  <si>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</si>
  <si>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</si>
  <si>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</si>
  <si>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</si>
  <si>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</si>
  <si>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</si>
  <si>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</si>
  <si>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</si>
  <si>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</si>
  <si>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</si>
  <si>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</si>
  <si>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08</t>
  </si>
  <si>
    <t>Dissipador de energia - DEB 08 - areia, brita e pedra de mão comerciais</t>
  </si>
  <si>
    <t>MÉTODO DA RESILIÊNCIA</t>
  </si>
  <si>
    <t>Deflexão admissível:</t>
  </si>
  <si>
    <t>D:</t>
  </si>
  <si>
    <r>
      <t>x10</t>
    </r>
    <r>
      <rPr>
        <vertAlign val="superscript"/>
        <sz val="11"/>
        <color theme="1"/>
        <rFont val="Calibri"/>
        <family val="2"/>
        <scheme val="minor"/>
      </rPr>
      <t>-2</t>
    </r>
    <r>
      <rPr>
        <sz val="11"/>
        <color theme="1"/>
        <rFont val="Calibri"/>
        <family val="2"/>
        <scheme val="minor"/>
      </rPr>
      <t>mm</t>
    </r>
  </si>
  <si>
    <t>Deflexão de projeto:</t>
  </si>
  <si>
    <t>Dp:</t>
  </si>
  <si>
    <t>Classificação resiliente do solo:</t>
  </si>
  <si>
    <t>Tipo II</t>
  </si>
  <si>
    <t>I1:</t>
  </si>
  <si>
    <t>I2:</t>
  </si>
  <si>
    <t>Espessura mínima do revestimento:</t>
  </si>
  <si>
    <r>
      <t>H</t>
    </r>
    <r>
      <rPr>
        <vertAlign val="subscript"/>
        <sz val="11"/>
        <color theme="1"/>
        <rFont val="Calibri"/>
        <family val="2"/>
        <scheme val="minor"/>
      </rPr>
      <t>CB</t>
    </r>
    <r>
      <rPr>
        <sz val="11"/>
        <color theme="1"/>
        <rFont val="Calibri"/>
        <family val="2"/>
        <scheme val="minor"/>
      </rPr>
      <t>:</t>
    </r>
  </si>
  <si>
    <t>Valor estrutural:</t>
  </si>
  <si>
    <r>
      <t>V</t>
    </r>
    <r>
      <rPr>
        <vertAlign val="subscript"/>
        <sz val="11"/>
        <color theme="1"/>
        <rFont val="Calibri"/>
        <family val="2"/>
        <scheme val="minor"/>
      </rPr>
      <t>E</t>
    </r>
    <r>
      <rPr>
        <sz val="11"/>
        <color theme="1"/>
        <rFont val="Calibri"/>
        <family val="2"/>
        <scheme val="minor"/>
      </rPr>
      <t>:</t>
    </r>
  </si>
  <si>
    <t>Espessura da camada granular:</t>
  </si>
  <si>
    <r>
      <t>H</t>
    </r>
    <r>
      <rPr>
        <vertAlign val="subscript"/>
        <sz val="11"/>
        <color theme="1"/>
        <rFont val="Calibri"/>
        <family val="2"/>
        <scheme val="minor"/>
      </rPr>
      <t>CG</t>
    </r>
    <r>
      <rPr>
        <sz val="11"/>
        <color theme="1"/>
        <rFont val="Calibri"/>
        <family val="2"/>
        <scheme val="minor"/>
      </rPr>
      <t>:</t>
    </r>
  </si>
  <si>
    <t>Espessura da base:</t>
  </si>
  <si>
    <r>
      <t>H</t>
    </r>
    <r>
      <rPr>
        <vertAlign val="subscript"/>
        <sz val="11"/>
        <color theme="1"/>
        <rFont val="Calibri"/>
        <family val="2"/>
        <scheme val="minor"/>
      </rPr>
      <t>B</t>
    </r>
    <r>
      <rPr>
        <sz val="11"/>
        <color theme="1"/>
        <rFont val="Calibri"/>
        <family val="2"/>
        <scheme val="minor"/>
      </rPr>
      <t>:</t>
    </r>
  </si>
  <si>
    <t>Adotado =&gt;</t>
  </si>
  <si>
    <t>Espessura da sub-base:</t>
  </si>
  <si>
    <r>
      <t>H</t>
    </r>
    <r>
      <rPr>
        <vertAlign val="subscript"/>
        <sz val="11"/>
        <color theme="1"/>
        <rFont val="Calibri"/>
        <family val="2"/>
        <scheme val="minor"/>
      </rPr>
      <t>SB</t>
    </r>
    <r>
      <rPr>
        <sz val="11"/>
        <color theme="1"/>
        <rFont val="Calibri"/>
        <family val="2"/>
        <scheme val="minor"/>
      </rPr>
      <t>:</t>
    </r>
  </si>
  <si>
    <t>DNER</t>
  </si>
  <si>
    <t>Resiliência</t>
  </si>
  <si>
    <t>CAUQbor</t>
  </si>
  <si>
    <t>Sub-Base</t>
  </si>
  <si>
    <t>Subleito</t>
  </si>
  <si>
    <t>DEFLEXÕES ADMINSSÍVEIS CONFORME DNER PRO 11/79</t>
  </si>
  <si>
    <r>
      <t>h</t>
    </r>
    <r>
      <rPr>
        <vertAlign val="subscript"/>
        <sz val="11"/>
        <color theme="1"/>
        <rFont val="Calibri"/>
        <family val="2"/>
        <scheme val="minor"/>
      </rPr>
      <t>er</t>
    </r>
    <r>
      <rPr>
        <sz val="11"/>
        <color theme="1"/>
        <rFont val="Calibri"/>
        <family val="2"/>
        <scheme val="minor"/>
      </rPr>
      <t>:</t>
    </r>
  </si>
  <si>
    <r>
      <t>h</t>
    </r>
    <r>
      <rPr>
        <vertAlign val="subscript"/>
        <sz val="11"/>
        <color theme="1"/>
        <rFont val="Calibri"/>
        <family val="2"/>
        <scheme val="minor"/>
      </rPr>
      <t>eB</t>
    </r>
    <r>
      <rPr>
        <sz val="11"/>
        <color theme="1"/>
        <rFont val="Calibri"/>
        <family val="2"/>
        <scheme val="minor"/>
      </rPr>
      <t>:</t>
    </r>
  </si>
  <si>
    <r>
      <t>h</t>
    </r>
    <r>
      <rPr>
        <vertAlign val="subscript"/>
        <sz val="11"/>
        <color theme="1"/>
        <rFont val="Calibri"/>
        <family val="2"/>
        <scheme val="minor"/>
      </rPr>
      <t>en</t>
    </r>
    <r>
      <rPr>
        <sz val="11"/>
        <color theme="1"/>
        <rFont val="Calibri"/>
        <family val="2"/>
        <scheme val="minor"/>
      </rPr>
      <t>:</t>
    </r>
  </si>
  <si>
    <t>Recobrimento</t>
  </si>
  <si>
    <t>n°</t>
  </si>
  <si>
    <t>hectares</t>
  </si>
  <si>
    <t>Km²</t>
  </si>
  <si>
    <t>Número</t>
  </si>
  <si>
    <t>DRENAGEM E OAC</t>
  </si>
  <si>
    <t>BLS 01</t>
  </si>
  <si>
    <t>BLS 02</t>
  </si>
  <si>
    <t>PVI 03</t>
  </si>
  <si>
    <t>PVI 04</t>
  </si>
  <si>
    <t>PVI 05</t>
  </si>
  <si>
    <t>PVI 06</t>
  </si>
  <si>
    <t>BLC 02</t>
  </si>
  <si>
    <t>CLP 04</t>
  </si>
  <si>
    <t>CLP 03</t>
  </si>
  <si>
    <t>DEB 01</t>
  </si>
  <si>
    <t>DEB 02</t>
  </si>
  <si>
    <t>DEB 03</t>
  </si>
  <si>
    <t>DEB 04</t>
  </si>
  <si>
    <t>DEB 05</t>
  </si>
  <si>
    <t>DEB 06</t>
  </si>
  <si>
    <t>DEB 07</t>
  </si>
  <si>
    <t>Pavimentada</t>
  </si>
  <si>
    <t>Passeio em concreto FCK 20MPa (e= 4cm) sobre lastro de brita (e= 4cm), inclusive formas</t>
  </si>
  <si>
    <t>Passeio reforçado em concreto FCK 20MPa (e= 10cm) sobre lastro de brita graduada (e= 10cm)</t>
  </si>
  <si>
    <t>A área passeio com reforço para entrada de veículos obtida diretamente do desenho.</t>
  </si>
  <si>
    <t>Passeio em lajotas de concreto tatil pigmentada (40x40x3cm) sobre  sobre lastro de brita (e= 4cm) e assentamento com argamassa de cimento e areia (e=1,0cm)</t>
  </si>
  <si>
    <t>Ladrilho hidráulico 20x20x2cm tatil pigmentado</t>
  </si>
  <si>
    <t>A quantidade de árvores com d&gt; 20cm deve ser obtida do desenho, são as árvores do passeio público.</t>
  </si>
  <si>
    <t>Placa de advertência em aço, lado de 0,80 m - película retrorrefletiva tipo I + SI - fornecimento e implantação</t>
  </si>
  <si>
    <t>Placa de regulamentação em aço D = 0,80 m - película retrorrefletiva tipo I + SI - fornecimento e implantação</t>
  </si>
  <si>
    <t>Suporte metálico galvanizado para placa de regulamentação - R2 - lado de 0,80 m - fornecimento e implantação</t>
  </si>
  <si>
    <t>Suporte metálico galvanizado para placa de advertência ou regulamentação - lado ou diâmetro de 0,80 m - fornecimento e implantação</t>
  </si>
  <si>
    <t>Placa em aço - 0,60 x 1,00 m - película retrorrefletiva tipo I + I - fornecimento e implantação</t>
  </si>
  <si>
    <t>COMP 66</t>
  </si>
  <si>
    <t>Base composição SICRO 5213473</t>
  </si>
  <si>
    <t>COMP 67</t>
  </si>
  <si>
    <t>Suporte metálico galvanizado para placas - 0,60 x 1,00 m - fornecimento e implantação</t>
  </si>
  <si>
    <t>Base composição SICRO 5213867</t>
  </si>
  <si>
    <t>Muro h &lt; 1,5m</t>
  </si>
  <si>
    <t>Muro h &gt; 1,5m</t>
  </si>
  <si>
    <t>teor de batume a cada 700m131</t>
  </si>
  <si>
    <t>Tubo corugado PEAD 4"</t>
  </si>
  <si>
    <t>Aplicação de fundo selador acrílico em paredes, uma demão</t>
  </si>
  <si>
    <t>Aplicação manual de tinta látex em paredes, duas demãos</t>
  </si>
  <si>
    <t>Escavação manual de vala em material de 1ª categoria</t>
  </si>
  <si>
    <t>Apiloamento manual</t>
  </si>
  <si>
    <t>Estaca broca manual D = 25 cm - confecção</t>
  </si>
  <si>
    <t>Broca de concreto Ø25cm, exclusive armadura, inclusive escavação</t>
  </si>
  <si>
    <t>NP</t>
  </si>
  <si>
    <t>Pare</t>
  </si>
  <si>
    <t>regulamentação</t>
  </si>
  <si>
    <t>advertência</t>
  </si>
  <si>
    <t>serviços</t>
  </si>
  <si>
    <t>Mais Próximo</t>
  </si>
  <si>
    <t>Engenho</t>
  </si>
  <si>
    <t>Caldart</t>
  </si>
  <si>
    <t>SBM</t>
  </si>
  <si>
    <t>Setep</t>
  </si>
  <si>
    <t>Engevia</t>
  </si>
  <si>
    <t>Viga</t>
  </si>
  <si>
    <t>Nº</t>
  </si>
  <si>
    <t>Raio</t>
  </si>
  <si>
    <t>Curva</t>
  </si>
  <si>
    <t>Espiral</t>
  </si>
  <si>
    <t>Final</t>
  </si>
  <si>
    <t>Tangente</t>
  </si>
  <si>
    <t>Rural</t>
  </si>
  <si>
    <t>Urbana</t>
  </si>
  <si>
    <t>Raio Mínimo</t>
  </si>
  <si>
    <t>Raio Máximo</t>
  </si>
  <si>
    <t>Tangente Mínima</t>
  </si>
  <si>
    <t>Tangente máxima</t>
  </si>
  <si>
    <t>Estaca do PVI</t>
  </si>
  <si>
    <t>Elevação do PVI</t>
  </si>
  <si>
    <t>Entrada da declividade</t>
  </si>
  <si>
    <t>Comprimento da curva do perfil</t>
  </si>
  <si>
    <t>Saída da declividade</t>
  </si>
  <si>
    <t>A (Mudança de declividade)</t>
  </si>
  <si>
    <t>Tipo da curva do perfil</t>
  </si>
  <si>
    <t>Raio da curva</t>
  </si>
  <si>
    <t>Valor de K</t>
  </si>
  <si>
    <t>HORIZONTAL</t>
  </si>
  <si>
    <t>Convexa</t>
  </si>
  <si>
    <t>Côncava</t>
  </si>
  <si>
    <t>Kmin:</t>
  </si>
  <si>
    <t>Rampa mínima:</t>
  </si>
  <si>
    <t>Rampa máxima:</t>
  </si>
  <si>
    <t>Kmax:</t>
  </si>
  <si>
    <t>cume</t>
  </si>
  <si>
    <t>Adotada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</si>
  <si>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</si>
  <si>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</si>
  <si>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</si>
  <si>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</si>
  <si>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</si>
  <si>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</si>
  <si>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</si>
  <si>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</si>
  <si>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</si>
  <si>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</si>
  <si>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</si>
  <si>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</si>
  <si>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</si>
  <si>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</si>
  <si>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</si>
  <si>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</si>
  <si>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</si>
  <si>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</si>
  <si>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</si>
  <si>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</si>
  <si>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</si>
  <si>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</si>
  <si>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</si>
  <si>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</si>
  <si>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</si>
  <si>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</si>
  <si>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</si>
  <si>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</si>
  <si>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</si>
  <si>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</si>
  <si>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</si>
  <si>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</si>
  <si>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</si>
  <si>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</si>
  <si>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</si>
  <si>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</si>
  <si>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</si>
  <si>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</si>
  <si>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</si>
  <si>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</si>
  <si>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</si>
  <si>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</si>
  <si>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</si>
  <si>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</si>
  <si>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</si>
  <si>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</si>
  <si>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</si>
  <si>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</si>
  <si>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</si>
  <si>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</si>
  <si>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</si>
  <si>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</si>
  <si>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</si>
  <si>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</si>
  <si>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</si>
  <si>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</si>
  <si>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</si>
  <si>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</si>
  <si>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</si>
  <si>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</si>
  <si>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</si>
  <si>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</si>
  <si>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</si>
  <si>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</si>
  <si>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</si>
  <si>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</si>
  <si>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</si>
  <si>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</si>
  <si>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</si>
  <si>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</si>
  <si>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</si>
  <si>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</si>
  <si>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</si>
  <si>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</si>
  <si>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</si>
  <si>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</si>
  <si>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</si>
  <si>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</si>
  <si>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</si>
  <si>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</si>
  <si>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</si>
  <si>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</si>
  <si>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</si>
  <si>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</si>
  <si>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</si>
  <si>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</si>
  <si>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</si>
  <si>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</si>
  <si>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</si>
  <si>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</si>
  <si>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</si>
  <si>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</si>
  <si>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</si>
  <si>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</si>
  <si>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</si>
  <si>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</si>
  <si>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</si>
  <si>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</si>
  <si>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</si>
  <si>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</si>
  <si>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</si>
  <si>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</si>
  <si>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</si>
  <si>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</si>
  <si>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</si>
  <si>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</si>
  <si>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</si>
  <si>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</si>
  <si>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</si>
  <si>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</si>
  <si>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</si>
  <si>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</si>
  <si>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</si>
  <si>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</si>
  <si>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</si>
  <si>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</si>
  <si>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</si>
  <si>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</si>
  <si>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</si>
  <si>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</si>
  <si>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</si>
  <si>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</si>
  <si>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</si>
  <si>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</si>
  <si>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</si>
  <si>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</si>
  <si>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</si>
  <si>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</si>
  <si>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</si>
  <si>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</si>
  <si>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</si>
  <si>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</si>
  <si>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</si>
  <si>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</si>
  <si>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</si>
  <si>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</si>
  <si>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</si>
  <si>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</si>
  <si>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</si>
  <si>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</si>
  <si>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</si>
  <si>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</si>
  <si>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</si>
  <si>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</si>
  <si>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</si>
  <si>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</si>
  <si>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</si>
  <si>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</si>
  <si>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</si>
  <si>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</si>
  <si>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</si>
  <si>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</si>
  <si>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</si>
  <si>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</si>
  <si>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</si>
  <si>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</si>
  <si>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</si>
  <si>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</si>
  <si>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</si>
  <si>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</si>
  <si>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</si>
  <si>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</si>
  <si>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</si>
  <si>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</si>
  <si>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</si>
  <si>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</si>
  <si>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</si>
  <si>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</si>
  <si>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</si>
  <si>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</si>
  <si>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</si>
  <si>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</si>
  <si>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</si>
  <si>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</si>
  <si>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</si>
  <si>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</si>
  <si>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</si>
  <si>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</si>
  <si>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</si>
  <si>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</si>
  <si>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</si>
  <si>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</si>
  <si>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</si>
  <si>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</si>
  <si>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</si>
  <si>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</si>
  <si>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</si>
  <si>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</si>
  <si>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</si>
  <si>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</si>
  <si>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</si>
  <si>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</si>
  <si>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</si>
  <si>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</si>
  <si>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</si>
  <si>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</si>
  <si>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</si>
  <si>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</si>
  <si>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</si>
  <si>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</si>
  <si>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</si>
  <si>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</si>
  <si>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</si>
  <si>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</si>
  <si>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</si>
  <si>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</si>
  <si>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</si>
  <si>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</si>
  <si>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</si>
  <si>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</si>
  <si>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</si>
  <si>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</si>
  <si>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</si>
  <si>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</si>
  <si>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</si>
  <si>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</si>
  <si>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</si>
  <si>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</si>
  <si>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</si>
  <si>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</si>
  <si>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</si>
  <si>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</si>
  <si>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</si>
  <si>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</si>
  <si>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</si>
  <si>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</si>
  <si>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</si>
  <si>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</si>
  <si>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</si>
  <si>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</si>
  <si>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</si>
  <si>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</si>
  <si>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</si>
  <si>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</si>
  <si>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</si>
  <si>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</si>
  <si>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</si>
  <si>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</si>
  <si>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</si>
  <si>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</si>
  <si>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</si>
  <si>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</si>
  <si>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</si>
  <si>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</si>
  <si>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</si>
  <si>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</si>
  <si>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</si>
  <si>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</si>
  <si>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</si>
  <si>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</si>
  <si>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</si>
  <si>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</si>
  <si>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</si>
  <si>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</si>
  <si>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</si>
  <si>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</si>
  <si>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</si>
  <si>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</si>
  <si>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</si>
  <si>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</si>
  <si>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</si>
  <si>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</si>
  <si>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</si>
  <si>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</si>
  <si>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</si>
  <si>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</si>
  <si>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</si>
  <si>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</si>
  <si>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</si>
  <si>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</si>
  <si>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</si>
  <si>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</si>
  <si>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</si>
  <si>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</si>
  <si>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</si>
  <si>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</si>
  <si>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</si>
  <si>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</si>
  <si>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</si>
  <si>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</si>
  <si>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</si>
  <si>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</si>
  <si>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</si>
  <si>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</si>
  <si>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</si>
  <si>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</si>
  <si>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</si>
  <si>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</si>
  <si>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</si>
  <si>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</si>
  <si>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</si>
  <si>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</si>
  <si>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</si>
  <si>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</si>
  <si>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</si>
  <si>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</si>
  <si>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</si>
  <si>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</si>
  <si>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</si>
  <si>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</si>
  <si>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</si>
  <si>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</si>
  <si>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</si>
  <si>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</si>
  <si>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</si>
  <si>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</si>
  <si>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</si>
  <si>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</si>
  <si>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</si>
  <si>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</si>
  <si>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</si>
  <si>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</si>
  <si>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RECOMPOSIÇÃO DE PAVIMENTO EM PISO INTERTRAVADO, COM REAPROVEITAMENTO DOS BLOCOS INTERTRAVADOS, PARA FECHAMENTO DE VALAS - INCLUSO RETIRADA E COLOCAÇÃO DO MATERIAL. AF_12/2020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</si>
  <si>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</si>
  <si>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</si>
  <si>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</si>
  <si>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</si>
  <si>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</si>
  <si>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</si>
  <si>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</si>
  <si>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</si>
  <si>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</si>
  <si>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</si>
  <si>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</si>
  <si>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</si>
  <si>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</si>
  <si>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</si>
  <si>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</si>
  <si>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</si>
  <si>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</si>
  <si>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</si>
  <si>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</si>
  <si>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</si>
  <si>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</si>
  <si>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</si>
  <si>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</si>
  <si>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</si>
  <si>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</si>
  <si>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</si>
  <si>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</si>
  <si>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</si>
  <si>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</si>
  <si>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</si>
  <si>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</si>
  <si>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</si>
  <si>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</si>
  <si>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</si>
  <si>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</si>
  <si>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RC1C-E</t>
  </si>
  <si>
    <t>RL-1C</t>
  </si>
  <si>
    <t>Suporte metálico galvanizado para placa de advertência ou regulamentação - lado ou diâmetro de 0,60 m - fornecimento e implantação</t>
  </si>
  <si>
    <t>Suporte metálico galvanizado para placa de regulamentação - R1 - lado de 0,248 m - fornecimento e implantação</t>
  </si>
  <si>
    <t>Placa de advertência em aço, lado de 0,60 m - película retrorrefletiva tipo I + SI - fornecimento e implantação</t>
  </si>
  <si>
    <t>Placa de regulamentação em aço D = 0,60 m - película retrorrefletiva tipo I + SI - fornecimento e implantação</t>
  </si>
  <si>
    <t>Placa de regulamentação em aço, R1 lado 0,248 m - película retrorrefletiva tipo I + SI - fornecimento e implantação</t>
  </si>
  <si>
    <t>Placa de regulamentação em aço, R2 lado 0,80 m - película retrorrefletiva tipo I + SI - fornecimento e implantação</t>
  </si>
  <si>
    <t>Boca de BTCC 3,00 x 3,00 m - esconsidade 0° - areia extraída e brita produzida</t>
  </si>
  <si>
    <t>Corpo de BTCC 3,00 x 3,00 m - moldado no local - altura do aterro 2,50 a 5,00 m - areia e brita comerciais</t>
  </si>
  <si>
    <t>Mês 13</t>
  </si>
  <si>
    <t>Mês 14</t>
  </si>
  <si>
    <t>Mês 15</t>
  </si>
  <si>
    <t>Mês 16</t>
  </si>
  <si>
    <t>Mês 17</t>
  </si>
  <si>
    <t>Mês 18</t>
  </si>
  <si>
    <t>Mês 19</t>
  </si>
  <si>
    <t>Mês 20</t>
  </si>
  <si>
    <t>Mês 21</t>
  </si>
  <si>
    <t>Mês 22</t>
  </si>
  <si>
    <t>Mês 23</t>
  </si>
  <si>
    <t>Mês 24</t>
  </si>
  <si>
    <t>Via</t>
  </si>
  <si>
    <t>CCT02</t>
  </si>
  <si>
    <t>BC02</t>
  </si>
  <si>
    <t>OAC02</t>
  </si>
  <si>
    <t>CCT03</t>
  </si>
  <si>
    <t>BC03</t>
  </si>
  <si>
    <t>OAC03</t>
  </si>
  <si>
    <t>CCT04</t>
  </si>
  <si>
    <t>BC04</t>
  </si>
  <si>
    <t>OAC04</t>
  </si>
  <si>
    <t>BC05</t>
  </si>
  <si>
    <t>OAC05</t>
  </si>
  <si>
    <t>BC06</t>
  </si>
  <si>
    <t>OAC06</t>
  </si>
  <si>
    <t>BC07</t>
  </si>
  <si>
    <t>OAC07</t>
  </si>
  <si>
    <t>0°</t>
  </si>
  <si>
    <t>15°</t>
  </si>
  <si>
    <t>CCT05</t>
  </si>
  <si>
    <t>10°</t>
  </si>
  <si>
    <t>Bueiros</t>
  </si>
  <si>
    <t>CCS01</t>
  </si>
  <si>
    <t>CL08</t>
  </si>
  <si>
    <t>TREVO</t>
  </si>
  <si>
    <t>COLETOR 02</t>
  </si>
  <si>
    <t>BL29</t>
  </si>
  <si>
    <t>T44</t>
  </si>
  <si>
    <t>OAC01</t>
  </si>
  <si>
    <t>CRONOGRAMA FÍSICO</t>
  </si>
  <si>
    <t>1.0</t>
  </si>
  <si>
    <t>2.0</t>
  </si>
  <si>
    <t>3.0</t>
  </si>
  <si>
    <t>4.0</t>
  </si>
  <si>
    <t>5.0</t>
  </si>
  <si>
    <t>6.0</t>
  </si>
  <si>
    <t>7.0</t>
  </si>
  <si>
    <t>8.0</t>
  </si>
  <si>
    <t>Caixas</t>
  </si>
  <si>
    <t>CLP</t>
  </si>
  <si>
    <t>PVI</t>
  </si>
  <si>
    <t>09</t>
  </si>
  <si>
    <t>DAD</t>
  </si>
  <si>
    <t>12</t>
  </si>
  <si>
    <t>14</t>
  </si>
  <si>
    <t>10</t>
  </si>
  <si>
    <t>Dissipador de energia - DEB 09 - areia, brita e pedra de mão comerciais</t>
  </si>
  <si>
    <t>Dissipador de energia - DES 01 - areia e pedra de mão comerciais</t>
  </si>
  <si>
    <t>Boca de saída para dreno longitudinal profundo - BSD 02 - tubo de PEAD - areia e brita comerciais</t>
  </si>
  <si>
    <t>A quantidade deve ser obtida diretamente do desenho. Sendo nos locais indicados e no final das banquetas que não desguam em sarjetas.</t>
  </si>
  <si>
    <t>DAR 02</t>
  </si>
  <si>
    <t>DES 01</t>
  </si>
  <si>
    <t>BSD 02</t>
  </si>
  <si>
    <t>A quantidade deve ser obtida diretamente do desenho, posicionados no final dos drenos que não desguam em bueiros.</t>
  </si>
  <si>
    <t>A quantidade deve ser obtida diretamente do desenho, posicionados no final das sarjetas que não desguam em bueiros ou outras sarjetas.</t>
  </si>
  <si>
    <t>sc 467</t>
  </si>
  <si>
    <t>CAP modificado por borracha de pneu AB8</t>
  </si>
  <si>
    <t>Cimentos asfálticos CAP-50-70</t>
  </si>
  <si>
    <t>Emulsão asfáltica para serviço de imprimação</t>
  </si>
  <si>
    <t>Emulsões asfálticas RL-1C</t>
  </si>
  <si>
    <t>Emulsões asfálticas RM-1C</t>
  </si>
  <si>
    <t>Emulsões asfálticas RR-1C</t>
  </si>
  <si>
    <t>Quantidade de pinturas</t>
  </si>
  <si>
    <t>Acostamento</t>
  </si>
  <si>
    <t>Área pista</t>
  </si>
  <si>
    <t>Área acostamento</t>
  </si>
  <si>
    <t>Área de pista</t>
  </si>
  <si>
    <t>Área de acostamento</t>
  </si>
  <si>
    <t>rodovia</t>
  </si>
  <si>
    <t>R2 L=1,00m</t>
  </si>
  <si>
    <t>R1 L=0,41m</t>
  </si>
  <si>
    <t>Obstáculo 0,5x1,5m</t>
  </si>
  <si>
    <t>Regulamentação D=1,00m</t>
  </si>
  <si>
    <t>Advertência 1,00x1,00m</t>
  </si>
  <si>
    <t>2,00x1,00m</t>
  </si>
  <si>
    <t>2,00x0,50m</t>
  </si>
  <si>
    <t>rodovia 0,60x0,67m</t>
  </si>
  <si>
    <t>0,60x1,00m</t>
  </si>
  <si>
    <t>COMP 68</t>
  </si>
  <si>
    <t>COMP 69</t>
  </si>
  <si>
    <t>Placa em aço - 0,60 x 0,67 m - película retrorrefletiva tipo I + I - fornecimento e implantação</t>
  </si>
  <si>
    <t>Suporte metálico galvanizado para placas - 0,60 x0,67 m - fornecimento e implantação</t>
  </si>
  <si>
    <t>COMP 70</t>
  </si>
  <si>
    <t>COMP 71</t>
  </si>
  <si>
    <t>Placa em aço - 0,50 x 1,50m - película retrorrefletiva tipo I + I - fornecimento e implantação</t>
  </si>
  <si>
    <t xml:space="preserve">         Na elaboração do orçamento foi adotado percentual de BDI (conforme planilha da composição analítica abaixo) e encargos sem desoneração em conformidade com o estabelecido no SINAPI.</t>
  </si>
  <si>
    <t xml:space="preserve">         O cálculo do BDI foi utilizada a fómula apresentada em sequência, de acordo com o Acórdão 2622/2013-TCU.</t>
  </si>
  <si>
    <t>A quantidade de tachão deve ser obtida diretamente do desenho.</t>
  </si>
  <si>
    <t>A quantidade de tachas deve ser obtida diretamente do desenho.</t>
  </si>
  <si>
    <t>COMP 72</t>
  </si>
  <si>
    <t>Barreira simples de concreto, não armada, moldada no local (perfil New Jersey) - H = 810 + 100 mm</t>
  </si>
  <si>
    <t>Barreira simples de concreto, não armada, moldada no local (perfil New Jersey) - H = 810 + 100 mm, inclusive fornecimento de concreto FCK 20MPa</t>
  </si>
  <si>
    <t>Base composição SICRO 3713617</t>
  </si>
  <si>
    <t>Barreira</t>
  </si>
  <si>
    <t>Profissional da área ambiental pleno (engenheiro ou biólogo)</t>
  </si>
  <si>
    <t>Auxiliar técnico da área ambiental</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</si>
  <si>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</si>
  <si>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</si>
  <si>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</si>
  <si>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</si>
  <si>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</si>
  <si>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</si>
  <si>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</si>
  <si>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</si>
  <si>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</si>
  <si>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</si>
  <si>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</si>
  <si>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</si>
  <si>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</si>
  <si>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</si>
  <si>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</si>
  <si>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</si>
  <si>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</si>
  <si>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</si>
  <si>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</si>
  <si>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</si>
  <si>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</si>
  <si>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</si>
  <si>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</si>
  <si>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</si>
  <si>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</si>
  <si>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</si>
  <si>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</si>
  <si>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</si>
  <si>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</si>
  <si>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</si>
  <si>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</si>
  <si>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</si>
  <si>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</si>
  <si>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</si>
  <si>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</si>
  <si>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</si>
  <si>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</si>
  <si>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</si>
  <si>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</si>
  <si>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</si>
  <si>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</si>
  <si>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</si>
  <si>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</si>
  <si>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</si>
  <si>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</si>
  <si>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</si>
  <si>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</si>
  <si>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</si>
  <si>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</si>
  <si>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</si>
  <si>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</si>
  <si>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</si>
  <si>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</si>
  <si>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</si>
  <si>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</si>
  <si>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</si>
  <si>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</si>
  <si>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</si>
  <si>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</si>
  <si>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</si>
  <si>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</si>
  <si>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</si>
  <si>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</si>
  <si>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</si>
  <si>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</si>
  <si>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</si>
  <si>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</si>
  <si>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</si>
  <si>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</si>
  <si>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</si>
  <si>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</si>
  <si>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</si>
  <si>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</si>
  <si>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</si>
  <si>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</si>
  <si>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</si>
  <si>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</si>
  <si>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</si>
  <si>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</si>
  <si>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</si>
  <si>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</si>
  <si>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</si>
  <si>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</si>
  <si>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</si>
  <si>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</si>
  <si>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</si>
  <si>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</si>
  <si>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</si>
  <si>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</si>
  <si>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</si>
  <si>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</si>
  <si>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</si>
  <si>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</si>
  <si>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</si>
  <si>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</si>
  <si>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</si>
  <si>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</si>
  <si>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</si>
  <si>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</si>
  <si>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</si>
  <si>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</si>
  <si>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</si>
  <si>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</si>
  <si>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</si>
  <si>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</si>
  <si>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</si>
  <si>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</si>
  <si>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</si>
  <si>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</si>
  <si>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</si>
  <si>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</si>
  <si>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</si>
  <si>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</si>
  <si>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</si>
  <si>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</si>
  <si>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</si>
  <si>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</si>
  <si>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</si>
  <si>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</si>
  <si>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</si>
  <si>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</si>
  <si>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</si>
  <si>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</si>
  <si>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</si>
  <si>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</si>
  <si>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</si>
  <si>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</si>
  <si>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</si>
  <si>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</si>
  <si>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</si>
  <si>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</si>
  <si>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</si>
  <si>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</si>
  <si>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</si>
  <si>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</si>
  <si>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</si>
  <si>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</si>
  <si>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</si>
  <si>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</si>
  <si>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</si>
  <si>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</si>
  <si>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</si>
  <si>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</si>
  <si>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</si>
  <si>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</si>
  <si>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</si>
  <si>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</si>
  <si>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</si>
  <si>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</si>
  <si>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</si>
  <si>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</si>
  <si>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</si>
  <si>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</si>
  <si>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</si>
  <si>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</si>
  <si>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</si>
  <si>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</si>
  <si>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</si>
  <si>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</si>
  <si>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</si>
  <si>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</si>
  <si>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</si>
  <si>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</si>
  <si>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</si>
  <si>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</si>
  <si>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</si>
  <si>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</si>
  <si>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</si>
  <si>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</si>
  <si>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</si>
  <si>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</si>
  <si>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</si>
  <si>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</si>
  <si>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</si>
  <si>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</si>
  <si>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</si>
  <si>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</si>
  <si>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</si>
  <si>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</si>
  <si>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</si>
  <si>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</si>
  <si>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</si>
  <si>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</si>
  <si>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</si>
  <si>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</si>
  <si>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</si>
  <si>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</si>
  <si>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</si>
  <si>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</si>
  <si>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</si>
  <si>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</si>
  <si>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</si>
  <si>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</si>
  <si>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</si>
  <si>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</si>
  <si>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</si>
  <si>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</si>
  <si>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</si>
  <si>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</si>
  <si>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</si>
  <si>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</si>
  <si>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</si>
  <si>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</si>
  <si>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</si>
  <si>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</si>
  <si>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</si>
  <si>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</si>
  <si>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</si>
  <si>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</si>
  <si>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</si>
  <si>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</si>
  <si>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</si>
  <si>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</si>
  <si>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</si>
  <si>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</si>
  <si>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</si>
  <si>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</si>
  <si>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</si>
  <si>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</si>
  <si>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</si>
  <si>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</si>
  <si>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</si>
  <si>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</si>
  <si>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</si>
  <si>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</si>
  <si>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</si>
  <si>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</si>
  <si>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</si>
  <si>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</si>
  <si>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</si>
  <si>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</si>
  <si>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</si>
  <si>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</si>
  <si>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</si>
  <si>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</si>
  <si>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</si>
  <si>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</si>
  <si>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Abrigos</t>
  </si>
  <si>
    <t>COMP 73</t>
  </si>
  <si>
    <t>Babrigo de passageiros padrão DETER, inclusive passeio de concreto</t>
  </si>
  <si>
    <t>Fôrmas de compensado plastificado 14 mm - uso geral - utilização de 3 vezes - confecção, instalação e retirada</t>
  </si>
  <si>
    <t>Concreto fck = 30 MPa - confecção em betoneira e lançamento manual - areia e brita comerciais</t>
  </si>
  <si>
    <t>Base composição DEINFRA 81960</t>
  </si>
  <si>
    <t>5º</t>
  </si>
  <si>
    <t>CCT01</t>
  </si>
  <si>
    <t>CCS02</t>
  </si>
  <si>
    <t>MUNICÍPIO DE PRESIDENTE CASTELLO BRANCO</t>
  </si>
  <si>
    <t>ESTR. DE LINHA TAQUARAL</t>
  </si>
  <si>
    <t>Exsitente</t>
  </si>
  <si>
    <t>PAVIMENTO ESTRADA</t>
  </si>
  <si>
    <t>Britax</t>
  </si>
  <si>
    <t>PAVIMENTO ESTRADA TAQUARAL</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</si>
  <si>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</si>
  <si>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</si>
  <si>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</si>
  <si>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</si>
  <si>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</si>
  <si>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</si>
  <si>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</si>
  <si>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</si>
  <si>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</si>
  <si>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</si>
  <si>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</si>
  <si>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</si>
  <si>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</si>
  <si>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</si>
  <si>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</si>
  <si>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</si>
  <si>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</si>
  <si>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</si>
  <si>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</si>
  <si>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</si>
  <si>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</si>
  <si>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</si>
  <si>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</si>
  <si>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</si>
  <si>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</si>
  <si>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</si>
  <si>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</si>
  <si>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</si>
  <si>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</si>
  <si>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</si>
  <si>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</si>
  <si>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</si>
  <si>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</si>
  <si>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</si>
  <si>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</si>
  <si>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</si>
  <si>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</si>
  <si>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</si>
  <si>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</si>
  <si>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</si>
  <si>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</si>
  <si>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</si>
  <si>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</si>
  <si>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</si>
  <si>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</si>
  <si>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</si>
  <si>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</si>
  <si>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</si>
  <si>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</si>
  <si>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</si>
  <si>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</si>
  <si>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</si>
  <si>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</si>
  <si>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</si>
  <si>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</si>
  <si>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</si>
  <si>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</si>
  <si>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</si>
  <si>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</si>
  <si>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</si>
  <si>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</si>
  <si>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</si>
  <si>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</si>
  <si>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</si>
  <si>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</si>
  <si>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</si>
  <si>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</si>
  <si>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</si>
  <si>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</si>
  <si>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</si>
  <si>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</si>
  <si>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</si>
  <si>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</si>
  <si>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</si>
  <si>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</si>
  <si>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</si>
  <si>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</si>
  <si>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</si>
  <si>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</si>
  <si>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</si>
  <si>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</si>
  <si>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</si>
  <si>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</si>
  <si>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</si>
  <si>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</si>
  <si>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</si>
  <si>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</si>
  <si>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</si>
  <si>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</si>
  <si>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</si>
  <si>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</si>
  <si>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</si>
  <si>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</si>
  <si>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</si>
  <si>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</si>
  <si>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</si>
  <si>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</si>
  <si>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</si>
  <si>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</si>
  <si>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</si>
  <si>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</si>
  <si>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</si>
  <si>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</si>
  <si>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</si>
  <si>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</si>
  <si>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</si>
  <si>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</si>
  <si>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</si>
  <si>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</si>
  <si>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</si>
  <si>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</si>
  <si>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</si>
  <si>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</si>
  <si>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</si>
  <si>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</si>
  <si>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</si>
  <si>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</si>
  <si>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</si>
  <si>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</si>
  <si>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</si>
  <si>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</si>
  <si>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</si>
  <si>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</si>
  <si>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</si>
  <si>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</si>
  <si>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</si>
  <si>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</si>
  <si>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</si>
  <si>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</si>
  <si>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</si>
  <si>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</si>
  <si>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</si>
  <si>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</si>
  <si>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</si>
  <si>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</si>
  <si>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</si>
  <si>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</si>
  <si>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</si>
  <si>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</si>
  <si>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</si>
  <si>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</si>
  <si>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</si>
  <si>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</si>
  <si>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</si>
  <si>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</si>
  <si>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</si>
  <si>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</si>
  <si>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</si>
  <si>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</si>
  <si>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</si>
  <si>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</si>
  <si>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</si>
  <si>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</si>
  <si>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</si>
  <si>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</si>
  <si>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</si>
  <si>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</si>
  <si>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</si>
  <si>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</si>
  <si>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</si>
  <si>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</si>
  <si>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</si>
  <si>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</si>
  <si>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</si>
  <si>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</si>
  <si>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</si>
  <si>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</si>
  <si>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</si>
  <si>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</si>
  <si>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</si>
  <si>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</si>
  <si>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</si>
  <si>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</si>
  <si>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</si>
  <si>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</si>
  <si>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</si>
  <si>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</si>
  <si>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</si>
  <si>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</si>
  <si>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</si>
  <si>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</si>
  <si>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</si>
  <si>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</si>
  <si>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</si>
  <si>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</si>
  <si>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</si>
  <si>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</si>
  <si>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</si>
  <si>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</si>
  <si>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</si>
  <si>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</si>
  <si>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</si>
  <si>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</si>
  <si>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</si>
  <si>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</si>
  <si>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</si>
  <si>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</si>
  <si>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</si>
  <si>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</si>
  <si>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</si>
  <si>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</si>
  <si>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</si>
  <si>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</si>
  <si>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</si>
  <si>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</si>
  <si>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</si>
  <si>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</si>
  <si>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</si>
  <si>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</si>
  <si>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</si>
  <si>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</si>
  <si>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</si>
  <si>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</si>
  <si>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</si>
  <si>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</si>
  <si>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</si>
  <si>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</si>
  <si>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</si>
  <si>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</si>
  <si>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</si>
  <si>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</si>
  <si>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</si>
  <si>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</si>
  <si>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</si>
  <si>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</si>
  <si>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</si>
  <si>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</si>
  <si>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</si>
  <si>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</si>
  <si>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</si>
  <si>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</si>
  <si>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</si>
  <si>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</si>
  <si>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</si>
  <si>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</si>
  <si>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</si>
  <si>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</si>
  <si>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</si>
  <si>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</si>
  <si>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</si>
  <si>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</si>
  <si>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</si>
  <si>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</si>
  <si>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</si>
  <si>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</si>
  <si>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</si>
  <si>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</si>
  <si>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</si>
  <si>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</si>
  <si>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</si>
  <si>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</si>
  <si>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</si>
  <si>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</si>
  <si>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</si>
  <si>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</si>
  <si>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</si>
  <si>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</si>
  <si>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</si>
  <si>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</si>
  <si>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</si>
  <si>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</si>
  <si>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</si>
  <si>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</si>
  <si>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</si>
  <si>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</si>
  <si>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</si>
  <si>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</si>
  <si>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</si>
  <si>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</si>
  <si>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</si>
  <si>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</si>
  <si>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</si>
  <si>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</si>
  <si>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</si>
  <si>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</si>
  <si>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</si>
  <si>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</si>
  <si>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</si>
  <si>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</si>
  <si>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</si>
  <si>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</si>
  <si>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</si>
  <si>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</si>
  <si>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</si>
  <si>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</si>
  <si>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</si>
  <si>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</si>
  <si>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</si>
  <si>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</si>
  <si>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</si>
  <si>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</si>
  <si>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</si>
  <si>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</si>
  <si>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</si>
  <si>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</si>
  <si>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</si>
  <si>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</si>
  <si>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</si>
  <si>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</si>
  <si>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</si>
  <si>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</si>
  <si>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</si>
  <si>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</si>
  <si>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</si>
  <si>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</si>
  <si>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</si>
  <si>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</si>
  <si>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</si>
  <si>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</si>
  <si>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</si>
  <si>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</si>
  <si>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</si>
  <si>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</si>
  <si>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</si>
  <si>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</si>
  <si>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</si>
  <si>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</si>
  <si>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</si>
  <si>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</si>
  <si>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</si>
  <si>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</si>
  <si>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</si>
  <si>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</si>
  <si>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</si>
  <si>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</si>
  <si>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</si>
  <si>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</si>
  <si>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</si>
  <si>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</si>
  <si>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</si>
  <si>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</si>
  <si>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</si>
  <si>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</si>
  <si>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</si>
  <si>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</si>
  <si>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</si>
  <si>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</si>
  <si>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</si>
  <si>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</si>
  <si>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</si>
  <si>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</si>
  <si>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</si>
  <si>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</si>
  <si>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</si>
  <si>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</si>
  <si>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</si>
  <si>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</si>
  <si>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</si>
  <si>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</si>
  <si>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</si>
  <si>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</si>
  <si>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</si>
  <si>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</si>
  <si>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</si>
  <si>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</si>
  <si>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</si>
  <si>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</si>
  <si>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</si>
  <si>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</si>
  <si>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</si>
  <si>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</si>
  <si>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</si>
  <si>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</si>
  <si>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</si>
  <si>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</si>
  <si>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</si>
  <si>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</si>
  <si>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</si>
  <si>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</si>
  <si>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</si>
  <si>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</si>
  <si>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</si>
  <si>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</si>
  <si>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</si>
  <si>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</si>
  <si>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</si>
  <si>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</si>
  <si>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</si>
  <si>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</si>
  <si>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</si>
  <si>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</si>
  <si>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</si>
  <si>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</si>
  <si>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</si>
  <si>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</si>
  <si>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</si>
  <si>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</si>
  <si>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</si>
  <si>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</si>
  <si>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</si>
  <si>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</si>
  <si>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</si>
  <si>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</si>
  <si>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</si>
  <si>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</si>
  <si>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</si>
  <si>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</si>
  <si>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</si>
  <si>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</si>
  <si>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</si>
  <si>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</si>
  <si>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</si>
  <si>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</si>
  <si>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</si>
  <si>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</si>
  <si>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</si>
  <si>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</si>
  <si>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</si>
  <si>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</si>
  <si>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</si>
  <si>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</si>
  <si>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</si>
  <si>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</si>
  <si>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</si>
  <si>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</si>
  <si>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</si>
  <si>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</si>
  <si>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</si>
  <si>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</si>
  <si>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</si>
  <si>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</si>
  <si>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</si>
  <si>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</si>
  <si>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</si>
  <si>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</si>
  <si>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</si>
  <si>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</si>
  <si>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</si>
  <si>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</si>
  <si>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</si>
  <si>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</si>
  <si>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</si>
  <si>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</si>
  <si>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</si>
  <si>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</si>
  <si>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</si>
  <si>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</si>
  <si>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</si>
  <si>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</si>
  <si>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</si>
  <si>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</si>
  <si>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</si>
  <si>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</si>
  <si>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</si>
  <si>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</si>
  <si>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</si>
  <si>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</si>
  <si>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</si>
  <si>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</si>
  <si>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</si>
  <si>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</si>
  <si>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</si>
  <si>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</si>
  <si>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</si>
  <si>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</si>
  <si>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</si>
  <si>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</si>
  <si>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</si>
  <si>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</si>
  <si>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</si>
  <si>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</si>
  <si>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</si>
  <si>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</si>
  <si>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</si>
  <si>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</si>
  <si>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</si>
  <si>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</si>
  <si>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</si>
  <si>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</si>
  <si>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</si>
  <si>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</si>
  <si>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</si>
  <si>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</si>
  <si>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</si>
  <si>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</si>
  <si>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</si>
  <si>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</si>
  <si>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</si>
  <si>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</si>
  <si>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</si>
  <si>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</si>
  <si>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</si>
  <si>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</si>
  <si>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</si>
  <si>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</si>
  <si>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</si>
  <si>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</si>
  <si>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</si>
  <si>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</si>
  <si>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</si>
  <si>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</si>
  <si>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</si>
  <si>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</si>
  <si>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</si>
  <si>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</si>
  <si>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</si>
  <si>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</si>
  <si>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</si>
  <si>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</si>
  <si>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</si>
  <si>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</si>
  <si>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</si>
  <si>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</si>
  <si>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</si>
  <si>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</si>
  <si>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</si>
  <si>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</si>
  <si>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</si>
  <si>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</si>
  <si>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</si>
  <si>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</si>
  <si>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</si>
  <si>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</si>
  <si>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</si>
  <si>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</si>
  <si>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</si>
  <si>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</si>
  <si>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</si>
  <si>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</si>
  <si>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</si>
  <si>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</si>
  <si>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</si>
  <si>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</si>
  <si>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</si>
  <si>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</si>
  <si>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</si>
  <si>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</si>
  <si>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</si>
  <si>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</si>
  <si>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</si>
  <si>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</si>
  <si>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</si>
  <si>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</si>
  <si>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</si>
  <si>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</si>
  <si>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</si>
  <si>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</si>
  <si>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</si>
  <si>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</si>
  <si>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</si>
  <si>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</si>
  <si>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</si>
  <si>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</si>
  <si>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</si>
  <si>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</si>
  <si>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</si>
  <si>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</si>
  <si>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</si>
  <si>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</si>
  <si>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</si>
  <si>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</si>
  <si>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</si>
  <si>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</si>
  <si>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</si>
  <si>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</si>
  <si>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</si>
  <si>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</si>
  <si>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</si>
  <si>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</si>
  <si>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</si>
  <si>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</si>
  <si>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</si>
  <si>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</si>
  <si>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</si>
  <si>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</si>
  <si>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</si>
  <si>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</si>
  <si>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</si>
  <si>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</si>
  <si>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</si>
  <si>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</si>
  <si>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</si>
  <si>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</si>
  <si>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</si>
  <si>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</si>
  <si>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</si>
  <si>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</si>
  <si>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</si>
  <si>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</si>
  <si>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</si>
  <si>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</si>
  <si>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</si>
  <si>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</si>
  <si>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</si>
  <si>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</si>
  <si>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</si>
  <si>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</si>
  <si>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</si>
  <si>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</si>
  <si>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</si>
  <si>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</si>
  <si>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</si>
  <si>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</si>
  <si>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</si>
  <si>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</si>
  <si>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</si>
  <si>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</si>
  <si>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</si>
  <si>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</si>
  <si>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</si>
  <si>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</si>
  <si>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</si>
  <si>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</si>
  <si>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</si>
  <si>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</si>
  <si>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</si>
  <si>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</si>
  <si>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</si>
  <si>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</si>
  <si>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</si>
  <si>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</si>
  <si>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</si>
  <si>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</si>
  <si>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</si>
  <si>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</si>
  <si>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</si>
  <si>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</si>
  <si>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</si>
  <si>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</si>
  <si>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</si>
  <si>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</si>
  <si>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</si>
  <si>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</si>
  <si>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</si>
  <si>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</si>
  <si>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</si>
  <si>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</si>
  <si>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</si>
  <si>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</si>
  <si>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</si>
  <si>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</si>
  <si>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</si>
  <si>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</si>
  <si>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</si>
  <si>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</si>
  <si>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</si>
  <si>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</si>
  <si>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</si>
  <si>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</si>
  <si>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</si>
  <si>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</si>
  <si>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</si>
  <si>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</si>
  <si>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</si>
  <si>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</si>
  <si>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</si>
  <si>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</si>
  <si>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</si>
  <si>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</si>
  <si>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</si>
  <si>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</si>
  <si>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</si>
  <si>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</si>
  <si>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</si>
  <si>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</si>
  <si>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</si>
  <si>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</si>
  <si>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</si>
  <si>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</si>
  <si>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</si>
  <si>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</si>
  <si>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</si>
  <si>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</si>
  <si>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</si>
  <si>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</si>
  <si>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</si>
  <si>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</si>
  <si>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</si>
  <si>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</si>
  <si>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</si>
  <si>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</si>
  <si>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</si>
  <si>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</si>
  <si>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</si>
  <si>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</si>
  <si>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</si>
  <si>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</si>
  <si>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</si>
  <si>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</si>
  <si>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</si>
  <si>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</si>
  <si>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</si>
  <si>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</si>
  <si>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</si>
  <si>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</si>
  <si>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</si>
  <si>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</si>
  <si>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</si>
  <si>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</si>
  <si>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</si>
  <si>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</si>
  <si>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</si>
  <si>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</si>
  <si>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</si>
  <si>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</si>
  <si>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</si>
  <si>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</si>
  <si>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</si>
  <si>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</si>
  <si>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</si>
  <si>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</si>
  <si>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</si>
  <si>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</si>
  <si>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</si>
  <si>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</si>
  <si>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</si>
  <si>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</si>
  <si>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</si>
  <si>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</si>
  <si>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</si>
  <si>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</si>
  <si>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</si>
  <si>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</si>
  <si>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</si>
  <si>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</si>
  <si>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</si>
  <si>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</si>
  <si>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</si>
  <si>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</si>
  <si>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</si>
  <si>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</si>
  <si>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</si>
  <si>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</si>
  <si>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</si>
  <si>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</si>
  <si>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</si>
  <si>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</si>
  <si>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</si>
  <si>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</si>
  <si>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</si>
  <si>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</si>
  <si>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</si>
  <si>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</si>
  <si>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</si>
  <si>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</si>
  <si>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</si>
  <si>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</si>
  <si>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</si>
  <si>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</si>
  <si>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</si>
  <si>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</si>
  <si>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</si>
  <si>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</si>
  <si>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</si>
  <si>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</si>
  <si>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</si>
  <si>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</si>
  <si>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</si>
  <si>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</si>
  <si>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</si>
  <si>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</si>
  <si>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</si>
  <si>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</si>
  <si>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</si>
  <si>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</si>
  <si>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</si>
  <si>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</si>
  <si>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</si>
  <si>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</si>
  <si>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</si>
  <si>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</si>
  <si>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</si>
  <si>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</si>
  <si>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</si>
  <si>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</si>
  <si>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</si>
  <si>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</si>
  <si>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</si>
  <si>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</si>
  <si>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</si>
  <si>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</si>
  <si>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</si>
  <si>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</si>
  <si>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</si>
  <si>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</si>
  <si>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</si>
  <si>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</si>
  <si>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</si>
  <si>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</si>
  <si>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</si>
  <si>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</si>
  <si>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</si>
  <si>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</si>
  <si>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</si>
  <si>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</si>
  <si>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</si>
  <si>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</si>
  <si>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</si>
  <si>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</si>
  <si>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</si>
  <si>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</si>
  <si>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</si>
  <si>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</si>
  <si>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</si>
  <si>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</si>
  <si>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</si>
  <si>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</si>
  <si>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</si>
  <si>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</si>
  <si>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</si>
  <si>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</si>
  <si>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</si>
  <si>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</si>
  <si>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</si>
  <si>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</si>
  <si>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</si>
  <si>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</si>
  <si>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</si>
  <si>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</si>
  <si>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</si>
  <si>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</si>
  <si>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</si>
  <si>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</si>
  <si>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</si>
  <si>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</si>
  <si>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</si>
  <si>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</si>
  <si>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</si>
  <si>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</si>
  <si>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</si>
  <si>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</si>
  <si>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</si>
  <si>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</si>
  <si>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</si>
  <si>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</si>
  <si>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</si>
  <si>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</si>
  <si>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</si>
  <si>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</si>
  <si>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</si>
  <si>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</si>
  <si>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</si>
  <si>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</si>
  <si>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</si>
  <si>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</si>
  <si>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</si>
  <si>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</si>
  <si>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</si>
  <si>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</si>
  <si>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</si>
  <si>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</si>
  <si>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</si>
  <si>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</si>
  <si>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</si>
  <si>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</si>
  <si>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</si>
  <si>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</si>
  <si>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</si>
  <si>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</si>
  <si>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</si>
  <si>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</si>
  <si>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</si>
  <si>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</si>
  <si>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</si>
  <si>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</si>
  <si>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</si>
  <si>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</si>
  <si>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</si>
  <si>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</si>
  <si>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</si>
  <si>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</si>
  <si>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</si>
  <si>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</si>
  <si>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</si>
  <si>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</si>
  <si>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</si>
  <si>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</si>
  <si>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</si>
  <si>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</si>
  <si>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</si>
  <si>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</si>
  <si>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</si>
  <si>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</si>
  <si>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</si>
  <si>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</si>
  <si>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</si>
  <si>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</si>
  <si>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</si>
  <si>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</si>
  <si>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</si>
  <si>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</si>
  <si>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</si>
  <si>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</si>
  <si>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</si>
  <si>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</si>
  <si>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</si>
  <si>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</si>
  <si>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</si>
  <si>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</si>
  <si>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</si>
  <si>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</si>
  <si>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</si>
  <si>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</si>
  <si>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</si>
  <si>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</si>
  <si>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</si>
  <si>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</si>
  <si>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</si>
  <si>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</si>
  <si>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</si>
  <si>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</si>
  <si>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</si>
  <si>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</si>
  <si>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</si>
  <si>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</si>
  <si>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</si>
  <si>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</si>
  <si>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</si>
  <si>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</si>
  <si>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</si>
  <si>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</si>
  <si>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</si>
  <si>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</si>
  <si>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</si>
  <si>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</si>
  <si>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</si>
  <si>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</si>
  <si>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</si>
  <si>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</si>
  <si>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</si>
  <si>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</si>
  <si>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</si>
  <si>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</si>
  <si>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</si>
  <si>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</si>
  <si>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</si>
  <si>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</si>
  <si>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</si>
  <si>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</si>
  <si>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</si>
  <si>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</si>
  <si>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</si>
  <si>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</si>
  <si>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</si>
  <si>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</si>
  <si>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</si>
  <si>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</si>
  <si>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</si>
  <si>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</si>
  <si>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</si>
  <si>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</si>
  <si>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</si>
  <si>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</si>
  <si>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</si>
  <si>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</si>
  <si>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</si>
  <si>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</si>
  <si>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</si>
  <si>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</si>
  <si>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</si>
  <si>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</si>
  <si>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</si>
  <si>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</si>
  <si>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</si>
  <si>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</si>
  <si>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</si>
  <si>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</si>
  <si>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</si>
  <si>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</si>
  <si>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</si>
  <si>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</si>
  <si>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</si>
  <si>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</si>
  <si>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</si>
  <si>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</si>
  <si>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</si>
  <si>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</si>
  <si>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</si>
  <si>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</si>
  <si>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</si>
  <si>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</si>
  <si>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</si>
  <si>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</si>
  <si>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</si>
  <si>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</si>
  <si>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</si>
  <si>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</si>
  <si>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</si>
  <si>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</si>
  <si>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</si>
  <si>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</si>
  <si>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</si>
  <si>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</si>
  <si>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</si>
  <si>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</si>
  <si>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</si>
  <si>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</si>
  <si>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</si>
  <si>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</si>
  <si>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</si>
  <si>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</si>
  <si>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</si>
  <si>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</si>
  <si>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</si>
  <si>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</si>
  <si>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</si>
  <si>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</si>
  <si>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</si>
  <si>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</si>
  <si>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</si>
  <si>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</si>
  <si>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</si>
  <si>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</si>
  <si>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</si>
  <si>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</si>
  <si>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</si>
  <si>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</si>
  <si>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</si>
  <si>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</si>
  <si>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</si>
  <si>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</si>
  <si>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</si>
  <si>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</si>
  <si>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</si>
  <si>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</si>
  <si>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</si>
  <si>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</si>
  <si>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</si>
  <si>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</si>
  <si>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</si>
  <si>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</si>
  <si>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</si>
  <si>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</si>
  <si>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</si>
  <si>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</si>
  <si>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</si>
  <si>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</si>
  <si>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</si>
  <si>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</si>
  <si>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</si>
  <si>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</si>
  <si>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</si>
  <si>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</si>
  <si>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</si>
  <si>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</si>
  <si>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</si>
  <si>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</si>
  <si>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</si>
  <si>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</si>
  <si>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</si>
  <si>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</si>
  <si>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</si>
  <si>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</si>
  <si>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</si>
  <si>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</si>
  <si>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</si>
  <si>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</si>
  <si>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</si>
  <si>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</si>
  <si>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</si>
  <si>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</si>
  <si>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</si>
  <si>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</si>
  <si>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</si>
  <si>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</si>
  <si>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</si>
  <si>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</si>
  <si>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</si>
  <si>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</si>
  <si>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</si>
  <si>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</si>
  <si>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</si>
  <si>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</si>
  <si>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</si>
  <si>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</si>
  <si>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</si>
  <si>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</si>
  <si>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</si>
  <si>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</si>
  <si>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</si>
  <si>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</si>
  <si>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</si>
  <si>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</si>
  <si>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</si>
  <si>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</si>
  <si>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</si>
  <si>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</si>
  <si>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</si>
  <si>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</si>
  <si>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</si>
  <si>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</si>
  <si>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</si>
  <si>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</si>
  <si>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</si>
  <si>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</si>
  <si>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</si>
  <si>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</si>
  <si>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</si>
  <si>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</si>
  <si>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</si>
  <si>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</si>
  <si>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</si>
  <si>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</si>
  <si>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</si>
  <si>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</si>
  <si>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</si>
  <si>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</si>
  <si>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</si>
  <si>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</si>
  <si>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</si>
  <si>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</si>
  <si>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</si>
  <si>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</si>
  <si>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</si>
  <si>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</si>
  <si>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</si>
  <si>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</si>
  <si>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</si>
  <si>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</si>
  <si>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</si>
  <si>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</si>
  <si>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</si>
  <si>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</si>
  <si>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</si>
  <si>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</si>
  <si>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</si>
  <si>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</si>
  <si>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</si>
  <si>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</si>
  <si>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</si>
  <si>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</si>
  <si>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</si>
  <si>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</si>
  <si>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</si>
  <si>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</si>
  <si>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</si>
  <si>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</si>
  <si>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</si>
  <si>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</si>
  <si>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</si>
  <si>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</si>
  <si>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</si>
  <si>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</si>
  <si>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</si>
  <si>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</si>
  <si>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</si>
  <si>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</si>
  <si>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</si>
  <si>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</si>
  <si>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</si>
  <si>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</si>
  <si>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</si>
  <si>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</si>
  <si>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</si>
  <si>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</si>
  <si>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</si>
  <si>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</si>
  <si>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</si>
  <si>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</si>
  <si>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</si>
  <si>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</si>
  <si>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</si>
  <si>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</si>
  <si>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</si>
  <si>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</si>
  <si>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</si>
  <si>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</si>
  <si>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</si>
  <si>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</si>
  <si>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</si>
  <si>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</si>
  <si>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</si>
  <si>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</si>
  <si>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</si>
  <si>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</si>
  <si>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</si>
  <si>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</si>
  <si>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</si>
  <si>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</si>
  <si>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</si>
  <si>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</si>
  <si>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</si>
  <si>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</si>
  <si>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</si>
  <si>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</si>
  <si>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</si>
  <si>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</si>
  <si>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</si>
  <si>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</si>
  <si>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</si>
  <si>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</si>
  <si>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</si>
  <si>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</si>
  <si>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</si>
  <si>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</si>
  <si>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</si>
  <si>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</si>
  <si>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</si>
  <si>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</si>
  <si>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</si>
  <si>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</si>
  <si>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</si>
  <si>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</si>
  <si>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</si>
  <si>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</si>
  <si>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</si>
  <si>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</si>
  <si>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</si>
  <si>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</si>
  <si>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</si>
  <si>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</si>
  <si>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</si>
  <si>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</si>
  <si>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</si>
  <si>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</si>
  <si>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</si>
  <si>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</si>
  <si>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</si>
  <si>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</si>
  <si>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</si>
  <si>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</si>
  <si>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</si>
  <si>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</si>
  <si>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</si>
  <si>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</si>
  <si>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</si>
  <si>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</si>
  <si>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</si>
  <si>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</si>
  <si>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</si>
  <si>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</si>
  <si>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</si>
  <si>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</si>
  <si>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</si>
  <si>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</si>
  <si>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</si>
  <si>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</si>
  <si>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</si>
  <si>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</si>
  <si>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</si>
  <si>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</si>
  <si>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</si>
  <si>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</si>
  <si>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</si>
  <si>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</si>
  <si>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</si>
  <si>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</si>
  <si>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</si>
  <si>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</si>
  <si>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</si>
  <si>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</si>
  <si>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</si>
  <si>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</si>
  <si>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</si>
  <si>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</si>
  <si>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</si>
  <si>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</si>
  <si>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</si>
  <si>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</si>
  <si>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</si>
  <si>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</si>
  <si>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</si>
  <si>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</si>
  <si>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</si>
  <si>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</si>
  <si>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</si>
  <si>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</si>
  <si>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</si>
  <si>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</si>
  <si>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</si>
  <si>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</si>
  <si>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</si>
  <si>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</si>
  <si>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</si>
  <si>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</si>
  <si>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</si>
  <si>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</si>
  <si>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</si>
  <si>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</si>
  <si>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</si>
  <si>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</si>
  <si>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</si>
  <si>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</si>
  <si>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</si>
  <si>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</si>
  <si>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</si>
  <si>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</si>
  <si>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</si>
  <si>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</si>
  <si>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</si>
  <si>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</si>
  <si>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</si>
  <si>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</si>
  <si>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</si>
  <si>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</si>
  <si>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</si>
  <si>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</si>
  <si>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</si>
  <si>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</si>
  <si>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</si>
  <si>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</si>
  <si>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</si>
  <si>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</si>
  <si>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</si>
  <si>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</si>
  <si>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</si>
  <si>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</si>
  <si>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</si>
  <si>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</si>
  <si>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</si>
  <si>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</si>
  <si>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</si>
  <si>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</si>
  <si>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</si>
  <si>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</si>
  <si>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</si>
  <si>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</si>
  <si>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</si>
  <si>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</si>
  <si>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</si>
  <si>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</si>
  <si>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</si>
  <si>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</si>
  <si>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</si>
  <si>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</si>
  <si>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</si>
  <si>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</si>
  <si>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</si>
  <si>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</si>
  <si>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</si>
  <si>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</si>
  <si>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</si>
  <si>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</si>
  <si>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</si>
  <si>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</si>
  <si>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</si>
  <si>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</si>
  <si>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</si>
  <si>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</si>
  <si>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</si>
  <si>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</si>
  <si>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</si>
  <si>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</si>
  <si>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</si>
  <si>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</si>
  <si>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</si>
  <si>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</si>
  <si>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</si>
  <si>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</si>
  <si>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</si>
  <si>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</si>
  <si>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</si>
  <si>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</si>
  <si>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</si>
  <si>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</si>
  <si>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</si>
  <si>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</si>
  <si>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</si>
  <si>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</si>
  <si>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</si>
  <si>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</si>
  <si>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</si>
  <si>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</si>
  <si>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</si>
  <si>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</si>
  <si>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</si>
  <si>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</si>
  <si>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</si>
  <si>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</si>
  <si>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</si>
  <si>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</si>
  <si>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</si>
  <si>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</si>
  <si>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</si>
  <si>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</si>
  <si>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</si>
  <si>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</si>
  <si>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</si>
  <si>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</si>
  <si>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</si>
  <si>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</si>
  <si>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</si>
  <si>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</si>
  <si>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</si>
  <si>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</si>
  <si>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</si>
  <si>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extraída</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</si>
  <si>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</si>
  <si>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</si>
  <si>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</si>
  <si>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</si>
  <si>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</si>
  <si>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</si>
  <si>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</si>
  <si>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</si>
  <si>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</si>
  <si>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</si>
  <si>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</si>
  <si>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</si>
  <si>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</si>
  <si>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</si>
  <si>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</si>
  <si>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</si>
  <si>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</si>
  <si>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</si>
  <si>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</si>
  <si>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</si>
  <si>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</si>
  <si>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</si>
  <si>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</si>
  <si>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</si>
  <si>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</si>
  <si>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</si>
  <si>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</si>
  <si>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</si>
  <si>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</si>
  <si>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</si>
  <si>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</si>
  <si>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</si>
  <si>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</si>
  <si>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</si>
  <si>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</si>
  <si>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</si>
  <si>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</si>
  <si>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</si>
  <si>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</si>
  <si>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</si>
  <si>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</si>
  <si>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</si>
  <si>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</si>
  <si>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</si>
  <si>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</si>
  <si>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</si>
  <si>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</si>
  <si>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</si>
  <si>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</si>
  <si>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</si>
  <si>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</si>
  <si>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</si>
  <si>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</si>
  <si>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</si>
  <si>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</si>
  <si>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</si>
  <si>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</si>
  <si>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</si>
  <si>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</si>
  <si>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</si>
  <si>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</si>
  <si>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</si>
  <si>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</si>
  <si>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</si>
  <si>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</si>
  <si>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</si>
  <si>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</si>
  <si>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</si>
  <si>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</si>
  <si>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</si>
  <si>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</si>
  <si>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</si>
  <si>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</si>
  <si>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</si>
  <si>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</si>
  <si>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</si>
  <si>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</si>
  <si>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</si>
  <si>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</si>
  <si>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</si>
  <si>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</si>
  <si>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</si>
  <si>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</si>
  <si>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</si>
  <si>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</si>
  <si>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</si>
  <si>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</si>
  <si>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</si>
  <si>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</si>
  <si>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</si>
  <si>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</si>
  <si>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</si>
  <si>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</si>
  <si>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</si>
  <si>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</si>
  <si>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</si>
  <si>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</si>
  <si>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</si>
  <si>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</si>
  <si>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</si>
  <si>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</si>
  <si>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</si>
  <si>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</si>
  <si>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</si>
  <si>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</si>
  <si>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</si>
  <si>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</si>
  <si>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</si>
  <si>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</si>
  <si>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</si>
  <si>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</si>
  <si>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</si>
  <si>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</si>
  <si>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</si>
  <si>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</si>
  <si>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</si>
  <si>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</si>
  <si>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</si>
  <si>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</si>
  <si>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</si>
  <si>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</si>
  <si>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</si>
  <si>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</si>
  <si>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</si>
  <si>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</si>
  <si>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</si>
  <si>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</si>
  <si>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</si>
  <si>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</si>
  <si>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</si>
  <si>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</si>
  <si>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</si>
  <si>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</si>
  <si>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</si>
  <si>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</si>
  <si>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</si>
  <si>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</si>
  <si>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</si>
  <si>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</si>
  <si>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</si>
  <si>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</si>
  <si>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</si>
  <si>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</si>
  <si>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</si>
  <si>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</si>
  <si>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</si>
  <si>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</si>
  <si>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</si>
  <si>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</si>
  <si>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</si>
  <si>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</si>
  <si>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</si>
  <si>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</si>
  <si>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</si>
  <si>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</si>
  <si>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</si>
  <si>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</si>
  <si>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</si>
  <si>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</si>
  <si>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</si>
  <si>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</si>
  <si>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</si>
  <si>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</si>
  <si>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</si>
  <si>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</si>
  <si>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</si>
  <si>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</si>
  <si>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</si>
  <si>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</si>
  <si>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</si>
  <si>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</si>
  <si>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</si>
  <si>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</si>
  <si>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</si>
  <si>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</si>
  <si>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</si>
  <si>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</si>
  <si>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</si>
  <si>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</si>
  <si>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</si>
  <si>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</si>
  <si>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</si>
  <si>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</si>
  <si>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</si>
  <si>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</si>
  <si>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</si>
  <si>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</si>
  <si>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</si>
  <si>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</si>
  <si>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</si>
  <si>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</si>
  <si>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</si>
  <si>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</si>
  <si>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</si>
  <si>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</si>
  <si>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</si>
  <si>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</si>
  <si>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</si>
  <si>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</si>
  <si>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</si>
  <si>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</si>
  <si>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</si>
  <si>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</si>
  <si>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</si>
  <si>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</si>
  <si>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</si>
  <si>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</si>
  <si>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</si>
  <si>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</si>
  <si>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</si>
  <si>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</si>
  <si>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</si>
  <si>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</si>
  <si>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</si>
  <si>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</si>
  <si>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</si>
  <si>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</si>
  <si>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</si>
  <si>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</si>
  <si>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</si>
  <si>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</si>
  <si>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</si>
  <si>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</si>
  <si>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</si>
  <si>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</si>
  <si>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</si>
  <si>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</si>
  <si>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</si>
  <si>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</si>
  <si>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</si>
  <si>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</si>
  <si>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</si>
  <si>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</si>
  <si>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</si>
  <si>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</si>
  <si>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</si>
  <si>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</si>
  <si>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</si>
  <si>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</si>
  <si>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</si>
  <si>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</si>
  <si>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</si>
  <si>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</si>
  <si>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</si>
  <si>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</si>
  <si>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</si>
  <si>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</si>
  <si>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</si>
  <si>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</si>
  <si>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</si>
  <si>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</si>
  <si>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</si>
  <si>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</si>
  <si>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</si>
  <si>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</si>
  <si>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</si>
  <si>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</si>
  <si>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</si>
  <si>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</si>
  <si>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</si>
  <si>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</si>
  <si>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</si>
  <si>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</si>
  <si>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</si>
  <si>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</si>
  <si>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</si>
  <si>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</si>
  <si>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</si>
  <si>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</si>
  <si>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</si>
  <si>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</si>
  <si>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</si>
  <si>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</si>
  <si>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</si>
  <si>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</si>
  <si>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</si>
  <si>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</si>
  <si>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</si>
  <si>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</si>
  <si>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</si>
  <si>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</si>
  <si>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</si>
  <si>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</si>
  <si>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</si>
  <si>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</si>
  <si>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 com martelete e corte oxiacetileno</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</si>
  <si>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</si>
  <si>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</si>
  <si>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</si>
  <si>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</si>
  <si>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</si>
  <si>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</si>
  <si>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</si>
  <si>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</si>
  <si>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painel publicitário, tipo outdoor, com estrutura e suportes em madeira</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</si>
  <si>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</si>
  <si>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</si>
  <si>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</si>
  <si>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</si>
  <si>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</si>
  <si>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</si>
  <si>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</si>
  <si>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</si>
  <si>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</si>
  <si>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</si>
  <si>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</si>
  <si>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</si>
  <si>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</si>
  <si>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</si>
  <si>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</si>
  <si>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</si>
  <si>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</si>
  <si>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</si>
  <si>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</si>
  <si>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</si>
  <si>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</si>
  <si>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</si>
  <si>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</si>
  <si>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</si>
  <si>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</si>
  <si>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</si>
  <si>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</si>
  <si>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</si>
  <si>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</si>
  <si>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</si>
  <si>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</si>
  <si>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</si>
  <si>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</si>
  <si>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</si>
  <si>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</si>
  <si>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</si>
  <si>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</si>
  <si>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</si>
  <si>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</si>
  <si>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</si>
  <si>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</si>
  <si>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</si>
  <si>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</si>
  <si>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</si>
  <si>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</si>
  <si>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</si>
  <si>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</si>
  <si>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</si>
  <si>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</si>
  <si>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</si>
  <si>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</si>
  <si>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</si>
  <si>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</si>
  <si>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</si>
  <si>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</si>
  <si>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</si>
  <si>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</si>
  <si>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</si>
  <si>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</si>
  <si>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</si>
  <si>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</si>
  <si>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</si>
  <si>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</si>
  <si>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</si>
  <si>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</si>
  <si>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</si>
  <si>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</si>
  <si>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</si>
  <si>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</si>
  <si>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</si>
  <si>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</si>
  <si>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</si>
  <si>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</si>
  <si>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</si>
  <si>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</si>
  <si>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</si>
  <si>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</si>
  <si>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</si>
  <si>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</si>
  <si>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</si>
  <si>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</si>
  <si>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</si>
  <si>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</si>
  <si>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</si>
  <si>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</si>
  <si>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</si>
  <si>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</si>
  <si>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</si>
  <si>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</si>
  <si>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</si>
  <si>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</si>
  <si>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</si>
  <si>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</si>
  <si>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</si>
  <si>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</si>
  <si>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</si>
  <si>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</si>
  <si>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</si>
  <si>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</si>
  <si>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</si>
  <si>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</si>
  <si>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</si>
  <si>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</si>
  <si>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</si>
  <si>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</si>
  <si>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</si>
  <si>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</si>
  <si>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</si>
  <si>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</si>
  <si>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</si>
  <si>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</si>
  <si>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</si>
  <si>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</si>
  <si>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</si>
  <si>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</si>
  <si>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</si>
  <si>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</si>
  <si>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</si>
  <si>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</si>
  <si>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</si>
  <si>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</si>
  <si>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</si>
  <si>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</si>
  <si>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</si>
  <si>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</si>
  <si>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</si>
  <si>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</si>
  <si>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</si>
  <si>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</si>
  <si>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</si>
  <si>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</si>
  <si>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</si>
  <si>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</si>
  <si>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</si>
  <si>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</si>
  <si>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</si>
  <si>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</si>
  <si>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</si>
  <si>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</si>
  <si>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</si>
  <si>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</si>
  <si>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</si>
  <si>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</si>
  <si>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</si>
  <si>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</si>
  <si>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</si>
  <si>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</si>
  <si>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</si>
  <si>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</si>
  <si>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</si>
  <si>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</si>
  <si>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</si>
  <si>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</si>
  <si>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</si>
  <si>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</si>
  <si>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</si>
  <si>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</si>
  <si>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</si>
  <si>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</si>
  <si>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</si>
  <si>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</si>
  <si>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</si>
  <si>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</si>
  <si>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</si>
  <si>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</si>
  <si>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</si>
  <si>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</si>
  <si>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</si>
  <si>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</si>
  <si>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</si>
  <si>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</si>
  <si>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</si>
  <si>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</si>
  <si>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</si>
  <si>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</si>
  <si>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</si>
  <si>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</si>
  <si>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</si>
  <si>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</si>
  <si>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</si>
  <si>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</si>
  <si>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</si>
  <si>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</si>
  <si>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</si>
  <si>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</si>
  <si>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</si>
  <si>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</si>
  <si>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</si>
  <si>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</si>
  <si>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</si>
  <si>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</si>
  <si>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</si>
  <si>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</si>
  <si>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</si>
  <si>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</si>
  <si>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</si>
  <si>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</si>
  <si>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</si>
  <si>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</si>
  <si>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</si>
  <si>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</si>
  <si>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</si>
  <si>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</si>
  <si>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</si>
  <si>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</si>
  <si>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</si>
  <si>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</si>
  <si>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</si>
  <si>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</si>
  <si>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</si>
  <si>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</si>
  <si>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</si>
  <si>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</si>
  <si>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</si>
  <si>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</si>
  <si>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</si>
  <si>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</si>
  <si>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</si>
  <si>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</si>
  <si>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</si>
  <si>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</si>
  <si>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</si>
  <si>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</si>
  <si>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</si>
  <si>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</si>
  <si>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</si>
  <si>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</si>
  <si>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</si>
  <si>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</si>
  <si>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</si>
  <si>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</si>
  <si>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</si>
  <si>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</si>
  <si>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</si>
  <si>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</si>
  <si>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</si>
  <si>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</si>
  <si>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</si>
  <si>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</si>
  <si>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</si>
  <si>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</si>
  <si>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</si>
  <si>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</si>
  <si>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</si>
  <si>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</si>
  <si>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</si>
  <si>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</si>
  <si>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</si>
  <si>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</si>
  <si>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</si>
  <si>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</si>
  <si>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</si>
  <si>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</si>
  <si>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</si>
  <si>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</si>
  <si>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</si>
  <si>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</si>
  <si>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</si>
  <si>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</si>
  <si>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</si>
  <si>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</si>
  <si>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</si>
  <si>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</si>
  <si>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</si>
  <si>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</si>
  <si>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</si>
  <si>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</si>
  <si>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</si>
  <si>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</si>
  <si>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</si>
  <si>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</si>
  <si>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</si>
  <si>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</si>
  <si>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</si>
  <si>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</si>
  <si>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</si>
  <si>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</si>
  <si>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</si>
  <si>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</si>
  <si>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</si>
  <si>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</si>
  <si>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</si>
  <si>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</si>
  <si>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</si>
  <si>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</si>
  <si>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</si>
  <si>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</si>
  <si>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</si>
  <si>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</si>
  <si>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</si>
  <si>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</si>
  <si>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</si>
  <si>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</si>
  <si>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</si>
  <si>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</si>
  <si>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</si>
  <si>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</si>
  <si>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</si>
  <si>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</si>
  <si>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</si>
  <si>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</si>
  <si>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</si>
  <si>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</si>
  <si>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</si>
  <si>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</si>
  <si>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</si>
  <si>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</si>
  <si>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</si>
  <si>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</si>
  <si>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</si>
  <si>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</si>
  <si>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</si>
  <si>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</si>
  <si>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</si>
  <si>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</si>
  <si>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</si>
  <si>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</si>
  <si>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</si>
  <si>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</si>
  <si>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</si>
  <si>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</si>
  <si>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</si>
  <si>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</si>
  <si>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</si>
  <si>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</si>
  <si>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</si>
  <si>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</si>
  <si>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</si>
  <si>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</si>
  <si>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</si>
  <si>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</si>
  <si>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</si>
  <si>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</si>
  <si>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</si>
  <si>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</si>
  <si>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</si>
  <si>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</si>
  <si>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</si>
  <si>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</si>
  <si>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</si>
  <si>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</si>
  <si>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</si>
  <si>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</si>
  <si>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</si>
  <si>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</si>
  <si>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</si>
  <si>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</si>
  <si>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</si>
  <si>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</si>
  <si>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</si>
  <si>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</si>
  <si>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</si>
  <si>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</si>
  <si>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</si>
  <si>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</si>
  <si>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</si>
  <si>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</si>
  <si>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</si>
  <si>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</si>
  <si>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</si>
  <si>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</si>
  <si>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</si>
  <si>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</si>
  <si>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</si>
  <si>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</si>
  <si>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</si>
  <si>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</si>
  <si>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</si>
  <si>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</si>
  <si>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</si>
  <si>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</si>
  <si>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</si>
  <si>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</si>
  <si>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</si>
  <si>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</si>
  <si>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</si>
  <si>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</si>
  <si>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</si>
  <si>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</si>
  <si>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</si>
  <si>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</si>
  <si>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</si>
  <si>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</si>
  <si>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</si>
  <si>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</si>
  <si>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</si>
  <si>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</si>
  <si>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</si>
  <si>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</si>
  <si>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</si>
  <si>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</si>
  <si>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</si>
  <si>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</si>
  <si>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</si>
  <si>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</si>
  <si>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</si>
  <si>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</si>
  <si>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</si>
  <si>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</si>
  <si>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</si>
  <si>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</si>
  <si>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</si>
  <si>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</si>
  <si>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</si>
  <si>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</si>
  <si>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</si>
  <si>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</si>
  <si>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</si>
  <si>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</si>
  <si>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</si>
  <si>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</si>
  <si>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</si>
  <si>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</si>
  <si>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</si>
  <si>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</si>
  <si>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</si>
  <si>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</si>
  <si>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</si>
  <si>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</si>
  <si>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</si>
  <si>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</si>
  <si>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</si>
  <si>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</si>
  <si>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</si>
  <si>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</si>
  <si>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</si>
  <si>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</si>
  <si>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</si>
  <si>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</si>
  <si>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</si>
  <si>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</si>
  <si>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</si>
  <si>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</si>
  <si>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</si>
  <si>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</si>
  <si>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</si>
  <si>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</si>
  <si>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</si>
  <si>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</si>
  <si>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</si>
  <si>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</si>
  <si>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</si>
  <si>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</si>
  <si>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</si>
  <si>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</si>
  <si>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</si>
  <si>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</si>
  <si>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</si>
  <si>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</si>
  <si>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</si>
  <si>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</si>
  <si>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</si>
  <si>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</si>
  <si>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</si>
  <si>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</si>
  <si>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</si>
  <si>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</si>
  <si>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</si>
  <si>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</si>
  <si>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</si>
  <si>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</si>
  <si>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</si>
  <si>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</si>
  <si>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</si>
  <si>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</si>
  <si>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</si>
  <si>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</si>
  <si>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</si>
  <si>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</si>
  <si>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</si>
  <si>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</si>
  <si>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</si>
  <si>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</si>
  <si>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</si>
  <si>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</si>
  <si>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</si>
  <si>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</si>
  <si>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</si>
  <si>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</si>
  <si>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</si>
  <si>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</si>
  <si>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</si>
  <si>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</si>
  <si>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</si>
  <si>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</si>
  <si>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</si>
  <si>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</si>
  <si>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</si>
  <si>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</si>
  <si>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</si>
  <si>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</si>
  <si>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</si>
  <si>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</si>
  <si>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</si>
  <si>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</si>
  <si>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</si>
  <si>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</si>
  <si>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</si>
  <si>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</si>
  <si>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</si>
  <si>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</si>
  <si>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</si>
  <si>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</si>
  <si>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</si>
  <si>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</si>
  <si>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</si>
  <si>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</si>
  <si>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</si>
  <si>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</si>
  <si>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</si>
  <si>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</si>
  <si>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</si>
  <si>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</si>
  <si>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</si>
  <si>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</si>
  <si>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</si>
  <si>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</si>
  <si>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</si>
  <si>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</si>
  <si>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</si>
  <si>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</si>
  <si>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</si>
  <si>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</si>
  <si>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</si>
  <si>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</si>
  <si>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</si>
  <si>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</si>
  <si>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</si>
  <si>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</si>
  <si>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</si>
  <si>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</si>
  <si>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</si>
  <si>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</si>
  <si>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</si>
  <si>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</si>
  <si>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</si>
  <si>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</si>
  <si>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</si>
  <si>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</si>
  <si>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</si>
  <si>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</si>
  <si>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</si>
  <si>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</si>
  <si>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</si>
  <si>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</si>
  <si>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</si>
  <si>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</si>
  <si>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</si>
  <si>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</si>
  <si>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</si>
  <si>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</si>
  <si>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</si>
  <si>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</si>
  <si>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</si>
  <si>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</si>
  <si>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</si>
  <si>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</si>
  <si>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</si>
  <si>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</si>
  <si>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</si>
  <si>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</si>
  <si>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</si>
  <si>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</si>
  <si>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</si>
  <si>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</si>
  <si>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</si>
  <si>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</si>
  <si>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</si>
  <si>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</si>
  <si>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</si>
  <si>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</si>
  <si>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</si>
  <si>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</si>
  <si>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</si>
  <si>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</si>
  <si>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</si>
  <si>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</si>
  <si>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</si>
  <si>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</si>
  <si>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</si>
  <si>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</si>
  <si>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</si>
  <si>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</si>
  <si>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</si>
  <si>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</si>
  <si>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</si>
  <si>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</si>
  <si>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</si>
  <si>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</si>
  <si>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</si>
  <si>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</si>
  <si>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</si>
  <si>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</si>
  <si>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</si>
  <si>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</si>
  <si>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</si>
  <si>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</si>
  <si>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</si>
  <si>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</si>
  <si>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</si>
  <si>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</si>
  <si>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</si>
  <si>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</si>
  <si>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</si>
  <si>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</si>
  <si>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</si>
  <si>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</si>
  <si>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</si>
  <si>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</si>
  <si>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</si>
  <si>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</si>
  <si>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</si>
  <si>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</si>
  <si>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</si>
  <si>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</si>
  <si>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</si>
  <si>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</si>
  <si>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</si>
  <si>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</si>
  <si>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</si>
  <si>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</si>
  <si>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</si>
  <si>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</si>
  <si>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</si>
  <si>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</si>
  <si>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</si>
  <si>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</si>
  <si>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</si>
  <si>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</si>
  <si>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</si>
  <si>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</si>
  <si>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</si>
  <si>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</si>
  <si>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</si>
  <si>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</si>
  <si>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</si>
  <si>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</si>
  <si>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</si>
  <si>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</si>
  <si>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</si>
  <si>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</si>
  <si>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</si>
  <si>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</si>
  <si>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</si>
  <si>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</si>
  <si>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</si>
  <si>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</si>
  <si>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</si>
  <si>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</si>
  <si>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</si>
  <si>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</si>
  <si>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</si>
  <si>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</si>
  <si>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</si>
  <si>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</si>
  <si>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</si>
  <si>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</si>
  <si>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</si>
  <si>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</si>
  <si>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</si>
  <si>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</si>
  <si>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</si>
  <si>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</si>
  <si>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</si>
  <si>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</si>
  <si>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</si>
  <si>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</si>
  <si>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</si>
  <si>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</si>
  <si>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</si>
  <si>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</si>
  <si>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</si>
  <si>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</si>
  <si>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</si>
  <si>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</si>
  <si>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</si>
  <si>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</si>
  <si>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</si>
  <si>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</si>
  <si>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</si>
  <si>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</si>
  <si>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</si>
  <si>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</si>
  <si>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</si>
  <si>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</si>
  <si>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</si>
  <si>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</si>
  <si>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</si>
  <si>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</si>
  <si>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</si>
  <si>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</si>
  <si>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</si>
  <si>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</si>
  <si>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</si>
  <si>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</si>
  <si>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</si>
  <si>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</si>
  <si>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</si>
  <si>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</si>
  <si>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</si>
  <si>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</si>
  <si>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</si>
  <si>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</si>
  <si>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</si>
  <si>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</si>
  <si>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</si>
  <si>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</si>
  <si>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</si>
  <si>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</si>
  <si>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</si>
  <si>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</si>
  <si>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</si>
  <si>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</si>
  <si>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</si>
  <si>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</si>
  <si>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</si>
  <si>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</si>
  <si>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</si>
  <si>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</si>
  <si>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</si>
  <si>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</si>
  <si>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</si>
  <si>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</si>
  <si>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</si>
  <si>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</si>
  <si>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</si>
  <si>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</si>
  <si>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</si>
  <si>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</si>
  <si>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</si>
  <si>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</si>
  <si>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</si>
  <si>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</si>
  <si>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</si>
  <si>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</si>
  <si>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</si>
  <si>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</si>
  <si>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</si>
  <si>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</si>
  <si>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</si>
  <si>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</si>
  <si>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</si>
  <si>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</si>
  <si>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</si>
  <si>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</si>
  <si>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</si>
  <si>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</si>
  <si>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</si>
  <si>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</si>
  <si>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</si>
  <si>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</si>
  <si>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</si>
  <si>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</si>
  <si>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</si>
  <si>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</si>
  <si>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</si>
  <si>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</si>
  <si>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</si>
  <si>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</si>
  <si>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</si>
  <si>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</si>
  <si>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</si>
  <si>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</si>
  <si>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</si>
  <si>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</si>
  <si>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</si>
  <si>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</si>
  <si>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</si>
  <si>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</si>
  <si>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</si>
  <si>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</si>
  <si>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</si>
  <si>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</si>
  <si>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</si>
  <si>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</si>
  <si>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</si>
  <si>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</si>
  <si>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</si>
  <si>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</si>
  <si>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</si>
  <si>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</si>
  <si>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</si>
  <si>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</si>
  <si>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</si>
  <si>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</si>
  <si>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</si>
  <si>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</si>
  <si>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</si>
  <si>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</si>
  <si>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</si>
  <si>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</si>
  <si>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</si>
  <si>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</si>
  <si>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</si>
  <si>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</si>
  <si>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</si>
  <si>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</si>
  <si>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</si>
  <si>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</si>
  <si>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</si>
  <si>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</si>
  <si>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</si>
  <si>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</si>
  <si>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</si>
  <si>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</si>
  <si>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</si>
  <si>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</si>
  <si>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</si>
  <si>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</si>
  <si>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</si>
  <si>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</si>
  <si>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</si>
  <si>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</si>
  <si>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</si>
  <si>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</si>
  <si>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</si>
  <si>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</si>
  <si>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</si>
  <si>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</si>
  <si>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</si>
  <si>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</si>
  <si>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</si>
  <si>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</si>
  <si>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</si>
  <si>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</si>
  <si>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</si>
  <si>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</si>
  <si>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</si>
  <si>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</si>
  <si>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</si>
  <si>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</si>
  <si>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</si>
  <si>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</si>
  <si>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</si>
  <si>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</si>
  <si>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</si>
  <si>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</si>
  <si>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</si>
  <si>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</si>
  <si>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</si>
  <si>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</si>
  <si>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</si>
  <si>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</si>
  <si>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</si>
  <si>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</si>
  <si>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</si>
  <si>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</si>
  <si>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</si>
  <si>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</si>
  <si>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</si>
  <si>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</si>
  <si>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</si>
  <si>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</si>
  <si>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</si>
  <si>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</si>
  <si>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</si>
  <si>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</si>
  <si>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</si>
  <si>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</si>
  <si>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</si>
  <si>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</si>
  <si>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</si>
  <si>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</si>
  <si>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</si>
  <si>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</si>
  <si>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</si>
  <si>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</si>
  <si>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</si>
  <si>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</si>
  <si>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</si>
  <si>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</si>
  <si>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</si>
  <si>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</si>
  <si>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</si>
  <si>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</si>
  <si>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</si>
  <si>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</si>
  <si>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</si>
  <si>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</si>
  <si>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</si>
  <si>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</si>
  <si>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</si>
  <si>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</si>
  <si>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</si>
  <si>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</si>
  <si>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</si>
  <si>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</si>
  <si>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</si>
  <si>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</si>
  <si>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</si>
  <si>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</si>
  <si>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</si>
  <si>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</si>
  <si>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</si>
  <si>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</si>
  <si>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</si>
  <si>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</si>
  <si>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</si>
  <si>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</si>
  <si>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</si>
  <si>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</si>
  <si>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</si>
  <si>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</si>
  <si>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</si>
  <si>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</si>
  <si>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</si>
  <si>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</si>
  <si>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</si>
  <si>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</si>
  <si>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</si>
  <si>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</si>
  <si>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</si>
  <si>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</si>
  <si>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</si>
  <si>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</si>
  <si>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</si>
  <si>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</si>
  <si>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</si>
  <si>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</si>
  <si>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</si>
  <si>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</si>
  <si>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</si>
  <si>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</si>
  <si>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</si>
  <si>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</si>
  <si>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</si>
  <si>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</si>
  <si>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</si>
  <si>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</si>
  <si>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</si>
  <si>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extraída e brita produzida</t>
  </si>
  <si>
    <t>Boca de lobo simples - BLS 02 - areia extraída e brita produzida</t>
  </si>
  <si>
    <t>Boca de lobo simples - grelha de concreto - BLSG 01 - areia extraída e brita produzida</t>
  </si>
  <si>
    <t>Boca de lobo simples - grelha de concreto - BLSG 02 - areia extraída e brita produzida</t>
  </si>
  <si>
    <t>Boca de lobo simples - grelha de concreto - BLSG 03 - areia extraída e brita produzida</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</si>
  <si>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</si>
  <si>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</si>
  <si>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</si>
  <si>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</si>
  <si>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</si>
  <si>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</si>
  <si>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</si>
  <si>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</si>
  <si>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</si>
  <si>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</si>
  <si>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</si>
  <si>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</si>
  <si>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</si>
  <si>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</si>
  <si>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</si>
  <si>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</si>
  <si>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</si>
  <si>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</si>
  <si>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</si>
  <si>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</si>
  <si>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</si>
  <si>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</si>
  <si>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</si>
  <si>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</si>
  <si>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</si>
  <si>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</si>
  <si>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</si>
  <si>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</si>
  <si>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</si>
  <si>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</si>
  <si>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</si>
  <si>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</si>
  <si>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</si>
  <si>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</si>
  <si>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</si>
  <si>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</si>
  <si>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</si>
  <si>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</si>
  <si>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</si>
  <si>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</si>
  <si>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</si>
  <si>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</si>
  <si>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</si>
  <si>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</si>
  <si>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</si>
  <si>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</si>
  <si>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</si>
  <si>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</si>
  <si>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</si>
  <si>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</si>
  <si>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</si>
  <si>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</si>
  <si>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</si>
  <si>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</si>
  <si>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</si>
  <si>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</si>
  <si>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</si>
  <si>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</si>
  <si>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</si>
  <si>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</si>
  <si>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</si>
  <si>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</si>
  <si>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</si>
  <si>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</si>
  <si>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</si>
  <si>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</si>
  <si>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</si>
  <si>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</si>
  <si>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</si>
  <si>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</si>
  <si>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</si>
  <si>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</si>
  <si>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</si>
  <si>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</si>
  <si>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</si>
  <si>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</si>
  <si>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</si>
  <si>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</si>
  <si>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</si>
  <si>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</si>
  <si>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</si>
  <si>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</si>
  <si>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</si>
  <si>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</si>
  <si>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</si>
  <si>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</si>
  <si>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</si>
  <si>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</si>
  <si>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extraída e brita produzida</t>
  </si>
  <si>
    <t>Caixa coletora de talvegue - CCT 02 - areia extraída e brita produzida</t>
  </si>
  <si>
    <t>Caixa coletora de talvegue - CCT 03 - areia extraída e brita produzida</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</si>
  <si>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</si>
  <si>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</si>
  <si>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</si>
  <si>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</si>
  <si>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</si>
  <si>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</si>
  <si>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</si>
  <si>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</si>
  <si>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</si>
  <si>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</si>
  <si>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</si>
  <si>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</si>
  <si>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</si>
  <si>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</si>
  <si>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</si>
  <si>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</si>
  <si>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</si>
  <si>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</si>
  <si>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</si>
  <si>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</si>
  <si>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</si>
  <si>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</si>
  <si>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</si>
  <si>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</si>
  <si>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</si>
  <si>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</si>
  <si>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</si>
  <si>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</si>
  <si>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</si>
  <si>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</si>
  <si>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</si>
  <si>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</si>
  <si>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</si>
  <si>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</si>
  <si>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</si>
  <si>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</si>
  <si>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</si>
  <si>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extraída e brita produzida</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</si>
  <si>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</si>
  <si>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</si>
  <si>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</si>
  <si>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</si>
  <si>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</si>
  <si>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</si>
  <si>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</si>
  <si>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</si>
  <si>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</si>
  <si>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</si>
  <si>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</si>
  <si>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</si>
  <si>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</si>
  <si>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</si>
  <si>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</si>
  <si>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</si>
  <si>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</si>
  <si>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</si>
  <si>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</si>
  <si>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</si>
  <si>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</si>
  <si>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</si>
  <si>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</si>
  <si>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</si>
  <si>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</si>
  <si>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</si>
  <si>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</si>
  <si>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</si>
  <si>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</si>
  <si>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</si>
  <si>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</si>
  <si>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</si>
  <si>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</si>
  <si>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</si>
  <si>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</si>
  <si>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</si>
  <si>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</si>
  <si>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</si>
  <si>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</si>
  <si>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</si>
  <si>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</si>
  <si>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</si>
  <si>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</si>
  <si>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</si>
  <si>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</si>
  <si>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</si>
  <si>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</si>
  <si>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</si>
  <si>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</si>
  <si>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</si>
  <si>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</si>
  <si>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</si>
  <si>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</si>
  <si>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</si>
  <si>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</si>
  <si>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</si>
  <si>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</si>
  <si>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</si>
  <si>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</si>
  <si>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</si>
  <si>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</si>
  <si>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</si>
  <si>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</si>
  <si>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</si>
  <si>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</si>
  <si>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</si>
  <si>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</si>
  <si>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</si>
  <si>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</si>
  <si>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</si>
  <si>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</si>
  <si>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</si>
  <si>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</si>
  <si>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</si>
  <si>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</si>
  <si>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</si>
  <si>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</si>
  <si>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</si>
  <si>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</si>
  <si>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</si>
  <si>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</si>
  <si>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</si>
  <si>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</si>
  <si>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</si>
  <si>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</si>
  <si>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</si>
  <si>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</si>
  <si>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</si>
  <si>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</si>
  <si>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</si>
  <si>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</si>
  <si>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</si>
  <si>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</si>
  <si>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</si>
  <si>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</si>
  <si>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</si>
  <si>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extraída e brita produzida</t>
  </si>
  <si>
    <t>Descida d'água de aterros em degraus - DAD 05 - areia extraída e brita produzida</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</si>
  <si>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</si>
  <si>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</si>
  <si>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</si>
  <si>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</si>
  <si>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</si>
  <si>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</si>
  <si>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</si>
  <si>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</si>
  <si>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</si>
  <si>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</si>
  <si>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</si>
  <si>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</si>
  <si>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</si>
  <si>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</si>
  <si>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</si>
  <si>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</si>
  <si>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</si>
  <si>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</si>
  <si>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</si>
  <si>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</si>
  <si>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</si>
  <si>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extraída e brita produzida</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</si>
  <si>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</si>
  <si>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</si>
  <si>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</si>
  <si>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extraída e brita produzida</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</si>
  <si>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</si>
  <si>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</si>
  <si>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</si>
  <si>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</si>
  <si>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</si>
  <si>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</si>
  <si>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02 - areia extraída e brita e pedra de mão produzidas</t>
  </si>
  <si>
    <t>Dissipador de energia - DEB 03 - areia extraída e brita e pedra de mão produzidas</t>
  </si>
  <si>
    <t>Dissipador de energia - DEB 04 - areia extraída e brita e pedra de mão produzidas</t>
  </si>
  <si>
    <t>Dissipador de energia - DEB 05 - areia extraída e brita e pedra de mão produzidas</t>
  </si>
  <si>
    <t>Dissipador de energia - DEB 06 - areia extraída e brita e pedra de mão produzidas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</si>
  <si>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</si>
  <si>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</si>
  <si>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</si>
  <si>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09 - areia extraída e brita e pedra de mão produzidas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</si>
  <si>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</si>
  <si>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</si>
  <si>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</si>
  <si>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</si>
  <si>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</si>
  <si>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</si>
  <si>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</si>
  <si>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</si>
  <si>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</si>
  <si>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</si>
  <si>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</si>
  <si>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</si>
  <si>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</si>
  <si>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</si>
  <si>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</si>
  <si>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</si>
  <si>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</si>
  <si>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</si>
  <si>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</si>
  <si>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</si>
  <si>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</si>
  <si>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</si>
  <si>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</si>
  <si>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</si>
  <si>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</si>
  <si>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</si>
  <si>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</si>
  <si>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</si>
  <si>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</si>
  <si>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</si>
  <si>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</si>
  <si>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</si>
  <si>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</si>
  <si>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</si>
  <si>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</si>
  <si>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</si>
  <si>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</si>
  <si>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</si>
  <si>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</si>
  <si>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</si>
  <si>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</si>
  <si>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</si>
  <si>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</si>
  <si>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</si>
  <si>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</si>
  <si>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</si>
  <si>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</si>
  <si>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</si>
  <si>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</si>
  <si>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</si>
  <si>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</si>
  <si>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</si>
  <si>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</si>
  <si>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</si>
  <si>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</si>
  <si>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</si>
  <si>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</si>
  <si>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</si>
  <si>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</si>
  <si>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</si>
  <si>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</si>
  <si>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</si>
  <si>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</si>
  <si>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</si>
  <si>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</si>
  <si>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</si>
  <si>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</si>
  <si>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</si>
  <si>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</si>
  <si>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</si>
  <si>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</si>
  <si>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</si>
  <si>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</si>
  <si>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</si>
  <si>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</si>
  <si>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</si>
  <si>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</si>
  <si>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</si>
  <si>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</si>
  <si>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</si>
  <si>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</si>
  <si>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</si>
  <si>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</si>
  <si>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</si>
  <si>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</si>
  <si>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</si>
  <si>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</si>
  <si>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</si>
  <si>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</si>
  <si>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</si>
  <si>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</si>
  <si>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</si>
  <si>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</si>
  <si>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</si>
  <si>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</si>
  <si>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</si>
  <si>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</si>
  <si>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</si>
  <si>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</si>
  <si>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</si>
  <si>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</si>
  <si>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</si>
  <si>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</si>
  <si>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</si>
  <si>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</si>
  <si>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</si>
  <si>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</si>
  <si>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</si>
  <si>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</si>
  <si>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</si>
  <si>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</si>
  <si>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</si>
  <si>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</si>
  <si>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</si>
  <si>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</si>
  <si>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</si>
  <si>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</si>
  <si>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</si>
  <si>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</si>
  <si>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</si>
  <si>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</si>
  <si>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</si>
  <si>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</si>
  <si>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</si>
  <si>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</si>
  <si>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</si>
  <si>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</si>
  <si>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</si>
  <si>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</si>
  <si>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</si>
  <si>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</si>
  <si>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</si>
  <si>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</si>
  <si>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</si>
  <si>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</si>
  <si>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</si>
  <si>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</si>
  <si>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</si>
  <si>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</si>
  <si>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</si>
  <si>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</si>
  <si>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extraída e brita produzida</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</si>
  <si>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</si>
  <si>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</si>
  <si>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</si>
  <si>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</si>
  <si>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</si>
  <si>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</si>
  <si>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</si>
  <si>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</si>
  <si>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</si>
  <si>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</si>
  <si>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</si>
  <si>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</si>
  <si>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</si>
  <si>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</si>
  <si>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</si>
  <si>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</si>
  <si>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</si>
  <si>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</si>
  <si>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</si>
  <si>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</si>
  <si>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</si>
  <si>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</si>
  <si>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</si>
  <si>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</si>
  <si>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</si>
  <si>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</si>
  <si>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</si>
  <si>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</si>
  <si>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</si>
  <si>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</si>
  <si>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</si>
  <si>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</si>
  <si>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</si>
  <si>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</si>
  <si>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</si>
  <si>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</si>
  <si>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</si>
  <si>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</si>
  <si>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</si>
  <si>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</si>
  <si>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</si>
  <si>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</si>
  <si>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</si>
  <si>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</si>
  <si>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</si>
  <si>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</si>
  <si>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Selo asfáltico de microvala para dreno de pavimento com geocomposto</t>
  </si>
  <si>
    <t>Transposição de segmentos de sarjeta - TSS 01 - areia extraída e brita produzida</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</si>
  <si>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</si>
  <si>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</si>
  <si>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</si>
  <si>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</si>
  <si>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</si>
  <si>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</si>
  <si>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</si>
  <si>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</si>
  <si>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</si>
  <si>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</si>
  <si>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</si>
  <si>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</si>
  <si>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</si>
  <si>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</si>
  <si>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</si>
  <si>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</si>
  <si>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</si>
  <si>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</si>
  <si>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</si>
  <si>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</si>
  <si>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</si>
  <si>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</si>
  <si>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</si>
  <si>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</si>
  <si>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</si>
  <si>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</si>
  <si>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</si>
  <si>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</si>
  <si>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</si>
  <si>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</si>
  <si>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</si>
  <si>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</si>
  <si>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</si>
  <si>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</si>
  <si>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</si>
  <si>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</si>
  <si>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</si>
  <si>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</si>
  <si>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</si>
  <si>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</si>
  <si>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</si>
  <si>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</si>
  <si>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</si>
  <si>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</si>
  <si>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</si>
  <si>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</si>
  <si>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</si>
  <si>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</si>
  <si>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</si>
  <si>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</si>
  <si>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</si>
  <si>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</si>
  <si>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</si>
  <si>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</si>
  <si>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</si>
  <si>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</si>
  <si>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</si>
  <si>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</si>
  <si>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</si>
  <si>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</si>
  <si>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</si>
  <si>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</si>
  <si>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</si>
  <si>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</si>
  <si>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</si>
  <si>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</si>
  <si>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</si>
  <si>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</si>
  <si>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</si>
  <si>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</si>
  <si>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</si>
  <si>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</si>
  <si>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</si>
  <si>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</si>
  <si>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</si>
  <si>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</si>
  <si>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</si>
  <si>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</si>
  <si>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</si>
  <si>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</si>
  <si>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</si>
  <si>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</si>
  <si>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</si>
  <si>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</si>
  <si>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</si>
  <si>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</si>
  <si>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</si>
  <si>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</si>
  <si>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</si>
  <si>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</si>
  <si>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</si>
  <si>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</si>
  <si>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</si>
  <si>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</si>
  <si>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</si>
  <si>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</si>
  <si>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</si>
  <si>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</si>
  <si>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</si>
  <si>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</si>
  <si>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</si>
  <si>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</si>
  <si>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</si>
  <si>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</si>
  <si>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</si>
  <si>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</si>
  <si>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</si>
  <si>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</si>
  <si>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</si>
  <si>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</si>
  <si>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</si>
  <si>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</si>
  <si>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</si>
  <si>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</si>
  <si>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</si>
  <si>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</si>
  <si>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</si>
  <si>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</si>
  <si>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</si>
  <si>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</si>
  <si>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</si>
  <si>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</si>
  <si>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</si>
  <si>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</si>
  <si>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</si>
  <si>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</si>
  <si>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</si>
  <si>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</si>
  <si>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</si>
  <si>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</si>
  <si>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</si>
  <si>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</si>
  <si>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</si>
  <si>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</si>
  <si>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</si>
  <si>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</si>
  <si>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</si>
  <si>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</si>
  <si>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</si>
  <si>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</si>
  <si>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</si>
  <si>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</si>
  <si>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</si>
  <si>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</si>
  <si>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</si>
  <si>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</si>
  <si>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</si>
  <si>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</si>
  <si>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</si>
  <si>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</si>
  <si>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</si>
  <si>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</si>
  <si>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</si>
  <si>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</si>
  <si>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</si>
  <si>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</si>
  <si>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</si>
  <si>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</si>
  <si>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</si>
  <si>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</si>
  <si>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</si>
  <si>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</si>
  <si>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</si>
  <si>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</si>
  <si>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</si>
  <si>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</si>
  <si>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</si>
  <si>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</si>
  <si>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</si>
  <si>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</si>
  <si>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</si>
  <si>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</si>
  <si>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</si>
  <si>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</si>
  <si>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</si>
  <si>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</si>
  <si>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</si>
  <si>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</si>
  <si>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</si>
  <si>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</si>
  <si>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</si>
  <si>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</si>
  <si>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</si>
  <si>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</si>
  <si>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</si>
  <si>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</si>
  <si>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</si>
  <si>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</si>
  <si>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</si>
  <si>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</si>
  <si>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</si>
  <si>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</si>
  <si>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</si>
  <si>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</si>
  <si>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</si>
  <si>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</si>
  <si>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</si>
  <si>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</si>
  <si>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</si>
  <si>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</si>
  <si>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</si>
  <si>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</si>
  <si>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</si>
  <si>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</si>
  <si>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</si>
  <si>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</si>
  <si>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</si>
  <si>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</si>
  <si>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</si>
  <si>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</si>
  <si>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</si>
  <si>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</si>
  <si>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</si>
  <si>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</si>
  <si>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</si>
  <si>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</si>
  <si>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</si>
  <si>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</si>
  <si>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</si>
  <si>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</si>
  <si>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</si>
  <si>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</si>
  <si>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</si>
  <si>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</si>
  <si>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</si>
  <si>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</si>
  <si>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</si>
  <si>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</si>
  <si>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</si>
  <si>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</si>
  <si>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</si>
  <si>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</si>
  <si>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</si>
  <si>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</si>
  <si>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</si>
  <si>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</si>
  <si>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</si>
  <si>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</si>
  <si>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</si>
  <si>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</si>
  <si>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</si>
  <si>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</si>
  <si>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</si>
  <si>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</si>
  <si>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</si>
  <si>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</si>
  <si>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</si>
  <si>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</si>
  <si>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</si>
  <si>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</si>
  <si>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</si>
  <si>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</si>
  <si>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</si>
  <si>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</si>
  <si>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</si>
  <si>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</si>
  <si>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</si>
  <si>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</si>
  <si>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</si>
  <si>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</si>
  <si>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</si>
  <si>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</si>
  <si>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</si>
  <si>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</si>
  <si>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</si>
  <si>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</si>
  <si>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</si>
  <si>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</si>
  <si>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</si>
  <si>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</si>
  <si>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</si>
  <si>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</si>
  <si>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</si>
  <si>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</si>
  <si>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</si>
  <si>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</si>
  <si>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</si>
  <si>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</si>
  <si>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</si>
  <si>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</si>
  <si>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</si>
  <si>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</si>
  <si>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</si>
  <si>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</si>
  <si>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</si>
  <si>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</si>
  <si>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</si>
  <si>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</si>
  <si>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</si>
  <si>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</si>
  <si>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</si>
  <si>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</si>
  <si>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</si>
  <si>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</si>
  <si>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</si>
  <si>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</si>
  <si>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</si>
  <si>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</si>
  <si>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</si>
  <si>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</si>
  <si>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</si>
  <si>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</si>
  <si>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</si>
  <si>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</si>
  <si>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</si>
  <si>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</si>
  <si>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</si>
  <si>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</si>
  <si>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</si>
  <si>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</si>
  <si>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</si>
  <si>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</si>
  <si>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</si>
  <si>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</si>
  <si>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</si>
  <si>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</si>
  <si>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</si>
  <si>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</si>
  <si>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</si>
  <si>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</si>
  <si>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</si>
  <si>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</si>
  <si>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</si>
  <si>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</si>
  <si>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</si>
  <si>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</si>
  <si>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</si>
  <si>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</si>
  <si>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</si>
  <si>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</si>
  <si>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</si>
  <si>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</si>
  <si>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</si>
  <si>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</si>
  <si>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</si>
  <si>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</si>
  <si>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</si>
  <si>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</si>
  <si>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</si>
  <si>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</si>
  <si>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</si>
  <si>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</si>
  <si>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</si>
  <si>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</si>
  <si>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</si>
  <si>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</si>
  <si>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</si>
  <si>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</si>
  <si>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</si>
  <si>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</si>
  <si>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</si>
  <si>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</si>
  <si>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</si>
  <si>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</si>
  <si>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</si>
  <si>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</si>
  <si>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</si>
  <si>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</si>
  <si>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</si>
  <si>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</si>
  <si>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</si>
  <si>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</si>
  <si>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</si>
  <si>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</si>
  <si>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</si>
  <si>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</si>
  <si>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</si>
  <si>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</si>
  <si>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</si>
  <si>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</si>
  <si>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</si>
  <si>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</si>
  <si>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</si>
  <si>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</si>
  <si>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</si>
  <si>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</si>
  <si>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</si>
  <si>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</si>
  <si>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</si>
  <si>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</si>
  <si>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</si>
  <si>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</si>
  <si>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</si>
  <si>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</si>
  <si>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</si>
  <si>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</si>
  <si>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</si>
  <si>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</si>
  <si>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</si>
  <si>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</si>
  <si>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</si>
  <si>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</si>
  <si>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</si>
  <si>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</si>
  <si>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</si>
  <si>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</si>
  <si>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</si>
  <si>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</si>
  <si>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</si>
  <si>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</si>
  <si>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</si>
  <si>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</si>
  <si>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</si>
  <si>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</si>
  <si>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</si>
  <si>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</si>
  <si>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</si>
  <si>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</si>
  <si>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</si>
  <si>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</si>
  <si>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</si>
  <si>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</si>
  <si>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</si>
  <si>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</si>
  <si>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</si>
  <si>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</si>
  <si>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</si>
  <si>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</si>
  <si>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</si>
  <si>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</si>
  <si>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</si>
  <si>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</si>
  <si>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</si>
  <si>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</si>
  <si>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</si>
  <si>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</si>
  <si>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</si>
  <si>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</si>
  <si>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</si>
  <si>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</si>
  <si>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</si>
  <si>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</si>
  <si>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</si>
  <si>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</si>
  <si>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</si>
  <si>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</si>
  <si>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</si>
  <si>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</si>
  <si>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</si>
  <si>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</si>
  <si>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</si>
  <si>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</si>
  <si>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</si>
  <si>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</si>
  <si>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</si>
  <si>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</si>
  <si>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</si>
  <si>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</si>
  <si>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</si>
  <si>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</si>
  <si>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</si>
  <si>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</si>
  <si>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</si>
  <si>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</si>
  <si>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</si>
  <si>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</si>
  <si>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</si>
  <si>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</si>
  <si>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</si>
  <si>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</si>
  <si>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</si>
  <si>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</si>
  <si>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</si>
  <si>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</si>
  <si>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</si>
  <si>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</si>
  <si>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</si>
  <si>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</si>
  <si>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</si>
  <si>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</si>
  <si>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</si>
  <si>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</si>
  <si>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</si>
  <si>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</si>
  <si>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</si>
  <si>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</si>
  <si>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</si>
  <si>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</si>
  <si>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</si>
  <si>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</si>
  <si>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</si>
  <si>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</si>
  <si>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</si>
  <si>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</si>
  <si>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</si>
  <si>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</si>
  <si>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</si>
  <si>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</si>
  <si>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</si>
  <si>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</si>
  <si>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</si>
  <si>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</si>
  <si>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</si>
  <si>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</si>
  <si>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</si>
  <si>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</si>
  <si>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</si>
  <si>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</si>
  <si>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</si>
  <si>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</si>
  <si>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</si>
  <si>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</si>
  <si>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</si>
  <si>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</si>
  <si>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</si>
  <si>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</si>
  <si>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</si>
  <si>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</si>
  <si>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</si>
  <si>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</si>
  <si>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</si>
  <si>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</si>
  <si>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</si>
  <si>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</si>
  <si>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</si>
  <si>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</si>
  <si>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</si>
  <si>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</si>
  <si>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</si>
  <si>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</si>
  <si>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</si>
  <si>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</si>
  <si>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</si>
  <si>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</si>
  <si>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</si>
  <si>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</si>
  <si>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</si>
  <si>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</si>
  <si>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</si>
  <si>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</si>
  <si>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</si>
  <si>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</si>
  <si>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</si>
  <si>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</si>
  <si>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</si>
  <si>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</si>
  <si>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</si>
  <si>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</si>
  <si>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</si>
  <si>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</si>
  <si>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</si>
  <si>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</si>
  <si>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</si>
  <si>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</si>
  <si>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</si>
  <si>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</si>
  <si>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</si>
  <si>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</si>
  <si>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</si>
  <si>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</si>
  <si>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</si>
  <si>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</si>
  <si>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</si>
  <si>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</si>
  <si>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</si>
  <si>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</si>
  <si>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</si>
  <si>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</si>
  <si>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</si>
  <si>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</si>
  <si>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</si>
  <si>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</si>
  <si>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</si>
  <si>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</si>
  <si>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</si>
  <si>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</si>
  <si>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</si>
  <si>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</si>
  <si>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</si>
  <si>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</si>
  <si>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</si>
  <si>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</si>
  <si>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</si>
  <si>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</si>
  <si>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</si>
  <si>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</si>
  <si>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</si>
  <si>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</si>
  <si>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</si>
  <si>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</si>
  <si>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</si>
  <si>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</si>
  <si>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</si>
  <si>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</si>
  <si>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</si>
  <si>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</si>
  <si>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</si>
  <si>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</si>
  <si>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</si>
  <si>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</si>
  <si>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</si>
  <si>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</si>
  <si>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</si>
  <si>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</si>
  <si>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</si>
  <si>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</si>
  <si>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</si>
  <si>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</si>
  <si>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</si>
  <si>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</si>
  <si>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</si>
  <si>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</si>
  <si>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</si>
  <si>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</si>
  <si>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</si>
  <si>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</si>
  <si>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</si>
  <si>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</si>
  <si>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</si>
  <si>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</si>
  <si>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</si>
  <si>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</si>
  <si>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</si>
  <si>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</si>
  <si>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</si>
  <si>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</si>
  <si>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</si>
  <si>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</si>
  <si>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</si>
  <si>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</si>
  <si>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</si>
  <si>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</si>
  <si>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</si>
  <si>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</si>
  <si>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</si>
  <si>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</si>
  <si>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</si>
  <si>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</si>
  <si>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</si>
  <si>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</si>
  <si>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</si>
  <si>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</si>
  <si>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</si>
  <si>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</si>
  <si>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</si>
  <si>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</si>
  <si>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</si>
  <si>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</si>
  <si>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</si>
  <si>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</si>
  <si>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</si>
  <si>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</si>
  <si>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</si>
  <si>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</si>
  <si>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</si>
  <si>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</si>
  <si>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</si>
  <si>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</si>
  <si>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</si>
  <si>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</si>
  <si>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</si>
  <si>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</si>
  <si>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</si>
  <si>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</si>
  <si>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</si>
  <si>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</si>
  <si>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</si>
  <si>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</si>
  <si>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</si>
  <si>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</si>
  <si>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</si>
  <si>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</si>
  <si>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</si>
  <si>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</si>
  <si>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</si>
  <si>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</si>
  <si>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</si>
  <si>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</si>
  <si>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</si>
  <si>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</si>
  <si>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</si>
  <si>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</si>
  <si>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</si>
  <si>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</si>
  <si>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</si>
  <si>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</si>
  <si>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</si>
  <si>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</si>
  <si>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</si>
  <si>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</si>
  <si>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</si>
  <si>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</si>
  <si>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</si>
  <si>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</si>
  <si>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</si>
  <si>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</si>
  <si>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</si>
  <si>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</si>
  <si>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</si>
  <si>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</si>
  <si>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</si>
  <si>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</si>
  <si>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</si>
  <si>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</si>
  <si>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</si>
  <si>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</si>
  <si>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</si>
  <si>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</si>
  <si>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</si>
  <si>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</si>
  <si>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</si>
  <si>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</si>
  <si>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</si>
  <si>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</si>
  <si>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</si>
  <si>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</si>
  <si>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</si>
  <si>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</si>
  <si>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</si>
  <si>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</si>
  <si>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</si>
  <si>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</si>
  <si>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</si>
  <si>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</si>
  <si>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</si>
  <si>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</si>
  <si>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</si>
  <si>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</si>
  <si>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</si>
  <si>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</si>
  <si>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</si>
  <si>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</si>
  <si>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</si>
  <si>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</si>
  <si>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</si>
  <si>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</si>
  <si>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</si>
  <si>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</si>
  <si>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</si>
  <si>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</si>
  <si>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</si>
  <si>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</si>
  <si>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</si>
  <si>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</si>
  <si>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</si>
  <si>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</si>
  <si>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</si>
  <si>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</si>
  <si>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</si>
  <si>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</si>
  <si>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</si>
  <si>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</si>
  <si>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</si>
  <si>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</si>
  <si>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</si>
  <si>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</si>
  <si>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</si>
  <si>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</si>
  <si>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</si>
  <si>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</si>
  <si>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</si>
  <si>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</si>
  <si>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</si>
  <si>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</si>
  <si>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</si>
  <si>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</si>
  <si>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</si>
  <si>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</si>
  <si>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</si>
  <si>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</si>
  <si>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</si>
  <si>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</si>
  <si>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</si>
  <si>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</si>
  <si>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</si>
  <si>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</si>
  <si>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</si>
  <si>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</si>
  <si>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</si>
  <si>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</si>
  <si>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</si>
  <si>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</si>
  <si>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</si>
  <si>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</si>
  <si>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</si>
  <si>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</si>
  <si>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</si>
  <si>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</si>
  <si>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</si>
  <si>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</si>
  <si>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</si>
  <si>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</si>
  <si>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</si>
  <si>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</si>
  <si>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</si>
  <si>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</si>
  <si>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</si>
  <si>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</si>
  <si>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</si>
  <si>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</si>
  <si>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</si>
  <si>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</si>
  <si>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</si>
  <si>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</si>
  <si>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</si>
  <si>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</si>
  <si>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</si>
  <si>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</si>
  <si>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</si>
  <si>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</si>
  <si>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</si>
  <si>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</si>
  <si>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</si>
  <si>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</si>
  <si>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</si>
  <si>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</si>
  <si>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</si>
  <si>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</si>
  <si>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</si>
  <si>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</si>
  <si>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</si>
  <si>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</si>
  <si>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</si>
  <si>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</si>
  <si>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</si>
  <si>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</si>
  <si>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</si>
  <si>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</si>
  <si>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</si>
  <si>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</si>
  <si>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</si>
  <si>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</si>
  <si>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</si>
  <si>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</si>
  <si>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</si>
  <si>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</si>
  <si>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</si>
  <si>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</si>
  <si>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</si>
  <si>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</si>
  <si>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</si>
  <si>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</si>
  <si>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</si>
  <si>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</si>
  <si>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</si>
  <si>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</si>
  <si>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</si>
  <si>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</si>
  <si>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</si>
  <si>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</si>
  <si>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</si>
  <si>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</si>
  <si>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</si>
  <si>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</si>
  <si>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</si>
  <si>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</si>
  <si>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</si>
  <si>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</si>
  <si>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</si>
  <si>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</si>
  <si>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</si>
  <si>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</si>
  <si>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</si>
  <si>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</si>
  <si>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</si>
  <si>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</si>
  <si>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</si>
  <si>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</si>
  <si>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</si>
  <si>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</si>
  <si>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</si>
  <si>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</si>
  <si>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</si>
  <si>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</si>
  <si>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</si>
  <si>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</si>
  <si>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</si>
  <si>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</si>
  <si>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</si>
  <si>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</si>
  <si>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</si>
  <si>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</si>
  <si>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</si>
  <si>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</si>
  <si>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</si>
  <si>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</si>
  <si>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</si>
  <si>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</si>
  <si>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</si>
  <si>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</si>
  <si>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</si>
  <si>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</si>
  <si>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</si>
  <si>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</si>
  <si>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</si>
  <si>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</si>
  <si>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</si>
  <si>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</si>
  <si>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</si>
  <si>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</si>
  <si>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</si>
  <si>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</si>
  <si>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</si>
  <si>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</si>
  <si>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</si>
  <si>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</si>
  <si>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</si>
  <si>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</si>
  <si>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</si>
  <si>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</si>
  <si>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</si>
  <si>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</si>
  <si>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</si>
  <si>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</si>
  <si>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</si>
  <si>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</si>
  <si>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</si>
  <si>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</si>
  <si>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</si>
  <si>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</si>
  <si>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</si>
  <si>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</si>
  <si>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</si>
  <si>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</si>
  <si>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</si>
  <si>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</si>
  <si>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</si>
  <si>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</si>
  <si>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</si>
  <si>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</si>
  <si>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</si>
  <si>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</si>
  <si>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</si>
  <si>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</si>
  <si>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</si>
  <si>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</si>
  <si>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</si>
  <si>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</si>
  <si>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</si>
  <si>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</si>
  <si>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</si>
  <si>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</si>
  <si>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</si>
  <si>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</si>
  <si>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</si>
  <si>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</si>
  <si>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</si>
  <si>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</si>
  <si>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</si>
  <si>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</si>
  <si>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</si>
  <si>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</si>
  <si>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</si>
  <si>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</si>
  <si>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</si>
  <si>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</si>
  <si>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</si>
  <si>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</si>
  <si>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</si>
  <si>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</si>
  <si>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</si>
  <si>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</si>
  <si>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</si>
  <si>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</si>
  <si>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</si>
  <si>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</si>
  <si>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</si>
  <si>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</si>
  <si>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</si>
  <si>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</si>
  <si>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</si>
  <si>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</si>
  <si>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</si>
  <si>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</si>
  <si>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</si>
  <si>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</si>
  <si>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</si>
  <si>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</si>
  <si>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</si>
  <si>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</si>
  <si>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</si>
  <si>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</si>
  <si>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</si>
  <si>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</si>
  <si>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</si>
  <si>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</si>
  <si>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</si>
  <si>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</si>
  <si>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</si>
  <si>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</si>
  <si>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</si>
  <si>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</si>
  <si>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</si>
  <si>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</si>
  <si>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</si>
  <si>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</si>
  <si>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</si>
  <si>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</si>
  <si>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</si>
  <si>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</si>
  <si>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</si>
  <si>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</si>
  <si>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</si>
  <si>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</si>
  <si>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</si>
  <si>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</si>
  <si>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</si>
  <si>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</si>
  <si>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</si>
  <si>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</si>
  <si>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</si>
  <si>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</si>
  <si>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</si>
  <si>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</si>
  <si>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</si>
  <si>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</si>
  <si>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</si>
  <si>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</si>
  <si>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</si>
  <si>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</si>
  <si>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</si>
  <si>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</si>
  <si>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</si>
  <si>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</si>
  <si>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trator de 127 kW e carregadeira de 3,4 m³</t>
  </si>
  <si>
    <t>Escavação e carga de material de jazida com trator de 97 kW e carregadeira de 1,72 m³</t>
  </si>
  <si>
    <t>Execução de revestimento primário com material de jazida</t>
  </si>
  <si>
    <t>Imprimação com asfalto diluído</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</si>
  <si>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</si>
  <si>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</si>
  <si>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</si>
  <si>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</si>
  <si>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</si>
  <si>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</si>
  <si>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</si>
  <si>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</si>
  <si>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</si>
  <si>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</si>
  <si>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</si>
  <si>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</si>
  <si>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</si>
  <si>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</si>
  <si>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</si>
  <si>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</si>
  <si>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</si>
  <si>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</si>
  <si>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</si>
  <si>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</si>
  <si>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</si>
  <si>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</si>
  <si>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</si>
  <si>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</si>
  <si>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</si>
  <si>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</si>
  <si>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</si>
  <si>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</si>
  <si>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</si>
  <si>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</si>
  <si>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</si>
  <si>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</si>
  <si>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</si>
  <si>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</si>
  <si>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</si>
  <si>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</si>
  <si>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</si>
  <si>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</si>
  <si>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</si>
  <si>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</si>
  <si>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</si>
  <si>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</si>
  <si>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</si>
  <si>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</si>
  <si>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</si>
  <si>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</si>
  <si>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</si>
  <si>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</si>
  <si>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</si>
  <si>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</si>
  <si>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</si>
  <si>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</si>
  <si>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</si>
  <si>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</si>
  <si>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</si>
  <si>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</si>
  <si>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</si>
  <si>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</si>
  <si>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</si>
  <si>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</si>
  <si>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</si>
  <si>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</si>
  <si>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</si>
  <si>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</si>
  <si>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</si>
  <si>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</si>
  <si>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</si>
  <si>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</si>
  <si>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</si>
  <si>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</si>
  <si>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</si>
  <si>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</si>
  <si>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</si>
  <si>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</si>
  <si>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</si>
  <si>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</si>
  <si>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</si>
  <si>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</si>
  <si>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</si>
  <si>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</si>
  <si>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</si>
  <si>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</si>
  <si>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</si>
  <si>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</si>
  <si>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</si>
  <si>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</si>
  <si>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</si>
  <si>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</si>
  <si>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</si>
  <si>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</si>
  <si>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</si>
  <si>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</si>
  <si>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</si>
  <si>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</si>
  <si>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</si>
  <si>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</si>
  <si>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</si>
  <si>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</si>
  <si>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</si>
  <si>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</si>
  <si>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</si>
  <si>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</si>
  <si>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</si>
  <si>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</si>
  <si>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</si>
  <si>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</si>
  <si>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</si>
  <si>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</si>
  <si>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</si>
  <si>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</si>
  <si>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</si>
  <si>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</si>
  <si>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</si>
  <si>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</si>
  <si>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</si>
  <si>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</si>
  <si>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</si>
  <si>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</si>
  <si>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</si>
  <si>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</si>
  <si>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</si>
  <si>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</si>
  <si>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</si>
  <si>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</si>
  <si>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</si>
  <si>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</si>
  <si>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</si>
  <si>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</si>
  <si>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</si>
  <si>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</si>
  <si>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</si>
  <si>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</si>
  <si>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</si>
  <si>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</si>
  <si>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</si>
  <si>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</si>
  <si>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</si>
  <si>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</si>
  <si>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</si>
  <si>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</si>
  <si>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</si>
  <si>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</si>
  <si>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</si>
  <si>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</si>
  <si>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</si>
  <si>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</si>
  <si>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</si>
  <si>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</si>
  <si>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</si>
  <si>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</si>
  <si>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</si>
  <si>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</si>
  <si>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</si>
  <si>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</si>
  <si>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</si>
  <si>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</si>
  <si>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</si>
  <si>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</si>
  <si>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</si>
  <si>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</si>
  <si>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</si>
  <si>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</si>
  <si>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</si>
  <si>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</si>
  <si>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</si>
  <si>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</si>
  <si>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</si>
  <si>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</si>
  <si>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</si>
  <si>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</si>
  <si>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</si>
  <si>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</si>
  <si>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</si>
  <si>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</si>
  <si>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</si>
  <si>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</si>
  <si>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</si>
  <si>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</si>
  <si>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</si>
  <si>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</si>
  <si>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</si>
  <si>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</si>
  <si>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</si>
  <si>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</si>
  <si>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</si>
  <si>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</si>
  <si>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</si>
  <si>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</si>
  <si>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</si>
  <si>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</si>
  <si>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</si>
  <si>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</si>
  <si>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</si>
  <si>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</si>
  <si>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</si>
  <si>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</si>
  <si>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</si>
  <si>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</si>
  <si>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</si>
  <si>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</si>
  <si>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</si>
  <si>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</si>
  <si>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</si>
  <si>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</si>
  <si>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</si>
  <si>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</si>
  <si>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</si>
  <si>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viva para tratamento acústico das áreas lindeiras da faixa de domínio – densidade de plantio de 1,0 m entre mudas</t>
  </si>
  <si>
    <t>Dique de bambu para controle de erosão de taludes</t>
  </si>
  <si>
    <t>Enleivamento</t>
  </si>
  <si>
    <t>Fixação de tela eletrossoldada em talude para lançamento de argamassa ou concreto projetado</t>
  </si>
  <si>
    <t>Irrigação de área plantada para proteção vegetal do corpo estradal</t>
  </si>
  <si>
    <t>Obtenção de grama para replantio</t>
  </si>
  <si>
    <t>Passagem aérea de animais com rede de cabos de aço e sisal apoiadas em 6 postes de concreto de 15 m - extensão total de 100 m</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</si>
  <si>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</si>
  <si>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</si>
  <si>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</si>
  <si>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</si>
  <si>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</si>
  <si>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</si>
  <si>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</si>
  <si>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</si>
  <si>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</si>
  <si>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</si>
  <si>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</si>
  <si>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</si>
  <si>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</si>
  <si>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</si>
  <si>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</si>
  <si>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</si>
  <si>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</si>
  <si>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</si>
  <si>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</si>
  <si>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</si>
  <si>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</si>
  <si>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</si>
  <si>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</si>
  <si>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</si>
  <si>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</si>
  <si>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</si>
  <si>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</si>
  <si>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</si>
  <si>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</si>
  <si>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</si>
  <si>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</si>
  <si>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</si>
  <si>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</si>
  <si>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</si>
  <si>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</si>
  <si>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</si>
  <si>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</si>
  <si>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</si>
  <si>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</si>
  <si>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</si>
  <si>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</si>
  <si>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</si>
  <si>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</si>
  <si>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</si>
  <si>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</si>
  <si>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</si>
  <si>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</si>
  <si>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</si>
  <si>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</si>
  <si>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</si>
  <si>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</si>
  <si>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</si>
  <si>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</si>
  <si>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</si>
  <si>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</si>
  <si>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</si>
  <si>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</si>
  <si>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</si>
  <si>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</si>
  <si>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</si>
  <si>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</si>
  <si>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</si>
  <si>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</si>
  <si>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</si>
  <si>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</si>
  <si>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</si>
  <si>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</si>
  <si>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</si>
  <si>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</si>
  <si>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</si>
  <si>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</si>
  <si>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</si>
  <si>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</si>
  <si>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</si>
  <si>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</si>
  <si>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</si>
  <si>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</si>
  <si>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</si>
  <si>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</si>
  <si>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</si>
  <si>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</si>
  <si>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</si>
  <si>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</si>
  <si>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</si>
  <si>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</si>
  <si>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</si>
  <si>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</si>
  <si>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</si>
  <si>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</si>
  <si>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</si>
  <si>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</si>
  <si>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</si>
  <si>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</si>
  <si>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</si>
  <si>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</si>
  <si>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</si>
  <si>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</si>
  <si>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</si>
  <si>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</si>
  <si>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</si>
  <si>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</si>
  <si>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</si>
  <si>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</si>
  <si>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</si>
  <si>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</si>
  <si>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</si>
  <si>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</si>
  <si>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</si>
  <si>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</si>
  <si>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</si>
  <si>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</si>
  <si>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</si>
  <si>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</si>
  <si>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</si>
  <si>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</si>
  <si>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</si>
  <si>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</si>
  <si>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</si>
  <si>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</si>
  <si>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</si>
  <si>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</si>
  <si>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</si>
  <si>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</si>
  <si>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</si>
  <si>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</si>
  <si>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</si>
  <si>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</si>
  <si>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</si>
  <si>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</si>
  <si>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</si>
  <si>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</si>
  <si>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</si>
  <si>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</si>
  <si>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</si>
  <si>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</si>
  <si>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</si>
  <si>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</si>
  <si>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</si>
  <si>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</si>
  <si>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</si>
  <si>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</si>
  <si>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</si>
  <si>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</si>
  <si>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</si>
  <si>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</si>
  <si>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</si>
  <si>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</si>
  <si>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</si>
  <si>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</si>
  <si>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</si>
  <si>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</si>
  <si>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</si>
  <si>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</si>
  <si>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</si>
  <si>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</si>
  <si>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</si>
  <si>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</si>
  <si>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</si>
  <si>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</si>
  <si>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</si>
  <si>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</si>
  <si>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</si>
  <si>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</si>
  <si>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</si>
  <si>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</si>
  <si>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</si>
  <si>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</si>
  <si>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</si>
  <si>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</si>
  <si>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</si>
  <si>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</si>
  <si>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</si>
  <si>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</si>
  <si>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</si>
  <si>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</si>
  <si>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</si>
  <si>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</si>
  <si>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</si>
  <si>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</si>
  <si>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</si>
  <si>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manual de tunnel liner em material de 1ª categoria</t>
  </si>
  <si>
    <t>Escavação manual de tunnel liner em material de 2ª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</si>
  <si>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</si>
  <si>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</si>
  <si>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</si>
  <si>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</si>
  <si>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</si>
  <si>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</si>
  <si>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</si>
  <si>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</si>
  <si>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</si>
  <si>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</si>
  <si>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</si>
  <si>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</si>
  <si>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</si>
  <si>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</si>
  <si>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</si>
  <si>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</si>
  <si>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</si>
  <si>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</si>
  <si>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</si>
  <si>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</si>
  <si>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</si>
  <si>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</si>
  <si>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</si>
  <si>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</si>
  <si>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</si>
  <si>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</si>
  <si>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</si>
  <si>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</si>
  <si>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</si>
  <si>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</si>
  <si>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</si>
  <si>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</si>
  <si>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</si>
  <si>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</si>
  <si>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</si>
  <si>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</si>
  <si>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</si>
  <si>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</si>
  <si>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</si>
  <si>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</si>
  <si>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</si>
  <si>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</si>
  <si>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</si>
  <si>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</si>
  <si>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</si>
  <si>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</si>
  <si>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</si>
  <si>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</si>
  <si>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</si>
  <si>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</si>
  <si>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</si>
  <si>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</si>
  <si>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</si>
  <si>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</si>
  <si>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</si>
  <si>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</si>
  <si>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</si>
  <si>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</si>
  <si>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</si>
  <si>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</si>
  <si>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</si>
  <si>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</si>
  <si>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</si>
  <si>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</si>
  <si>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</si>
  <si>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</si>
  <si>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</si>
  <si>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</si>
  <si>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</si>
  <si>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</si>
  <si>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</si>
  <si>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</si>
  <si>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</si>
  <si>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</si>
  <si>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</si>
  <si>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</si>
  <si>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</si>
  <si>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</si>
  <si>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</si>
  <si>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</si>
  <si>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</si>
  <si>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</si>
  <si>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</si>
  <si>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</si>
  <si>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</si>
  <si>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</si>
  <si>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</si>
  <si>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</si>
  <si>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</si>
  <si>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</si>
  <si>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</si>
  <si>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</si>
  <si>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</si>
  <si>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</si>
  <si>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</si>
  <si>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</si>
  <si>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</si>
  <si>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</si>
  <si>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</si>
  <si>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</si>
  <si>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</si>
  <si>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</si>
  <si>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</si>
  <si>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</si>
  <si>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</si>
  <si>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</si>
  <si>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</si>
  <si>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</si>
  <si>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</si>
  <si>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</si>
  <si>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</si>
  <si>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Reparo no interior de placa de pavimento de concreto</t>
  </si>
  <si>
    <t>Roçada com roçadeira costal</t>
  </si>
  <si>
    <t>ha</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</si>
  <si>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</si>
  <si>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</si>
  <si>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</si>
  <si>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</si>
  <si>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</si>
  <si>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</si>
  <si>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</si>
  <si>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</si>
  <si>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</si>
  <si>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</si>
  <si>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</si>
  <si>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</si>
  <si>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</si>
  <si>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</si>
  <si>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</si>
  <si>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</si>
  <si>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</si>
  <si>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</si>
  <si>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</si>
  <si>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</si>
  <si>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</si>
  <si>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</si>
  <si>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</si>
  <si>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</si>
  <si>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</si>
  <si>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</si>
  <si>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</si>
  <si>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</si>
  <si>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</si>
  <si>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</si>
  <si>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</si>
  <si>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</si>
  <si>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</si>
  <si>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</si>
  <si>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</si>
  <si>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</si>
  <si>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</si>
  <si>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</si>
  <si>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</si>
  <si>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</si>
  <si>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</si>
  <si>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</si>
  <si>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</si>
  <si>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</si>
  <si>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</si>
  <si>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</si>
  <si>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</si>
  <si>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</si>
  <si>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</si>
  <si>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</si>
  <si>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</si>
  <si>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</si>
  <si>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</si>
  <si>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</si>
  <si>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</si>
  <si>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</si>
  <si>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</si>
  <si>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</si>
  <si>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</si>
  <si>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</si>
  <si>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</si>
  <si>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</si>
  <si>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</si>
  <si>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</si>
  <si>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</si>
  <si>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</si>
  <si>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</si>
  <si>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</si>
  <si>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</si>
  <si>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</si>
  <si>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</si>
  <si>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</si>
  <si>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</si>
  <si>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</si>
  <si>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</si>
  <si>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</si>
  <si>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</si>
  <si>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</si>
  <si>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</si>
  <si>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</si>
  <si>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</si>
  <si>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</si>
  <si>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eletrostática a pó com tinta poliéster em chapa de aço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</si>
  <si>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</si>
  <si>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</si>
  <si>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</si>
  <si>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</si>
  <si>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</si>
  <si>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</si>
  <si>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</si>
  <si>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</si>
  <si>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</si>
  <si>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1,20 m - película retrorrefletiva tipo III + SI - fornecimento e implantação</t>
  </si>
  <si>
    <t>Placa de regulamentação em aço, R1 lado 0,331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</si>
  <si>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</si>
  <si>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</si>
  <si>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</si>
  <si>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</si>
  <si>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</si>
  <si>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</si>
  <si>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</si>
  <si>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</si>
  <si>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</si>
  <si>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</si>
  <si>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</si>
  <si>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</si>
  <si>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</si>
  <si>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</si>
  <si>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</si>
  <si>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</si>
  <si>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</si>
  <si>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</si>
  <si>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</si>
  <si>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</si>
  <si>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</si>
  <si>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</si>
  <si>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</si>
  <si>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</si>
  <si>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</si>
  <si>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</si>
  <si>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</si>
  <si>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</si>
  <si>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</si>
  <si>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</si>
  <si>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</si>
  <si>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</si>
  <si>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</si>
  <si>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</si>
  <si>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</si>
  <si>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</si>
  <si>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</si>
  <si>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</si>
  <si>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</si>
  <si>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</si>
  <si>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</si>
  <si>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</si>
  <si>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</si>
  <si>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</si>
  <si>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</si>
  <si>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</si>
  <si>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</si>
  <si>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</si>
  <si>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</si>
  <si>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</si>
  <si>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</si>
  <si>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</si>
  <si>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</si>
  <si>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</si>
  <si>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</si>
  <si>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</si>
  <si>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</si>
  <si>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</si>
  <si>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</si>
  <si>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</si>
  <si>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</si>
  <si>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</si>
  <si>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</si>
  <si>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</si>
  <si>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</si>
  <si>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</si>
  <si>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</si>
  <si>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</si>
  <si>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</si>
  <si>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</si>
  <si>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</si>
  <si>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</si>
  <si>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</si>
  <si>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</si>
  <si>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</si>
  <si>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</si>
  <si>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</si>
  <si>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</si>
  <si>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</si>
  <si>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</si>
  <si>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</si>
  <si>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</si>
  <si>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</si>
  <si>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</si>
  <si>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</si>
  <si>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</si>
  <si>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</si>
  <si>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</si>
  <si>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</si>
  <si>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</si>
  <si>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</si>
  <si>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</si>
  <si>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</si>
  <si>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</si>
  <si>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</si>
  <si>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</si>
  <si>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</si>
  <si>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</si>
  <si>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</si>
  <si>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</si>
  <si>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</si>
  <si>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</si>
  <si>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</si>
  <si>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</si>
  <si>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</si>
  <si>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</si>
  <si>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</si>
  <si>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</si>
  <si>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</si>
  <si>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</si>
  <si>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</si>
  <si>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</si>
  <si>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</si>
  <si>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</si>
  <si>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</si>
  <si>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</si>
  <si>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</si>
  <si>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</si>
  <si>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</si>
  <si>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</si>
  <si>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</si>
  <si>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</si>
  <si>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</si>
  <si>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</si>
  <si>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</si>
  <si>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</si>
  <si>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</si>
  <si>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</si>
  <si>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</si>
  <si>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</si>
  <si>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</si>
  <si>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</si>
  <si>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</si>
  <si>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</si>
  <si>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</si>
  <si>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</si>
  <si>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</si>
  <si>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</si>
  <si>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</si>
  <si>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</si>
  <si>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</si>
  <si>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</si>
  <si>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</si>
  <si>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</si>
  <si>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</si>
  <si>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</si>
  <si>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</si>
  <si>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</si>
  <si>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</si>
  <si>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</si>
  <si>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</si>
  <si>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</si>
  <si>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</si>
  <si>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</si>
  <si>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</si>
  <si>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</si>
  <si>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</si>
  <si>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placa de advertência ou regulamentação - lado ou diâmetro de 1,20 m - fornecimento e implantação</t>
  </si>
  <si>
    <t>Suporte metálico galvanizado para placa de regulamentação - R1 - lado de 0,331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</si>
  <si>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</si>
  <si>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</si>
  <si>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1,20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</si>
  <si>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</si>
  <si>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</si>
  <si>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</si>
  <si>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</si>
  <si>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</si>
  <si>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</si>
  <si>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</si>
  <si>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</si>
  <si>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</si>
  <si>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</si>
  <si>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</si>
  <si>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</si>
  <si>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</si>
  <si>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</si>
  <si>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</si>
  <si>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</si>
  <si>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</si>
  <si>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</si>
  <si>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</si>
  <si>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</si>
  <si>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</si>
  <si>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</si>
  <si>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</si>
  <si>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</si>
  <si>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</si>
  <si>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</si>
  <si>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</si>
  <si>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</si>
  <si>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</si>
  <si>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</si>
  <si>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</si>
  <si>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</si>
  <si>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</si>
  <si>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</si>
  <si>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</si>
  <si>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</si>
  <si>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</si>
  <si>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</si>
  <si>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</si>
  <si>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</si>
  <si>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</si>
  <si>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</si>
  <si>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</si>
  <si>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</si>
  <si>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</si>
  <si>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</si>
  <si>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</si>
  <si>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</si>
  <si>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</si>
  <si>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</si>
  <si>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</si>
  <si>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</si>
  <si>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</si>
  <si>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</si>
  <si>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</si>
  <si>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</si>
  <si>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</si>
  <si>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</si>
  <si>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</si>
  <si>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</si>
  <si>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</si>
  <si>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</si>
  <si>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</si>
  <si>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</si>
  <si>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</si>
  <si>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</si>
  <si>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</si>
  <si>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</si>
  <si>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</si>
  <si>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</si>
  <si>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</si>
  <si>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</si>
  <si>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</si>
  <si>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</si>
  <si>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</si>
  <si>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</si>
  <si>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</si>
  <si>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</si>
  <si>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</si>
  <si>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</si>
  <si>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</si>
  <si>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</si>
  <si>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</si>
  <si>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</si>
  <si>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</si>
  <si>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</si>
  <si>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</si>
  <si>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</si>
  <si>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</si>
  <si>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</si>
  <si>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</si>
  <si>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</si>
  <si>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</si>
  <si>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</si>
  <si>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</si>
  <si>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</si>
  <si>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</si>
  <si>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</si>
  <si>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</si>
  <si>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</si>
  <si>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</si>
  <si>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</si>
  <si>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</si>
  <si>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</si>
  <si>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</si>
  <si>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</si>
  <si>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</si>
  <si>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</si>
  <si>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</si>
  <si>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</si>
  <si>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</si>
  <si>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</si>
  <si>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</si>
  <si>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</si>
  <si>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</si>
  <si>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</si>
  <si>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</si>
  <si>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</si>
  <si>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</si>
  <si>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</si>
  <si>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</si>
  <si>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</si>
  <si>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</si>
  <si>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</si>
  <si>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</si>
  <si>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</si>
  <si>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</si>
  <si>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</si>
  <si>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</si>
  <si>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</si>
  <si>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</si>
  <si>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</si>
  <si>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</si>
  <si>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</si>
  <si>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</si>
  <si>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</si>
  <si>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</si>
  <si>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</si>
  <si>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</si>
  <si>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</si>
  <si>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</si>
  <si>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</si>
  <si>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</si>
  <si>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</si>
  <si>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</si>
  <si>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</si>
  <si>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</si>
  <si>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</si>
  <si>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</si>
  <si>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</si>
  <si>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</si>
  <si>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</si>
  <si>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</si>
  <si>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</si>
  <si>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</si>
  <si>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</si>
  <si>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</si>
  <si>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</si>
  <si>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</si>
  <si>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</si>
  <si>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</si>
  <si>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</si>
  <si>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</si>
  <si>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</si>
  <si>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</si>
  <si>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</si>
  <si>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</si>
  <si>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</si>
  <si>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</si>
  <si>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</si>
  <si>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</si>
  <si>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</si>
  <si>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</si>
  <si>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</si>
  <si>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</si>
  <si>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</si>
  <si>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</si>
  <si>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</si>
  <si>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</si>
  <si>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</si>
  <si>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</si>
  <si>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</si>
  <si>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</si>
  <si>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</si>
  <si>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</si>
  <si>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</si>
  <si>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</si>
  <si>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</si>
  <si>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</si>
  <si>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</si>
  <si>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</si>
  <si>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</si>
  <si>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Desmonte de blocos de rocha com martelete pneumático</t>
  </si>
  <si>
    <t>Desmonte de matacões ou bloco de rocha por meio de explosivos</t>
  </si>
  <si>
    <t>Desmonte de material de 3ª categoria a frio com argamassa expansiva a céu aberto</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</si>
  <si>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</si>
  <si>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</si>
  <si>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</si>
  <si>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</si>
  <si>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</si>
  <si>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</si>
  <si>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</si>
  <si>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</si>
  <si>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</si>
  <si>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</si>
  <si>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</si>
  <si>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</si>
  <si>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</si>
  <si>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</si>
  <si>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</si>
  <si>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</si>
  <si>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</si>
  <si>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</si>
  <si>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</si>
  <si>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</si>
  <si>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</si>
  <si>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</si>
  <si>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</si>
  <si>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</si>
  <si>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</si>
  <si>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</si>
  <si>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</si>
  <si>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</si>
  <si>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</si>
  <si>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</si>
  <si>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</si>
  <si>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</si>
  <si>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</si>
  <si>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</si>
  <si>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</si>
  <si>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</si>
  <si>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</si>
  <si>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</si>
  <si>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</si>
  <si>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</si>
  <si>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</si>
  <si>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</si>
  <si>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</si>
  <si>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</si>
  <si>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</si>
  <si>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</si>
  <si>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</si>
  <si>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</si>
  <si>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</si>
  <si>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</si>
  <si>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</si>
  <si>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</si>
  <si>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</si>
  <si>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</si>
  <si>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</si>
  <si>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</si>
  <si>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</si>
  <si>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</si>
  <si>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</si>
  <si>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</si>
  <si>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</si>
  <si>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</si>
  <si>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</si>
  <si>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</si>
  <si>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</si>
  <si>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</si>
  <si>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</si>
  <si>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</si>
  <si>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</si>
  <si>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</si>
  <si>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</si>
  <si>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</si>
  <si>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</si>
  <si>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</si>
  <si>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</si>
  <si>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</si>
  <si>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</si>
  <si>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</si>
  <si>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</si>
  <si>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</si>
  <si>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</si>
  <si>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</si>
  <si>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</si>
  <si>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</si>
  <si>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</si>
  <si>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</si>
  <si>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</si>
  <si>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</si>
  <si>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</si>
  <si>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</si>
  <si>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</si>
  <si>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</si>
  <si>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</si>
  <si>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</si>
  <si>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</si>
  <si>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</si>
  <si>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</si>
  <si>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</si>
  <si>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</si>
  <si>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</si>
  <si>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</si>
  <si>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</si>
  <si>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</si>
  <si>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</si>
  <si>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</si>
  <si>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</si>
  <si>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</si>
  <si>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</si>
  <si>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</si>
  <si>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</si>
  <si>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</si>
  <si>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</si>
  <si>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</si>
  <si>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</si>
  <si>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</si>
  <si>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</si>
  <si>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</si>
  <si>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</si>
  <si>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</si>
  <si>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</si>
  <si>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</si>
  <si>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</si>
  <si>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</si>
  <si>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</si>
  <si>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</si>
  <si>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</si>
  <si>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</si>
  <si>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</si>
  <si>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</si>
  <si>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</si>
  <si>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</si>
  <si>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</si>
  <si>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</si>
  <si>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</si>
  <si>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</si>
  <si>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</si>
  <si>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</si>
  <si>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</si>
  <si>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</si>
  <si>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</si>
  <si>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</si>
  <si>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</si>
  <si>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</si>
  <si>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</si>
  <si>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</si>
  <si>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</si>
  <si>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</si>
  <si>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</si>
  <si>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</si>
  <si>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</si>
  <si>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</si>
  <si>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</si>
  <si>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</si>
  <si>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</si>
  <si>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</si>
  <si>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</si>
  <si>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</si>
  <si>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</si>
  <si>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</si>
  <si>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</si>
  <si>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</si>
  <si>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</si>
  <si>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</si>
  <si>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</si>
  <si>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</si>
  <si>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</si>
  <si>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</si>
  <si>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</si>
  <si>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</si>
  <si>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</si>
  <si>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</si>
  <si>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</si>
  <si>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</si>
  <si>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</si>
  <si>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</si>
  <si>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</si>
  <si>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</si>
  <si>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</si>
  <si>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</si>
  <si>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</si>
  <si>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</si>
  <si>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</si>
  <si>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</si>
  <si>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</si>
  <si>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</si>
  <si>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</si>
  <si>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</si>
  <si>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</si>
  <si>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</si>
  <si>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</si>
  <si>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</si>
  <si>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</si>
  <si>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</si>
  <si>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</si>
  <si>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</si>
  <si>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</si>
  <si>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</si>
  <si>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</si>
  <si>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</si>
  <si>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</si>
  <si>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</si>
  <si>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</si>
  <si>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</si>
  <si>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</si>
  <si>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</si>
  <si>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</si>
  <si>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</si>
  <si>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</si>
  <si>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</si>
  <si>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</si>
  <si>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</si>
  <si>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</si>
  <si>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</si>
  <si>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</si>
  <si>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</si>
  <si>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</si>
  <si>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</si>
  <si>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</si>
  <si>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</si>
  <si>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</si>
  <si>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</si>
  <si>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</si>
  <si>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</si>
  <si>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</si>
  <si>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</si>
  <si>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</si>
  <si>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</si>
  <si>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</si>
  <si>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</si>
  <si>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</si>
  <si>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</si>
  <si>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</si>
  <si>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</si>
  <si>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</si>
  <si>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</si>
  <si>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</si>
  <si>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</si>
  <si>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</si>
  <si>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</si>
  <si>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</si>
  <si>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</si>
  <si>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</si>
  <si>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</si>
  <si>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</si>
  <si>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</si>
  <si>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</si>
  <si>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</si>
  <si>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</si>
  <si>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</si>
  <si>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</si>
  <si>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</si>
  <si>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</si>
  <si>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</si>
  <si>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</si>
  <si>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</si>
  <si>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</si>
  <si>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</si>
  <si>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</si>
  <si>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</si>
  <si>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</si>
  <si>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</si>
  <si>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</si>
  <si>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</si>
  <si>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</si>
  <si>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</si>
  <si>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</si>
  <si>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</si>
  <si>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</si>
  <si>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</si>
  <si>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</si>
  <si>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</si>
  <si>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</si>
  <si>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</si>
  <si>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</si>
  <si>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</si>
  <si>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</si>
  <si>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</si>
  <si>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</si>
  <si>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</si>
  <si>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</si>
  <si>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</si>
  <si>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</si>
  <si>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</si>
  <si>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</si>
  <si>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</si>
  <si>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</si>
  <si>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</si>
  <si>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</si>
  <si>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</si>
  <si>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</si>
  <si>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</si>
  <si>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</si>
  <si>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</si>
  <si>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</si>
  <si>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</si>
  <si>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</si>
  <si>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</si>
  <si>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</si>
  <si>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</si>
  <si>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</si>
  <si>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</si>
  <si>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</si>
  <si>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</si>
  <si>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</si>
  <si>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</si>
  <si>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</si>
  <si>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</si>
  <si>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</si>
  <si>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</si>
  <si>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</si>
  <si>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</si>
  <si>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</si>
  <si>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</si>
  <si>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</si>
  <si>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</si>
  <si>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</si>
  <si>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</si>
  <si>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</si>
  <si>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</si>
  <si>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</si>
  <si>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</si>
  <si>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</si>
  <si>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</si>
  <si>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</si>
  <si>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</si>
  <si>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</si>
  <si>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</si>
  <si>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</si>
  <si>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</si>
  <si>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</si>
  <si>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</si>
  <si>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</si>
  <si>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</si>
  <si>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</si>
  <si>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</si>
  <si>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</si>
  <si>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</si>
  <si>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</si>
  <si>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</si>
  <si>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</si>
  <si>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</si>
  <si>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</si>
  <si>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</si>
  <si>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</si>
  <si>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</si>
  <si>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</si>
  <si>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</si>
  <si>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</si>
  <si>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</si>
  <si>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</si>
  <si>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</si>
  <si>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</si>
  <si>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</si>
  <si>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</si>
  <si>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</si>
  <si>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</si>
  <si>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</si>
  <si>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</si>
  <si>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</si>
  <si>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</si>
  <si>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</si>
  <si>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</si>
  <si>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</si>
  <si>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</si>
  <si>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</si>
  <si>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</si>
  <si>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</si>
  <si>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</si>
  <si>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</si>
  <si>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</si>
  <si>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</si>
  <si>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</si>
  <si>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</si>
  <si>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</si>
  <si>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</si>
  <si>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</si>
  <si>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</si>
  <si>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</si>
  <si>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</si>
  <si>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</si>
  <si>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</si>
  <si>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</si>
  <si>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</si>
  <si>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</si>
  <si>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</si>
  <si>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</si>
  <si>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</si>
  <si>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</si>
  <si>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</si>
  <si>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</si>
  <si>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</si>
  <si>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</si>
  <si>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</si>
  <si>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</si>
  <si>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</si>
  <si>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</si>
  <si>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</si>
  <si>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</si>
  <si>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</si>
  <si>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</si>
  <si>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</si>
  <si>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</si>
  <si>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</si>
  <si>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</si>
  <si>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</si>
  <si>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</si>
  <si>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</si>
  <si>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</si>
  <si>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</si>
  <si>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</si>
  <si>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</si>
  <si>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</si>
  <si>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</si>
  <si>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</si>
  <si>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</si>
  <si>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</si>
  <si>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</si>
  <si>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</si>
  <si>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</si>
  <si>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</si>
  <si>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</si>
  <si>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</si>
  <si>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</si>
  <si>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</si>
  <si>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</si>
  <si>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</si>
  <si>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</si>
  <si>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</si>
  <si>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</si>
  <si>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</si>
  <si>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</si>
  <si>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</si>
  <si>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</si>
  <si>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</si>
  <si>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</si>
  <si>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</si>
  <si>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</si>
  <si>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</si>
  <si>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</si>
  <si>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</si>
  <si>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</si>
  <si>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</si>
  <si>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</si>
  <si>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</si>
  <si>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</si>
  <si>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</si>
  <si>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</si>
  <si>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</si>
  <si>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</si>
  <si>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</si>
  <si>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</si>
  <si>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</si>
  <si>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</si>
  <si>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</si>
  <si>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</si>
  <si>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</si>
  <si>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</si>
  <si>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</si>
  <si>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</si>
  <si>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</si>
  <si>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</si>
  <si>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</si>
  <si>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</si>
  <si>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</si>
  <si>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</si>
  <si>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</si>
  <si>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</si>
  <si>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</si>
  <si>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</si>
  <si>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</si>
  <si>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</si>
  <si>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</si>
  <si>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</si>
  <si>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</si>
  <si>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</si>
  <si>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</si>
  <si>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</si>
  <si>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</si>
  <si>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</si>
  <si>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</si>
  <si>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</si>
  <si>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</si>
  <si>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</si>
  <si>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</si>
  <si>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</si>
  <si>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</si>
  <si>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</si>
  <si>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</si>
  <si>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</si>
  <si>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</si>
  <si>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</si>
  <si>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</si>
  <si>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</si>
  <si>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</si>
  <si>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</si>
  <si>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</si>
  <si>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</si>
  <si>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</si>
  <si>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</si>
  <si>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</si>
  <si>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</si>
  <si>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</si>
  <si>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</si>
  <si>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</si>
  <si>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</si>
  <si>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</si>
  <si>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</si>
  <si>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</si>
  <si>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</si>
  <si>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</si>
  <si>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</si>
  <si>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</si>
  <si>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</si>
  <si>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</si>
  <si>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</si>
  <si>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</si>
  <si>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</si>
  <si>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</si>
  <si>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</si>
  <si>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</si>
  <si>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</si>
  <si>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</si>
  <si>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</si>
  <si>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</si>
  <si>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</si>
  <si>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</si>
  <si>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</si>
  <si>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</si>
  <si>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</si>
  <si>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</si>
  <si>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</si>
  <si>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</si>
  <si>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</si>
  <si>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</si>
  <si>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</si>
  <si>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</si>
  <si>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</si>
  <si>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</si>
  <si>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</si>
  <si>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</si>
  <si>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</si>
  <si>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</si>
  <si>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</si>
  <si>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</si>
  <si>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</si>
  <si>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</si>
  <si>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</si>
  <si>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</si>
  <si>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</si>
  <si>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</si>
  <si>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</si>
  <si>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</si>
  <si>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</si>
  <si>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</si>
  <si>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</si>
  <si>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</si>
  <si>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</si>
  <si>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</si>
  <si>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</si>
  <si>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</si>
  <si>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</si>
  <si>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</si>
  <si>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</si>
  <si>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</si>
  <si>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</si>
  <si>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</si>
  <si>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</si>
  <si>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</si>
  <si>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</si>
  <si>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</si>
  <si>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</si>
  <si>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</si>
  <si>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</si>
  <si>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</si>
  <si>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</si>
  <si>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</si>
  <si>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</si>
  <si>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</si>
  <si>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</si>
  <si>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</si>
  <si>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</si>
  <si>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</si>
  <si>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</si>
  <si>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</si>
  <si>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</si>
  <si>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</si>
  <si>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</si>
  <si>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</si>
  <si>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</si>
  <si>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</si>
  <si>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</si>
  <si>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</si>
  <si>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</si>
  <si>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</si>
  <si>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</si>
  <si>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</si>
  <si>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</si>
  <si>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</si>
  <si>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</si>
  <si>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</si>
  <si>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</si>
  <si>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</si>
  <si>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</si>
  <si>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</si>
  <si>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</si>
  <si>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</si>
  <si>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</si>
  <si>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</si>
  <si>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</si>
  <si>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</si>
  <si>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</si>
  <si>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</si>
  <si>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</si>
  <si>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</si>
  <si>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</si>
  <si>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</si>
  <si>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</si>
  <si>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</si>
  <si>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</si>
  <si>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</si>
  <si>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</si>
  <si>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</si>
  <si>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</si>
  <si>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</si>
  <si>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</si>
  <si>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</si>
  <si>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</si>
  <si>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</si>
  <si>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</si>
  <si>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</si>
  <si>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</si>
  <si>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</si>
  <si>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</si>
  <si>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</si>
  <si>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</si>
  <si>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</si>
  <si>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</si>
  <si>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</si>
  <si>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</si>
  <si>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</si>
  <si>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</si>
  <si>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</si>
  <si>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</si>
  <si>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</si>
  <si>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</si>
  <si>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</si>
  <si>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</si>
  <si>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</si>
  <si>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</si>
  <si>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</si>
  <si>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</si>
  <si>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</si>
  <si>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</si>
  <si>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</si>
  <si>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</si>
  <si>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</si>
  <si>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</si>
  <si>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</si>
  <si>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</si>
  <si>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</si>
  <si>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</si>
  <si>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</si>
  <si>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</si>
  <si>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</si>
  <si>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</si>
  <si>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</si>
  <si>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</si>
  <si>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</si>
  <si>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</si>
  <si>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</si>
  <si>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</si>
  <si>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</si>
  <si>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</si>
  <si>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</si>
  <si>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</si>
  <si>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</si>
  <si>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</si>
  <si>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</si>
  <si>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</si>
  <si>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</si>
  <si>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</si>
  <si>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</si>
  <si>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</si>
  <si>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</si>
  <si>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</si>
  <si>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</si>
  <si>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</si>
  <si>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</si>
  <si>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</si>
  <si>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</si>
  <si>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</si>
  <si>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</si>
  <si>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</si>
  <si>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</si>
  <si>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</si>
  <si>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</si>
  <si>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</si>
  <si>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</si>
  <si>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</si>
  <si>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</si>
  <si>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</si>
  <si>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</si>
  <si>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</si>
  <si>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</si>
  <si>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</si>
  <si>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</si>
  <si>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</si>
  <si>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</si>
  <si>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</si>
  <si>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</si>
  <si>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</si>
  <si>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</si>
  <si>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</si>
  <si>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</si>
  <si>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</si>
  <si>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</si>
  <si>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</si>
  <si>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</si>
  <si>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</si>
  <si>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</si>
  <si>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</si>
  <si>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</si>
  <si>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</si>
  <si>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</si>
  <si>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</si>
  <si>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</si>
  <si>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</si>
  <si>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</si>
  <si>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</si>
  <si>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</si>
  <si>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</si>
  <si>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</si>
  <si>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</si>
  <si>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</si>
  <si>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</si>
  <si>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</si>
  <si>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</si>
  <si>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</si>
  <si>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</si>
  <si>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</si>
  <si>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</si>
  <si>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</si>
  <si>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</si>
  <si>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</si>
  <si>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</si>
  <si>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</si>
  <si>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</si>
  <si>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</si>
  <si>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</si>
  <si>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</si>
  <si>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</si>
  <si>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</si>
  <si>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</si>
  <si>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</si>
  <si>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</si>
  <si>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</si>
  <si>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</si>
  <si>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</si>
  <si>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</si>
  <si>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</si>
  <si>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</si>
  <si>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</si>
  <si>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</si>
  <si>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</si>
  <si>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</si>
  <si>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</si>
  <si>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</si>
  <si>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</si>
  <si>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</si>
  <si>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</si>
  <si>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</si>
  <si>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</si>
  <si>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</si>
  <si>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</si>
  <si>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</si>
  <si>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</si>
  <si>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</si>
  <si>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</si>
  <si>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</si>
  <si>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</si>
  <si>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</si>
  <si>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</si>
  <si>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</si>
  <si>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</si>
  <si>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</si>
  <si>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</si>
  <si>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</si>
  <si>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</si>
  <si>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</si>
  <si>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</si>
  <si>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</si>
  <si>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</si>
  <si>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</si>
  <si>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</si>
  <si>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</si>
  <si>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</si>
  <si>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</si>
  <si>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</si>
  <si>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</si>
  <si>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</si>
  <si>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</si>
  <si>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</si>
  <si>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</si>
  <si>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</si>
  <si>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</si>
  <si>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</si>
  <si>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</si>
  <si>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</si>
  <si>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</si>
  <si>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</si>
  <si>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</si>
  <si>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</si>
  <si>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</si>
  <si>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</si>
  <si>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</si>
  <si>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</si>
  <si>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</si>
  <si>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</si>
  <si>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</si>
  <si>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</si>
  <si>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</si>
  <si>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</si>
  <si>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</si>
  <si>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</si>
  <si>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</si>
  <si>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</si>
  <si>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</si>
  <si>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</si>
  <si>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</si>
  <si>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</si>
  <si>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</si>
  <si>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</si>
  <si>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</si>
  <si>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</si>
  <si>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</si>
  <si>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</si>
  <si>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</si>
  <si>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</si>
  <si>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</si>
  <si>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</si>
  <si>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</si>
  <si>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</si>
  <si>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</si>
  <si>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</si>
  <si>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</si>
  <si>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</si>
  <si>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</si>
  <si>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</si>
  <si>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</si>
  <si>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</si>
  <si>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</si>
  <si>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</si>
  <si>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</si>
  <si>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</si>
  <si>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</si>
  <si>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</si>
  <si>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</si>
  <si>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</si>
  <si>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</si>
  <si>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</si>
  <si>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</si>
  <si>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</si>
  <si>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</si>
  <si>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</si>
  <si>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</si>
  <si>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</si>
  <si>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</si>
  <si>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</si>
  <si>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</si>
  <si>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</si>
  <si>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</si>
  <si>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</si>
  <si>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</si>
  <si>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</si>
  <si>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</si>
  <si>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</si>
  <si>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</si>
  <si>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</si>
  <si>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</si>
  <si>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</si>
  <si>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</si>
  <si>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</si>
  <si>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</si>
  <si>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</si>
  <si>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</si>
  <si>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</si>
  <si>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</si>
  <si>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</si>
  <si>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</si>
  <si>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</si>
  <si>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</si>
  <si>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</si>
  <si>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</si>
  <si>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</si>
  <si>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</si>
  <si>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</si>
  <si>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</si>
  <si>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</si>
  <si>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</si>
  <si>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</si>
  <si>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</si>
  <si>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</si>
  <si>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</si>
  <si>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</si>
  <si>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</si>
  <si>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</si>
  <si>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</si>
  <si>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</si>
  <si>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</si>
  <si>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</si>
  <si>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</si>
  <si>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</si>
  <si>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</si>
  <si>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</si>
  <si>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</si>
  <si>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</si>
  <si>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</si>
  <si>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</si>
  <si>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</si>
  <si>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</si>
  <si>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</si>
  <si>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</si>
  <si>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</si>
  <si>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</si>
  <si>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</si>
  <si>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</si>
  <si>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</si>
  <si>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</si>
  <si>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</si>
  <si>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</si>
  <si>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VARREDEIRA DE GRAMA SINTÉTICA A GASOLINA, 2,4 CV, 4 TEMPOS - MATERIAIS NA OPERAÇÃO. AF_02/2022</t>
  </si>
  <si>
    <t>GEOTÊXTIL NÃO TECIDO 100% POLIÉSTER, RESISTÊNCIA A TRAÇÃO DE 31 KN/M (RT-31), INSTALADO EM DRENO - FORNECIMENTO E INSTALAÇÃO. AF_07/2021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</si>
  <si>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</si>
  <si>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</si>
  <si>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</si>
  <si>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</si>
  <si>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</si>
  <si>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</si>
  <si>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</si>
  <si>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</si>
  <si>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</si>
  <si>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</si>
  <si>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</si>
  <si>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</si>
  <si>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</si>
  <si>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</si>
  <si>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</si>
  <si>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</si>
  <si>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</si>
  <si>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</si>
  <si>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</si>
  <si>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</si>
  <si>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</si>
  <si>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</si>
  <si>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</si>
  <si>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APLICAÇÃO MASSA ACRÍLICA PARA MADEIRA, PARA PINTURA COM TINTA DE ACABAMENTO (PIGMENTADA). AF_01/2021</t>
  </si>
  <si>
    <t xml:space="preserve">KWH   </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</si>
  <si>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</si>
  <si>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</si>
  <si>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</si>
  <si>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</si>
  <si>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</si>
  <si>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</si>
  <si>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</si>
  <si>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</si>
  <si>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</si>
  <si>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</si>
  <si>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</si>
  <si>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</si>
  <si>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</si>
  <si>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</si>
  <si>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</si>
  <si>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</si>
  <si>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</si>
  <si>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</si>
  <si>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</si>
  <si>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</si>
  <si>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</si>
  <si>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</si>
  <si>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</si>
  <si>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</si>
  <si>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</si>
  <si>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</si>
  <si>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</si>
  <si>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</si>
  <si>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</si>
  <si>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</si>
  <si>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</si>
  <si>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</si>
  <si>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</si>
  <si>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</si>
  <si>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</si>
  <si>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</si>
  <si>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</si>
  <si>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</si>
  <si>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</si>
  <si>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</si>
  <si>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</si>
  <si>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</si>
  <si>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</si>
  <si>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</si>
  <si>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</si>
  <si>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</si>
  <si>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</si>
  <si>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</si>
  <si>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</si>
  <si>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</si>
  <si>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</si>
  <si>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</si>
  <si>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</si>
  <si>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</si>
  <si>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</si>
  <si>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</si>
  <si>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</si>
  <si>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</si>
  <si>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</si>
  <si>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</si>
  <si>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</si>
  <si>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</si>
  <si>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</si>
  <si>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</si>
  <si>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</si>
  <si>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Beneficiamento de aço naval para construção de instalações portuárias de pequeno porte - excluso o aço naval</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</si>
  <si>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</si>
  <si>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</si>
  <si>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</si>
  <si>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</si>
  <si>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</si>
  <si>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</si>
  <si>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</si>
  <si>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</si>
  <si>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</si>
  <si>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 xml:space="preserve">         A alíquota de ISSQN no município é de 4%, a incidir sobre o total da obra.</t>
  </si>
  <si>
    <t>NOVEMBRO/2022</t>
  </si>
  <si>
    <t>FORNECIMENTO E TRANSPORTE DE PRODUTOS ASFÁLTICOS</t>
  </si>
  <si>
    <t>Fornecedor</t>
  </si>
  <si>
    <t>Distâncias de transporte (Km)</t>
  </si>
  <si>
    <t>Custo transporte (R$)</t>
  </si>
  <si>
    <t>Custo aquisição (R$/t)</t>
  </si>
  <si>
    <t>Custo total (R$/t)</t>
  </si>
  <si>
    <t>Leito Natural</t>
  </si>
  <si>
    <t>Não pavim.</t>
  </si>
  <si>
    <t>Pavim</t>
  </si>
  <si>
    <t>Fixo</t>
  </si>
  <si>
    <t>Impostos Transporte</t>
  </si>
  <si>
    <t>Pedágio</t>
  </si>
  <si>
    <t>Impostos aquisição</t>
  </si>
  <si>
    <t>Valor (R$)</t>
  </si>
  <si>
    <t>CAP MODIFICADO POR BORRACHA DE PNEU AB8</t>
  </si>
  <si>
    <t>REPAR</t>
  </si>
  <si>
    <t>Araucária - PR</t>
  </si>
  <si>
    <t>CIMENTOS ASFÁLTICOS CAP-50-70</t>
  </si>
  <si>
    <t>EMULSÃO ASFÁLTICA PARA SERVIÇO DE IMPRIMAÇÃO</t>
  </si>
  <si>
    <t>EMULSÕES ASFÁLTICAS RR-1C</t>
  </si>
  <si>
    <t>Portaria nº 1977/2017 DNIT</t>
  </si>
  <si>
    <t>Tipo de pavimento</t>
  </si>
  <si>
    <t>Val. data base 07/2014 (R$)</t>
  </si>
  <si>
    <t>Índices de reajuste</t>
  </si>
  <si>
    <t>Valores atualizados 10/2022 (R$)</t>
  </si>
  <si>
    <t>Menor valor para aquisição de produtos asfálticos</t>
  </si>
  <si>
    <t>Variável</t>
  </si>
  <si>
    <r>
      <t>I</t>
    </r>
    <r>
      <rPr>
        <vertAlign val="subscript"/>
        <sz val="10"/>
        <color theme="1"/>
        <rFont val="Arial"/>
        <family val="2"/>
      </rPr>
      <t>07/2014</t>
    </r>
  </si>
  <si>
    <r>
      <t>I10</t>
    </r>
    <r>
      <rPr>
        <vertAlign val="subscript"/>
        <sz val="10"/>
        <color theme="1"/>
        <rFont val="Arial"/>
        <family val="2"/>
      </rPr>
      <t>/2022</t>
    </r>
  </si>
  <si>
    <t>Fator</t>
  </si>
  <si>
    <t>Valor aquisição (R$)</t>
  </si>
  <si>
    <t>Valor Transporte (R$)</t>
  </si>
  <si>
    <t>Valor aquisição + Transporte (R$)</t>
  </si>
  <si>
    <t>Impostos</t>
  </si>
  <si>
    <t>Transporte</t>
  </si>
  <si>
    <t>Aquisição CAP AB-8</t>
  </si>
  <si>
    <t>Aquisição CAP 50-70</t>
  </si>
  <si>
    <t>Aquisição emulsões</t>
  </si>
  <si>
    <t>Incluído no BDI</t>
  </si>
  <si>
    <t>Concessionária</t>
  </si>
  <si>
    <t>Quantidade de eixos</t>
  </si>
  <si>
    <t>Valores ida (R$)</t>
  </si>
  <si>
    <t>Valores volta (R$)</t>
  </si>
  <si>
    <t>Rodovia</t>
  </si>
  <si>
    <t>Aplicação</t>
  </si>
  <si>
    <t>Ida</t>
  </si>
  <si>
    <t>Volta</t>
  </si>
  <si>
    <t>por eixo</t>
  </si>
  <si>
    <t>Praças</t>
  </si>
  <si>
    <t>por ton</t>
  </si>
  <si>
    <t>KM</t>
  </si>
  <si>
    <t>CCR Via Sul</t>
  </si>
  <si>
    <t>BR 386/RS</t>
  </si>
  <si>
    <t>REFAP</t>
  </si>
  <si>
    <t>https://www.ccrviasul.com.br/tarifas</t>
  </si>
  <si>
    <t>Rodovia do Tietê</t>
  </si>
  <si>
    <t>SP 101</t>
  </si>
  <si>
    <t>REPLAN</t>
  </si>
  <si>
    <t>http://www.rodoviasdotiete.com.br/</t>
  </si>
  <si>
    <t>https://www.spvias.com.br/tarifas#tool-2</t>
  </si>
  <si>
    <t>SP Vias</t>
  </si>
  <si>
    <t>SP 127</t>
  </si>
  <si>
    <t>133,9/128,90</t>
  </si>
  <si>
    <t>Rota REPLAN via Ponta Grossa</t>
  </si>
  <si>
    <t>SP 258</t>
  </si>
  <si>
    <t>Capacidade (t):</t>
  </si>
  <si>
    <t>Usina</t>
  </si>
  <si>
    <t>SICRO 07/2022</t>
  </si>
  <si>
    <t>COTAÇÕES</t>
  </si>
  <si>
    <t>SINAPI 09/2022</t>
  </si>
  <si>
    <t>ANP 10/2022</t>
  </si>
  <si>
    <t>COMPOSIÇÕES</t>
  </si>
  <si>
    <t>MATERIAIS</t>
  </si>
  <si>
    <t>IROR 10/2022</t>
  </si>
  <si>
    <t>MÃO DE OBRA</t>
  </si>
  <si>
    <t>EQUIPAMENTOS</t>
  </si>
  <si>
    <t>INUSMOS</t>
  </si>
  <si>
    <t>COT 04</t>
  </si>
  <si>
    <t>Pigmento em pó vermelho para concreto</t>
  </si>
  <si>
    <t>Kg</t>
  </si>
  <si>
    <t>COT 05</t>
  </si>
  <si>
    <t>Cimneto asfáltico de petróleo modificado por borracha ( CAP AB-8)</t>
  </si>
  <si>
    <t>COT 06</t>
  </si>
  <si>
    <t>Cimento asfáltico de petróleo convencional (CAP 50-70)</t>
  </si>
  <si>
    <t>COT 07</t>
  </si>
  <si>
    <t>Emulsão asfáltica de imprimação (EAI)</t>
  </si>
  <si>
    <t>COT 08</t>
  </si>
  <si>
    <t>Emulsão asfáltica RR-1C</t>
  </si>
  <si>
    <t>COT 09</t>
  </si>
  <si>
    <t>COT 10</t>
  </si>
  <si>
    <t>T-CM-30</t>
  </si>
  <si>
    <t>Transporte de Asfaltos diluídos CM-30</t>
  </si>
  <si>
    <t>T-CAP AB8</t>
  </si>
  <si>
    <t>Transporte de CAP modificado por borracha de pneu AB8</t>
  </si>
  <si>
    <t>T-CAP 60-85-E</t>
  </si>
  <si>
    <t>Transporte de CAP modificado por polímero 60-85-E</t>
  </si>
  <si>
    <t>T-CAP 30-45</t>
  </si>
  <si>
    <t>Transporte de Cimentos asfálticos CAP-30-45</t>
  </si>
  <si>
    <t>T-CAP 50-70</t>
  </si>
  <si>
    <t>Transporte de Cimentos asfálticos CAP-50-70</t>
  </si>
  <si>
    <t>T-EAI</t>
  </si>
  <si>
    <t>Transporte de Emulsão asfáltica para serviço de imprimação</t>
  </si>
  <si>
    <t>T-RC1C-E</t>
  </si>
  <si>
    <t>Transporte de Emulsões asf. Mod. Por polímeros RC1C-E</t>
  </si>
  <si>
    <t>T-RL-1C</t>
  </si>
  <si>
    <t>Transporte de Emulsões asfálticas RL-1C</t>
  </si>
  <si>
    <t>T-RL-2C</t>
  </si>
  <si>
    <t>Transporte de Emulsões asfálticas RM-1C</t>
  </si>
  <si>
    <t>T-RR-1C</t>
  </si>
  <si>
    <t>Transporte de Emulsões asfálticas RR-1C</t>
  </si>
  <si>
    <t>T-RR-2C</t>
  </si>
  <si>
    <t>Transporte de Emulsões asfálticas RR-2C</t>
  </si>
  <si>
    <t>CM-30</t>
  </si>
  <si>
    <t>Asfaltos diluídos CM-30</t>
  </si>
  <si>
    <t>CAP 60-85-E</t>
  </si>
  <si>
    <t>CAP modificado por polímero 60-85-E</t>
  </si>
  <si>
    <t>CAP 30-45</t>
  </si>
  <si>
    <t>Cimentos asfálticos CAP-30-45</t>
  </si>
  <si>
    <t>Emulsões asf. Mod. Por polímeros RC1C-E</t>
  </si>
  <si>
    <t>RL-2C</t>
  </si>
  <si>
    <t>Emulsões asfálticas RR-2C</t>
  </si>
  <si>
    <t>E9592</t>
  </si>
  <si>
    <t>E9686</t>
  </si>
  <si>
    <t>E9526</t>
  </si>
  <si>
    <t>E9687</t>
  </si>
  <si>
    <t>E9660P</t>
  </si>
  <si>
    <t>Guindaste móvel sobre esteiras com capacidade de 40 t - 186 k - CHP</t>
  </si>
  <si>
    <t>E9660</t>
  </si>
  <si>
    <t>E9660I</t>
  </si>
  <si>
    <t>Guindaste móvel sobre esteiras com capacidade de 40 t - 186 k - CHI</t>
  </si>
  <si>
    <t>E9093P</t>
  </si>
  <si>
    <t>Veículo leve - 53 kW (sem motorista) - CHP</t>
  </si>
  <si>
    <t>E9093</t>
  </si>
  <si>
    <t>E9093I</t>
  </si>
  <si>
    <t>Veículo leve - 53 kW (sem motorista) - CHI</t>
  </si>
  <si>
    <t>E9663P</t>
  </si>
  <si>
    <t>Caminhão basculante com capacidade de 4 m³ - 136 kW - CHP</t>
  </si>
  <si>
    <t>E9663</t>
  </si>
  <si>
    <t>E9663I</t>
  </si>
  <si>
    <t>Caminhão basculante com capacidade de 4 m³ - 136 kW - CHI</t>
  </si>
  <si>
    <t>Caminhão carroceria com guindauto com capacidade de 20 t.m - 136 Kw - CHP</t>
  </si>
  <si>
    <t>Caminhão carroceria com guindauto com capacidade de 20 t.m - 136 Kw - Chi</t>
  </si>
  <si>
    <t>E9082P</t>
  </si>
  <si>
    <t>Bate-estaca hidráulico para defensas montado em caminhão guindauto com capacidade de 20 t.m e carroceria de 4 t - 136 kW - CHP</t>
  </si>
  <si>
    <t>E9082</t>
  </si>
  <si>
    <t>E9082I</t>
  </si>
  <si>
    <t>Bate-estaca hidráulico para defensas montado em caminhão guindauto com capacidade de 20 t.m e carroceria de 4 t - 136 kW - CHI</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</si>
  <si>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</si>
  <si>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</si>
  <si>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</si>
  <si>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</si>
  <si>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</si>
  <si>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</si>
  <si>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</si>
  <si>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</si>
  <si>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</si>
  <si>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</si>
  <si>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</si>
  <si>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</si>
  <si>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</si>
  <si>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</si>
  <si>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</si>
  <si>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</si>
  <si>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</si>
  <si>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</si>
  <si>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</si>
  <si>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</si>
  <si>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</si>
  <si>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Bacia de contenção para tanque de emulsão de 30.000 l, sem cobertura, inclusive demolições</t>
  </si>
  <si>
    <t>Cobertura em chapas zincadas com espessura de 0,43 mm - utilização 2 vezes</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</si>
  <si>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</si>
  <si>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</si>
  <si>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</si>
  <si>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</si>
  <si>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pré-misturado a frio com capacidade de 60 t/h</t>
  </si>
  <si>
    <t>Massa única, para recebimento de pintura, em argamassa traço 1:2:8, espessura de 20 mm</t>
  </si>
  <si>
    <t>Muro em alvenaria de blocos de concreto com espessura de 0,20 m h = 1,0 m</t>
  </si>
  <si>
    <t>Posto de combustível - com reaproveitamento de 2 vezes do tanque/bomba/cobertura - inclusive demolição</t>
  </si>
  <si>
    <t>Rampa para acesso do misturador de agregados para centrais de 30 m³ e 40 m³ - inclusive demolição</t>
  </si>
  <si>
    <t>Rampa para acesso do misturador de agregados para central de 150 m³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</si>
  <si>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</si>
  <si>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</si>
  <si>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</si>
  <si>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</si>
  <si>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</si>
  <si>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</si>
  <si>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</si>
  <si>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</si>
  <si>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</si>
  <si>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</si>
  <si>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</si>
  <si>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</si>
  <si>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</si>
  <si>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</si>
  <si>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</si>
  <si>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</si>
  <si>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</si>
  <si>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</si>
  <si>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</si>
  <si>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</si>
  <si>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</si>
  <si>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</si>
  <si>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</si>
  <si>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</si>
  <si>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</si>
  <si>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</si>
  <si>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</si>
  <si>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</si>
  <si>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Lançamento de material pétreo para subcarapaça</t>
  </si>
  <si>
    <t>Seleção de material pétreo para a carapaça e subcarapaça</t>
  </si>
  <si>
    <t>Guarda-corpo e corrimão metálico para passarelas para pedestres - fornecimento e instalação</t>
  </si>
  <si>
    <t>Limpeza de aparelhos de apoio em obras de arte especiais - exclusa a plataforma</t>
  </si>
  <si>
    <t>Limpeza em superfície de concreto com jateamento d'água sob pressão</t>
  </si>
  <si>
    <t>Pingadeira de elastômero perfil 40 x 40 mm com aba inclinada e fixada com adesivo estrutural e pinos - fornecimento e instalação - exclusa a plataforma</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</si>
  <si>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</si>
  <si>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</si>
  <si>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</si>
  <si>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</si>
  <si>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Operação de mergulho autônomo em profundidade de até 20 m</t>
  </si>
  <si>
    <t>Operação de mergulho dependente em profundidade de 30 a 50 m - inclusive descompressão</t>
  </si>
  <si>
    <t>Operação de mergulho dependente em profundidade de até 30 m - inclusive descompressão</t>
  </si>
  <si>
    <t>Recarga de cilindro com ar respirável para atividades de mergulho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</si>
  <si>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</si>
  <si>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</si>
  <si>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</si>
  <si>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</si>
  <si>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</si>
  <si>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</si>
  <si>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</si>
  <si>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</si>
  <si>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</si>
  <si>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</si>
  <si>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</si>
  <si>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</si>
  <si>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</si>
  <si>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</si>
  <si>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</si>
  <si>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</si>
  <si>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</si>
  <si>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</si>
  <si>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</si>
  <si>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</si>
  <si>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</si>
  <si>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</si>
  <si>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</si>
  <si>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</si>
  <si>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</si>
  <si>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</si>
  <si>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</si>
  <si>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</si>
  <si>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</si>
  <si>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</si>
  <si>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</si>
  <si>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</si>
  <si>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</si>
  <si>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</si>
  <si>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</si>
  <si>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</si>
  <si>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</si>
  <si>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</si>
  <si>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</si>
  <si>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</si>
  <si>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</si>
  <si>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</si>
  <si>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M0003</t>
  </si>
  <si>
    <t>Aço CA 25</t>
  </si>
  <si>
    <t>M0004</t>
  </si>
  <si>
    <t>Aço CA 50</t>
  </si>
  <si>
    <t>M0005</t>
  </si>
  <si>
    <t>Brita 0</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</si>
  <si>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</si>
  <si>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</si>
  <si>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</si>
  <si>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</si>
  <si>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</si>
  <si>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</si>
  <si>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</si>
  <si>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</si>
  <si>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</si>
  <si>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</si>
  <si>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</si>
  <si>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</si>
  <si>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</si>
  <si>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</si>
  <si>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</si>
  <si>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</si>
  <si>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</si>
  <si>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</si>
  <si>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</si>
  <si>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</si>
  <si>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</si>
  <si>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</si>
  <si>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</si>
  <si>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</si>
  <si>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</si>
  <si>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</si>
  <si>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</si>
  <si>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</si>
  <si>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</si>
  <si>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</si>
  <si>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</si>
  <si>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</si>
  <si>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</si>
  <si>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</si>
  <si>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</si>
  <si>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</si>
  <si>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</si>
  <si>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</si>
  <si>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</si>
  <si>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</si>
  <si>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</si>
  <si>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</si>
  <si>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</si>
  <si>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</si>
  <si>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</si>
  <si>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</si>
  <si>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</si>
  <si>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</si>
  <si>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</si>
  <si>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</si>
  <si>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Container com 2 banheiros - L = 2,44 m e C = 6,09 m (1 TEU)</t>
  </si>
  <si>
    <t>M0042</t>
  </si>
  <si>
    <t>Container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</si>
  <si>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</si>
  <si>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</si>
  <si>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</si>
  <si>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</si>
  <si>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</si>
  <si>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</si>
  <si>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</si>
  <si>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</si>
  <si>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</si>
  <si>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</si>
  <si>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</si>
  <si>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</si>
  <si>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</si>
  <si>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</si>
  <si>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</si>
  <si>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</si>
  <si>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</si>
  <si>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</si>
  <si>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</si>
  <si>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</si>
  <si>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</si>
  <si>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</si>
  <si>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</si>
  <si>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</si>
  <si>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</si>
  <si>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</si>
  <si>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</si>
  <si>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</si>
  <si>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</si>
  <si>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Container com janela - L = 4,88 m e C = 6,09 m (1 TEU duplo)</t>
  </si>
  <si>
    <t>M0058</t>
  </si>
  <si>
    <t>Container com janela e 2 banheiros - L = 4,88 m e C = 6,09 m (1 TEU duplo)</t>
  </si>
  <si>
    <t>M0059</t>
  </si>
  <si>
    <t>Container com revestimento térmico, janela e banheiro - L = 2,44 m e C = 6,09 m (1 TEU)</t>
  </si>
  <si>
    <t>M0060</t>
  </si>
  <si>
    <t>Container com janela - L = 2,44 m e C = 4,58 m (3/4 TEU)</t>
  </si>
  <si>
    <t>M0065</t>
  </si>
  <si>
    <t>Container com janela e banheiro - L = 2,44 m e 4,58 m (3/4 TEU)</t>
  </si>
  <si>
    <t>M0066</t>
  </si>
  <si>
    <t>Container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</si>
  <si>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</si>
  <si>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</si>
  <si>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</si>
  <si>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</si>
  <si>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</si>
  <si>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</si>
  <si>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</si>
  <si>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Container com 3 janelas para guarita - L = 2,44 m e C = 3,05 m (1/2 TEU)</t>
  </si>
  <si>
    <t>M0072</t>
  </si>
  <si>
    <t>Arame liso em aço galvanizado - D = 2,10 mm (14 BWG)</t>
  </si>
  <si>
    <t>M0073</t>
  </si>
  <si>
    <t>Muda de árvore com altura de 0,30 a 0,80 m</t>
  </si>
  <si>
    <t>M0074</t>
  </si>
  <si>
    <t>Muda de arbusto com altura até 0,50 m</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</si>
  <si>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</si>
  <si>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</si>
  <si>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</si>
  <si>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</si>
  <si>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</si>
  <si>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</si>
  <si>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</si>
  <si>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</si>
  <si>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</si>
  <si>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</si>
  <si>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</si>
  <si>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</si>
  <si>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</si>
  <si>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</si>
  <si>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</si>
  <si>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</si>
  <si>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</si>
  <si>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</si>
  <si>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</si>
  <si>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</si>
  <si>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</si>
  <si>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</si>
  <si>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</si>
  <si>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</si>
  <si>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</si>
  <si>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</si>
  <si>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</si>
  <si>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</si>
  <si>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</si>
  <si>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</si>
  <si>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</si>
  <si>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</si>
  <si>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</si>
  <si>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</si>
  <si>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</si>
  <si>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</si>
  <si>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</si>
  <si>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</si>
  <si>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</si>
  <si>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</si>
  <si>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</si>
  <si>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</si>
  <si>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</si>
  <si>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</si>
  <si>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</si>
  <si>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M0105</t>
  </si>
  <si>
    <t>Ancoragem ativa para 4 cordoalhas - D = 15,2 mm</t>
  </si>
  <si>
    <t>M0106</t>
  </si>
  <si>
    <t>Ancoragem ativa para 6 cordoalhas - D = 15,2 mm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</si>
  <si>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</si>
  <si>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</si>
  <si>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</si>
  <si>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</si>
  <si>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</si>
  <si>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</si>
  <si>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</si>
  <si>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</si>
  <si>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</si>
  <si>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</si>
  <si>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</si>
  <si>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</si>
  <si>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</si>
  <si>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</si>
  <si>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</si>
  <si>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</si>
  <si>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</si>
  <si>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</si>
  <si>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</si>
  <si>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</si>
  <si>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</si>
  <si>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</si>
  <si>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</si>
  <si>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</si>
  <si>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</si>
  <si>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</si>
  <si>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</si>
  <si>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</si>
  <si>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</si>
  <si>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</si>
  <si>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</si>
  <si>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</si>
  <si>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</si>
  <si>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</si>
  <si>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</si>
  <si>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</si>
  <si>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</si>
  <si>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</si>
  <si>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</si>
  <si>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</si>
  <si>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</si>
  <si>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</si>
  <si>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</si>
  <si>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</si>
  <si>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</si>
  <si>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</si>
  <si>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</si>
  <si>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</si>
  <si>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</si>
  <si>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</si>
  <si>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</si>
  <si>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</si>
  <si>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</si>
  <si>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</si>
  <si>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</si>
  <si>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</si>
  <si>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</si>
  <si>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</si>
  <si>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</si>
  <si>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</si>
  <si>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</si>
  <si>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</si>
  <si>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</si>
  <si>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</si>
  <si>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</si>
  <si>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</si>
  <si>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</si>
  <si>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</si>
  <si>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</si>
  <si>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</si>
  <si>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</si>
  <si>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</si>
  <si>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M0144</t>
  </si>
  <si>
    <t>Tubo PEAD corrugado com paredes estruturadas para drenagem - D = 1.800 mm</t>
  </si>
  <si>
    <t>M0145</t>
  </si>
  <si>
    <t>Ancoragem ativa para 22 cordoalhas - D = 15,2 mm</t>
  </si>
  <si>
    <t>M0146</t>
  </si>
  <si>
    <t>Ancoragem ativa para 27 cordoalhas - D = 15,2 mm</t>
  </si>
  <si>
    <t>M0147</t>
  </si>
  <si>
    <t>Tubo PEAD corrugado com paredes estruturadas para drenagem - D = 2.000 mm</t>
  </si>
  <si>
    <t>M0148</t>
  </si>
  <si>
    <t>Ancoragem ativa para lajes para 1 cordoalha - D = 12,7 mm</t>
  </si>
  <si>
    <t>M0149</t>
  </si>
  <si>
    <t>Tubo PEAD corrugado com paredes estruturadas para drenagem - D = 2.500 mm</t>
  </si>
  <si>
    <t>M0150</t>
  </si>
  <si>
    <t>Tubo PEAD corrugado com paredes estruturadas para drenagem - D = 3.000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</si>
  <si>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</si>
  <si>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</si>
  <si>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</si>
  <si>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</si>
  <si>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</si>
  <si>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</si>
  <si>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</si>
  <si>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</si>
  <si>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</si>
  <si>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</si>
  <si>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</si>
  <si>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</si>
  <si>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</si>
  <si>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</si>
  <si>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</si>
  <si>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</si>
  <si>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</si>
  <si>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</si>
  <si>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</si>
  <si>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</si>
  <si>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</si>
  <si>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</si>
  <si>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</si>
  <si>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</si>
  <si>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</si>
  <si>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</si>
  <si>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</si>
  <si>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</si>
  <si>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</si>
  <si>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</si>
  <si>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</si>
  <si>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</si>
  <si>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</si>
  <si>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</si>
  <si>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</si>
  <si>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</si>
  <si>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</si>
  <si>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</si>
  <si>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</si>
  <si>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</si>
  <si>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</si>
  <si>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</si>
  <si>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</si>
  <si>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</si>
  <si>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</si>
  <si>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</si>
  <si>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</si>
  <si>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</si>
  <si>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</si>
  <si>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</si>
  <si>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</si>
  <si>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</si>
  <si>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</si>
  <si>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</si>
  <si>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</si>
  <si>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</si>
  <si>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</si>
  <si>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</si>
  <si>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</si>
  <si>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</si>
  <si>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</si>
  <si>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</si>
  <si>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</si>
  <si>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</si>
  <si>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</si>
  <si>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</si>
  <si>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</si>
  <si>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</si>
  <si>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</si>
  <si>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</si>
  <si>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</si>
  <si>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</si>
  <si>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</si>
  <si>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</si>
  <si>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</si>
  <si>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</si>
  <si>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</si>
  <si>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</si>
  <si>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</si>
  <si>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</si>
  <si>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</si>
  <si>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</si>
  <si>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</si>
  <si>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</si>
  <si>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</si>
  <si>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</si>
  <si>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</si>
  <si>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</si>
  <si>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</si>
  <si>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</si>
  <si>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</si>
  <si>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</si>
  <si>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</si>
  <si>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</si>
  <si>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</si>
  <si>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</si>
  <si>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</si>
  <si>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</si>
  <si>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</si>
  <si>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</si>
  <si>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</si>
  <si>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</si>
  <si>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</si>
  <si>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</si>
  <si>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</si>
  <si>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</si>
  <si>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M0286</t>
  </si>
  <si>
    <t>Tábua - E = 2,5 cm e L = 30 cm</t>
  </si>
  <si>
    <t>M0289</t>
  </si>
  <si>
    <t>Tábua - E = 2,5 cm e L = 15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</si>
  <si>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</si>
  <si>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</si>
  <si>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</si>
  <si>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</si>
  <si>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</si>
  <si>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</si>
  <si>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</si>
  <si>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</si>
  <si>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</si>
  <si>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</si>
  <si>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</si>
  <si>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</si>
  <si>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</si>
  <si>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</si>
  <si>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</si>
  <si>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</si>
  <si>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</si>
  <si>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</si>
  <si>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</si>
  <si>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</si>
  <si>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</si>
  <si>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</si>
  <si>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</si>
  <si>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</si>
  <si>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</si>
  <si>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</si>
  <si>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</si>
  <si>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</si>
  <si>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</si>
  <si>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</si>
  <si>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</si>
  <si>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</si>
  <si>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</si>
  <si>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</si>
  <si>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</si>
  <si>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</si>
  <si>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</si>
  <si>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</si>
  <si>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</si>
  <si>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</si>
  <si>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</si>
  <si>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</si>
  <si>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</si>
  <si>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</si>
  <si>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</si>
  <si>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</si>
  <si>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</si>
  <si>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</si>
  <si>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</si>
  <si>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</si>
  <si>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</si>
  <si>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</si>
  <si>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</si>
  <si>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</si>
  <si>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</si>
  <si>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</si>
  <si>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</si>
  <si>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</si>
  <si>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</si>
  <si>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</si>
  <si>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</si>
  <si>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</si>
  <si>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</si>
  <si>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</si>
  <si>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</si>
  <si>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</si>
  <si>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</si>
  <si>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</si>
  <si>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</si>
  <si>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</si>
  <si>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</si>
  <si>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</si>
  <si>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</si>
  <si>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</si>
  <si>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</si>
  <si>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</si>
  <si>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</si>
  <si>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</si>
  <si>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</si>
  <si>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</si>
  <si>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</si>
  <si>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</si>
  <si>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</si>
  <si>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</si>
  <si>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</si>
  <si>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</si>
  <si>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</si>
  <si>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</si>
  <si>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</si>
  <si>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</si>
  <si>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</si>
  <si>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</si>
  <si>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</si>
  <si>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</si>
  <si>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</si>
  <si>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</si>
  <si>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</si>
  <si>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</si>
  <si>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</si>
  <si>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</si>
  <si>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</si>
  <si>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</si>
  <si>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</si>
  <si>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</si>
  <si>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</si>
  <si>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</si>
  <si>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</si>
  <si>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</si>
  <si>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</si>
  <si>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</si>
  <si>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</si>
  <si>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</si>
  <si>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</si>
  <si>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</si>
  <si>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</si>
  <si>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</si>
  <si>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</si>
  <si>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</si>
  <si>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</si>
  <si>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</si>
  <si>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</si>
  <si>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</si>
  <si>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</si>
  <si>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</si>
  <si>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</si>
  <si>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</si>
  <si>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</si>
  <si>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</si>
  <si>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</si>
  <si>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</si>
  <si>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</si>
  <si>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</si>
  <si>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</si>
  <si>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</si>
  <si>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</si>
  <si>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39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</si>
  <si>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</si>
  <si>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</si>
  <si>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</si>
  <si>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</si>
  <si>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</si>
  <si>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</si>
  <si>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</si>
  <si>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</si>
  <si>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</si>
  <si>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</si>
  <si>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</si>
  <si>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</si>
  <si>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</si>
  <si>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</si>
  <si>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</si>
  <si>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</si>
  <si>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</si>
  <si>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</si>
  <si>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</si>
  <si>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</si>
  <si>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</si>
  <si>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</si>
  <si>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</si>
  <si>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</si>
  <si>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</si>
  <si>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</si>
  <si>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</si>
  <si>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</si>
  <si>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</si>
  <si>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</si>
  <si>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</si>
  <si>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</si>
  <si>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</si>
  <si>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</si>
  <si>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</si>
  <si>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</si>
  <si>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</si>
  <si>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</si>
  <si>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</si>
  <si>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</si>
  <si>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</si>
  <si>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</si>
  <si>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</si>
  <si>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</si>
  <si>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</si>
  <si>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</si>
  <si>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</si>
  <si>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</si>
  <si>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</si>
  <si>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</si>
  <si>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</si>
  <si>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</si>
  <si>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</si>
  <si>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</si>
  <si>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</si>
  <si>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</si>
  <si>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</si>
  <si>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</si>
  <si>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</si>
  <si>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</si>
  <si>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</si>
  <si>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</si>
  <si>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</si>
  <si>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</si>
  <si>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</si>
  <si>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</si>
  <si>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</si>
  <si>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</si>
  <si>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</si>
  <si>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</si>
  <si>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</si>
  <si>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</si>
  <si>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</si>
  <si>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</si>
  <si>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</si>
  <si>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</si>
  <si>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</si>
  <si>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</si>
  <si>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</si>
  <si>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</si>
  <si>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</si>
  <si>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</si>
  <si>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</si>
  <si>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</si>
  <si>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</si>
  <si>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</si>
  <si>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</si>
  <si>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</si>
  <si>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</si>
  <si>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</si>
  <si>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</si>
  <si>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</si>
  <si>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</si>
  <si>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</si>
  <si>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</si>
  <si>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</si>
  <si>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</si>
  <si>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</si>
  <si>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</si>
  <si>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</si>
  <si>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</si>
  <si>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</si>
  <si>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</si>
  <si>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</si>
  <si>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</si>
  <si>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</si>
  <si>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</si>
  <si>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</si>
  <si>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</si>
  <si>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</si>
  <si>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</si>
  <si>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</si>
  <si>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</si>
  <si>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</si>
  <si>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</si>
  <si>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</si>
  <si>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</si>
  <si>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</si>
  <si>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</si>
  <si>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</si>
  <si>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</si>
  <si>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</si>
  <si>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</si>
  <si>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</si>
  <si>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</si>
  <si>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</si>
  <si>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</si>
  <si>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</si>
  <si>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</si>
  <si>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</si>
  <si>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</si>
  <si>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</si>
  <si>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</si>
  <si>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</si>
  <si>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</si>
  <si>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</si>
  <si>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</si>
  <si>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</si>
  <si>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</si>
  <si>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</si>
  <si>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</si>
  <si>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</si>
  <si>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</si>
  <si>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</si>
  <si>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</si>
  <si>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</si>
  <si>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</si>
  <si>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</si>
  <si>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</si>
  <si>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</si>
  <si>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</si>
  <si>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</si>
  <si>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</si>
  <si>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</si>
  <si>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</si>
  <si>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</si>
  <si>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</si>
  <si>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</si>
  <si>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</si>
  <si>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</si>
  <si>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</si>
  <si>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</si>
  <si>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</si>
  <si>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</si>
  <si>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</si>
  <si>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</si>
  <si>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</si>
  <si>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</si>
  <si>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</si>
  <si>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</si>
  <si>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</si>
  <si>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</si>
  <si>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</si>
  <si>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</si>
  <si>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</si>
  <si>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</si>
  <si>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</si>
  <si>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</si>
  <si>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</si>
  <si>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</si>
  <si>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</si>
  <si>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</si>
  <si>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</si>
  <si>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</si>
  <si>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</si>
  <si>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</si>
  <si>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</si>
  <si>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</si>
  <si>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</si>
  <si>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</si>
  <si>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</si>
  <si>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</si>
  <si>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</si>
  <si>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</si>
  <si>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</si>
  <si>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</si>
  <si>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</si>
  <si>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</si>
  <si>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</si>
  <si>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</si>
  <si>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</si>
  <si>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</si>
  <si>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</si>
  <si>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</si>
  <si>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</si>
  <si>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</si>
  <si>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</si>
  <si>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</si>
  <si>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</si>
  <si>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</si>
  <si>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</si>
  <si>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</si>
  <si>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</si>
  <si>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</si>
  <si>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</si>
  <si>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</si>
  <si>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</si>
  <si>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</si>
  <si>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</si>
  <si>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</si>
  <si>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</si>
  <si>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</si>
  <si>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</si>
  <si>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</si>
  <si>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</si>
  <si>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</si>
  <si>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</si>
  <si>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</si>
  <si>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</si>
  <si>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</si>
  <si>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</si>
  <si>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</si>
  <si>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</si>
  <si>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</si>
  <si>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</si>
  <si>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</si>
  <si>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</si>
  <si>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</si>
  <si>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</si>
  <si>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</si>
  <si>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</si>
  <si>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</si>
  <si>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</si>
  <si>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</si>
  <si>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</si>
  <si>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</si>
  <si>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</si>
  <si>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</si>
  <si>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</si>
  <si>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</si>
  <si>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</si>
  <si>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</si>
  <si>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</si>
  <si>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</si>
  <si>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</si>
  <si>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</si>
  <si>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</si>
  <si>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</si>
  <si>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</si>
  <si>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</si>
  <si>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</si>
  <si>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</si>
  <si>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</si>
  <si>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</si>
  <si>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</si>
  <si>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</si>
  <si>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</si>
  <si>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</si>
  <si>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</si>
  <si>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</si>
  <si>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</si>
  <si>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</si>
  <si>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</si>
  <si>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</si>
  <si>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</si>
  <si>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</si>
  <si>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</si>
  <si>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</si>
  <si>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</si>
  <si>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</si>
  <si>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</si>
  <si>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</si>
  <si>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</si>
  <si>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</si>
  <si>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</si>
  <si>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</si>
  <si>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</si>
  <si>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</si>
  <si>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</si>
  <si>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</si>
  <si>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</si>
  <si>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</si>
  <si>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</si>
  <si>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</si>
  <si>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</si>
  <si>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</si>
  <si>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</si>
  <si>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</si>
  <si>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</si>
  <si>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</si>
  <si>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</si>
  <si>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</si>
  <si>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</si>
  <si>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</si>
  <si>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</si>
  <si>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</si>
  <si>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</si>
  <si>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</si>
  <si>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</si>
  <si>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</si>
  <si>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</si>
  <si>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</si>
  <si>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</si>
  <si>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</si>
  <si>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</si>
  <si>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</si>
  <si>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</si>
  <si>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</si>
  <si>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</si>
  <si>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</si>
  <si>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</si>
  <si>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</si>
  <si>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</si>
  <si>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</si>
  <si>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</si>
  <si>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</si>
  <si>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</si>
  <si>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</si>
  <si>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</si>
  <si>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</si>
  <si>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</si>
  <si>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</si>
  <si>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</si>
  <si>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</si>
  <si>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</si>
  <si>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</si>
  <si>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</si>
  <si>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</si>
  <si>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</si>
  <si>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</si>
  <si>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</si>
  <si>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</si>
  <si>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</si>
  <si>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</si>
  <si>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</si>
  <si>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</si>
  <si>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</si>
  <si>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</si>
  <si>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</si>
  <si>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</si>
  <si>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</si>
  <si>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</si>
  <si>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</si>
  <si>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</si>
  <si>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</si>
  <si>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</si>
  <si>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</si>
  <si>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</si>
  <si>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</si>
  <si>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</si>
  <si>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</si>
  <si>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</si>
  <si>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</si>
  <si>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</si>
  <si>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</si>
  <si>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</si>
  <si>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</si>
  <si>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</si>
  <si>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</si>
  <si>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</si>
  <si>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</si>
  <si>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</si>
  <si>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</si>
  <si>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</si>
  <si>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</si>
  <si>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</si>
  <si>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</si>
  <si>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</si>
  <si>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</si>
  <si>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</si>
  <si>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</si>
  <si>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</si>
  <si>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</si>
  <si>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</si>
  <si>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</si>
  <si>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</si>
  <si>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</si>
  <si>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</si>
  <si>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</si>
  <si>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</si>
  <si>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</si>
  <si>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</si>
  <si>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</si>
  <si>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</si>
  <si>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</si>
  <si>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</si>
  <si>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</si>
  <si>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</si>
  <si>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</si>
  <si>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</si>
  <si>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</si>
  <si>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</si>
  <si>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</si>
  <si>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</si>
  <si>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</si>
  <si>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</si>
  <si>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</si>
  <si>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</si>
  <si>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</si>
  <si>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</si>
  <si>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</si>
  <si>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</si>
  <si>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</si>
  <si>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</si>
  <si>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</si>
  <si>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</si>
  <si>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</si>
  <si>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</si>
  <si>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</si>
  <si>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</si>
  <si>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</si>
  <si>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</si>
  <si>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</si>
  <si>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</si>
  <si>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</si>
  <si>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</si>
  <si>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</si>
  <si>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</si>
  <si>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</si>
  <si>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</si>
  <si>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</si>
  <si>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</si>
  <si>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</si>
  <si>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</si>
  <si>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</si>
  <si>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</si>
  <si>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</si>
  <si>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</si>
  <si>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</si>
  <si>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</si>
  <si>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</si>
  <si>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</si>
  <si>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</si>
  <si>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</si>
  <si>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</si>
  <si>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</si>
  <si>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</si>
  <si>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</si>
  <si>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</si>
  <si>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</si>
  <si>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</si>
  <si>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</si>
  <si>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</si>
  <si>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</si>
  <si>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</si>
  <si>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</si>
  <si>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</si>
  <si>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</si>
  <si>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</si>
  <si>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</si>
  <si>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</si>
  <si>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</si>
  <si>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</si>
  <si>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</si>
  <si>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</si>
  <si>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</si>
  <si>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</si>
  <si>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</si>
  <si>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</si>
  <si>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</si>
  <si>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</si>
  <si>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</si>
  <si>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</si>
  <si>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</si>
  <si>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</si>
  <si>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</si>
  <si>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</si>
  <si>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</si>
  <si>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</si>
  <si>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</si>
  <si>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</si>
  <si>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</si>
  <si>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</si>
  <si>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</si>
  <si>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</si>
  <si>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</si>
  <si>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</si>
  <si>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</si>
  <si>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</si>
  <si>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</si>
  <si>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</si>
  <si>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</si>
  <si>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</si>
  <si>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</si>
  <si>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</si>
  <si>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</si>
  <si>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</si>
  <si>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</si>
  <si>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</si>
  <si>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</si>
  <si>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</si>
  <si>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</si>
  <si>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</si>
  <si>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</si>
  <si>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</si>
  <si>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</si>
  <si>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</si>
  <si>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</si>
  <si>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</si>
  <si>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</si>
  <si>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</si>
  <si>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</si>
  <si>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</si>
  <si>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</si>
  <si>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</si>
  <si>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</si>
  <si>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</si>
  <si>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</si>
  <si>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</si>
  <si>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</si>
  <si>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</si>
  <si>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</si>
  <si>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</si>
  <si>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</si>
  <si>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</si>
  <si>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</si>
  <si>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</si>
  <si>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</si>
  <si>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</si>
  <si>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</si>
  <si>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</si>
  <si>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</si>
  <si>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</si>
  <si>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</si>
  <si>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</si>
  <si>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</si>
  <si>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</si>
  <si>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</si>
  <si>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</si>
  <si>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</si>
  <si>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</si>
  <si>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</si>
  <si>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</si>
  <si>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</si>
  <si>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</si>
  <si>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</si>
  <si>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</si>
  <si>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</si>
  <si>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</si>
  <si>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</si>
  <si>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</si>
  <si>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</si>
  <si>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</si>
  <si>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</si>
  <si>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</si>
  <si>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</si>
  <si>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</si>
  <si>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</si>
  <si>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</si>
  <si>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</si>
  <si>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</si>
  <si>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</si>
  <si>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</si>
  <si>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</si>
  <si>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</si>
  <si>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</si>
  <si>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</si>
  <si>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</si>
  <si>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</si>
  <si>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</si>
  <si>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</si>
  <si>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</si>
  <si>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</si>
  <si>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</si>
  <si>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</si>
  <si>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</si>
  <si>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</si>
  <si>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</si>
  <si>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</si>
  <si>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</si>
  <si>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</si>
  <si>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</si>
  <si>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</si>
  <si>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</si>
  <si>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</si>
  <si>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</si>
  <si>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</si>
  <si>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</si>
  <si>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</si>
  <si>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</si>
  <si>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</si>
  <si>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</si>
  <si>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</si>
  <si>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</si>
  <si>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</si>
  <si>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</si>
  <si>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</si>
  <si>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</si>
  <si>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</si>
  <si>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</si>
  <si>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</si>
  <si>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</si>
  <si>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</si>
  <si>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</si>
  <si>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</si>
  <si>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</si>
  <si>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</si>
  <si>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</si>
  <si>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</si>
  <si>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</si>
  <si>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</si>
  <si>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</si>
  <si>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</si>
  <si>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</si>
  <si>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</si>
  <si>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</si>
  <si>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</si>
  <si>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</si>
  <si>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</si>
  <si>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</si>
  <si>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</si>
  <si>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</si>
  <si>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</si>
  <si>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</si>
  <si>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</si>
  <si>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</si>
  <si>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</si>
  <si>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</si>
  <si>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</si>
  <si>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</si>
  <si>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</si>
  <si>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</si>
  <si>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</si>
  <si>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</si>
  <si>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</si>
  <si>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</si>
  <si>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</si>
  <si>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</si>
  <si>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</si>
  <si>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</si>
  <si>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</si>
  <si>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</si>
  <si>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</si>
  <si>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</si>
  <si>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</si>
  <si>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</si>
  <si>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</si>
  <si>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</si>
  <si>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</si>
  <si>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</si>
  <si>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</si>
  <si>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</si>
  <si>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</si>
  <si>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</si>
  <si>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</si>
  <si>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</si>
  <si>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</si>
  <si>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</si>
  <si>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</si>
  <si>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</si>
  <si>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</si>
  <si>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</si>
  <si>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</si>
  <si>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</si>
  <si>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</si>
  <si>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</si>
  <si>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</si>
  <si>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</si>
  <si>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</si>
  <si>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</si>
  <si>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</si>
  <si>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</si>
  <si>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</si>
  <si>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</si>
  <si>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</si>
  <si>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para martelo de fundo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</si>
  <si>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</si>
  <si>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</si>
  <si>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</si>
  <si>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</si>
  <si>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</si>
  <si>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</si>
  <si>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</si>
  <si>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</si>
  <si>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</si>
  <si>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</si>
  <si>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</si>
  <si>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</si>
  <si>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</si>
  <si>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</si>
  <si>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</si>
  <si>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</si>
  <si>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</si>
  <si>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</si>
  <si>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</si>
  <si>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</si>
  <si>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</si>
  <si>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</si>
  <si>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</si>
  <si>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</si>
  <si>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</si>
  <si>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</si>
  <si>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</si>
  <si>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</si>
  <si>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</si>
  <si>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</si>
  <si>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</si>
  <si>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</si>
  <si>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</si>
  <si>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</si>
  <si>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</si>
  <si>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</si>
  <si>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</si>
  <si>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</si>
  <si>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</si>
  <si>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</si>
  <si>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</si>
  <si>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</si>
  <si>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</si>
  <si>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</si>
  <si>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</si>
  <si>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</si>
  <si>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</si>
  <si>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</si>
  <si>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</si>
  <si>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</si>
  <si>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</si>
  <si>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</si>
  <si>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</si>
  <si>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</si>
  <si>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</si>
  <si>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</si>
  <si>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</si>
  <si>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</si>
  <si>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</si>
  <si>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</si>
  <si>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</si>
  <si>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</si>
  <si>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</si>
  <si>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</si>
  <si>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</si>
  <si>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</si>
  <si>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</si>
  <si>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</si>
  <si>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</si>
  <si>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</si>
  <si>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</si>
  <si>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</si>
  <si>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</si>
  <si>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</si>
  <si>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</si>
  <si>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</si>
  <si>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</si>
  <si>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</si>
  <si>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</si>
  <si>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</si>
  <si>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</si>
  <si>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</si>
  <si>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</si>
  <si>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</si>
  <si>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</si>
  <si>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</si>
  <si>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</si>
  <si>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</si>
  <si>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</si>
  <si>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</si>
  <si>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</si>
  <si>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</si>
  <si>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</si>
  <si>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</si>
  <si>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</si>
  <si>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</si>
  <si>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</si>
  <si>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</si>
  <si>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</si>
  <si>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410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</si>
  <si>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</si>
  <si>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</si>
  <si>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</si>
  <si>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</si>
  <si>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</si>
  <si>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</si>
  <si>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</si>
  <si>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</si>
  <si>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</si>
  <si>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</si>
  <si>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</si>
  <si>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</si>
  <si>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</si>
  <si>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</si>
  <si>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</si>
  <si>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</si>
  <si>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</si>
  <si>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</si>
  <si>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</si>
  <si>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</si>
  <si>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</si>
  <si>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</si>
  <si>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</si>
  <si>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</si>
  <si>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</si>
  <si>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</si>
  <si>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</si>
  <si>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</si>
  <si>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</si>
  <si>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</si>
  <si>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</si>
  <si>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</si>
  <si>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</si>
  <si>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</si>
  <si>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</si>
  <si>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</si>
  <si>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</si>
  <si>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</si>
  <si>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</si>
  <si>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</si>
  <si>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</si>
  <si>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</si>
  <si>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</si>
  <si>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</si>
  <si>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</si>
  <si>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velocidade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</si>
  <si>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</si>
  <si>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</si>
  <si>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</si>
  <si>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</si>
  <si>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</si>
  <si>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</si>
  <si>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</si>
  <si>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</si>
  <si>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</si>
  <si>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</si>
  <si>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</si>
  <si>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</si>
  <si>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</si>
  <si>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</si>
  <si>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</si>
  <si>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</si>
  <si>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</si>
  <si>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</si>
  <si>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</si>
  <si>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</si>
  <si>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</si>
  <si>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</si>
  <si>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</si>
  <si>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</si>
  <si>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</si>
  <si>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</si>
  <si>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</si>
  <si>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</si>
  <si>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</si>
  <si>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</si>
  <si>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</si>
  <si>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</si>
  <si>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</si>
  <si>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</si>
  <si>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</si>
  <si>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</si>
  <si>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</si>
  <si>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</si>
  <si>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</si>
  <si>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</si>
  <si>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</si>
  <si>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</si>
  <si>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</si>
  <si>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</si>
  <si>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</si>
  <si>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</si>
  <si>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</si>
  <si>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</si>
  <si>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</si>
  <si>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</si>
  <si>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</si>
  <si>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</si>
  <si>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</si>
  <si>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</si>
  <si>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</si>
  <si>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</si>
  <si>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</si>
  <si>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</si>
  <si>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</si>
  <si>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</si>
  <si>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</si>
  <si>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</si>
  <si>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</si>
  <si>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</si>
  <si>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</si>
  <si>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</si>
  <si>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</si>
  <si>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</si>
  <si>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</si>
  <si>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</si>
  <si>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</si>
  <si>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</si>
  <si>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</si>
  <si>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</si>
  <si>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</si>
  <si>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</si>
  <si>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</si>
  <si>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</si>
  <si>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</si>
  <si>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</si>
  <si>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</si>
  <si>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</si>
  <si>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</si>
  <si>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</si>
  <si>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</si>
  <si>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</si>
  <si>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</si>
  <si>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</si>
  <si>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</si>
  <si>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</si>
  <si>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</si>
  <si>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</si>
  <si>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</si>
  <si>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</si>
  <si>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</si>
  <si>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</si>
  <si>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</si>
  <si>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</si>
  <si>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</si>
  <si>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</si>
  <si>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</si>
  <si>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</si>
  <si>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</si>
  <si>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</si>
  <si>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</si>
  <si>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</si>
  <si>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</si>
  <si>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</si>
  <si>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</si>
  <si>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</si>
  <si>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</si>
  <si>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</si>
  <si>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</si>
  <si>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</si>
  <si>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</si>
  <si>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</si>
  <si>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</si>
  <si>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</si>
  <si>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</si>
  <si>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</si>
  <si>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</si>
  <si>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</si>
  <si>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</si>
  <si>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</si>
  <si>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</si>
  <si>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</si>
  <si>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</si>
  <si>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</si>
  <si>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</si>
  <si>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</si>
  <si>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</si>
  <si>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</si>
  <si>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</si>
  <si>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</si>
  <si>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</si>
  <si>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</si>
  <si>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</si>
  <si>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</si>
  <si>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</si>
  <si>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</si>
  <si>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</si>
  <si>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</si>
  <si>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</si>
  <si>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</si>
  <si>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</si>
  <si>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</si>
  <si>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</si>
  <si>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</si>
  <si>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</si>
  <si>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</si>
  <si>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</si>
  <si>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</si>
  <si>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</si>
  <si>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</si>
  <si>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</si>
  <si>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</si>
  <si>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</si>
  <si>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</si>
  <si>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</si>
  <si>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</si>
  <si>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</si>
  <si>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</si>
  <si>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</si>
  <si>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</si>
  <si>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</si>
  <si>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</si>
  <si>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</si>
  <si>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</si>
  <si>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</si>
  <si>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</si>
  <si>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</si>
  <si>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</si>
  <si>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</si>
  <si>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</si>
  <si>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</si>
  <si>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</si>
  <si>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</si>
  <si>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</si>
  <si>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</si>
  <si>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</si>
  <si>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</si>
  <si>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</si>
  <si>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</si>
  <si>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</si>
  <si>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</si>
  <si>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</si>
  <si>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</si>
  <si>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</si>
  <si>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</si>
  <si>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</si>
  <si>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</si>
  <si>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</si>
  <si>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</si>
  <si>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</si>
  <si>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</si>
  <si>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</si>
  <si>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</si>
  <si>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</si>
  <si>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</si>
  <si>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</si>
  <si>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</si>
  <si>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</si>
  <si>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</si>
  <si>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</si>
  <si>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</si>
  <si>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</si>
  <si>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</si>
  <si>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</si>
  <si>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</si>
  <si>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</si>
  <si>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</si>
  <si>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</si>
  <si>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</si>
  <si>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</si>
  <si>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</si>
  <si>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</si>
  <si>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</si>
  <si>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</si>
  <si>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</si>
  <si>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</si>
  <si>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</si>
  <si>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</si>
  <si>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</si>
  <si>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</si>
  <si>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M2162</t>
  </si>
  <si>
    <t>Coroa de widia linha AWG</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</si>
  <si>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</si>
  <si>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</si>
  <si>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</si>
  <si>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</si>
  <si>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</si>
  <si>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</si>
  <si>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</si>
  <si>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</si>
  <si>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</si>
  <si>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</si>
  <si>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</si>
  <si>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</si>
  <si>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</si>
  <si>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</si>
  <si>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</si>
  <si>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</si>
  <si>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</si>
  <si>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</si>
  <si>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</si>
  <si>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</si>
  <si>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</si>
  <si>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</si>
  <si>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</si>
  <si>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</si>
  <si>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</si>
  <si>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</si>
  <si>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</si>
  <si>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</si>
  <si>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</si>
  <si>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</si>
  <si>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</si>
  <si>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</si>
  <si>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</si>
  <si>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</si>
  <si>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</si>
  <si>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</si>
  <si>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</si>
  <si>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</si>
  <si>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</si>
  <si>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</si>
  <si>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</si>
  <si>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</si>
  <si>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</si>
  <si>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</si>
  <si>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</si>
  <si>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</si>
  <si>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</si>
  <si>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</si>
  <si>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</si>
  <si>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</si>
  <si>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</si>
  <si>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</si>
  <si>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</si>
  <si>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</si>
  <si>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</si>
  <si>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</si>
  <si>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</si>
  <si>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</si>
  <si>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</si>
  <si>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</si>
  <si>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</si>
  <si>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</si>
  <si>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</si>
  <si>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</si>
  <si>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</si>
  <si>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</si>
  <si>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</si>
  <si>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</si>
  <si>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</si>
  <si>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</si>
  <si>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</si>
  <si>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</si>
  <si>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</si>
  <si>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</si>
  <si>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</si>
  <si>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</si>
  <si>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</si>
  <si>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</si>
  <si>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</si>
  <si>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</si>
  <si>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</si>
  <si>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</si>
  <si>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</si>
  <si>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</si>
  <si>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</si>
  <si>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</si>
  <si>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</si>
  <si>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</si>
  <si>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</si>
  <si>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</si>
  <si>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</si>
  <si>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</si>
  <si>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</si>
  <si>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</si>
  <si>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</si>
  <si>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</si>
  <si>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</si>
  <si>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</si>
  <si>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</si>
  <si>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</si>
  <si>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</si>
  <si>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</si>
  <si>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</si>
  <si>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</si>
  <si>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</si>
  <si>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</si>
  <si>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</si>
  <si>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</si>
  <si>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</si>
  <si>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</si>
  <si>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</si>
  <si>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</si>
  <si>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</si>
  <si>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</si>
  <si>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</si>
  <si>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</si>
  <si>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</si>
  <si>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</si>
  <si>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</si>
  <si>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</si>
  <si>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</si>
  <si>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</si>
  <si>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</si>
  <si>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</si>
  <si>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</si>
  <si>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</si>
  <si>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</si>
  <si>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</si>
  <si>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</si>
  <si>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</si>
  <si>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</si>
  <si>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</si>
  <si>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</si>
  <si>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</si>
  <si>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</si>
  <si>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</si>
  <si>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</si>
  <si>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</si>
  <si>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</si>
  <si>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</si>
  <si>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</si>
  <si>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</si>
  <si>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</si>
  <si>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</si>
  <si>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</si>
  <si>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</si>
  <si>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</si>
  <si>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</si>
  <si>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</si>
  <si>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</si>
  <si>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</si>
  <si>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</si>
  <si>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</si>
  <si>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</si>
  <si>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</si>
  <si>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</si>
  <si>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</si>
  <si>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</si>
  <si>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</si>
  <si>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</si>
  <si>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</si>
  <si>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</si>
  <si>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</si>
  <si>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</si>
  <si>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</si>
  <si>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</si>
  <si>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</si>
  <si>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</si>
  <si>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</si>
  <si>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</si>
  <si>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</si>
  <si>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</si>
  <si>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</si>
  <si>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</si>
  <si>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</si>
  <si>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</si>
  <si>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</si>
  <si>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</si>
  <si>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</si>
  <si>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</si>
  <si>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</si>
  <si>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</si>
  <si>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</si>
  <si>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</si>
  <si>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</si>
  <si>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</si>
  <si>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</si>
  <si>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</si>
  <si>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</si>
  <si>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</si>
  <si>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</si>
  <si>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</si>
  <si>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</si>
  <si>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</si>
  <si>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</si>
  <si>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</si>
  <si>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</si>
  <si>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</si>
  <si>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</si>
  <si>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</si>
  <si>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</si>
  <si>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</si>
  <si>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</si>
  <si>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</si>
  <si>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</si>
  <si>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</si>
  <si>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</si>
  <si>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</si>
  <si>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</si>
  <si>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</si>
  <si>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</si>
  <si>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</si>
  <si>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</si>
  <si>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</si>
  <si>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</si>
  <si>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</si>
  <si>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</si>
  <si>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</si>
  <si>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</si>
  <si>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</si>
  <si>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</si>
  <si>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</si>
  <si>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</si>
  <si>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</si>
  <si>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</si>
  <si>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</si>
  <si>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</si>
  <si>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</si>
  <si>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</si>
  <si>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</si>
  <si>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</si>
  <si>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</si>
  <si>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</si>
  <si>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</si>
  <si>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</si>
  <si>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</si>
  <si>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</si>
  <si>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</si>
  <si>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</si>
  <si>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</si>
  <si>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</si>
  <si>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</si>
  <si>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</si>
  <si>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</si>
  <si>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</si>
  <si>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</si>
  <si>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</si>
  <si>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</si>
  <si>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</si>
  <si>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</si>
  <si>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</si>
  <si>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</si>
  <si>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</si>
  <si>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</si>
  <si>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</si>
  <si>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</si>
  <si>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</si>
  <si>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</si>
  <si>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</si>
  <si>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</si>
  <si>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</si>
  <si>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</si>
  <si>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</si>
  <si>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</si>
  <si>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</si>
  <si>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</si>
  <si>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</si>
  <si>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</si>
  <si>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</si>
  <si>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</si>
  <si>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</si>
  <si>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</si>
  <si>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</si>
  <si>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</si>
  <si>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</si>
  <si>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</si>
  <si>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</si>
  <si>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</si>
  <si>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</si>
  <si>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</si>
  <si>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</si>
  <si>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</si>
  <si>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</si>
  <si>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</si>
  <si>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</si>
  <si>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</si>
  <si>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</si>
  <si>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</si>
  <si>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</si>
  <si>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</si>
  <si>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</si>
  <si>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</si>
  <si>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</si>
  <si>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</si>
  <si>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</si>
  <si>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</si>
  <si>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</si>
  <si>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</si>
  <si>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</si>
  <si>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</si>
  <si>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</si>
  <si>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</si>
  <si>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</si>
  <si>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</si>
  <si>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</si>
  <si>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</si>
  <si>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</si>
  <si>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</si>
  <si>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</si>
  <si>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</si>
  <si>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</si>
  <si>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</si>
  <si>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</si>
  <si>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</si>
  <si>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</si>
  <si>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</si>
  <si>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</si>
  <si>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</si>
  <si>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</si>
  <si>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</si>
  <si>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</si>
  <si>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</si>
  <si>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</si>
  <si>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</si>
  <si>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</si>
  <si>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</si>
  <si>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</si>
  <si>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</si>
  <si>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</si>
  <si>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</si>
  <si>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</si>
  <si>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</si>
  <si>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</si>
  <si>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</si>
  <si>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</si>
  <si>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</si>
  <si>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</si>
  <si>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</si>
  <si>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</si>
  <si>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</si>
  <si>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</si>
  <si>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</si>
  <si>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</si>
  <si>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</si>
  <si>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</si>
  <si>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</si>
  <si>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</si>
  <si>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</si>
  <si>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</si>
  <si>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</si>
  <si>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</si>
  <si>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</si>
  <si>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</si>
  <si>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</si>
  <si>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</si>
  <si>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</si>
  <si>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</si>
  <si>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</si>
  <si>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</si>
  <si>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</si>
  <si>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</si>
  <si>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</si>
  <si>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</si>
  <si>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</si>
  <si>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</si>
  <si>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</si>
  <si>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</si>
  <si>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</si>
  <si>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</si>
  <si>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</si>
  <si>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</si>
  <si>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</si>
  <si>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</si>
  <si>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</si>
  <si>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</si>
  <si>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</si>
  <si>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</si>
  <si>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</si>
  <si>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</si>
  <si>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</si>
  <si>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</si>
  <si>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</si>
  <si>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</si>
  <si>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</si>
  <si>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</si>
  <si>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</si>
  <si>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</si>
  <si>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</si>
  <si>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</si>
  <si>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</si>
  <si>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</si>
  <si>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</si>
  <si>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</si>
  <si>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</si>
  <si>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</si>
  <si>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</si>
  <si>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</si>
  <si>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</si>
  <si>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</si>
  <si>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</si>
  <si>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</si>
  <si>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</si>
  <si>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</si>
  <si>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</si>
  <si>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</si>
  <si>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</si>
  <si>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</si>
  <si>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</si>
  <si>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</si>
  <si>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</si>
  <si>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</si>
  <si>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</si>
  <si>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</si>
  <si>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</si>
  <si>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</si>
  <si>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</si>
  <si>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</si>
  <si>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</si>
  <si>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</si>
  <si>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</si>
  <si>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</si>
  <si>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</si>
  <si>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</si>
  <si>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</si>
  <si>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</si>
  <si>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</si>
  <si>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</si>
  <si>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</si>
  <si>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</si>
  <si>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</si>
  <si>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</si>
  <si>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</si>
  <si>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</si>
  <si>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</si>
  <si>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</si>
  <si>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</si>
  <si>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</si>
  <si>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</si>
  <si>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</si>
  <si>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</si>
  <si>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</si>
  <si>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</si>
  <si>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</si>
  <si>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</si>
  <si>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</si>
  <si>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</si>
  <si>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</si>
  <si>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</si>
  <si>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</si>
  <si>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</si>
  <si>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</si>
  <si>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</si>
  <si>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</si>
  <si>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</si>
  <si>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</si>
  <si>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</si>
  <si>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</si>
  <si>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</si>
  <si>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</si>
  <si>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</si>
  <si>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</si>
  <si>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</si>
  <si>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</si>
  <si>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</si>
  <si>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</si>
  <si>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</si>
  <si>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</si>
  <si>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</si>
  <si>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</si>
  <si>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</si>
  <si>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</si>
  <si>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</si>
  <si>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</si>
  <si>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</si>
  <si>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</si>
  <si>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</si>
  <si>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</si>
  <si>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</si>
  <si>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</si>
  <si>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</si>
  <si>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</si>
  <si>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</si>
  <si>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</si>
  <si>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</si>
  <si>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</si>
  <si>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</si>
  <si>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</si>
  <si>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</si>
  <si>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</si>
  <si>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</si>
  <si>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</si>
  <si>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</si>
  <si>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</si>
  <si>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</si>
  <si>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</si>
  <si>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</si>
  <si>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</si>
  <si>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</si>
  <si>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</si>
  <si>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</si>
  <si>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</si>
  <si>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</si>
  <si>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</si>
  <si>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</si>
  <si>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</si>
  <si>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</si>
  <si>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</si>
  <si>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</si>
  <si>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</si>
  <si>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</si>
  <si>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</si>
  <si>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</si>
  <si>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</si>
  <si>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</si>
  <si>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</si>
  <si>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</si>
  <si>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</si>
  <si>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</si>
  <si>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</si>
  <si>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</si>
  <si>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</si>
  <si>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</si>
  <si>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</si>
  <si>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</si>
  <si>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</si>
  <si>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</si>
  <si>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</si>
  <si>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</si>
  <si>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</si>
  <si>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</si>
  <si>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</si>
  <si>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</si>
  <si>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</si>
  <si>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</si>
  <si>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</si>
  <si>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</si>
  <si>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</si>
  <si>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</si>
  <si>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</si>
  <si>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</si>
  <si>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</si>
  <si>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</si>
  <si>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</si>
  <si>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</si>
  <si>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</si>
  <si>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</si>
  <si>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</si>
  <si>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</si>
  <si>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</si>
  <si>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</si>
  <si>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</si>
  <si>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</si>
  <si>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</si>
  <si>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</si>
  <si>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</si>
  <si>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</si>
  <si>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</si>
  <si>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</si>
  <si>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</si>
  <si>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</si>
  <si>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</si>
  <si>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</si>
  <si>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</si>
  <si>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</si>
  <si>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</si>
  <si>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</si>
  <si>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</si>
  <si>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</si>
  <si>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</si>
  <si>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</si>
  <si>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</si>
  <si>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</si>
  <si>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</si>
  <si>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</si>
  <si>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</si>
  <si>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</si>
  <si>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</si>
  <si>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</si>
  <si>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</si>
  <si>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</si>
  <si>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</si>
  <si>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</si>
  <si>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</si>
  <si>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</si>
  <si>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</si>
  <si>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</si>
  <si>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</si>
  <si>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</si>
  <si>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</si>
  <si>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</si>
  <si>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</si>
  <si>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</si>
  <si>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</si>
  <si>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</si>
  <si>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</si>
  <si>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</si>
  <si>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</si>
  <si>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</si>
  <si>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</si>
  <si>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</si>
  <si>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</si>
  <si>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</si>
  <si>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</si>
  <si>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</si>
  <si>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</si>
  <si>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</si>
  <si>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</si>
  <si>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</si>
  <si>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</si>
  <si>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</si>
  <si>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</si>
  <si>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</si>
  <si>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</si>
  <si>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</si>
  <si>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</si>
  <si>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</si>
  <si>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</si>
  <si>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</si>
  <si>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</si>
  <si>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</si>
  <si>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</si>
  <si>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</si>
  <si>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</si>
  <si>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</si>
  <si>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</si>
  <si>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</si>
  <si>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</si>
  <si>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</si>
  <si>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</si>
  <si>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</si>
  <si>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</si>
  <si>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</si>
  <si>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</si>
  <si>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</si>
  <si>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</si>
  <si>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</si>
  <si>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</si>
  <si>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</si>
  <si>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</si>
  <si>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</si>
  <si>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</si>
  <si>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</si>
  <si>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</si>
  <si>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</si>
  <si>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</si>
  <si>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</si>
  <si>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</si>
  <si>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</si>
  <si>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</si>
  <si>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</si>
  <si>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</si>
  <si>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</si>
  <si>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</si>
  <si>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</si>
  <si>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</si>
  <si>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</si>
  <si>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</si>
  <si>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</si>
  <si>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</si>
  <si>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</si>
  <si>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</si>
  <si>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</si>
  <si>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</si>
  <si>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</si>
  <si>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</si>
  <si>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</si>
  <si>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</si>
  <si>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</si>
  <si>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</si>
  <si>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</si>
  <si>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</si>
  <si>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</si>
  <si>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</si>
  <si>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</si>
  <si>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</si>
  <si>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</si>
  <si>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</si>
  <si>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</si>
  <si>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</si>
  <si>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</si>
  <si>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</si>
  <si>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</si>
  <si>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</si>
  <si>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</si>
  <si>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</si>
  <si>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</si>
  <si>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</si>
  <si>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</si>
  <si>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</si>
  <si>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</si>
  <si>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</si>
  <si>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</si>
  <si>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</si>
  <si>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</si>
  <si>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</si>
  <si>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</si>
  <si>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</si>
  <si>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</si>
  <si>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</si>
  <si>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</si>
  <si>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</si>
  <si>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</si>
  <si>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</si>
  <si>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</si>
  <si>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</si>
  <si>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</si>
  <si>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</si>
  <si>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</si>
  <si>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</si>
  <si>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</si>
  <si>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</si>
  <si>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</si>
  <si>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</si>
  <si>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</si>
  <si>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</si>
  <si>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</si>
  <si>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</si>
  <si>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</si>
  <si>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</si>
  <si>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</si>
  <si>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</si>
  <si>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</si>
  <si>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</si>
  <si>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</si>
  <si>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</si>
  <si>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</si>
  <si>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</si>
  <si>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</si>
  <si>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</si>
  <si>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</si>
  <si>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</si>
  <si>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</si>
  <si>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</si>
  <si>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</si>
  <si>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</si>
  <si>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</si>
  <si>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</si>
  <si>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</si>
  <si>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</si>
  <si>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</si>
  <si>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</si>
  <si>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</si>
  <si>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</si>
  <si>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</si>
  <si>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</si>
  <si>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</si>
  <si>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</si>
  <si>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</si>
  <si>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</si>
  <si>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</si>
  <si>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</si>
  <si>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</si>
  <si>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</si>
  <si>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</si>
  <si>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</si>
  <si>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</si>
  <si>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</si>
  <si>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</si>
  <si>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</si>
  <si>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</si>
  <si>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</si>
  <si>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</si>
  <si>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</si>
  <si>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</si>
  <si>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</si>
  <si>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</si>
  <si>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</si>
  <si>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</si>
  <si>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</si>
  <si>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</si>
  <si>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</si>
  <si>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</si>
  <si>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</si>
  <si>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</si>
  <si>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</si>
  <si>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</si>
  <si>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</si>
  <si>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</si>
  <si>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</si>
  <si>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</si>
  <si>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</si>
  <si>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</si>
  <si>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</si>
  <si>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</si>
  <si>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</si>
  <si>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</si>
  <si>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</si>
  <si>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</si>
  <si>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</si>
  <si>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</si>
  <si>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</si>
  <si>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</si>
  <si>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</si>
  <si>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</si>
  <si>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</si>
  <si>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</si>
  <si>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</si>
  <si>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</si>
  <si>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</si>
  <si>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</si>
  <si>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</si>
  <si>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</si>
  <si>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</si>
  <si>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</si>
  <si>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</si>
  <si>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</si>
  <si>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</si>
  <si>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</si>
  <si>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</si>
  <si>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</si>
  <si>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</si>
  <si>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</si>
  <si>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</si>
  <si>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</si>
  <si>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</si>
  <si>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</si>
  <si>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</si>
  <si>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</si>
  <si>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</si>
  <si>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</si>
  <si>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</si>
  <si>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</si>
  <si>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</si>
  <si>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</si>
  <si>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</si>
  <si>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</si>
  <si>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</si>
  <si>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</si>
  <si>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</si>
  <si>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</si>
  <si>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</si>
  <si>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</si>
  <si>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</si>
  <si>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</si>
  <si>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</si>
  <si>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</si>
  <si>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</si>
  <si>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</si>
  <si>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</si>
  <si>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</si>
  <si>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</si>
  <si>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</si>
  <si>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</si>
  <si>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</si>
  <si>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</si>
  <si>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</si>
  <si>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</si>
  <si>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</si>
  <si>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</si>
  <si>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</si>
  <si>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</si>
  <si>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</si>
  <si>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</si>
  <si>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</si>
  <si>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</si>
  <si>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</si>
  <si>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</si>
  <si>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</si>
  <si>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</si>
  <si>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</si>
  <si>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</si>
  <si>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</si>
  <si>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</si>
  <si>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</si>
  <si>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</si>
  <si>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</si>
  <si>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</si>
  <si>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</si>
  <si>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</si>
  <si>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</si>
  <si>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</si>
  <si>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</si>
  <si>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</si>
  <si>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</si>
  <si>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</si>
  <si>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</si>
  <si>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</si>
  <si>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</si>
  <si>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</si>
  <si>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</si>
  <si>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</si>
  <si>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</si>
  <si>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</si>
  <si>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</si>
  <si>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</si>
  <si>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</si>
  <si>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</si>
  <si>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</si>
  <si>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</si>
  <si>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</si>
  <si>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</si>
  <si>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</si>
  <si>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</si>
  <si>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</si>
  <si>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</si>
  <si>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</si>
  <si>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</si>
  <si>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</si>
  <si>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</si>
  <si>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</si>
  <si>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</si>
  <si>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</si>
  <si>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</si>
  <si>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</si>
  <si>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</si>
  <si>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</si>
  <si>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</si>
  <si>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</si>
  <si>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</si>
  <si>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</si>
  <si>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</si>
  <si>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</si>
  <si>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</si>
  <si>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</si>
  <si>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</si>
  <si>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</si>
  <si>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</si>
  <si>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</si>
  <si>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</si>
  <si>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</si>
  <si>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</si>
  <si>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</si>
  <si>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</si>
  <si>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</si>
  <si>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</si>
  <si>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</si>
  <si>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</si>
  <si>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</si>
  <si>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</si>
  <si>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</si>
  <si>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</si>
  <si>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</si>
  <si>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</si>
  <si>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</si>
  <si>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</si>
  <si>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</si>
  <si>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</si>
  <si>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</si>
  <si>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</si>
  <si>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</si>
  <si>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</si>
  <si>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</si>
  <si>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</si>
  <si>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</si>
  <si>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</si>
  <si>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</si>
  <si>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</si>
  <si>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</si>
  <si>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</si>
  <si>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</si>
  <si>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</si>
  <si>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</si>
  <si>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</si>
  <si>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</si>
  <si>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</si>
  <si>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</si>
  <si>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</si>
  <si>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</si>
  <si>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</si>
  <si>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</si>
  <si>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</si>
  <si>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</si>
  <si>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</si>
  <si>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</si>
  <si>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</si>
  <si>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</si>
  <si>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</si>
  <si>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</si>
  <si>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</si>
  <si>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</si>
  <si>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</si>
  <si>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</si>
  <si>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</si>
  <si>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</si>
  <si>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</si>
  <si>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</si>
  <si>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</si>
  <si>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</si>
  <si>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</si>
  <si>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</si>
  <si>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</si>
  <si>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</si>
  <si>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</si>
  <si>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</si>
  <si>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</si>
  <si>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</si>
  <si>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</si>
  <si>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</si>
  <si>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</si>
  <si>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</si>
  <si>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</si>
  <si>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</si>
  <si>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</si>
  <si>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</si>
  <si>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</si>
  <si>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</si>
  <si>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</si>
  <si>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</si>
  <si>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</si>
  <si>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</si>
  <si>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</si>
  <si>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</si>
  <si>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</si>
  <si>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</si>
  <si>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</si>
  <si>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</si>
  <si>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</si>
  <si>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</si>
  <si>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</si>
  <si>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</si>
  <si>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</si>
  <si>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</si>
  <si>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</si>
  <si>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</si>
  <si>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</si>
  <si>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</si>
  <si>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</si>
  <si>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</si>
  <si>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</si>
  <si>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</si>
  <si>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</si>
  <si>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</si>
  <si>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</si>
  <si>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</si>
  <si>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</si>
  <si>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</si>
  <si>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</si>
  <si>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</si>
  <si>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</si>
  <si>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</si>
  <si>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</si>
  <si>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</si>
  <si>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</si>
  <si>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</si>
  <si>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</si>
  <si>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</si>
  <si>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</si>
  <si>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</si>
  <si>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</si>
  <si>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</si>
  <si>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</si>
  <si>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</si>
  <si>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</si>
  <si>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</si>
  <si>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</si>
  <si>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</si>
  <si>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</si>
  <si>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</si>
  <si>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</si>
  <si>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</si>
  <si>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</si>
  <si>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</si>
  <si>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</si>
  <si>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</si>
  <si>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</si>
  <si>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</si>
  <si>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</si>
  <si>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</si>
  <si>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</si>
  <si>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</si>
  <si>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</si>
  <si>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</si>
  <si>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</si>
  <si>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</si>
  <si>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</si>
  <si>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</si>
  <si>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</si>
  <si>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</si>
  <si>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</si>
  <si>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</si>
  <si>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</si>
  <si>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</si>
  <si>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</si>
  <si>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</si>
  <si>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</si>
  <si>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</si>
  <si>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</si>
  <si>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</si>
  <si>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</si>
  <si>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</si>
  <si>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</si>
  <si>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</si>
  <si>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</si>
  <si>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</si>
  <si>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</si>
  <si>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</si>
  <si>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</si>
  <si>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</si>
  <si>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</si>
  <si>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</si>
  <si>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</si>
  <si>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</si>
  <si>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</si>
  <si>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</si>
  <si>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</si>
  <si>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</si>
  <si>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</si>
  <si>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</si>
  <si>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</si>
  <si>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</si>
  <si>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</si>
  <si>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</si>
  <si>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</si>
  <si>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</si>
  <si>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</si>
  <si>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</si>
  <si>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</si>
  <si>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</si>
  <si>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</si>
  <si>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</si>
  <si>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</si>
  <si>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</si>
  <si>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</si>
  <si>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</si>
  <si>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</si>
  <si>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</si>
  <si>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</si>
  <si>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</si>
  <si>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</si>
  <si>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</si>
  <si>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</si>
  <si>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</si>
  <si>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</si>
  <si>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</si>
  <si>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</si>
  <si>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</si>
  <si>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</si>
  <si>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</si>
  <si>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</si>
  <si>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</si>
  <si>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</si>
  <si>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</si>
  <si>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</si>
  <si>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</si>
  <si>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</si>
  <si>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</si>
  <si>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</si>
  <si>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</si>
  <si>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</si>
  <si>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</si>
  <si>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</si>
  <si>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</si>
  <si>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</si>
  <si>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</si>
  <si>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</si>
  <si>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</si>
  <si>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</si>
  <si>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</si>
  <si>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</si>
  <si>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</si>
  <si>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</si>
  <si>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</si>
  <si>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</si>
  <si>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</si>
  <si>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</si>
  <si>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</si>
  <si>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</si>
  <si>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</si>
  <si>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</si>
  <si>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</si>
  <si>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</si>
  <si>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</si>
  <si>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</si>
  <si>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</si>
  <si>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</si>
  <si>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</si>
  <si>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</si>
  <si>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</si>
  <si>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</si>
  <si>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</si>
  <si>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</si>
  <si>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</si>
  <si>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</si>
  <si>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</si>
  <si>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</si>
  <si>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</si>
  <si>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</si>
  <si>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</si>
  <si>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</si>
  <si>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</si>
  <si>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</si>
  <si>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</si>
  <si>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</si>
  <si>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</si>
  <si>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</si>
  <si>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</si>
  <si>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</si>
  <si>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</si>
  <si>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</si>
  <si>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</si>
  <si>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</si>
  <si>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</si>
  <si>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</si>
  <si>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</si>
  <si>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</si>
  <si>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</si>
  <si>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</si>
  <si>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</si>
  <si>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</si>
  <si>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</si>
  <si>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</si>
  <si>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</si>
  <si>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</si>
  <si>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</si>
  <si>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</si>
  <si>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</si>
  <si>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</si>
  <si>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</si>
  <si>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</si>
  <si>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</si>
  <si>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</si>
  <si>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</si>
  <si>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</si>
  <si>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</si>
  <si>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</si>
  <si>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</si>
  <si>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</si>
  <si>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</si>
  <si>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</si>
  <si>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</si>
  <si>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</si>
  <si>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</si>
  <si>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</si>
  <si>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</si>
  <si>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</si>
  <si>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</si>
  <si>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</si>
  <si>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</si>
  <si>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</si>
  <si>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</si>
  <si>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</si>
  <si>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</si>
  <si>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</si>
  <si>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</si>
  <si>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</si>
  <si>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</si>
  <si>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</si>
  <si>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</si>
  <si>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</si>
  <si>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</si>
  <si>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</si>
  <si>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</si>
  <si>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</si>
  <si>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</si>
  <si>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</si>
  <si>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</si>
  <si>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</si>
  <si>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</si>
  <si>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</si>
  <si>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</si>
  <si>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</si>
  <si>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</si>
  <si>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</si>
  <si>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</si>
  <si>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</si>
  <si>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</si>
  <si>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</si>
  <si>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</si>
  <si>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</si>
  <si>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</si>
  <si>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</si>
  <si>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</si>
  <si>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</si>
  <si>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</si>
  <si>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</si>
  <si>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</si>
  <si>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</si>
  <si>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</si>
  <si>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</si>
  <si>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</si>
  <si>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</si>
  <si>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</si>
  <si>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</si>
  <si>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</si>
  <si>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</si>
  <si>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</si>
  <si>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</si>
  <si>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</si>
  <si>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</si>
  <si>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</si>
  <si>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</si>
  <si>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</si>
  <si>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</si>
  <si>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</si>
  <si>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</si>
  <si>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</si>
  <si>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</si>
  <si>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</si>
  <si>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</si>
  <si>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</si>
  <si>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</si>
  <si>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</si>
  <si>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</si>
  <si>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</si>
  <si>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</si>
  <si>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</si>
  <si>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</si>
  <si>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</si>
  <si>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</si>
  <si>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</si>
  <si>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</si>
  <si>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</si>
  <si>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</si>
  <si>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</si>
  <si>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</si>
  <si>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</si>
  <si>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</si>
  <si>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</si>
  <si>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</si>
  <si>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</si>
  <si>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</si>
  <si>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</si>
  <si>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</si>
  <si>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</si>
  <si>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</si>
  <si>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</si>
  <si>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</si>
  <si>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</si>
  <si>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</si>
  <si>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</si>
  <si>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</si>
  <si>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</si>
  <si>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</si>
  <si>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</si>
  <si>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</si>
  <si>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</si>
  <si>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</si>
  <si>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</si>
  <si>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</si>
  <si>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</si>
  <si>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</si>
  <si>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</si>
  <si>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</si>
  <si>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</si>
  <si>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</si>
  <si>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</si>
  <si>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</si>
  <si>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</si>
  <si>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</si>
  <si>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</si>
  <si>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</si>
  <si>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</si>
  <si>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</si>
  <si>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</si>
  <si>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</si>
  <si>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</si>
  <si>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</si>
  <si>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</si>
  <si>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</si>
  <si>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</si>
  <si>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</si>
  <si>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</si>
  <si>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</si>
  <si>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</si>
  <si>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</si>
  <si>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</si>
  <si>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</si>
  <si>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</si>
  <si>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</si>
  <si>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</si>
  <si>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</si>
  <si>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</si>
  <si>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</si>
  <si>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</si>
  <si>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</si>
  <si>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</si>
  <si>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</si>
  <si>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</si>
  <si>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</si>
  <si>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</si>
  <si>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</si>
  <si>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</si>
  <si>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</si>
  <si>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</si>
  <si>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</si>
  <si>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</si>
  <si>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</si>
  <si>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</si>
  <si>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</si>
  <si>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</si>
  <si>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</si>
  <si>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</si>
  <si>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</si>
  <si>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</si>
  <si>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</si>
  <si>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</si>
  <si>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</si>
  <si>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</si>
  <si>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</si>
  <si>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</si>
  <si>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</si>
  <si>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</si>
  <si>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</si>
  <si>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</si>
  <si>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</si>
  <si>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</si>
  <si>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</si>
  <si>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</si>
  <si>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</si>
  <si>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</si>
  <si>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</si>
  <si>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</si>
  <si>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</si>
  <si>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</si>
  <si>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</si>
  <si>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</si>
  <si>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</si>
  <si>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</si>
  <si>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</si>
  <si>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</si>
  <si>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</si>
  <si>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</si>
  <si>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</si>
  <si>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</si>
  <si>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</si>
  <si>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</si>
  <si>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</si>
  <si>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</si>
  <si>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</si>
  <si>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</si>
  <si>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</si>
  <si>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</si>
  <si>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</si>
  <si>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</si>
  <si>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</si>
  <si>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</si>
  <si>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</si>
  <si>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</si>
  <si>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</si>
  <si>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</si>
  <si>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</si>
  <si>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</si>
  <si>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</si>
  <si>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</si>
  <si>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</si>
  <si>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</si>
  <si>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</si>
  <si>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</si>
  <si>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</si>
  <si>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</si>
  <si>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</si>
  <si>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</si>
  <si>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Remendo profundo</t>
  </si>
  <si>
    <t>M3510</t>
  </si>
  <si>
    <t>Material demolido - alvenaria</t>
  </si>
  <si>
    <t>M3511</t>
  </si>
  <si>
    <t>Acessórios e materiais metálicos</t>
  </si>
  <si>
    <t>M3512</t>
  </si>
  <si>
    <t>Material demolido - concreto armado</t>
  </si>
  <si>
    <t>M3513</t>
  </si>
  <si>
    <t>M3514</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</si>
  <si>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</si>
  <si>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</si>
  <si>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</si>
  <si>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</si>
  <si>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</si>
  <si>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</si>
  <si>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</si>
  <si>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</si>
  <si>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</si>
  <si>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</si>
  <si>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</si>
  <si>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</si>
  <si>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</si>
  <si>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</si>
  <si>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</si>
  <si>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</si>
  <si>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</si>
  <si>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</si>
  <si>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</si>
  <si>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</si>
  <si>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</si>
  <si>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</si>
  <si>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</si>
  <si>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</si>
  <si>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</si>
  <si>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</si>
  <si>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</si>
  <si>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</si>
  <si>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</si>
  <si>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</si>
  <si>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</si>
  <si>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</si>
  <si>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</si>
  <si>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</si>
  <si>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</si>
  <si>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</si>
  <si>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</si>
  <si>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</si>
  <si>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</si>
  <si>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</si>
  <si>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</si>
  <si>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</si>
  <si>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</si>
  <si>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</si>
  <si>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</si>
  <si>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</si>
  <si>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</si>
  <si>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</si>
  <si>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</si>
  <si>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</si>
  <si>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</si>
  <si>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</si>
  <si>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</si>
  <si>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</si>
  <si>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</si>
  <si>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</si>
  <si>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</si>
  <si>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</si>
  <si>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</si>
  <si>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</si>
  <si>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</si>
  <si>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</si>
  <si>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</si>
  <si>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</si>
  <si>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</si>
  <si>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</si>
  <si>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</si>
  <si>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</si>
  <si>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</si>
  <si>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</si>
  <si>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</si>
  <si>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</si>
  <si>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</si>
  <si>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</si>
  <si>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</si>
  <si>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</si>
  <si>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</si>
  <si>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</si>
  <si>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</si>
  <si>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</si>
  <si>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</si>
  <si>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</si>
  <si>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</si>
  <si>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</si>
  <si>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</si>
  <si>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</si>
  <si>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</si>
  <si>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</si>
  <si>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</si>
  <si>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</si>
  <si>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</si>
  <si>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</si>
  <si>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</si>
  <si>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</si>
  <si>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</si>
  <si>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</si>
  <si>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</si>
  <si>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</si>
  <si>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</si>
  <si>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</si>
  <si>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</si>
  <si>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</si>
  <si>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</si>
  <si>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</si>
  <si>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</si>
  <si>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</si>
  <si>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</si>
  <si>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</si>
  <si>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</si>
  <si>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</si>
  <si>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</si>
  <si>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</si>
  <si>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</si>
  <si>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</si>
  <si>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</si>
  <si>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</si>
  <si>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</si>
  <si>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</si>
  <si>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</si>
  <si>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</si>
  <si>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</si>
  <si>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</si>
  <si>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</si>
  <si>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</si>
  <si>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</si>
  <si>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</si>
  <si>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</si>
  <si>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</si>
  <si>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</si>
  <si>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</si>
  <si>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</si>
  <si>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</si>
  <si>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</si>
  <si>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</si>
  <si>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</si>
  <si>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</si>
  <si>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</si>
  <si>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</si>
  <si>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</si>
  <si>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</si>
  <si>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</si>
  <si>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</si>
  <si>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</si>
  <si>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</si>
  <si>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</si>
  <si>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</si>
  <si>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</si>
  <si>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</si>
  <si>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</si>
  <si>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</si>
  <si>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</si>
  <si>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</si>
  <si>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</si>
  <si>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</si>
  <si>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</si>
  <si>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</si>
  <si>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</si>
  <si>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</si>
  <si>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</si>
  <si>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</si>
  <si>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</si>
  <si>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</si>
  <si>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</si>
  <si>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</si>
  <si>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</si>
  <si>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</si>
  <si>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</si>
  <si>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</si>
  <si>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</si>
  <si>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</si>
  <si>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</si>
  <si>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</si>
  <si>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</si>
  <si>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</si>
  <si>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</si>
  <si>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</si>
  <si>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</si>
  <si>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</si>
  <si>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</si>
  <si>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</si>
  <si>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</si>
  <si>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</si>
  <si>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</si>
  <si>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</si>
  <si>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</si>
  <si>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</si>
  <si>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</si>
  <si>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</si>
  <si>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</si>
  <si>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</si>
  <si>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</si>
  <si>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</si>
  <si>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</si>
  <si>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</si>
  <si>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</si>
  <si>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</si>
  <si>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</si>
  <si>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</si>
  <si>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</si>
  <si>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</si>
  <si>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</si>
  <si>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</si>
  <si>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</si>
  <si>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</si>
  <si>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</si>
  <si>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</si>
  <si>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</si>
  <si>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</si>
  <si>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</si>
  <si>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</si>
  <si>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</si>
  <si>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</si>
  <si>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</si>
  <si>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</si>
  <si>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</si>
  <si>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</si>
  <si>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</si>
  <si>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</si>
  <si>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</si>
  <si>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</si>
  <si>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</si>
  <si>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</si>
  <si>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</si>
  <si>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</si>
  <si>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</si>
  <si>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</si>
  <si>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</si>
  <si>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</si>
  <si>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</si>
  <si>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</si>
  <si>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</si>
  <si>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</si>
  <si>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</si>
  <si>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</si>
  <si>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</si>
  <si>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</si>
  <si>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</si>
  <si>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</si>
  <si>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</si>
  <si>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</si>
  <si>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</si>
  <si>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</si>
  <si>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</si>
  <si>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</si>
  <si>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</si>
  <si>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</si>
  <si>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</si>
  <si>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</si>
  <si>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</si>
  <si>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</si>
  <si>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</si>
  <si>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</si>
  <si>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</si>
  <si>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</si>
  <si>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</si>
  <si>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</si>
  <si>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</si>
  <si>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</si>
  <si>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</si>
  <si>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</si>
  <si>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</si>
  <si>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</si>
  <si>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</si>
  <si>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</si>
  <si>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</si>
  <si>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</si>
  <si>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</si>
  <si>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</si>
  <si>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</si>
  <si>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</si>
  <si>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</si>
  <si>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</si>
  <si>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</si>
  <si>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</si>
  <si>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</si>
  <si>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</si>
  <si>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</si>
  <si>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</si>
  <si>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</si>
  <si>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</si>
  <si>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</si>
  <si>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</si>
  <si>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</si>
  <si>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</si>
  <si>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</si>
  <si>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</si>
  <si>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</si>
  <si>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</si>
  <si>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</si>
  <si>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</si>
  <si>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</si>
  <si>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</si>
  <si>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</si>
  <si>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</si>
  <si>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</si>
  <si>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</si>
  <si>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P9801</t>
  </si>
  <si>
    <t>P9802</t>
  </si>
  <si>
    <t>Ajudante especializado</t>
  </si>
  <si>
    <t>P9803</t>
  </si>
  <si>
    <t>Almoxarife</t>
  </si>
  <si>
    <t>P9804</t>
  </si>
  <si>
    <t>Apontador</t>
  </si>
  <si>
    <t>P9805</t>
  </si>
  <si>
    <t>Armador</t>
  </si>
  <si>
    <t>P9806</t>
  </si>
  <si>
    <t>Auxiliar administrativo</t>
  </si>
  <si>
    <t>P9807</t>
  </si>
  <si>
    <t>Bombeiro hidráulico</t>
  </si>
  <si>
    <t>P9808</t>
  </si>
  <si>
    <t>Carpinteiro</t>
  </si>
  <si>
    <t>P9809</t>
  </si>
  <si>
    <t>Encarregado administrativo</t>
  </si>
  <si>
    <t>P9810</t>
  </si>
  <si>
    <t>Eletricista</t>
  </si>
  <si>
    <t>P9811</t>
  </si>
  <si>
    <t>Encarregado especializado</t>
  </si>
  <si>
    <t>P9812</t>
  </si>
  <si>
    <t>Engenheiro</t>
  </si>
  <si>
    <t>P9814</t>
  </si>
  <si>
    <t>Operacional</t>
  </si>
  <si>
    <t>P9815</t>
  </si>
  <si>
    <t>Jardineiro</t>
  </si>
  <si>
    <t>P9819</t>
  </si>
  <si>
    <t>Engenheiro supervisor</t>
  </si>
  <si>
    <t>P9822</t>
  </si>
  <si>
    <t>Pintor</t>
  </si>
  <si>
    <t>P9823</t>
  </si>
  <si>
    <t>Serralheiro</t>
  </si>
  <si>
    <t>P9825</t>
  </si>
  <si>
    <t>P9826</t>
  </si>
  <si>
    <t>Chefe setor de finanças</t>
  </si>
  <si>
    <t>P9827</t>
  </si>
  <si>
    <t>Vigia</t>
  </si>
  <si>
    <t>P9833</t>
  </si>
  <si>
    <t>Auxiliar de laboratório</t>
  </si>
  <si>
    <t>P9835</t>
  </si>
  <si>
    <t>Perfurador de tubulão a ar comprimido com insalubridade</t>
  </si>
  <si>
    <t>P9836</t>
  </si>
  <si>
    <t>Geólogo</t>
  </si>
  <si>
    <t>P9837</t>
  </si>
  <si>
    <t>Oceanógrafo</t>
  </si>
  <si>
    <t>P9840</t>
  </si>
  <si>
    <t>Encarregado geral</t>
  </si>
  <si>
    <t>P9842</t>
  </si>
  <si>
    <t>Faxineiro</t>
  </si>
  <si>
    <t>P9843</t>
  </si>
  <si>
    <t>Operador de equipamento leve</t>
  </si>
  <si>
    <t>P9844</t>
  </si>
  <si>
    <t>Capitão fluvial</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</si>
  <si>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</si>
  <si>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</si>
  <si>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</si>
  <si>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</si>
  <si>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</si>
  <si>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</si>
  <si>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</si>
  <si>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</si>
  <si>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</si>
  <si>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</si>
  <si>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</si>
  <si>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</si>
  <si>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</si>
  <si>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</si>
  <si>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</si>
  <si>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</si>
  <si>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</si>
  <si>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</si>
  <si>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</si>
  <si>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</si>
  <si>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</si>
  <si>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</si>
  <si>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</si>
  <si>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</si>
  <si>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</si>
  <si>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</si>
  <si>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</si>
  <si>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</si>
  <si>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</si>
  <si>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</si>
  <si>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P9861</t>
  </si>
  <si>
    <t>Selecionador de material pétreo</t>
  </si>
  <si>
    <t>P9864</t>
  </si>
  <si>
    <t>Engenheiro de segurança do trabalho</t>
  </si>
  <si>
    <t>P9865</t>
  </si>
  <si>
    <t>Técnico em enfermagem</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</si>
  <si>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</si>
  <si>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</si>
  <si>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</si>
  <si>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</si>
  <si>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</si>
  <si>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</si>
  <si>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</si>
  <si>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</si>
  <si>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</si>
  <si>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</si>
  <si>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</si>
  <si>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</si>
  <si>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</si>
  <si>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</si>
  <si>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</si>
  <si>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</si>
  <si>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</si>
  <si>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</si>
  <si>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</si>
  <si>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</si>
  <si>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</si>
  <si>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</si>
  <si>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</si>
  <si>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</si>
  <si>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</si>
  <si>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</si>
  <si>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</si>
  <si>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</si>
  <si>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P9891</t>
  </si>
  <si>
    <t>Engenheiro mecânico</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</si>
  <si>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</si>
  <si>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</si>
  <si>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</si>
  <si>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</si>
  <si>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</si>
  <si>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</si>
  <si>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</si>
  <si>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</si>
  <si>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</si>
  <si>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</si>
  <si>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</si>
  <si>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</si>
  <si>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</si>
  <si>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</si>
  <si>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</si>
  <si>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</si>
  <si>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</si>
  <si>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</si>
  <si>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</si>
  <si>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</si>
  <si>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</si>
  <si>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</si>
  <si>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P9911</t>
  </si>
  <si>
    <t>Condutor de máquinas</t>
  </si>
  <si>
    <t>P9912</t>
  </si>
  <si>
    <t>Capitão fluvial com periculosidade</t>
  </si>
  <si>
    <t>P9913</t>
  </si>
  <si>
    <t>Draguista</t>
  </si>
  <si>
    <t>P9915</t>
  </si>
  <si>
    <t>Maquinista</t>
  </si>
  <si>
    <t>P9916</t>
  </si>
  <si>
    <t>Encarregado de conservação rodoviária</t>
  </si>
  <si>
    <t>P9920</t>
  </si>
  <si>
    <t>Mestre fluvial</t>
  </si>
  <si>
    <t>P9927</t>
  </si>
  <si>
    <t>Frentista de túnel com periculosidade</t>
  </si>
  <si>
    <t>P9928</t>
  </si>
  <si>
    <t>Servente com periculosidade</t>
  </si>
  <si>
    <t>P9929</t>
  </si>
  <si>
    <t>Bombeiro hidráulico com periculosidade</t>
  </si>
  <si>
    <t>P9930</t>
  </si>
  <si>
    <t>Eletricista com periculosidade</t>
  </si>
  <si>
    <t>P9932</t>
  </si>
  <si>
    <t>Operador de equipamento pesado com periculosidade</t>
  </si>
  <si>
    <t>P9934</t>
  </si>
  <si>
    <t>Motorista de veículo especial com periculosidade</t>
  </si>
  <si>
    <t>P9938</t>
  </si>
  <si>
    <t>Operador de equipamento leve com periculosidade</t>
  </si>
  <si>
    <t>P9939</t>
  </si>
  <si>
    <t>Operador de equipamento leve com insalubridade</t>
  </si>
  <si>
    <t>P9940</t>
  </si>
  <si>
    <t>Piloto fluvial com periculosidade</t>
  </si>
  <si>
    <t>P9941</t>
  </si>
  <si>
    <t>Mestre fluvial com periculosidade</t>
  </si>
  <si>
    <t>P9942</t>
  </si>
  <si>
    <t>Marinheiro de convés com periculosidade</t>
  </si>
  <si>
    <t>P9943</t>
  </si>
  <si>
    <t>Técnico de batimetria com periculosidade</t>
  </si>
  <si>
    <t>P9944</t>
  </si>
  <si>
    <t>Operador de equipamento especial com periculosidade</t>
  </si>
  <si>
    <t>P9945</t>
  </si>
  <si>
    <t>Draguista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</si>
  <si>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</si>
  <si>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</si>
  <si>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</si>
  <si>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</si>
  <si>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</si>
  <si>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</si>
  <si>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</si>
  <si>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</si>
  <si>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</si>
  <si>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</si>
  <si>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</si>
  <si>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</si>
  <si>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</si>
  <si>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</si>
  <si>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</si>
  <si>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</si>
  <si>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</si>
  <si>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</si>
  <si>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</si>
  <si>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</si>
  <si>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</si>
  <si>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</si>
  <si>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</si>
  <si>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</si>
  <si>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P9925</t>
  </si>
  <si>
    <t>Mergulhador raso autônomo</t>
  </si>
  <si>
    <t>P9921</t>
  </si>
  <si>
    <t>Mergulhador raso autônomo de emergência</t>
  </si>
  <si>
    <t>P9924</t>
  </si>
  <si>
    <t>Mergulhador raso dependente</t>
  </si>
  <si>
    <t>P9922</t>
  </si>
  <si>
    <t>Mergulhador raso dependente de emergência</t>
  </si>
  <si>
    <t>P9926</t>
  </si>
  <si>
    <t>Mergulhador raso auxiliar de superfície</t>
  </si>
  <si>
    <t>P9931</t>
  </si>
  <si>
    <t>Operador de equipamento de mergulho</t>
  </si>
  <si>
    <t>P9933</t>
  </si>
  <si>
    <t>Supervisor de mergulho raso</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</si>
  <si>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</si>
  <si>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</si>
  <si>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</si>
  <si>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</si>
  <si>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</si>
  <si>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</si>
  <si>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</si>
  <si>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</si>
  <si>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</si>
  <si>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</si>
  <si>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</si>
  <si>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</si>
  <si>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</si>
  <si>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</si>
  <si>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</si>
  <si>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</si>
  <si>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</si>
  <si>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</si>
  <si>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</si>
  <si>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com mesa de 75 x 75 cm com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</si>
  <si>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</si>
  <si>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</si>
  <si>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</si>
  <si>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</si>
  <si>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</si>
  <si>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</si>
  <si>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</si>
  <si>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 kW</t>
  </si>
  <si>
    <t>E9017</t>
  </si>
  <si>
    <t>Escavadeira hidráulica sobre esteira com capacidade de 0,4 m³ - 64 kW</t>
  </si>
  <si>
    <t>E9019</t>
  </si>
  <si>
    <t>Câmara hiperbárica com filtro, serpentina e reservatório de ar - D = 1,80 m e H = 2,22 m</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</si>
  <si>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</si>
  <si>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</si>
  <si>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</si>
  <si>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</si>
  <si>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</si>
  <si>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</si>
  <si>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</si>
  <si>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</si>
  <si>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</si>
  <si>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</si>
  <si>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</si>
  <si>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</si>
  <si>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</si>
  <si>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</si>
  <si>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</si>
  <si>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</si>
  <si>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</si>
  <si>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</si>
  <si>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</si>
  <si>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</si>
  <si>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</si>
  <si>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</si>
  <si>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</si>
  <si>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</si>
  <si>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</si>
  <si>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</si>
  <si>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</si>
  <si>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</si>
  <si>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</si>
  <si>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</si>
  <si>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</si>
  <si>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</si>
  <si>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</si>
  <si>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</si>
  <si>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</si>
  <si>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</si>
  <si>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</si>
  <si>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</si>
  <si>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</si>
  <si>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</si>
  <si>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</si>
  <si>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</si>
  <si>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</si>
  <si>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</si>
  <si>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</si>
  <si>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</si>
  <si>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</si>
  <si>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</si>
  <si>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</si>
  <si>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</si>
  <si>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</si>
  <si>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</si>
  <si>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</si>
  <si>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</si>
  <si>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</si>
  <si>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- 75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</si>
  <si>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</si>
  <si>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</si>
  <si>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</si>
  <si>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</si>
  <si>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</si>
  <si>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</si>
  <si>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</si>
  <si>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</si>
  <si>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</si>
  <si>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</si>
  <si>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</si>
  <si>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</si>
  <si>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</si>
  <si>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</si>
  <si>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</si>
  <si>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</si>
  <si>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</si>
  <si>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</si>
  <si>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</si>
  <si>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</si>
  <si>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</si>
  <si>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</si>
  <si>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</si>
  <si>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</si>
  <si>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</si>
  <si>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</si>
  <si>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</si>
  <si>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</si>
  <si>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</si>
  <si>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</si>
  <si>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</si>
  <si>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- 13/14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</si>
  <si>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</si>
  <si>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</si>
  <si>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</si>
  <si>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</si>
  <si>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</si>
  <si>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</si>
  <si>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</si>
  <si>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</si>
  <si>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</si>
  <si>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</si>
  <si>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</si>
  <si>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</si>
  <si>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</si>
  <si>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</si>
  <si>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</si>
  <si>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</si>
  <si>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</si>
  <si>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</si>
  <si>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</si>
  <si>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</si>
  <si>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</si>
  <si>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</si>
  <si>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</si>
  <si>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</si>
  <si>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</si>
  <si>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</si>
  <si>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</si>
  <si>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</si>
  <si>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</si>
  <si>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</si>
  <si>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</si>
  <si>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</si>
  <si>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</si>
  <si>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</si>
  <si>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</si>
  <si>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</si>
  <si>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</si>
  <si>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</si>
  <si>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</si>
  <si>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</si>
  <si>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E9091</t>
  </si>
  <si>
    <t>Embarcação empurradora fluvial - 372 kW</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</si>
  <si>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</si>
  <si>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</si>
  <si>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</si>
  <si>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</si>
  <si>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</si>
  <si>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</si>
  <si>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</si>
  <si>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</si>
  <si>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</si>
  <si>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</si>
  <si>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</si>
  <si>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</si>
  <si>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</si>
  <si>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</si>
  <si>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</si>
  <si>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</si>
  <si>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</si>
  <si>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</si>
  <si>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</si>
  <si>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</si>
  <si>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</si>
  <si>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</si>
  <si>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</si>
  <si>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</si>
  <si>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</si>
  <si>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</si>
  <si>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</si>
  <si>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</si>
  <si>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</si>
  <si>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</si>
  <si>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</si>
  <si>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</si>
  <si>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</si>
  <si>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</si>
  <si>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</si>
  <si>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</si>
  <si>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</si>
  <si>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</si>
  <si>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</si>
  <si>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E9121</t>
  </si>
  <si>
    <t>Plataforma elevatória articulada elétrica com alcance de 6 m com capacidade de 500 kg - 1,5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</si>
  <si>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</si>
  <si>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</si>
  <si>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</si>
  <si>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</si>
  <si>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</si>
  <si>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</si>
  <si>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</si>
  <si>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</si>
  <si>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</si>
  <si>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</si>
  <si>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</si>
  <si>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</si>
  <si>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</si>
  <si>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</si>
  <si>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</si>
  <si>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</si>
  <si>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</si>
  <si>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</si>
  <si>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</si>
  <si>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</si>
  <si>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</si>
  <si>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</si>
  <si>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</si>
  <si>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</si>
  <si>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</si>
  <si>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</si>
  <si>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</si>
  <si>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</si>
  <si>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</si>
  <si>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</si>
  <si>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</si>
  <si>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</si>
  <si>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</si>
  <si>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</si>
  <si>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</si>
  <si>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</si>
  <si>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</si>
  <si>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</si>
  <si>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</si>
  <si>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</si>
  <si>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</si>
  <si>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</si>
  <si>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</si>
  <si>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</si>
  <si>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</si>
  <si>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</si>
  <si>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</si>
  <si>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</si>
  <si>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</si>
  <si>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</si>
  <si>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</si>
  <si>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</si>
  <si>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</si>
  <si>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</si>
  <si>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</si>
  <si>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</si>
  <si>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</si>
  <si>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</si>
  <si>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</si>
  <si>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</si>
  <si>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</si>
  <si>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</si>
  <si>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</si>
  <si>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</si>
  <si>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</si>
  <si>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</si>
  <si>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</si>
  <si>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</si>
  <si>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</si>
  <si>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</si>
  <si>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</si>
  <si>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</si>
  <si>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</si>
  <si>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</si>
  <si>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</si>
  <si>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</si>
  <si>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</si>
  <si>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</si>
  <si>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</si>
  <si>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</si>
  <si>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</si>
  <si>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</si>
  <si>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</si>
  <si>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</si>
  <si>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</si>
  <si>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</si>
  <si>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</si>
  <si>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</si>
  <si>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</si>
  <si>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</si>
  <si>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</si>
  <si>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</si>
  <si>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</si>
  <si>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</si>
  <si>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</si>
  <si>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</si>
  <si>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</si>
  <si>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</si>
  <si>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</si>
  <si>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</si>
  <si>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</si>
  <si>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</si>
  <si>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</si>
  <si>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</si>
  <si>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</si>
  <si>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</si>
  <si>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</si>
  <si>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</si>
  <si>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</si>
  <si>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</si>
  <si>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</si>
  <si>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</si>
  <si>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</si>
  <si>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</si>
  <si>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</si>
  <si>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</si>
  <si>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</si>
  <si>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</si>
  <si>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E9517</t>
  </si>
  <si>
    <t>Compressor de ar portátil de 430,42 l/s (912 PCM) - 242 kW</t>
  </si>
  <si>
    <t>E9518</t>
  </si>
  <si>
    <t>Grade de 24 discos rebocável de D = 60 cm (24")</t>
  </si>
  <si>
    <t>E9519</t>
  </si>
  <si>
    <t>Betoneira com motor a gasolina com capacidade de 600 l - 10 kW</t>
  </si>
  <si>
    <t>E9521</t>
  </si>
  <si>
    <t>Grupo gerador - 2,5/3 kVA</t>
  </si>
  <si>
    <t>E9522</t>
  </si>
  <si>
    <t>Caldeira de asfalto rebocável com capacidade de 1.500 l - 6,5 kW</t>
  </si>
  <si>
    <t>E9523</t>
  </si>
  <si>
    <t>Motoscraper - 304 kW</t>
  </si>
  <si>
    <t>E9524</t>
  </si>
  <si>
    <t>Motoniveladora - 93 kW</t>
  </si>
  <si>
    <t>E9525</t>
  </si>
  <si>
    <t>Ponte rolante com capacidade de 15 t e vão de até 15 m - 20 kW</t>
  </si>
  <si>
    <t>Retroescavadeira de pneus com capacidade de 0,76 m³ - 58 kW</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</si>
  <si>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</si>
  <si>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</si>
  <si>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</si>
  <si>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</si>
  <si>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</si>
  <si>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</si>
  <si>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</si>
  <si>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</si>
  <si>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</si>
  <si>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</si>
  <si>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</si>
  <si>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</si>
  <si>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</si>
  <si>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</si>
  <si>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</si>
  <si>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</si>
  <si>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</si>
  <si>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</si>
  <si>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</si>
  <si>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</si>
  <si>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</si>
  <si>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</si>
  <si>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</si>
  <si>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Compressor de ar respirável para recarga de cilindros de mergulho com capacidade de até 35 MPa e 3,58 l/s - 5,52 kW</t>
  </si>
  <si>
    <t>E9544</t>
  </si>
  <si>
    <t>Vassoura mecânica rebocável com largura de 2,44 m</t>
  </si>
  <si>
    <t>E9545</t>
  </si>
  <si>
    <t>Vibroacabadora de asfalto sobre esteiras - 82 kW</t>
  </si>
  <si>
    <t>E9547</t>
  </si>
  <si>
    <t>Máquina de solda elétrica transformadora 250 A - 9,20 kW</t>
  </si>
  <si>
    <t>E9548</t>
  </si>
  <si>
    <t>Bomba centrífuga com capacidade de 8,6 a 22 m³/h - 1,50 kW</t>
  </si>
  <si>
    <t>E9551</t>
  </si>
  <si>
    <t>Obturador mecânico simples com extensão de 12 m</t>
  </si>
  <si>
    <t>E9552</t>
  </si>
  <si>
    <t>Nível ótico com capacidade de aumento de 32x</t>
  </si>
  <si>
    <t>E9553</t>
  </si>
  <si>
    <t>Estação total eletrônica com alcance máximo de 3.000 m</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</si>
  <si>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</si>
  <si>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</si>
  <si>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</si>
  <si>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</si>
  <si>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</si>
  <si>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</si>
  <si>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</si>
  <si>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</si>
  <si>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</si>
  <si>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</si>
  <si>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</si>
  <si>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</si>
  <si>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</si>
  <si>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</si>
  <si>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</si>
  <si>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</si>
  <si>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</si>
  <si>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</si>
  <si>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</si>
  <si>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</si>
  <si>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</si>
  <si>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</si>
  <si>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</si>
  <si>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</si>
  <si>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</si>
  <si>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</si>
  <si>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</si>
  <si>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</si>
  <si>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</si>
  <si>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</si>
  <si>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</si>
  <si>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</si>
  <si>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</si>
  <si>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</si>
  <si>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</si>
  <si>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</si>
  <si>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</si>
  <si>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</si>
  <si>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</si>
  <si>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</si>
  <si>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</si>
  <si>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</si>
  <si>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</si>
  <si>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</si>
  <si>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</si>
  <si>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</si>
  <si>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</si>
  <si>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</si>
  <si>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</si>
  <si>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</si>
  <si>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</si>
  <si>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</si>
  <si>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</si>
  <si>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</si>
  <si>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</si>
  <si>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</si>
  <si>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</si>
  <si>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</si>
  <si>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</si>
  <si>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</si>
  <si>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</si>
  <si>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</si>
  <si>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</si>
  <si>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</si>
  <si>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</si>
  <si>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</si>
  <si>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</si>
  <si>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</si>
  <si>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</si>
  <si>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</si>
  <si>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</si>
  <si>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</si>
  <si>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</si>
  <si>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</si>
  <si>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</si>
  <si>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</si>
  <si>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</si>
  <si>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</si>
  <si>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</si>
  <si>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</si>
  <si>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</si>
  <si>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</si>
  <si>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</si>
  <si>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</si>
  <si>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</si>
  <si>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</si>
  <si>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</si>
  <si>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</si>
  <si>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</si>
  <si>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</si>
  <si>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</si>
  <si>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</si>
  <si>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</si>
  <si>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</si>
  <si>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</si>
  <si>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</si>
  <si>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</si>
  <si>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</si>
  <si>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</si>
  <si>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</si>
  <si>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</si>
  <si>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</si>
  <si>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</si>
  <si>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</si>
  <si>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</si>
  <si>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</si>
  <si>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</si>
  <si>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</si>
  <si>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</si>
  <si>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</si>
  <si>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</si>
  <si>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</si>
  <si>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</si>
  <si>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</si>
  <si>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</si>
  <si>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</si>
  <si>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</si>
  <si>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</si>
  <si>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</si>
  <si>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</si>
  <si>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</si>
  <si>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</si>
  <si>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</si>
  <si>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</si>
  <si>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</si>
  <si>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</si>
  <si>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</si>
  <si>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</si>
  <si>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</si>
  <si>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</si>
  <si>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</si>
  <si>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</si>
  <si>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</si>
  <si>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</si>
  <si>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</si>
  <si>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</si>
  <si>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</si>
  <si>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</si>
  <si>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</si>
  <si>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</si>
  <si>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</si>
  <si>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</si>
  <si>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</si>
  <si>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</si>
  <si>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</si>
  <si>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</si>
  <si>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</si>
  <si>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</si>
  <si>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</si>
  <si>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</si>
  <si>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</si>
  <si>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</si>
  <si>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</si>
  <si>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</si>
  <si>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</si>
  <si>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</si>
  <si>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</si>
  <si>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</si>
  <si>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</si>
  <si>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</si>
  <si>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</si>
  <si>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</si>
  <si>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</si>
  <si>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</si>
  <si>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E9659</t>
  </si>
  <si>
    <t>Campânula de ar comprimido com capacidade de 3 m³</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</si>
  <si>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</si>
  <si>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</si>
  <si>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</si>
  <si>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</si>
  <si>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</si>
  <si>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</si>
  <si>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</si>
  <si>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</si>
  <si>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</si>
  <si>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</si>
  <si>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</si>
  <si>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</si>
  <si>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</si>
  <si>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</si>
  <si>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</si>
  <si>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</si>
  <si>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</si>
  <si>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</si>
  <si>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</si>
  <si>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</si>
  <si>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</si>
  <si>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</si>
  <si>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- 410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</si>
  <si>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</si>
  <si>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</si>
  <si>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</si>
  <si>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</si>
  <si>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</si>
  <si>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</si>
  <si>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</si>
  <si>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</si>
  <si>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</si>
  <si>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</si>
  <si>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</si>
  <si>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</si>
  <si>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</si>
  <si>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</si>
  <si>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</si>
  <si>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</si>
  <si>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</si>
  <si>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</si>
  <si>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</si>
  <si>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</si>
  <si>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</si>
  <si>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</si>
  <si>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</si>
  <si>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</si>
  <si>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</si>
  <si>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</si>
  <si>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</si>
  <si>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</si>
  <si>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</si>
  <si>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</si>
  <si>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</si>
  <si>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</si>
  <si>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E9706</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</si>
  <si>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</si>
  <si>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</si>
  <si>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</si>
  <si>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</si>
  <si>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</si>
  <si>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</si>
  <si>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</si>
  <si>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</si>
  <si>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</si>
  <si>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</si>
  <si>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</si>
  <si>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</si>
  <si>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</si>
  <si>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</si>
  <si>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</si>
  <si>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</si>
  <si>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</si>
  <si>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</si>
  <si>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</si>
  <si>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</si>
  <si>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</si>
  <si>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</si>
  <si>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</si>
  <si>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</si>
  <si>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</si>
  <si>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</si>
  <si>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</si>
  <si>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</si>
  <si>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</si>
  <si>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</si>
  <si>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</si>
  <si>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</si>
  <si>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</si>
  <si>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</si>
  <si>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</si>
  <si>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</si>
  <si>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</si>
  <si>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</si>
  <si>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</si>
  <si>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</si>
  <si>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</si>
  <si>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</si>
  <si>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</si>
  <si>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</si>
  <si>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</si>
  <si>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</si>
  <si>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</si>
  <si>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</si>
  <si>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</si>
  <si>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</si>
  <si>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</si>
  <si>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</si>
  <si>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</si>
  <si>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</si>
  <si>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</si>
  <si>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</si>
  <si>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</si>
  <si>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E9740</t>
  </si>
  <si>
    <t>Quadro tubular contraventado para andaime de 1 x 1 x 1 m com capacidade de 2 t</t>
  </si>
  <si>
    <t>E9745</t>
  </si>
  <si>
    <t>Trator agrícola sobre pneus com roçadeira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</si>
  <si>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</si>
  <si>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</si>
  <si>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</si>
  <si>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</si>
  <si>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</si>
  <si>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</si>
  <si>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</si>
  <si>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</si>
  <si>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</si>
  <si>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</si>
  <si>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E9755</t>
  </si>
  <si>
    <t>Bomba de alta pressão para jet grouting de até 45 MPa - 150 kW</t>
  </si>
  <si>
    <t>E9756</t>
  </si>
  <si>
    <t>Calandra para chapas de aço até 25 mm - 22 kW</t>
  </si>
  <si>
    <t>E9758</t>
  </si>
  <si>
    <t>Vibroacabadora de asfalto sobre pneus - 82 kW</t>
  </si>
  <si>
    <t>E9760</t>
  </si>
  <si>
    <t>Perfuratriz manual para coroa diamantada - 1,60 kW</t>
  </si>
  <si>
    <t>E9761</t>
  </si>
  <si>
    <t>Guincho de coluna com capacidade de 200 kg - 0,92 kW</t>
  </si>
  <si>
    <t>E9762</t>
  </si>
  <si>
    <t>Rolo compactador de pneus autopropelido de 27 t - 85 kW</t>
  </si>
  <si>
    <t>E9763</t>
  </si>
  <si>
    <t>Grupo gerador - 36/40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</si>
  <si>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</si>
  <si>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</si>
  <si>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</si>
  <si>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</si>
  <si>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</si>
  <si>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</si>
  <si>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</si>
  <si>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</si>
  <si>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</si>
  <si>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</si>
  <si>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</si>
  <si>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</si>
  <si>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</si>
  <si>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</si>
  <si>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</si>
  <si>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</si>
  <si>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</si>
  <si>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</si>
  <si>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</si>
  <si>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</si>
  <si>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</si>
  <si>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- 145/160 kVA</t>
  </si>
  <si>
    <t>E9777</t>
  </si>
  <si>
    <t>Extrusora de barreira de concreto - 74 kW</t>
  </si>
  <si>
    <t>E9778</t>
  </si>
  <si>
    <t>Grupo gerador - 310/340 kVA</t>
  </si>
  <si>
    <t>E9779</t>
  </si>
  <si>
    <t>Grupo gerador - 100/110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</si>
  <si>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</si>
  <si>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</si>
  <si>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</si>
  <si>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</si>
  <si>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</si>
  <si>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</si>
  <si>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</si>
  <si>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</si>
  <si>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</si>
  <si>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</si>
  <si>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</si>
  <si>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</si>
  <si>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</si>
  <si>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</si>
  <si>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</si>
  <si>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</si>
  <si>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</si>
  <si>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</si>
  <si>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</si>
  <si>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</si>
  <si>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</si>
  <si>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</si>
  <si>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</si>
  <si>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</si>
  <si>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</si>
  <si>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</si>
  <si>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</si>
  <si>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</si>
  <si>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</si>
  <si>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</si>
  <si>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</si>
  <si>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</si>
  <si>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</si>
  <si>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</si>
  <si>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</si>
  <si>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</si>
  <si>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</si>
  <si>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</si>
  <si>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</si>
  <si>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</si>
  <si>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</si>
  <si>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</si>
  <si>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</si>
  <si>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</si>
  <si>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</si>
  <si>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</si>
  <si>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</si>
  <si>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</si>
  <si>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</si>
  <si>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</si>
  <si>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</si>
  <si>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</si>
  <si>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</si>
  <si>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</si>
  <si>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</si>
  <si>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</si>
  <si>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</si>
  <si>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</si>
  <si>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</si>
  <si>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</si>
  <si>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</si>
  <si>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</si>
  <si>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</si>
  <si>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</si>
  <si>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</si>
  <si>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</si>
  <si>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</si>
  <si>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</si>
  <si>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</si>
  <si>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</si>
  <si>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</si>
  <si>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</si>
  <si>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</si>
  <si>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</si>
  <si>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</si>
  <si>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</si>
  <si>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</si>
  <si>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</si>
  <si>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</si>
  <si>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</si>
  <si>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</si>
  <si>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</si>
  <si>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</si>
  <si>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</si>
  <si>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</si>
  <si>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</si>
  <si>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</si>
  <si>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</si>
  <si>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</si>
  <si>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</si>
  <si>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</si>
  <si>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</si>
  <si>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</si>
  <si>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</si>
  <si>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</si>
  <si>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</si>
  <si>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</si>
  <si>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</si>
  <si>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</si>
  <si>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</si>
  <si>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Caminhão basculante para concreto com capacidade de 7 m³ - 188 kW</t>
  </si>
  <si>
    <t>A9316</t>
  </si>
  <si>
    <t>Caminhão plataforma 8 x 2, PBT 29.000 kg e distância entre eixos 4,8 m - 188 kW - motorista de caminhão</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</si>
  <si>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</si>
  <si>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</si>
  <si>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</si>
  <si>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</si>
  <si>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</si>
  <si>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</si>
  <si>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</si>
  <si>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</si>
  <si>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</si>
  <si>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</si>
  <si>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</si>
  <si>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</si>
  <si>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</si>
  <si>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</si>
  <si>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</si>
  <si>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</si>
  <si>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</si>
  <si>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</si>
  <si>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</si>
  <si>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</si>
  <si>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</si>
  <si>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</si>
  <si>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</si>
  <si>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</si>
  <si>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</si>
  <si>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</si>
  <si>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</si>
  <si>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</si>
  <si>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</si>
  <si>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</si>
  <si>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</si>
  <si>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</si>
  <si>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</si>
  <si>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</si>
  <si>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</si>
  <si>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</si>
  <si>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</si>
  <si>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</si>
  <si>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</si>
  <si>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</si>
  <si>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</si>
  <si>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</si>
  <si>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</si>
  <si>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</si>
  <si>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</si>
  <si>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</si>
  <si>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</si>
  <si>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</si>
  <si>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</si>
  <si>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</si>
  <si>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</si>
  <si>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</si>
  <si>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</si>
  <si>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</si>
  <si>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</si>
  <si>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</si>
  <si>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</si>
  <si>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</si>
  <si>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</si>
  <si>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</si>
  <si>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</si>
  <si>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</si>
  <si>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</si>
  <si>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</si>
  <si>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</si>
  <si>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</si>
  <si>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</si>
  <si>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</si>
  <si>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</si>
  <si>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- 188 kW</t>
  </si>
  <si>
    <t>A9317</t>
  </si>
  <si>
    <t>Caminhão plataforma 8 x 2, PBT 29.000 kg e distância entre eixos 4,8 m - 188 kW - motorista de veículo especial</t>
  </si>
  <si>
    <t>A9345</t>
  </si>
  <si>
    <t>Caçamba basculante estanque com capacidade de 14 m³</t>
  </si>
  <si>
    <t>E9579</t>
  </si>
  <si>
    <t>Caminhão basculante com capacidade de 10 m³ - 188 kW</t>
  </si>
  <si>
    <t>A9342</t>
  </si>
  <si>
    <t>Caçamba basculante com capacidade de 10 m³</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</si>
  <si>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</si>
  <si>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</si>
  <si>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</si>
  <si>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</si>
  <si>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</si>
  <si>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</si>
  <si>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</si>
  <si>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</si>
  <si>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</si>
  <si>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</si>
  <si>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</si>
  <si>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</si>
  <si>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</si>
  <si>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</si>
  <si>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</si>
  <si>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</si>
  <si>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</si>
  <si>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</si>
  <si>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</si>
  <si>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</si>
  <si>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</si>
  <si>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</si>
  <si>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</si>
  <si>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</si>
  <si>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</si>
  <si>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</si>
  <si>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</si>
  <si>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</si>
  <si>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</si>
  <si>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</si>
  <si>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</si>
  <si>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</si>
  <si>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</si>
  <si>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Caminhão basculante com capacidade de 4 m³ - 136 kW</t>
  </si>
  <si>
    <t>A9304</t>
  </si>
  <si>
    <t>Caminhão plataforma 4 x 2, PBT 14.300 kg e distância entre eixos 4,8 m - 136 kW - motorista de caminhão</t>
  </si>
  <si>
    <t>A9336</t>
  </si>
  <si>
    <t>Caçamba basculante com capacidade de 4 m³</t>
  </si>
  <si>
    <t>E9665</t>
  </si>
  <si>
    <t>Cavalo mecânico com semirreboque com capacidade de 22 t - 240 kW</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</si>
  <si>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</si>
  <si>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</si>
  <si>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</si>
  <si>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</si>
  <si>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</si>
  <si>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</si>
  <si>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</si>
  <si>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</si>
  <si>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</si>
  <si>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</si>
  <si>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</si>
  <si>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Caminhão basculante com capacidade de 14 m³ - 188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</si>
  <si>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</si>
  <si>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</si>
  <si>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</si>
  <si>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</si>
  <si>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</si>
  <si>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</si>
  <si>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</si>
  <si>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</si>
  <si>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</si>
  <si>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</si>
  <si>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</si>
  <si>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</si>
  <si>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</si>
  <si>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</si>
  <si>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E9672</t>
  </si>
  <si>
    <t>Caminhão basculante para rocha com capacidade de 12 m³ - 188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</si>
  <si>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</si>
  <si>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</si>
  <si>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</si>
  <si>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</si>
  <si>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</si>
  <si>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</si>
  <si>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</si>
  <si>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</si>
  <si>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</si>
  <si>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</si>
  <si>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</si>
  <si>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</si>
  <si>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</si>
  <si>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</si>
  <si>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</si>
  <si>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</si>
  <si>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</si>
  <si>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</si>
  <si>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</si>
  <si>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</si>
  <si>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</si>
  <si>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</si>
  <si>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</si>
  <si>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</si>
  <si>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</si>
  <si>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</si>
  <si>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</si>
  <si>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</si>
  <si>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</si>
  <si>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</si>
  <si>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</si>
  <si>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</si>
  <si>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</si>
  <si>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</si>
  <si>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</si>
  <si>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</si>
  <si>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</si>
  <si>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</si>
  <si>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</si>
  <si>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</si>
  <si>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</si>
  <si>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</si>
  <si>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</si>
  <si>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</si>
  <si>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</si>
  <si>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</si>
  <si>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</si>
  <si>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</si>
  <si>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</si>
  <si>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</si>
  <si>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</si>
  <si>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</si>
  <si>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</si>
  <si>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</si>
  <si>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</si>
  <si>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</si>
  <si>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BATE ESTACA PARA INSTALAÇÃO DE DEFENSAS METÁLICAS (GUARD RAIL) FIXO, INCLUSIVE CAMINHÃO TOCO PBT 9.700 KG, POTÊNCIA DE 160 CV - MATERIAIS NA OPERAÇÃO. AF_02/2022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</si>
  <si>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</si>
  <si>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</si>
  <si>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</si>
  <si>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</si>
  <si>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</si>
  <si>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</si>
  <si>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</si>
  <si>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</si>
  <si>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</si>
  <si>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</si>
  <si>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</si>
  <si>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</si>
  <si>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</si>
  <si>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</si>
  <si>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</si>
  <si>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</si>
  <si>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</si>
  <si>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</si>
  <si>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</si>
  <si>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</si>
  <si>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</si>
  <si>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</si>
  <si>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</si>
  <si>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</si>
  <si>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</si>
  <si>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</si>
  <si>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</si>
  <si>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</si>
  <si>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</si>
  <si>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</si>
  <si>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</si>
  <si>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</si>
  <si>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</si>
  <si>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</si>
  <si>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</si>
  <si>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</si>
  <si>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</si>
  <si>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</si>
  <si>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</si>
  <si>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</si>
  <si>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</si>
  <si>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</si>
  <si>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</si>
  <si>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</si>
  <si>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</si>
  <si>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</si>
  <si>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</si>
  <si>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</si>
  <si>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</si>
  <si>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</si>
  <si>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</si>
  <si>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</si>
  <si>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</si>
  <si>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</si>
  <si>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</si>
  <si>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</si>
  <si>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</si>
  <si>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</si>
  <si>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</si>
  <si>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</si>
  <si>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</si>
  <si>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</si>
  <si>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</si>
  <si>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</si>
  <si>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</si>
  <si>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</si>
  <si>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</si>
  <si>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</si>
  <si>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</si>
  <si>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</si>
  <si>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</si>
  <si>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</si>
  <si>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</si>
  <si>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</si>
  <si>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</si>
  <si>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</si>
  <si>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</si>
  <si>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</si>
  <si>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</si>
  <si>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</si>
  <si>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</si>
  <si>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</si>
  <si>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</si>
  <si>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</si>
  <si>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</si>
  <si>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</si>
  <si>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</si>
  <si>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</si>
  <si>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</si>
  <si>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</si>
  <si>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</si>
  <si>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</si>
  <si>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</si>
  <si>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</si>
  <si>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</si>
  <si>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</si>
  <si>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</si>
  <si>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</si>
  <si>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</si>
  <si>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</si>
  <si>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</si>
  <si>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</si>
  <si>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</si>
  <si>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</si>
  <si>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</si>
  <si>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</si>
  <si>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</si>
  <si>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</si>
  <si>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</si>
  <si>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</si>
  <si>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</si>
  <si>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</si>
  <si>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</si>
  <si>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</si>
  <si>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</si>
  <si>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</si>
  <si>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</si>
  <si>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</si>
  <si>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</si>
  <si>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</si>
  <si>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</si>
  <si>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</si>
  <si>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</si>
  <si>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</si>
  <si>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</si>
  <si>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</si>
  <si>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</si>
  <si>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</si>
  <si>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</si>
  <si>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</si>
  <si>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</si>
  <si>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</si>
  <si>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</si>
  <si>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</si>
  <si>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</si>
  <si>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</si>
  <si>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</si>
  <si>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</si>
  <si>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</si>
  <si>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</si>
  <si>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</si>
  <si>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</si>
  <si>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</si>
  <si>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</si>
  <si>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</si>
  <si>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</si>
  <si>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</si>
  <si>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</si>
  <si>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</si>
  <si>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</si>
  <si>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</si>
  <si>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</si>
  <si>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</si>
  <si>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</si>
  <si>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</si>
  <si>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</si>
  <si>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</si>
  <si>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</si>
  <si>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</si>
  <si>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</si>
  <si>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</si>
  <si>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</si>
  <si>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</si>
  <si>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</si>
  <si>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</si>
  <si>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</si>
  <si>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</si>
  <si>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</si>
  <si>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</si>
  <si>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</si>
  <si>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</si>
  <si>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</si>
  <si>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</si>
  <si>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</si>
  <si>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</si>
  <si>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</si>
  <si>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</si>
  <si>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</si>
  <si>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</si>
  <si>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</si>
  <si>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</si>
  <si>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</si>
  <si>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</si>
  <si>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</si>
  <si>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</si>
  <si>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</si>
  <si>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</si>
  <si>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</si>
  <si>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</si>
  <si>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</si>
  <si>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</si>
  <si>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</si>
  <si>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</si>
  <si>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</si>
  <si>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</si>
  <si>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</si>
  <si>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</si>
  <si>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</si>
  <si>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</si>
  <si>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</si>
  <si>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</si>
  <si>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</si>
  <si>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</si>
  <si>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</si>
  <si>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</si>
  <si>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</si>
  <si>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</si>
  <si>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</si>
  <si>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</si>
  <si>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</si>
  <si>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</si>
  <si>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</si>
  <si>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</si>
  <si>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</si>
  <si>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</si>
  <si>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</si>
  <si>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</si>
  <si>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</si>
  <si>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</si>
  <si>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</si>
  <si>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</si>
  <si>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</si>
  <si>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</si>
  <si>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</si>
  <si>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</si>
  <si>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</si>
  <si>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</si>
  <si>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</si>
  <si>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</si>
  <si>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</si>
  <si>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</si>
  <si>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</si>
  <si>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</si>
  <si>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</si>
  <si>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</si>
  <si>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</si>
  <si>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</si>
  <si>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</si>
  <si>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</si>
  <si>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</si>
  <si>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</si>
  <si>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</si>
  <si>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</si>
  <si>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</si>
  <si>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</si>
  <si>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</si>
  <si>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</si>
  <si>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</si>
  <si>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</si>
  <si>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</si>
  <si>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</si>
  <si>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</si>
  <si>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</si>
  <si>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</si>
  <si>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</si>
  <si>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</si>
  <si>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</si>
  <si>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</si>
  <si>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</si>
  <si>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</si>
  <si>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</si>
  <si>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</si>
  <si>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</si>
  <si>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</si>
  <si>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</si>
  <si>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</si>
  <si>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</si>
  <si>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</si>
  <si>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</si>
  <si>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</si>
  <si>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</si>
  <si>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</si>
  <si>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</si>
  <si>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</si>
  <si>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</si>
  <si>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</si>
  <si>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</si>
  <si>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</si>
  <si>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</si>
  <si>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</si>
  <si>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</si>
  <si>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</si>
  <si>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</si>
  <si>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</si>
  <si>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</si>
  <si>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</si>
  <si>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</si>
  <si>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</si>
  <si>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</si>
  <si>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</si>
  <si>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</si>
  <si>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</si>
  <si>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</si>
  <si>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</si>
  <si>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</si>
  <si>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</si>
  <si>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</si>
  <si>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</si>
  <si>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</si>
  <si>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</si>
  <si>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</si>
  <si>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</si>
  <si>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</si>
  <si>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</si>
  <si>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</si>
  <si>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</si>
  <si>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</si>
  <si>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</si>
  <si>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</si>
  <si>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</si>
  <si>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</si>
  <si>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</si>
  <si>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</si>
  <si>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</si>
  <si>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</si>
  <si>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</si>
  <si>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</si>
  <si>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</si>
  <si>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</si>
  <si>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</si>
  <si>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</si>
  <si>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</si>
  <si>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</si>
  <si>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</si>
  <si>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</si>
  <si>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</si>
  <si>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</si>
  <si>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</si>
  <si>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</si>
  <si>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</si>
  <si>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</si>
  <si>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</si>
  <si>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</si>
  <si>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</si>
  <si>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</si>
  <si>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</si>
  <si>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</si>
  <si>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</si>
  <si>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</si>
  <si>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</si>
  <si>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</si>
  <si>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</si>
  <si>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</si>
  <si>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</si>
  <si>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</si>
  <si>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</si>
  <si>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</si>
  <si>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</si>
  <si>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</si>
  <si>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</si>
  <si>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</si>
  <si>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</si>
  <si>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</si>
  <si>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</si>
  <si>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</si>
  <si>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</si>
  <si>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</si>
  <si>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</si>
  <si>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</si>
  <si>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</si>
  <si>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</si>
  <si>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</si>
  <si>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</si>
  <si>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</si>
  <si>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</si>
  <si>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</si>
  <si>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</si>
  <si>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</si>
  <si>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</si>
  <si>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</si>
  <si>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</si>
  <si>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</si>
  <si>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</si>
  <si>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</si>
  <si>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</si>
  <si>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</si>
  <si>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</si>
  <si>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</si>
  <si>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</si>
  <si>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</si>
  <si>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</si>
  <si>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</si>
  <si>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</si>
  <si>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</si>
  <si>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</si>
  <si>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</si>
  <si>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</si>
  <si>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</si>
  <si>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</si>
  <si>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</si>
  <si>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</si>
  <si>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</si>
  <si>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</si>
  <si>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</si>
  <si>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</si>
  <si>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</si>
  <si>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</si>
  <si>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</si>
  <si>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</si>
  <si>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</si>
  <si>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</si>
  <si>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</si>
  <si>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</si>
  <si>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</si>
  <si>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</si>
  <si>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</si>
  <si>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</si>
  <si>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</si>
  <si>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</si>
  <si>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</si>
  <si>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</si>
  <si>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</si>
  <si>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</si>
  <si>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</si>
  <si>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</si>
  <si>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</si>
  <si>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</si>
  <si>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</si>
  <si>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</si>
  <si>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</si>
  <si>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</si>
  <si>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</si>
  <si>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</si>
  <si>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</si>
  <si>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</si>
  <si>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</si>
  <si>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</si>
  <si>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</si>
  <si>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</si>
  <si>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</si>
  <si>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</si>
  <si>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</si>
  <si>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</si>
  <si>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</si>
  <si>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</si>
  <si>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</si>
  <si>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</si>
  <si>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</si>
  <si>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</si>
  <si>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</si>
  <si>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</si>
  <si>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</si>
  <si>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</si>
  <si>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</si>
  <si>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</si>
  <si>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</si>
  <si>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</si>
  <si>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</si>
  <si>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</si>
  <si>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</si>
  <si>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</si>
  <si>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</si>
  <si>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</si>
  <si>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</si>
  <si>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</si>
  <si>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</si>
  <si>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</si>
  <si>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</si>
  <si>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</si>
  <si>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</si>
  <si>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</si>
  <si>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</si>
  <si>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</si>
  <si>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</si>
  <si>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</si>
  <si>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</si>
  <si>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</si>
  <si>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</si>
  <si>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</si>
  <si>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</si>
  <si>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</si>
  <si>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</si>
  <si>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</si>
  <si>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</si>
  <si>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</si>
  <si>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</si>
  <si>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</si>
  <si>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</si>
  <si>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</si>
  <si>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</si>
  <si>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</si>
  <si>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</si>
  <si>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</si>
  <si>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</si>
  <si>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</si>
  <si>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</si>
  <si>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</si>
  <si>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</si>
  <si>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</si>
  <si>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</si>
  <si>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</si>
  <si>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</si>
  <si>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</si>
  <si>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</si>
  <si>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</si>
  <si>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</si>
  <si>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</si>
  <si>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</si>
  <si>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</si>
  <si>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</si>
  <si>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</si>
  <si>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</si>
  <si>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</si>
  <si>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</si>
  <si>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</si>
  <si>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</si>
  <si>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</si>
  <si>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</si>
  <si>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</si>
  <si>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</si>
  <si>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</si>
  <si>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</si>
  <si>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</si>
  <si>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</si>
  <si>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</si>
  <si>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</si>
  <si>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</si>
  <si>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</si>
  <si>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</si>
  <si>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</si>
  <si>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</si>
  <si>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</si>
  <si>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</si>
  <si>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</si>
  <si>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</si>
  <si>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</si>
  <si>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</si>
  <si>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</si>
  <si>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</si>
  <si>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</si>
  <si>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</si>
  <si>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</si>
  <si>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</si>
  <si>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</si>
  <si>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</si>
  <si>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</si>
  <si>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</si>
  <si>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</si>
  <si>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</si>
  <si>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</si>
  <si>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</si>
  <si>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</si>
  <si>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</si>
  <si>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</si>
  <si>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</si>
  <si>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</si>
  <si>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</si>
  <si>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</si>
  <si>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</si>
  <si>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</si>
  <si>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</si>
  <si>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</si>
  <si>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</si>
  <si>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</si>
  <si>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</si>
  <si>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</si>
  <si>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</si>
  <si>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</si>
  <si>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</si>
  <si>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</si>
  <si>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</si>
  <si>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</si>
  <si>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</si>
  <si>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</si>
  <si>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</si>
  <si>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</si>
  <si>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</si>
  <si>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</si>
  <si>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</si>
  <si>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</si>
  <si>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</si>
  <si>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</si>
  <si>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</si>
  <si>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</si>
  <si>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</si>
  <si>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</si>
  <si>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</si>
  <si>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</si>
  <si>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</si>
  <si>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</si>
  <si>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</si>
  <si>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</si>
  <si>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</si>
  <si>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</si>
  <si>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</si>
  <si>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</si>
  <si>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</si>
  <si>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</si>
  <si>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</si>
  <si>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</si>
  <si>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</si>
  <si>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</si>
  <si>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</si>
  <si>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</si>
  <si>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</si>
  <si>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</si>
  <si>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</si>
  <si>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</si>
  <si>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</si>
  <si>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</si>
  <si>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</si>
  <si>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</si>
  <si>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</si>
  <si>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</si>
  <si>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</si>
  <si>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</si>
  <si>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</si>
  <si>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</si>
  <si>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</si>
  <si>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</si>
  <si>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</si>
  <si>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</si>
  <si>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</si>
  <si>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</si>
  <si>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</si>
  <si>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</si>
  <si>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</si>
  <si>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</si>
  <si>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</si>
  <si>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</si>
  <si>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</si>
  <si>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</si>
  <si>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</si>
  <si>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</si>
  <si>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</si>
  <si>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</si>
  <si>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</si>
  <si>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</si>
  <si>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</si>
  <si>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</si>
  <si>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</si>
  <si>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</si>
  <si>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</si>
  <si>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</si>
  <si>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</si>
  <si>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</si>
  <si>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</si>
  <si>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</si>
  <si>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</si>
  <si>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</si>
  <si>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</si>
  <si>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</si>
  <si>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</si>
  <si>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</si>
  <si>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</si>
  <si>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</si>
  <si>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</si>
  <si>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</si>
  <si>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</si>
  <si>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</si>
  <si>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</si>
  <si>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</si>
  <si>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</si>
  <si>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</si>
  <si>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</si>
  <si>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</si>
  <si>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</si>
  <si>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</si>
  <si>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</si>
  <si>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</si>
  <si>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</si>
  <si>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</si>
  <si>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</si>
  <si>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</si>
  <si>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</si>
  <si>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</si>
  <si>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</si>
  <si>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</si>
  <si>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</si>
  <si>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</si>
  <si>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</si>
  <si>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</si>
  <si>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</si>
  <si>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</si>
  <si>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</si>
  <si>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</si>
  <si>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</si>
  <si>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</si>
  <si>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</si>
  <si>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</si>
  <si>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</si>
  <si>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</si>
  <si>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</si>
  <si>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</si>
  <si>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</si>
  <si>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</si>
  <si>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</si>
  <si>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</si>
  <si>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</si>
  <si>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</si>
  <si>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</si>
  <si>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</si>
  <si>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</si>
  <si>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</si>
  <si>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</si>
  <si>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</si>
  <si>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</si>
  <si>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</si>
  <si>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</si>
  <si>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</si>
  <si>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</si>
  <si>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</si>
  <si>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</si>
  <si>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</si>
  <si>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</si>
  <si>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</si>
  <si>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</si>
  <si>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</si>
  <si>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</si>
  <si>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</si>
  <si>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</si>
  <si>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</si>
  <si>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</si>
  <si>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</si>
  <si>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</si>
  <si>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</si>
  <si>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</si>
  <si>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</si>
  <si>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</si>
  <si>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</si>
  <si>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</si>
  <si>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</si>
  <si>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</si>
  <si>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</si>
  <si>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</si>
  <si>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</si>
  <si>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</si>
  <si>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</si>
  <si>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</si>
  <si>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</si>
  <si>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</si>
  <si>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</si>
  <si>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</si>
  <si>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</si>
  <si>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</si>
  <si>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</si>
  <si>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</si>
  <si>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</si>
  <si>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</si>
  <si>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</si>
  <si>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</si>
  <si>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</si>
  <si>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</si>
  <si>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</si>
  <si>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</si>
  <si>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</si>
  <si>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</si>
  <si>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</si>
  <si>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</si>
  <si>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</si>
  <si>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</si>
  <si>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</si>
  <si>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</si>
  <si>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</si>
  <si>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</si>
  <si>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</si>
  <si>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</si>
  <si>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</si>
  <si>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</si>
  <si>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LUVA DE CORRER, PVC, SERIE NORMAL, ESGOTO PREDIAL, DN 150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</si>
  <si>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</si>
  <si>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</si>
  <si>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TE, PVC, SERIE NORMAL, ESGOTO PREDIAL, DN 150 X 150 MM, JUNTA ELÁSTICA, FORNECIDO E INSTALADO EM SUBCOLETOR AÉREO DE ESGOTO SANITÁRIO. AF_08/2022</t>
  </si>
  <si>
    <t>JUNÇÃO SIMPLES, PVC, SERIE NORMAL, ESGOTO PREDIAL, DN 150 X 150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</si>
  <si>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</si>
  <si>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</si>
  <si>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</si>
  <si>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</si>
  <si>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</si>
  <si>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</si>
  <si>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</si>
  <si>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</si>
  <si>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</si>
  <si>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</si>
  <si>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</si>
  <si>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</si>
  <si>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</si>
  <si>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</si>
  <si>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</si>
  <si>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</si>
  <si>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</si>
  <si>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</si>
  <si>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</si>
  <si>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</si>
  <si>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</si>
  <si>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</si>
  <si>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</si>
  <si>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</si>
  <si>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</si>
  <si>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</si>
  <si>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</si>
  <si>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</si>
  <si>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</si>
  <si>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</si>
  <si>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</si>
  <si>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</si>
  <si>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</si>
  <si>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</si>
  <si>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</si>
  <si>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</si>
  <si>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</si>
  <si>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</si>
  <si>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</si>
  <si>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</si>
  <si>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</si>
  <si>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</si>
  <si>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</si>
  <si>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</si>
  <si>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</si>
  <si>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</si>
  <si>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</si>
  <si>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</si>
  <si>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</si>
  <si>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</si>
  <si>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</si>
  <si>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</si>
  <si>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</si>
  <si>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</si>
  <si>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</si>
  <si>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</si>
  <si>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</si>
  <si>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</si>
  <si>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</si>
  <si>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</si>
  <si>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</si>
  <si>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</si>
  <si>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</si>
  <si>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</si>
  <si>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</si>
  <si>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</si>
  <si>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</si>
  <si>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</si>
  <si>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</si>
  <si>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</si>
  <si>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</si>
  <si>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</si>
  <si>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</si>
  <si>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</si>
  <si>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</si>
  <si>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</si>
  <si>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</si>
  <si>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</si>
  <si>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</si>
  <si>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</si>
  <si>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</si>
  <si>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</si>
  <si>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</si>
  <si>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</si>
  <si>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</si>
  <si>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</si>
  <si>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</si>
  <si>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</si>
  <si>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</si>
  <si>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</si>
  <si>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</si>
  <si>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</si>
  <si>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</si>
  <si>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</si>
  <si>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</si>
  <si>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</si>
  <si>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</si>
  <si>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</si>
  <si>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</si>
  <si>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</si>
  <si>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</si>
  <si>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</si>
  <si>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</si>
  <si>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</si>
  <si>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</si>
  <si>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</si>
  <si>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</si>
  <si>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</si>
  <si>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</si>
  <si>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</si>
  <si>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</si>
  <si>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</si>
  <si>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</si>
  <si>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</si>
  <si>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</si>
  <si>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</si>
  <si>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</si>
  <si>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</si>
  <si>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</si>
  <si>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</si>
  <si>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</si>
  <si>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</si>
  <si>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</si>
  <si>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</si>
  <si>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</si>
  <si>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</si>
  <si>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</si>
  <si>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</si>
  <si>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</si>
  <si>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</si>
  <si>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</si>
  <si>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</si>
  <si>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</si>
  <si>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</si>
  <si>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</si>
  <si>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</si>
  <si>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</si>
  <si>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</si>
  <si>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</si>
  <si>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</si>
  <si>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</si>
  <si>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</si>
  <si>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</si>
  <si>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</si>
  <si>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</si>
  <si>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</si>
  <si>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</si>
  <si>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</si>
  <si>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</si>
  <si>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</si>
  <si>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</si>
  <si>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</si>
  <si>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</si>
  <si>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</si>
  <si>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</si>
  <si>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</si>
  <si>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</si>
  <si>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</si>
  <si>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</si>
  <si>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</si>
  <si>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</si>
  <si>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</si>
  <si>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</si>
  <si>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</si>
  <si>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</si>
  <si>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</si>
  <si>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</si>
  <si>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</si>
  <si>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</si>
  <si>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</si>
  <si>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</si>
  <si>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</si>
  <si>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</si>
  <si>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</si>
  <si>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</si>
  <si>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</si>
  <si>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</si>
  <si>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</si>
  <si>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</si>
  <si>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</si>
  <si>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</si>
  <si>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</si>
  <si>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</si>
  <si>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</si>
  <si>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</si>
  <si>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</si>
  <si>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</si>
  <si>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</si>
  <si>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</si>
  <si>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</si>
  <si>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</si>
  <si>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</si>
  <si>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</si>
  <si>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</si>
  <si>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</si>
  <si>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</si>
  <si>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</si>
  <si>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</si>
  <si>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</si>
  <si>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</si>
  <si>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</si>
  <si>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</si>
  <si>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</si>
  <si>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</si>
  <si>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</si>
  <si>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</si>
  <si>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</si>
  <si>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</si>
  <si>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</si>
  <si>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</si>
  <si>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</si>
  <si>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</si>
  <si>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</si>
  <si>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</si>
  <si>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</si>
  <si>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</si>
  <si>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</si>
  <si>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</si>
  <si>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</si>
  <si>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</si>
  <si>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</si>
  <si>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</si>
  <si>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</si>
  <si>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</si>
  <si>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</si>
  <si>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</si>
  <si>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</si>
  <si>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</si>
  <si>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</si>
  <si>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</si>
  <si>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</si>
  <si>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</si>
  <si>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</si>
  <si>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</si>
  <si>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</si>
  <si>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</si>
  <si>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</si>
  <si>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</si>
  <si>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</si>
  <si>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</si>
  <si>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</si>
  <si>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</si>
  <si>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</si>
  <si>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</si>
  <si>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</si>
  <si>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</si>
  <si>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</si>
  <si>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</si>
  <si>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</si>
  <si>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</si>
  <si>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</si>
  <si>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</si>
  <si>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</si>
  <si>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</si>
  <si>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</si>
  <si>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</si>
  <si>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</si>
  <si>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</si>
  <si>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</si>
  <si>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</si>
  <si>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</si>
  <si>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</si>
  <si>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</si>
  <si>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</si>
  <si>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</si>
  <si>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</si>
  <si>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</si>
  <si>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</si>
  <si>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</si>
  <si>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</si>
  <si>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</si>
  <si>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</si>
  <si>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</si>
  <si>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</si>
  <si>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</si>
  <si>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</si>
  <si>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</si>
  <si>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</si>
  <si>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</si>
  <si>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</si>
  <si>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</si>
  <si>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</si>
  <si>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</si>
  <si>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</si>
  <si>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</si>
  <si>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</si>
  <si>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</si>
  <si>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</si>
  <si>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</si>
  <si>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</si>
  <si>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</si>
  <si>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</si>
  <si>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</si>
  <si>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</si>
  <si>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</si>
  <si>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</si>
  <si>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</si>
  <si>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</si>
  <si>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</si>
  <si>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</si>
  <si>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</si>
  <si>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</si>
  <si>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</si>
  <si>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</si>
  <si>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</si>
  <si>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</si>
  <si>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</si>
  <si>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</si>
  <si>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</si>
  <si>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</si>
  <si>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</si>
  <si>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</si>
  <si>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</si>
  <si>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</si>
  <si>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</si>
  <si>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</si>
  <si>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</si>
  <si>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</si>
  <si>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</si>
  <si>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</si>
  <si>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</si>
  <si>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</si>
  <si>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</si>
  <si>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</si>
  <si>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</si>
  <si>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</si>
  <si>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</si>
  <si>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</si>
  <si>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</si>
  <si>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</si>
  <si>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</si>
  <si>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</si>
  <si>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</si>
  <si>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</si>
  <si>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</si>
  <si>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</si>
  <si>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</si>
  <si>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</si>
  <si>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</si>
  <si>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</si>
  <si>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</si>
  <si>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</si>
  <si>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</si>
  <si>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</si>
  <si>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</si>
  <si>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</si>
  <si>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</si>
  <si>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</si>
  <si>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</si>
  <si>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</si>
  <si>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</si>
  <si>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</si>
  <si>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</si>
  <si>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</si>
  <si>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</si>
  <si>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</si>
  <si>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</si>
  <si>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</si>
  <si>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</si>
  <si>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</si>
  <si>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</si>
  <si>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</si>
  <si>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</si>
  <si>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</si>
  <si>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</si>
  <si>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</si>
  <si>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</si>
  <si>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</si>
  <si>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</si>
  <si>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</si>
  <si>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</si>
  <si>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</si>
  <si>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</si>
  <si>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</si>
  <si>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</si>
  <si>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</si>
  <si>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</si>
  <si>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</si>
  <si>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</si>
  <si>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</si>
  <si>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</si>
  <si>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</si>
  <si>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</si>
  <si>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</si>
  <si>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CURVA PVC LONGA 45G, PVC, SÉRIE NORMAL, ESGOTO PREDIAL, DN 50 MM, JUNTA ELÁSTICA, FORNECIDO E INSTALADO EM RAMAL DE DESCARGA OU RAMAL DE ESGOTO SANITÁRIO. AF_08/2022</t>
  </si>
  <si>
    <t>CURVA PVC LONGA 45G, PVC, SÉRIE NORMAL, ESGOTO PREDIAL, DN 75 MM, JUNTA ELÁSTICA, FORNECIDO E INSTALADO EM RAMAL DE DESCARGA OU RAMAL DE ESGOTO SANITÁRIO. AF_08/2022</t>
  </si>
  <si>
    <t>CURVA LONGA 45 GRAUS, PVC, SÉRIE NORMAL, ESGOTO PREDIAL, DN 100 MM, JUNTA ELÁSTICA, FORNECIDO E INSTALADO EM RAMAL DE DESCARGA OU RAMAL DE ESGOTO SANITÁRIO. AF_08/2022</t>
  </si>
  <si>
    <t>CURVA PVC, 45 GRAUS, CURTA, PVC, SÉRIE NORMAL, ESGOTO PREDIAL, DN 100 MM, JUNTA ELÁSTICA, FORNECIDO E INSTALADO EM RAMAL DE DESCARGA OU RAMAL DE ESGOTO SANITÁRIO. AF_08/2022</t>
  </si>
  <si>
    <t>CURVA PVC LONGA 45G, PVC, SÉRIE NORMAL, ESGOTO PREDIAL, DN 50 MM, JUNTA ELÁSTICA, FORNECIDO E INSTALADO EM PRUMADA DE ESGOTO SANITÁRIO OU VENTILAÇÃO. AF_08/2022</t>
  </si>
  <si>
    <t>CURVA PVC LONGA 45G, PVC, SÉRIE NORMAL, ESGOTO PREDIAL, DN 75 MM, JUNTA ELÁSTICA, FORNECIDO E INSTALADO EM PRUMADA DE ESGOTO SANITÁRIO OU VENTILAÇÃO. AF_08/2022</t>
  </si>
  <si>
    <t>CURVA LONGA 45 GRAUS, PVC, SÉRIE NORMAL, ESGOTO PREDIAL, DN 100 MM, JUNTA ELÁSTICA, FORNECIDO E INSTALADO EM PRUMADA DE ESGOTO SANITÁRIO OU VENTILAÇÃO. AF_08/2022</t>
  </si>
  <si>
    <t>CURVA PVC, 45 GRAUS, CURTA, PVC, SÉRIE NORMAL, ESGOTO PREDIAL, DN 100 MM, JUNTA ELÁSTICA, FORNECIDO E INSTALADO EM PRUMADA DE ESGOTO SANITÁRIO OU VENTILAÇÃO. AF_08/2022</t>
  </si>
  <si>
    <t>CURVA LONGA 45 GRAUS, PVC, SÉRIE NORMAL, ESGOTO PREDIAL, DN 100 MM, JUNTA ELÁSTICA, FORNECIDO E INSTALADO EM SUBCOLETOR AÉREO DE ESGOTO SANITÁRIO. AF_08/2022</t>
  </si>
  <si>
    <t>CURVA PVC, 45 GRAUS, CURTA, PVC, SÉRIE NORMAL, ESGOTO PREDIAL, DN 100 MM, JUNTA ELÁSTICA, FORNECIDO E INSTALADO EM SUBCOLETOR AÉREO DE ESGOTO SANITÁRIO. AF_08/2022</t>
  </si>
  <si>
    <t>BUCHA DE REDUÇÃO LONGA, PVC, SÉRIE NORMAL, ESGOTO PREDIAL, DN 50 X 40 MM, JUNTA SOLDÁVEL E ELÁSTICA, FORNECIDO E INSTALADO EM RAMAL DE DESCARGA OU RAMAL DE ESGOTO SANITÁRIO. AF_08/2022</t>
  </si>
  <si>
    <t>TE, PVC, SÉRIE NORMAL, ESGOTO PREDIAL, DN 75 X 50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</si>
  <si>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</si>
  <si>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</si>
  <si>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</si>
  <si>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</si>
  <si>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</si>
  <si>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</si>
  <si>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TE, PVC, SÉRIE NORMAL, ESGOTO PREDIAL, DN 75 X 50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</si>
  <si>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</si>
  <si>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</si>
  <si>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</si>
  <si>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</si>
  <si>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</si>
  <si>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</si>
  <si>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</si>
  <si>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</si>
  <si>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</si>
  <si>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</si>
  <si>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</si>
  <si>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</si>
  <si>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</si>
  <si>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</si>
  <si>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</si>
  <si>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</si>
  <si>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</si>
  <si>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</si>
  <si>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</si>
  <si>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</si>
  <si>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</si>
  <si>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</si>
  <si>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</si>
  <si>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</si>
  <si>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</si>
  <si>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</si>
  <si>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</si>
  <si>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</si>
  <si>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</si>
  <si>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</si>
  <si>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</si>
  <si>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</si>
  <si>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</si>
  <si>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</si>
  <si>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</si>
  <si>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</si>
  <si>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</si>
  <si>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</si>
  <si>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</si>
  <si>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</si>
  <si>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</si>
  <si>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</si>
  <si>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</si>
  <si>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</si>
  <si>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</si>
  <si>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</si>
  <si>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</si>
  <si>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</si>
  <si>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</si>
  <si>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</si>
  <si>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</si>
  <si>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</si>
  <si>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</si>
  <si>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</si>
  <si>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</si>
  <si>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</si>
  <si>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</si>
  <si>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</si>
  <si>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</si>
  <si>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</si>
  <si>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</si>
  <si>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</si>
  <si>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</si>
  <si>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</si>
  <si>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</si>
  <si>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</si>
  <si>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</si>
  <si>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</si>
  <si>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</si>
  <si>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</si>
  <si>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</si>
  <si>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</si>
  <si>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</si>
  <si>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</si>
  <si>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</si>
  <si>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</si>
  <si>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</si>
  <si>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</si>
  <si>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</si>
  <si>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</si>
  <si>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</si>
  <si>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</si>
  <si>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</si>
  <si>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</si>
  <si>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</si>
  <si>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</si>
  <si>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</si>
  <si>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</si>
  <si>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</si>
  <si>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</si>
  <si>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</si>
  <si>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</si>
  <si>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</si>
  <si>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</si>
  <si>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</si>
  <si>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</si>
  <si>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</si>
  <si>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</si>
  <si>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</si>
  <si>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</si>
  <si>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</si>
  <si>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</si>
  <si>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</si>
  <si>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</si>
  <si>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</si>
  <si>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</si>
  <si>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</si>
  <si>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</si>
  <si>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</si>
  <si>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</si>
  <si>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</si>
  <si>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</si>
  <si>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</si>
  <si>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</si>
  <si>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</si>
  <si>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</si>
  <si>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</si>
  <si>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</si>
  <si>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</si>
  <si>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</si>
  <si>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</si>
  <si>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</si>
  <si>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</si>
  <si>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</si>
  <si>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</si>
  <si>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</si>
  <si>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</si>
  <si>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</si>
  <si>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</si>
  <si>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</si>
  <si>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</si>
  <si>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</si>
  <si>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</si>
  <si>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</si>
  <si>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</si>
  <si>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</si>
  <si>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</si>
  <si>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</si>
  <si>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</si>
  <si>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</si>
  <si>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</si>
  <si>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</si>
  <si>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</si>
  <si>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</si>
  <si>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</si>
  <si>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</si>
  <si>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</si>
  <si>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</si>
  <si>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</si>
  <si>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</si>
  <si>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</si>
  <si>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</si>
  <si>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</si>
  <si>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</si>
  <si>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</si>
  <si>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</si>
  <si>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</si>
  <si>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</si>
  <si>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</si>
  <si>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</si>
  <si>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</si>
  <si>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</si>
  <si>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</si>
  <si>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</si>
  <si>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</si>
  <si>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</si>
  <si>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</si>
  <si>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</si>
  <si>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</si>
  <si>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</si>
  <si>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</si>
  <si>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</si>
  <si>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</si>
  <si>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</si>
  <si>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</si>
  <si>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</si>
  <si>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</si>
  <si>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</si>
  <si>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</si>
  <si>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</si>
  <si>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</si>
  <si>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</si>
  <si>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</si>
  <si>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</si>
  <si>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</si>
  <si>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</si>
  <si>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</si>
  <si>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</si>
  <si>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</si>
  <si>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</si>
  <si>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</si>
  <si>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</si>
  <si>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</si>
  <si>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</si>
  <si>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</si>
  <si>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</si>
  <si>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</si>
  <si>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</si>
  <si>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</si>
  <si>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</si>
  <si>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</si>
  <si>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</si>
  <si>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</si>
  <si>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</si>
  <si>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</si>
  <si>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</si>
  <si>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</si>
  <si>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</si>
  <si>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</si>
  <si>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</si>
  <si>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</si>
  <si>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</si>
  <si>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</si>
  <si>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</si>
  <si>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</si>
  <si>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</si>
  <si>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</si>
  <si>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</si>
  <si>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</si>
  <si>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</si>
  <si>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</si>
  <si>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</si>
  <si>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</si>
  <si>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</si>
  <si>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</si>
  <si>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</si>
  <si>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</si>
  <si>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</si>
  <si>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</si>
  <si>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</si>
  <si>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</si>
  <si>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</si>
  <si>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</si>
  <si>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</si>
  <si>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</si>
  <si>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</si>
  <si>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</si>
  <si>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</si>
  <si>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</si>
  <si>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</si>
  <si>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</si>
  <si>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</si>
  <si>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</si>
  <si>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</si>
  <si>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</si>
  <si>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</si>
  <si>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</si>
  <si>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</si>
  <si>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</si>
  <si>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</si>
  <si>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</si>
  <si>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</si>
  <si>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</si>
  <si>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</si>
  <si>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</si>
  <si>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</si>
  <si>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</si>
  <si>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</si>
  <si>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</si>
  <si>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</si>
  <si>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</si>
  <si>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</si>
  <si>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</si>
  <si>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</si>
  <si>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</si>
  <si>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</si>
  <si>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</si>
  <si>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</si>
  <si>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</si>
  <si>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</si>
  <si>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</si>
  <si>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</si>
  <si>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</si>
  <si>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</si>
  <si>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</si>
  <si>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</si>
  <si>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</si>
  <si>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</si>
  <si>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</si>
  <si>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</si>
  <si>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</si>
  <si>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</si>
  <si>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</si>
  <si>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</si>
  <si>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</si>
  <si>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</si>
  <si>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</si>
  <si>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</si>
  <si>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</si>
  <si>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PLANTIO DE GRAMA BATATAIS EM PLACAS. AF_05/2018</t>
  </si>
  <si>
    <t>PLANTIO DE GRAMA ESMERALDA OU SÃO CARLOS OU CURITIBANA, EM PLACAS. AF_05/2022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</si>
  <si>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</si>
  <si>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</si>
  <si>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</si>
  <si>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</si>
  <si>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</si>
  <si>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</si>
  <si>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</si>
  <si>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</si>
  <si>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</si>
  <si>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</si>
  <si>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</si>
  <si>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</si>
  <si>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</si>
  <si>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</si>
  <si>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</si>
  <si>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</si>
  <si>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</si>
  <si>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</si>
  <si>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</si>
  <si>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</si>
  <si>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</si>
  <si>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</si>
  <si>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</si>
  <si>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</si>
  <si>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</si>
  <si>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</si>
  <si>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</si>
  <si>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</si>
  <si>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</si>
  <si>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</si>
  <si>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</si>
  <si>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</si>
  <si>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</si>
  <si>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</si>
  <si>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</si>
  <si>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</si>
  <si>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</si>
  <si>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</si>
  <si>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</si>
  <si>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</si>
  <si>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</si>
  <si>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</si>
  <si>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</si>
  <si>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</si>
  <si>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</si>
  <si>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</si>
  <si>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</si>
  <si>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</si>
  <si>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</si>
  <si>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</si>
  <si>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</si>
  <si>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</si>
  <si>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</si>
  <si>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</si>
  <si>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</si>
  <si>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</si>
  <si>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</si>
  <si>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</si>
  <si>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</si>
  <si>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</si>
  <si>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</si>
  <si>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</si>
  <si>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</si>
  <si>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</si>
  <si>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</si>
  <si>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</si>
  <si>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</si>
  <si>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</si>
  <si>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</si>
  <si>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</si>
  <si>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</si>
  <si>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</si>
  <si>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</si>
  <si>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</si>
  <si>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</si>
  <si>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</si>
  <si>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</si>
  <si>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</si>
  <si>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</si>
  <si>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</si>
  <si>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</si>
  <si>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</si>
  <si>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</si>
  <si>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</si>
  <si>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</si>
  <si>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</si>
  <si>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</si>
  <si>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</si>
  <si>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</si>
  <si>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</si>
  <si>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</si>
  <si>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</si>
  <si>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</si>
  <si>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</si>
  <si>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</si>
  <si>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</si>
  <si>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</si>
  <si>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</si>
  <si>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</si>
  <si>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</si>
  <si>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</si>
  <si>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</si>
  <si>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</si>
  <si>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</si>
  <si>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</si>
  <si>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</si>
  <si>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</si>
  <si>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</si>
  <si>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</si>
  <si>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</si>
  <si>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</si>
  <si>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</si>
  <si>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</si>
  <si>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</si>
  <si>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</si>
  <si>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</si>
  <si>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</si>
  <si>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</si>
  <si>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</si>
  <si>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</si>
  <si>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</si>
  <si>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</si>
  <si>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</si>
  <si>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</si>
  <si>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</si>
  <si>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</si>
  <si>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</si>
  <si>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</si>
  <si>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</si>
  <si>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</si>
  <si>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</si>
  <si>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</si>
  <si>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</si>
  <si>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</si>
  <si>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</si>
  <si>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</si>
  <si>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</si>
  <si>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</si>
  <si>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</si>
  <si>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</si>
  <si>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</si>
  <si>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</si>
  <si>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</si>
  <si>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</si>
  <si>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</si>
  <si>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</si>
  <si>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</si>
  <si>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</si>
  <si>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</si>
  <si>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</si>
  <si>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</si>
  <si>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</si>
  <si>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</si>
  <si>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</si>
  <si>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</si>
  <si>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</si>
  <si>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</si>
  <si>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</si>
  <si>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</si>
  <si>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</si>
  <si>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</si>
  <si>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</si>
  <si>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</si>
  <si>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</si>
  <si>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</si>
  <si>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</si>
  <si>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</si>
  <si>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</si>
  <si>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</si>
  <si>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</si>
  <si>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</si>
  <si>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</si>
  <si>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</si>
  <si>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</si>
  <si>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</si>
  <si>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</si>
  <si>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</si>
  <si>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</si>
  <si>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</si>
  <si>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</si>
  <si>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</si>
  <si>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</si>
  <si>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</si>
  <si>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</si>
  <si>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</si>
  <si>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</si>
  <si>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</si>
  <si>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</si>
  <si>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</si>
  <si>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</si>
  <si>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</si>
  <si>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</si>
  <si>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</si>
  <si>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</si>
  <si>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</si>
  <si>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</si>
  <si>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</si>
  <si>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</si>
  <si>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</si>
  <si>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</si>
  <si>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</si>
  <si>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</si>
  <si>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</si>
  <si>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</si>
  <si>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</si>
  <si>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</si>
  <si>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</si>
  <si>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</si>
  <si>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</si>
  <si>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</si>
  <si>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</si>
  <si>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</si>
  <si>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</si>
  <si>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</si>
  <si>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</si>
  <si>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</si>
  <si>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</si>
  <si>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</si>
  <si>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</si>
  <si>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</si>
  <si>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</si>
  <si>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</si>
  <si>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</si>
  <si>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</si>
  <si>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</si>
  <si>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</si>
  <si>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</si>
  <si>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</si>
  <si>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</si>
  <si>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</si>
  <si>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</si>
  <si>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</si>
  <si>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</si>
  <si>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</si>
  <si>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</si>
  <si>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</si>
  <si>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</si>
  <si>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</si>
  <si>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</si>
  <si>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</si>
  <si>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</si>
  <si>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</si>
  <si>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</si>
  <si>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</si>
  <si>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</si>
  <si>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</si>
  <si>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</si>
  <si>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</si>
  <si>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</si>
  <si>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</si>
  <si>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</si>
  <si>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</si>
  <si>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</si>
  <si>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</si>
  <si>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</si>
  <si>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</si>
  <si>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</si>
  <si>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</si>
  <si>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</si>
  <si>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</si>
  <si>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</si>
  <si>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</si>
  <si>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</si>
  <si>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</si>
  <si>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</si>
  <si>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</si>
  <si>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</si>
  <si>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</si>
  <si>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</si>
  <si>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</si>
  <si>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</si>
  <si>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</si>
  <si>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</si>
  <si>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</si>
  <si>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</si>
  <si>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</si>
  <si>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</si>
  <si>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</si>
  <si>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</si>
  <si>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</si>
  <si>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</si>
  <si>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</si>
  <si>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</si>
  <si>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</si>
  <si>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</si>
  <si>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</si>
  <si>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</si>
  <si>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</si>
  <si>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</si>
  <si>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</si>
  <si>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</si>
  <si>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</si>
  <si>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</si>
  <si>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</si>
  <si>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</si>
  <si>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</si>
  <si>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</si>
  <si>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</si>
  <si>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</si>
  <si>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</si>
  <si>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</si>
  <si>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</si>
  <si>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</si>
  <si>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</si>
  <si>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</si>
  <si>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</si>
  <si>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</si>
  <si>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</si>
  <si>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</si>
  <si>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</si>
  <si>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</si>
  <si>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</si>
  <si>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</si>
  <si>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</si>
  <si>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</si>
  <si>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</si>
  <si>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</si>
  <si>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</si>
  <si>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</si>
  <si>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</si>
  <si>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</si>
  <si>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</si>
  <si>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</si>
  <si>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</si>
  <si>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</si>
  <si>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</si>
  <si>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</si>
  <si>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</si>
  <si>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</si>
  <si>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</si>
  <si>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</si>
  <si>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</si>
  <si>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</si>
  <si>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</si>
  <si>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</si>
  <si>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</si>
  <si>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</si>
  <si>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</si>
  <si>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</si>
  <si>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</si>
  <si>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</si>
  <si>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</si>
  <si>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</si>
  <si>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</si>
  <si>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</si>
  <si>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</si>
  <si>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</si>
  <si>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</si>
  <si>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</si>
  <si>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</si>
  <si>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</si>
  <si>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</si>
  <si>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</si>
  <si>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</si>
  <si>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</si>
  <si>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</si>
  <si>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</si>
  <si>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</si>
  <si>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</si>
  <si>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</si>
  <si>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</si>
  <si>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</si>
  <si>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</si>
  <si>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</si>
  <si>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</si>
  <si>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</si>
  <si>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</si>
  <si>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</si>
  <si>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</si>
  <si>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</si>
  <si>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</si>
  <si>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</si>
  <si>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</si>
  <si>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</si>
  <si>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</si>
  <si>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</si>
  <si>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</si>
  <si>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</si>
  <si>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</si>
  <si>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</si>
  <si>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</si>
  <si>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</si>
  <si>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</si>
  <si>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</si>
  <si>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</si>
  <si>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</si>
  <si>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</si>
  <si>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</si>
  <si>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</si>
  <si>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</si>
  <si>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</si>
  <si>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</si>
  <si>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</si>
  <si>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</si>
  <si>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</si>
  <si>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</si>
  <si>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</si>
  <si>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</si>
  <si>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</si>
  <si>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</si>
  <si>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</si>
  <si>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</si>
  <si>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</si>
  <si>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</si>
  <si>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</si>
  <si>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</si>
  <si>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</si>
  <si>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</si>
  <si>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</si>
  <si>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</si>
  <si>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</si>
  <si>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</si>
  <si>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</si>
  <si>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</si>
  <si>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</si>
  <si>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</si>
  <si>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</si>
  <si>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</si>
  <si>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</si>
  <si>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</si>
  <si>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</si>
  <si>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</si>
  <si>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</si>
  <si>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</si>
  <si>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</si>
  <si>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</si>
  <si>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</si>
  <si>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</si>
  <si>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</si>
  <si>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</si>
  <si>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</si>
  <si>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</si>
  <si>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</si>
  <si>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</si>
  <si>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</si>
  <si>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</si>
  <si>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</si>
  <si>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</si>
  <si>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</si>
  <si>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</si>
  <si>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</si>
  <si>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</si>
  <si>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</si>
  <si>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</si>
  <si>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</si>
  <si>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</si>
  <si>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</si>
  <si>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</si>
  <si>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</si>
  <si>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</si>
  <si>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</si>
  <si>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</si>
  <si>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</si>
  <si>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</si>
  <si>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</si>
  <si>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</si>
  <si>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</si>
  <si>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</si>
  <si>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</si>
  <si>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</si>
  <si>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</si>
  <si>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</si>
  <si>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</si>
  <si>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</si>
  <si>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</si>
  <si>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</si>
  <si>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</si>
  <si>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</si>
  <si>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</si>
  <si>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</si>
  <si>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</si>
  <si>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</si>
  <si>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</si>
  <si>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</si>
  <si>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</si>
  <si>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</si>
  <si>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</si>
  <si>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</si>
  <si>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</si>
  <si>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</si>
  <si>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</si>
  <si>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</si>
  <si>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</si>
  <si>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</si>
  <si>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</si>
  <si>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</si>
  <si>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</si>
  <si>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</si>
  <si>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</si>
  <si>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</si>
  <si>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</si>
  <si>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</si>
  <si>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</si>
  <si>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</si>
  <si>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</si>
  <si>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</si>
  <si>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</si>
  <si>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</si>
  <si>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</si>
  <si>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</si>
  <si>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</si>
  <si>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</si>
  <si>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</si>
  <si>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</si>
  <si>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</si>
  <si>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</si>
  <si>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</si>
  <si>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</si>
  <si>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</si>
  <si>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</si>
  <si>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</si>
  <si>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</si>
  <si>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</si>
  <si>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</si>
  <si>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</si>
  <si>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</si>
  <si>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</si>
  <si>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</si>
  <si>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</si>
  <si>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</si>
  <si>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</si>
  <si>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</si>
  <si>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</si>
  <si>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</si>
  <si>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</si>
  <si>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</si>
  <si>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</si>
  <si>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</si>
  <si>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</si>
  <si>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</si>
  <si>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</si>
  <si>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</si>
  <si>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</si>
  <si>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</si>
  <si>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</si>
  <si>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</si>
  <si>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</si>
  <si>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</si>
  <si>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</si>
  <si>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</si>
  <si>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</si>
  <si>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</si>
  <si>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</si>
  <si>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</si>
  <si>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</si>
  <si>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</si>
  <si>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</si>
  <si>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</si>
  <si>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</si>
  <si>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</si>
  <si>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</si>
  <si>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</si>
  <si>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</si>
  <si>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</si>
  <si>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</si>
  <si>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</si>
  <si>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</si>
  <si>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</si>
  <si>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</si>
  <si>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</si>
  <si>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</si>
  <si>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</si>
  <si>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</si>
  <si>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</si>
  <si>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</si>
  <si>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</si>
  <si>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</si>
  <si>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</si>
  <si>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</si>
  <si>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</si>
  <si>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</si>
  <si>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</si>
  <si>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</si>
  <si>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</si>
  <si>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</si>
  <si>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</si>
  <si>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</si>
  <si>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</si>
  <si>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</si>
  <si>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</si>
  <si>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</si>
  <si>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</si>
  <si>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</si>
  <si>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</si>
  <si>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</si>
  <si>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</si>
  <si>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</si>
  <si>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</si>
  <si>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</si>
  <si>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</si>
  <si>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</si>
  <si>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</si>
  <si>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</si>
  <si>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</si>
  <si>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</si>
  <si>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</si>
  <si>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</si>
  <si>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</si>
  <si>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</si>
  <si>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</si>
  <si>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</si>
  <si>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</si>
  <si>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</si>
  <si>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</si>
  <si>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</si>
  <si>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</si>
  <si>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</si>
  <si>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</si>
  <si>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</si>
  <si>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</si>
  <si>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</si>
  <si>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</si>
  <si>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</si>
  <si>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</si>
  <si>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</si>
  <si>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</si>
  <si>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</si>
  <si>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</si>
  <si>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</si>
  <si>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</si>
  <si>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</si>
  <si>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</si>
  <si>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</si>
  <si>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</si>
  <si>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</si>
  <si>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</si>
  <si>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</si>
  <si>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</si>
  <si>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</si>
  <si>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</si>
  <si>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</si>
  <si>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</si>
  <si>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</si>
  <si>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</si>
  <si>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</si>
  <si>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</si>
  <si>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</si>
  <si>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</si>
  <si>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</si>
  <si>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</si>
  <si>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</si>
  <si>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</si>
  <si>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</si>
  <si>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</si>
  <si>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</si>
  <si>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</si>
  <si>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</si>
  <si>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</si>
  <si>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</si>
  <si>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</si>
  <si>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</si>
  <si>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</si>
  <si>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</si>
  <si>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</si>
  <si>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</si>
  <si>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</si>
  <si>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</si>
  <si>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</si>
  <si>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</si>
  <si>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</si>
  <si>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</si>
  <si>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</si>
  <si>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</si>
  <si>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</si>
  <si>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</si>
  <si>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</si>
  <si>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</si>
  <si>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</si>
  <si>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</si>
  <si>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</si>
  <si>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</si>
  <si>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</si>
  <si>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</si>
  <si>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</si>
  <si>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</si>
  <si>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</si>
  <si>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</si>
  <si>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</si>
  <si>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</si>
  <si>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</si>
  <si>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</si>
  <si>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</si>
  <si>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</si>
  <si>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</si>
  <si>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</si>
  <si>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</si>
  <si>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</si>
  <si>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</si>
  <si>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</si>
  <si>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</si>
  <si>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</si>
  <si>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</si>
  <si>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</si>
  <si>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</si>
  <si>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</si>
  <si>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</si>
  <si>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</si>
  <si>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</si>
  <si>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</si>
  <si>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</si>
  <si>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</si>
  <si>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</si>
  <si>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</si>
  <si>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</si>
  <si>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</si>
  <si>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</si>
  <si>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</si>
  <si>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</si>
  <si>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</si>
  <si>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</si>
  <si>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</si>
  <si>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</si>
  <si>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</si>
  <si>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</si>
  <si>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</si>
  <si>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</si>
  <si>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</si>
  <si>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</si>
  <si>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</si>
  <si>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</si>
  <si>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</si>
  <si>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</si>
  <si>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</si>
  <si>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</si>
  <si>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</si>
  <si>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</si>
  <si>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</si>
  <si>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</si>
  <si>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</si>
  <si>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</si>
  <si>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</si>
  <si>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</si>
  <si>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</si>
  <si>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</si>
  <si>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</si>
  <si>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</si>
  <si>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</si>
  <si>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</si>
  <si>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</si>
  <si>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</si>
  <si>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</si>
  <si>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</si>
  <si>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</si>
  <si>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</si>
  <si>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</si>
  <si>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</si>
  <si>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</si>
  <si>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</si>
  <si>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</si>
  <si>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</si>
  <si>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</si>
  <si>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</si>
  <si>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</si>
  <si>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</si>
  <si>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</si>
  <si>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</si>
  <si>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</si>
  <si>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</si>
  <si>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</si>
  <si>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</si>
  <si>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</si>
  <si>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</si>
  <si>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</si>
  <si>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</si>
  <si>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</si>
  <si>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</si>
  <si>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</si>
  <si>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</si>
  <si>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</si>
  <si>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</si>
  <si>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</si>
  <si>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</si>
  <si>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</si>
  <si>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</si>
  <si>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</si>
  <si>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</si>
  <si>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</si>
  <si>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</si>
  <si>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</si>
  <si>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</si>
  <si>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</si>
  <si>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</si>
  <si>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</si>
  <si>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</si>
  <si>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</si>
  <si>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</si>
  <si>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</si>
  <si>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</si>
  <si>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</si>
  <si>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</si>
  <si>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</si>
  <si>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</si>
  <si>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</si>
  <si>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</si>
  <si>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</si>
  <si>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</si>
  <si>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</si>
  <si>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</si>
  <si>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</si>
  <si>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</si>
  <si>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</si>
  <si>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</si>
  <si>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</si>
  <si>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</si>
  <si>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</si>
  <si>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</si>
  <si>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</si>
  <si>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</si>
  <si>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</si>
  <si>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</si>
  <si>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</si>
  <si>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</si>
  <si>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</si>
  <si>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</si>
  <si>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</si>
  <si>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</si>
  <si>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</si>
  <si>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</si>
  <si>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</si>
  <si>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</si>
  <si>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</si>
  <si>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</si>
  <si>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</si>
  <si>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</si>
  <si>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</si>
  <si>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</si>
  <si>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</si>
  <si>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</si>
  <si>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</si>
  <si>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</si>
  <si>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</si>
  <si>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</si>
  <si>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</si>
  <si>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</si>
  <si>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</si>
  <si>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</si>
  <si>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</si>
  <si>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</si>
  <si>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</si>
  <si>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</si>
  <si>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</si>
  <si>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</si>
  <si>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</si>
  <si>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</si>
  <si>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</si>
  <si>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</si>
  <si>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</si>
  <si>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</si>
  <si>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</si>
  <si>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</si>
  <si>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</si>
  <si>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</si>
  <si>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</si>
  <si>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</si>
  <si>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</si>
  <si>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</si>
  <si>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</si>
  <si>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</si>
  <si>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</si>
  <si>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</si>
  <si>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</si>
  <si>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</si>
  <si>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</si>
  <si>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</si>
  <si>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</si>
  <si>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</si>
  <si>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</si>
  <si>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</si>
  <si>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</si>
  <si>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</si>
  <si>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</si>
  <si>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</si>
  <si>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</si>
  <si>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</si>
  <si>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</si>
  <si>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</si>
  <si>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</si>
  <si>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</si>
  <si>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</si>
  <si>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</si>
  <si>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</si>
  <si>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</si>
  <si>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</si>
  <si>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</si>
  <si>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</si>
  <si>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</si>
  <si>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</si>
  <si>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</si>
  <si>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</si>
  <si>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</si>
  <si>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</si>
  <si>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</si>
  <si>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</si>
  <si>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</si>
  <si>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</si>
  <si>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</si>
  <si>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</si>
  <si>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</si>
  <si>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</si>
  <si>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</si>
  <si>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</si>
  <si>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</si>
  <si>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</si>
  <si>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</si>
  <si>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</si>
  <si>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</si>
  <si>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</si>
  <si>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</si>
  <si>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</si>
  <si>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</si>
  <si>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</si>
  <si>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</si>
  <si>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</si>
  <si>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</si>
  <si>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</si>
  <si>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</si>
  <si>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</si>
  <si>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</si>
  <si>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</si>
  <si>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</si>
  <si>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</si>
  <si>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</si>
  <si>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</si>
  <si>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</si>
  <si>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</si>
  <si>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</si>
  <si>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</si>
  <si>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</si>
  <si>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</si>
  <si>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</si>
  <si>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</si>
  <si>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</si>
  <si>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</si>
  <si>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</si>
  <si>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</si>
  <si>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</si>
  <si>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</si>
  <si>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</si>
  <si>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</si>
  <si>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</si>
  <si>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</si>
  <si>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</si>
  <si>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</si>
  <si>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</si>
  <si>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</si>
  <si>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</si>
  <si>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</si>
  <si>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</si>
  <si>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</si>
  <si>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</si>
  <si>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</si>
  <si>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</si>
  <si>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</si>
  <si>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</si>
  <si>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</si>
  <si>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</si>
  <si>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</si>
  <si>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</si>
  <si>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</si>
  <si>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</si>
  <si>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</si>
  <si>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</si>
  <si>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</si>
  <si>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</si>
  <si>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</si>
  <si>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</si>
  <si>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</si>
  <si>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</si>
  <si>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</si>
  <si>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</si>
  <si>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</si>
  <si>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</si>
  <si>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</si>
  <si>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</si>
  <si>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</si>
  <si>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</si>
  <si>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</si>
  <si>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</si>
  <si>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</si>
  <si>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</si>
  <si>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</si>
  <si>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</si>
  <si>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</si>
  <si>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</si>
  <si>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</si>
  <si>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</si>
  <si>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</si>
  <si>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</si>
  <si>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</si>
  <si>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</si>
  <si>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</si>
  <si>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</si>
  <si>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</si>
  <si>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</si>
  <si>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</si>
  <si>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</si>
  <si>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</si>
  <si>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</si>
  <si>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</si>
  <si>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</si>
  <si>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</si>
  <si>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</si>
  <si>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</si>
  <si>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</si>
  <si>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</si>
  <si>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</si>
  <si>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</si>
  <si>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</si>
  <si>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</si>
  <si>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</si>
  <si>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</si>
  <si>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</si>
  <si>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</si>
  <si>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</si>
  <si>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</si>
  <si>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</si>
  <si>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</si>
  <si>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</si>
  <si>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</si>
  <si>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</si>
  <si>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</si>
  <si>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</si>
  <si>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</si>
  <si>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</si>
  <si>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</si>
  <si>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</si>
  <si>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</si>
  <si>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</si>
  <si>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</si>
  <si>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</si>
  <si>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</si>
  <si>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</si>
  <si>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</si>
  <si>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</si>
  <si>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</si>
  <si>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</si>
  <si>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</si>
  <si>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</si>
  <si>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</si>
  <si>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</si>
  <si>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</si>
  <si>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</si>
  <si>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</si>
  <si>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</si>
  <si>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</si>
  <si>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</si>
  <si>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</si>
  <si>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</si>
  <si>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</si>
  <si>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</si>
  <si>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</si>
  <si>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</si>
  <si>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</si>
  <si>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</si>
  <si>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</si>
  <si>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</si>
  <si>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</si>
  <si>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</si>
  <si>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</si>
  <si>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</si>
  <si>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</si>
  <si>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</si>
  <si>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</si>
  <si>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</si>
  <si>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</si>
  <si>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</si>
  <si>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</si>
  <si>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</si>
  <si>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</si>
  <si>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</si>
  <si>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</si>
  <si>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</si>
  <si>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</si>
  <si>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</si>
  <si>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</si>
  <si>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</si>
  <si>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</si>
  <si>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</si>
  <si>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</si>
  <si>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</si>
  <si>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</si>
  <si>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</si>
  <si>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</si>
  <si>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</si>
  <si>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</si>
  <si>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</si>
  <si>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</si>
  <si>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</si>
  <si>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</si>
  <si>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</si>
  <si>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</si>
  <si>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</si>
  <si>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</si>
  <si>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</si>
  <si>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</si>
  <si>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</si>
  <si>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</si>
  <si>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</si>
  <si>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</si>
  <si>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</si>
  <si>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</si>
  <si>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</si>
  <si>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</si>
  <si>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</si>
  <si>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</si>
  <si>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</si>
  <si>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</si>
  <si>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</si>
  <si>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</si>
  <si>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</si>
  <si>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</si>
  <si>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</si>
  <si>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</si>
  <si>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</si>
  <si>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</si>
  <si>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</si>
  <si>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</si>
  <si>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</si>
  <si>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</si>
  <si>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</si>
  <si>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</si>
  <si>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</si>
  <si>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</si>
  <si>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</si>
  <si>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</si>
  <si>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</si>
  <si>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</si>
  <si>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</si>
  <si>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</si>
  <si>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</si>
  <si>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</si>
  <si>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</si>
  <si>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</si>
  <si>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</si>
  <si>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</si>
  <si>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</si>
  <si>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</si>
  <si>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</si>
  <si>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</si>
  <si>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</si>
  <si>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</si>
  <si>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</si>
  <si>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</si>
  <si>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</si>
  <si>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</si>
  <si>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</si>
  <si>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</si>
  <si>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</si>
  <si>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</si>
  <si>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</si>
  <si>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</si>
  <si>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</si>
  <si>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</si>
  <si>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</si>
  <si>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</si>
  <si>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</si>
  <si>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</si>
  <si>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</si>
  <si>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</si>
  <si>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</si>
  <si>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</si>
  <si>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</si>
  <si>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</si>
  <si>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</si>
  <si>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</si>
  <si>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</si>
  <si>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</si>
  <si>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</si>
  <si>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</si>
  <si>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</si>
  <si>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</si>
  <si>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</si>
  <si>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</si>
  <si>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</si>
  <si>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</si>
  <si>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</si>
  <si>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</si>
  <si>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</si>
  <si>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</si>
  <si>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</si>
  <si>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</si>
  <si>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</si>
  <si>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</si>
  <si>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</si>
  <si>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</si>
  <si>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</si>
  <si>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</si>
  <si>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</si>
  <si>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</si>
  <si>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</si>
  <si>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</si>
  <si>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</si>
  <si>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</si>
  <si>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</si>
  <si>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</si>
  <si>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</si>
  <si>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</si>
  <si>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</si>
  <si>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</si>
  <si>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</si>
  <si>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</si>
  <si>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</si>
  <si>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</si>
  <si>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</si>
  <si>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</si>
  <si>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</si>
  <si>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</si>
  <si>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</si>
  <si>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</si>
  <si>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</si>
  <si>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</si>
  <si>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</si>
  <si>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</si>
  <si>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</si>
  <si>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</si>
  <si>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</si>
  <si>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</si>
  <si>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</si>
  <si>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</si>
  <si>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</si>
  <si>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</si>
  <si>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</si>
  <si>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</si>
  <si>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</si>
  <si>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</si>
  <si>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</si>
  <si>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</si>
  <si>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</si>
  <si>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</si>
  <si>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</si>
  <si>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</si>
  <si>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</si>
  <si>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</si>
  <si>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</si>
  <si>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</si>
  <si>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</si>
  <si>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</si>
  <si>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</si>
  <si>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</si>
  <si>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</si>
  <si>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</si>
  <si>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</si>
  <si>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</si>
  <si>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</si>
  <si>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</si>
  <si>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</si>
  <si>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</si>
  <si>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</si>
  <si>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</si>
  <si>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</si>
  <si>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</si>
  <si>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</si>
  <si>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</si>
  <si>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</si>
  <si>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</si>
  <si>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</si>
  <si>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</si>
  <si>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</si>
  <si>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</si>
  <si>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</si>
  <si>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</si>
  <si>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</si>
  <si>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</si>
  <si>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</si>
  <si>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</si>
  <si>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</si>
  <si>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</si>
  <si>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</si>
  <si>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</si>
  <si>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</si>
  <si>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</si>
  <si>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</si>
  <si>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</si>
  <si>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</si>
  <si>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</si>
  <si>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</si>
  <si>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</si>
  <si>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</si>
  <si>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</si>
  <si>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</si>
  <si>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</si>
  <si>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</si>
  <si>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</si>
  <si>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</si>
  <si>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</si>
  <si>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</si>
  <si>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</si>
  <si>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</si>
  <si>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</si>
  <si>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</si>
  <si>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</si>
  <si>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</si>
  <si>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</si>
  <si>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</si>
  <si>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</si>
  <si>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</si>
  <si>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</si>
  <si>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</si>
  <si>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</si>
  <si>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</si>
  <si>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</si>
  <si>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</si>
  <si>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</si>
  <si>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</si>
  <si>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</si>
  <si>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</si>
  <si>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</si>
  <si>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</si>
  <si>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</si>
  <si>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</si>
  <si>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</si>
  <si>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</si>
  <si>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</si>
  <si>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</si>
  <si>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</si>
  <si>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</si>
  <si>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</si>
  <si>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</si>
  <si>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</si>
  <si>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</si>
  <si>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</si>
  <si>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</si>
  <si>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</si>
  <si>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</si>
  <si>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</si>
  <si>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</si>
  <si>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</si>
  <si>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</si>
  <si>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</si>
  <si>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</si>
  <si>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</si>
  <si>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</si>
  <si>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</si>
  <si>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</si>
  <si>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</si>
  <si>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</si>
  <si>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</si>
  <si>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</si>
  <si>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</si>
  <si>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</si>
  <si>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</si>
  <si>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</si>
  <si>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</si>
  <si>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</si>
  <si>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</si>
  <si>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</si>
  <si>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</si>
  <si>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</si>
  <si>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</si>
  <si>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</si>
  <si>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</si>
  <si>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</si>
  <si>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</si>
  <si>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</si>
  <si>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</si>
  <si>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</si>
  <si>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</si>
  <si>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</si>
  <si>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</si>
  <si>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</si>
  <si>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</si>
  <si>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</si>
  <si>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</si>
  <si>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</si>
  <si>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</si>
  <si>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</si>
  <si>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</si>
  <si>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</si>
  <si>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</si>
  <si>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</si>
  <si>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</si>
  <si>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</si>
  <si>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</si>
  <si>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</si>
  <si>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</si>
  <si>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</si>
  <si>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</si>
  <si>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</si>
  <si>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</si>
  <si>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</si>
  <si>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</si>
  <si>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</si>
  <si>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</si>
  <si>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</si>
  <si>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</si>
  <si>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</si>
  <si>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</si>
  <si>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</si>
  <si>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</si>
  <si>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</si>
  <si>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</si>
  <si>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</si>
  <si>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</si>
  <si>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</si>
  <si>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</si>
  <si>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</si>
  <si>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</si>
  <si>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</si>
  <si>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</si>
  <si>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</si>
  <si>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</si>
  <si>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</si>
  <si>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</si>
  <si>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</si>
  <si>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</si>
  <si>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</si>
  <si>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</si>
  <si>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</si>
  <si>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</si>
  <si>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</si>
  <si>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</si>
  <si>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</si>
  <si>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</si>
  <si>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</si>
  <si>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</si>
  <si>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</si>
  <si>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</si>
  <si>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</si>
  <si>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</si>
  <si>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</si>
  <si>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</si>
  <si>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</si>
  <si>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</si>
  <si>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</si>
  <si>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</si>
  <si>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</si>
  <si>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</si>
  <si>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</si>
  <si>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</si>
  <si>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</si>
  <si>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</si>
  <si>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</si>
  <si>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</si>
  <si>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</si>
  <si>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</si>
  <si>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</si>
  <si>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</si>
  <si>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</si>
  <si>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</si>
  <si>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</si>
  <si>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</si>
  <si>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</si>
  <si>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</si>
  <si>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</si>
  <si>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</si>
  <si>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</si>
  <si>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</si>
  <si>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</si>
  <si>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</si>
  <si>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</si>
  <si>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</si>
  <si>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</si>
  <si>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</si>
  <si>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</si>
  <si>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</si>
  <si>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</si>
  <si>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</si>
  <si>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</si>
  <si>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</si>
  <si>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</si>
  <si>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</si>
  <si>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</si>
  <si>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</si>
  <si>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</si>
  <si>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</si>
  <si>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</si>
  <si>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</si>
  <si>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</si>
  <si>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</si>
  <si>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</si>
  <si>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</si>
  <si>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</si>
  <si>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</si>
  <si>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</si>
  <si>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</si>
  <si>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</si>
  <si>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</si>
  <si>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</si>
  <si>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</si>
  <si>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</si>
  <si>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</si>
  <si>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</si>
  <si>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</si>
  <si>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</si>
  <si>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</si>
  <si>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</si>
  <si>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</si>
  <si>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</si>
  <si>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</si>
  <si>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</si>
  <si>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</si>
  <si>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</si>
  <si>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</si>
  <si>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</si>
  <si>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</si>
  <si>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</si>
  <si>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</si>
  <si>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</si>
  <si>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</si>
  <si>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</si>
  <si>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</si>
  <si>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</si>
  <si>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</si>
  <si>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</si>
  <si>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</si>
  <si>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</si>
  <si>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</si>
  <si>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</si>
  <si>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</si>
  <si>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</si>
  <si>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</si>
  <si>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</si>
  <si>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</si>
  <si>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</si>
  <si>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</si>
  <si>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</si>
  <si>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</si>
  <si>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</si>
  <si>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</si>
  <si>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</si>
  <si>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</si>
  <si>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</si>
  <si>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</si>
  <si>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</si>
  <si>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</si>
  <si>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</si>
  <si>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</si>
  <si>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</si>
  <si>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</si>
  <si>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</si>
  <si>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</si>
  <si>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</si>
  <si>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</si>
  <si>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</si>
  <si>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</si>
  <si>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</si>
  <si>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</si>
  <si>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</si>
  <si>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</si>
  <si>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</si>
  <si>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</si>
  <si>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</si>
  <si>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</si>
  <si>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</si>
  <si>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</si>
  <si>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</si>
  <si>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</si>
  <si>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</si>
  <si>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</si>
  <si>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</si>
  <si>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</si>
  <si>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</si>
  <si>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</si>
  <si>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</si>
  <si>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</si>
  <si>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</si>
  <si>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</si>
  <si>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</si>
  <si>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</si>
  <si>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</si>
  <si>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</si>
  <si>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</si>
  <si>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</si>
  <si>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</si>
  <si>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</si>
  <si>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</si>
  <si>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</si>
  <si>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</si>
  <si>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</si>
  <si>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</si>
  <si>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</si>
  <si>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</si>
  <si>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</si>
  <si>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</si>
  <si>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</si>
  <si>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</si>
  <si>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</si>
  <si>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</si>
  <si>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</si>
  <si>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</si>
  <si>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</si>
  <si>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</si>
  <si>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</si>
  <si>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</si>
  <si>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</si>
  <si>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</si>
  <si>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</si>
  <si>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</si>
  <si>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</si>
  <si>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</si>
  <si>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</si>
  <si>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</si>
  <si>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</si>
  <si>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</si>
  <si>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</si>
  <si>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</si>
  <si>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</si>
  <si>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</si>
  <si>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</si>
  <si>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</si>
  <si>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</si>
  <si>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</si>
  <si>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</si>
  <si>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</si>
  <si>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</si>
  <si>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</si>
  <si>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</si>
  <si>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</si>
  <si>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</si>
  <si>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</si>
  <si>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</si>
  <si>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</si>
  <si>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</si>
  <si>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</si>
  <si>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</si>
  <si>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</si>
  <si>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</si>
  <si>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</si>
  <si>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</si>
  <si>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</si>
  <si>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</si>
  <si>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</si>
  <si>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</si>
  <si>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</si>
  <si>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</si>
  <si>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</si>
  <si>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</si>
  <si>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</si>
  <si>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</si>
  <si>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</si>
  <si>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</si>
  <si>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</si>
  <si>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</si>
  <si>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</si>
  <si>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</si>
  <si>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</si>
  <si>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</si>
  <si>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</si>
  <si>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</si>
  <si>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</si>
  <si>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</si>
  <si>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</si>
  <si>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</si>
  <si>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</si>
  <si>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</si>
  <si>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</si>
  <si>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</si>
  <si>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</si>
  <si>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</si>
  <si>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</si>
  <si>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</si>
  <si>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</si>
  <si>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</si>
  <si>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</si>
  <si>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</si>
  <si>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</si>
  <si>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</si>
  <si>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</si>
  <si>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</si>
  <si>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</si>
  <si>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</si>
  <si>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</si>
  <si>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</si>
  <si>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</si>
  <si>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</si>
  <si>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</si>
  <si>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</si>
  <si>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</si>
  <si>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</si>
  <si>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</si>
  <si>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</si>
  <si>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</si>
  <si>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</si>
  <si>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</si>
  <si>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</si>
  <si>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</si>
  <si>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</si>
  <si>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</si>
  <si>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</si>
  <si>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</si>
  <si>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</si>
  <si>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</si>
  <si>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</si>
  <si>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</si>
  <si>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</si>
  <si>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</si>
  <si>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</si>
  <si>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</si>
  <si>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</si>
  <si>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</si>
  <si>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</si>
  <si>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</si>
  <si>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</si>
  <si>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</si>
  <si>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</si>
  <si>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</si>
  <si>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</si>
  <si>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</si>
  <si>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</si>
  <si>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</si>
  <si>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</si>
  <si>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</si>
  <si>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</si>
  <si>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</si>
  <si>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</si>
  <si>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</si>
  <si>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</si>
  <si>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</si>
  <si>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</si>
  <si>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</si>
  <si>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</si>
  <si>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</si>
  <si>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</si>
  <si>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</si>
  <si>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</si>
  <si>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</si>
  <si>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</si>
  <si>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</si>
  <si>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</si>
  <si>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</si>
  <si>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</si>
  <si>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</si>
  <si>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</si>
  <si>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</si>
  <si>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</si>
  <si>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</si>
  <si>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</si>
  <si>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</si>
  <si>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</si>
  <si>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</si>
  <si>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</si>
  <si>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</si>
  <si>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</si>
  <si>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</si>
  <si>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</si>
  <si>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</si>
  <si>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</si>
  <si>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</si>
  <si>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</si>
  <si>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</si>
  <si>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</si>
  <si>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</si>
  <si>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</si>
  <si>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</si>
  <si>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</si>
  <si>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</si>
  <si>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</si>
  <si>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</si>
  <si>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</si>
  <si>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</si>
  <si>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</si>
  <si>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</si>
  <si>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</si>
  <si>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</si>
  <si>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</si>
  <si>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</si>
  <si>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</si>
  <si>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</si>
  <si>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</si>
  <si>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</si>
  <si>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</si>
  <si>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</si>
  <si>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</si>
  <si>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</si>
  <si>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</si>
  <si>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</si>
  <si>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</si>
  <si>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</si>
  <si>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</si>
  <si>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</si>
  <si>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</si>
  <si>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</si>
  <si>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</si>
  <si>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</si>
  <si>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</si>
  <si>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</si>
  <si>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</si>
  <si>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</si>
  <si>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</si>
  <si>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</si>
  <si>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</si>
  <si>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</si>
  <si>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</si>
  <si>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</si>
  <si>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</si>
  <si>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</si>
  <si>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</si>
  <si>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</si>
  <si>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</si>
  <si>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</si>
  <si>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</si>
  <si>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</si>
  <si>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</si>
  <si>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</si>
  <si>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</si>
  <si>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</si>
  <si>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</si>
  <si>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</si>
  <si>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</si>
  <si>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</si>
  <si>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</si>
  <si>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</si>
  <si>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</si>
  <si>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</si>
  <si>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</si>
  <si>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</si>
  <si>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</si>
  <si>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</si>
  <si>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</si>
  <si>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</si>
  <si>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</si>
  <si>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</si>
  <si>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</si>
  <si>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</si>
  <si>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</si>
  <si>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</si>
  <si>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</si>
  <si>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</si>
  <si>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</si>
  <si>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</si>
  <si>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</si>
  <si>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</si>
  <si>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</si>
  <si>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</si>
  <si>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</si>
  <si>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</si>
  <si>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</si>
  <si>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</si>
  <si>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</si>
  <si>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</si>
  <si>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</si>
  <si>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</si>
  <si>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</si>
  <si>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</si>
  <si>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</si>
  <si>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</si>
  <si>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</si>
  <si>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</si>
  <si>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</si>
  <si>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</si>
  <si>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</si>
  <si>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</si>
  <si>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</si>
  <si>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</si>
  <si>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</si>
  <si>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</si>
  <si>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</si>
  <si>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</si>
  <si>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</si>
  <si>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</si>
  <si>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</si>
  <si>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</si>
  <si>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</si>
  <si>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</si>
  <si>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</si>
  <si>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</si>
  <si>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</si>
  <si>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</si>
  <si>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</si>
  <si>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</si>
  <si>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</si>
  <si>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</si>
  <si>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</si>
  <si>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</si>
  <si>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</si>
  <si>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</si>
  <si>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</si>
  <si>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</si>
  <si>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</si>
  <si>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</si>
  <si>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</si>
  <si>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</si>
  <si>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</si>
  <si>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</si>
  <si>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</si>
  <si>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</si>
  <si>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</si>
  <si>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</si>
  <si>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</si>
  <si>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</si>
  <si>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</si>
  <si>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</si>
  <si>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</si>
  <si>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</si>
  <si>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</si>
  <si>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</si>
  <si>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</si>
  <si>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</si>
  <si>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</si>
  <si>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</si>
  <si>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</si>
  <si>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</si>
  <si>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</si>
  <si>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</si>
  <si>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</si>
  <si>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</si>
  <si>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</si>
  <si>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</si>
  <si>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</si>
  <si>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</si>
  <si>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</si>
  <si>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</si>
  <si>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</si>
  <si>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</si>
  <si>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</si>
  <si>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</si>
  <si>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</si>
  <si>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</si>
  <si>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</si>
  <si>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</si>
  <si>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</si>
  <si>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</si>
  <si>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</si>
  <si>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</si>
  <si>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</si>
  <si>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</si>
  <si>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</si>
  <si>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</si>
  <si>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</si>
  <si>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</si>
  <si>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</si>
  <si>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</si>
  <si>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</si>
  <si>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</si>
  <si>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</si>
  <si>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</si>
  <si>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</si>
  <si>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</si>
  <si>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</si>
  <si>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</si>
  <si>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</si>
  <si>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</si>
  <si>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</si>
  <si>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</si>
  <si>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</si>
  <si>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</si>
  <si>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</si>
  <si>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</si>
  <si>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</si>
  <si>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</si>
  <si>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</si>
  <si>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</si>
  <si>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</si>
  <si>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</si>
  <si>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</si>
  <si>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</si>
  <si>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</si>
  <si>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</si>
  <si>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</si>
  <si>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</si>
  <si>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</si>
  <si>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</si>
  <si>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</si>
  <si>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</si>
  <si>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</si>
  <si>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</si>
  <si>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</si>
  <si>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</si>
  <si>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</si>
  <si>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</si>
  <si>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</si>
  <si>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</si>
  <si>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</si>
  <si>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</si>
  <si>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</si>
  <si>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</si>
  <si>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</si>
  <si>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</si>
  <si>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</si>
  <si>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</si>
  <si>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</si>
  <si>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</si>
  <si>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</si>
  <si>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</si>
  <si>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</si>
  <si>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</si>
  <si>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</si>
  <si>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</si>
  <si>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</si>
  <si>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</si>
  <si>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</si>
  <si>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</si>
  <si>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</si>
  <si>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</si>
  <si>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</si>
  <si>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</si>
  <si>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</si>
  <si>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</si>
  <si>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</si>
  <si>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</si>
  <si>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</si>
  <si>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</si>
  <si>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</si>
  <si>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</si>
  <si>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</si>
  <si>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</si>
  <si>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</si>
  <si>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</si>
  <si>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</si>
  <si>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</si>
  <si>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</si>
  <si>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</si>
  <si>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</si>
  <si>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</si>
  <si>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</si>
  <si>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</si>
  <si>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</si>
  <si>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</si>
  <si>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</si>
  <si>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</si>
  <si>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</si>
  <si>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</si>
  <si>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</si>
  <si>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</si>
  <si>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</si>
  <si>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</si>
  <si>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</si>
  <si>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</si>
  <si>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</si>
  <si>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</si>
  <si>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</si>
  <si>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</si>
  <si>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</si>
  <si>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</si>
  <si>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</si>
  <si>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</si>
  <si>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</si>
  <si>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</si>
  <si>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</si>
  <si>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</si>
  <si>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</si>
  <si>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</si>
  <si>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</si>
  <si>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</si>
  <si>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</si>
  <si>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</si>
  <si>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</si>
  <si>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</si>
  <si>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</si>
  <si>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</si>
  <si>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</si>
  <si>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</si>
  <si>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</si>
  <si>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</si>
  <si>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</si>
  <si>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</si>
  <si>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</si>
  <si>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</si>
  <si>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</si>
  <si>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</si>
  <si>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</si>
  <si>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</si>
  <si>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</si>
  <si>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</si>
  <si>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</si>
  <si>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</si>
  <si>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</si>
  <si>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</si>
  <si>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</si>
  <si>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</si>
  <si>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</si>
  <si>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</si>
  <si>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</si>
  <si>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</si>
  <si>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</si>
  <si>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</si>
  <si>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</si>
  <si>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</si>
  <si>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</si>
  <si>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</si>
  <si>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</si>
  <si>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</si>
  <si>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</si>
  <si>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</si>
  <si>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</si>
  <si>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</si>
  <si>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</si>
  <si>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</si>
  <si>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</si>
  <si>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</si>
  <si>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</si>
  <si>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</si>
  <si>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</si>
  <si>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</si>
  <si>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</si>
  <si>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</si>
  <si>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</si>
  <si>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</si>
  <si>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</si>
  <si>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</si>
  <si>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</si>
  <si>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</si>
  <si>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</si>
  <si>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</si>
  <si>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</si>
  <si>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</si>
  <si>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</si>
  <si>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</si>
  <si>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</si>
  <si>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</si>
  <si>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</si>
  <si>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</si>
  <si>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</si>
  <si>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</si>
  <si>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</si>
  <si>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</si>
  <si>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</si>
  <si>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</si>
  <si>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</si>
  <si>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</si>
  <si>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</si>
  <si>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</si>
  <si>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</si>
  <si>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</si>
  <si>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</si>
  <si>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</si>
  <si>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</si>
  <si>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</si>
  <si>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</si>
  <si>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</si>
  <si>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</si>
  <si>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</si>
  <si>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</si>
  <si>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</si>
  <si>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</si>
  <si>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</si>
  <si>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</si>
  <si>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</si>
  <si>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</si>
  <si>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</si>
  <si>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</si>
  <si>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</si>
  <si>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</si>
  <si>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</si>
  <si>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</si>
  <si>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</si>
  <si>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</si>
  <si>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</si>
  <si>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</si>
  <si>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</si>
  <si>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</si>
  <si>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</si>
  <si>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</si>
  <si>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</si>
  <si>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</si>
  <si>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</si>
  <si>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</si>
  <si>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</si>
  <si>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</si>
  <si>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</si>
  <si>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</si>
  <si>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</si>
  <si>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</si>
  <si>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</si>
  <si>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</si>
  <si>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</si>
  <si>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</si>
  <si>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</si>
  <si>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</si>
  <si>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</si>
  <si>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</si>
  <si>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</si>
  <si>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</si>
  <si>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</si>
  <si>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</si>
  <si>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</si>
  <si>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</si>
  <si>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</si>
  <si>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</si>
  <si>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</si>
  <si>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</si>
  <si>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</si>
  <si>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</si>
  <si>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</si>
  <si>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</si>
  <si>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</si>
  <si>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</si>
  <si>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</si>
  <si>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</si>
  <si>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</si>
  <si>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</si>
  <si>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</si>
  <si>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</si>
  <si>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</si>
  <si>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</si>
  <si>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</si>
  <si>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</si>
  <si>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</si>
  <si>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</si>
  <si>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</si>
  <si>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</si>
  <si>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</si>
  <si>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</si>
  <si>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</si>
  <si>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</si>
  <si>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</si>
  <si>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</si>
  <si>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</si>
  <si>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</si>
  <si>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</si>
  <si>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</si>
  <si>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</si>
  <si>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</si>
  <si>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</si>
  <si>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</si>
  <si>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</si>
  <si>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</si>
  <si>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</si>
  <si>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</si>
  <si>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</si>
  <si>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</si>
  <si>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</si>
  <si>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</si>
  <si>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</si>
  <si>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</si>
  <si>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</si>
  <si>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</si>
  <si>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</si>
  <si>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</si>
  <si>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</si>
  <si>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</si>
  <si>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</si>
  <si>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</si>
  <si>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</si>
  <si>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</si>
  <si>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</si>
  <si>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</si>
  <si>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</si>
  <si>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</si>
  <si>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</si>
  <si>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</si>
  <si>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</si>
  <si>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</si>
  <si>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</si>
  <si>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</si>
  <si>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</si>
  <si>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</si>
  <si>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</si>
  <si>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</si>
  <si>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</si>
  <si>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</si>
  <si>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</si>
  <si>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</si>
  <si>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</si>
  <si>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</si>
  <si>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</si>
  <si>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</si>
  <si>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</si>
  <si>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</si>
  <si>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</si>
  <si>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</si>
  <si>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</si>
  <si>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</si>
  <si>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</si>
  <si>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</si>
  <si>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</si>
  <si>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</si>
  <si>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</si>
  <si>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</si>
  <si>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</si>
  <si>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</si>
  <si>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</si>
  <si>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</si>
  <si>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</si>
  <si>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</si>
  <si>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</si>
  <si>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</si>
  <si>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</si>
  <si>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</si>
  <si>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</si>
  <si>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</si>
  <si>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</si>
  <si>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</si>
  <si>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</si>
  <si>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</si>
  <si>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</si>
  <si>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</si>
  <si>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</si>
  <si>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</si>
  <si>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</si>
  <si>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</si>
  <si>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</si>
  <si>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</si>
  <si>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</si>
  <si>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</si>
  <si>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</si>
  <si>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</si>
  <si>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</si>
  <si>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</si>
  <si>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</si>
  <si>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</si>
  <si>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</si>
  <si>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</si>
  <si>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</si>
  <si>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</si>
  <si>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</si>
  <si>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</si>
  <si>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</si>
  <si>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</si>
  <si>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</si>
  <si>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</si>
  <si>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</si>
  <si>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</si>
  <si>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</si>
  <si>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</si>
  <si>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</si>
  <si>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</si>
  <si>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</si>
  <si>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</si>
  <si>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</si>
  <si>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</si>
  <si>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</si>
  <si>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</si>
  <si>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</si>
  <si>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</si>
  <si>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</si>
  <si>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</si>
  <si>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</si>
  <si>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</si>
  <si>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</si>
  <si>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</si>
  <si>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</si>
  <si>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</si>
  <si>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</si>
  <si>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</si>
  <si>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</si>
  <si>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</si>
  <si>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</si>
  <si>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</si>
  <si>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</si>
  <si>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</si>
  <si>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</si>
  <si>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</si>
  <si>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</si>
  <si>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</si>
  <si>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</si>
  <si>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</si>
  <si>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</si>
  <si>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</si>
  <si>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</si>
  <si>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</si>
  <si>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</si>
  <si>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</si>
  <si>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</si>
  <si>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</si>
  <si>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</si>
  <si>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</si>
  <si>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</si>
  <si>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</si>
  <si>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</si>
  <si>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</si>
  <si>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</si>
  <si>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</si>
  <si>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</si>
  <si>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</si>
  <si>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</si>
  <si>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</si>
  <si>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</si>
  <si>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</si>
  <si>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</si>
  <si>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</si>
  <si>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</si>
  <si>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</si>
  <si>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</si>
  <si>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</si>
  <si>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</si>
  <si>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</si>
  <si>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</si>
  <si>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</si>
  <si>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</si>
  <si>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</si>
  <si>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</si>
  <si>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</si>
  <si>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</si>
  <si>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</si>
  <si>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</si>
  <si>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</si>
  <si>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</si>
  <si>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</si>
  <si>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</si>
  <si>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</si>
  <si>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</si>
  <si>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</si>
  <si>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</si>
  <si>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</si>
  <si>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</si>
  <si>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</si>
  <si>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</si>
  <si>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</si>
  <si>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</si>
  <si>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</si>
  <si>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</si>
  <si>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</si>
  <si>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</si>
  <si>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</si>
  <si>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</si>
  <si>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</si>
  <si>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</si>
  <si>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</si>
  <si>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</si>
  <si>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</si>
  <si>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</si>
  <si>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</si>
  <si>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</si>
  <si>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</si>
  <si>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</si>
  <si>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</si>
  <si>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</si>
  <si>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</si>
  <si>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</si>
  <si>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</si>
  <si>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</si>
  <si>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</si>
  <si>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</si>
  <si>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</si>
  <si>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</si>
  <si>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</si>
  <si>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</si>
  <si>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</si>
  <si>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</si>
  <si>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</si>
  <si>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</si>
  <si>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</si>
  <si>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</si>
  <si>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</si>
  <si>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</si>
  <si>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</si>
  <si>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</si>
  <si>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</si>
  <si>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</si>
  <si>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</si>
  <si>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</si>
  <si>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</si>
  <si>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</si>
  <si>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</si>
  <si>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</si>
  <si>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</si>
  <si>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</si>
  <si>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</si>
  <si>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</si>
  <si>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</si>
  <si>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</si>
  <si>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</si>
  <si>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</si>
  <si>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</si>
  <si>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</si>
  <si>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</si>
  <si>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</si>
  <si>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</si>
  <si>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</si>
  <si>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</si>
  <si>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</si>
  <si>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</si>
  <si>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</si>
  <si>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</si>
  <si>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</si>
  <si>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</si>
  <si>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</si>
  <si>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</si>
  <si>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</si>
  <si>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</si>
  <si>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</si>
  <si>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</si>
  <si>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</si>
  <si>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</si>
  <si>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</si>
  <si>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</si>
  <si>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</si>
  <si>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</si>
  <si>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</si>
  <si>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</si>
  <si>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</si>
  <si>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</si>
  <si>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</si>
  <si>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</si>
  <si>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</si>
  <si>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</si>
  <si>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</si>
  <si>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</si>
  <si>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</si>
  <si>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</si>
  <si>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</si>
  <si>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</si>
  <si>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</si>
  <si>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</si>
  <si>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</si>
  <si>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</si>
  <si>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</si>
  <si>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</si>
  <si>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</si>
  <si>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</si>
  <si>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</si>
  <si>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</si>
  <si>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</si>
  <si>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</si>
  <si>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</si>
  <si>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</si>
  <si>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</si>
  <si>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</si>
  <si>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</si>
  <si>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</si>
  <si>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</si>
  <si>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</si>
  <si>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</si>
  <si>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</si>
  <si>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</si>
  <si>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</si>
  <si>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</si>
  <si>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</si>
  <si>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</si>
  <si>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</si>
  <si>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</si>
  <si>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</si>
  <si>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</si>
  <si>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</si>
  <si>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</si>
  <si>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</si>
  <si>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</si>
  <si>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</si>
  <si>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</si>
  <si>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</si>
  <si>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</si>
  <si>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</si>
  <si>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</si>
  <si>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</si>
  <si>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</si>
  <si>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</si>
  <si>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</si>
  <si>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</si>
  <si>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</si>
  <si>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</si>
  <si>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</si>
  <si>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</si>
  <si>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</si>
  <si>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</si>
  <si>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</si>
  <si>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</si>
  <si>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</si>
  <si>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</si>
  <si>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</si>
  <si>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</si>
  <si>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</si>
  <si>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</si>
  <si>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</si>
  <si>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</si>
  <si>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</si>
  <si>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</si>
  <si>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</si>
  <si>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</si>
  <si>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</si>
  <si>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</si>
  <si>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</si>
  <si>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</si>
  <si>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</si>
  <si>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</si>
  <si>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</si>
  <si>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</si>
  <si>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</si>
  <si>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</si>
  <si>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</si>
  <si>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</si>
  <si>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</si>
  <si>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</si>
  <si>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</si>
  <si>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</si>
  <si>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</si>
  <si>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</si>
  <si>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</si>
  <si>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</si>
  <si>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</si>
  <si>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</si>
  <si>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</si>
  <si>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</si>
  <si>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</si>
  <si>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</si>
  <si>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</si>
  <si>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</si>
  <si>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</si>
  <si>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</si>
  <si>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</si>
  <si>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</si>
  <si>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</si>
  <si>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</si>
  <si>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</si>
  <si>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</si>
  <si>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</si>
  <si>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</si>
  <si>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</si>
  <si>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</si>
  <si>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</si>
  <si>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</si>
  <si>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</si>
  <si>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</si>
  <si>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</si>
  <si>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</si>
  <si>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</si>
  <si>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</si>
  <si>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</si>
  <si>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</si>
  <si>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</si>
  <si>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</si>
  <si>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</si>
  <si>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</si>
  <si>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</si>
  <si>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</si>
  <si>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</si>
  <si>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</si>
  <si>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</si>
  <si>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</si>
  <si>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</si>
  <si>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</si>
  <si>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</si>
  <si>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</si>
  <si>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</si>
  <si>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</si>
  <si>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</si>
  <si>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</si>
  <si>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</si>
  <si>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</si>
  <si>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</si>
  <si>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</si>
  <si>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</si>
  <si>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</si>
  <si>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</si>
  <si>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</si>
  <si>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</si>
  <si>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</si>
  <si>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</si>
  <si>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</si>
  <si>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</si>
  <si>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</si>
  <si>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</si>
  <si>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</si>
  <si>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</si>
  <si>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</si>
  <si>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</si>
  <si>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</si>
  <si>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</si>
  <si>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</si>
  <si>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</si>
  <si>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</si>
  <si>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</si>
  <si>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</si>
  <si>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</si>
  <si>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</si>
  <si>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</si>
  <si>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</si>
  <si>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</si>
  <si>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</si>
  <si>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</si>
  <si>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</si>
  <si>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</si>
  <si>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</si>
  <si>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</si>
  <si>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</si>
  <si>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</si>
  <si>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</si>
  <si>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</si>
  <si>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</si>
  <si>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</si>
  <si>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</si>
  <si>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</si>
  <si>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</si>
  <si>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</si>
  <si>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</si>
  <si>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</si>
  <si>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</si>
  <si>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</si>
  <si>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</si>
  <si>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</si>
  <si>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</si>
  <si>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</si>
  <si>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</si>
  <si>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</si>
  <si>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</si>
  <si>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</si>
  <si>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</si>
  <si>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</si>
  <si>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</si>
  <si>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</si>
  <si>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</si>
  <si>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</si>
  <si>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</si>
  <si>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</si>
  <si>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</si>
  <si>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</si>
  <si>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</si>
  <si>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</si>
  <si>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</si>
  <si>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</si>
  <si>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</si>
  <si>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</si>
  <si>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</si>
  <si>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</si>
  <si>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</si>
  <si>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</si>
  <si>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</si>
  <si>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</si>
  <si>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</si>
  <si>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</si>
  <si>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</si>
  <si>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</si>
  <si>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</si>
  <si>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</si>
  <si>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</si>
  <si>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</si>
  <si>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</si>
  <si>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</si>
  <si>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</si>
  <si>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</si>
  <si>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</si>
  <si>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</si>
  <si>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</si>
  <si>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</si>
  <si>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</si>
  <si>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</si>
  <si>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</si>
  <si>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</si>
  <si>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</si>
  <si>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</si>
  <si>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</si>
  <si>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</si>
  <si>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</si>
  <si>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</si>
  <si>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</si>
  <si>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</si>
  <si>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</si>
  <si>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</si>
  <si>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</si>
  <si>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</si>
  <si>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</si>
  <si>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</si>
  <si>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</si>
  <si>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</si>
  <si>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</si>
  <si>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</si>
  <si>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</si>
  <si>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</si>
  <si>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</si>
  <si>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</si>
  <si>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</si>
  <si>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</si>
  <si>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</si>
  <si>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</si>
  <si>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</si>
  <si>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</si>
  <si>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</si>
  <si>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</si>
  <si>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</si>
  <si>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</si>
  <si>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</si>
  <si>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</si>
  <si>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</si>
  <si>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</si>
  <si>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</si>
  <si>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</si>
  <si>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</si>
  <si>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</si>
  <si>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</si>
  <si>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</si>
  <si>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</si>
  <si>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</si>
  <si>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</si>
  <si>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</si>
  <si>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</si>
  <si>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</si>
  <si>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</si>
  <si>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</si>
  <si>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</si>
  <si>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</si>
  <si>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</si>
  <si>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</si>
  <si>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</si>
  <si>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</si>
  <si>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</si>
  <si>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</si>
  <si>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</si>
  <si>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</si>
  <si>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</si>
  <si>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</si>
  <si>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</si>
  <si>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</si>
  <si>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</si>
  <si>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</si>
  <si>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</si>
  <si>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</si>
  <si>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</si>
  <si>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</si>
  <si>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</si>
  <si>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</si>
  <si>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</si>
  <si>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</si>
  <si>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</si>
  <si>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</si>
  <si>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</si>
  <si>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</si>
  <si>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</si>
  <si>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</si>
  <si>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</si>
  <si>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</si>
  <si>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</si>
  <si>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</si>
  <si>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</si>
  <si>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</si>
  <si>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</si>
  <si>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</si>
  <si>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</si>
  <si>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</si>
  <si>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</si>
  <si>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</si>
  <si>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</si>
  <si>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</si>
  <si>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</si>
  <si>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</si>
  <si>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</si>
  <si>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</si>
  <si>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</si>
  <si>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</si>
  <si>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</si>
  <si>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</si>
  <si>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</si>
  <si>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</si>
  <si>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</si>
  <si>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</si>
  <si>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</si>
  <si>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</si>
  <si>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</si>
  <si>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</si>
  <si>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</si>
  <si>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</si>
  <si>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</si>
  <si>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</si>
  <si>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</si>
  <si>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</si>
  <si>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</si>
  <si>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</si>
  <si>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</si>
  <si>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</si>
  <si>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</si>
  <si>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</si>
  <si>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</si>
  <si>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</si>
  <si>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</si>
  <si>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</si>
  <si>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</si>
  <si>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</si>
  <si>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</si>
  <si>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</si>
  <si>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</si>
  <si>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</si>
  <si>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</si>
  <si>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</si>
  <si>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</si>
  <si>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</si>
  <si>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</si>
  <si>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</si>
  <si>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</si>
  <si>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</si>
  <si>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</si>
  <si>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</si>
  <si>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</si>
  <si>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</si>
  <si>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</si>
  <si>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</si>
  <si>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</si>
  <si>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</si>
  <si>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</si>
  <si>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</si>
  <si>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</si>
  <si>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</si>
  <si>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</si>
  <si>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</si>
  <si>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</si>
  <si>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</si>
  <si>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</si>
  <si>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</si>
  <si>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</si>
  <si>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</si>
  <si>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</si>
  <si>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</si>
  <si>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</si>
  <si>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</si>
  <si>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</si>
  <si>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</si>
  <si>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</si>
  <si>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</si>
  <si>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</si>
  <si>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</si>
  <si>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</si>
  <si>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</si>
  <si>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</si>
  <si>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</si>
  <si>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</si>
  <si>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</si>
  <si>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</si>
  <si>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</si>
  <si>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</si>
  <si>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</si>
  <si>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</si>
  <si>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</si>
  <si>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</si>
  <si>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</si>
  <si>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</si>
  <si>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</si>
  <si>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</si>
  <si>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</si>
  <si>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</si>
  <si>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</si>
  <si>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</si>
  <si>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</si>
  <si>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</si>
  <si>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</si>
  <si>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</si>
  <si>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</si>
  <si>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</si>
  <si>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</si>
  <si>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</si>
  <si>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</si>
  <si>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</si>
  <si>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</si>
  <si>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</si>
  <si>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</si>
  <si>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</si>
  <si>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</si>
  <si>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</si>
  <si>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</si>
  <si>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</si>
  <si>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</si>
  <si>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</si>
  <si>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</si>
  <si>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</si>
  <si>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</si>
  <si>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</si>
  <si>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</si>
  <si>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</si>
  <si>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</si>
  <si>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</si>
  <si>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</si>
  <si>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</si>
  <si>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</si>
  <si>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</si>
  <si>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</si>
  <si>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</si>
  <si>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</si>
  <si>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</si>
  <si>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</si>
  <si>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</si>
  <si>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</si>
  <si>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</si>
  <si>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</si>
  <si>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</si>
  <si>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</si>
  <si>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</si>
  <si>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</si>
  <si>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</si>
  <si>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</si>
  <si>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</si>
  <si>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</si>
  <si>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</si>
  <si>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</si>
  <si>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</si>
  <si>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</si>
  <si>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</si>
  <si>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</si>
  <si>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</si>
  <si>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</si>
  <si>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</si>
  <si>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</si>
  <si>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</si>
  <si>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</si>
  <si>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</si>
  <si>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</si>
  <si>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</si>
  <si>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</si>
  <si>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</si>
  <si>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</si>
  <si>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</si>
  <si>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</si>
  <si>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</si>
  <si>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</si>
  <si>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</si>
  <si>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</si>
  <si>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</si>
  <si>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</si>
  <si>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</si>
  <si>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</si>
  <si>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</si>
  <si>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</si>
  <si>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</si>
  <si>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</si>
  <si>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</si>
  <si>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</si>
  <si>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</si>
  <si>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</si>
  <si>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</si>
  <si>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</si>
  <si>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</si>
  <si>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</si>
  <si>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</si>
  <si>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</si>
  <si>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</si>
  <si>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</si>
  <si>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</si>
  <si>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</si>
  <si>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</si>
  <si>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</si>
  <si>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</si>
  <si>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</si>
  <si>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</si>
  <si>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</si>
  <si>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</si>
  <si>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</si>
  <si>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</si>
  <si>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</si>
  <si>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</si>
  <si>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</si>
  <si>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</si>
  <si>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</si>
  <si>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</si>
  <si>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</si>
  <si>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</si>
  <si>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</si>
  <si>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</si>
  <si>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</si>
  <si>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</si>
  <si>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</si>
  <si>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</si>
  <si>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</si>
  <si>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</si>
  <si>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</si>
  <si>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</si>
  <si>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</si>
  <si>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</si>
  <si>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</si>
  <si>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</si>
  <si>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</si>
  <si>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</si>
  <si>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</si>
  <si>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</si>
  <si>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</si>
  <si>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</si>
  <si>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</si>
  <si>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</si>
  <si>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</si>
  <si>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</si>
  <si>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</si>
  <si>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</si>
  <si>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</si>
  <si>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</si>
  <si>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</si>
  <si>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</si>
  <si>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</si>
  <si>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</si>
  <si>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</si>
  <si>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</si>
  <si>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</si>
  <si>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</si>
  <si>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</si>
  <si>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</si>
  <si>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</si>
  <si>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</si>
  <si>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</si>
  <si>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</si>
  <si>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</si>
  <si>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</si>
  <si>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</si>
  <si>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</si>
  <si>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</si>
  <si>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</si>
  <si>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</si>
  <si>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</si>
  <si>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</si>
  <si>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</si>
  <si>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</si>
  <si>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</si>
  <si>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</si>
  <si>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</si>
  <si>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</si>
  <si>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</si>
  <si>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</si>
  <si>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</si>
  <si>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</si>
  <si>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</si>
  <si>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</si>
  <si>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</si>
  <si>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</si>
  <si>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</si>
  <si>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</si>
  <si>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</si>
  <si>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</si>
  <si>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</si>
  <si>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</si>
  <si>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</si>
  <si>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</si>
  <si>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</si>
  <si>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</si>
  <si>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</si>
  <si>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</si>
  <si>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</si>
  <si>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</si>
  <si>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</si>
  <si>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</si>
  <si>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</si>
  <si>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</si>
  <si>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</si>
  <si>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</si>
  <si>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</si>
  <si>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</si>
  <si>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</si>
  <si>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</si>
  <si>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</si>
  <si>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</si>
  <si>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</si>
  <si>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</si>
  <si>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</si>
  <si>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</si>
  <si>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</si>
  <si>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</si>
  <si>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</si>
  <si>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</si>
  <si>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</si>
  <si>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</si>
  <si>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</si>
  <si>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</si>
  <si>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</si>
  <si>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</si>
  <si>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</si>
  <si>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</si>
  <si>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</si>
  <si>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</si>
  <si>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</si>
  <si>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</si>
  <si>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</si>
  <si>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</si>
  <si>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</si>
  <si>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</si>
  <si>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</si>
  <si>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</si>
  <si>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</si>
  <si>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</si>
  <si>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</si>
  <si>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</si>
  <si>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</si>
  <si>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</si>
  <si>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</si>
  <si>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</si>
  <si>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</si>
  <si>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</si>
  <si>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</si>
  <si>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</si>
  <si>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</si>
  <si>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</si>
  <si>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</si>
  <si>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</si>
  <si>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</si>
  <si>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</si>
  <si>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</si>
  <si>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</si>
  <si>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</si>
  <si>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</si>
  <si>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</si>
  <si>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</si>
  <si>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</si>
  <si>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</si>
  <si>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</si>
  <si>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</si>
  <si>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</si>
  <si>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</si>
  <si>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</si>
  <si>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</si>
  <si>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</si>
  <si>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</si>
  <si>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</si>
  <si>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</si>
  <si>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</si>
  <si>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</si>
  <si>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</si>
  <si>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</si>
  <si>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</si>
  <si>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</si>
  <si>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</si>
  <si>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</si>
  <si>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</si>
  <si>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</si>
  <si>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</si>
  <si>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</si>
  <si>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</si>
  <si>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</si>
  <si>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</si>
  <si>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</si>
  <si>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</si>
  <si>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</si>
  <si>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</si>
  <si>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</si>
  <si>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</si>
  <si>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</si>
  <si>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</si>
  <si>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</si>
  <si>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</si>
  <si>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</si>
  <si>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</si>
  <si>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</si>
  <si>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</si>
  <si>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</si>
  <si>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</si>
  <si>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</si>
  <si>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</si>
  <si>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</si>
  <si>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</si>
  <si>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</si>
  <si>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</si>
  <si>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</si>
  <si>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</si>
  <si>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</si>
  <si>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</si>
  <si>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</si>
  <si>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</si>
  <si>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</si>
  <si>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</si>
  <si>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</si>
  <si>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</si>
  <si>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</si>
  <si>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</si>
  <si>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</si>
  <si>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</si>
  <si>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</si>
  <si>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</si>
  <si>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</si>
  <si>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</si>
  <si>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</si>
  <si>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</si>
  <si>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</si>
  <si>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</si>
  <si>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</si>
  <si>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</si>
  <si>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</si>
  <si>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</si>
  <si>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</si>
  <si>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</si>
  <si>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</si>
  <si>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</si>
  <si>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</si>
  <si>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</si>
  <si>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</si>
  <si>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</si>
  <si>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</si>
  <si>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</si>
  <si>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</si>
  <si>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</si>
  <si>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</si>
  <si>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</si>
  <si>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</si>
  <si>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</si>
  <si>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</si>
  <si>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</si>
  <si>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</si>
  <si>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</si>
  <si>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</si>
  <si>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</si>
  <si>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</si>
  <si>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</si>
  <si>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</si>
  <si>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</si>
  <si>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</si>
  <si>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</si>
  <si>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</si>
  <si>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</si>
  <si>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</si>
  <si>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</si>
  <si>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</si>
  <si>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</si>
  <si>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</si>
  <si>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</si>
  <si>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</si>
  <si>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</si>
  <si>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</si>
  <si>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</si>
  <si>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</si>
  <si>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</si>
  <si>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</si>
  <si>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</si>
  <si>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</si>
  <si>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</si>
  <si>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</si>
  <si>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</si>
  <si>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</si>
  <si>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</si>
  <si>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</si>
  <si>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</si>
  <si>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</si>
  <si>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</si>
  <si>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</si>
  <si>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</si>
  <si>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</si>
  <si>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</si>
  <si>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</si>
  <si>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</si>
  <si>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</si>
  <si>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</si>
  <si>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</si>
  <si>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</si>
  <si>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</si>
  <si>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</si>
  <si>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</si>
  <si>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</si>
  <si>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</si>
  <si>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</si>
  <si>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</si>
  <si>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</si>
  <si>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</si>
  <si>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</si>
  <si>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</si>
  <si>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</si>
  <si>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</si>
  <si>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</si>
  <si>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</si>
  <si>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</si>
  <si>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</si>
  <si>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</si>
  <si>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</si>
  <si>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</si>
  <si>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</si>
  <si>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</si>
  <si>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</si>
  <si>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</si>
  <si>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</si>
  <si>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</si>
  <si>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</si>
  <si>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</si>
  <si>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</si>
  <si>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</si>
  <si>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</si>
  <si>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</si>
  <si>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</si>
  <si>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</si>
  <si>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</si>
  <si>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</si>
  <si>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</si>
  <si>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</si>
  <si>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</si>
  <si>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</si>
  <si>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</si>
  <si>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</si>
  <si>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</si>
  <si>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</si>
  <si>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</si>
  <si>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</si>
  <si>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</si>
  <si>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</si>
  <si>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</si>
  <si>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</si>
  <si>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</si>
  <si>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</si>
  <si>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</si>
  <si>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</si>
  <si>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</si>
  <si>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</si>
  <si>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</si>
  <si>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</si>
  <si>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</si>
  <si>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</si>
  <si>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</si>
  <si>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</si>
  <si>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</si>
  <si>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</si>
  <si>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</si>
  <si>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</si>
  <si>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</si>
  <si>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</si>
  <si>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</si>
  <si>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</si>
  <si>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</si>
  <si>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</si>
  <si>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</si>
  <si>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</si>
  <si>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</si>
  <si>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</si>
  <si>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</si>
  <si>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</si>
  <si>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</si>
  <si>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</si>
  <si>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</si>
  <si>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</si>
  <si>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</si>
  <si>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</si>
  <si>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</si>
  <si>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</si>
  <si>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</si>
  <si>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</si>
  <si>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</si>
  <si>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</si>
  <si>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</si>
  <si>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</si>
  <si>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</si>
  <si>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</si>
  <si>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</si>
  <si>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</si>
  <si>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</si>
  <si>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</si>
  <si>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</si>
  <si>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</si>
  <si>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</si>
  <si>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</si>
  <si>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</si>
  <si>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</si>
  <si>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</si>
  <si>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</si>
  <si>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</si>
  <si>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</si>
  <si>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</si>
  <si>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</si>
  <si>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</si>
  <si>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</si>
  <si>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</si>
  <si>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</si>
  <si>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</si>
  <si>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</si>
  <si>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</si>
  <si>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</si>
  <si>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</si>
  <si>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</si>
  <si>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</si>
  <si>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</si>
  <si>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</si>
  <si>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</si>
  <si>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</si>
  <si>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</si>
  <si>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</si>
  <si>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</si>
  <si>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</si>
  <si>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</si>
  <si>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</si>
  <si>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</si>
  <si>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</si>
  <si>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</si>
  <si>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</si>
  <si>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</si>
  <si>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</si>
  <si>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</si>
  <si>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</si>
  <si>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</si>
  <si>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</si>
  <si>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</si>
  <si>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</si>
  <si>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</si>
  <si>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</si>
  <si>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</si>
  <si>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</si>
  <si>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</si>
  <si>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</si>
  <si>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</si>
  <si>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</si>
  <si>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</si>
  <si>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</si>
  <si>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</si>
  <si>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</si>
  <si>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</si>
  <si>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</si>
  <si>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</si>
  <si>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</si>
  <si>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</si>
  <si>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</si>
  <si>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</si>
  <si>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</si>
  <si>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</si>
  <si>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</si>
  <si>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</si>
  <si>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</si>
  <si>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</si>
  <si>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</si>
  <si>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</si>
  <si>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</si>
  <si>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</si>
  <si>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</si>
  <si>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</si>
  <si>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</si>
  <si>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</si>
  <si>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</si>
  <si>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</si>
  <si>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</si>
  <si>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</si>
  <si>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</si>
  <si>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</si>
  <si>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</si>
  <si>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</si>
  <si>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</si>
  <si>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</si>
  <si>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</si>
  <si>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</si>
  <si>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</si>
  <si>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</si>
  <si>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</si>
  <si>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</si>
  <si>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</si>
  <si>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</si>
  <si>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</si>
  <si>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</si>
  <si>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</si>
  <si>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</si>
  <si>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</si>
  <si>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</si>
  <si>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</si>
  <si>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</si>
  <si>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</si>
  <si>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</si>
  <si>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</si>
  <si>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</si>
  <si>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</si>
  <si>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</si>
  <si>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</si>
  <si>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</si>
  <si>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</si>
  <si>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</si>
  <si>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</si>
  <si>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</si>
  <si>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</si>
  <si>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</si>
  <si>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</si>
  <si>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</si>
  <si>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</si>
  <si>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</si>
  <si>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</si>
  <si>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</si>
  <si>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</si>
  <si>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</si>
  <si>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</si>
  <si>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</si>
  <si>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</si>
  <si>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</si>
  <si>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</si>
  <si>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</si>
  <si>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</si>
  <si>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</si>
  <si>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</si>
  <si>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</si>
  <si>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</si>
  <si>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</si>
  <si>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</si>
  <si>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</si>
  <si>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</si>
  <si>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</si>
  <si>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</si>
  <si>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</si>
  <si>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</si>
  <si>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</si>
  <si>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</si>
  <si>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</si>
  <si>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</si>
  <si>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</si>
  <si>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</si>
  <si>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</si>
  <si>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</si>
  <si>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</si>
  <si>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</si>
  <si>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</si>
  <si>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</si>
  <si>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</si>
  <si>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</si>
  <si>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</si>
  <si>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</si>
  <si>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</si>
  <si>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</si>
  <si>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</si>
  <si>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</si>
  <si>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</si>
  <si>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</si>
  <si>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</si>
  <si>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</si>
  <si>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</si>
  <si>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</si>
  <si>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</si>
  <si>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</si>
  <si>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</si>
  <si>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</si>
  <si>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</si>
  <si>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</si>
  <si>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</si>
  <si>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</si>
  <si>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</si>
  <si>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</si>
  <si>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</si>
  <si>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</si>
  <si>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</si>
  <si>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</si>
  <si>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</si>
  <si>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</si>
  <si>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</si>
  <si>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</si>
  <si>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</si>
  <si>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</si>
  <si>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</si>
  <si>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</si>
  <si>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</si>
  <si>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</si>
  <si>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</si>
  <si>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</si>
  <si>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</si>
  <si>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</si>
  <si>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</si>
  <si>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</si>
  <si>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</si>
  <si>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</si>
  <si>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</si>
  <si>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</si>
  <si>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</si>
  <si>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</si>
  <si>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</si>
  <si>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</si>
  <si>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</si>
  <si>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</si>
  <si>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</si>
  <si>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</si>
  <si>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</si>
  <si>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</si>
  <si>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</si>
  <si>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</si>
  <si>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</si>
  <si>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</si>
  <si>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</si>
  <si>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</si>
  <si>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</si>
  <si>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</si>
  <si>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</si>
  <si>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</si>
  <si>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</si>
  <si>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</si>
  <si>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</si>
  <si>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</si>
  <si>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</si>
  <si>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</si>
  <si>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</si>
  <si>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</si>
  <si>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</si>
  <si>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</si>
  <si>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</si>
  <si>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</si>
  <si>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</si>
  <si>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</si>
  <si>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</si>
  <si>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</si>
  <si>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</si>
  <si>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</si>
  <si>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</si>
  <si>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</si>
  <si>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</si>
  <si>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</si>
  <si>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</si>
  <si>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</si>
  <si>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</si>
  <si>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</si>
  <si>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</si>
  <si>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</si>
  <si>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</si>
  <si>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</si>
  <si>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</si>
  <si>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</si>
  <si>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</si>
  <si>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</si>
  <si>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</si>
  <si>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</si>
  <si>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</si>
  <si>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</si>
  <si>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</si>
  <si>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</si>
  <si>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</si>
  <si>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</si>
  <si>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</si>
  <si>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</si>
  <si>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</si>
  <si>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</si>
  <si>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</si>
  <si>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</si>
  <si>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</si>
  <si>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</si>
  <si>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</si>
  <si>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</si>
  <si>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</si>
  <si>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</si>
  <si>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</si>
  <si>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</si>
  <si>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</si>
  <si>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</si>
  <si>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</si>
  <si>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</si>
  <si>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</si>
  <si>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</si>
  <si>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</si>
  <si>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</si>
  <si>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</si>
  <si>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</si>
  <si>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</si>
  <si>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</si>
  <si>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</si>
  <si>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</si>
  <si>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</si>
  <si>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</si>
  <si>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</si>
  <si>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</si>
  <si>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</si>
  <si>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</si>
  <si>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</si>
  <si>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</si>
  <si>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</si>
  <si>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</si>
  <si>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</si>
  <si>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</si>
  <si>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</si>
  <si>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</si>
  <si>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</si>
  <si>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</si>
  <si>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</si>
  <si>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</si>
  <si>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</si>
  <si>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</si>
  <si>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</si>
  <si>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</si>
  <si>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</si>
  <si>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</si>
  <si>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</si>
  <si>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</si>
  <si>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</si>
  <si>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</si>
  <si>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</si>
  <si>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</si>
  <si>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</si>
  <si>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</si>
  <si>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</si>
  <si>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</si>
  <si>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</si>
  <si>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</si>
  <si>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</si>
  <si>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</si>
  <si>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</si>
  <si>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</si>
  <si>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</si>
  <si>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</si>
  <si>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</si>
  <si>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</si>
  <si>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</si>
  <si>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</si>
  <si>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</si>
  <si>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</si>
  <si>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</si>
  <si>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</si>
  <si>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</si>
  <si>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</si>
  <si>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</si>
  <si>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</si>
  <si>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</si>
  <si>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</si>
  <si>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</si>
  <si>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</si>
  <si>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</si>
  <si>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</si>
  <si>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</si>
  <si>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</si>
  <si>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</si>
  <si>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</si>
  <si>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</si>
  <si>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</si>
  <si>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</si>
  <si>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</si>
  <si>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</si>
  <si>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</si>
  <si>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</si>
  <si>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</si>
  <si>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</si>
  <si>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</si>
  <si>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</si>
  <si>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</si>
  <si>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</si>
  <si>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</si>
  <si>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</si>
  <si>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</si>
  <si>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</si>
  <si>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</si>
  <si>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</si>
  <si>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</si>
  <si>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</si>
  <si>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</si>
  <si>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</si>
  <si>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</si>
  <si>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</si>
  <si>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</si>
  <si>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</si>
  <si>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</si>
  <si>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</si>
  <si>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</si>
  <si>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</si>
  <si>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</si>
  <si>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</si>
  <si>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</si>
  <si>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</si>
  <si>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</si>
  <si>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</si>
  <si>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</si>
  <si>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</si>
  <si>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</si>
  <si>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</si>
  <si>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</si>
  <si>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</si>
  <si>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</si>
  <si>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</si>
  <si>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</si>
  <si>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</si>
  <si>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</si>
  <si>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</si>
  <si>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</si>
  <si>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</si>
  <si>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</si>
  <si>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</si>
  <si>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</si>
  <si>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</si>
  <si>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</si>
  <si>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</si>
  <si>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</si>
  <si>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</si>
  <si>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</si>
  <si>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</si>
  <si>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</si>
  <si>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</si>
  <si>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</si>
  <si>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</si>
  <si>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</si>
  <si>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</si>
  <si>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</si>
  <si>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</si>
  <si>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</si>
  <si>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</si>
  <si>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</si>
  <si>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</si>
  <si>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</si>
  <si>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</si>
  <si>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</si>
  <si>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</si>
  <si>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</si>
  <si>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</si>
  <si>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</si>
  <si>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</si>
  <si>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</si>
  <si>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</si>
  <si>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</si>
  <si>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</si>
  <si>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</si>
  <si>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</si>
  <si>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</si>
  <si>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</si>
  <si>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</si>
  <si>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</si>
  <si>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</si>
  <si>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</si>
  <si>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</si>
  <si>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</si>
  <si>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</si>
  <si>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</si>
  <si>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</si>
  <si>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</si>
  <si>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</si>
  <si>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</si>
  <si>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</si>
  <si>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</si>
  <si>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</si>
  <si>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</si>
  <si>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</si>
  <si>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</si>
  <si>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</si>
  <si>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</si>
  <si>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</si>
  <si>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</si>
  <si>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</si>
  <si>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</si>
  <si>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</si>
  <si>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</si>
  <si>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</si>
  <si>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</si>
  <si>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</si>
  <si>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</si>
  <si>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</si>
  <si>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</si>
  <si>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</si>
  <si>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</si>
  <si>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</si>
  <si>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</si>
  <si>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</si>
  <si>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</si>
  <si>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</si>
  <si>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</si>
  <si>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</si>
  <si>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</si>
  <si>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</si>
  <si>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</si>
  <si>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</si>
  <si>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</si>
  <si>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</si>
  <si>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</si>
  <si>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</si>
  <si>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</si>
  <si>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</si>
  <si>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</si>
  <si>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</si>
  <si>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</si>
  <si>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</si>
  <si>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</si>
  <si>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</si>
  <si>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</si>
  <si>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</si>
  <si>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</si>
  <si>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</si>
  <si>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</si>
  <si>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</si>
  <si>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</si>
  <si>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</si>
  <si>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</si>
  <si>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</si>
  <si>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</si>
  <si>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</si>
  <si>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</si>
  <si>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</si>
  <si>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</si>
  <si>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</si>
  <si>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</si>
  <si>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</si>
  <si>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</si>
  <si>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</si>
  <si>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</si>
  <si>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</si>
  <si>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</si>
  <si>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</si>
  <si>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</si>
  <si>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</si>
  <si>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</si>
  <si>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</si>
  <si>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</si>
  <si>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</si>
  <si>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</si>
  <si>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</si>
  <si>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</si>
  <si>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</si>
  <si>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</si>
  <si>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</si>
  <si>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</si>
  <si>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</si>
  <si>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</si>
  <si>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</si>
  <si>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</si>
  <si>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</si>
  <si>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</si>
  <si>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</si>
  <si>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</si>
  <si>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</si>
  <si>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</si>
  <si>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</si>
  <si>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</si>
  <si>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</si>
  <si>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</si>
  <si>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</si>
  <si>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</si>
  <si>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</si>
  <si>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</si>
  <si>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</si>
  <si>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</si>
  <si>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</si>
  <si>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</si>
  <si>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</si>
  <si>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</si>
  <si>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</si>
  <si>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</si>
  <si>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</si>
  <si>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</si>
  <si>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</si>
  <si>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</si>
  <si>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</si>
  <si>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</si>
  <si>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</si>
  <si>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</si>
  <si>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</si>
  <si>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</si>
  <si>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</si>
  <si>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</si>
  <si>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</si>
  <si>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</si>
  <si>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</si>
  <si>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</si>
  <si>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</si>
  <si>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</si>
  <si>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</si>
  <si>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</si>
  <si>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</si>
  <si>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</si>
  <si>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</si>
  <si>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</si>
  <si>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</si>
  <si>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</si>
  <si>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</si>
  <si>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</si>
  <si>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</si>
  <si>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</si>
  <si>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</si>
  <si>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</si>
  <si>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</si>
  <si>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</si>
  <si>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</si>
  <si>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</si>
  <si>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</si>
  <si>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</si>
  <si>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</si>
  <si>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</si>
  <si>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</si>
  <si>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</si>
  <si>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</si>
  <si>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</si>
  <si>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</si>
  <si>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</si>
  <si>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</si>
  <si>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</si>
  <si>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</si>
  <si>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</si>
  <si>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</si>
  <si>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</si>
  <si>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</si>
  <si>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</si>
  <si>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</si>
  <si>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</si>
  <si>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</si>
  <si>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</si>
  <si>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</si>
  <si>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</si>
  <si>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</si>
  <si>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</si>
  <si>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</si>
  <si>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</si>
  <si>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</si>
  <si>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</si>
  <si>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</si>
  <si>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</si>
  <si>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</si>
  <si>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</si>
  <si>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</si>
  <si>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</si>
  <si>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</si>
  <si>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</si>
  <si>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</si>
  <si>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</si>
  <si>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</si>
  <si>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</si>
  <si>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</si>
  <si>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</si>
  <si>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</si>
  <si>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</si>
  <si>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</si>
  <si>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</si>
  <si>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</si>
  <si>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</si>
  <si>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</si>
  <si>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</si>
  <si>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</si>
  <si>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</si>
  <si>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</si>
  <si>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</si>
  <si>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</si>
  <si>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</si>
  <si>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</si>
  <si>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</si>
  <si>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</si>
  <si>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</si>
  <si>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</si>
  <si>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</si>
  <si>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</si>
  <si>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</si>
  <si>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</si>
  <si>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</si>
  <si>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</si>
  <si>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</si>
  <si>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</si>
  <si>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</si>
  <si>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</si>
  <si>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</si>
  <si>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</si>
  <si>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</si>
  <si>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</si>
  <si>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</si>
  <si>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</si>
  <si>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</si>
  <si>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</si>
  <si>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</si>
  <si>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</si>
  <si>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</si>
  <si>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</si>
  <si>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</si>
  <si>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</si>
  <si>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</si>
  <si>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</si>
  <si>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</si>
  <si>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</si>
  <si>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</si>
  <si>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</si>
  <si>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</si>
  <si>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</si>
  <si>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</si>
  <si>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</si>
  <si>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</si>
  <si>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</si>
  <si>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</si>
  <si>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</si>
  <si>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</si>
  <si>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</si>
  <si>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</si>
  <si>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</si>
  <si>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</si>
  <si>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</si>
  <si>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</si>
  <si>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</si>
  <si>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</si>
  <si>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</si>
  <si>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</si>
  <si>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</si>
  <si>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</si>
  <si>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</si>
  <si>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</si>
  <si>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</si>
  <si>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</si>
  <si>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</si>
  <si>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</si>
  <si>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</si>
  <si>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</si>
  <si>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</si>
  <si>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</si>
  <si>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</si>
  <si>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</si>
  <si>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</si>
  <si>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</si>
  <si>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</si>
  <si>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</si>
  <si>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</si>
  <si>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</si>
  <si>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</si>
  <si>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</si>
  <si>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</si>
  <si>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</si>
  <si>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</si>
  <si>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</si>
  <si>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</si>
  <si>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</si>
  <si>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</si>
  <si>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</si>
  <si>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</si>
  <si>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</si>
  <si>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</si>
  <si>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</si>
  <si>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</si>
  <si>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</si>
  <si>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</si>
  <si>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</si>
  <si>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</si>
  <si>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</si>
  <si>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</si>
  <si>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</si>
  <si>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</si>
  <si>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</si>
  <si>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</si>
  <si>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</si>
  <si>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</si>
  <si>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</si>
  <si>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</si>
  <si>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</si>
  <si>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</si>
  <si>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</si>
  <si>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</si>
  <si>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</si>
  <si>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</si>
  <si>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</si>
  <si>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</si>
  <si>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</si>
  <si>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</si>
  <si>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</si>
  <si>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</si>
  <si>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</si>
  <si>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</si>
  <si>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</si>
  <si>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</si>
  <si>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</si>
  <si>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</si>
  <si>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</si>
  <si>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</si>
  <si>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</si>
  <si>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</si>
  <si>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</si>
  <si>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</si>
  <si>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</si>
  <si>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</si>
  <si>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</si>
  <si>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</si>
  <si>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</si>
  <si>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</si>
  <si>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</si>
  <si>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</si>
  <si>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</si>
  <si>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</si>
  <si>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</si>
  <si>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</si>
  <si>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</si>
  <si>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</si>
  <si>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</si>
  <si>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</si>
  <si>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</si>
  <si>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</si>
  <si>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</si>
  <si>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</si>
  <si>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</si>
  <si>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</si>
  <si>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</si>
  <si>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</si>
  <si>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</si>
  <si>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</si>
  <si>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</si>
  <si>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</si>
  <si>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</si>
  <si>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</si>
  <si>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</si>
  <si>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</si>
  <si>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</si>
  <si>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</si>
  <si>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</si>
  <si>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</si>
  <si>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</si>
  <si>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</si>
  <si>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</si>
  <si>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</si>
  <si>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</si>
  <si>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</si>
  <si>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</si>
  <si>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</si>
  <si>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</si>
  <si>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</si>
  <si>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</si>
  <si>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</si>
  <si>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</si>
  <si>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</si>
  <si>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</si>
  <si>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</si>
  <si>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</si>
  <si>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</si>
  <si>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</si>
  <si>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</si>
  <si>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</si>
  <si>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</si>
  <si>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</si>
  <si>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</si>
  <si>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</si>
  <si>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</si>
  <si>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</si>
  <si>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</si>
  <si>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</si>
  <si>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</si>
  <si>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</si>
  <si>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</si>
  <si>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</si>
  <si>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</si>
  <si>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</si>
  <si>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</si>
  <si>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</si>
  <si>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</si>
  <si>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</si>
  <si>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</si>
  <si>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</si>
  <si>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</si>
  <si>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</si>
  <si>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</si>
  <si>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</si>
  <si>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</si>
  <si>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</si>
  <si>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</si>
  <si>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</si>
  <si>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</si>
  <si>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</si>
  <si>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</si>
  <si>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</si>
  <si>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</si>
  <si>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</si>
  <si>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</si>
  <si>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</si>
  <si>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</si>
  <si>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</si>
  <si>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</si>
  <si>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</si>
  <si>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</si>
  <si>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</si>
  <si>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</si>
  <si>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</si>
  <si>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</si>
  <si>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</si>
  <si>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</si>
  <si>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</si>
  <si>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</si>
  <si>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</si>
  <si>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</si>
  <si>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</si>
  <si>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</si>
  <si>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</si>
  <si>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</si>
  <si>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</si>
  <si>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</si>
  <si>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</si>
  <si>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</si>
  <si>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</si>
  <si>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</si>
  <si>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</si>
  <si>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</si>
  <si>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</si>
  <si>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</si>
  <si>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</si>
  <si>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</si>
  <si>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</si>
  <si>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</si>
  <si>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</si>
  <si>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</si>
  <si>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</si>
  <si>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</si>
  <si>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</si>
  <si>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</si>
  <si>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</si>
  <si>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</si>
  <si>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</si>
  <si>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</si>
  <si>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</si>
  <si>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</si>
  <si>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</si>
  <si>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</si>
  <si>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</si>
  <si>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</si>
  <si>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</si>
  <si>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</si>
  <si>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</si>
  <si>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</si>
  <si>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</si>
  <si>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</si>
  <si>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</si>
  <si>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</si>
  <si>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</si>
  <si>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</si>
  <si>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</si>
  <si>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</si>
  <si>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</si>
  <si>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</si>
  <si>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</si>
  <si>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</si>
  <si>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</si>
  <si>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</si>
  <si>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</si>
  <si>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</si>
  <si>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</si>
  <si>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</si>
  <si>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</si>
  <si>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</si>
  <si>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</si>
  <si>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</si>
  <si>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</si>
  <si>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</si>
  <si>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</si>
  <si>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</si>
  <si>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</si>
  <si>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</si>
  <si>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</si>
  <si>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</si>
  <si>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</si>
  <si>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</si>
  <si>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</si>
  <si>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</si>
  <si>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</si>
  <si>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</si>
  <si>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</si>
  <si>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</si>
  <si>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</si>
  <si>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</si>
  <si>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</si>
  <si>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</si>
  <si>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</si>
  <si>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</si>
  <si>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</si>
  <si>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</si>
  <si>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</si>
  <si>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</si>
  <si>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</si>
  <si>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</si>
  <si>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</si>
  <si>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</si>
  <si>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</si>
  <si>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</si>
  <si>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</si>
  <si>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</si>
  <si>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</si>
  <si>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</si>
  <si>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</si>
  <si>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</si>
  <si>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</si>
  <si>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</si>
  <si>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</si>
  <si>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</si>
  <si>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</si>
  <si>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</si>
  <si>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</si>
  <si>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</si>
  <si>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</si>
  <si>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</si>
  <si>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</si>
  <si>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</si>
  <si>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</si>
  <si>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</si>
  <si>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</si>
  <si>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</si>
  <si>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</si>
  <si>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</si>
  <si>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</si>
  <si>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</si>
  <si>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</si>
  <si>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</si>
  <si>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</si>
  <si>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</si>
  <si>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</si>
  <si>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</si>
  <si>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</si>
  <si>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</si>
  <si>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</si>
  <si>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</si>
  <si>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</si>
  <si>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</si>
  <si>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</si>
  <si>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</si>
  <si>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</si>
  <si>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</si>
  <si>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</si>
  <si>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</si>
  <si>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</si>
  <si>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</si>
  <si>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</si>
  <si>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</si>
  <si>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</si>
  <si>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</si>
  <si>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</si>
  <si>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</si>
  <si>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</si>
  <si>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</si>
  <si>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</si>
  <si>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</si>
  <si>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</si>
  <si>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</si>
  <si>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</si>
  <si>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</si>
  <si>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</si>
  <si>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</si>
  <si>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</si>
  <si>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</si>
  <si>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</si>
  <si>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</si>
  <si>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</si>
  <si>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</si>
  <si>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</si>
  <si>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</si>
  <si>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</si>
  <si>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</si>
  <si>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</si>
  <si>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</si>
  <si>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</si>
  <si>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</si>
  <si>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</si>
  <si>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</si>
  <si>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</si>
  <si>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</si>
  <si>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</si>
  <si>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</si>
  <si>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</si>
  <si>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</si>
  <si>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</si>
  <si>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</si>
  <si>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</si>
  <si>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</si>
  <si>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</si>
  <si>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</si>
  <si>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</si>
  <si>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</si>
  <si>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</si>
  <si>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</si>
  <si>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</si>
  <si>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</si>
  <si>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</si>
  <si>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</si>
  <si>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</si>
  <si>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</si>
  <si>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</si>
  <si>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</si>
  <si>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</si>
  <si>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</si>
  <si>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</si>
  <si>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</si>
  <si>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</si>
  <si>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</si>
  <si>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</si>
  <si>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</si>
  <si>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</si>
  <si>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</si>
  <si>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</si>
  <si>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</si>
  <si>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</si>
  <si>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</si>
  <si>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</si>
  <si>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</si>
  <si>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</si>
  <si>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</si>
  <si>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</si>
  <si>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</si>
  <si>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</si>
  <si>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</si>
  <si>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</si>
  <si>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</si>
  <si>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</si>
  <si>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</si>
  <si>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</si>
  <si>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</si>
  <si>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</si>
  <si>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</si>
  <si>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</si>
  <si>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</si>
  <si>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</si>
  <si>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</si>
  <si>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</si>
  <si>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</si>
  <si>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</si>
  <si>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</si>
  <si>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</si>
  <si>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</si>
  <si>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</si>
  <si>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</si>
  <si>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</si>
  <si>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</si>
  <si>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</si>
  <si>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</si>
  <si>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</si>
  <si>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</si>
  <si>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</si>
  <si>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</si>
  <si>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</si>
  <si>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</si>
  <si>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</si>
  <si>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</si>
  <si>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</si>
  <si>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</si>
  <si>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</si>
  <si>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</si>
  <si>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</si>
  <si>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</si>
  <si>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</si>
  <si>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</si>
  <si>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</si>
  <si>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</si>
  <si>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</si>
  <si>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</si>
  <si>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</si>
  <si>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</si>
  <si>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</si>
  <si>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</si>
  <si>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</si>
  <si>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</si>
  <si>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</si>
  <si>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</si>
  <si>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</si>
  <si>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</si>
  <si>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</si>
  <si>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</si>
  <si>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</si>
  <si>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</si>
  <si>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</si>
  <si>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</si>
  <si>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</si>
  <si>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</si>
  <si>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</si>
  <si>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</si>
  <si>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</si>
  <si>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</si>
  <si>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</si>
  <si>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</si>
  <si>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</si>
  <si>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</si>
  <si>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</si>
  <si>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</si>
  <si>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</si>
  <si>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</si>
  <si>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</si>
  <si>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</si>
  <si>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</si>
  <si>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</si>
  <si>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</si>
  <si>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</si>
  <si>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</si>
  <si>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</si>
  <si>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</si>
  <si>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</si>
  <si>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</si>
  <si>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</si>
  <si>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</si>
  <si>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</si>
  <si>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</si>
  <si>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</si>
  <si>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</si>
  <si>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</si>
  <si>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</si>
  <si>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</si>
  <si>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</si>
  <si>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</si>
  <si>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</si>
  <si>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</si>
  <si>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</si>
  <si>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</si>
  <si>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</si>
  <si>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</si>
  <si>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</si>
  <si>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</si>
  <si>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</si>
  <si>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</si>
  <si>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</si>
  <si>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</si>
  <si>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</si>
  <si>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</si>
  <si>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</si>
  <si>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</si>
  <si>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</si>
  <si>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</si>
  <si>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</si>
  <si>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</si>
  <si>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</si>
  <si>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</si>
  <si>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</si>
  <si>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</si>
  <si>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</si>
  <si>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</si>
  <si>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</si>
  <si>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</si>
  <si>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</si>
  <si>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</si>
  <si>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</si>
  <si>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</si>
  <si>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</si>
  <si>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</si>
  <si>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</si>
  <si>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</si>
  <si>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</si>
  <si>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</si>
  <si>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</si>
  <si>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</si>
  <si>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</si>
  <si>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</si>
  <si>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</si>
  <si>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</si>
  <si>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</si>
  <si>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</si>
  <si>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</si>
  <si>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</si>
  <si>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</si>
  <si>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</si>
  <si>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</si>
  <si>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</si>
  <si>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</si>
  <si>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</si>
  <si>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</si>
  <si>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</si>
  <si>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</si>
  <si>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</si>
  <si>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</si>
  <si>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</si>
  <si>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</si>
  <si>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</si>
  <si>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</si>
  <si>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</si>
  <si>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</si>
  <si>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</si>
  <si>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</si>
  <si>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</si>
  <si>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</si>
  <si>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</si>
  <si>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</si>
  <si>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</si>
  <si>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</si>
  <si>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</si>
  <si>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</si>
  <si>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</si>
  <si>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</si>
  <si>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</si>
  <si>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</si>
  <si>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</si>
  <si>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</si>
  <si>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</si>
  <si>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</si>
  <si>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</si>
  <si>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</si>
  <si>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</si>
  <si>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</si>
  <si>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</si>
  <si>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</si>
  <si>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</si>
  <si>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</si>
  <si>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</si>
  <si>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</si>
  <si>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</si>
  <si>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</si>
  <si>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</si>
  <si>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</si>
  <si>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</si>
  <si>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</si>
  <si>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</si>
  <si>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</si>
  <si>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</si>
  <si>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</si>
  <si>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</si>
  <si>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</si>
  <si>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</si>
  <si>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</si>
  <si>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</si>
  <si>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</si>
  <si>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</si>
  <si>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</si>
  <si>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</si>
  <si>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</si>
  <si>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</si>
  <si>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</si>
  <si>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</si>
  <si>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</si>
  <si>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</si>
  <si>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</si>
  <si>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</si>
  <si>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</si>
  <si>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</si>
  <si>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</si>
  <si>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</si>
  <si>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</si>
  <si>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</si>
  <si>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</si>
  <si>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</si>
  <si>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</si>
  <si>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</si>
  <si>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</si>
  <si>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</si>
  <si>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</si>
  <si>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</si>
  <si>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</si>
  <si>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</si>
  <si>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</si>
  <si>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</si>
  <si>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</si>
  <si>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</si>
  <si>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</si>
  <si>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</si>
  <si>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</si>
  <si>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</si>
  <si>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</si>
  <si>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</si>
  <si>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</si>
  <si>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</si>
  <si>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</si>
  <si>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</si>
  <si>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</si>
  <si>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</si>
  <si>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</si>
  <si>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</si>
  <si>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</si>
  <si>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</si>
  <si>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</si>
  <si>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</si>
  <si>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</si>
  <si>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</si>
  <si>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</si>
  <si>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</si>
  <si>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</si>
  <si>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</si>
  <si>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</si>
  <si>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</si>
  <si>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</si>
  <si>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</si>
  <si>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</si>
  <si>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</si>
  <si>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</si>
  <si>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</si>
  <si>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</si>
  <si>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</si>
  <si>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</si>
  <si>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</si>
  <si>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</si>
  <si>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</si>
  <si>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</si>
  <si>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</si>
  <si>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</si>
  <si>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</si>
  <si>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</si>
  <si>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</si>
  <si>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</si>
  <si>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</si>
  <si>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</si>
  <si>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</si>
  <si>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</si>
  <si>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</si>
  <si>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</si>
  <si>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</si>
  <si>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</si>
  <si>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</si>
  <si>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</si>
  <si>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</si>
  <si>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</si>
  <si>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</si>
  <si>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</si>
  <si>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</si>
  <si>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</si>
  <si>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</si>
  <si>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</si>
  <si>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</si>
  <si>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</si>
  <si>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</si>
  <si>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</si>
  <si>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</si>
  <si>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</si>
  <si>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</si>
  <si>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</si>
  <si>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</si>
  <si>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</si>
  <si>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</si>
  <si>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</si>
  <si>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</si>
  <si>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</si>
  <si>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</si>
  <si>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</si>
  <si>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</si>
  <si>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</si>
  <si>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</si>
  <si>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</si>
  <si>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</si>
  <si>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</si>
  <si>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</si>
  <si>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</si>
  <si>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</si>
  <si>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</si>
  <si>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</si>
  <si>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</si>
  <si>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</si>
  <si>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</si>
  <si>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</si>
  <si>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</si>
  <si>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</si>
  <si>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</si>
  <si>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</si>
  <si>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</si>
  <si>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</si>
  <si>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</si>
  <si>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</si>
  <si>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</si>
  <si>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</si>
  <si>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</si>
  <si>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</si>
  <si>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</si>
  <si>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</si>
  <si>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</si>
  <si>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</si>
  <si>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</si>
  <si>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</si>
  <si>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</si>
  <si>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</si>
  <si>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</si>
  <si>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</si>
  <si>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</si>
  <si>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</si>
  <si>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</si>
  <si>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</si>
  <si>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</si>
  <si>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</si>
  <si>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</si>
  <si>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</si>
  <si>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</si>
  <si>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</si>
  <si>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</si>
  <si>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</si>
  <si>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</si>
  <si>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</si>
  <si>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</si>
  <si>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</si>
  <si>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</si>
  <si>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</si>
  <si>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</si>
  <si>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</si>
  <si>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</si>
  <si>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</si>
  <si>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</si>
  <si>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</si>
  <si>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</si>
  <si>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</si>
  <si>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</si>
  <si>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</si>
  <si>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</si>
  <si>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</si>
  <si>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</si>
  <si>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</si>
  <si>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</si>
  <si>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</si>
  <si>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</si>
  <si>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</si>
  <si>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</si>
  <si>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</si>
  <si>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</si>
  <si>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</si>
  <si>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</si>
  <si>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</si>
  <si>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</si>
  <si>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</si>
  <si>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</si>
  <si>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</si>
  <si>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</si>
  <si>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</si>
  <si>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</si>
  <si>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</si>
  <si>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</si>
  <si>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</si>
  <si>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</si>
  <si>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</si>
  <si>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</si>
  <si>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</si>
  <si>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</si>
  <si>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</si>
  <si>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</si>
  <si>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</si>
  <si>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</si>
  <si>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</si>
  <si>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</si>
  <si>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</si>
  <si>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</si>
  <si>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</si>
  <si>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</si>
  <si>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</si>
  <si>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</si>
  <si>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</si>
  <si>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</si>
  <si>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</si>
  <si>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</si>
  <si>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</si>
  <si>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</si>
  <si>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</si>
  <si>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</si>
  <si>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</si>
  <si>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</si>
  <si>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</si>
  <si>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</si>
  <si>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</si>
  <si>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</si>
  <si>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</si>
  <si>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</si>
  <si>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</si>
  <si>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</si>
  <si>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</si>
  <si>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</si>
  <si>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</si>
  <si>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</si>
  <si>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</si>
  <si>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</si>
  <si>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</si>
  <si>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</si>
  <si>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</si>
  <si>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</si>
  <si>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</si>
  <si>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</si>
  <si>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</si>
  <si>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</si>
  <si>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</si>
  <si>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</si>
  <si>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</si>
  <si>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</si>
  <si>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</si>
  <si>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</si>
  <si>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</si>
  <si>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</si>
  <si>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</si>
  <si>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</si>
  <si>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</si>
  <si>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</si>
  <si>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</si>
  <si>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</si>
  <si>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</si>
  <si>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</si>
  <si>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</si>
  <si>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</si>
  <si>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</si>
  <si>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</si>
  <si>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</si>
  <si>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</si>
  <si>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</si>
  <si>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</si>
  <si>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</si>
  <si>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</si>
  <si>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</si>
  <si>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</si>
  <si>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</si>
  <si>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</si>
  <si>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</si>
  <si>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</si>
  <si>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</si>
  <si>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</si>
  <si>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</si>
  <si>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</si>
  <si>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</si>
  <si>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</si>
  <si>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</si>
  <si>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</si>
  <si>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</si>
  <si>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</si>
  <si>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</si>
  <si>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</si>
  <si>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</si>
  <si>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</si>
  <si>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</si>
  <si>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</si>
  <si>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</si>
  <si>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</si>
  <si>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</si>
  <si>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</si>
  <si>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</si>
  <si>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</si>
  <si>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</si>
  <si>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</si>
  <si>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</si>
  <si>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</si>
  <si>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</si>
  <si>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</si>
  <si>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</si>
  <si>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</si>
  <si>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</si>
  <si>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</si>
  <si>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</si>
  <si>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</si>
  <si>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</si>
  <si>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</si>
  <si>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</si>
  <si>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</si>
  <si>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</si>
  <si>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</si>
  <si>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</si>
  <si>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</si>
  <si>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</si>
  <si>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</si>
  <si>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</si>
  <si>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</si>
  <si>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</si>
  <si>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</si>
  <si>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</si>
  <si>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</si>
  <si>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</si>
  <si>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</si>
  <si>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</si>
  <si>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</si>
  <si>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</si>
  <si>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</si>
  <si>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</si>
  <si>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</si>
  <si>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</si>
  <si>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</si>
  <si>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</si>
  <si>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</si>
  <si>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</si>
  <si>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</si>
  <si>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</si>
  <si>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</si>
  <si>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</si>
  <si>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</si>
  <si>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</si>
  <si>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</si>
  <si>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</si>
  <si>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</si>
  <si>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</si>
  <si>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</si>
  <si>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</si>
  <si>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</si>
  <si>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</si>
  <si>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</si>
  <si>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</si>
  <si>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</si>
  <si>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</si>
  <si>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</si>
  <si>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</si>
  <si>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</si>
  <si>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</si>
  <si>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</si>
  <si>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</si>
  <si>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</si>
  <si>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</si>
  <si>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</si>
  <si>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</si>
  <si>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</si>
  <si>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</si>
  <si>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</si>
  <si>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</si>
  <si>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</si>
  <si>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</si>
  <si>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</si>
  <si>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</si>
  <si>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</si>
  <si>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</si>
  <si>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</si>
  <si>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</si>
  <si>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</si>
  <si>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</si>
  <si>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</si>
  <si>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</si>
  <si>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</si>
  <si>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</si>
  <si>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</si>
  <si>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</si>
  <si>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</si>
  <si>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</si>
  <si>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</si>
  <si>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</si>
  <si>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</si>
  <si>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</si>
  <si>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</si>
  <si>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</si>
  <si>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</si>
  <si>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</si>
  <si>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</si>
  <si>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</si>
  <si>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</si>
  <si>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</si>
  <si>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</si>
  <si>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</si>
  <si>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</si>
  <si>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</si>
  <si>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</si>
  <si>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</si>
  <si>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</si>
  <si>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</si>
  <si>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</si>
  <si>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</si>
  <si>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</si>
  <si>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</si>
  <si>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</si>
  <si>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</si>
  <si>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</si>
  <si>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</si>
  <si>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</si>
  <si>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</si>
  <si>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</si>
  <si>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</si>
  <si>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</si>
  <si>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</si>
  <si>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</si>
  <si>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</si>
  <si>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</si>
  <si>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</si>
  <si>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</si>
  <si>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</si>
  <si>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</si>
  <si>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</si>
  <si>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</si>
  <si>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</si>
  <si>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</si>
  <si>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</si>
  <si>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</si>
  <si>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</si>
  <si>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</si>
  <si>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</si>
  <si>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</si>
  <si>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</si>
  <si>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R0A</t>
  </si>
  <si>
    <t xml:space="preserve">BDI </t>
  </si>
  <si>
    <t>Presidente Castello Branco - SC, novembro de 2022.</t>
  </si>
  <si>
    <t>Placa de obra padrão</t>
  </si>
  <si>
    <t>Serviços de topografia para pavimentação</t>
  </si>
  <si>
    <t>Av. Dezessete de Fevereiro - Km 0+140m</t>
  </si>
  <si>
    <t>Projetado</t>
  </si>
  <si>
    <t>SEGMENTO:</t>
  </si>
  <si>
    <t>Av. Dezessete de Fevereiro - Fim da pavimentação (Km 2+200m)</t>
  </si>
  <si>
    <t>EMENDA:</t>
  </si>
  <si>
    <t>IMPLANTAÇÃO E PAVIMENTAÇÃO DA ESTRADA DE LINHA TAQUARAL - SEGMENTO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</si>
</sst>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0_-;\-* #,##0_-;_-* &quot;-&quot;_-;_-@_-"/>
    <numFmt numFmtId="44" formatCode="_-&quot;R$&quot;\ * #,##0.00_-;\-&quot;R$&quot;\ * #,##0.00_-;_-&quot;R$&quot;\ * &quot;-&quot;??_-;_-@_-"/>
    <numFmt numFmtId="43" formatCode="_-* #,##0.00_-;\-* #,##0.00_-;_-* &quot;-&quot;??_-;_-@_-"/>
    <numFmt numFmtId="164" formatCode="0.0%"/>
    <numFmt numFmtId="165" formatCode="#,##0.00\ &quot;m²&quot;"/>
    <numFmt numFmtId="166" formatCode="_(&quot;R$&quot;* #,##0.00_);_(&quot;R$&quot;* \(#,##0.00\);_(&quot;R$&quot;* &quot;-&quot;??_);_(@_)"/>
    <numFmt numFmtId="167" formatCode="_(&quot;R$ &quot;* #,##0.00_);_(&quot;R$ &quot;* \(#,##0.00\);_(&quot;R$ &quot;* \-??_);_(@_)"/>
    <numFmt numFmtId="168" formatCode="_-* #,##0.0000_-;\-* #,##0.0000_-;_-* &quot;-&quot;??_-;_-@_-"/>
    <numFmt numFmtId="169" formatCode="#,##0.00\ ;&quot; (&quot;#,##0.00\);&quot; -&quot;#\ ;@\ "/>
    <numFmt numFmtId="170" formatCode="#\×"/>
    <numFmt numFmtId="171" formatCode="_(* #,##0.00_);_(* \(#,##0.00\);_(* &quot;-&quot;??_);_(@_)"/>
    <numFmt numFmtId="172" formatCode="_(* #,##0_);_(* \(#,##0\);_(* &quot;-&quot;??_);_(@_)"/>
    <numFmt numFmtId="173" formatCode="_-* #,##0_-;\-* #,##0_-;_-* &quot;-&quot;??_-;_-@_-"/>
    <numFmt numFmtId="174" formatCode="#,##0.00\ ;\(#,##0.00\)"/>
    <numFmt numFmtId="175" formatCode="#,##0.00&quot;   &quot;;\-#,##0.00&quot;   &quot;"/>
    <numFmt numFmtId="176" formatCode="#,##0.000\ ;\(#,##0.000\)"/>
    <numFmt numFmtId="177" formatCode="0.00\ &quot;%&quot;"/>
    <numFmt numFmtId="178" formatCode="0.0000"/>
    <numFmt numFmtId="179" formatCode="0.00\ &quot;km&quot;"/>
    <numFmt numFmtId="180" formatCode="_-* #,##0.000_-;\-* #,##0.000_-;_-* &quot;-&quot;??_-;_-@_-"/>
    <numFmt numFmtId="181" formatCode="\(#,##0\)"/>
    <numFmt numFmtId="182" formatCode="0.0"/>
    <numFmt numFmtId="183" formatCode="#,##0.00\ &quot;m&quot;"/>
    <numFmt numFmtId="184" formatCode="0\+##0.00"/>
    <numFmt numFmtId="185" formatCode="#,##0.00_ ;\-#,##0.00\ "/>
    <numFmt numFmtId="186" formatCode="#,##0.000"/>
    <numFmt numFmtId="187" formatCode="_-* #,##0.000_-;\-* #,##0.000_-;_-* &quot;-&quot;???_-;_-@_-"/>
    <numFmt numFmtId="188" formatCode="#.##00000"/>
    <numFmt numFmtId="189" formatCode="#,##0.000\ ;&quot; (&quot;#,##0.000\);&quot; -&quot;#.0\ ;@\ "/>
    <numFmt numFmtId="190" formatCode="#,##0.0000\ ;&quot; (&quot;#,##0.0000\);&quot; -&quot;#.00\ ;@\ "/>
    <numFmt numFmtId="191" formatCode="_-* #,##0.0_-;\-* #,##0.0_-;_-* &quot;-&quot;??_-;_-@_-"/>
    <numFmt numFmtId="192" formatCode="_(* #,##0.0_);_(* \(#,##0.0\);_(* &quot;-&quot;??_);_(@_)"/>
    <numFmt numFmtId="193" formatCode="0.000"/>
    <numFmt numFmtId="194" formatCode="#,##0.00_ ;[Red]\-#,##0.00\ "/>
    <numFmt numFmtId="195" formatCode="#,##0\ ;&quot; (&quot;#,##0\);&quot; -&quot;#\ ;@\ "/>
    <numFmt numFmtId="196" formatCode="_-* #,##0.0_-;\-* #,##0.0_-;_-* &quot;-&quot;_-;_-@_-"/>
  </numFmts>
  <fonts count="5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color theme="1"/>
      <name val="Arial"/>
      <family val="2"/>
    </font>
    <font>
      <sz val="10"/>
      <name val="Arial"/>
      <family val="2"/>
    </font>
    <font>
      <b/>
      <sz val="10"/>
      <name val="Arial"/>
      <family val="2"/>
    </font>
    <font>
      <b/>
      <sz val="10"/>
      <color rgb="FF000000"/>
      <name val="Arial"/>
      <family val="2"/>
    </font>
    <font>
      <b/>
      <sz val="10"/>
      <color theme="1"/>
      <name val="Arial"/>
      <family val="2"/>
    </font>
    <font>
      <b/>
      <sz val="10"/>
      <color rgb="FFFF0000"/>
      <name val="Arial"/>
      <family val="2"/>
    </font>
    <font>
      <b/>
      <sz val="8"/>
      <name val="Arial"/>
      <family val="2"/>
    </font>
    <font>
      <sz val="8"/>
      <name val="Arial"/>
      <family val="2"/>
    </font>
    <font>
      <sz val="7"/>
      <name val="Arial"/>
      <family val="2"/>
    </font>
    <font>
      <b/>
      <sz val="7"/>
      <name val="Arial"/>
      <family val="2"/>
    </font>
    <font>
      <vertAlign val="subscript"/>
      <sz val="7"/>
      <name val="Arial"/>
      <family val="2"/>
    </font>
    <font>
      <vertAlign val="subscript"/>
      <sz val="8"/>
      <name val="Arial"/>
      <family val="2"/>
    </font>
    <font>
      <vertAlign val="superscript"/>
      <sz val="8"/>
      <name val="Arial"/>
      <family val="2"/>
    </font>
    <font>
      <sz val="10"/>
      <name val="Courier New"/>
      <family val="3"/>
    </font>
    <font>
      <sz val="40"/>
      <color theme="1"/>
      <name val="Arial"/>
      <family val="2"/>
    </font>
    <font>
      <sz val="20"/>
      <color theme="1"/>
      <name val="Arial"/>
      <family val="2"/>
    </font>
    <font>
      <b/>
      <sz val="10"/>
      <color indexed="9"/>
      <name val="Arial"/>
      <family val="2"/>
    </font>
    <font>
      <sz val="9"/>
      <color indexed="81"/>
      <name val="Segoe UI"/>
      <family val="2"/>
    </font>
    <font>
      <b/>
      <sz val="9"/>
      <color indexed="81"/>
      <name val="Segoe UI"/>
      <family val="2"/>
    </font>
    <font>
      <u/>
      <sz val="11"/>
      <color theme="10"/>
      <name val="Calibri"/>
      <family val="2"/>
      <scheme val="minor"/>
    </font>
    <font>
      <sz val="10"/>
      <color rgb="FFFF0000"/>
      <name val="Arial"/>
      <family val="2"/>
    </font>
    <font>
      <sz val="10"/>
      <color theme="0"/>
      <name val="Arial"/>
      <family val="2"/>
    </font>
    <font>
      <sz val="10.5"/>
      <color theme="1"/>
      <name val="Arial"/>
      <family val="2"/>
    </font>
    <font>
      <sz val="11"/>
      <color rgb="FFFF0000"/>
      <name val="Calibri"/>
      <family val="2"/>
      <scheme val="minor"/>
    </font>
    <font>
      <vertAlign val="subscript"/>
      <sz val="11"/>
      <color indexed="8"/>
      <name val="Calibri"/>
      <family val="2"/>
    </font>
    <font>
      <vertAlign val="superscript"/>
      <sz val="11"/>
      <color indexed="8"/>
      <name val="Calibri"/>
      <family val="2"/>
    </font>
    <font>
      <sz val="11"/>
      <color rgb="FFC00000"/>
      <name val="Calibri"/>
      <family val="2"/>
      <scheme val="minor"/>
    </font>
    <font>
      <sz val="11"/>
      <name val="Calibri"/>
      <family val="2"/>
      <scheme val="minor"/>
    </font>
    <font>
      <sz val="8"/>
      <name val="Calibri"/>
      <family val="2"/>
      <scheme val="minor"/>
    </font>
    <font>
      <sz val="11"/>
      <color rgb="FF000000"/>
      <name val="Calibri"/>
      <family val="2"/>
    </font>
    <font>
      <sz val="10"/>
      <color indexed="8"/>
      <name val="Arial"/>
      <family val="2"/>
    </font>
    <font>
      <sz val="6"/>
      <name val="Arial"/>
      <family val="2"/>
    </font>
    <font>
      <b/>
      <sz val="11"/>
      <color rgb="FFFF0000"/>
      <name val="Calibri"/>
      <family val="2"/>
      <scheme val="minor"/>
    </font>
    <font>
      <sz val="10"/>
      <color rgb="FFFF0000"/>
      <name val="Calibri"/>
      <family val="2"/>
      <scheme val="minor"/>
    </font>
    <font>
      <b/>
      <sz val="10"/>
      <color rgb="FFFF0000"/>
      <name val="Calibri"/>
      <family val="2"/>
      <scheme val="minor"/>
    </font>
    <font>
      <b/>
      <sz val="11"/>
      <name val="Calibri"/>
      <family val="2"/>
      <scheme val="minor"/>
    </font>
    <font>
      <b/>
      <sz val="8"/>
      <color rgb="FFFF0000"/>
      <name val="Arial"/>
      <family val="2"/>
    </font>
    <font>
      <sz val="10"/>
      <name val="Calibri"/>
      <family val="2"/>
      <scheme val="minor"/>
    </font>
    <font>
      <sz val="10"/>
      <color theme="1"/>
      <name val="Calibri"/>
      <family val="2"/>
      <scheme val="minor"/>
    </font>
    <font>
      <b/>
      <sz val="10"/>
      <color theme="1"/>
      <name val="Calibri"/>
      <family val="2"/>
      <scheme val="minor"/>
    </font>
    <font>
      <sz val="10"/>
      <color theme="1"/>
      <name val="Arial Unicode MS"/>
      <family val="2"/>
    </font>
    <font>
      <sz val="7"/>
      <color theme="1"/>
      <name val="Arial"/>
      <family val="2"/>
    </font>
    <font>
      <vertAlign val="subscript"/>
      <sz val="7"/>
      <color theme="1"/>
      <name val="Arial"/>
      <family val="2"/>
    </font>
    <font>
      <sz val="8"/>
      <color theme="1"/>
      <name val="Calibri"/>
      <family val="2"/>
      <scheme val="minor"/>
    </font>
    <font>
      <sz val="8"/>
      <color theme="0" tint="-0.14999847407452621"/>
      <name val="Arial"/>
      <family val="2"/>
    </font>
    <font>
      <sz val="8"/>
      <color indexed="9"/>
      <name val="Arial"/>
      <family val="2"/>
    </font>
    <font>
      <sz val="8"/>
      <color theme="1"/>
      <name val="Verdana"/>
      <family val="2"/>
    </font>
    <font>
      <vertAlign val="superscript"/>
      <sz val="11"/>
      <color theme="1"/>
      <name val="Calibri"/>
      <family val="2"/>
      <scheme val="minor"/>
    </font>
    <font>
      <vertAlign val="subscript"/>
      <sz val="11"/>
      <color theme="1"/>
      <name val="Calibri"/>
      <family val="2"/>
      <scheme val="minor"/>
    </font>
    <font>
      <sz val="10"/>
      <color rgb="FF000000"/>
      <name val="Arial"/>
      <family val="2"/>
    </font>
    <font>
      <sz val="8"/>
      <color rgb="FFFF0000"/>
      <name val="Calibri"/>
      <family val="2"/>
      <scheme val="minor"/>
    </font>
    <font>
      <sz val="11"/>
      <color theme="1"/>
      <name val="Arial"/>
      <family val="2"/>
    </font>
    <font>
      <vertAlign val="subscript"/>
      <sz val="10"/>
      <color theme="1"/>
      <name val="Arial"/>
      <family val="2"/>
    </font>
    <font>
      <sz val="11"/>
      <color rgb="FF000000"/>
      <name val="Calibri"/>
      <family val="2"/>
      <scheme val="minor"/>
    </font>
  </fonts>
  <fills count="16">
    <fill>
      <patternFill patternType="none"/>
    </fill>
    <fill>
      <patternFill patternType="gray125"/>
    </fill>
    <fill>
      <patternFill patternType="solid">
        <fgColor theme="6" tint="0.59999389629810485"/>
        <bgColor indexed="65"/>
      </patternFill>
    </fill>
    <fill>
      <patternFill patternType="solid">
        <fgColor theme="8"/>
      </patternFill>
    </fill>
    <fill>
      <patternFill patternType="solid">
        <fgColor rgb="FFFFFF00"/>
        <bgColor indexed="64"/>
      </patternFill>
    </fill>
    <fill>
      <patternFill patternType="solid">
        <fgColor theme="9" tint="0.59999389629810485"/>
        <bgColor indexed="64"/>
      </patternFill>
    </fill>
    <fill>
      <patternFill patternType="solid">
        <fgColor rgb="FFFFC000"/>
        <bgColor indexed="9"/>
      </patternFill>
    </fill>
    <fill>
      <patternFill patternType="solid">
        <fgColor theme="0"/>
        <bgColor indexed="9"/>
      </patternFill>
    </fill>
    <fill>
      <patternFill patternType="solid">
        <fgColor rgb="FFFFC000"/>
        <bgColor indexed="64"/>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indexed="9"/>
        <bgColor indexed="8"/>
      </patternFill>
    </fill>
  </fills>
  <borders count="36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hair">
        <color indexed="8"/>
      </bottom>
      <diagonal/>
    </border>
    <border>
      <left/>
      <right style="hair">
        <color indexed="8"/>
      </right>
      <top style="thin">
        <color indexed="64"/>
      </top>
      <bottom style="hair">
        <color indexed="8"/>
      </bottom>
      <diagonal/>
    </border>
    <border>
      <left style="hair">
        <color indexed="8"/>
      </left>
      <right style="hair">
        <color indexed="8"/>
      </right>
      <top style="thin">
        <color indexed="64"/>
      </top>
      <bottom/>
      <diagonal/>
    </border>
    <border>
      <left style="hair">
        <color indexed="64"/>
      </left>
      <right style="thin">
        <color indexed="64"/>
      </right>
      <top style="thin">
        <color indexed="64"/>
      </top>
      <bottom/>
      <diagonal/>
    </border>
    <border>
      <left style="hair">
        <color indexed="8"/>
      </left>
      <right style="hair">
        <color indexed="8"/>
      </right>
      <top/>
      <bottom/>
      <diagonal/>
    </border>
    <border>
      <left style="hair">
        <color indexed="64"/>
      </left>
      <right style="thin">
        <color indexed="64"/>
      </right>
      <top/>
      <bottom/>
      <diagonal/>
    </border>
    <border>
      <left style="hair">
        <color indexed="8"/>
      </left>
      <right/>
      <top style="thin">
        <color indexed="64"/>
      </top>
      <bottom/>
      <diagonal/>
    </border>
    <border>
      <left/>
      <right style="thin">
        <color indexed="8"/>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style="hair">
        <color indexed="8"/>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top/>
      <bottom style="thin">
        <color indexed="8"/>
      </bottom>
      <diagonal/>
    </border>
    <border>
      <left style="thin">
        <color indexed="8"/>
      </left>
      <right/>
      <top style="hair">
        <color indexed="8"/>
      </top>
      <bottom style="thin">
        <color indexed="8"/>
      </bottom>
      <diagonal/>
    </border>
    <border>
      <left style="hair">
        <color indexed="8"/>
      </left>
      <right style="hair">
        <color indexed="8"/>
      </right>
      <top style="hair">
        <color indexed="8"/>
      </top>
      <bottom style="thin">
        <color indexed="8"/>
      </bottom>
      <diagonal/>
    </border>
    <border>
      <left/>
      <right style="hair">
        <color indexed="8"/>
      </right>
      <top style="hair">
        <color indexed="8"/>
      </top>
      <bottom style="thin">
        <color indexed="8"/>
      </bottom>
      <diagonal/>
    </border>
    <border>
      <left/>
      <right style="hair">
        <color indexed="8"/>
      </right>
      <top/>
      <bottom style="thin">
        <color indexed="8"/>
      </bottom>
      <diagonal/>
    </border>
    <border>
      <left style="hair">
        <color indexed="8"/>
      </left>
      <right/>
      <top style="hair">
        <color indexed="8"/>
      </top>
      <bottom style="thin">
        <color indexed="8"/>
      </bottom>
      <diagonal/>
    </border>
    <border>
      <left/>
      <right/>
      <top/>
      <bottom style="thin">
        <color indexed="8"/>
      </bottom>
      <diagonal/>
    </border>
    <border>
      <left style="thin">
        <color indexed="64"/>
      </left>
      <right style="hair">
        <color indexed="8"/>
      </right>
      <top style="hair">
        <color indexed="8"/>
      </top>
      <bottom style="thin">
        <color indexed="8"/>
      </bottom>
      <diagonal/>
    </border>
    <border>
      <left/>
      <right style="thin">
        <color indexed="64"/>
      </right>
      <top style="hair">
        <color indexed="8"/>
      </top>
      <bottom style="thin">
        <color indexed="8"/>
      </bottom>
      <diagonal/>
    </border>
    <border>
      <left style="thin">
        <color indexed="64"/>
      </left>
      <right style="hair">
        <color indexed="64"/>
      </right>
      <top style="hair">
        <color indexed="64"/>
      </top>
      <bottom style="thin">
        <color indexed="8"/>
      </bottom>
      <diagonal/>
    </border>
    <border>
      <left style="hair">
        <color indexed="64"/>
      </left>
      <right style="hair">
        <color indexed="64"/>
      </right>
      <top style="hair">
        <color indexed="64"/>
      </top>
      <bottom style="thin">
        <color indexed="8"/>
      </bottom>
      <diagonal/>
    </border>
    <border>
      <left style="hair">
        <color indexed="64"/>
      </left>
      <right style="thin">
        <color indexed="64"/>
      </right>
      <top style="hair">
        <color indexed="64"/>
      </top>
      <bottom style="thin">
        <color indexed="8"/>
      </bottom>
      <diagonal/>
    </border>
    <border>
      <left/>
      <right style="thin">
        <color indexed="64"/>
      </right>
      <top/>
      <bottom/>
      <diagonal/>
    </border>
    <border>
      <left style="thin">
        <color indexed="64"/>
      </left>
      <right style="hair">
        <color indexed="64"/>
      </right>
      <top style="hair">
        <color indexed="8"/>
      </top>
      <bottom style="thin">
        <color indexed="64"/>
      </bottom>
      <diagonal/>
    </border>
    <border>
      <left style="hair">
        <color indexed="64"/>
      </left>
      <right style="hair">
        <color indexed="64"/>
      </right>
      <top style="hair">
        <color indexed="8"/>
      </top>
      <bottom style="thin">
        <color indexed="64"/>
      </bottom>
      <diagonal/>
    </border>
    <border>
      <left style="hair">
        <color indexed="64"/>
      </left>
      <right style="hair">
        <color indexed="8"/>
      </right>
      <top style="hair">
        <color indexed="8"/>
      </top>
      <bottom style="thin">
        <color indexed="64"/>
      </bottom>
      <diagonal/>
    </border>
    <border>
      <left style="hair">
        <color indexed="64"/>
      </left>
      <right style="thin">
        <color indexed="64"/>
      </right>
      <top style="hair">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hair">
        <color indexed="8"/>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8"/>
      </left>
      <right style="hair">
        <color indexed="8"/>
      </right>
      <top/>
      <bottom style="thin">
        <color indexed="64"/>
      </bottom>
      <diagonal/>
    </border>
    <border>
      <left style="hair">
        <color indexed="8"/>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hair">
        <color indexed="8"/>
      </left>
      <right style="hair">
        <color indexed="8"/>
      </right>
      <top style="thin">
        <color indexed="64"/>
      </top>
      <bottom style="thin">
        <color indexed="64"/>
      </bottom>
      <diagonal/>
    </border>
    <border>
      <left/>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dashed">
        <color indexed="64"/>
      </left>
      <right style="medium">
        <color indexed="64"/>
      </right>
      <top style="hair">
        <color indexed="64"/>
      </top>
      <bottom style="medium">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hair">
        <color indexed="64"/>
      </bottom>
      <diagonal/>
    </border>
    <border>
      <left style="thin">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thin">
        <color indexed="64"/>
      </left>
      <right style="dashed">
        <color indexed="64"/>
      </right>
      <top style="hair">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dashed">
        <color indexed="64"/>
      </right>
      <top style="medium">
        <color indexed="64"/>
      </top>
      <bottom style="hair">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ashed">
        <color indexed="64"/>
      </right>
      <top style="hair">
        <color indexed="64"/>
      </top>
      <bottom style="thin">
        <color indexed="64"/>
      </bottom>
      <diagonal/>
    </border>
    <border>
      <left style="dashed">
        <color indexed="64"/>
      </left>
      <right style="dashed">
        <color indexed="64"/>
      </right>
      <top style="hair">
        <color indexed="64"/>
      </top>
      <bottom style="thin">
        <color indexed="64"/>
      </bottom>
      <diagonal/>
    </border>
    <border>
      <left style="dashed">
        <color indexed="64"/>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right style="dashed">
        <color indexed="64"/>
      </right>
      <top style="thin">
        <color indexed="64"/>
      </top>
      <bottom style="hair">
        <color indexed="64"/>
      </bottom>
      <diagonal/>
    </border>
    <border>
      <left style="dashed">
        <color indexed="64"/>
      </left>
      <right style="dashed">
        <color indexed="64"/>
      </right>
      <top style="thin">
        <color indexed="64"/>
      </top>
      <bottom style="hair">
        <color indexed="64"/>
      </bottom>
      <diagonal/>
    </border>
    <border>
      <left style="dashed">
        <color indexed="64"/>
      </left>
      <right style="medium">
        <color indexed="64"/>
      </right>
      <top style="thin">
        <color indexed="64"/>
      </top>
      <bottom style="hair">
        <color indexed="64"/>
      </bottom>
      <diagonal/>
    </border>
    <border>
      <left style="hair">
        <color auto="1"/>
      </left>
      <right style="thin">
        <color auto="1"/>
      </right>
      <top style="thin">
        <color indexed="64"/>
      </top>
      <bottom style="hair">
        <color indexed="8"/>
      </bottom>
      <diagonal/>
    </border>
    <border>
      <left style="hair">
        <color auto="1"/>
      </left>
      <right style="thin">
        <color auto="1"/>
      </right>
      <top style="hair">
        <color indexed="8"/>
      </top>
      <bottom style="thin">
        <color indexed="8"/>
      </bottom>
      <diagonal/>
    </border>
    <border>
      <left style="hair">
        <color auto="1"/>
      </left>
      <right style="thin">
        <color auto="1"/>
      </right>
      <top/>
      <bottom style="thin">
        <color indexed="64"/>
      </bottom>
      <diagonal/>
    </border>
    <border>
      <left style="hair">
        <color auto="1"/>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diagonal/>
    </border>
    <border>
      <left style="thin">
        <color indexed="8"/>
      </left>
      <right/>
      <top/>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dotted">
        <color indexed="64"/>
      </bottom>
      <diagonal/>
    </border>
    <border>
      <left/>
      <right/>
      <top style="thin">
        <color indexed="64"/>
      </top>
      <bottom style="dotted">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auto="1"/>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8"/>
      </left>
      <right style="thin">
        <color indexed="8"/>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style="hair">
        <color indexed="8"/>
      </top>
      <bottom style="hair">
        <color indexed="64"/>
      </bottom>
      <diagonal/>
    </border>
    <border>
      <left/>
      <right style="hair">
        <color indexed="64"/>
      </right>
      <top style="hair">
        <color indexed="8"/>
      </top>
      <bottom style="thin">
        <color indexed="64"/>
      </bottom>
      <diagonal/>
    </border>
    <border>
      <left/>
      <right style="hair">
        <color indexed="64"/>
      </right>
      <top style="hair">
        <color indexed="8"/>
      </top>
      <bottom style="hair">
        <color indexed="64"/>
      </bottom>
      <diagonal/>
    </border>
    <border>
      <left style="hair">
        <color indexed="8"/>
      </left>
      <right/>
      <top style="thin">
        <color indexed="64"/>
      </top>
      <bottom style="hair">
        <color indexed="8"/>
      </bottom>
      <diagonal/>
    </border>
    <border>
      <left style="thin">
        <color indexed="64"/>
      </left>
      <right/>
      <top style="thin">
        <color indexed="64"/>
      </top>
      <bottom style="hair">
        <color indexed="8"/>
      </bottom>
      <diagonal/>
    </border>
    <border>
      <left style="thin">
        <color indexed="8"/>
      </left>
      <right/>
      <top style="thin">
        <color indexed="64"/>
      </top>
      <bottom style="hair">
        <color indexed="8"/>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style="hair">
        <color auto="1"/>
      </left>
      <right style="thin">
        <color auto="1"/>
      </right>
      <top style="hair">
        <color indexed="64"/>
      </top>
      <bottom style="hair">
        <color indexed="64"/>
      </bottom>
      <diagonal/>
    </border>
    <border>
      <left style="thin">
        <color indexed="64"/>
      </left>
      <right style="hair">
        <color indexed="8"/>
      </right>
      <top style="hair">
        <color indexed="64"/>
      </top>
      <bottom style="hair">
        <color indexed="64"/>
      </bottom>
      <diagonal/>
    </border>
    <border>
      <left style="hair">
        <color indexed="8"/>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style="hair">
        <color auto="1"/>
      </right>
      <top style="hair">
        <color indexed="64"/>
      </top>
      <bottom style="hair">
        <color indexed="64"/>
      </bottom>
      <diagonal/>
    </border>
    <border>
      <left/>
      <right style="hair">
        <color auto="1"/>
      </right>
      <top/>
      <bottom style="thin">
        <color indexed="64"/>
      </bottom>
      <diagonal/>
    </border>
    <border>
      <left/>
      <right style="thin">
        <color indexed="8"/>
      </right>
      <top style="hair">
        <color indexed="8"/>
      </top>
      <bottom style="thin">
        <color indexed="8"/>
      </bottom>
      <diagonal/>
    </border>
    <border>
      <left style="hair">
        <color indexed="8"/>
      </left>
      <right style="thin">
        <color indexed="8"/>
      </right>
      <top style="hair">
        <color indexed="64"/>
      </top>
      <bottom style="hair">
        <color indexed="64"/>
      </bottom>
      <diagonal/>
    </border>
    <border>
      <left style="hair">
        <color indexed="8"/>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right style="thin">
        <color indexed="64"/>
      </right>
      <top/>
      <bottom style="hair">
        <color indexed="8"/>
      </bottom>
      <diagonal/>
    </border>
    <border>
      <left style="hair">
        <color indexed="64"/>
      </left>
      <right/>
      <top style="thin">
        <color indexed="64"/>
      </top>
      <bottom style="hair">
        <color indexed="8"/>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bottom style="thin">
        <color indexed="64"/>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00000"/>
      </bottom>
      <diagonal/>
    </border>
    <border>
      <left style="hair">
        <color indexed="64"/>
      </left>
      <right style="thin">
        <color indexed="64"/>
      </right>
      <top style="hair">
        <color indexed="8"/>
      </top>
      <bottom style="thin">
        <color indexed="64"/>
      </bottom>
      <diagonal/>
    </border>
    <border>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hair">
        <color indexed="8"/>
      </top>
      <bottom style="hair">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style="hair">
        <color indexed="8"/>
      </right>
      <top style="thin">
        <color indexed="64"/>
      </top>
      <bottom style="hair">
        <color indexed="8"/>
      </bottom>
      <diagonal/>
    </border>
    <border>
      <left/>
      <right style="hair">
        <color indexed="8"/>
      </right>
      <top style="thin">
        <color indexed="64"/>
      </top>
      <bottom/>
      <diagonal/>
    </border>
    <border>
      <left style="thin">
        <color indexed="64"/>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hair">
        <color indexed="8"/>
      </bottom>
      <diagonal/>
    </border>
    <border>
      <left style="hair">
        <color indexed="64"/>
      </left>
      <right style="hair">
        <color indexed="64"/>
      </right>
      <top/>
      <bottom style="hair">
        <color indexed="64"/>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64"/>
      </right>
      <top style="hair">
        <color indexed="8"/>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auto="1"/>
      </top>
      <bottom/>
      <diagonal/>
    </border>
    <border>
      <left style="hair">
        <color indexed="64"/>
      </left>
      <right style="hair">
        <color indexed="64"/>
      </right>
      <top style="thin">
        <color indexed="64"/>
      </top>
      <bottom style="hair">
        <color indexed="8"/>
      </bottom>
      <diagonal/>
    </border>
    <border>
      <left/>
      <right style="hair">
        <color indexed="8"/>
      </right>
      <top style="thin">
        <color indexed="64"/>
      </top>
      <bottom style="hair">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8"/>
      </right>
      <top style="hair">
        <color indexed="8"/>
      </top>
      <bottom/>
      <diagonal/>
    </border>
    <border>
      <left style="hair">
        <color indexed="64"/>
      </left>
      <right style="hair">
        <color indexed="64"/>
      </right>
      <top/>
      <bottom/>
      <diagonal/>
    </border>
    <border>
      <left style="hair">
        <color indexed="8"/>
      </left>
      <right style="hair">
        <color indexed="64"/>
      </right>
      <top/>
      <bottom/>
      <diagonal/>
    </border>
    <border>
      <left style="thin">
        <color indexed="64"/>
      </left>
      <right style="hair">
        <color indexed="64"/>
      </right>
      <top/>
      <bottom/>
      <diagonal/>
    </border>
    <border>
      <left style="thin">
        <color indexed="64"/>
      </left>
      <right/>
      <top style="hair">
        <color indexed="8"/>
      </top>
      <bottom/>
      <diagonal/>
    </border>
    <border>
      <left/>
      <right style="hair">
        <color indexed="64"/>
      </right>
      <top style="hair">
        <color indexed="8"/>
      </top>
      <bottom/>
      <diagonal/>
    </border>
    <border>
      <left style="hair">
        <color indexed="64"/>
      </left>
      <right style="hair">
        <color indexed="64"/>
      </right>
      <top style="hair">
        <color indexed="8"/>
      </top>
      <bottom/>
      <diagonal/>
    </border>
    <border>
      <left/>
      <right style="thin">
        <color indexed="64"/>
      </right>
      <top style="hair">
        <color indexed="8"/>
      </top>
      <bottom/>
      <diagonal/>
    </border>
    <border>
      <left/>
      <right/>
      <top/>
      <bottom style="hair">
        <color indexed="8"/>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8"/>
      </bottom>
      <diagonal/>
    </border>
    <border>
      <left style="hair">
        <color indexed="64"/>
      </left>
      <right/>
      <top/>
      <bottom style="hair">
        <color indexed="8"/>
      </bottom>
      <diagonal/>
    </border>
    <border>
      <left/>
      <right style="hair">
        <color indexed="64"/>
      </right>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64"/>
      </right>
      <top/>
      <bottom style="thin">
        <color indexed="64"/>
      </bottom>
      <diagonal/>
    </border>
    <border>
      <left style="thin">
        <color auto="1"/>
      </left>
      <right style="hair">
        <color auto="1"/>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8"/>
      </bottom>
      <diagonal/>
    </border>
    <border>
      <left/>
      <right style="hair">
        <color indexed="64"/>
      </right>
      <top/>
      <bottom style="thin">
        <color indexed="8"/>
      </bottom>
      <diagonal/>
    </border>
    <border>
      <left style="hair">
        <color indexed="64"/>
      </left>
      <right style="hair">
        <color indexed="64"/>
      </right>
      <top/>
      <bottom style="thin">
        <color indexed="8"/>
      </bottom>
      <diagonal/>
    </border>
    <border>
      <left style="hair">
        <color indexed="8"/>
      </left>
      <right/>
      <top style="hair">
        <color indexed="8"/>
      </top>
      <bottom style="thin">
        <color indexed="64"/>
      </bottom>
      <diagonal/>
    </border>
    <border>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right style="thin">
        <color indexed="64"/>
      </right>
      <top/>
      <bottom style="thin">
        <color indexed="8"/>
      </bottom>
      <diagonal/>
    </border>
    <border>
      <left style="thin">
        <color indexed="64"/>
      </left>
      <right style="hair">
        <color indexed="64"/>
      </right>
      <top style="hair">
        <color indexed="8"/>
      </top>
      <bottom style="thin">
        <color indexed="8"/>
      </bottom>
      <diagonal/>
    </border>
    <border>
      <left style="thin">
        <color indexed="64"/>
      </left>
      <right style="hair">
        <color indexed="8"/>
      </right>
      <top style="hair">
        <color indexed="64"/>
      </top>
      <bottom style="thin">
        <color indexed="64"/>
      </bottom>
      <diagonal/>
    </border>
    <border>
      <left/>
      <right style="hair">
        <color indexed="8"/>
      </right>
      <top style="hair">
        <color indexed="64"/>
      </top>
      <bottom style="thin">
        <color indexed="64"/>
      </bottom>
      <diagonal/>
    </border>
    <border>
      <left style="hair">
        <color indexed="64"/>
      </left>
      <right style="hair">
        <color indexed="64"/>
      </right>
      <top style="hair">
        <color indexed="8"/>
      </top>
      <bottom style="thin">
        <color indexed="8"/>
      </bottom>
      <diagonal/>
    </border>
    <border>
      <left style="hair">
        <color indexed="64"/>
      </left>
      <right/>
      <top style="hair">
        <color indexed="8"/>
      </top>
      <bottom style="thin">
        <color indexed="8"/>
      </bottom>
      <diagonal/>
    </border>
    <border>
      <left/>
      <right style="hair">
        <color indexed="64"/>
      </right>
      <top style="hair">
        <color indexed="8"/>
      </top>
      <bottom style="thin">
        <color indexed="8"/>
      </bottom>
      <diagonal/>
    </border>
    <border>
      <left/>
      <right style="thin">
        <color indexed="8"/>
      </right>
      <top style="hair">
        <color indexed="8"/>
      </top>
      <bottom/>
      <diagonal/>
    </border>
    <border>
      <left style="hair">
        <color indexed="8"/>
      </left>
      <right style="thin">
        <color indexed="64"/>
      </right>
      <top style="hair">
        <color indexed="8"/>
      </top>
      <bottom style="hair">
        <color indexed="8"/>
      </bottom>
      <diagonal/>
    </border>
    <border>
      <left style="hair">
        <color indexed="8"/>
      </left>
      <right style="thin">
        <color indexed="64"/>
      </right>
      <top/>
      <bottom style="hair">
        <color indexed="8"/>
      </bottom>
      <diagonal/>
    </border>
    <border>
      <left/>
      <right style="hair">
        <color indexed="64"/>
      </right>
      <top style="thin">
        <color indexed="64"/>
      </top>
      <bottom style="hair">
        <color indexed="8"/>
      </bottom>
      <diagonal/>
    </border>
    <border>
      <left style="thin">
        <color indexed="64"/>
      </left>
      <right style="hair">
        <color indexed="8"/>
      </right>
      <top style="hair">
        <color indexed="8"/>
      </top>
      <bottom style="thin">
        <color indexed="64"/>
      </bottom>
      <diagonal/>
    </border>
    <border>
      <left style="thin">
        <color indexed="64"/>
      </left>
      <right style="hair">
        <color indexed="64"/>
      </right>
      <top style="hair">
        <color indexed="8"/>
      </top>
      <bottom style="hair">
        <color indexed="8"/>
      </bottom>
      <diagonal/>
    </border>
    <border>
      <left style="hair">
        <color indexed="8"/>
      </left>
      <right style="hair">
        <color indexed="8"/>
      </right>
      <top/>
      <bottom style="medium">
        <color indexed="64"/>
      </bottom>
      <diagonal/>
    </border>
    <border>
      <left/>
      <right style="hair">
        <color indexed="8"/>
      </right>
      <top/>
      <bottom style="medium">
        <color indexed="64"/>
      </bottom>
      <diagonal/>
    </border>
    <border>
      <left style="hair">
        <color indexed="8"/>
      </left>
      <right/>
      <top/>
      <bottom style="medium">
        <color indexed="64"/>
      </bottom>
      <diagonal/>
    </border>
    <border>
      <left/>
      <right style="thin">
        <color indexed="64"/>
      </right>
      <top/>
      <bottom style="medium">
        <color indexed="64"/>
      </bottom>
      <diagonal/>
    </border>
    <border>
      <left style="hair">
        <color indexed="8"/>
      </left>
      <right style="thin">
        <color indexed="8"/>
      </right>
      <top style="thin">
        <color indexed="64"/>
      </top>
      <bottom style="thin">
        <color indexed="64"/>
      </bottom>
      <diagonal/>
    </border>
    <border>
      <left style="thin">
        <color indexed="8"/>
      </left>
      <right style="hair">
        <color indexed="8"/>
      </right>
      <top style="thin">
        <color indexed="64"/>
      </top>
      <bottom style="thin">
        <color indexed="64"/>
      </bottom>
      <diagonal/>
    </border>
    <border>
      <left style="hair">
        <color indexed="64"/>
      </left>
      <right style="hair">
        <color indexed="8"/>
      </right>
      <top style="thin">
        <color indexed="64"/>
      </top>
      <bottom style="thin">
        <color indexed="64"/>
      </bottom>
      <diagonal/>
    </border>
    <border>
      <left style="hair">
        <color indexed="8"/>
      </left>
      <right style="hair">
        <color indexed="64"/>
      </right>
      <top style="thin">
        <color indexed="64"/>
      </top>
      <bottom style="thin">
        <color indexed="64"/>
      </bottom>
      <diagonal/>
    </border>
    <border>
      <left style="hair">
        <color indexed="64"/>
      </left>
      <right style="thin">
        <color indexed="64"/>
      </right>
      <top style="hair">
        <color indexed="8"/>
      </top>
      <bottom style="hair">
        <color indexed="64"/>
      </bottom>
      <diagonal/>
    </border>
    <border>
      <left style="hair">
        <color indexed="8"/>
      </left>
      <right style="hair">
        <color indexed="8"/>
      </right>
      <top style="hair">
        <color indexed="64"/>
      </top>
      <bottom style="thin">
        <color indexed="64"/>
      </bottom>
      <diagonal/>
    </border>
    <border>
      <left style="hair">
        <color indexed="8"/>
      </left>
      <right/>
      <top style="hair">
        <color indexed="64"/>
      </top>
      <bottom style="thin">
        <color indexed="64"/>
      </bottom>
      <diagonal/>
    </border>
    <border>
      <left/>
      <right style="hair">
        <color indexed="8"/>
      </right>
      <top style="hair">
        <color indexed="8"/>
      </top>
      <bottom style="hair">
        <color indexed="64"/>
      </bottom>
      <diagonal/>
    </border>
    <border>
      <left/>
      <right style="thin">
        <color indexed="64"/>
      </right>
      <top style="hair">
        <color indexed="8"/>
      </top>
      <bottom style="hair">
        <color indexed="64"/>
      </bottom>
      <diagonal/>
    </border>
    <border>
      <left/>
      <right/>
      <top style="hair">
        <color indexed="8"/>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64"/>
      </left>
      <right style="hair">
        <color indexed="8"/>
      </right>
      <top style="hair">
        <color indexed="8"/>
      </top>
      <bottom style="hair">
        <color indexed="64"/>
      </bottom>
      <diagonal/>
    </border>
    <border>
      <left style="hair">
        <color indexed="8"/>
      </left>
      <right style="hair">
        <color indexed="64"/>
      </right>
      <top style="hair">
        <color indexed="8"/>
      </top>
      <bottom style="hair">
        <color indexed="64"/>
      </bottom>
      <diagonal/>
    </border>
    <border>
      <left/>
      <right style="hair">
        <color indexed="8"/>
      </right>
      <top style="thin">
        <color indexed="64"/>
      </top>
      <bottom style="hair">
        <color indexed="8"/>
      </bottom>
      <diagonal/>
    </border>
    <border>
      <left style="hair">
        <color indexed="8"/>
      </left>
      <right style="hair">
        <color indexed="64"/>
      </right>
      <top style="hair">
        <color indexed="8"/>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auto="1"/>
      </right>
      <top style="thin">
        <color indexed="64"/>
      </top>
      <bottom style="hair">
        <color indexed="8"/>
      </bottom>
      <diagonal/>
    </border>
    <border>
      <left style="hair">
        <color indexed="8"/>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hair">
        <color indexed="8"/>
      </left>
      <right style="thin">
        <color indexed="8"/>
      </right>
      <top style="thin">
        <color indexed="8"/>
      </top>
      <bottom style="thin">
        <color indexed="64"/>
      </bottom>
      <diagonal/>
    </border>
    <border>
      <left style="thin">
        <color auto="1"/>
      </left>
      <right style="hair">
        <color auto="1"/>
      </right>
      <top/>
      <bottom style="thin">
        <color indexed="64"/>
      </bottom>
      <diagonal/>
    </border>
    <border>
      <left style="hair">
        <color indexed="8"/>
      </left>
      <right/>
      <top style="thin">
        <color indexed="8"/>
      </top>
      <bottom style="thin">
        <color indexed="64"/>
      </bottom>
      <diagonal/>
    </border>
    <border>
      <left style="thin">
        <color indexed="8"/>
      </left>
      <right style="hair">
        <color indexed="8"/>
      </right>
      <top style="thin">
        <color indexed="8"/>
      </top>
      <bottom style="thin">
        <color indexed="64"/>
      </bottom>
      <diagonal/>
    </border>
    <border>
      <left style="thin">
        <color indexed="64"/>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8"/>
      </right>
      <top style="hair">
        <color indexed="8"/>
      </top>
      <bottom/>
      <diagonal/>
    </border>
    <border>
      <left style="hair">
        <color indexed="64"/>
      </left>
      <right style="hair">
        <color indexed="8"/>
      </right>
      <top/>
      <bottom style="thin">
        <color indexed="8"/>
      </bottom>
      <diagonal/>
    </border>
    <border>
      <left style="thin">
        <color indexed="8"/>
      </left>
      <right style="thin">
        <color indexed="8"/>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right/>
      <top style="thin">
        <color indexed="64"/>
      </top>
      <bottom/>
      <diagonal/>
    </border>
    <border>
      <left style="hair">
        <color indexed="64"/>
      </left>
      <right/>
      <top style="thin">
        <color indexed="64"/>
      </top>
      <bottom style="thin">
        <color indexed="64"/>
      </bottom>
      <diagonal/>
    </border>
    <border>
      <left style="hair">
        <color indexed="64"/>
      </left>
      <right/>
      <top style="hair">
        <color indexed="8"/>
      </top>
      <bottom style="hair">
        <color indexed="64"/>
      </bottom>
      <diagonal/>
    </border>
    <border>
      <left style="hair">
        <color indexed="64"/>
      </left>
      <right/>
      <top style="hair">
        <color indexed="8"/>
      </top>
      <bottom style="thin">
        <color indexed="64"/>
      </bottom>
      <diagonal/>
    </border>
    <border>
      <left/>
      <right/>
      <top style="hair">
        <color indexed="8"/>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xf numFmtId="166" fontId="5" fillId="0" borderId="0" applyFont="0" applyFill="0" applyBorder="0" applyAlignment="0" applyProtection="0"/>
    <xf numFmtId="0" fontId="2" fillId="3" borderId="2" applyAlignment="0" applyProtection="0"/>
    <xf numFmtId="0" fontId="3" fillId="2" borderId="20" applyAlignment="0" applyProtection="0"/>
    <xf numFmtId="169" fontId="5" fillId="0" borderId="0" applyFill="0" applyAlignment="0" applyProtection="0"/>
    <xf numFmtId="0" fontId="5" fillId="0" borderId="0"/>
    <xf numFmtId="43" fontId="1" fillId="0" borderId="0" applyFont="0" applyFill="0" applyBorder="0" applyAlignment="0" applyProtection="0"/>
    <xf numFmtId="9" fontId="5" fillId="0" borderId="0" applyFill="0" applyAlignment="0" applyProtection="0"/>
    <xf numFmtId="171" fontId="11" fillId="0" borderId="0" applyFont="0" applyFill="0" applyBorder="0" applyAlignment="0" applyProtection="0"/>
    <xf numFmtId="9" fontId="11"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23" fillId="0" borderId="0" applyNumberFormat="0" applyFill="0" applyBorder="0" applyAlignment="0" applyProtection="0"/>
    <xf numFmtId="171" fontId="5" fillId="0" borderId="0" applyFont="0" applyFill="0" applyBorder="0" applyAlignment="0" applyProtection="0"/>
    <xf numFmtId="0" fontId="33" fillId="0" borderId="0"/>
  </cellStyleXfs>
  <cellXfs count="2054">
    <xf numFmtId="0" fontId="0" fillId="0" borderId="0" xfId="0"/>
    <xf numFmtId="0" fontId="4" fillId="0" borderId="0" xfId="0" applyFont="1" applyAlignment="1">
      <alignment horizontal="center" vertical="center"/>
    </xf>
    <xf numFmtId="0" fontId="4" fillId="0" borderId="0" xfId="0" applyFont="1" applyAlignment="1">
      <alignment vertical="center"/>
    </xf>
    <xf numFmtId="43" fontId="4" fillId="0" borderId="0" xfId="1" applyFont="1" applyAlignment="1">
      <alignment horizontal="center" vertical="center"/>
    </xf>
    <xf numFmtId="44" fontId="4" fillId="0" borderId="0" xfId="2" applyFont="1" applyAlignment="1">
      <alignment horizontal="center" vertical="center"/>
    </xf>
    <xf numFmtId="164" fontId="4" fillId="0" borderId="0" xfId="3" applyNumberFormat="1" applyFont="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43" fontId="7" fillId="0" borderId="0" xfId="0" applyNumberFormat="1" applyFont="1" applyFill="1" applyBorder="1" applyAlignment="1">
      <alignment horizontal="center" vertical="center"/>
    </xf>
    <xf numFmtId="43" fontId="4"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6" fillId="0" borderId="0" xfId="4" applyFont="1" applyFill="1" applyBorder="1" applyAlignment="1">
      <alignment horizontal="left" vertical="center"/>
    </xf>
    <xf numFmtId="0" fontId="4" fillId="0" borderId="0" xfId="0" applyFont="1" applyBorder="1" applyAlignment="1">
      <alignment vertical="center"/>
    </xf>
    <xf numFmtId="165" fontId="4" fillId="0" borderId="0" xfId="1" applyNumberFormat="1" applyFont="1" applyFill="1" applyBorder="1" applyAlignment="1">
      <alignment horizontal="left" vertical="center"/>
    </xf>
    <xf numFmtId="2" fontId="6" fillId="0" borderId="0" xfId="4" applyNumberFormat="1" applyFont="1" applyFill="1" applyBorder="1" applyAlignment="1">
      <alignment horizontal="left" vertical="center" wrapText="1"/>
    </xf>
    <xf numFmtId="43" fontId="5" fillId="0" borderId="0" xfId="4" applyNumberFormat="1" applyFont="1" applyFill="1" applyBorder="1" applyAlignment="1">
      <alignment horizontal="center" vertical="center"/>
    </xf>
    <xf numFmtId="43" fontId="6" fillId="0" borderId="0" xfId="4" applyNumberFormat="1" applyFont="1" applyFill="1" applyBorder="1" applyAlignment="1">
      <alignment horizontal="center" vertical="center"/>
    </xf>
    <xf numFmtId="43" fontId="6" fillId="0" borderId="0" xfId="4" applyNumberFormat="1" applyFont="1" applyFill="1" applyBorder="1" applyAlignment="1">
      <alignment horizontal="right" vertical="center"/>
    </xf>
    <xf numFmtId="44" fontId="4" fillId="0" borderId="0" xfId="2" applyFont="1" applyBorder="1" applyAlignment="1">
      <alignment horizontal="center" vertical="center"/>
    </xf>
    <xf numFmtId="164" fontId="4" fillId="0" borderId="0" xfId="3" applyNumberFormat="1" applyFont="1" applyBorder="1" applyAlignment="1">
      <alignment horizontal="center" vertical="center"/>
    </xf>
    <xf numFmtId="0" fontId="5" fillId="0" borderId="4" xfId="4" applyFont="1" applyFill="1" applyBorder="1" applyAlignment="1">
      <alignment horizontal="left" vertical="center"/>
    </xf>
    <xf numFmtId="0" fontId="5" fillId="0" borderId="5" xfId="4" applyFont="1" applyFill="1" applyBorder="1" applyAlignment="1">
      <alignment horizontal="left" vertical="center"/>
    </xf>
    <xf numFmtId="0" fontId="8" fillId="0" borderId="5" xfId="0" applyFont="1" applyFill="1" applyBorder="1" applyAlignment="1">
      <alignment horizontal="left" vertical="center"/>
    </xf>
    <xf numFmtId="0" fontId="6" fillId="0" borderId="5" xfId="4" applyFont="1" applyFill="1" applyBorder="1" applyAlignment="1">
      <alignment vertical="center" wrapText="1"/>
    </xf>
    <xf numFmtId="43" fontId="4" fillId="0" borderId="6" xfId="0" applyNumberFormat="1" applyFont="1" applyFill="1" applyBorder="1" applyAlignment="1">
      <alignment horizontal="center" vertical="center"/>
    </xf>
    <xf numFmtId="0" fontId="5" fillId="0" borderId="7" xfId="4" applyFont="1" applyFill="1" applyBorder="1" applyAlignment="1">
      <alignment horizontal="left" vertical="center"/>
    </xf>
    <xf numFmtId="0" fontId="5" fillId="0" borderId="0" xfId="4" applyFont="1" applyFill="1" applyBorder="1" applyAlignment="1">
      <alignment horizontal="left" vertical="center"/>
    </xf>
    <xf numFmtId="0" fontId="8" fillId="0" borderId="0" xfId="0" applyFont="1" applyFill="1" applyBorder="1" applyAlignment="1">
      <alignment horizontal="left" vertical="center"/>
    </xf>
    <xf numFmtId="0" fontId="6" fillId="0" borderId="0" xfId="4" applyFont="1" applyFill="1" applyBorder="1" applyAlignment="1">
      <alignment vertical="center" wrapText="1"/>
    </xf>
    <xf numFmtId="0" fontId="4" fillId="0" borderId="0" xfId="0" applyFont="1" applyFill="1" applyBorder="1" applyAlignment="1">
      <alignment horizontal="centerContinuous" vertical="center" wrapText="1"/>
    </xf>
    <xf numFmtId="0" fontId="5" fillId="0" borderId="9" xfId="4" applyFont="1" applyFill="1" applyBorder="1" applyAlignment="1">
      <alignment horizontal="left" vertical="center"/>
    </xf>
    <xf numFmtId="0" fontId="5" fillId="0" borderId="10" xfId="4" applyFont="1" applyFill="1" applyBorder="1" applyAlignment="1">
      <alignment horizontal="left" vertical="center"/>
    </xf>
    <xf numFmtId="165" fontId="8" fillId="0" borderId="10" xfId="1" applyNumberFormat="1" applyFont="1" applyFill="1" applyBorder="1" applyAlignment="1">
      <alignment horizontal="left" vertical="center"/>
    </xf>
    <xf numFmtId="2" fontId="6" fillId="0" borderId="10" xfId="4" applyNumberFormat="1" applyFont="1" applyFill="1" applyBorder="1" applyAlignment="1">
      <alignment horizontal="left" vertical="center" wrapText="1"/>
    </xf>
    <xf numFmtId="0" fontId="5" fillId="0" borderId="21" xfId="4" applyFont="1" applyFill="1" applyBorder="1" applyAlignment="1">
      <alignment horizontal="center" vertical="center"/>
    </xf>
    <xf numFmtId="0" fontId="4" fillId="0" borderId="22" xfId="0" applyFont="1" applyFill="1" applyBorder="1" applyAlignment="1">
      <alignment horizontal="center" vertical="center"/>
    </xf>
    <xf numFmtId="0" fontId="5" fillId="0" borderId="22" xfId="0" applyFont="1" applyBorder="1" applyAlignment="1">
      <alignment horizontal="justify" vertical="center" wrapText="1"/>
    </xf>
    <xf numFmtId="0" fontId="4" fillId="0" borderId="22" xfId="0" applyFont="1" applyFill="1" applyBorder="1" applyAlignment="1">
      <alignment horizontal="right" vertical="center" wrapText="1"/>
    </xf>
    <xf numFmtId="0" fontId="4" fillId="0" borderId="22" xfId="0" applyFont="1" applyFill="1" applyBorder="1" applyAlignment="1">
      <alignment horizontal="center" vertical="center" wrapText="1"/>
    </xf>
    <xf numFmtId="43" fontId="5" fillId="0" borderId="22" xfId="1" applyFont="1" applyFill="1" applyBorder="1" applyAlignment="1">
      <alignment horizontal="center" vertical="center"/>
    </xf>
    <xf numFmtId="43" fontId="4" fillId="0" borderId="22" xfId="1" applyFont="1" applyFill="1" applyBorder="1" applyAlignment="1">
      <alignment horizontal="center" vertical="center"/>
    </xf>
    <xf numFmtId="43" fontId="4" fillId="0" borderId="23" xfId="1" applyFont="1" applyFill="1" applyBorder="1" applyAlignment="1">
      <alignment horizontal="center" vertical="center"/>
    </xf>
    <xf numFmtId="0" fontId="4" fillId="0" borderId="8" xfId="0" applyFont="1" applyBorder="1" applyAlignment="1">
      <alignment vertical="center"/>
    </xf>
    <xf numFmtId="0" fontId="6" fillId="2" borderId="22" xfId="7" applyFont="1" applyBorder="1" applyAlignment="1">
      <alignment horizontal="justify" vertical="center" wrapText="1"/>
    </xf>
    <xf numFmtId="43" fontId="4" fillId="0" borderId="22" xfId="1" applyFont="1" applyFill="1" applyBorder="1" applyAlignment="1">
      <alignment horizontal="right" vertical="center"/>
    </xf>
    <xf numFmtId="43" fontId="4" fillId="0" borderId="22" xfId="1" applyFont="1" applyFill="1" applyBorder="1" applyAlignment="1">
      <alignment horizontal="center" vertical="center" wrapText="1"/>
    </xf>
    <xf numFmtId="43" fontId="4" fillId="0" borderId="0" xfId="0" applyNumberFormat="1" applyFont="1" applyAlignment="1">
      <alignment vertical="center"/>
    </xf>
    <xf numFmtId="0" fontId="4" fillId="0" borderId="0" xfId="0" applyFont="1" applyAlignment="1">
      <alignment vertical="center" wrapText="1"/>
    </xf>
    <xf numFmtId="40" fontId="4" fillId="0" borderId="0" xfId="0" applyNumberFormat="1" applyFont="1" applyAlignment="1">
      <alignment vertical="center"/>
    </xf>
    <xf numFmtId="169" fontId="5" fillId="0" borderId="0" xfId="8" applyFont="1" applyFill="1" applyBorder="1" applyAlignment="1" applyProtection="1">
      <alignment vertical="center"/>
    </xf>
    <xf numFmtId="49" fontId="5" fillId="0" borderId="0" xfId="9" applyNumberFormat="1" applyFont="1" applyFill="1" applyBorder="1" applyAlignment="1" applyProtection="1">
      <alignment horizontal="left" vertical="center"/>
    </xf>
    <xf numFmtId="43" fontId="5" fillId="0" borderId="0" xfId="10" applyFont="1" applyFill="1" applyBorder="1" applyAlignment="1" applyProtection="1">
      <alignment horizontal="center" vertical="center"/>
    </xf>
    <xf numFmtId="0" fontId="5" fillId="0" borderId="0" xfId="9" applyFont="1" applyBorder="1" applyAlignment="1">
      <alignment horizontal="center" vertical="center"/>
    </xf>
    <xf numFmtId="0" fontId="5" fillId="0" borderId="0" xfId="9" applyFont="1" applyBorder="1" applyAlignment="1">
      <alignment vertical="center"/>
    </xf>
    <xf numFmtId="0" fontId="5" fillId="0" borderId="0" xfId="9" applyFont="1" applyFill="1" applyBorder="1" applyAlignment="1" applyProtection="1">
      <alignment vertical="center"/>
    </xf>
    <xf numFmtId="169" fontId="5" fillId="0" borderId="0" xfId="8" applyFont="1" applyFill="1" applyBorder="1" applyAlignment="1" applyProtection="1">
      <alignment horizontal="center" vertical="center"/>
    </xf>
    <xf numFmtId="169" fontId="11" fillId="0" borderId="0" xfId="8" applyFont="1" applyFill="1" applyBorder="1" applyAlignment="1" applyProtection="1">
      <alignment vertical="center"/>
    </xf>
    <xf numFmtId="0" fontId="11" fillId="0" borderId="0" xfId="9" applyFont="1" applyBorder="1" applyAlignment="1">
      <alignment horizontal="center" vertical="center"/>
    </xf>
    <xf numFmtId="0" fontId="11" fillId="0" borderId="0" xfId="9" applyFont="1" applyBorder="1" applyAlignment="1">
      <alignment vertical="center"/>
    </xf>
    <xf numFmtId="0" fontId="11" fillId="0" borderId="0" xfId="9" applyFont="1" applyFill="1" applyBorder="1" applyAlignment="1" applyProtection="1">
      <alignment vertical="center"/>
    </xf>
    <xf numFmtId="169" fontId="11" fillId="0" borderId="0" xfId="8" applyFont="1" applyFill="1" applyBorder="1" applyAlignment="1" applyProtection="1">
      <alignment horizontal="center" vertical="center"/>
    </xf>
    <xf numFmtId="49" fontId="11" fillId="0" borderId="0" xfId="9" applyNumberFormat="1" applyFont="1" applyFill="1" applyBorder="1" applyAlignment="1" applyProtection="1">
      <alignment horizontal="left" vertical="center"/>
    </xf>
    <xf numFmtId="0" fontId="10" fillId="0" borderId="0" xfId="9" applyFont="1" applyFill="1" applyBorder="1" applyAlignment="1" applyProtection="1">
      <alignment horizontal="center" vertical="center"/>
    </xf>
    <xf numFmtId="0" fontId="11" fillId="0" borderId="0" xfId="9" applyFont="1" applyFill="1" applyBorder="1" applyAlignment="1" applyProtection="1">
      <alignment horizontal="center" vertical="center"/>
    </xf>
    <xf numFmtId="0" fontId="6" fillId="0" borderId="0" xfId="9" applyFont="1" applyFill="1" applyBorder="1" applyAlignment="1">
      <alignment horizontal="center" vertical="center"/>
    </xf>
    <xf numFmtId="0" fontId="6" fillId="0" borderId="0" xfId="9" applyFont="1" applyFill="1" applyBorder="1" applyAlignment="1" applyProtection="1">
      <alignment horizontal="center" vertical="center"/>
    </xf>
    <xf numFmtId="0" fontId="12" fillId="0" borderId="0" xfId="9" applyFont="1" applyFill="1" applyBorder="1" applyAlignment="1" applyProtection="1">
      <alignment vertical="center"/>
    </xf>
    <xf numFmtId="0" fontId="12" fillId="0" borderId="0" xfId="9" applyFont="1" applyFill="1" applyBorder="1" applyAlignment="1" applyProtection="1">
      <alignment horizontal="center" vertical="center"/>
    </xf>
    <xf numFmtId="0" fontId="13" fillId="0" borderId="0" xfId="9" applyFont="1" applyFill="1" applyBorder="1" applyAlignment="1" applyProtection="1">
      <alignment horizontal="center" vertical="center"/>
    </xf>
    <xf numFmtId="0" fontId="12" fillId="0" borderId="46" xfId="9" applyFont="1" applyBorder="1" applyAlignment="1">
      <alignment horizontal="center" vertical="center"/>
    </xf>
    <xf numFmtId="0" fontId="12" fillId="0" borderId="50" xfId="9" applyFont="1" applyBorder="1" applyAlignment="1">
      <alignment horizontal="center" vertical="center"/>
    </xf>
    <xf numFmtId="43" fontId="12" fillId="0" borderId="55" xfId="10" applyFont="1" applyFill="1" applyBorder="1" applyAlignment="1" applyProtection="1">
      <alignment horizontal="center" vertical="center"/>
    </xf>
    <xf numFmtId="43" fontId="12" fillId="0" borderId="56" xfId="10" applyFont="1" applyFill="1" applyBorder="1" applyAlignment="1" applyProtection="1">
      <alignment horizontal="center" vertical="center"/>
    </xf>
    <xf numFmtId="43" fontId="12" fillId="0" borderId="57" xfId="10" applyFont="1" applyFill="1" applyBorder="1" applyAlignment="1" applyProtection="1">
      <alignment horizontal="center" vertical="center"/>
    </xf>
    <xf numFmtId="43" fontId="12" fillId="0" borderId="58" xfId="10" applyFont="1" applyFill="1" applyBorder="1" applyAlignment="1" applyProtection="1">
      <alignment horizontal="center" vertical="center"/>
    </xf>
    <xf numFmtId="43" fontId="12" fillId="0" borderId="58" xfId="10" applyFont="1" applyFill="1" applyBorder="1" applyAlignment="1" applyProtection="1">
      <alignment horizontal="center" vertical="center" wrapText="1"/>
    </xf>
    <xf numFmtId="43" fontId="12" fillId="0" borderId="59" xfId="10" applyFont="1" applyFill="1" applyBorder="1" applyAlignment="1" applyProtection="1">
      <alignment horizontal="center" vertical="center" wrapText="1"/>
    </xf>
    <xf numFmtId="0" fontId="11" fillId="0" borderId="65" xfId="9" applyFont="1" applyFill="1" applyBorder="1" applyAlignment="1" applyProtection="1">
      <alignment horizontal="center" vertical="center"/>
      <protection locked="0"/>
    </xf>
    <xf numFmtId="0" fontId="11" fillId="0" borderId="66" xfId="9" applyFont="1" applyFill="1" applyBorder="1" applyAlignment="1" applyProtection="1">
      <alignment horizontal="center" vertical="center"/>
      <protection locked="0"/>
    </xf>
    <xf numFmtId="43" fontId="11" fillId="0" borderId="66" xfId="10" applyFont="1" applyFill="1" applyBorder="1" applyAlignment="1" applyProtection="1">
      <alignment horizontal="center" vertical="center"/>
      <protection locked="0"/>
    </xf>
    <xf numFmtId="43" fontId="11" fillId="0" borderId="67" xfId="10" applyFont="1" applyFill="1" applyBorder="1" applyAlignment="1" applyProtection="1">
      <alignment vertical="center"/>
    </xf>
    <xf numFmtId="43" fontId="11" fillId="0" borderId="68" xfId="10" applyFont="1" applyFill="1" applyBorder="1" applyAlignment="1" applyProtection="1">
      <alignment horizontal="center" vertical="center"/>
      <protection locked="0"/>
    </xf>
    <xf numFmtId="43" fontId="11" fillId="0" borderId="69" xfId="10" applyFont="1" applyFill="1" applyBorder="1" applyAlignment="1" applyProtection="1">
      <alignment horizontal="center" vertical="center"/>
      <protection locked="0"/>
    </xf>
    <xf numFmtId="43" fontId="11" fillId="0" borderId="70" xfId="10" applyFont="1" applyFill="1" applyBorder="1" applyAlignment="1" applyProtection="1">
      <alignment horizontal="center" vertical="center"/>
      <protection locked="0"/>
    </xf>
    <xf numFmtId="173" fontId="11" fillId="0" borderId="71" xfId="10" applyNumberFormat="1" applyFont="1" applyFill="1" applyBorder="1" applyAlignment="1" applyProtection="1">
      <alignment horizontal="center" vertical="center"/>
      <protection locked="0"/>
    </xf>
    <xf numFmtId="43" fontId="11" fillId="9" borderId="71" xfId="10" applyFont="1" applyFill="1" applyBorder="1" applyAlignment="1" applyProtection="1">
      <alignment horizontal="right" vertical="center"/>
      <protection locked="0"/>
    </xf>
    <xf numFmtId="0" fontId="11" fillId="0" borderId="0" xfId="9" applyFont="1" applyFill="1" applyBorder="1" applyAlignment="1" applyProtection="1">
      <alignment horizontal="center" vertical="center"/>
      <protection locked="0"/>
    </xf>
    <xf numFmtId="4" fontId="11" fillId="0" borderId="0" xfId="9" applyNumberFormat="1" applyFont="1" applyFill="1" applyBorder="1" applyAlignment="1" applyProtection="1">
      <alignment horizontal="center" vertical="center"/>
      <protection locked="0"/>
    </xf>
    <xf numFmtId="43" fontId="11" fillId="0" borderId="83" xfId="10" applyFont="1" applyFill="1" applyBorder="1" applyAlignment="1" applyProtection="1">
      <alignment horizontal="right" vertical="center"/>
      <protection locked="0"/>
    </xf>
    <xf numFmtId="3" fontId="11" fillId="0" borderId="0" xfId="9" applyNumberFormat="1" applyFont="1" applyFill="1" applyBorder="1" applyAlignment="1" applyProtection="1">
      <alignment horizontal="left" vertical="center"/>
      <protection locked="0"/>
    </xf>
    <xf numFmtId="4" fontId="11" fillId="0" borderId="0" xfId="9" applyNumberFormat="1" applyFont="1" applyFill="1" applyBorder="1" applyAlignment="1" applyProtection="1">
      <alignment horizontal="left" vertical="center"/>
      <protection locked="0"/>
    </xf>
    <xf numFmtId="3" fontId="11" fillId="0" borderId="0" xfId="9" applyNumberFormat="1" applyFont="1" applyFill="1" applyBorder="1" applyAlignment="1" applyProtection="1">
      <alignment horizontal="right" vertical="center"/>
      <protection locked="0"/>
    </xf>
    <xf numFmtId="174" fontId="11" fillId="0" borderId="0" xfId="8" applyNumberFormat="1" applyFont="1" applyFill="1" applyBorder="1" applyAlignment="1" applyProtection="1">
      <alignment horizontal="center" vertical="center"/>
      <protection locked="0"/>
    </xf>
    <xf numFmtId="172" fontId="11" fillId="0" borderId="0" xfId="12" applyNumberFormat="1" applyFont="1" applyFill="1" applyBorder="1" applyAlignment="1" applyProtection="1">
      <alignment horizontal="center" vertical="center"/>
      <protection locked="0"/>
    </xf>
    <xf numFmtId="43" fontId="11" fillId="0" borderId="0" xfId="10" applyFont="1" applyFill="1" applyBorder="1" applyAlignment="1" applyProtection="1">
      <alignment vertical="center"/>
    </xf>
    <xf numFmtId="43" fontId="11" fillId="0" borderId="0" xfId="10" applyFont="1" applyFill="1" applyBorder="1" applyAlignment="1" applyProtection="1">
      <alignment horizontal="center" vertical="center"/>
      <protection locked="0"/>
    </xf>
    <xf numFmtId="43" fontId="11" fillId="9" borderId="0" xfId="10" applyFont="1" applyFill="1" applyBorder="1" applyAlignment="1" applyProtection="1">
      <alignment horizontal="right" vertical="center"/>
      <protection locked="0"/>
    </xf>
    <xf numFmtId="173" fontId="11" fillId="0" borderId="0" xfId="10" applyNumberFormat="1" applyFont="1" applyFill="1" applyBorder="1" applyAlignment="1" applyProtection="1">
      <alignment horizontal="center" vertical="center"/>
      <protection locked="0"/>
    </xf>
    <xf numFmtId="175" fontId="11" fillId="0" borderId="0" xfId="8" applyNumberFormat="1" applyFont="1" applyFill="1" applyBorder="1" applyAlignment="1" applyProtection="1">
      <alignment horizontal="center" vertical="center"/>
      <protection locked="0"/>
    </xf>
    <xf numFmtId="43" fontId="11" fillId="0" borderId="84" xfId="10" applyFont="1" applyFill="1" applyBorder="1" applyAlignment="1" applyProtection="1">
      <alignment vertical="center"/>
    </xf>
    <xf numFmtId="43" fontId="11" fillId="0" borderId="86" xfId="10" applyFont="1" applyFill="1" applyBorder="1" applyAlignment="1" applyProtection="1">
      <alignment vertical="center"/>
    </xf>
    <xf numFmtId="43" fontId="11" fillId="0" borderId="85" xfId="10" applyFont="1" applyFill="1" applyBorder="1" applyAlignment="1" applyProtection="1">
      <alignment horizontal="center" vertical="center"/>
      <protection locked="0"/>
    </xf>
    <xf numFmtId="43" fontId="11" fillId="0" borderId="87" xfId="10" applyFont="1" applyFill="1" applyBorder="1" applyAlignment="1" applyProtection="1">
      <alignment vertical="center"/>
    </xf>
    <xf numFmtId="43" fontId="11" fillId="0" borderId="86" xfId="10" applyFont="1" applyFill="1" applyBorder="1" applyAlignment="1" applyProtection="1">
      <alignment horizontal="center" vertical="center"/>
      <protection locked="0"/>
    </xf>
    <xf numFmtId="43" fontId="11" fillId="0" borderId="87" xfId="10" applyFont="1" applyFill="1" applyBorder="1" applyAlignment="1" applyProtection="1">
      <alignment horizontal="center" vertical="center"/>
      <protection locked="0"/>
    </xf>
    <xf numFmtId="43" fontId="11" fillId="9" borderId="88" xfId="10" applyFont="1" applyFill="1" applyBorder="1" applyAlignment="1" applyProtection="1">
      <alignment horizontal="right" vertical="center"/>
      <protection locked="0"/>
    </xf>
    <xf numFmtId="43" fontId="11" fillId="9" borderId="89" xfId="10" applyFont="1" applyFill="1" applyBorder="1" applyAlignment="1" applyProtection="1">
      <alignment horizontal="right" vertical="center"/>
      <protection locked="0"/>
    </xf>
    <xf numFmtId="43" fontId="11" fillId="0" borderId="83" xfId="10" applyFont="1" applyFill="1" applyBorder="1" applyAlignment="1" applyProtection="1">
      <alignment horizontal="center" vertical="center"/>
      <protection locked="0"/>
    </xf>
    <xf numFmtId="173" fontId="11" fillId="0" borderId="90" xfId="10" applyNumberFormat="1" applyFont="1" applyFill="1" applyBorder="1" applyAlignment="1" applyProtection="1">
      <alignment horizontal="center" vertical="center"/>
      <protection locked="0"/>
    </xf>
    <xf numFmtId="43" fontId="11" fillId="9" borderId="90" xfId="10" applyFont="1" applyFill="1" applyBorder="1" applyAlignment="1" applyProtection="1">
      <alignment horizontal="right" vertical="center"/>
      <protection locked="0"/>
    </xf>
    <xf numFmtId="43" fontId="11" fillId="9" borderId="91" xfId="10" applyFont="1" applyFill="1" applyBorder="1" applyAlignment="1" applyProtection="1">
      <alignment horizontal="right" vertical="center"/>
      <protection locked="0"/>
    </xf>
    <xf numFmtId="175" fontId="5" fillId="0" borderId="0" xfId="8" applyNumberFormat="1" applyFont="1" applyFill="1" applyBorder="1" applyAlignment="1" applyProtection="1">
      <alignment horizontal="center" vertical="center"/>
    </xf>
    <xf numFmtId="176" fontId="11" fillId="0" borderId="0" xfId="8" applyNumberFormat="1" applyFont="1" applyFill="1" applyBorder="1" applyAlignment="1" applyProtection="1">
      <alignment horizontal="left" vertical="center"/>
      <protection locked="0"/>
    </xf>
    <xf numFmtId="176" fontId="11" fillId="0" borderId="0" xfId="8" applyNumberFormat="1" applyFont="1" applyFill="1" applyBorder="1" applyAlignment="1" applyProtection="1">
      <alignment horizontal="center" vertical="center"/>
      <protection locked="0"/>
    </xf>
    <xf numFmtId="9" fontId="11" fillId="0" borderId="0" xfId="11" applyNumberFormat="1" applyFont="1" applyFill="1" applyBorder="1" applyAlignment="1" applyProtection="1">
      <alignment vertical="center"/>
      <protection locked="0"/>
    </xf>
    <xf numFmtId="0" fontId="5" fillId="0" borderId="0" xfId="9" applyFont="1" applyFill="1"/>
    <xf numFmtId="0" fontId="11" fillId="0" borderId="0" xfId="9" applyFont="1"/>
    <xf numFmtId="0" fontId="5" fillId="0" borderId="0" xfId="9" applyFont="1"/>
    <xf numFmtId="0" fontId="11" fillId="0" borderId="0" xfId="9" applyFont="1" applyFill="1"/>
    <xf numFmtId="0" fontId="11" fillId="7" borderId="0" xfId="9" applyFont="1" applyFill="1" applyBorder="1" applyAlignment="1" applyProtection="1">
      <alignment horizontal="center" vertical="center"/>
      <protection locked="0"/>
    </xf>
    <xf numFmtId="173" fontId="11" fillId="0" borderId="0" xfId="10" applyNumberFormat="1" applyFont="1" applyFill="1" applyBorder="1" applyAlignment="1" applyProtection="1">
      <alignment vertical="center"/>
    </xf>
    <xf numFmtId="43" fontId="11" fillId="0" borderId="0" xfId="9" applyNumberFormat="1" applyFont="1"/>
    <xf numFmtId="0" fontId="11" fillId="0" borderId="0" xfId="9" applyFont="1" applyAlignment="1">
      <alignment horizontal="center"/>
    </xf>
    <xf numFmtId="43" fontId="5" fillId="0" borderId="0" xfId="10" applyFont="1"/>
    <xf numFmtId="43" fontId="11" fillId="0" borderId="0" xfId="10" applyFont="1"/>
    <xf numFmtId="0" fontId="0" fillId="0" borderId="0" xfId="0" applyAlignment="1">
      <alignment horizontal="center"/>
    </xf>
    <xf numFmtId="0" fontId="4" fillId="0" borderId="0" xfId="0" applyFont="1"/>
    <xf numFmtId="44" fontId="4" fillId="0" borderId="0" xfId="2" applyFont="1" applyAlignment="1">
      <alignment horizontal="center"/>
    </xf>
    <xf numFmtId="164" fontId="4" fillId="0" borderId="0" xfId="3" applyNumberFormat="1" applyFont="1" applyAlignment="1">
      <alignment horizontal="center"/>
    </xf>
    <xf numFmtId="43" fontId="4" fillId="0" borderId="0" xfId="0" applyNumberFormat="1" applyFont="1" applyFill="1" applyBorder="1" applyAlignment="1">
      <alignment horizontal="center"/>
    </xf>
    <xf numFmtId="0" fontId="8" fillId="0" borderId="0" xfId="0" applyFont="1" applyBorder="1" applyAlignment="1">
      <alignment horizontal="center" vertical="center"/>
    </xf>
    <xf numFmtId="0" fontId="8" fillId="0" borderId="0" xfId="0" applyFont="1" applyBorder="1" applyAlignment="1">
      <alignment vertical="center"/>
    </xf>
    <xf numFmtId="0" fontId="18" fillId="0" borderId="0" xfId="0" applyFont="1" applyAlignment="1">
      <alignment vertical="center"/>
    </xf>
    <xf numFmtId="0" fontId="19" fillId="0" borderId="0" xfId="0" applyFont="1" applyAlignment="1">
      <alignment vertical="center"/>
    </xf>
    <xf numFmtId="0" fontId="4" fillId="10" borderId="97" xfId="0" applyFont="1" applyFill="1" applyBorder="1" applyAlignment="1" applyProtection="1">
      <alignment horizontal="center"/>
    </xf>
    <xf numFmtId="0" fontId="4" fillId="10" borderId="98" xfId="0" applyFont="1" applyFill="1" applyBorder="1" applyAlignment="1" applyProtection="1"/>
    <xf numFmtId="0" fontId="4" fillId="10" borderId="93" xfId="0" applyFont="1" applyFill="1" applyBorder="1" applyAlignment="1" applyProtection="1"/>
    <xf numFmtId="177" fontId="6" fillId="11" borderId="99" xfId="16" applyNumberFormat="1" applyFont="1" applyFill="1" applyBorder="1" applyAlignment="1" applyProtection="1">
      <alignment horizontal="center"/>
      <protection locked="0"/>
    </xf>
    <xf numFmtId="177" fontId="4" fillId="10" borderId="99" xfId="0" applyNumberFormat="1" applyFont="1" applyFill="1" applyBorder="1" applyAlignment="1" applyProtection="1">
      <alignment horizontal="center"/>
    </xf>
    <xf numFmtId="177" fontId="4" fillId="10" borderId="100" xfId="0" applyNumberFormat="1" applyFont="1" applyFill="1" applyBorder="1" applyAlignment="1" applyProtection="1">
      <alignment horizontal="center"/>
    </xf>
    <xf numFmtId="178" fontId="4" fillId="0" borderId="0" xfId="0" applyNumberFormat="1" applyFont="1" applyAlignment="1">
      <alignment vertical="center"/>
    </xf>
    <xf numFmtId="0" fontId="4" fillId="10" borderId="21" xfId="0" applyFont="1" applyFill="1" applyBorder="1" applyAlignment="1" applyProtection="1">
      <alignment horizontal="center"/>
    </xf>
    <xf numFmtId="0" fontId="4" fillId="10" borderId="26" xfId="0" applyFont="1" applyFill="1" applyBorder="1" applyAlignment="1" applyProtection="1"/>
    <xf numFmtId="0" fontId="4" fillId="10" borderId="87" xfId="0" applyFont="1" applyFill="1" applyBorder="1" applyAlignment="1" applyProtection="1"/>
    <xf numFmtId="0" fontId="5" fillId="10" borderId="26" xfId="0" applyFont="1" applyFill="1" applyBorder="1" applyAlignment="1" applyProtection="1"/>
    <xf numFmtId="0" fontId="5" fillId="10" borderId="87" xfId="0" applyFont="1" applyFill="1" applyBorder="1" applyAlignment="1" applyProtection="1"/>
    <xf numFmtId="177" fontId="5" fillId="10" borderId="22" xfId="16" applyNumberFormat="1" applyFont="1" applyFill="1" applyBorder="1" applyAlignment="1" applyProtection="1">
      <alignment horizontal="center"/>
    </xf>
    <xf numFmtId="0" fontId="4" fillId="10" borderId="26" xfId="0" applyFont="1" applyFill="1" applyBorder="1" applyAlignment="1" applyProtection="1">
      <alignment horizontal="left" indent="1"/>
    </xf>
    <xf numFmtId="0" fontId="5" fillId="10" borderId="87" xfId="0" applyFont="1" applyFill="1" applyBorder="1" applyAlignment="1" applyProtection="1">
      <alignment horizontal="left" indent="1"/>
    </xf>
    <xf numFmtId="177" fontId="5" fillId="11" borderId="99" xfId="16" applyNumberFormat="1" applyFont="1" applyFill="1" applyBorder="1" applyAlignment="1" applyProtection="1">
      <alignment horizontal="center"/>
      <protection locked="0"/>
    </xf>
    <xf numFmtId="0" fontId="4" fillId="10" borderId="75" xfId="0" applyFont="1" applyFill="1" applyBorder="1" applyAlignment="1" applyProtection="1">
      <alignment horizontal="left" indent="1"/>
    </xf>
    <xf numFmtId="0" fontId="5" fillId="10" borderId="92" xfId="0" applyFont="1" applyFill="1" applyBorder="1" applyAlignment="1" applyProtection="1">
      <alignment horizontal="left" indent="1"/>
    </xf>
    <xf numFmtId="0" fontId="5" fillId="10" borderId="27" xfId="0" applyFont="1" applyFill="1" applyBorder="1" applyAlignment="1" applyProtection="1">
      <alignment horizontal="left" indent="1"/>
    </xf>
    <xf numFmtId="9" fontId="4" fillId="0" borderId="0" xfId="0" applyNumberFormat="1" applyFont="1" applyAlignment="1">
      <alignment vertical="center"/>
    </xf>
    <xf numFmtId="0" fontId="4" fillId="10" borderId="16" xfId="0" applyFont="1" applyFill="1" applyBorder="1" applyAlignment="1" applyProtection="1">
      <alignment horizontal="center"/>
    </xf>
    <xf numFmtId="0" fontId="5" fillId="10" borderId="103" xfId="0" applyFont="1" applyFill="1" applyBorder="1" applyAlignment="1" applyProtection="1"/>
    <xf numFmtId="0" fontId="5" fillId="10" borderId="94" xfId="0" applyFont="1" applyFill="1" applyBorder="1" applyAlignment="1" applyProtection="1"/>
    <xf numFmtId="177" fontId="6" fillId="10" borderId="17" xfId="16" applyNumberFormat="1" applyFont="1" applyFill="1" applyBorder="1" applyAlignment="1" applyProtection="1">
      <alignment horizontal="center"/>
    </xf>
    <xf numFmtId="43" fontId="4" fillId="0" borderId="0" xfId="1" applyFont="1"/>
    <xf numFmtId="43" fontId="4" fillId="0" borderId="0" xfId="0" applyNumberFormat="1" applyFont="1" applyAlignment="1">
      <alignment horizontal="left"/>
    </xf>
    <xf numFmtId="43" fontId="4" fillId="0" borderId="0" xfId="0" applyNumberFormat="1" applyFont="1"/>
    <xf numFmtId="43" fontId="4" fillId="0" borderId="0" xfId="0" applyNumberFormat="1" applyFont="1" applyAlignment="1">
      <alignment horizontal="right"/>
    </xf>
    <xf numFmtId="40" fontId="4" fillId="0" borderId="0" xfId="0" applyNumberFormat="1" applyFont="1" applyAlignment="1">
      <alignment horizontal="center"/>
    </xf>
    <xf numFmtId="0" fontId="4" fillId="0" borderId="0" xfId="0" applyFont="1" applyAlignment="1">
      <alignment horizontal="center" vertical="center"/>
    </xf>
    <xf numFmtId="0" fontId="4" fillId="0" borderId="5" xfId="0" applyFont="1" applyBorder="1" applyAlignment="1">
      <alignment vertical="center"/>
    </xf>
    <xf numFmtId="0" fontId="8" fillId="0" borderId="5" xfId="0" applyFont="1" applyBorder="1" applyAlignment="1">
      <alignment horizontal="center" vertical="center"/>
    </xf>
    <xf numFmtId="0" fontId="4" fillId="0" borderId="5" xfId="0" applyFont="1" applyFill="1" applyBorder="1" applyAlignment="1">
      <alignment vertical="center"/>
    </xf>
    <xf numFmtId="0" fontId="4" fillId="0" borderId="0" xfId="0" applyFont="1" applyFill="1" applyBorder="1" applyAlignment="1">
      <alignment vertical="center"/>
    </xf>
    <xf numFmtId="0" fontId="8" fillId="0" borderId="0" xfId="0" applyFont="1" applyAlignment="1">
      <alignment vertical="center"/>
    </xf>
    <xf numFmtId="0" fontId="8" fillId="0" borderId="0" xfId="0" applyFont="1" applyAlignment="1">
      <alignment vertical="top"/>
    </xf>
    <xf numFmtId="0" fontId="4" fillId="0" borderId="0" xfId="0" applyFont="1" applyAlignment="1">
      <alignment vertical="top"/>
    </xf>
    <xf numFmtId="0" fontId="4" fillId="0" borderId="0" xfId="0" applyFont="1" applyBorder="1" applyAlignment="1">
      <alignment horizontal="center" vertical="top" wrapText="1"/>
    </xf>
    <xf numFmtId="179" fontId="4" fillId="0" borderId="0" xfId="0" applyNumberFormat="1" applyFont="1" applyBorder="1" applyAlignment="1">
      <alignment horizontal="center" vertical="center"/>
    </xf>
    <xf numFmtId="0" fontId="4" fillId="0" borderId="0" xfId="0" applyFont="1" applyAlignment="1">
      <alignment horizontal="center" vertical="top" wrapText="1"/>
    </xf>
    <xf numFmtId="0" fontId="4" fillId="0" borderId="0" xfId="0" applyFont="1" applyBorder="1" applyAlignment="1">
      <alignment vertical="top"/>
    </xf>
    <xf numFmtId="0" fontId="8" fillId="0" borderId="0" xfId="0" applyFont="1" applyFill="1" applyBorder="1" applyAlignment="1">
      <alignment horizontal="center" vertical="center"/>
    </xf>
    <xf numFmtId="0" fontId="8" fillId="0" borderId="0" xfId="0" applyFont="1" applyFill="1" applyBorder="1" applyAlignment="1">
      <alignment horizontal="centerContinuous" vertical="center"/>
    </xf>
    <xf numFmtId="44" fontId="4" fillId="0" borderId="0" xfId="0" applyNumberFormat="1" applyFont="1"/>
    <xf numFmtId="0" fontId="4" fillId="0" borderId="0" xfId="0" applyFont="1" applyAlignment="1">
      <alignment horizontal="left"/>
    </xf>
    <xf numFmtId="0" fontId="8" fillId="0" borderId="0" xfId="0" applyFont="1" applyFill="1" applyBorder="1" applyAlignment="1">
      <alignment horizontal="right" vertical="center"/>
    </xf>
    <xf numFmtId="164" fontId="8" fillId="0" borderId="0" xfId="0" applyNumberFormat="1" applyFont="1" applyFill="1" applyBorder="1" applyAlignment="1">
      <alignment horizontal="center" vertical="center"/>
    </xf>
    <xf numFmtId="43" fontId="8" fillId="0" borderId="0" xfId="1" applyFont="1" applyBorder="1"/>
    <xf numFmtId="0" fontId="8" fillId="0" borderId="10" xfId="0" applyFont="1" applyFill="1" applyBorder="1" applyAlignment="1">
      <alignment horizontal="left" vertical="center"/>
    </xf>
    <xf numFmtId="0" fontId="4" fillId="0" borderId="10" xfId="0" applyFont="1" applyBorder="1" applyAlignment="1">
      <alignment vertical="center"/>
    </xf>
    <xf numFmtId="0" fontId="6" fillId="0" borderId="0" xfId="9" applyFont="1" applyFill="1" applyAlignment="1">
      <alignment horizontal="center" vertical="center"/>
    </xf>
    <xf numFmtId="0" fontId="8" fillId="2" borderId="0" xfId="7" applyFont="1" applyBorder="1" applyAlignment="1">
      <alignment horizontal="center" vertical="center"/>
    </xf>
    <xf numFmtId="0" fontId="8" fillId="2" borderId="0" xfId="7" applyFont="1" applyBorder="1" applyAlignment="1">
      <alignment vertical="center"/>
    </xf>
    <xf numFmtId="0" fontId="6" fillId="0" borderId="0" xfId="9" applyFont="1" applyFill="1" applyAlignment="1">
      <alignment vertical="center"/>
    </xf>
    <xf numFmtId="0" fontId="6" fillId="0" borderId="0" xfId="9" applyFont="1" applyFill="1" applyAlignment="1">
      <alignment horizontal="center" vertical="top"/>
    </xf>
    <xf numFmtId="1" fontId="6" fillId="0" borderId="0" xfId="9" applyNumberFormat="1" applyFont="1" applyFill="1" applyAlignment="1">
      <alignment horizontal="center" vertical="top"/>
    </xf>
    <xf numFmtId="0" fontId="6" fillId="0" borderId="0" xfId="9" applyFont="1" applyFill="1" applyAlignment="1">
      <alignment vertical="top"/>
    </xf>
    <xf numFmtId="0" fontId="5" fillId="0" borderId="0" xfId="9" applyFont="1" applyFill="1" applyAlignment="1">
      <alignment horizontal="center" vertical="center"/>
    </xf>
    <xf numFmtId="1" fontId="5" fillId="0" borderId="0" xfId="9" applyNumberFormat="1" applyFont="1" applyFill="1" applyAlignment="1">
      <alignment horizontal="left" vertical="center"/>
    </xf>
    <xf numFmtId="0" fontId="5" fillId="0" borderId="0" xfId="9" applyFont="1" applyFill="1" applyAlignment="1">
      <alignment vertical="center"/>
    </xf>
    <xf numFmtId="0" fontId="6" fillId="0" borderId="0" xfId="9" applyFont="1" applyFill="1" applyAlignment="1">
      <alignment horizontal="left" vertical="center"/>
    </xf>
    <xf numFmtId="9" fontId="5" fillId="0" borderId="0" xfId="9" applyNumberFormat="1" applyFont="1" applyFill="1" applyAlignment="1">
      <alignment vertical="center"/>
    </xf>
    <xf numFmtId="43" fontId="5" fillId="0" borderId="0" xfId="9" applyNumberFormat="1" applyFont="1" applyFill="1" applyAlignment="1">
      <alignment vertical="center"/>
    </xf>
    <xf numFmtId="1" fontId="6" fillId="0" borderId="0" xfId="9" applyNumberFormat="1" applyFont="1" applyFill="1" applyAlignment="1">
      <alignment horizontal="center" vertical="center"/>
    </xf>
    <xf numFmtId="43" fontId="6" fillId="0" borderId="22" xfId="1" applyFont="1" applyFill="1" applyBorder="1" applyAlignment="1">
      <alignment horizontal="center" vertical="center"/>
    </xf>
    <xf numFmtId="9" fontId="6" fillId="0" borderId="0" xfId="9" applyNumberFormat="1" applyFont="1" applyFill="1" applyAlignment="1">
      <alignment vertical="center"/>
    </xf>
    <xf numFmtId="43" fontId="6" fillId="0" borderId="0" xfId="9" applyNumberFormat="1" applyFont="1" applyFill="1" applyAlignment="1">
      <alignment vertical="center"/>
    </xf>
    <xf numFmtId="0" fontId="6" fillId="12" borderId="1" xfId="0" applyFont="1" applyFill="1" applyBorder="1" applyAlignment="1" applyProtection="1">
      <alignment horizontal="centerContinuous"/>
    </xf>
    <xf numFmtId="0" fontId="20" fillId="12" borderId="2" xfId="0" applyFont="1" applyFill="1" applyBorder="1" applyAlignment="1" applyProtection="1">
      <alignment horizontal="centerContinuous"/>
    </xf>
    <xf numFmtId="0" fontId="20" fillId="12" borderId="3" xfId="0" applyFont="1" applyFill="1" applyBorder="1" applyAlignment="1" applyProtection="1">
      <alignment horizontal="centerContinuous"/>
    </xf>
    <xf numFmtId="0" fontId="8" fillId="12" borderId="1" xfId="0" applyFont="1" applyFill="1" applyBorder="1"/>
    <xf numFmtId="0" fontId="8" fillId="12" borderId="2" xfId="0" applyFont="1" applyFill="1" applyBorder="1"/>
    <xf numFmtId="10" fontId="8" fillId="12" borderId="3" xfId="3" applyNumberFormat="1" applyFont="1" applyFill="1" applyBorder="1"/>
    <xf numFmtId="0" fontId="5" fillId="0" borderId="14" xfId="4" applyFont="1" applyFill="1" applyBorder="1" applyAlignment="1">
      <alignment horizontal="centerContinuous" vertical="center" wrapText="1"/>
    </xf>
    <xf numFmtId="0" fontId="5" fillId="0" borderId="18" xfId="4" applyFont="1" applyFill="1" applyBorder="1" applyAlignment="1">
      <alignment horizontal="centerContinuous" vertical="center" wrapText="1"/>
    </xf>
    <xf numFmtId="0" fontId="6" fillId="0" borderId="25" xfId="0" applyFont="1" applyFill="1" applyBorder="1" applyAlignment="1" applyProtection="1">
      <alignment horizontal="center"/>
    </xf>
    <xf numFmtId="0" fontId="6" fillId="0" borderId="96" xfId="0" applyFont="1" applyFill="1" applyBorder="1" applyAlignment="1" applyProtection="1">
      <alignment horizontal="center"/>
    </xf>
    <xf numFmtId="167" fontId="5" fillId="0" borderId="19" xfId="5" applyNumberFormat="1" applyFont="1" applyFill="1" applyBorder="1" applyAlignment="1" applyProtection="1">
      <alignment horizontal="center" vertical="center" wrapText="1"/>
    </xf>
    <xf numFmtId="40" fontId="5" fillId="0" borderId="17" xfId="4" applyNumberFormat="1" applyFont="1" applyFill="1" applyBorder="1" applyAlignment="1">
      <alignment horizontal="center" vertical="center" wrapText="1"/>
    </xf>
    <xf numFmtId="0" fontId="6" fillId="5" borderId="14" xfId="6" applyFont="1" applyFill="1" applyBorder="1" applyAlignment="1">
      <alignment horizontal="center" vertical="center"/>
    </xf>
    <xf numFmtId="0" fontId="6" fillId="2" borderId="99" xfId="7" applyFont="1" applyBorder="1" applyAlignment="1">
      <alignment horizontal="justify" vertical="center" wrapText="1"/>
    </xf>
    <xf numFmtId="0" fontId="8" fillId="2" borderId="99" xfId="7" applyFont="1" applyBorder="1" applyAlignment="1">
      <alignment horizontal="center" vertical="center"/>
    </xf>
    <xf numFmtId="0" fontId="6" fillId="2" borderId="13" xfId="7" applyFont="1" applyBorder="1" applyAlignment="1">
      <alignment horizontal="justify" vertical="center" wrapText="1"/>
    </xf>
    <xf numFmtId="0" fontId="6" fillId="0" borderId="94" xfId="4" applyFont="1" applyFill="1" applyBorder="1" applyAlignment="1">
      <alignment horizontal="center" vertical="center"/>
    </xf>
    <xf numFmtId="0" fontId="4" fillId="13" borderId="25" xfId="0" applyFont="1" applyFill="1" applyBorder="1" applyAlignment="1">
      <alignment horizontal="centerContinuous" vertical="center"/>
    </xf>
    <xf numFmtId="43" fontId="6" fillId="0" borderId="0" xfId="4" applyNumberFormat="1" applyFont="1" applyFill="1" applyBorder="1" applyAlignment="1">
      <alignment horizontal="center" vertical="center"/>
    </xf>
    <xf numFmtId="0" fontId="4" fillId="0" borderId="6" xfId="0" applyFont="1" applyFill="1" applyBorder="1" applyAlignment="1">
      <alignment horizontal="center" vertical="center"/>
    </xf>
    <xf numFmtId="43" fontId="5" fillId="0" borderId="8" xfId="0" applyNumberFormat="1" applyFont="1" applyFill="1" applyBorder="1" applyAlignment="1">
      <alignment horizontal="center" vertical="center"/>
    </xf>
    <xf numFmtId="43" fontId="6" fillId="0" borderId="10" xfId="4" applyNumberFormat="1" applyFont="1" applyFill="1" applyBorder="1" applyAlignment="1">
      <alignment vertical="center"/>
    </xf>
    <xf numFmtId="0" fontId="4" fillId="0" borderId="22" xfId="0" applyFont="1" applyFill="1" applyBorder="1" applyAlignment="1">
      <alignment horizontal="justify" vertical="center" wrapText="1"/>
    </xf>
    <xf numFmtId="0" fontId="4" fillId="0" borderId="0" xfId="0" applyFont="1" applyAlignment="1">
      <alignment horizontal="center"/>
    </xf>
    <xf numFmtId="0" fontId="4" fillId="0" borderId="0" xfId="0" applyFont="1" applyAlignment="1">
      <alignment horizontal="center" vertical="center"/>
    </xf>
    <xf numFmtId="0" fontId="7" fillId="12" borderId="1" xfId="0" applyFont="1" applyFill="1" applyBorder="1" applyAlignment="1">
      <alignment horizontal="centerContinuous" vertical="center"/>
    </xf>
    <xf numFmtId="0" fontId="7" fillId="12" borderId="2" xfId="0" applyFont="1" applyFill="1" applyBorder="1" applyAlignment="1">
      <alignment horizontal="centerContinuous" vertical="center"/>
    </xf>
    <xf numFmtId="0" fontId="7" fillId="12" borderId="3" xfId="0" applyFont="1" applyFill="1" applyBorder="1" applyAlignment="1">
      <alignment horizontal="centerContinuous" vertical="center"/>
    </xf>
    <xf numFmtId="0" fontId="6" fillId="0" borderId="123" xfId="4" applyFont="1" applyFill="1" applyBorder="1" applyAlignment="1">
      <alignment horizontal="centerContinuous" vertical="center"/>
    </xf>
    <xf numFmtId="0" fontId="6" fillId="0" borderId="94" xfId="4" applyFont="1" applyFill="1" applyBorder="1" applyAlignment="1">
      <alignment horizontal="centerContinuous" vertical="center"/>
    </xf>
    <xf numFmtId="0" fontId="6" fillId="0" borderId="124" xfId="4" applyFont="1" applyFill="1" applyBorder="1" applyAlignment="1">
      <alignment horizontal="centerContinuous" vertical="center"/>
    </xf>
    <xf numFmtId="43" fontId="6" fillId="0" borderId="5" xfId="4" applyNumberFormat="1" applyFont="1" applyFill="1" applyBorder="1" applyAlignment="1">
      <alignment vertical="center" wrapText="1"/>
    </xf>
    <xf numFmtId="43" fontId="6" fillId="0" borderId="0" xfId="4" applyNumberFormat="1" applyFont="1" applyFill="1" applyBorder="1" applyAlignment="1">
      <alignment vertical="center" wrapText="1"/>
    </xf>
    <xf numFmtId="43" fontId="6" fillId="0" borderId="0" xfId="4" applyNumberFormat="1" applyFont="1" applyFill="1" applyBorder="1" applyAlignment="1">
      <alignment vertical="center"/>
    </xf>
    <xf numFmtId="0" fontId="0" fillId="0" borderId="101" xfId="0" applyBorder="1"/>
    <xf numFmtId="0" fontId="0" fillId="0" borderId="72" xfId="0" applyBorder="1"/>
    <xf numFmtId="0" fontId="0" fillId="0" borderId="75" xfId="0" applyBorder="1"/>
    <xf numFmtId="0" fontId="0" fillId="0" borderId="92" xfId="0" applyBorder="1" applyAlignment="1">
      <alignment horizontal="center"/>
    </xf>
    <xf numFmtId="180" fontId="0" fillId="0" borderId="75" xfId="1" applyNumberFormat="1" applyFont="1" applyBorder="1" applyAlignment="1">
      <alignment horizontal="center"/>
    </xf>
    <xf numFmtId="180" fontId="0" fillId="0" borderId="76" xfId="1" applyNumberFormat="1" applyFont="1" applyBorder="1" applyAlignment="1">
      <alignment horizontal="center"/>
    </xf>
    <xf numFmtId="180" fontId="0" fillId="0" borderId="92" xfId="1" applyNumberFormat="1" applyFont="1" applyBorder="1" applyAlignment="1">
      <alignment horizontal="center"/>
    </xf>
    <xf numFmtId="180" fontId="0" fillId="0" borderId="72" xfId="1" applyNumberFormat="1" applyFont="1" applyBorder="1"/>
    <xf numFmtId="180" fontId="0" fillId="0" borderId="0" xfId="1" applyNumberFormat="1" applyFont="1" applyBorder="1"/>
    <xf numFmtId="180" fontId="0" fillId="0" borderId="60" xfId="1" applyNumberFormat="1" applyFont="1" applyBorder="1"/>
    <xf numFmtId="0" fontId="0" fillId="0" borderId="0" xfId="0" applyBorder="1"/>
    <xf numFmtId="0" fontId="0" fillId="0" borderId="60" xfId="0" applyBorder="1"/>
    <xf numFmtId="43" fontId="0" fillId="0" borderId="72" xfId="1" applyFont="1" applyBorder="1"/>
    <xf numFmtId="43" fontId="0" fillId="0" borderId="0" xfId="1" applyFont="1" applyBorder="1"/>
    <xf numFmtId="43" fontId="0" fillId="0" borderId="60" xfId="1" applyFont="1" applyBorder="1"/>
    <xf numFmtId="43" fontId="0" fillId="0" borderId="75" xfId="1" applyFont="1" applyBorder="1"/>
    <xf numFmtId="43" fontId="0" fillId="0" borderId="76" xfId="1" applyFont="1" applyBorder="1"/>
    <xf numFmtId="43" fontId="0" fillId="0" borderId="92" xfId="1" applyFont="1" applyBorder="1"/>
    <xf numFmtId="43" fontId="0" fillId="0" borderId="0" xfId="1" applyFont="1"/>
    <xf numFmtId="43" fontId="0" fillId="0" borderId="0" xfId="0" applyNumberFormat="1"/>
    <xf numFmtId="0" fontId="3" fillId="0" borderId="0" xfId="0" applyFont="1"/>
    <xf numFmtId="0" fontId="0" fillId="0" borderId="0" xfId="0" quotePrefix="1"/>
    <xf numFmtId="168" fontId="4" fillId="0" borderId="0" xfId="1" applyNumberFormat="1" applyFont="1" applyAlignment="1">
      <alignment vertical="center"/>
    </xf>
    <xf numFmtId="0" fontId="5" fillId="13" borderId="21" xfId="4" applyFont="1" applyFill="1" applyBorder="1" applyAlignment="1">
      <alignment horizontal="center" vertical="center"/>
    </xf>
    <xf numFmtId="0" fontId="5" fillId="13" borderId="22" xfId="0" applyFont="1" applyFill="1" applyBorder="1" applyAlignment="1">
      <alignment horizontal="justify" vertical="center" wrapText="1"/>
    </xf>
    <xf numFmtId="168" fontId="6" fillId="0" borderId="0" xfId="1" applyNumberFormat="1" applyFont="1" applyFill="1" applyBorder="1" applyAlignment="1">
      <alignment vertical="center"/>
    </xf>
    <xf numFmtId="168" fontId="4" fillId="0" borderId="0" xfId="1" applyNumberFormat="1" applyFont="1" applyFill="1" applyBorder="1" applyAlignment="1">
      <alignment vertical="center"/>
    </xf>
    <xf numFmtId="168" fontId="7" fillId="12" borderId="0" xfId="1" applyNumberFormat="1" applyFont="1" applyFill="1" applyBorder="1" applyAlignment="1">
      <alignment vertical="center"/>
    </xf>
    <xf numFmtId="168" fontId="5" fillId="0" borderId="0" xfId="1" applyNumberFormat="1" applyFont="1" applyFill="1" applyBorder="1" applyAlignment="1">
      <alignment vertical="center"/>
    </xf>
    <xf numFmtId="168" fontId="4" fillId="0" borderId="0" xfId="1" applyNumberFormat="1" applyFont="1" applyBorder="1" applyAlignment="1">
      <alignment vertical="center" wrapText="1"/>
    </xf>
    <xf numFmtId="168" fontId="5" fillId="0" borderId="0" xfId="1" applyNumberFormat="1" applyFont="1" applyFill="1" applyBorder="1" applyAlignment="1">
      <alignment vertical="center" wrapText="1"/>
    </xf>
    <xf numFmtId="168" fontId="5" fillId="0" borderId="0" xfId="1" applyNumberFormat="1" applyFont="1" applyFill="1" applyBorder="1" applyAlignment="1" applyProtection="1">
      <alignment vertical="center" wrapText="1"/>
    </xf>
    <xf numFmtId="0" fontId="11" fillId="7" borderId="87" xfId="9" applyFont="1" applyFill="1" applyBorder="1" applyAlignment="1" applyProtection="1">
      <alignment horizontal="center" vertical="center"/>
      <protection locked="0"/>
    </xf>
    <xf numFmtId="0" fontId="5" fillId="0" borderId="10" xfId="4" applyFont="1" applyFill="1" applyBorder="1" applyAlignment="1">
      <alignment vertical="center" wrapText="1"/>
    </xf>
    <xf numFmtId="0" fontId="4" fillId="0" borderId="11" xfId="0" applyFont="1" applyBorder="1" applyAlignment="1">
      <alignment horizontal="center" vertical="center"/>
    </xf>
    <xf numFmtId="0" fontId="4" fillId="0" borderId="24" xfId="0" applyFont="1" applyFill="1" applyBorder="1" applyAlignment="1">
      <alignment horizontal="centerContinuous" vertical="center" wrapText="1"/>
    </xf>
    <xf numFmtId="0" fontId="4" fillId="0" borderId="25" xfId="0" applyFont="1" applyFill="1" applyBorder="1" applyAlignment="1">
      <alignment horizontal="centerContinuous" vertical="center" wrapText="1"/>
    </xf>
    <xf numFmtId="0" fontId="4" fillId="0" borderId="96" xfId="0" applyFont="1" applyFill="1" applyBorder="1" applyAlignment="1">
      <alignment horizontal="centerContinuous" vertical="center" wrapText="1"/>
    </xf>
    <xf numFmtId="0" fontId="4" fillId="0" borderId="24" xfId="0" applyFont="1" applyBorder="1" applyAlignment="1">
      <alignment horizontal="center" vertical="center"/>
    </xf>
    <xf numFmtId="179" fontId="4" fillId="0" borderId="25" xfId="0" applyNumberFormat="1" applyFont="1" applyBorder="1" applyAlignment="1">
      <alignment horizontal="center" vertical="center"/>
    </xf>
    <xf numFmtId="179" fontId="4" fillId="0" borderId="0" xfId="0" applyNumberFormat="1" applyFont="1" applyAlignment="1">
      <alignment horizontal="center" vertical="top"/>
    </xf>
    <xf numFmtId="0" fontId="4" fillId="0" borderId="0" xfId="0" applyFont="1" applyFill="1" applyAlignment="1">
      <alignment vertical="top"/>
    </xf>
    <xf numFmtId="0" fontId="4" fillId="0" borderId="0" xfId="0" applyFont="1" applyFill="1" applyBorder="1" applyAlignment="1">
      <alignment horizontal="center" vertical="top" wrapText="1"/>
    </xf>
    <xf numFmtId="179" fontId="4" fillId="0" borderId="0" xfId="0" applyNumberFormat="1" applyFont="1" applyFill="1" applyBorder="1" applyAlignment="1">
      <alignment horizontal="center" vertical="center"/>
    </xf>
    <xf numFmtId="0" fontId="4" fillId="0" borderId="0" xfId="0" applyFont="1" applyFill="1" applyAlignment="1">
      <alignment horizontal="center" vertical="top" wrapText="1"/>
    </xf>
    <xf numFmtId="0" fontId="5" fillId="0" borderId="4" xfId="4" applyFont="1" applyFill="1" applyBorder="1" applyAlignment="1">
      <alignment horizontal="left" vertical="top"/>
    </xf>
    <xf numFmtId="0" fontId="5" fillId="0" borderId="5" xfId="4" applyFont="1" applyFill="1" applyBorder="1" applyAlignment="1">
      <alignment horizontal="left" vertical="top"/>
    </xf>
    <xf numFmtId="0" fontId="5" fillId="0" borderId="7" xfId="4" applyFont="1" applyFill="1" applyBorder="1" applyAlignment="1">
      <alignment horizontal="left" vertical="top"/>
    </xf>
    <xf numFmtId="0" fontId="5" fillId="0" borderId="0" xfId="4" applyFont="1" applyFill="1" applyBorder="1" applyAlignment="1">
      <alignment horizontal="left" vertical="top"/>
    </xf>
    <xf numFmtId="0" fontId="8" fillId="0" borderId="0" xfId="0" applyFont="1" applyFill="1" applyBorder="1" applyAlignment="1">
      <alignment horizontal="left" vertical="top"/>
    </xf>
    <xf numFmtId="0" fontId="4" fillId="0" borderId="0" xfId="0" applyFont="1" applyFill="1" applyBorder="1" applyAlignment="1">
      <alignment vertical="top"/>
    </xf>
    <xf numFmtId="0" fontId="4" fillId="0" borderId="8" xfId="0" applyFont="1" applyBorder="1" applyAlignment="1">
      <alignment vertical="top"/>
    </xf>
    <xf numFmtId="0" fontId="5" fillId="0" borderId="9" xfId="4" applyFont="1" applyFill="1" applyBorder="1" applyAlignment="1">
      <alignment horizontal="left" vertical="top"/>
    </xf>
    <xf numFmtId="0" fontId="5" fillId="0" borderId="10" xfId="4" applyFont="1" applyFill="1" applyBorder="1" applyAlignment="1">
      <alignment horizontal="left" vertical="top"/>
    </xf>
    <xf numFmtId="0" fontId="4" fillId="0" borderId="1" xfId="0" applyFont="1" applyFill="1" applyBorder="1" applyAlignment="1">
      <alignment horizontal="center" vertical="center"/>
    </xf>
    <xf numFmtId="0" fontId="4" fillId="0" borderId="105" xfId="0" applyFont="1" applyFill="1" applyBorder="1" applyAlignment="1">
      <alignment horizontal="centerContinuous" vertical="center"/>
    </xf>
    <xf numFmtId="0" fontId="4" fillId="0" borderId="95" xfId="0" applyFont="1" applyFill="1" applyBorder="1" applyAlignment="1">
      <alignment horizontal="centerContinuous" vertical="center"/>
    </xf>
    <xf numFmtId="0" fontId="4" fillId="0" borderId="106" xfId="0" applyFont="1" applyFill="1" applyBorder="1" applyAlignment="1">
      <alignment horizontal="center" vertical="center"/>
    </xf>
    <xf numFmtId="0" fontId="4" fillId="0" borderId="107" xfId="0" applyFont="1" applyFill="1" applyBorder="1" applyAlignment="1">
      <alignment horizontal="center" vertical="center"/>
    </xf>
    <xf numFmtId="0" fontId="4" fillId="0" borderId="108" xfId="0" applyFont="1" applyFill="1" applyBorder="1" applyAlignment="1">
      <alignment horizontal="center" vertical="center"/>
    </xf>
    <xf numFmtId="9" fontId="5" fillId="0" borderId="127" xfId="0" applyNumberFormat="1" applyFont="1" applyBorder="1" applyAlignment="1" applyProtection="1">
      <alignment horizontal="center" vertical="center"/>
    </xf>
    <xf numFmtId="9" fontId="5" fillId="0" borderId="118" xfId="0" applyNumberFormat="1" applyFont="1" applyBorder="1" applyAlignment="1">
      <alignment horizontal="center" vertical="center"/>
    </xf>
    <xf numFmtId="9" fontId="5" fillId="0" borderId="118" xfId="0" applyNumberFormat="1" applyFont="1" applyBorder="1" applyAlignment="1" applyProtection="1">
      <alignment horizontal="center" vertical="center"/>
    </xf>
    <xf numFmtId="9" fontId="5" fillId="0" borderId="119" xfId="0" applyNumberFormat="1" applyFont="1" applyBorder="1" applyAlignment="1" applyProtection="1">
      <alignment horizontal="center" vertical="center"/>
    </xf>
    <xf numFmtId="43" fontId="5" fillId="0" borderId="130" xfId="1" applyFont="1" applyBorder="1" applyAlignment="1" applyProtection="1">
      <alignment vertical="center"/>
    </xf>
    <xf numFmtId="43" fontId="5" fillId="0" borderId="131" xfId="1" applyFont="1" applyBorder="1" applyAlignment="1" applyProtection="1">
      <alignment vertical="center"/>
    </xf>
    <xf numFmtId="43" fontId="5" fillId="0" borderId="132" xfId="1" applyFont="1" applyBorder="1" applyAlignment="1" applyProtection="1">
      <alignment vertical="center"/>
    </xf>
    <xf numFmtId="14" fontId="4" fillId="0" borderId="0" xfId="0" applyNumberFormat="1" applyFont="1"/>
    <xf numFmtId="43" fontId="8" fillId="11" borderId="116" xfId="1" applyFont="1" applyFill="1" applyBorder="1" applyAlignment="1">
      <alignment horizontal="center"/>
    </xf>
    <xf numFmtId="10" fontId="8" fillId="11" borderId="116" xfId="3" applyNumberFormat="1" applyFont="1" applyFill="1" applyBorder="1" applyAlignment="1">
      <alignment horizontal="center"/>
    </xf>
    <xf numFmtId="10" fontId="8" fillId="11" borderId="117" xfId="3" applyNumberFormat="1" applyFont="1" applyFill="1" applyBorder="1" applyAlignment="1">
      <alignment horizontal="center"/>
    </xf>
    <xf numFmtId="10" fontId="8" fillId="11" borderId="118" xfId="3" applyNumberFormat="1" applyFont="1" applyFill="1" applyBorder="1" applyAlignment="1">
      <alignment horizontal="center"/>
    </xf>
    <xf numFmtId="10" fontId="8" fillId="11" borderId="119" xfId="3" applyNumberFormat="1" applyFont="1" applyFill="1" applyBorder="1" applyAlignment="1">
      <alignment horizontal="center"/>
    </xf>
    <xf numFmtId="43" fontId="8" fillId="11" borderId="109" xfId="1" applyFont="1" applyFill="1" applyBorder="1"/>
    <xf numFmtId="10" fontId="8" fillId="11" borderId="109" xfId="3" applyNumberFormat="1" applyFont="1" applyFill="1" applyBorder="1"/>
    <xf numFmtId="43" fontId="8" fillId="11" borderId="120" xfId="1" applyFont="1" applyFill="1" applyBorder="1"/>
    <xf numFmtId="43" fontId="8" fillId="11" borderId="110" xfId="1" applyFont="1" applyFill="1" applyBorder="1"/>
    <xf numFmtId="43" fontId="8" fillId="11" borderId="111" xfId="1" applyFont="1" applyFill="1" applyBorder="1"/>
    <xf numFmtId="0" fontId="4" fillId="0" borderId="25" xfId="0" applyFont="1" applyFill="1" applyBorder="1" applyAlignment="1">
      <alignment horizontal="center" vertical="center" wrapText="1"/>
    </xf>
    <xf numFmtId="43" fontId="4" fillId="0" borderId="0" xfId="1" applyFont="1" applyAlignment="1">
      <alignment vertical="center"/>
    </xf>
    <xf numFmtId="0" fontId="6" fillId="5" borderId="24" xfId="6" applyFont="1" applyFill="1" applyBorder="1" applyAlignment="1">
      <alignment horizontal="center" vertical="center"/>
    </xf>
    <xf numFmtId="0" fontId="6" fillId="5" borderId="25" xfId="6" applyFont="1" applyFill="1" applyBorder="1" applyAlignment="1">
      <alignment vertical="center"/>
    </xf>
    <xf numFmtId="0" fontId="6" fillId="5" borderId="25" xfId="6" applyFont="1" applyFill="1" applyBorder="1" applyAlignment="1">
      <alignment horizontal="justify" vertical="center" wrapText="1"/>
    </xf>
    <xf numFmtId="0" fontId="6" fillId="5" borderId="25" xfId="6" applyFont="1" applyFill="1" applyBorder="1" applyAlignment="1">
      <alignment horizontal="right" vertical="center" wrapText="1"/>
    </xf>
    <xf numFmtId="0" fontId="6" fillId="5" borderId="25" xfId="6" applyFont="1" applyFill="1" applyBorder="1" applyAlignment="1">
      <alignment horizontal="center" vertical="center" wrapText="1"/>
    </xf>
    <xf numFmtId="0" fontId="6" fillId="5" borderId="25" xfId="6" applyFont="1" applyFill="1" applyBorder="1" applyAlignment="1">
      <alignment horizontal="center" vertical="center"/>
    </xf>
    <xf numFmtId="43" fontId="6" fillId="5" borderId="25" xfId="1" applyFont="1" applyFill="1" applyBorder="1" applyAlignment="1">
      <alignment horizontal="center" vertical="center"/>
    </xf>
    <xf numFmtId="43" fontId="6" fillId="5" borderId="96" xfId="1" applyFont="1" applyFill="1" applyBorder="1" applyAlignment="1">
      <alignment horizontal="center" vertical="center"/>
    </xf>
    <xf numFmtId="2" fontId="6" fillId="0" borderId="0" xfId="9" applyNumberFormat="1" applyFont="1" applyFill="1" applyAlignment="1">
      <alignment horizontal="left" vertical="top"/>
    </xf>
    <xf numFmtId="0" fontId="0" fillId="0" borderId="0" xfId="0" applyAlignment="1">
      <alignment horizontal="left" vertical="top"/>
    </xf>
    <xf numFmtId="43" fontId="5" fillId="0" borderId="22" xfId="1" applyFont="1" applyFill="1" applyBorder="1" applyAlignment="1">
      <alignment horizontal="center" vertical="center" wrapText="1"/>
    </xf>
    <xf numFmtId="0" fontId="8" fillId="0" borderId="22" xfId="0" applyFont="1" applyBorder="1" applyAlignment="1">
      <alignment horizontal="center" vertical="center" wrapText="1"/>
    </xf>
    <xf numFmtId="0" fontId="5" fillId="0" borderId="0" xfId="9" applyFont="1" applyFill="1" applyAlignment="1">
      <alignment vertical="center" wrapText="1"/>
    </xf>
    <xf numFmtId="0" fontId="5" fillId="0" borderId="0" xfId="9" applyFont="1" applyFill="1" applyAlignment="1">
      <alignment horizontal="center" vertical="center"/>
    </xf>
    <xf numFmtId="0" fontId="4" fillId="0" borderId="0" xfId="0" applyFont="1" applyAlignment="1">
      <alignment horizontal="center" vertical="center"/>
    </xf>
    <xf numFmtId="43" fontId="5" fillId="0" borderId="22" xfId="9" applyNumberFormat="1" applyFont="1" applyFill="1" applyBorder="1" applyAlignment="1">
      <alignment horizontal="center" vertical="center"/>
    </xf>
    <xf numFmtId="0" fontId="5" fillId="0" borderId="0" xfId="9" applyFont="1" applyFill="1" applyAlignment="1">
      <alignment vertical="top"/>
    </xf>
    <xf numFmtId="1" fontId="5" fillId="0" borderId="22" xfId="9" applyNumberFormat="1" applyFont="1" applyFill="1" applyBorder="1" applyAlignment="1">
      <alignment horizontal="center" vertical="top"/>
    </xf>
    <xf numFmtId="170" fontId="10" fillId="0" borderId="79" xfId="8" applyNumberFormat="1" applyFont="1" applyFill="1" applyBorder="1" applyAlignment="1" applyProtection="1">
      <alignment horizontal="center" vertical="center"/>
    </xf>
    <xf numFmtId="172" fontId="10" fillId="0" borderId="44" xfId="12" applyNumberFormat="1" applyFont="1" applyFill="1" applyBorder="1" applyAlignment="1" applyProtection="1">
      <alignment horizontal="center" vertical="center"/>
      <protection locked="0"/>
    </xf>
    <xf numFmtId="43" fontId="10" fillId="0" borderId="77" xfId="10" applyFont="1" applyFill="1" applyBorder="1" applyAlignment="1" applyProtection="1">
      <alignment vertical="center"/>
    </xf>
    <xf numFmtId="43" fontId="10" fillId="0" borderId="44" xfId="10" applyFont="1" applyFill="1" applyBorder="1" applyAlignment="1" applyProtection="1">
      <alignment vertical="center"/>
    </xf>
    <xf numFmtId="43" fontId="10" fillId="0" borderId="78" xfId="10" applyFont="1" applyFill="1" applyBorder="1" applyAlignment="1" applyProtection="1">
      <alignment horizontal="center" vertical="center"/>
      <protection locked="0"/>
    </xf>
    <xf numFmtId="43" fontId="10" fillId="0" borderId="76" xfId="10" applyFont="1" applyFill="1" applyBorder="1" applyAlignment="1" applyProtection="1">
      <alignment vertical="center"/>
    </xf>
    <xf numFmtId="43" fontId="10" fillId="0" borderId="44" xfId="10" applyFont="1" applyFill="1" applyBorder="1" applyAlignment="1" applyProtection="1">
      <alignment horizontal="center" vertical="center"/>
      <protection locked="0"/>
    </xf>
    <xf numFmtId="43" fontId="10" fillId="0" borderId="76" xfId="10" applyFont="1" applyFill="1" applyBorder="1" applyAlignment="1" applyProtection="1">
      <alignment horizontal="center" vertical="center"/>
      <protection locked="0"/>
    </xf>
    <xf numFmtId="43" fontId="10" fillId="9" borderId="43" xfId="10" applyFont="1" applyFill="1" applyBorder="1" applyAlignment="1" applyProtection="1">
      <alignment horizontal="right" vertical="center"/>
      <protection locked="0"/>
    </xf>
    <xf numFmtId="43" fontId="10" fillId="0" borderId="81" xfId="10" applyFont="1" applyFill="1" applyBorder="1" applyAlignment="1" applyProtection="1">
      <alignment horizontal="center" vertical="center"/>
      <protection locked="0"/>
    </xf>
    <xf numFmtId="173" fontId="10" fillId="0" borderId="82" xfId="10" applyNumberFormat="1" applyFont="1" applyFill="1" applyBorder="1" applyAlignment="1" applyProtection="1">
      <alignment horizontal="center" vertical="center"/>
      <protection locked="0"/>
    </xf>
    <xf numFmtId="43" fontId="10" fillId="9" borderId="82" xfId="10" applyFont="1" applyFill="1" applyBorder="1" applyAlignment="1" applyProtection="1">
      <alignment horizontal="right" vertical="center"/>
      <protection locked="0"/>
    </xf>
    <xf numFmtId="43" fontId="10" fillId="9" borderId="45" xfId="10" applyFont="1" applyFill="1" applyBorder="1" applyAlignment="1" applyProtection="1">
      <alignment horizontal="right" vertical="center"/>
      <protection locked="0"/>
    </xf>
    <xf numFmtId="0" fontId="11" fillId="7" borderId="87" xfId="9" applyFont="1" applyFill="1" applyBorder="1" applyAlignment="1" applyProtection="1">
      <alignment horizontal="centerContinuous" vertical="center"/>
      <protection locked="0"/>
    </xf>
    <xf numFmtId="0" fontId="11" fillId="7" borderId="84" xfId="9" applyFont="1" applyFill="1" applyBorder="1" applyAlignment="1" applyProtection="1">
      <alignment horizontal="centerContinuous" vertical="center"/>
      <protection locked="0"/>
    </xf>
    <xf numFmtId="43" fontId="11" fillId="0" borderId="88" xfId="1" applyFont="1" applyFill="1" applyBorder="1" applyAlignment="1" applyProtection="1">
      <alignment horizontal="center" vertical="center"/>
      <protection locked="0"/>
    </xf>
    <xf numFmtId="43" fontId="11" fillId="0" borderId="86" xfId="1" applyFont="1" applyFill="1" applyBorder="1" applyAlignment="1" applyProtection="1">
      <alignment horizontal="center" vertical="center"/>
      <protection locked="0"/>
    </xf>
    <xf numFmtId="43" fontId="11" fillId="0" borderId="89" xfId="1" applyFont="1" applyFill="1" applyBorder="1" applyAlignment="1" applyProtection="1">
      <alignment horizontal="center" vertical="center"/>
      <protection locked="0"/>
    </xf>
    <xf numFmtId="0" fontId="23" fillId="0" borderId="0" xfId="17" applyAlignment="1">
      <alignment vertical="center"/>
    </xf>
    <xf numFmtId="0" fontId="4" fillId="0" borderId="0" xfId="0" applyFont="1" applyAlignment="1">
      <alignment horizontal="center" vertical="center"/>
    </xf>
    <xf numFmtId="2" fontId="5" fillId="0" borderId="22" xfId="9" applyNumberFormat="1" applyFont="1" applyFill="1" applyBorder="1" applyAlignment="1">
      <alignment horizontal="left" vertical="top" wrapText="1"/>
    </xf>
    <xf numFmtId="0" fontId="7" fillId="11" borderId="1" xfId="0" applyFont="1" applyFill="1" applyBorder="1" applyAlignment="1">
      <alignment horizontal="centerContinuous" vertical="center"/>
    </xf>
    <xf numFmtId="0" fontId="7" fillId="11" borderId="2" xfId="0" applyFont="1" applyFill="1" applyBorder="1" applyAlignment="1">
      <alignment horizontal="centerContinuous" vertical="center"/>
    </xf>
    <xf numFmtId="181" fontId="5" fillId="0" borderId="0" xfId="9" applyNumberFormat="1" applyFont="1" applyFill="1" applyAlignment="1">
      <alignment horizontal="center" vertical="center"/>
    </xf>
    <xf numFmtId="1" fontId="5" fillId="0" borderId="0" xfId="9" applyNumberFormat="1" applyFont="1" applyFill="1" applyAlignment="1">
      <alignment horizontal="center" vertical="top"/>
    </xf>
    <xf numFmtId="1" fontId="5" fillId="0" borderId="0" xfId="9" applyNumberFormat="1" applyFont="1" applyFill="1" applyAlignment="1">
      <alignment horizontal="center" vertical="center"/>
    </xf>
    <xf numFmtId="179" fontId="4" fillId="0" borderId="96" xfId="0" applyNumberFormat="1" applyFont="1" applyBorder="1" applyAlignment="1">
      <alignment horizontal="center" vertical="center"/>
    </xf>
    <xf numFmtId="0" fontId="5" fillId="0" borderId="0" xfId="9" applyFont="1" applyFill="1" applyBorder="1" applyAlignment="1">
      <alignment horizontal="center" vertical="center"/>
    </xf>
    <xf numFmtId="43" fontId="6" fillId="0" borderId="22" xfId="1" applyFont="1" applyFill="1" applyBorder="1" applyAlignment="1">
      <alignment horizontal="center" vertical="center" wrapText="1"/>
    </xf>
    <xf numFmtId="43" fontId="6" fillId="0" borderId="22" xfId="9" applyNumberFormat="1" applyFont="1" applyFill="1" applyBorder="1" applyAlignment="1">
      <alignment horizontal="center" vertical="center"/>
    </xf>
    <xf numFmtId="0" fontId="0" fillId="0" borderId="0" xfId="0" applyAlignment="1">
      <alignment horizontal="center" vertical="top"/>
    </xf>
    <xf numFmtId="0" fontId="5" fillId="0" borderId="0" xfId="9" applyFont="1" applyFill="1" applyAlignment="1">
      <alignment horizontal="center" vertical="center" wrapText="1"/>
    </xf>
    <xf numFmtId="1" fontId="6" fillId="0" borderId="0" xfId="9" applyNumberFormat="1" applyFont="1" applyFill="1" applyBorder="1" applyAlignment="1">
      <alignment horizontal="center" vertical="center"/>
    </xf>
    <xf numFmtId="0" fontId="5" fillId="0" borderId="0" xfId="9" applyFont="1" applyFill="1" applyBorder="1" applyAlignment="1">
      <alignment horizontal="center" vertical="center" wrapText="1"/>
    </xf>
    <xf numFmtId="43" fontId="6" fillId="0" borderId="0" xfId="1" applyFont="1" applyFill="1" applyBorder="1" applyAlignment="1">
      <alignment horizontal="center" vertical="center"/>
    </xf>
    <xf numFmtId="181" fontId="6" fillId="0" borderId="0" xfId="9" applyNumberFormat="1" applyFont="1" applyFill="1" applyAlignment="1">
      <alignment horizontal="center" vertical="center"/>
    </xf>
    <xf numFmtId="43" fontId="5" fillId="11" borderId="22" xfId="1" applyFont="1" applyFill="1" applyBorder="1" applyAlignment="1">
      <alignment horizontal="center" vertical="center" wrapText="1"/>
    </xf>
    <xf numFmtId="43" fontId="6" fillId="11" borderId="22" xfId="1" applyFont="1" applyFill="1" applyBorder="1" applyAlignment="1">
      <alignment horizontal="center" vertical="center" wrapText="1"/>
    </xf>
    <xf numFmtId="180" fontId="5" fillId="11" borderId="22" xfId="1" applyNumberFormat="1" applyFont="1" applyFill="1" applyBorder="1" applyAlignment="1">
      <alignment horizontal="center" vertical="center"/>
    </xf>
    <xf numFmtId="43" fontId="5" fillId="11" borderId="22" xfId="1" applyFont="1" applyFill="1" applyBorder="1" applyAlignment="1">
      <alignment horizontal="center" vertical="center"/>
    </xf>
    <xf numFmtId="43" fontId="24" fillId="11" borderId="22" xfId="1" applyFont="1" applyFill="1" applyBorder="1" applyAlignment="1">
      <alignment horizontal="center" vertical="center"/>
    </xf>
    <xf numFmtId="43" fontId="5" fillId="0" borderId="22" xfId="1" applyFont="1" applyFill="1" applyBorder="1" applyAlignment="1">
      <alignment horizontal="left" vertical="center"/>
    </xf>
    <xf numFmtId="43" fontId="6" fillId="0" borderId="22" xfId="1" applyFont="1" applyFill="1" applyBorder="1" applyAlignment="1">
      <alignment horizontal="left" vertical="center"/>
    </xf>
    <xf numFmtId="0" fontId="4" fillId="0" borderId="0" xfId="0" applyFont="1" applyAlignment="1">
      <alignment horizontal="center" vertical="center"/>
    </xf>
    <xf numFmtId="43" fontId="6" fillId="0" borderId="0" xfId="4" applyNumberFormat="1" applyFont="1" applyFill="1" applyBorder="1" applyAlignment="1">
      <alignment horizontal="center" vertical="center"/>
    </xf>
    <xf numFmtId="0" fontId="4" fillId="0" borderId="122" xfId="0" applyFont="1" applyBorder="1" applyAlignment="1">
      <alignment horizontal="center" vertical="center"/>
    </xf>
    <xf numFmtId="0" fontId="4" fillId="0" borderId="133" xfId="0" applyFont="1" applyBorder="1" applyAlignment="1">
      <alignment horizontal="center" vertical="center"/>
    </xf>
    <xf numFmtId="0" fontId="5" fillId="0" borderId="22" xfId="9" applyFont="1" applyFill="1" applyBorder="1" applyAlignment="1">
      <alignment horizontal="center" vertical="center" wrapText="1"/>
    </xf>
    <xf numFmtId="0" fontId="5" fillId="0" borderId="22" xfId="9" applyFont="1" applyFill="1" applyBorder="1" applyAlignment="1">
      <alignment horizontal="center" vertical="center"/>
    </xf>
    <xf numFmtId="0" fontId="6" fillId="0" borderId="22" xfId="9" applyFont="1" applyFill="1" applyBorder="1" applyAlignment="1">
      <alignment horizontal="center" vertical="center" wrapText="1"/>
    </xf>
    <xf numFmtId="0" fontId="6" fillId="0" borderId="22" xfId="9" applyFont="1" applyFill="1" applyBorder="1" applyAlignment="1">
      <alignment horizontal="center" vertical="center"/>
    </xf>
    <xf numFmtId="0" fontId="6" fillId="0" borderId="0" xfId="9" applyFont="1" applyFill="1" applyBorder="1" applyAlignment="1">
      <alignment horizontal="center" vertical="center" wrapText="1"/>
    </xf>
    <xf numFmtId="43" fontId="6" fillId="0" borderId="0" xfId="1" applyFont="1" applyFill="1" applyBorder="1" applyAlignment="1">
      <alignment horizontal="left" vertical="center"/>
    </xf>
    <xf numFmtId="43" fontId="4" fillId="11" borderId="22" xfId="1" applyFont="1" applyFill="1" applyBorder="1" applyAlignment="1">
      <alignment horizontal="center" vertical="center" wrapText="1"/>
    </xf>
    <xf numFmtId="43" fontId="4" fillId="11" borderId="22" xfId="0" applyNumberFormat="1" applyFont="1" applyFill="1" applyBorder="1" applyAlignment="1">
      <alignment horizontal="center" vertical="center" wrapText="1"/>
    </xf>
    <xf numFmtId="43" fontId="5" fillId="0" borderId="0" xfId="1" applyFont="1" applyFill="1" applyAlignment="1">
      <alignment horizontal="left" vertical="center"/>
    </xf>
    <xf numFmtId="43" fontId="4" fillId="0" borderId="0" xfId="1" applyFont="1" applyAlignment="1">
      <alignment horizontal="left" vertical="center"/>
    </xf>
    <xf numFmtId="43" fontId="8" fillId="2" borderId="0" xfId="1" applyFont="1" applyFill="1" applyBorder="1" applyAlignment="1">
      <alignment horizontal="left" vertical="center"/>
    </xf>
    <xf numFmtId="43" fontId="0" fillId="0" borderId="0" xfId="1" applyFont="1" applyAlignment="1">
      <alignment horizontal="left" vertical="top"/>
    </xf>
    <xf numFmtId="43" fontId="5" fillId="0" borderId="0" xfId="1" applyFont="1" applyFill="1" applyAlignment="1">
      <alignment horizontal="left" vertical="center" wrapText="1"/>
    </xf>
    <xf numFmtId="43" fontId="6" fillId="0" borderId="0" xfId="1" applyFont="1" applyFill="1" applyAlignment="1">
      <alignment horizontal="left" vertical="center"/>
    </xf>
    <xf numFmtId="43" fontId="6" fillId="11" borderId="22" xfId="1" applyFont="1" applyFill="1" applyBorder="1" applyAlignment="1">
      <alignment horizontal="center" vertical="center"/>
    </xf>
    <xf numFmtId="182" fontId="5" fillId="0" borderId="0" xfId="9" applyNumberFormat="1" applyFont="1" applyFill="1" applyAlignment="1">
      <alignment horizontal="center" vertical="center"/>
    </xf>
    <xf numFmtId="183" fontId="8" fillId="0" borderId="10" xfId="1" applyNumberFormat="1" applyFont="1" applyFill="1" applyBorder="1" applyAlignment="1">
      <alignment horizontal="left" vertical="center"/>
    </xf>
    <xf numFmtId="2" fontId="5" fillId="0" borderId="22" xfId="9" applyNumberFormat="1" applyFont="1" applyFill="1" applyBorder="1" applyAlignment="1">
      <alignment horizontal="left" vertical="top"/>
    </xf>
    <xf numFmtId="9" fontId="5" fillId="0" borderId="135" xfId="0" applyNumberFormat="1" applyFont="1" applyBorder="1" applyAlignment="1" applyProtection="1">
      <alignment horizontal="center" vertical="center"/>
    </xf>
    <xf numFmtId="9" fontId="5" fillId="0" borderId="136" xfId="0" applyNumberFormat="1" applyFont="1" applyBorder="1" applyAlignment="1">
      <alignment horizontal="center" vertical="center"/>
    </xf>
    <xf numFmtId="9" fontId="5" fillId="0" borderId="136" xfId="0" applyNumberFormat="1" applyFont="1" applyBorder="1" applyAlignment="1" applyProtection="1">
      <alignment horizontal="center" vertical="center"/>
    </xf>
    <xf numFmtId="9" fontId="5" fillId="0" borderId="137" xfId="0" applyNumberFormat="1" applyFont="1" applyBorder="1" applyAlignment="1" applyProtection="1">
      <alignment horizontal="center" vertical="center"/>
    </xf>
    <xf numFmtId="0" fontId="25" fillId="0" borderId="0" xfId="0" applyFont="1" applyAlignment="1">
      <alignment horizontal="center"/>
    </xf>
    <xf numFmtId="10" fontId="6" fillId="0" borderId="15" xfId="3" applyNumberFormat="1" applyFont="1" applyBorder="1" applyAlignment="1" applyProtection="1">
      <alignment horizontal="right" vertical="center"/>
    </xf>
    <xf numFmtId="10" fontId="6" fillId="0" borderId="23" xfId="3" applyNumberFormat="1" applyFont="1" applyBorder="1" applyAlignment="1" applyProtection="1">
      <alignment horizontal="right" vertical="center"/>
    </xf>
    <xf numFmtId="10" fontId="8" fillId="11" borderId="15" xfId="3" applyNumberFormat="1" applyFont="1" applyFill="1" applyBorder="1" applyAlignment="1">
      <alignment horizontal="right"/>
    </xf>
    <xf numFmtId="10" fontId="8" fillId="11" borderId="19" xfId="3" applyNumberFormat="1" applyFont="1" applyFill="1" applyBorder="1" applyAlignment="1">
      <alignment horizontal="right"/>
    </xf>
    <xf numFmtId="43" fontId="6" fillId="0" borderId="98" xfId="1" applyFont="1" applyBorder="1" applyAlignment="1" applyProtection="1">
      <alignment horizontal="center" vertical="center"/>
    </xf>
    <xf numFmtId="43" fontId="6" fillId="0" borderId="26" xfId="1" applyFont="1" applyBorder="1" applyAlignment="1" applyProtection="1">
      <alignment horizontal="center" vertical="center"/>
    </xf>
    <xf numFmtId="43" fontId="8" fillId="11" borderId="98" xfId="3" applyNumberFormat="1" applyFont="1" applyFill="1" applyBorder="1" applyAlignment="1">
      <alignment horizontal="center"/>
    </xf>
    <xf numFmtId="10" fontId="8" fillId="11" borderId="103" xfId="3" applyNumberFormat="1" applyFont="1" applyFill="1" applyBorder="1" applyAlignment="1">
      <alignment horizontal="center"/>
    </xf>
    <xf numFmtId="43" fontId="8" fillId="11" borderId="103" xfId="1" applyFont="1" applyFill="1" applyBorder="1" applyAlignment="1">
      <alignment horizontal="center"/>
    </xf>
    <xf numFmtId="169" fontId="11" fillId="0" borderId="0" xfId="9" applyNumberFormat="1" applyFont="1"/>
    <xf numFmtId="9" fontId="11" fillId="0" borderId="0" xfId="3" applyFont="1"/>
    <xf numFmtId="43" fontId="5" fillId="0" borderId="0" xfId="9" applyNumberFormat="1" applyFont="1" applyFill="1" applyBorder="1" applyAlignment="1">
      <alignment horizontal="center" vertical="center"/>
    </xf>
    <xf numFmtId="43" fontId="6" fillId="0" borderId="0" xfId="9" applyNumberFormat="1" applyFont="1" applyFill="1" applyAlignment="1">
      <alignment vertical="top"/>
    </xf>
    <xf numFmtId="0" fontId="4" fillId="0" borderId="0" xfId="0" applyFont="1" applyAlignment="1">
      <alignment horizontal="center" vertical="center"/>
    </xf>
    <xf numFmtId="0" fontId="5" fillId="0" borderId="22" xfId="9" applyFont="1" applyFill="1" applyBorder="1" applyAlignment="1">
      <alignment horizontal="center" vertical="center"/>
    </xf>
    <xf numFmtId="0" fontId="6" fillId="0" borderId="22" xfId="9" applyFont="1" applyFill="1" applyBorder="1" applyAlignment="1">
      <alignment horizontal="center" vertical="center"/>
    </xf>
    <xf numFmtId="0" fontId="4" fillId="0" borderId="0" xfId="0" applyFont="1" applyAlignment="1">
      <alignment horizontal="center" vertical="center"/>
    </xf>
    <xf numFmtId="0" fontId="5" fillId="0" borderId="22" xfId="9" applyFont="1" applyFill="1" applyBorder="1" applyAlignment="1">
      <alignment horizontal="center" vertical="center" wrapText="1"/>
    </xf>
    <xf numFmtId="0" fontId="5" fillId="0" borderId="22" xfId="9" applyFont="1" applyFill="1" applyBorder="1" applyAlignment="1">
      <alignment horizontal="center" vertical="center"/>
    </xf>
    <xf numFmtId="0" fontId="6" fillId="0" borderId="22" xfId="9" applyFont="1" applyFill="1" applyBorder="1" applyAlignment="1">
      <alignment horizontal="center" vertical="center"/>
    </xf>
    <xf numFmtId="0" fontId="4" fillId="0" borderId="133" xfId="0" applyFont="1" applyBorder="1" applyAlignment="1">
      <alignment horizontal="center" vertical="center"/>
    </xf>
    <xf numFmtId="43" fontId="5" fillId="0" borderId="22" xfId="9" applyNumberFormat="1" applyFont="1" applyFill="1" applyBorder="1" applyAlignment="1">
      <alignment horizontal="center" vertical="center" wrapText="1"/>
    </xf>
    <xf numFmtId="43" fontId="6" fillId="0" borderId="0" xfId="9" applyNumberFormat="1" applyFont="1" applyFill="1" applyBorder="1" applyAlignment="1">
      <alignment horizontal="center" vertical="center"/>
    </xf>
    <xf numFmtId="184" fontId="5" fillId="11" borderId="22" xfId="9" applyNumberFormat="1" applyFont="1" applyFill="1" applyBorder="1" applyAlignment="1">
      <alignment horizontal="center" vertical="center"/>
    </xf>
    <xf numFmtId="172" fontId="10" fillId="0" borderId="140" xfId="12" applyNumberFormat="1" applyFont="1" applyFill="1" applyBorder="1" applyAlignment="1" applyProtection="1">
      <alignment horizontal="center" vertical="center"/>
      <protection locked="0"/>
    </xf>
    <xf numFmtId="172" fontId="11" fillId="0" borderId="140" xfId="12" applyNumberFormat="1" applyFont="1" applyFill="1" applyBorder="1" applyAlignment="1" applyProtection="1">
      <alignment horizontal="center" vertical="center"/>
      <protection locked="0"/>
    </xf>
    <xf numFmtId="43" fontId="5" fillId="0" borderId="142" xfId="1" applyFont="1" applyFill="1" applyBorder="1" applyAlignment="1">
      <alignment horizontal="left" vertical="center"/>
    </xf>
    <xf numFmtId="173" fontId="11" fillId="0" borderId="143" xfId="10" applyNumberFormat="1" applyFont="1" applyFill="1" applyBorder="1" applyAlignment="1" applyProtection="1">
      <alignment vertical="center"/>
    </xf>
    <xf numFmtId="173" fontId="11" fillId="0" borderId="144" xfId="10" applyNumberFormat="1" applyFont="1" applyFill="1" applyBorder="1" applyAlignment="1" applyProtection="1">
      <alignment vertical="center"/>
    </xf>
    <xf numFmtId="0" fontId="8" fillId="0" borderId="142" xfId="0" applyFont="1" applyBorder="1" applyAlignment="1">
      <alignment horizontal="center" vertical="center" wrapText="1"/>
    </xf>
    <xf numFmtId="0" fontId="6" fillId="0" borderId="142" xfId="9" applyFont="1" applyFill="1" applyBorder="1" applyAlignment="1">
      <alignment horizontal="center" vertical="center"/>
    </xf>
    <xf numFmtId="43" fontId="6" fillId="0" borderId="142" xfId="1" applyFont="1" applyFill="1" applyBorder="1" applyAlignment="1">
      <alignment horizontal="left" vertical="center"/>
    </xf>
    <xf numFmtId="0" fontId="5" fillId="0" borderId="142" xfId="9" applyFont="1" applyFill="1" applyBorder="1" applyAlignment="1">
      <alignment horizontal="center" vertical="center"/>
    </xf>
    <xf numFmtId="43" fontId="6" fillId="0" borderId="142" xfId="1" applyFont="1" applyFill="1" applyBorder="1" applyAlignment="1">
      <alignment horizontal="center" vertical="center" wrapText="1"/>
    </xf>
    <xf numFmtId="43" fontId="6" fillId="0" borderId="142" xfId="1" applyFont="1" applyFill="1" applyBorder="1" applyAlignment="1">
      <alignment horizontal="center" vertical="center"/>
    </xf>
    <xf numFmtId="43" fontId="5" fillId="0" borderId="142" xfId="1" applyFont="1" applyFill="1" applyBorder="1" applyAlignment="1">
      <alignment horizontal="center" vertical="center"/>
    </xf>
    <xf numFmtId="43" fontId="0" fillId="0" borderId="142" xfId="1" applyFont="1" applyBorder="1" applyAlignment="1">
      <alignment horizontal="center"/>
    </xf>
    <xf numFmtId="0" fontId="5" fillId="0" borderId="142" xfId="9" applyFont="1" applyFill="1" applyBorder="1" applyAlignment="1">
      <alignment horizontal="center" vertical="center" wrapText="1"/>
    </xf>
    <xf numFmtId="1" fontId="5" fillId="0" borderId="0" xfId="9" applyNumberFormat="1" applyFont="1" applyFill="1" applyBorder="1" applyAlignment="1">
      <alignment horizontal="center" vertical="center"/>
    </xf>
    <xf numFmtId="43" fontId="3" fillId="0" borderId="142" xfId="1" applyFont="1" applyBorder="1" applyAlignment="1">
      <alignment horizontal="center"/>
    </xf>
    <xf numFmtId="43" fontId="4" fillId="11" borderId="142" xfId="0" applyNumberFormat="1" applyFont="1" applyFill="1" applyBorder="1" applyAlignment="1">
      <alignment horizontal="center" vertical="center" wrapText="1"/>
    </xf>
    <xf numFmtId="43" fontId="4" fillId="11" borderId="142" xfId="1" applyFont="1" applyFill="1" applyBorder="1" applyAlignment="1">
      <alignment horizontal="center" vertical="center" wrapText="1"/>
    </xf>
    <xf numFmtId="43" fontId="4" fillId="0" borderId="142" xfId="1" applyFont="1" applyBorder="1" applyAlignment="1">
      <alignment horizontal="center" vertical="center" wrapText="1"/>
    </xf>
    <xf numFmtId="0" fontId="4" fillId="0" borderId="114" xfId="0" applyFont="1" applyBorder="1" applyAlignment="1">
      <alignment vertical="center"/>
    </xf>
    <xf numFmtId="0" fontId="4" fillId="0" borderId="112" xfId="0" applyFont="1" applyBorder="1" applyAlignment="1">
      <alignment vertical="center"/>
    </xf>
    <xf numFmtId="43" fontId="8" fillId="11" borderId="93" xfId="3" applyNumberFormat="1" applyFont="1" applyFill="1" applyBorder="1" applyAlignment="1">
      <alignment horizontal="center"/>
    </xf>
    <xf numFmtId="43" fontId="8" fillId="11" borderId="146" xfId="3" applyNumberFormat="1" applyFont="1" applyFill="1" applyBorder="1" applyAlignment="1">
      <alignment horizontal="center"/>
    </xf>
    <xf numFmtId="43" fontId="8" fillId="11" borderId="94" xfId="1" applyFont="1" applyFill="1" applyBorder="1" applyAlignment="1">
      <alignment horizontal="center"/>
    </xf>
    <xf numFmtId="43" fontId="8" fillId="11" borderId="124" xfId="1" applyFont="1" applyFill="1" applyBorder="1" applyAlignment="1">
      <alignment horizontal="center"/>
    </xf>
    <xf numFmtId="0" fontId="4" fillId="0" borderId="147" xfId="0" applyFont="1" applyBorder="1" applyAlignment="1">
      <alignment vertical="center"/>
    </xf>
    <xf numFmtId="0" fontId="4" fillId="0" borderId="148" xfId="0" applyFont="1" applyBorder="1" applyAlignment="1">
      <alignment vertical="center"/>
    </xf>
    <xf numFmtId="10" fontId="4" fillId="0" borderId="0" xfId="3" applyNumberFormat="1" applyFont="1"/>
    <xf numFmtId="0" fontId="4" fillId="0" borderId="0" xfId="0" applyFont="1" applyAlignment="1">
      <alignment horizontal="center" vertical="center"/>
    </xf>
    <xf numFmtId="0" fontId="5" fillId="0" borderId="0" xfId="9" applyFont="1" applyFill="1" applyAlignment="1">
      <alignment vertical="center" wrapText="1"/>
    </xf>
    <xf numFmtId="0" fontId="5" fillId="0" borderId="142" xfId="9" applyFont="1" applyFill="1" applyBorder="1" applyAlignment="1">
      <alignment horizontal="center" vertical="center" wrapText="1"/>
    </xf>
    <xf numFmtId="0" fontId="6" fillId="0" borderId="22" xfId="9" applyFont="1" applyFill="1" applyBorder="1" applyAlignment="1">
      <alignment horizontal="center" vertical="center"/>
    </xf>
    <xf numFmtId="0" fontId="4" fillId="0" borderId="0" xfId="0" applyFont="1" applyAlignment="1">
      <alignment horizontal="center" vertical="center"/>
    </xf>
    <xf numFmtId="182" fontId="6" fillId="0" borderId="0" xfId="9" applyNumberFormat="1" applyFont="1" applyFill="1" applyAlignment="1">
      <alignment horizontal="center" vertical="center"/>
    </xf>
    <xf numFmtId="0" fontId="9" fillId="0" borderId="0" xfId="9" applyFont="1" applyFill="1" applyAlignment="1">
      <alignment vertical="center"/>
    </xf>
    <xf numFmtId="43" fontId="4" fillId="0" borderId="142" xfId="0" applyNumberFormat="1" applyFont="1" applyBorder="1" applyAlignment="1">
      <alignment horizontal="center" vertical="center" wrapText="1"/>
    </xf>
    <xf numFmtId="0" fontId="26" fillId="0" borderId="0" xfId="0" applyFont="1" applyAlignment="1">
      <alignment horizontal="center" vertical="center"/>
    </xf>
    <xf numFmtId="0" fontId="26" fillId="0" borderId="0" xfId="0" applyFont="1" applyBorder="1" applyAlignment="1">
      <alignment horizontal="center" vertical="center"/>
    </xf>
    <xf numFmtId="0" fontId="0" fillId="0" borderId="72" xfId="0" applyBorder="1" applyAlignment="1">
      <alignment horizontal="center"/>
    </xf>
    <xf numFmtId="0" fontId="0" fillId="0" borderId="0" xfId="0" applyBorder="1" applyAlignment="1">
      <alignment horizontal="center"/>
    </xf>
    <xf numFmtId="43" fontId="1" fillId="0" borderId="0" xfId="1" applyFont="1"/>
    <xf numFmtId="0" fontId="3" fillId="0" borderId="0" xfId="0" applyFont="1" applyAlignment="1">
      <alignment horizontal="center"/>
    </xf>
    <xf numFmtId="0" fontId="5" fillId="0" borderId="0" xfId="0" applyFont="1" applyAlignment="1">
      <alignment horizontal="center"/>
    </xf>
    <xf numFmtId="0" fontId="5" fillId="0" borderId="0" xfId="0" applyFont="1"/>
    <xf numFmtId="0" fontId="0" fillId="0" borderId="0" xfId="0" applyFill="1" applyAlignment="1"/>
    <xf numFmtId="0" fontId="0" fillId="0" borderId="0" xfId="0" applyFill="1" applyAlignment="1">
      <alignment horizontal="center"/>
    </xf>
    <xf numFmtId="0" fontId="0" fillId="0" borderId="0" xfId="0" applyFill="1"/>
    <xf numFmtId="171" fontId="1" fillId="0" borderId="0" xfId="18" applyFont="1" applyFill="1" applyAlignment="1">
      <alignment horizontal="center"/>
    </xf>
    <xf numFmtId="43" fontId="0" fillId="0" borderId="0" xfId="0" applyNumberFormat="1" applyFill="1"/>
    <xf numFmtId="0" fontId="3" fillId="14" borderId="0" xfId="0" applyFont="1" applyFill="1" applyAlignment="1">
      <alignment horizontal="left"/>
    </xf>
    <xf numFmtId="0" fontId="3" fillId="14" borderId="0" xfId="0" applyFont="1" applyFill="1" applyAlignment="1">
      <alignment horizontal="center"/>
    </xf>
    <xf numFmtId="0" fontId="0" fillId="14" borderId="0" xfId="0" applyFill="1"/>
    <xf numFmtId="171" fontId="0" fillId="0" borderId="0" xfId="0" applyNumberFormat="1"/>
    <xf numFmtId="0" fontId="0" fillId="0" borderId="0" xfId="0" applyFont="1" applyAlignment="1">
      <alignment horizontal="right"/>
    </xf>
    <xf numFmtId="0" fontId="3" fillId="0" borderId="0" xfId="0" applyFont="1" applyAlignment="1">
      <alignment horizontal="left"/>
    </xf>
    <xf numFmtId="43" fontId="1" fillId="0" borderId="0" xfId="1" applyFont="1" applyAlignment="1">
      <alignment horizontal="center"/>
    </xf>
    <xf numFmtId="0" fontId="3" fillId="0" borderId="0" xfId="0" applyFont="1" applyAlignment="1">
      <alignment horizontal="right"/>
    </xf>
    <xf numFmtId="43" fontId="3" fillId="0" borderId="0" xfId="1" applyFont="1"/>
    <xf numFmtId="43" fontId="3" fillId="0" borderId="0" xfId="0" applyNumberFormat="1" applyFont="1" applyAlignment="1">
      <alignment horizontal="center"/>
    </xf>
    <xf numFmtId="0" fontId="0" fillId="0" borderId="0" xfId="0" applyAlignment="1">
      <alignment horizontal="left"/>
    </xf>
    <xf numFmtId="171" fontId="3" fillId="0" borderId="0" xfId="0" applyNumberFormat="1" applyFont="1"/>
    <xf numFmtId="0" fontId="0" fillId="4" borderId="0" xfId="0" applyFill="1"/>
    <xf numFmtId="0" fontId="0" fillId="0" borderId="145" xfId="0" applyBorder="1" applyAlignment="1">
      <alignment horizontal="center"/>
    </xf>
    <xf numFmtId="0" fontId="0" fillId="0" borderId="145" xfId="0" applyBorder="1" applyAlignment="1">
      <alignment horizontal="centerContinuous"/>
    </xf>
    <xf numFmtId="0" fontId="0" fillId="0" borderId="27" xfId="0" applyBorder="1" applyAlignment="1">
      <alignment horizontal="centerContinuous"/>
    </xf>
    <xf numFmtId="0" fontId="0" fillId="0" borderId="72" xfId="0" applyBorder="1" applyAlignment="1">
      <alignment horizontal="centerContinuous"/>
    </xf>
    <xf numFmtId="0" fontId="0" fillId="0" borderId="60" xfId="0" applyBorder="1" applyAlignment="1">
      <alignment horizontal="centerContinuous"/>
    </xf>
    <xf numFmtId="2" fontId="0" fillId="0" borderId="60" xfId="0" applyNumberFormat="1" applyBorder="1" applyAlignment="1">
      <alignment horizontal="centerContinuous"/>
    </xf>
    <xf numFmtId="168" fontId="1" fillId="0" borderId="0" xfId="1" applyNumberFormat="1" applyFont="1"/>
    <xf numFmtId="2" fontId="0" fillId="0" borderId="27" xfId="0" applyNumberFormat="1" applyBorder="1" applyAlignment="1">
      <alignment horizontal="centerContinuous"/>
    </xf>
    <xf numFmtId="2" fontId="0" fillId="0" borderId="0" xfId="0" applyNumberFormat="1"/>
    <xf numFmtId="0" fontId="0" fillId="0" borderId="75" xfId="0" applyBorder="1" applyAlignment="1">
      <alignment horizontal="center"/>
    </xf>
    <xf numFmtId="0" fontId="0" fillId="0" borderId="75" xfId="0" applyBorder="1" applyAlignment="1">
      <alignment horizontal="centerContinuous"/>
    </xf>
    <xf numFmtId="0" fontId="0" fillId="0" borderId="92" xfId="0" applyBorder="1" applyAlignment="1">
      <alignment horizontal="centerContinuous"/>
    </xf>
    <xf numFmtId="2" fontId="0" fillId="0" borderId="92" xfId="0" applyNumberFormat="1" applyBorder="1" applyAlignment="1">
      <alignment horizontal="centerContinuous"/>
    </xf>
    <xf numFmtId="0" fontId="3" fillId="0" borderId="0" xfId="0" applyFont="1" applyFill="1" applyAlignment="1">
      <alignment horizontal="left"/>
    </xf>
    <xf numFmtId="0" fontId="3" fillId="0" borderId="0" xfId="0" applyFont="1" applyFill="1" applyAlignment="1">
      <alignment horizontal="center"/>
    </xf>
    <xf numFmtId="0" fontId="0" fillId="0" borderId="0" xfId="0" applyAlignment="1">
      <alignment horizontal="right"/>
    </xf>
    <xf numFmtId="2" fontId="0" fillId="0" borderId="72" xfId="0" applyNumberFormat="1" applyBorder="1" applyAlignment="1">
      <alignment horizontal="center"/>
    </xf>
    <xf numFmtId="2" fontId="0" fillId="0" borderId="145" xfId="0" applyNumberFormat="1" applyBorder="1" applyAlignment="1">
      <alignment horizontal="center"/>
    </xf>
    <xf numFmtId="0" fontId="0" fillId="0" borderId="0" xfId="0" applyFill="1" applyBorder="1" applyAlignment="1">
      <alignment horizontal="left"/>
    </xf>
    <xf numFmtId="0" fontId="0" fillId="0" borderId="142" xfId="0" applyBorder="1" applyAlignment="1">
      <alignment horizontal="center"/>
    </xf>
    <xf numFmtId="0" fontId="0" fillId="0" borderId="145" xfId="0" applyBorder="1" applyAlignment="1">
      <alignment horizontal="right"/>
    </xf>
    <xf numFmtId="0" fontId="0" fillId="0" borderId="27" xfId="0" applyBorder="1"/>
    <xf numFmtId="0" fontId="0" fillId="0" borderId="0" xfId="0" applyBorder="1" applyAlignment="1">
      <alignment horizontal="right"/>
    </xf>
    <xf numFmtId="0" fontId="5" fillId="0" borderId="0" xfId="9" applyFont="1" applyFill="1" applyAlignment="1">
      <alignment vertical="center" wrapText="1"/>
    </xf>
    <xf numFmtId="0" fontId="6" fillId="0" borderId="22" xfId="9" applyFont="1" applyFill="1" applyBorder="1" applyAlignment="1">
      <alignment horizontal="center" vertical="center"/>
    </xf>
    <xf numFmtId="0" fontId="5" fillId="0" borderId="0" xfId="0" applyFont="1" applyAlignment="1">
      <alignment horizontal="center" vertical="center"/>
    </xf>
    <xf numFmtId="0" fontId="7" fillId="11" borderId="3" xfId="0" applyFont="1" applyFill="1" applyBorder="1" applyAlignment="1">
      <alignment horizontal="centerContinuous" vertical="center"/>
    </xf>
    <xf numFmtId="0" fontId="0" fillId="0" borderId="74" xfId="0" applyBorder="1" applyAlignment="1">
      <alignment horizontal="center"/>
    </xf>
    <xf numFmtId="0" fontId="0" fillId="0" borderId="72" xfId="0" applyBorder="1" applyAlignment="1">
      <alignment horizontal="center"/>
    </xf>
    <xf numFmtId="0" fontId="0" fillId="0" borderId="60" xfId="0" applyBorder="1" applyAlignment="1">
      <alignment horizontal="center"/>
    </xf>
    <xf numFmtId="0" fontId="0" fillId="0" borderId="0" xfId="0" applyAlignment="1">
      <alignment horizontal="center"/>
    </xf>
    <xf numFmtId="0" fontId="5" fillId="0" borderId="22" xfId="9" applyFont="1" applyFill="1" applyBorder="1" applyAlignment="1">
      <alignment horizontal="center" vertical="center"/>
    </xf>
    <xf numFmtId="0" fontId="5" fillId="0" borderId="142" xfId="9" applyFont="1" applyFill="1" applyBorder="1" applyAlignment="1">
      <alignment horizontal="center" vertical="center"/>
    </xf>
    <xf numFmtId="0" fontId="6" fillId="0" borderId="22" xfId="9" applyFont="1" applyFill="1" applyBorder="1" applyAlignment="1">
      <alignment horizontal="center" vertical="center"/>
    </xf>
    <xf numFmtId="0" fontId="5" fillId="0" borderId="0" xfId="9" applyFont="1" applyFill="1" applyAlignment="1">
      <alignment vertical="center" wrapText="1"/>
    </xf>
    <xf numFmtId="182" fontId="4" fillId="0" borderId="0" xfId="0" applyNumberFormat="1" applyFont="1" applyAlignment="1">
      <alignment horizontal="center" vertical="center"/>
    </xf>
    <xf numFmtId="0" fontId="4" fillId="0" borderId="142" xfId="0" applyFont="1" applyFill="1" applyBorder="1" applyAlignment="1">
      <alignment horizontal="center" vertical="center"/>
    </xf>
    <xf numFmtId="43" fontId="5" fillId="11" borderId="142" xfId="1" applyFont="1" applyFill="1" applyBorder="1" applyAlignment="1">
      <alignment horizontal="center" vertical="center" wrapText="1"/>
    </xf>
    <xf numFmtId="43" fontId="6" fillId="11" borderId="142" xfId="1" applyFont="1" applyFill="1" applyBorder="1" applyAlignment="1">
      <alignment horizontal="center" vertical="center" wrapText="1"/>
    </xf>
    <xf numFmtId="43" fontId="6" fillId="11" borderId="142" xfId="1" applyFont="1" applyFill="1" applyBorder="1" applyAlignment="1">
      <alignment horizontal="center" vertical="center"/>
    </xf>
    <xf numFmtId="43" fontId="5" fillId="0" borderId="142" xfId="1" applyFont="1" applyFill="1" applyBorder="1" applyAlignment="1">
      <alignment horizontal="center" vertical="center" wrapText="1"/>
    </xf>
    <xf numFmtId="43" fontId="0" fillId="0" borderId="0" xfId="0" applyNumberFormat="1" applyAlignment="1">
      <alignment horizontal="center"/>
    </xf>
    <xf numFmtId="43" fontId="27" fillId="0" borderId="0" xfId="1" applyFont="1" applyBorder="1"/>
    <xf numFmtId="43" fontId="27" fillId="0" borderId="60" xfId="1" applyFont="1" applyBorder="1"/>
    <xf numFmtId="43" fontId="27" fillId="0" borderId="72" xfId="1" applyFont="1" applyBorder="1"/>
    <xf numFmtId="43" fontId="27" fillId="0" borderId="0" xfId="0" applyNumberFormat="1" applyFont="1"/>
    <xf numFmtId="168" fontId="5" fillId="0" borderId="142" xfId="1" applyNumberFormat="1" applyFont="1" applyFill="1" applyBorder="1" applyAlignment="1">
      <alignment horizontal="center" vertical="center"/>
    </xf>
    <xf numFmtId="0" fontId="0" fillId="0" borderId="74" xfId="0" applyBorder="1" applyAlignment="1">
      <alignment horizontal="center"/>
    </xf>
    <xf numFmtId="0" fontId="0" fillId="0" borderId="72" xfId="0" applyBorder="1" applyAlignment="1">
      <alignment horizontal="center"/>
    </xf>
    <xf numFmtId="0" fontId="0" fillId="0" borderId="60" xfId="0" applyBorder="1" applyAlignment="1">
      <alignment horizontal="center"/>
    </xf>
    <xf numFmtId="0" fontId="0" fillId="0" borderId="0" xfId="0" applyAlignment="1">
      <alignment horizontal="center"/>
    </xf>
    <xf numFmtId="0" fontId="5" fillId="0" borderId="17" xfId="0" applyFont="1" applyFill="1" applyBorder="1" applyAlignment="1">
      <alignment horizontal="center" vertical="center"/>
    </xf>
    <xf numFmtId="185" fontId="5" fillId="0" borderId="13" xfId="1" applyNumberFormat="1" applyFont="1" applyBorder="1" applyAlignment="1" applyProtection="1">
      <alignment horizontal="center" vertical="center"/>
    </xf>
    <xf numFmtId="43" fontId="5" fillId="0" borderId="13" xfId="1" applyFont="1" applyBorder="1" applyAlignment="1" applyProtection="1">
      <alignment horizontal="center" vertical="center"/>
    </xf>
    <xf numFmtId="185" fontId="5" fillId="0" borderId="142" xfId="1" applyNumberFormat="1" applyFont="1" applyBorder="1" applyAlignment="1" applyProtection="1">
      <alignment horizontal="center" vertical="center"/>
    </xf>
    <xf numFmtId="43" fontId="5" fillId="0" borderId="142" xfId="1" applyFont="1" applyBorder="1" applyAlignment="1" applyProtection="1">
      <alignment horizontal="center" vertical="center"/>
    </xf>
    <xf numFmtId="43" fontId="6" fillId="11" borderId="13" xfId="0" applyNumberFormat="1" applyFont="1" applyFill="1" applyBorder="1" applyAlignment="1">
      <alignment vertical="center" wrapText="1"/>
    </xf>
    <xf numFmtId="0" fontId="6" fillId="11" borderId="13" xfId="0" applyFont="1" applyFill="1" applyBorder="1" applyAlignment="1">
      <alignment vertical="center" wrapText="1"/>
    </xf>
    <xf numFmtId="10" fontId="6" fillId="11" borderId="17" xfId="3" applyNumberFormat="1" applyFont="1" applyFill="1" applyBorder="1" applyAlignment="1">
      <alignment vertical="center" wrapText="1"/>
    </xf>
    <xf numFmtId="0" fontId="6" fillId="11" borderId="17" xfId="0" applyFont="1" applyFill="1" applyBorder="1" applyAlignment="1">
      <alignment vertical="center" wrapText="1"/>
    </xf>
    <xf numFmtId="0" fontId="5" fillId="0" borderId="142" xfId="0" applyFont="1" applyFill="1" applyBorder="1" applyAlignment="1">
      <alignment horizontal="center" vertical="center"/>
    </xf>
    <xf numFmtId="0" fontId="5" fillId="0" borderId="142" xfId="0" applyNumberFormat="1" applyFont="1" applyFill="1" applyBorder="1" applyAlignment="1">
      <alignment horizontal="center" vertical="center"/>
    </xf>
    <xf numFmtId="0" fontId="5" fillId="0" borderId="142" xfId="0" applyFont="1" applyFill="1" applyBorder="1" applyAlignment="1">
      <alignment horizontal="justify" vertical="center" wrapText="1"/>
    </xf>
    <xf numFmtId="43" fontId="31" fillId="0" borderId="72" xfId="1" applyFont="1" applyBorder="1"/>
    <xf numFmtId="43" fontId="30" fillId="0" borderId="60" xfId="1" applyFont="1" applyBorder="1"/>
    <xf numFmtId="43" fontId="31" fillId="0" borderId="0" xfId="1" applyFont="1" applyBorder="1"/>
    <xf numFmtId="43" fontId="31" fillId="0" borderId="60" xfId="1" applyFont="1" applyBorder="1"/>
    <xf numFmtId="43" fontId="31" fillId="0" borderId="75" xfId="1" applyFont="1" applyBorder="1"/>
    <xf numFmtId="43" fontId="31" fillId="0" borderId="76" xfId="1" applyFont="1" applyBorder="1"/>
    <xf numFmtId="43" fontId="31" fillId="0" borderId="92" xfId="1" applyFont="1" applyBorder="1"/>
    <xf numFmtId="0" fontId="0" fillId="0" borderId="72" xfId="0" applyFill="1" applyBorder="1"/>
    <xf numFmtId="0" fontId="5" fillId="0" borderId="6" xfId="0" applyFont="1" applyFill="1" applyBorder="1" applyAlignment="1">
      <alignment horizontal="center" vertical="center"/>
    </xf>
    <xf numFmtId="0" fontId="5" fillId="0" borderId="0" xfId="0" applyFont="1" applyAlignment="1">
      <alignment vertical="center"/>
    </xf>
    <xf numFmtId="0" fontId="5" fillId="0" borderId="0" xfId="9" applyFont="1" applyFill="1" applyAlignment="1">
      <alignment vertical="center" wrapText="1"/>
    </xf>
    <xf numFmtId="0" fontId="6" fillId="0" borderId="22" xfId="9" applyFont="1" applyFill="1" applyBorder="1" applyAlignment="1">
      <alignment horizontal="center" vertical="center"/>
    </xf>
    <xf numFmtId="0" fontId="8" fillId="0" borderId="0" xfId="0" applyFont="1" applyBorder="1" applyAlignment="1">
      <alignment horizontal="center" vertical="center" wrapText="1"/>
    </xf>
    <xf numFmtId="0" fontId="0" fillId="0" borderId="0" xfId="0" applyAlignment="1">
      <alignment horizontal="center"/>
    </xf>
    <xf numFmtId="43" fontId="6" fillId="0" borderId="0" xfId="4" applyNumberFormat="1" applyFont="1" applyFill="1" applyBorder="1" applyAlignment="1">
      <alignment horizontal="center" vertical="center"/>
    </xf>
    <xf numFmtId="43" fontId="5" fillId="0" borderId="0" xfId="4" applyNumberFormat="1" applyFont="1" applyFill="1" applyBorder="1" applyAlignment="1">
      <alignment horizontal="center" vertical="center"/>
    </xf>
    <xf numFmtId="0" fontId="6" fillId="2" borderId="12" xfId="7" applyFont="1" applyBorder="1" applyAlignment="1">
      <alignment horizontal="center" vertical="center"/>
    </xf>
    <xf numFmtId="0" fontId="6" fillId="2" borderId="13" xfId="7" applyFont="1" applyBorder="1" applyAlignment="1">
      <alignment vertical="center"/>
    </xf>
    <xf numFmtId="0" fontId="6" fillId="2" borderId="13" xfId="7" applyFont="1" applyBorder="1" applyAlignment="1">
      <alignment horizontal="center" vertical="center" wrapText="1"/>
    </xf>
    <xf numFmtId="0" fontId="6" fillId="2" borderId="13" xfId="7" applyFont="1" applyBorder="1" applyAlignment="1">
      <alignment horizontal="center" vertical="center"/>
    </xf>
    <xf numFmtId="43" fontId="6" fillId="2" borderId="13" xfId="1" applyFont="1" applyFill="1" applyBorder="1" applyAlignment="1">
      <alignment horizontal="center" vertical="center"/>
    </xf>
    <xf numFmtId="43" fontId="6" fillId="2" borderId="15" xfId="1" applyFont="1" applyFill="1" applyBorder="1" applyAlignment="1">
      <alignment horizontal="center" vertical="center"/>
    </xf>
    <xf numFmtId="168" fontId="6" fillId="2" borderId="0" xfId="1" applyNumberFormat="1" applyFont="1" applyFill="1" applyBorder="1" applyAlignment="1">
      <alignment vertical="center"/>
    </xf>
    <xf numFmtId="0" fontId="5" fillId="0" borderId="22" xfId="0" applyFont="1" applyFill="1" applyBorder="1" applyAlignment="1">
      <alignment horizontal="center" vertical="center"/>
    </xf>
    <xf numFmtId="0" fontId="5" fillId="0" borderId="22" xfId="0" applyFont="1" applyFill="1" applyBorder="1" applyAlignment="1">
      <alignment horizontal="justify" vertical="center" wrapText="1"/>
    </xf>
    <xf numFmtId="0" fontId="5" fillId="0" borderId="22" xfId="0" applyFont="1" applyFill="1" applyBorder="1" applyAlignment="1">
      <alignment horizontal="center" vertical="center" wrapText="1"/>
    </xf>
    <xf numFmtId="168" fontId="5" fillId="0" borderId="22" xfId="1" applyNumberFormat="1" applyFont="1" applyFill="1" applyBorder="1" applyAlignment="1">
      <alignment horizontal="center" vertical="center"/>
    </xf>
    <xf numFmtId="43" fontId="5" fillId="0" borderId="23" xfId="1" applyFont="1" applyFill="1" applyBorder="1" applyAlignment="1">
      <alignment horizontal="center" vertical="center"/>
    </xf>
    <xf numFmtId="43" fontId="6" fillId="0" borderId="19" xfId="1" applyFont="1" applyFill="1" applyBorder="1" applyAlignment="1">
      <alignment horizontal="center" vertical="center"/>
    </xf>
    <xf numFmtId="43" fontId="5" fillId="0" borderId="0" xfId="0" applyNumberFormat="1" applyFont="1" applyAlignment="1">
      <alignment vertical="center"/>
    </xf>
    <xf numFmtId="0" fontId="5" fillId="13" borderId="22" xfId="0" applyFont="1" applyFill="1" applyBorder="1" applyAlignment="1">
      <alignment horizontal="center" vertical="center"/>
    </xf>
    <xf numFmtId="0" fontId="5" fillId="13" borderId="22" xfId="0" applyFont="1" applyFill="1" applyBorder="1" applyAlignment="1">
      <alignment horizontal="center" vertical="center" wrapText="1"/>
    </xf>
    <xf numFmtId="43" fontId="5" fillId="13" borderId="22" xfId="1" applyFont="1" applyFill="1" applyBorder="1" applyAlignment="1">
      <alignment horizontal="center" vertical="center"/>
    </xf>
    <xf numFmtId="168" fontId="5" fillId="13" borderId="142" xfId="1" applyNumberFormat="1" applyFont="1" applyFill="1" applyBorder="1" applyAlignment="1">
      <alignment horizontal="center" vertical="center"/>
    </xf>
    <xf numFmtId="180" fontId="5" fillId="0" borderId="142" xfId="1" applyNumberFormat="1" applyFont="1" applyFill="1" applyBorder="1" applyAlignment="1">
      <alignment vertical="center"/>
    </xf>
    <xf numFmtId="168" fontId="5" fillId="0" borderId="0" xfId="1" applyNumberFormat="1" applyFont="1" applyAlignment="1">
      <alignment vertical="center"/>
    </xf>
    <xf numFmtId="0" fontId="5" fillId="0" borderId="0" xfId="0" applyFont="1" applyAlignment="1">
      <alignment horizontal="left" vertical="center"/>
    </xf>
    <xf numFmtId="0" fontId="5" fillId="0" borderId="0" xfId="0" applyFont="1" applyBorder="1" applyAlignment="1">
      <alignment vertical="center"/>
    </xf>
    <xf numFmtId="43" fontId="5" fillId="0" borderId="0" xfId="1" applyFont="1" applyFill="1" applyBorder="1" applyAlignment="1">
      <alignment horizontal="left" vertical="center"/>
    </xf>
    <xf numFmtId="43" fontId="5" fillId="0" borderId="0" xfId="1" applyFont="1" applyFill="1" applyBorder="1" applyAlignment="1">
      <alignment horizontal="center" vertical="center"/>
    </xf>
    <xf numFmtId="40" fontId="5" fillId="0" borderId="0" xfId="0" applyNumberFormat="1" applyFont="1" applyFill="1" applyBorder="1" applyAlignment="1">
      <alignment horizontal="center" vertical="center"/>
    </xf>
    <xf numFmtId="44" fontId="5" fillId="0" borderId="0" xfId="0" applyNumberFormat="1" applyFont="1" applyAlignment="1">
      <alignment vertical="center"/>
    </xf>
    <xf numFmtId="168" fontId="5" fillId="0" borderId="0" xfId="1" applyNumberFormat="1" applyFont="1" applyFill="1" applyBorder="1" applyAlignment="1">
      <alignment horizontal="center" vertical="center"/>
    </xf>
    <xf numFmtId="0" fontId="5" fillId="0" borderId="0" xfId="0" applyFont="1" applyAlignment="1">
      <alignment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Alignment="1">
      <alignment horizontal="center" vertical="center"/>
    </xf>
    <xf numFmtId="0" fontId="6" fillId="12" borderId="1" xfId="0" applyFont="1" applyFill="1" applyBorder="1" applyAlignment="1">
      <alignment horizontal="centerContinuous" vertical="center"/>
    </xf>
    <xf numFmtId="0" fontId="6" fillId="12" borderId="2" xfId="0" applyFont="1" applyFill="1" applyBorder="1" applyAlignment="1">
      <alignment horizontal="centerContinuous" vertical="center"/>
    </xf>
    <xf numFmtId="0" fontId="5" fillId="0" borderId="0" xfId="0" applyFont="1" applyBorder="1" applyAlignment="1">
      <alignment horizontal="center" vertical="center"/>
    </xf>
    <xf numFmtId="0" fontId="6" fillId="0" borderId="5" xfId="0" applyFont="1" applyFill="1" applyBorder="1" applyAlignment="1">
      <alignment horizontal="left" vertical="center"/>
    </xf>
    <xf numFmtId="165" fontId="5" fillId="0" borderId="10" xfId="1" applyNumberFormat="1" applyFont="1" applyFill="1" applyBorder="1" applyAlignment="1">
      <alignment horizontal="right" vertical="center"/>
    </xf>
    <xf numFmtId="43" fontId="5" fillId="0" borderId="0" xfId="1" applyFont="1" applyAlignment="1">
      <alignment vertical="center"/>
    </xf>
    <xf numFmtId="0" fontId="6" fillId="0" borderId="0" xfId="0" applyFont="1" applyFill="1" applyBorder="1" applyAlignment="1">
      <alignment horizontal="center" vertical="center" wrapText="1"/>
    </xf>
    <xf numFmtId="43" fontId="6" fillId="0" borderId="0" xfId="0" applyNumberFormat="1" applyFont="1" applyFill="1" applyBorder="1" applyAlignment="1">
      <alignment horizontal="center" vertical="center"/>
    </xf>
    <xf numFmtId="43" fontId="5" fillId="0" borderId="0" xfId="0" applyNumberFormat="1" applyFont="1" applyFill="1" applyBorder="1" applyAlignment="1">
      <alignment horizontal="center" vertical="center"/>
    </xf>
    <xf numFmtId="0" fontId="6" fillId="12" borderId="3" xfId="0" applyFont="1" applyFill="1" applyBorder="1" applyAlignment="1">
      <alignment horizontal="centerContinuous" vertical="center"/>
    </xf>
    <xf numFmtId="43" fontId="5" fillId="0" borderId="0" xfId="1" applyFont="1" applyBorder="1" applyAlignment="1">
      <alignment vertical="center"/>
    </xf>
    <xf numFmtId="0" fontId="5" fillId="0" borderId="5" xfId="0" applyFont="1" applyBorder="1" applyAlignment="1">
      <alignment vertical="center" wrapText="1"/>
    </xf>
    <xf numFmtId="0" fontId="5" fillId="0" borderId="0" xfId="0" applyFont="1" applyBorder="1" applyAlignment="1">
      <alignment vertical="center" wrapText="1"/>
    </xf>
    <xf numFmtId="49" fontId="5" fillId="0" borderId="0" xfId="1" quotePrefix="1" applyNumberFormat="1" applyFont="1" applyFill="1" applyBorder="1" applyAlignment="1">
      <alignment horizontal="center" vertical="center" wrapText="1"/>
    </xf>
    <xf numFmtId="0" fontId="5" fillId="0" borderId="10" xfId="0" applyFont="1" applyBorder="1" applyAlignment="1">
      <alignment vertical="center" wrapText="1"/>
    </xf>
    <xf numFmtId="0" fontId="6" fillId="2" borderId="13" xfId="7" applyFont="1" applyBorder="1" applyAlignment="1">
      <alignment horizontal="right" vertical="center" wrapText="1"/>
    </xf>
    <xf numFmtId="182" fontId="5" fillId="0" borderId="0" xfId="0" applyNumberFormat="1" applyFont="1" applyAlignment="1">
      <alignment horizontal="center" vertical="center"/>
    </xf>
    <xf numFmtId="0" fontId="6" fillId="2" borderId="99" xfId="7" applyFont="1" applyBorder="1" applyAlignment="1">
      <alignment horizontal="center" vertical="center"/>
    </xf>
    <xf numFmtId="0" fontId="6" fillId="2" borderId="97" xfId="7" applyFont="1" applyBorder="1" applyAlignment="1">
      <alignment horizontal="center" vertical="center"/>
    </xf>
    <xf numFmtId="0" fontId="6" fillId="2" borderId="99" xfId="7" applyFont="1" applyBorder="1" applyAlignment="1">
      <alignment vertical="center"/>
    </xf>
    <xf numFmtId="0" fontId="5" fillId="0" borderId="22" xfId="0" applyFont="1" applyFill="1" applyBorder="1" applyAlignment="1">
      <alignment horizontal="right" vertical="center" wrapText="1"/>
    </xf>
    <xf numFmtId="43" fontId="6" fillId="0" borderId="17" xfId="1" applyFont="1" applyFill="1" applyBorder="1" applyAlignment="1">
      <alignment horizontal="center" vertical="center"/>
    </xf>
    <xf numFmtId="0" fontId="6" fillId="2" borderId="99" xfId="7" applyFont="1" applyBorder="1" applyAlignment="1">
      <alignment horizontal="right" vertical="center" wrapText="1"/>
    </xf>
    <xf numFmtId="0" fontId="6" fillId="2" borderId="99" xfId="7" applyFont="1" applyBorder="1" applyAlignment="1">
      <alignment horizontal="center" vertical="center" wrapText="1"/>
    </xf>
    <xf numFmtId="43" fontId="6" fillId="2" borderId="99" xfId="1" applyFont="1" applyFill="1" applyBorder="1" applyAlignment="1">
      <alignment horizontal="center" vertical="center"/>
    </xf>
    <xf numFmtId="43" fontId="6" fillId="2" borderId="100" xfId="1" applyFont="1" applyFill="1" applyBorder="1" applyAlignment="1">
      <alignment horizontal="center" vertical="center"/>
    </xf>
    <xf numFmtId="43" fontId="5" fillId="0" borderId="22" xfId="1" applyFont="1" applyFill="1" applyBorder="1" applyAlignment="1">
      <alignment horizontal="right" vertical="center"/>
    </xf>
    <xf numFmtId="0" fontId="6" fillId="2" borderId="22" xfId="7" applyFont="1" applyBorder="1" applyAlignment="1">
      <alignment vertical="center"/>
    </xf>
    <xf numFmtId="0" fontId="6" fillId="2" borderId="22" xfId="7" applyFont="1" applyBorder="1" applyAlignment="1">
      <alignment horizontal="right" vertical="center" wrapText="1"/>
    </xf>
    <xf numFmtId="0" fontId="6" fillId="2" borderId="22" xfId="7" applyFont="1" applyBorder="1" applyAlignment="1">
      <alignment horizontal="center" vertical="center" wrapText="1"/>
    </xf>
    <xf numFmtId="0" fontId="6" fillId="2" borderId="22" xfId="7" applyFont="1" applyBorder="1" applyAlignment="1">
      <alignment horizontal="center" vertical="center"/>
    </xf>
    <xf numFmtId="43" fontId="6" fillId="2" borderId="22" xfId="1" applyFont="1" applyFill="1" applyBorder="1" applyAlignment="1">
      <alignment horizontal="center" vertical="center"/>
    </xf>
    <xf numFmtId="43" fontId="6" fillId="2" borderId="23" xfId="1" applyFont="1" applyFill="1" applyBorder="1" applyAlignment="1">
      <alignment horizontal="center" vertical="center"/>
    </xf>
    <xf numFmtId="43" fontId="5" fillId="0" borderId="0" xfId="1" applyFont="1" applyAlignment="1">
      <alignment horizontal="center" vertical="center"/>
    </xf>
    <xf numFmtId="0" fontId="5" fillId="13" borderId="25" xfId="0" applyFont="1" applyFill="1" applyBorder="1" applyAlignment="1">
      <alignment horizontal="center" vertical="center"/>
    </xf>
    <xf numFmtId="0" fontId="6" fillId="13" borderId="24" xfId="0" applyFont="1" applyFill="1" applyBorder="1" applyAlignment="1">
      <alignment horizontal="centerContinuous" vertical="center"/>
    </xf>
    <xf numFmtId="0" fontId="5" fillId="13" borderId="25" xfId="0" applyFont="1" applyFill="1" applyBorder="1" applyAlignment="1">
      <alignment horizontal="centerContinuous" vertical="center"/>
    </xf>
    <xf numFmtId="43" fontId="5" fillId="0" borderId="142" xfId="1" applyFont="1" applyFill="1" applyBorder="1" applyAlignment="1">
      <alignment horizontal="right" vertical="center"/>
    </xf>
    <xf numFmtId="43" fontId="5" fillId="13" borderId="25" xfId="1" applyFont="1" applyFill="1" applyBorder="1" applyAlignment="1">
      <alignment horizontal="centerContinuous" vertical="center"/>
    </xf>
    <xf numFmtId="40" fontId="5" fillId="13" borderId="25" xfId="0" applyNumberFormat="1" applyFont="1" applyFill="1" applyBorder="1" applyAlignment="1">
      <alignment horizontal="centerContinuous" vertical="center"/>
    </xf>
    <xf numFmtId="43" fontId="6" fillId="13" borderId="25" xfId="1" applyFont="1" applyFill="1" applyBorder="1" applyAlignment="1">
      <alignment horizontal="center" vertical="center"/>
    </xf>
    <xf numFmtId="40" fontId="5" fillId="0" borderId="0" xfId="0" applyNumberFormat="1" applyFont="1" applyAlignment="1">
      <alignment vertical="center"/>
    </xf>
    <xf numFmtId="0" fontId="31" fillId="0" borderId="0" xfId="0" applyFont="1"/>
    <xf numFmtId="0" fontId="32" fillId="0" borderId="21" xfId="14" applyFont="1" applyBorder="1" applyAlignment="1">
      <alignment horizontal="center" vertical="center" wrapText="1"/>
    </xf>
    <xf numFmtId="171" fontId="32" fillId="0" borderId="0" xfId="12" applyFont="1" applyAlignment="1">
      <alignment horizontal="center" vertical="center"/>
    </xf>
    <xf numFmtId="172" fontId="32" fillId="0" borderId="0" xfId="12" applyNumberFormat="1" applyFont="1" applyAlignment="1">
      <alignment vertical="center"/>
    </xf>
    <xf numFmtId="0" fontId="32" fillId="0" borderId="0" xfId="14" applyFont="1" applyAlignment="1">
      <alignment horizontal="center" vertical="center"/>
    </xf>
    <xf numFmtId="0" fontId="31" fillId="0" borderId="0" xfId="15" applyFont="1"/>
    <xf numFmtId="0" fontId="4" fillId="0" borderId="0" xfId="0" applyFont="1" applyAlignment="1">
      <alignment horizontal="center"/>
    </xf>
    <xf numFmtId="0" fontId="4" fillId="0" borderId="0" xfId="0" applyFont="1" applyAlignment="1">
      <alignment horizontal="center" vertical="center"/>
    </xf>
    <xf numFmtId="0" fontId="4" fillId="0" borderId="122" xfId="0" applyFont="1" applyBorder="1" applyAlignment="1">
      <alignment horizontal="center" vertical="center"/>
    </xf>
    <xf numFmtId="0" fontId="4" fillId="0" borderId="133" xfId="0" applyFont="1" applyBorder="1" applyAlignment="1">
      <alignment horizontal="center" vertical="center"/>
    </xf>
    <xf numFmtId="0" fontId="6" fillId="5" borderId="60" xfId="6" applyFont="1" applyFill="1" applyBorder="1" applyAlignment="1">
      <alignment horizontal="center" vertical="center"/>
    </xf>
    <xf numFmtId="0" fontId="6" fillId="5" borderId="152" xfId="6" applyFont="1" applyFill="1" applyBorder="1" applyAlignment="1">
      <alignment horizontal="center" vertical="center"/>
    </xf>
    <xf numFmtId="0" fontId="34" fillId="15" borderId="142" xfId="19" applyFont="1" applyFill="1" applyBorder="1" applyAlignment="1">
      <alignment horizontal="center" vertical="center" wrapText="1"/>
    </xf>
    <xf numFmtId="0" fontId="34" fillId="15" borderId="142" xfId="19" applyFont="1" applyFill="1" applyBorder="1" applyAlignment="1">
      <alignment horizontal="left" vertical="center" wrapText="1"/>
    </xf>
    <xf numFmtId="0" fontId="34" fillId="0" borderId="142" xfId="0" applyFont="1" applyFill="1" applyBorder="1" applyAlignment="1">
      <alignment horizontal="center" vertical="center"/>
    </xf>
    <xf numFmtId="0" fontId="34" fillId="0" borderId="142" xfId="0" applyFont="1" applyFill="1" applyBorder="1" applyAlignment="1">
      <alignment horizontal="justify" vertical="center" wrapText="1"/>
    </xf>
    <xf numFmtId="180" fontId="34" fillId="0" borderId="142" xfId="1" applyNumberFormat="1" applyFont="1" applyFill="1" applyBorder="1" applyAlignment="1">
      <alignment vertical="center"/>
    </xf>
    <xf numFmtId="0" fontId="4" fillId="0" borderId="0" xfId="0" applyFont="1" applyAlignment="1">
      <alignment horizontal="center"/>
    </xf>
    <xf numFmtId="0" fontId="4" fillId="0" borderId="0" xfId="0" applyFont="1" applyAlignment="1">
      <alignment horizontal="center" vertical="center"/>
    </xf>
    <xf numFmtId="43" fontId="6" fillId="0" borderId="0" xfId="4" applyNumberFormat="1" applyFont="1" applyFill="1" applyBorder="1" applyAlignment="1">
      <alignment horizontal="center" vertical="center"/>
    </xf>
    <xf numFmtId="10" fontId="5" fillId="0" borderId="0" xfId="3" applyNumberFormat="1" applyFont="1" applyFill="1" applyBorder="1" applyAlignment="1">
      <alignment horizontal="center" vertical="center"/>
    </xf>
    <xf numFmtId="10" fontId="5" fillId="0" borderId="10" xfId="3" applyNumberFormat="1" applyFont="1" applyFill="1" applyBorder="1" applyAlignment="1">
      <alignment horizontal="center" vertical="center"/>
    </xf>
    <xf numFmtId="0" fontId="5" fillId="0" borderId="22" xfId="9" applyFont="1" applyFill="1" applyBorder="1" applyAlignment="1">
      <alignment horizontal="center" vertical="center"/>
    </xf>
    <xf numFmtId="0" fontId="6" fillId="0" borderId="142" xfId="9"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0" xfId="0" applyFont="1" applyAlignment="1">
      <alignment horizontal="center" vertical="center"/>
    </xf>
    <xf numFmtId="43" fontId="4" fillId="0" borderId="8" xfId="0" applyNumberFormat="1" applyFont="1" applyFill="1" applyBorder="1" applyAlignment="1">
      <alignment horizontal="center" vertical="center"/>
    </xf>
    <xf numFmtId="0" fontId="4" fillId="0" borderId="151" xfId="0" applyFont="1" applyBorder="1" applyAlignment="1">
      <alignment vertical="center"/>
    </xf>
    <xf numFmtId="43" fontId="6" fillId="0" borderId="5" xfId="4" applyNumberFormat="1" applyFont="1" applyFill="1" applyBorder="1" applyAlignment="1">
      <alignment horizontal="centerContinuous" vertical="center"/>
    </xf>
    <xf numFmtId="43" fontId="6" fillId="0" borderId="0" xfId="4" applyNumberFormat="1" applyFont="1" applyFill="1" applyBorder="1" applyAlignment="1">
      <alignment horizontal="centerContinuous" vertical="center"/>
    </xf>
    <xf numFmtId="43" fontId="6" fillId="0" borderId="10" xfId="4" applyNumberFormat="1" applyFont="1" applyFill="1" applyBorder="1" applyAlignment="1">
      <alignment horizontal="centerContinuous" vertical="center"/>
    </xf>
    <xf numFmtId="0" fontId="8" fillId="11" borderId="13" xfId="0" applyFont="1" applyFill="1" applyBorder="1" applyAlignment="1">
      <alignment horizontal="centerContinuous" vertical="center" wrapText="1"/>
    </xf>
    <xf numFmtId="0" fontId="8" fillId="11" borderId="98" xfId="0" applyFont="1" applyFill="1" applyBorder="1" applyAlignment="1">
      <alignment horizontal="centerContinuous" vertical="center" wrapText="1"/>
    </xf>
    <xf numFmtId="0" fontId="8" fillId="11" borderId="17" xfId="0" applyFont="1" applyFill="1" applyBorder="1" applyAlignment="1">
      <alignment horizontal="centerContinuous" vertical="center" wrapText="1"/>
    </xf>
    <xf numFmtId="0" fontId="8" fillId="11" borderId="103" xfId="0" applyFont="1" applyFill="1" applyBorder="1" applyAlignment="1">
      <alignment horizontal="centerContinuous" vertical="center" wrapText="1"/>
    </xf>
    <xf numFmtId="0" fontId="4" fillId="0" borderId="5" xfId="0" applyFont="1" applyBorder="1" applyAlignment="1">
      <alignment horizontal="centerContinuous" vertical="center"/>
    </xf>
    <xf numFmtId="0" fontId="4" fillId="0" borderId="0" xfId="0" applyFont="1" applyBorder="1" applyAlignment="1">
      <alignment horizontal="centerContinuous" vertical="center"/>
    </xf>
    <xf numFmtId="0" fontId="4" fillId="0" borderId="10" xfId="0" applyFont="1" applyBorder="1" applyAlignment="1">
      <alignment horizontal="centerContinuous" vertical="center"/>
    </xf>
    <xf numFmtId="10" fontId="8" fillId="11" borderId="103" xfId="3" applyNumberFormat="1" applyFont="1" applyFill="1" applyBorder="1" applyAlignment="1">
      <alignment horizontal="right" indent="1"/>
    </xf>
    <xf numFmtId="43" fontId="6" fillId="0" borderId="5" xfId="4" applyNumberFormat="1" applyFont="1" applyFill="1" applyBorder="1" applyAlignment="1">
      <alignment horizontal="centerContinuous" vertical="center" wrapText="1"/>
    </xf>
    <xf numFmtId="43" fontId="6" fillId="0" borderId="0" xfId="4" applyNumberFormat="1" applyFont="1" applyFill="1" applyBorder="1" applyAlignment="1">
      <alignment horizontal="centerContinuous" vertical="center" wrapText="1"/>
    </xf>
    <xf numFmtId="43" fontId="6" fillId="0" borderId="10" xfId="4" applyNumberFormat="1" applyFont="1" applyFill="1" applyBorder="1" applyAlignment="1">
      <alignment horizontal="centerContinuous" vertical="center" wrapText="1"/>
    </xf>
    <xf numFmtId="10" fontId="5" fillId="0" borderId="10" xfId="3" applyNumberFormat="1" applyFont="1" applyFill="1" applyBorder="1" applyAlignment="1">
      <alignment horizontal="centerContinuous" vertical="center" wrapText="1"/>
    </xf>
    <xf numFmtId="0" fontId="6" fillId="0" borderId="155" xfId="9" applyFont="1" applyFill="1" applyBorder="1" applyAlignment="1">
      <alignment horizontal="center" vertical="top"/>
    </xf>
    <xf numFmtId="0" fontId="6" fillId="0" borderId="155" xfId="9" applyFont="1" applyFill="1" applyBorder="1" applyAlignment="1">
      <alignment horizontal="center" vertical="center"/>
    </xf>
    <xf numFmtId="0" fontId="8" fillId="0" borderId="99" xfId="0" applyFont="1" applyBorder="1" applyAlignment="1">
      <alignment horizontal="center" vertical="center" wrapText="1"/>
    </xf>
    <xf numFmtId="0" fontId="6" fillId="0" borderId="99" xfId="9" applyFont="1" applyFill="1" applyBorder="1" applyAlignment="1">
      <alignment horizontal="center" vertical="center"/>
    </xf>
    <xf numFmtId="43" fontId="6" fillId="0" borderId="99" xfId="1" applyFont="1" applyFill="1" applyBorder="1" applyAlignment="1">
      <alignment horizontal="left" vertical="center"/>
    </xf>
    <xf numFmtId="0" fontId="8" fillId="2" borderId="1" xfId="7" applyFont="1" applyBorder="1" applyAlignment="1">
      <alignment horizontal="center" vertical="center"/>
    </xf>
    <xf numFmtId="0" fontId="8" fillId="2" borderId="2" xfId="7" applyFont="1" applyBorder="1" applyAlignment="1">
      <alignment vertical="center"/>
    </xf>
    <xf numFmtId="43" fontId="8" fillId="2" borderId="2" xfId="1" applyFont="1" applyFill="1" applyBorder="1" applyAlignment="1">
      <alignment horizontal="left" vertical="center"/>
    </xf>
    <xf numFmtId="0" fontId="8" fillId="2" borderId="2" xfId="7" applyFont="1" applyBorder="1" applyAlignment="1">
      <alignment horizontal="center" vertical="center"/>
    </xf>
    <xf numFmtId="0" fontId="8" fillId="2" borderId="3" xfId="7" applyFont="1" applyBorder="1" applyAlignment="1">
      <alignment horizontal="center" vertical="center"/>
    </xf>
    <xf numFmtId="43" fontId="9" fillId="11" borderId="22" xfId="1" applyFont="1" applyFill="1" applyBorder="1" applyAlignment="1">
      <alignment horizontal="center" vertical="center"/>
    </xf>
    <xf numFmtId="10" fontId="31" fillId="0" borderId="0" xfId="3" applyNumberFormat="1" applyFont="1" applyFill="1" applyBorder="1" applyAlignment="1">
      <alignment horizontal="center" vertical="center"/>
    </xf>
    <xf numFmtId="43" fontId="31" fillId="0" borderId="0" xfId="1" applyFont="1" applyFill="1" applyBorder="1" applyAlignment="1">
      <alignment horizontal="center" vertical="center"/>
    </xf>
    <xf numFmtId="0" fontId="8" fillId="0" borderId="0" xfId="0" applyFont="1" applyAlignment="1">
      <alignment horizontal="center" vertical="center"/>
    </xf>
    <xf numFmtId="0" fontId="0" fillId="0" borderId="60" xfId="0" applyBorder="1" applyAlignment="1">
      <alignment horizontal="center"/>
    </xf>
    <xf numFmtId="0" fontId="0" fillId="0" borderId="0" xfId="0" applyAlignment="1">
      <alignment horizontal="center"/>
    </xf>
    <xf numFmtId="0" fontId="4" fillId="0" borderId="0" xfId="0" applyFont="1" applyAlignment="1">
      <alignment horizontal="center" vertical="center"/>
    </xf>
    <xf numFmtId="17" fontId="5" fillId="0" borderId="5" xfId="4" applyNumberFormat="1" applyFont="1" applyFill="1" applyBorder="1" applyAlignment="1">
      <alignment horizontal="center" vertical="center" wrapText="1"/>
    </xf>
    <xf numFmtId="43" fontId="12" fillId="0" borderId="61" xfId="10" applyFont="1" applyFill="1" applyBorder="1" applyAlignment="1" applyProtection="1">
      <alignment horizontal="center" vertical="center" wrapText="1"/>
    </xf>
    <xf numFmtId="43" fontId="12" fillId="0" borderId="62" xfId="10" applyFont="1" applyFill="1" applyBorder="1" applyAlignment="1" applyProtection="1">
      <alignment horizontal="center" vertical="center" wrapText="1"/>
    </xf>
    <xf numFmtId="43" fontId="12" fillId="0" borderId="63" xfId="10" applyFont="1" applyFill="1" applyBorder="1" applyAlignment="1" applyProtection="1">
      <alignment horizontal="center" vertical="center" wrapText="1"/>
    </xf>
    <xf numFmtId="43" fontId="12" fillId="0" borderId="157" xfId="10" applyFont="1" applyFill="1" applyBorder="1" applyAlignment="1" applyProtection="1">
      <alignment horizontal="center" vertical="center"/>
    </xf>
    <xf numFmtId="173" fontId="11" fillId="0" borderId="158" xfId="10" applyNumberFormat="1" applyFont="1" applyFill="1" applyBorder="1" applyAlignment="1" applyProtection="1">
      <alignment vertical="center"/>
    </xf>
    <xf numFmtId="43" fontId="11" fillId="0" borderId="156" xfId="10" applyFont="1" applyFill="1" applyBorder="1" applyAlignment="1" applyProtection="1">
      <alignment vertical="center"/>
    </xf>
    <xf numFmtId="9" fontId="11" fillId="0" borderId="156" xfId="13" applyFont="1" applyFill="1" applyBorder="1" applyAlignment="1" applyProtection="1">
      <alignment horizontal="center" vertical="center"/>
      <protection locked="0"/>
    </xf>
    <xf numFmtId="170" fontId="11" fillId="0" borderId="164" xfId="8" applyNumberFormat="1" applyFont="1" applyFill="1" applyBorder="1" applyAlignment="1" applyProtection="1">
      <alignment horizontal="center" vertical="center"/>
    </xf>
    <xf numFmtId="172" fontId="11" fillId="0" borderId="162" xfId="12" applyNumberFormat="1" applyFont="1" applyFill="1" applyBorder="1" applyAlignment="1" applyProtection="1">
      <alignment horizontal="center" vertical="center"/>
      <protection locked="0"/>
    </xf>
    <xf numFmtId="172" fontId="11" fillId="0" borderId="165" xfId="12" applyNumberFormat="1" applyFont="1" applyFill="1" applyBorder="1" applyAlignment="1" applyProtection="1">
      <alignment horizontal="center" vertical="center"/>
      <protection locked="0"/>
    </xf>
    <xf numFmtId="43" fontId="11" fillId="0" borderId="162" xfId="10" applyFont="1" applyFill="1" applyBorder="1" applyAlignment="1" applyProtection="1">
      <alignment vertical="center"/>
    </xf>
    <xf numFmtId="43" fontId="11" fillId="0" borderId="162" xfId="10" applyFont="1" applyFill="1" applyBorder="1" applyAlignment="1" applyProtection="1">
      <alignment horizontal="center" vertical="center"/>
      <protection locked="0"/>
    </xf>
    <xf numFmtId="43" fontId="11" fillId="0" borderId="163" xfId="10" applyFont="1" applyFill="1" applyBorder="1" applyAlignment="1" applyProtection="1">
      <alignment horizontal="center" vertical="center"/>
      <protection locked="0"/>
    </xf>
    <xf numFmtId="43" fontId="11" fillId="9" borderId="166" xfId="10" applyFont="1" applyFill="1" applyBorder="1" applyAlignment="1" applyProtection="1">
      <alignment horizontal="right" vertical="center"/>
      <protection locked="0"/>
    </xf>
    <xf numFmtId="43" fontId="11" fillId="9" borderId="167" xfId="10" applyFont="1" applyFill="1" applyBorder="1" applyAlignment="1" applyProtection="1">
      <alignment horizontal="right" vertical="center"/>
      <protection locked="0"/>
    </xf>
    <xf numFmtId="43" fontId="11" fillId="0" borderId="168" xfId="10" applyFont="1" applyFill="1" applyBorder="1" applyAlignment="1" applyProtection="1">
      <alignment horizontal="center" vertical="center"/>
      <protection locked="0"/>
    </xf>
    <xf numFmtId="43" fontId="11" fillId="9" borderId="165" xfId="10" applyFont="1" applyFill="1" applyBorder="1" applyAlignment="1" applyProtection="1">
      <alignment horizontal="right" vertical="center"/>
      <protection locked="0"/>
    </xf>
    <xf numFmtId="43" fontId="10" fillId="0" borderId="169" xfId="10" applyFont="1" applyFill="1" applyBorder="1" applyAlignment="1" applyProtection="1">
      <alignment horizontal="center" vertical="center"/>
      <protection locked="0"/>
    </xf>
    <xf numFmtId="172" fontId="11" fillId="0" borderId="170" xfId="12" applyNumberFormat="1" applyFont="1" applyFill="1" applyBorder="1" applyAlignment="1" applyProtection="1">
      <alignment horizontal="center" vertical="center"/>
      <protection locked="0"/>
    </xf>
    <xf numFmtId="172" fontId="10" fillId="0" borderId="171" xfId="12" applyNumberFormat="1" applyFont="1" applyFill="1" applyBorder="1" applyAlignment="1" applyProtection="1">
      <alignment horizontal="center" vertical="center"/>
      <protection locked="0"/>
    </xf>
    <xf numFmtId="172" fontId="11" fillId="0" borderId="173" xfId="12" applyNumberFormat="1" applyFont="1" applyFill="1" applyBorder="1" applyAlignment="1" applyProtection="1">
      <alignment horizontal="center" vertical="center"/>
      <protection locked="0"/>
    </xf>
    <xf numFmtId="172" fontId="10" fillId="0" borderId="174" xfId="12" applyNumberFormat="1" applyFont="1" applyFill="1" applyBorder="1" applyAlignment="1" applyProtection="1">
      <alignment horizontal="center" vertical="center"/>
      <protection locked="0"/>
    </xf>
    <xf numFmtId="179" fontId="4" fillId="0" borderId="0" xfId="0" applyNumberFormat="1" applyFont="1" applyAlignment="1">
      <alignment vertical="top"/>
    </xf>
    <xf numFmtId="0" fontId="4" fillId="0" borderId="0" xfId="0" applyFont="1" applyAlignment="1">
      <alignment horizontal="center" vertical="center"/>
    </xf>
    <xf numFmtId="0" fontId="5" fillId="0" borderId="22" xfId="9" applyFont="1" applyFill="1" applyBorder="1" applyAlignment="1">
      <alignment horizontal="center" vertical="center" wrapText="1"/>
    </xf>
    <xf numFmtId="0" fontId="5" fillId="0" borderId="0" xfId="9" applyFont="1" applyFill="1" applyAlignment="1">
      <alignment vertical="center" wrapText="1"/>
    </xf>
    <xf numFmtId="0" fontId="6" fillId="0" borderId="22" xfId="9" applyFont="1" applyFill="1" applyBorder="1" applyAlignment="1">
      <alignment horizontal="center" vertical="center"/>
    </xf>
    <xf numFmtId="0" fontId="5" fillId="0" borderId="22" xfId="9" applyFont="1" applyFill="1" applyBorder="1" applyAlignment="1">
      <alignment horizontal="center" vertical="center"/>
    </xf>
    <xf numFmtId="0" fontId="4" fillId="0" borderId="0" xfId="0" applyFont="1" applyAlignment="1">
      <alignment horizontal="center" vertical="center"/>
    </xf>
    <xf numFmtId="0" fontId="5" fillId="0" borderId="99" xfId="0" applyFont="1" applyFill="1" applyBorder="1" applyAlignment="1">
      <alignment horizontal="center" vertical="center"/>
    </xf>
    <xf numFmtId="0" fontId="8" fillId="2" borderId="99" xfId="7" applyFont="1" applyBorder="1" applyAlignment="1">
      <alignment vertical="center"/>
    </xf>
    <xf numFmtId="0" fontId="8" fillId="2" borderId="99" xfId="7" applyFont="1" applyBorder="1" applyAlignment="1">
      <alignment horizontal="right" vertical="center" wrapText="1"/>
    </xf>
    <xf numFmtId="0" fontId="8" fillId="2" borderId="99" xfId="7" applyFont="1" applyBorder="1" applyAlignment="1">
      <alignment horizontal="center" vertical="center" wrapText="1"/>
    </xf>
    <xf numFmtId="43" fontId="8" fillId="2" borderId="99" xfId="1" applyFont="1" applyFill="1" applyBorder="1" applyAlignment="1">
      <alignment horizontal="center" vertical="center"/>
    </xf>
    <xf numFmtId="43" fontId="8" fillId="2" borderId="100" xfId="1" applyFont="1" applyFill="1" applyBorder="1" applyAlignment="1">
      <alignment horizontal="center" vertical="center"/>
    </xf>
    <xf numFmtId="0" fontId="6" fillId="0" borderId="126" xfId="4" applyFont="1" applyFill="1" applyBorder="1" applyAlignment="1">
      <alignment horizontal="centerContinuous" vertical="center"/>
    </xf>
    <xf numFmtId="0" fontId="6" fillId="0" borderId="87" xfId="4" applyFont="1" applyFill="1" applyBorder="1" applyAlignment="1">
      <alignment horizontal="centerContinuous" vertical="center"/>
    </xf>
    <xf numFmtId="0" fontId="6" fillId="0" borderId="27" xfId="4" applyFont="1" applyFill="1" applyBorder="1" applyAlignment="1">
      <alignment horizontal="centerContinuous" vertical="center"/>
    </xf>
    <xf numFmtId="43" fontId="6" fillId="0" borderId="175" xfId="1" applyFont="1" applyFill="1" applyBorder="1" applyAlignment="1">
      <alignment horizontal="center" vertical="center"/>
    </xf>
    <xf numFmtId="0" fontId="5" fillId="0" borderId="169" xfId="9" applyFont="1" applyFill="1" applyBorder="1" applyAlignment="1">
      <alignment horizontal="center" vertical="center"/>
    </xf>
    <xf numFmtId="9" fontId="5" fillId="0" borderId="0" xfId="3" applyFont="1" applyFill="1" applyBorder="1" applyAlignment="1">
      <alignment vertical="center"/>
    </xf>
    <xf numFmtId="0" fontId="4" fillId="0" borderId="0" xfId="0" applyFont="1" applyAlignment="1">
      <alignment horizontal="center" vertical="center"/>
    </xf>
    <xf numFmtId="0" fontId="6" fillId="0" borderId="22" xfId="9" applyFont="1" applyFill="1" applyBorder="1" applyAlignment="1">
      <alignment horizontal="center" vertical="center"/>
    </xf>
    <xf numFmtId="0" fontId="5" fillId="0" borderId="22" xfId="9" applyFont="1" applyFill="1" applyBorder="1" applyAlignment="1">
      <alignment horizontal="center" vertical="center"/>
    </xf>
    <xf numFmtId="0" fontId="5" fillId="0" borderId="0" xfId="9" applyFont="1" applyFill="1" applyAlignment="1">
      <alignment vertical="center" wrapText="1"/>
    </xf>
    <xf numFmtId="43" fontId="5" fillId="11" borderId="22" xfId="9" applyNumberFormat="1" applyFont="1" applyFill="1" applyBorder="1" applyAlignment="1">
      <alignment horizontal="center" vertical="center"/>
    </xf>
    <xf numFmtId="1" fontId="5" fillId="0" borderId="0" xfId="0" applyNumberFormat="1" applyFont="1" applyAlignment="1">
      <alignment horizontal="center" vertical="center"/>
    </xf>
    <xf numFmtId="0" fontId="4" fillId="0" borderId="0" xfId="0" applyFont="1" applyAlignment="1">
      <alignment horizontal="center" vertical="center"/>
    </xf>
    <xf numFmtId="0" fontId="19" fillId="0" borderId="0" xfId="0" applyFont="1" applyAlignment="1">
      <alignment horizontal="center" vertical="center"/>
    </xf>
    <xf numFmtId="0" fontId="12" fillId="0" borderId="32" xfId="9" applyFont="1" applyFill="1" applyBorder="1" applyAlignment="1" applyProtection="1">
      <alignment horizontal="center" vertical="center"/>
    </xf>
    <xf numFmtId="0" fontId="12" fillId="0" borderId="183" xfId="9" applyFont="1" applyFill="1" applyBorder="1" applyAlignment="1" applyProtection="1">
      <alignment horizontal="center" vertical="center"/>
    </xf>
    <xf numFmtId="0" fontId="12" fillId="0" borderId="60" xfId="9" applyFont="1" applyBorder="1" applyAlignment="1">
      <alignment horizontal="center" vertical="center" wrapText="1"/>
    </xf>
    <xf numFmtId="0" fontId="12" fillId="0" borderId="183" xfId="9" applyFont="1" applyBorder="1" applyAlignment="1">
      <alignment horizontal="center" vertical="center"/>
    </xf>
    <xf numFmtId="0" fontId="5" fillId="0" borderId="10" xfId="4" applyFont="1" applyFill="1" applyBorder="1" applyAlignment="1">
      <alignment horizontal="center" vertical="center" wrapText="1"/>
    </xf>
    <xf numFmtId="0" fontId="4" fillId="0" borderId="0" xfId="0" applyFont="1" applyAlignment="1">
      <alignment horizontal="center" vertical="center"/>
    </xf>
    <xf numFmtId="0" fontId="31" fillId="0" borderId="0" xfId="0" applyFont="1" applyFill="1" applyAlignment="1">
      <alignment vertical="center"/>
    </xf>
    <xf numFmtId="0" fontId="31" fillId="0" borderId="0" xfId="0" applyFont="1" applyFill="1" applyAlignment="1">
      <alignment horizontal="center" vertical="center"/>
    </xf>
    <xf numFmtId="0" fontId="36" fillId="0" borderId="0" xfId="0" applyFont="1" applyFill="1" applyAlignment="1">
      <alignment horizontal="left" vertical="center"/>
    </xf>
    <xf numFmtId="184" fontId="31" fillId="0" borderId="0" xfId="0" applyNumberFormat="1" applyFont="1" applyFill="1" applyAlignment="1">
      <alignment vertical="center"/>
    </xf>
    <xf numFmtId="186" fontId="37" fillId="0" borderId="184" xfId="0" applyNumberFormat="1" applyFont="1" applyBorder="1" applyAlignment="1">
      <alignment horizontal="center"/>
    </xf>
    <xf numFmtId="186" fontId="38" fillId="0" borderId="184" xfId="0" applyNumberFormat="1" applyFont="1" applyBorder="1" applyAlignment="1">
      <alignment horizontal="center"/>
    </xf>
    <xf numFmtId="0" fontId="39" fillId="0" borderId="0" xfId="0" applyFont="1" applyFill="1" applyBorder="1" applyAlignment="1">
      <alignment horizontal="center" vertical="center"/>
    </xf>
    <xf numFmtId="0" fontId="39" fillId="0" borderId="4" xfId="0" applyFont="1" applyFill="1" applyBorder="1" applyAlignment="1">
      <alignment horizontal="center" vertical="center"/>
    </xf>
    <xf numFmtId="0" fontId="39" fillId="0" borderId="5"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3" xfId="0" applyFont="1" applyFill="1" applyBorder="1" applyAlignment="1">
      <alignment horizontal="center" vertical="center"/>
    </xf>
    <xf numFmtId="0" fontId="10" fillId="0" borderId="0" xfId="0" applyFont="1" applyFill="1" applyBorder="1" applyAlignment="1">
      <alignment horizontal="center" vertical="center" wrapText="1"/>
    </xf>
    <xf numFmtId="180" fontId="40" fillId="0" borderId="184" xfId="1"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98" xfId="0" applyFont="1" applyFill="1" applyBorder="1" applyAlignment="1">
      <alignment horizontal="center" vertical="center"/>
    </xf>
    <xf numFmtId="184" fontId="11" fillId="0" borderId="103" xfId="9" applyNumberFormat="1" applyFont="1" applyFill="1" applyBorder="1" applyAlignment="1">
      <alignment horizontal="center" vertical="center"/>
    </xf>
    <xf numFmtId="184" fontId="11" fillId="0" borderId="19" xfId="9" applyNumberFormat="1" applyFont="1" applyFill="1" applyBorder="1" applyAlignment="1">
      <alignment horizontal="center" vertical="center"/>
    </xf>
    <xf numFmtId="0" fontId="11" fillId="0" borderId="200" xfId="0" applyFont="1" applyFill="1" applyBorder="1" applyAlignment="1">
      <alignment horizontal="center" vertical="center" wrapText="1"/>
    </xf>
    <xf numFmtId="0" fontId="11" fillId="0" borderId="201" xfId="0" applyFont="1" applyFill="1" applyBorder="1" applyAlignment="1">
      <alignment horizontal="center" vertical="center" wrapText="1"/>
    </xf>
    <xf numFmtId="0" fontId="11" fillId="0" borderId="202"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204"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41" fillId="0" borderId="184" xfId="0" applyFont="1" applyBorder="1" applyAlignment="1">
      <alignment horizontal="center" wrapText="1"/>
    </xf>
    <xf numFmtId="0" fontId="42" fillId="0" borderId="184" xfId="0" applyFont="1" applyBorder="1" applyAlignment="1">
      <alignment horizontal="center" wrapText="1"/>
    </xf>
    <xf numFmtId="0" fontId="43" fillId="0" borderId="184" xfId="0" applyFont="1" applyBorder="1" applyAlignment="1">
      <alignment horizontal="center"/>
    </xf>
    <xf numFmtId="184" fontId="11" fillId="0" borderId="207" xfId="9" applyNumberFormat="1" applyFont="1" applyFill="1" applyBorder="1" applyAlignment="1">
      <alignment horizontal="center" vertical="center"/>
    </xf>
    <xf numFmtId="187" fontId="11" fillId="0" borderId="208" xfId="0" applyNumberFormat="1" applyFont="1" applyFill="1" applyBorder="1" applyAlignment="1">
      <alignment horizontal="center" vertical="center" wrapText="1"/>
    </xf>
    <xf numFmtId="43" fontId="11" fillId="0" borderId="209" xfId="0" applyNumberFormat="1" applyFont="1" applyFill="1" applyBorder="1" applyAlignment="1">
      <alignment horizontal="center" vertical="center" wrapText="1"/>
    </xf>
    <xf numFmtId="180" fontId="11" fillId="0" borderId="210" xfId="1" applyNumberFormat="1" applyFont="1" applyFill="1" applyBorder="1" applyAlignment="1">
      <alignment horizontal="center" vertical="center" wrapText="1"/>
    </xf>
    <xf numFmtId="180" fontId="11" fillId="0" borderId="208" xfId="1" applyNumberFormat="1" applyFont="1" applyFill="1" applyBorder="1" applyAlignment="1">
      <alignment horizontal="center" vertical="center" wrapText="1"/>
    </xf>
    <xf numFmtId="43" fontId="11" fillId="0" borderId="208" xfId="0" applyNumberFormat="1" applyFont="1" applyFill="1" applyBorder="1" applyAlignment="1">
      <alignment horizontal="center" vertical="center" wrapText="1"/>
    </xf>
    <xf numFmtId="43" fontId="11" fillId="0" borderId="208" xfId="1" applyFont="1" applyFill="1" applyBorder="1" applyAlignment="1">
      <alignment horizontal="center" vertical="center" wrapText="1"/>
    </xf>
    <xf numFmtId="180" fontId="11" fillId="0" borderId="209" xfId="1" applyNumberFormat="1" applyFont="1" applyFill="1" applyBorder="1" applyAlignment="1">
      <alignment horizontal="center" vertical="center" wrapText="1"/>
    </xf>
    <xf numFmtId="180" fontId="11" fillId="0" borderId="184" xfId="1" applyNumberFormat="1" applyFont="1" applyFill="1" applyBorder="1" applyAlignment="1">
      <alignment horizontal="center" vertical="center" wrapText="1"/>
    </xf>
    <xf numFmtId="180" fontId="11" fillId="0" borderId="211" xfId="1" applyNumberFormat="1" applyFont="1" applyFill="1" applyBorder="1" applyAlignment="1">
      <alignment horizontal="center" vertical="center" wrapText="1"/>
    </xf>
    <xf numFmtId="180" fontId="11" fillId="0" borderId="185" xfId="1" applyNumberFormat="1" applyFont="1" applyFill="1" applyBorder="1" applyAlignment="1">
      <alignment horizontal="center" vertical="center" wrapText="1"/>
    </xf>
    <xf numFmtId="0" fontId="42" fillId="0" borderId="184" xfId="0" applyFont="1" applyBorder="1" applyAlignment="1">
      <alignment horizontal="left" wrapText="1"/>
    </xf>
    <xf numFmtId="0" fontId="0" fillId="0" borderId="184" xfId="0" applyBorder="1" applyAlignment="1">
      <alignment horizontal="left" wrapText="1"/>
    </xf>
    <xf numFmtId="184" fontId="42" fillId="0" borderId="184" xfId="0" applyNumberFormat="1" applyFont="1" applyBorder="1" applyAlignment="1">
      <alignment horizontal="center"/>
    </xf>
    <xf numFmtId="186" fontId="41" fillId="0" borderId="184" xfId="0" applyNumberFormat="1" applyFont="1" applyBorder="1" applyAlignment="1">
      <alignment horizontal="center"/>
    </xf>
    <xf numFmtId="0" fontId="42" fillId="0" borderId="184" xfId="0" applyFont="1" applyBorder="1" applyAlignment="1">
      <alignment horizontal="center"/>
    </xf>
    <xf numFmtId="188" fontId="44" fillId="0" borderId="212" xfId="0" applyNumberFormat="1" applyFont="1" applyBorder="1" applyAlignment="1">
      <alignment horizontal="center"/>
    </xf>
    <xf numFmtId="188" fontId="44" fillId="0" borderId="187" xfId="0" applyNumberFormat="1" applyFont="1" applyBorder="1" applyAlignment="1">
      <alignment horizontal="center"/>
    </xf>
    <xf numFmtId="168" fontId="44" fillId="0" borderId="187" xfId="1" applyNumberFormat="1" applyFont="1" applyBorder="1" applyAlignment="1">
      <alignment horizontal="center"/>
    </xf>
    <xf numFmtId="188" fontId="44" fillId="0" borderId="184" xfId="0" applyNumberFormat="1" applyFont="1" applyBorder="1" applyAlignment="1">
      <alignment horizontal="center"/>
    </xf>
    <xf numFmtId="188" fontId="44" fillId="0" borderId="211" xfId="0" applyNumberFormat="1" applyFont="1" applyBorder="1" applyAlignment="1">
      <alignment horizontal="center"/>
    </xf>
    <xf numFmtId="184" fontId="11" fillId="0" borderId="126" xfId="9" applyNumberFormat="1" applyFont="1" applyFill="1" applyBorder="1" applyAlignment="1">
      <alignment horizontal="center" vertical="center"/>
    </xf>
    <xf numFmtId="187" fontId="11" fillId="0" borderId="213" xfId="0" applyNumberFormat="1" applyFont="1" applyFill="1" applyBorder="1" applyAlignment="1">
      <alignment horizontal="center" vertical="center" wrapText="1"/>
    </xf>
    <xf numFmtId="43" fontId="11" fillId="0" borderId="214" xfId="0" applyNumberFormat="1" applyFont="1" applyFill="1" applyBorder="1" applyAlignment="1">
      <alignment horizontal="center" vertical="center" wrapText="1"/>
    </xf>
    <xf numFmtId="180" fontId="11" fillId="0" borderId="215" xfId="1" applyNumberFormat="1" applyFont="1" applyFill="1" applyBorder="1" applyAlignment="1">
      <alignment horizontal="center" vertical="center" wrapText="1"/>
    </xf>
    <xf numFmtId="180" fontId="11" fillId="0" borderId="213" xfId="1" applyNumberFormat="1" applyFont="1" applyFill="1" applyBorder="1" applyAlignment="1">
      <alignment horizontal="center" vertical="center" wrapText="1"/>
    </xf>
    <xf numFmtId="43" fontId="11" fillId="0" borderId="213" xfId="0" applyNumberFormat="1" applyFont="1" applyFill="1" applyBorder="1" applyAlignment="1">
      <alignment horizontal="center" vertical="center" wrapText="1"/>
    </xf>
    <xf numFmtId="43" fontId="11" fillId="0" borderId="213" xfId="1" applyFont="1" applyFill="1" applyBorder="1" applyAlignment="1">
      <alignment horizontal="center" vertical="center" wrapText="1"/>
    </xf>
    <xf numFmtId="180" fontId="11" fillId="0" borderId="214" xfId="1" applyNumberFormat="1" applyFont="1" applyFill="1" applyBorder="1" applyAlignment="1">
      <alignment horizontal="center" vertical="center" wrapText="1"/>
    </xf>
    <xf numFmtId="184" fontId="11" fillId="0" borderId="216" xfId="9" applyNumberFormat="1" applyFont="1" applyFill="1" applyBorder="1" applyAlignment="1">
      <alignment horizontal="center" vertical="center"/>
    </xf>
    <xf numFmtId="187" fontId="11" fillId="0" borderId="206" xfId="0" applyNumberFormat="1" applyFont="1" applyFill="1" applyBorder="1" applyAlignment="1">
      <alignment horizontal="center" vertical="center" wrapText="1"/>
    </xf>
    <xf numFmtId="43" fontId="11" fillId="0" borderId="217" xfId="0" applyNumberFormat="1" applyFont="1" applyFill="1" applyBorder="1" applyAlignment="1">
      <alignment horizontal="center" vertical="center" wrapText="1"/>
    </xf>
    <xf numFmtId="180" fontId="11" fillId="0" borderId="218" xfId="1" applyNumberFormat="1" applyFont="1" applyFill="1" applyBorder="1" applyAlignment="1">
      <alignment horizontal="center" vertical="center" wrapText="1"/>
    </xf>
    <xf numFmtId="180" fontId="11" fillId="0" borderId="206" xfId="1" applyNumberFormat="1" applyFont="1" applyFill="1" applyBorder="1" applyAlignment="1">
      <alignment horizontal="center" vertical="center" wrapText="1"/>
    </xf>
    <xf numFmtId="43" fontId="11" fillId="0" borderId="206" xfId="0" applyNumberFormat="1" applyFont="1" applyFill="1" applyBorder="1" applyAlignment="1">
      <alignment horizontal="center" vertical="center" wrapText="1"/>
    </xf>
    <xf numFmtId="43" fontId="11" fillId="0" borderId="206" xfId="1" applyFont="1" applyFill="1" applyBorder="1" applyAlignment="1">
      <alignment horizontal="center" vertical="center" wrapText="1"/>
    </xf>
    <xf numFmtId="180" fontId="11" fillId="0" borderId="217" xfId="1" applyNumberFormat="1" applyFont="1" applyFill="1" applyBorder="1" applyAlignment="1">
      <alignment horizontal="center" vertical="center" wrapText="1"/>
    </xf>
    <xf numFmtId="187" fontId="11" fillId="0" borderId="184" xfId="0" applyNumberFormat="1" applyFont="1" applyFill="1" applyBorder="1" applyAlignment="1">
      <alignment horizontal="center" vertical="center" wrapText="1"/>
    </xf>
    <xf numFmtId="43" fontId="11" fillId="0" borderId="211" xfId="0" applyNumberFormat="1" applyFont="1" applyFill="1" applyBorder="1" applyAlignment="1">
      <alignment horizontal="center" vertical="center" wrapText="1"/>
    </xf>
    <xf numFmtId="180" fontId="11" fillId="0" borderId="212" xfId="1" applyNumberFormat="1" applyFont="1" applyFill="1" applyBorder="1" applyAlignment="1">
      <alignment horizontal="center" vertical="center" wrapText="1"/>
    </xf>
    <xf numFmtId="43" fontId="11" fillId="0" borderId="184" xfId="0" applyNumberFormat="1" applyFont="1" applyFill="1" applyBorder="1" applyAlignment="1">
      <alignment horizontal="center" vertical="center" wrapText="1"/>
    </xf>
    <xf numFmtId="43" fontId="11" fillId="0" borderId="184" xfId="1" applyFont="1" applyFill="1" applyBorder="1" applyAlignment="1">
      <alignment horizontal="center" vertical="center" wrapText="1"/>
    </xf>
    <xf numFmtId="184" fontId="11" fillId="0" borderId="123" xfId="9" applyNumberFormat="1" applyFont="1" applyFill="1" applyBorder="1" applyAlignment="1">
      <alignment horizontal="center" vertical="center"/>
    </xf>
    <xf numFmtId="187" fontId="11" fillId="0" borderId="201" xfId="0" applyNumberFormat="1" applyFont="1" applyFill="1" applyBorder="1" applyAlignment="1">
      <alignment horizontal="center" vertical="center" wrapText="1"/>
    </xf>
    <xf numFmtId="43" fontId="11" fillId="0" borderId="202" xfId="0" applyNumberFormat="1" applyFont="1" applyFill="1" applyBorder="1" applyAlignment="1">
      <alignment horizontal="center" vertical="center" wrapText="1"/>
    </xf>
    <xf numFmtId="180" fontId="11" fillId="0" borderId="200" xfId="1" applyNumberFormat="1" applyFont="1" applyFill="1" applyBorder="1" applyAlignment="1">
      <alignment horizontal="center" vertical="center" wrapText="1"/>
    </xf>
    <xf numFmtId="180" fontId="11" fillId="0" borderId="201" xfId="1" applyNumberFormat="1" applyFont="1" applyFill="1" applyBorder="1" applyAlignment="1">
      <alignment horizontal="center" vertical="center" wrapText="1"/>
    </xf>
    <xf numFmtId="43" fontId="11" fillId="0" borderId="201" xfId="0" applyNumberFormat="1" applyFont="1" applyFill="1" applyBorder="1" applyAlignment="1">
      <alignment horizontal="center" vertical="center" wrapText="1"/>
    </xf>
    <xf numFmtId="43" fontId="11" fillId="0" borderId="201" xfId="1" applyFont="1" applyFill="1" applyBorder="1" applyAlignment="1">
      <alignment horizontal="center" vertical="center" wrapText="1"/>
    </xf>
    <xf numFmtId="180" fontId="11" fillId="0" borderId="202" xfId="1" applyNumberFormat="1" applyFont="1" applyFill="1" applyBorder="1" applyAlignment="1">
      <alignment horizontal="center" vertical="center" wrapText="1"/>
    </xf>
    <xf numFmtId="0" fontId="5" fillId="4" borderId="22" xfId="0" applyFont="1" applyFill="1" applyBorder="1" applyAlignment="1">
      <alignment horizontal="justify" vertical="center" wrapText="1"/>
    </xf>
    <xf numFmtId="43" fontId="5" fillId="4" borderId="22" xfId="1" applyFont="1" applyFill="1" applyBorder="1" applyAlignment="1">
      <alignment horizontal="center" vertical="center"/>
    </xf>
    <xf numFmtId="43" fontId="5" fillId="4" borderId="23" xfId="1" applyFont="1" applyFill="1" applyBorder="1" applyAlignment="1">
      <alignment horizontal="center" vertical="center"/>
    </xf>
    <xf numFmtId="10" fontId="4" fillId="0" borderId="0" xfId="0" applyNumberFormat="1" applyFont="1"/>
    <xf numFmtId="0" fontId="4" fillId="0" borderId="0" xfId="0" applyFont="1" applyAlignment="1">
      <alignment horizontal="center" vertical="center"/>
    </xf>
    <xf numFmtId="0" fontId="6" fillId="0" borderId="22" xfId="9" applyFont="1" applyFill="1" applyBorder="1" applyAlignment="1">
      <alignment horizontal="center" vertical="center"/>
    </xf>
    <xf numFmtId="0" fontId="5" fillId="0" borderId="22" xfId="9" applyFont="1" applyFill="1" applyBorder="1" applyAlignment="1">
      <alignment horizontal="center" vertical="center" wrapText="1"/>
    </xf>
    <xf numFmtId="0" fontId="5" fillId="0" borderId="142" xfId="9" applyFont="1" applyFill="1" applyBorder="1" applyAlignment="1">
      <alignment horizontal="center" vertical="center" wrapText="1"/>
    </xf>
    <xf numFmtId="0" fontId="5" fillId="0" borderId="22" xfId="9" applyFont="1" applyFill="1" applyBorder="1" applyAlignment="1">
      <alignment horizontal="center" vertical="center"/>
    </xf>
    <xf numFmtId="0" fontId="5" fillId="0" borderId="0" xfId="9" applyFont="1" applyFill="1" applyAlignment="1">
      <alignment vertical="center" wrapText="1"/>
    </xf>
    <xf numFmtId="0" fontId="5" fillId="0" borderId="99" xfId="9" applyFont="1" applyFill="1" applyBorder="1" applyAlignment="1">
      <alignment horizontal="center" vertical="center" wrapText="1"/>
    </xf>
    <xf numFmtId="0" fontId="6" fillId="0" borderId="142" xfId="9" applyFont="1" applyFill="1" applyBorder="1" applyAlignment="1">
      <alignment horizontal="center" vertical="center" wrapText="1"/>
    </xf>
    <xf numFmtId="0" fontId="0" fillId="0" borderId="0" xfId="0" applyBorder="1" applyAlignment="1">
      <alignment horizontal="center"/>
    </xf>
    <xf numFmtId="0" fontId="0" fillId="0" borderId="0" xfId="0" applyAlignment="1">
      <alignment horizontal="center"/>
    </xf>
    <xf numFmtId="0" fontId="4" fillId="0" borderId="0" xfId="0" applyFont="1" applyAlignment="1">
      <alignment horizontal="center" vertical="center"/>
    </xf>
    <xf numFmtId="0" fontId="5" fillId="0" borderId="0" xfId="9" applyFont="1" applyFill="1" applyAlignment="1">
      <alignment vertical="center" wrapText="1"/>
    </xf>
    <xf numFmtId="0" fontId="6" fillId="0" borderId="22" xfId="9" applyFont="1" applyFill="1" applyBorder="1" applyAlignment="1">
      <alignment horizontal="center" vertical="center"/>
    </xf>
    <xf numFmtId="0" fontId="6" fillId="0" borderId="142" xfId="9" applyFont="1" applyFill="1" applyBorder="1" applyAlignment="1">
      <alignment horizontal="center" vertical="center" wrapText="1"/>
    </xf>
    <xf numFmtId="0" fontId="5" fillId="0" borderId="142" xfId="9" applyFont="1" applyFill="1" applyBorder="1" applyAlignment="1">
      <alignment horizontal="center" vertical="center"/>
    </xf>
    <xf numFmtId="9" fontId="11" fillId="0" borderId="219" xfId="11" applyNumberFormat="1" applyFont="1" applyFill="1" applyBorder="1" applyAlignment="1" applyProtection="1">
      <alignment horizontal="center" vertical="center"/>
      <protection locked="0"/>
    </xf>
    <xf numFmtId="0" fontId="9" fillId="0" borderId="0" xfId="9" applyFont="1" applyFill="1" applyAlignment="1">
      <alignment horizontal="center" vertical="center"/>
    </xf>
    <xf numFmtId="0" fontId="6" fillId="0" borderId="145" xfId="9" applyFont="1" applyFill="1" applyBorder="1" applyAlignment="1">
      <alignment horizontal="right" vertical="center" wrapText="1"/>
    </xf>
    <xf numFmtId="43" fontId="6" fillId="0" borderId="27" xfId="9" applyNumberFormat="1" applyFont="1" applyFill="1" applyBorder="1" applyAlignment="1">
      <alignment vertical="center" wrapText="1"/>
    </xf>
    <xf numFmtId="0" fontId="4" fillId="0" borderId="0" xfId="0" applyFont="1" applyAlignment="1">
      <alignment horizontal="center" vertical="center"/>
    </xf>
    <xf numFmtId="169" fontId="11" fillId="0" borderId="177" xfId="8" applyFont="1" applyFill="1" applyBorder="1" applyAlignment="1" applyProtection="1">
      <alignment vertical="center"/>
    </xf>
    <xf numFmtId="43" fontId="11" fillId="0" borderId="220" xfId="10" applyFont="1" applyFill="1" applyBorder="1" applyAlignment="1" applyProtection="1">
      <alignment horizontal="center" vertical="center"/>
      <protection locked="0"/>
    </xf>
    <xf numFmtId="43" fontId="11" fillId="0" borderId="221" xfId="10" applyFont="1" applyFill="1" applyBorder="1" applyAlignment="1" applyProtection="1">
      <alignment horizontal="center" vertical="center"/>
      <protection locked="0"/>
    </xf>
    <xf numFmtId="173" fontId="11" fillId="0" borderId="65" xfId="10" applyNumberFormat="1" applyFont="1" applyFill="1" applyBorder="1" applyAlignment="1" applyProtection="1">
      <alignment vertical="center"/>
    </xf>
    <xf numFmtId="173" fontId="11" fillId="0" borderId="156" xfId="10" applyNumberFormat="1" applyFont="1" applyFill="1" applyBorder="1" applyAlignment="1" applyProtection="1">
      <alignment vertical="center"/>
    </xf>
    <xf numFmtId="173" fontId="11" fillId="0" borderId="222" xfId="10" applyNumberFormat="1" applyFont="1" applyFill="1" applyBorder="1" applyAlignment="1" applyProtection="1">
      <alignment vertical="center"/>
    </xf>
    <xf numFmtId="170" fontId="11" fillId="0" borderId="79" xfId="8" applyNumberFormat="1" applyFont="1" applyFill="1" applyBorder="1" applyAlignment="1" applyProtection="1">
      <alignment horizontal="center" vertical="center"/>
    </xf>
    <xf numFmtId="172" fontId="11" fillId="0" borderId="44" xfId="12" applyNumberFormat="1" applyFont="1" applyFill="1" applyBorder="1" applyAlignment="1" applyProtection="1">
      <alignment horizontal="center" vertical="center"/>
      <protection locked="0"/>
    </xf>
    <xf numFmtId="172" fontId="11" fillId="0" borderId="174" xfId="12" applyNumberFormat="1" applyFont="1" applyFill="1" applyBorder="1" applyAlignment="1" applyProtection="1">
      <alignment horizontal="center" vertical="center"/>
      <protection locked="0"/>
    </xf>
    <xf numFmtId="172" fontId="11" fillId="0" borderId="171" xfId="12" applyNumberFormat="1" applyFont="1" applyFill="1" applyBorder="1" applyAlignment="1" applyProtection="1">
      <alignment horizontal="center" vertical="center"/>
      <protection locked="0"/>
    </xf>
    <xf numFmtId="43" fontId="11" fillId="0" borderId="77" xfId="10" applyFont="1" applyFill="1" applyBorder="1" applyAlignment="1" applyProtection="1">
      <alignment vertical="center"/>
    </xf>
    <xf numFmtId="43" fontId="11" fillId="0" borderId="44" xfId="10" applyFont="1" applyFill="1" applyBorder="1" applyAlignment="1" applyProtection="1">
      <alignment vertical="center"/>
    </xf>
    <xf numFmtId="43" fontId="11" fillId="0" borderId="78" xfId="10" applyFont="1" applyFill="1" applyBorder="1" applyAlignment="1" applyProtection="1">
      <alignment horizontal="center" vertical="center"/>
      <protection locked="0"/>
    </xf>
    <xf numFmtId="9" fontId="11" fillId="0" borderId="44" xfId="13" applyFont="1" applyFill="1" applyBorder="1" applyAlignment="1" applyProtection="1">
      <alignment horizontal="center" vertical="center"/>
      <protection locked="0"/>
    </xf>
    <xf numFmtId="43" fontId="11" fillId="0" borderId="44" xfId="10" applyFont="1" applyFill="1" applyBorder="1" applyAlignment="1" applyProtection="1">
      <alignment horizontal="center" vertical="center"/>
      <protection locked="0"/>
    </xf>
    <xf numFmtId="43" fontId="11" fillId="0" borderId="92" xfId="10" applyFont="1" applyFill="1" applyBorder="1" applyAlignment="1" applyProtection="1">
      <alignment horizontal="center" vertical="center"/>
      <protection locked="0"/>
    </xf>
    <xf numFmtId="43" fontId="11" fillId="0" borderId="169" xfId="10" applyFont="1" applyFill="1" applyBorder="1" applyAlignment="1" applyProtection="1">
      <alignment horizontal="center" vertical="center"/>
      <protection locked="0"/>
    </xf>
    <xf numFmtId="43" fontId="11" fillId="0" borderId="76" xfId="10" applyFont="1" applyFill="1" applyBorder="1" applyAlignment="1" applyProtection="1">
      <alignment horizontal="center" vertical="center"/>
      <protection locked="0"/>
    </xf>
    <xf numFmtId="43" fontId="11" fillId="9" borderId="43" xfId="10" applyFont="1" applyFill="1" applyBorder="1" applyAlignment="1" applyProtection="1">
      <alignment horizontal="right" vertical="center"/>
      <protection locked="0"/>
    </xf>
    <xf numFmtId="43" fontId="11" fillId="9" borderId="80" xfId="10" applyFont="1" applyFill="1" applyBorder="1" applyAlignment="1" applyProtection="1">
      <alignment horizontal="right" vertical="center"/>
      <protection locked="0"/>
    </xf>
    <xf numFmtId="43" fontId="11" fillId="0" borderId="81" xfId="10" applyFont="1" applyFill="1" applyBorder="1" applyAlignment="1" applyProtection="1">
      <alignment horizontal="center" vertical="center"/>
      <protection locked="0"/>
    </xf>
    <xf numFmtId="173" fontId="11" fillId="0" borderId="82" xfId="10" applyNumberFormat="1" applyFont="1" applyFill="1" applyBorder="1" applyAlignment="1" applyProtection="1">
      <alignment horizontal="center" vertical="center"/>
      <protection locked="0"/>
    </xf>
    <xf numFmtId="43" fontId="11" fillId="9" borderId="82" xfId="10" applyFont="1" applyFill="1" applyBorder="1" applyAlignment="1" applyProtection="1">
      <alignment horizontal="right" vertical="center"/>
      <protection locked="0"/>
    </xf>
    <xf numFmtId="43" fontId="11" fillId="9" borderId="140" xfId="10" applyFont="1" applyFill="1" applyBorder="1" applyAlignment="1" applyProtection="1">
      <alignment horizontal="right" vertical="center"/>
      <protection locked="0"/>
    </xf>
    <xf numFmtId="0" fontId="10" fillId="0" borderId="160" xfId="9" applyFont="1" applyFill="1" applyBorder="1" applyAlignment="1" applyProtection="1">
      <alignment horizontal="left" vertical="center"/>
      <protection locked="0"/>
    </xf>
    <xf numFmtId="0" fontId="10" fillId="0" borderId="28" xfId="9" applyFont="1" applyFill="1" applyBorder="1" applyAlignment="1" applyProtection="1">
      <alignment horizontal="left" vertical="center"/>
      <protection locked="0"/>
    </xf>
    <xf numFmtId="0" fontId="11" fillId="0" borderId="28" xfId="9" applyFont="1" applyFill="1" applyBorder="1" applyAlignment="1" applyProtection="1">
      <alignment vertical="center"/>
      <protection locked="0"/>
    </xf>
    <xf numFmtId="169" fontId="11" fillId="0" borderId="28" xfId="8" applyFont="1" applyFill="1" applyBorder="1" applyAlignment="1" applyProtection="1">
      <alignment vertical="center"/>
      <protection locked="0"/>
    </xf>
    <xf numFmtId="169" fontId="11" fillId="0" borderId="28" xfId="8" applyFont="1" applyFill="1" applyBorder="1" applyAlignment="1" applyProtection="1">
      <alignment vertical="center"/>
    </xf>
    <xf numFmtId="9" fontId="10" fillId="0" borderId="28" xfId="11" applyNumberFormat="1" applyFont="1" applyFill="1" applyBorder="1" applyAlignment="1" applyProtection="1">
      <alignment horizontal="center" vertical="center"/>
      <protection locked="0"/>
    </xf>
    <xf numFmtId="38" fontId="11" fillId="0" borderId="28" xfId="8" applyNumberFormat="1" applyFont="1" applyFill="1" applyBorder="1" applyAlignment="1" applyProtection="1">
      <alignment vertical="center"/>
    </xf>
    <xf numFmtId="40" fontId="11" fillId="0" borderId="28" xfId="8" applyNumberFormat="1" applyFont="1" applyFill="1" applyBorder="1" applyAlignment="1" applyProtection="1">
      <alignment vertical="center"/>
      <protection locked="0"/>
    </xf>
    <xf numFmtId="170" fontId="10" fillId="0" borderId="28" xfId="8" applyNumberFormat="1" applyFont="1" applyFill="1" applyBorder="1" applyAlignment="1" applyProtection="1">
      <alignment vertical="center"/>
    </xf>
    <xf numFmtId="9" fontId="11" fillId="0" borderId="36" xfId="11" applyNumberFormat="1" applyFont="1" applyFill="1" applyBorder="1" applyAlignment="1" applyProtection="1">
      <alignment horizontal="center" vertical="center"/>
      <protection locked="0"/>
    </xf>
    <xf numFmtId="0" fontId="11" fillId="0" borderId="0" xfId="9" applyFont="1" applyBorder="1"/>
    <xf numFmtId="0" fontId="11" fillId="0" borderId="0" xfId="9" applyFont="1" applyFill="1" applyBorder="1"/>
    <xf numFmtId="43" fontId="11" fillId="0" borderId="28" xfId="10" applyFont="1" applyFill="1" applyBorder="1" applyAlignment="1" applyProtection="1">
      <alignment horizontal="right" vertical="center"/>
      <protection locked="0"/>
    </xf>
    <xf numFmtId="0" fontId="11" fillId="0" borderId="28" xfId="9" applyFont="1" applyBorder="1"/>
    <xf numFmtId="169" fontId="5" fillId="0" borderId="28" xfId="8" applyFont="1" applyFill="1" applyBorder="1" applyAlignment="1" applyProtection="1">
      <alignment vertical="center"/>
    </xf>
    <xf numFmtId="0" fontId="10" fillId="6" borderId="0" xfId="9" applyFont="1" applyFill="1" applyBorder="1" applyAlignment="1">
      <alignment horizontal="center" vertical="center"/>
    </xf>
    <xf numFmtId="0" fontId="12" fillId="7" borderId="0" xfId="9" applyFont="1" applyFill="1" applyBorder="1" applyAlignment="1" applyProtection="1">
      <alignment horizontal="center" vertical="center" wrapText="1"/>
    </xf>
    <xf numFmtId="0" fontId="12" fillId="0" borderId="229" xfId="9" applyFont="1" applyFill="1" applyBorder="1" applyAlignment="1" applyProtection="1">
      <alignment horizontal="center" vertical="center" wrapText="1"/>
    </xf>
    <xf numFmtId="0" fontId="0" fillId="0" borderId="38" xfId="0" applyBorder="1"/>
    <xf numFmtId="0" fontId="0" fillId="0" borderId="39" xfId="0" applyBorder="1"/>
    <xf numFmtId="0" fontId="0" fillId="0" borderId="40" xfId="0" applyBorder="1"/>
    <xf numFmtId="0" fontId="12" fillId="0" borderId="182" xfId="9" applyFont="1" applyFill="1" applyBorder="1" applyAlignment="1" applyProtection="1">
      <alignment horizontal="center" vertical="center" wrapText="1"/>
    </xf>
    <xf numFmtId="0" fontId="47" fillId="0" borderId="251" xfId="0" applyFont="1" applyBorder="1" applyAlignment="1">
      <alignment horizontal="center"/>
    </xf>
    <xf numFmtId="0" fontId="47" fillId="0" borderId="249" xfId="0" applyFont="1" applyBorder="1" applyAlignment="1">
      <alignment horizontal="center"/>
    </xf>
    <xf numFmtId="0" fontId="47" fillId="0" borderId="33" xfId="0" applyFont="1" applyBorder="1" applyAlignment="1">
      <alignment horizontal="center"/>
    </xf>
    <xf numFmtId="0" fontId="12" fillId="0" borderId="60" xfId="9" applyFont="1" applyFill="1" applyBorder="1" applyAlignment="1" applyProtection="1">
      <alignment horizontal="center" vertical="center"/>
    </xf>
    <xf numFmtId="0" fontId="12" fillId="0" borderId="263" xfId="9" applyFont="1" applyFill="1" applyBorder="1" applyAlignment="1" applyProtection="1">
      <alignment horizontal="center" vertical="center" wrapText="1"/>
    </xf>
    <xf numFmtId="0" fontId="12" fillId="0" borderId="232" xfId="9" applyFont="1" applyFill="1" applyBorder="1" applyAlignment="1" applyProtection="1">
      <alignment vertical="center"/>
    </xf>
    <xf numFmtId="169" fontId="11" fillId="0" borderId="265" xfId="8" applyFont="1" applyFill="1" applyBorder="1" applyAlignment="1" applyProtection="1">
      <alignment horizontal="center" vertical="center"/>
    </xf>
    <xf numFmtId="169" fontId="11" fillId="0" borderId="266" xfId="8" applyFont="1" applyFill="1" applyBorder="1" applyAlignment="1" applyProtection="1">
      <alignment horizontal="center" vertical="center"/>
    </xf>
    <xf numFmtId="169" fontId="11" fillId="0" borderId="267" xfId="8" applyFont="1" applyFill="1" applyBorder="1" applyAlignment="1" applyProtection="1">
      <alignment horizontal="center" vertical="center"/>
    </xf>
    <xf numFmtId="0" fontId="12" fillId="0" borderId="271" xfId="9" applyFont="1" applyBorder="1" applyAlignment="1">
      <alignment horizontal="center" vertical="center" wrapText="1"/>
    </xf>
    <xf numFmtId="0" fontId="12" fillId="0" borderId="272" xfId="9" applyFont="1" applyBorder="1" applyAlignment="1">
      <alignment horizontal="center" vertical="center" wrapText="1"/>
    </xf>
    <xf numFmtId="0" fontId="12" fillId="0" borderId="273" xfId="9" applyFont="1" applyBorder="1" applyAlignment="1">
      <alignment horizontal="center" vertical="center" wrapText="1"/>
    </xf>
    <xf numFmtId="43" fontId="11" fillId="0" borderId="275" xfId="10" applyFont="1" applyFill="1" applyBorder="1" applyAlignment="1" applyProtection="1">
      <alignment horizontal="center" vertical="center"/>
    </xf>
    <xf numFmtId="0" fontId="12" fillId="0" borderId="276" xfId="9" applyFont="1" applyBorder="1" applyAlignment="1">
      <alignment horizontal="center" vertical="center"/>
    </xf>
    <xf numFmtId="0" fontId="12" fillId="0" borderId="277" xfId="9" applyFont="1" applyBorder="1" applyAlignment="1">
      <alignment horizontal="center" vertical="center"/>
    </xf>
    <xf numFmtId="0" fontId="12" fillId="0" borderId="277" xfId="9" applyFont="1" applyBorder="1" applyAlignment="1">
      <alignment horizontal="center" vertical="center" wrapText="1"/>
    </xf>
    <xf numFmtId="0" fontId="12" fillId="0" borderId="278" xfId="9" applyFont="1" applyFill="1" applyBorder="1" applyAlignment="1" applyProtection="1">
      <alignment horizontal="center" vertical="center"/>
    </xf>
    <xf numFmtId="0" fontId="12" fillId="0" borderId="279" xfId="9" applyFont="1" applyFill="1" applyBorder="1" applyAlignment="1" applyProtection="1">
      <alignment horizontal="center" vertical="center"/>
    </xf>
    <xf numFmtId="0" fontId="12" fillId="0" borderId="280" xfId="9" applyFont="1" applyFill="1" applyBorder="1" applyAlignment="1" applyProtection="1">
      <alignment horizontal="center" vertical="center"/>
    </xf>
    <xf numFmtId="0" fontId="12" fillId="0" borderId="233" xfId="9" quotePrefix="1" applyFont="1" applyFill="1" applyBorder="1" applyAlignment="1" applyProtection="1">
      <alignment horizontal="center" vertical="center"/>
    </xf>
    <xf numFmtId="43" fontId="12" fillId="0" borderId="281" xfId="10" quotePrefix="1" applyFont="1" applyFill="1" applyBorder="1" applyAlignment="1" applyProtection="1">
      <alignment horizontal="center" vertical="center"/>
    </xf>
    <xf numFmtId="9" fontId="11" fillId="0" borderId="0" xfId="11" applyNumberFormat="1" applyFont="1" applyFill="1" applyBorder="1" applyAlignment="1" applyProtection="1">
      <alignment horizontal="center" vertical="center"/>
      <protection locked="0"/>
    </xf>
    <xf numFmtId="169" fontId="11" fillId="0" borderId="227" xfId="8" applyFont="1" applyFill="1" applyBorder="1" applyAlignment="1" applyProtection="1">
      <alignment vertical="center"/>
    </xf>
    <xf numFmtId="169" fontId="11" fillId="0" borderId="230" xfId="8" applyFont="1" applyFill="1" applyBorder="1" applyAlignment="1" applyProtection="1">
      <alignment vertical="center"/>
    </xf>
    <xf numFmtId="189" fontId="11" fillId="0" borderId="230" xfId="8" applyNumberFormat="1" applyFont="1" applyFill="1" applyBorder="1" applyAlignment="1" applyProtection="1">
      <alignment vertical="center"/>
    </xf>
    <xf numFmtId="190" fontId="11" fillId="0" borderId="230" xfId="8" applyNumberFormat="1" applyFont="1" applyFill="1" applyBorder="1" applyAlignment="1" applyProtection="1">
      <alignment vertical="center"/>
    </xf>
    <xf numFmtId="169" fontId="11" fillId="0" borderId="282" xfId="8" applyFont="1" applyFill="1" applyBorder="1" applyAlignment="1" applyProtection="1">
      <alignment vertical="center"/>
    </xf>
    <xf numFmtId="169" fontId="11" fillId="0" borderId="176" xfId="8" applyFont="1" applyFill="1" applyBorder="1" applyAlignment="1" applyProtection="1">
      <alignment vertical="center"/>
    </xf>
    <xf numFmtId="190" fontId="11" fillId="0" borderId="177" xfId="8" applyNumberFormat="1" applyFont="1" applyFill="1" applyBorder="1" applyAlignment="1" applyProtection="1">
      <alignment vertical="center"/>
    </xf>
    <xf numFmtId="10" fontId="11" fillId="0" borderId="177" xfId="3" applyNumberFormat="1" applyFont="1" applyFill="1" applyBorder="1" applyAlignment="1" applyProtection="1">
      <alignment vertical="center"/>
    </xf>
    <xf numFmtId="169" fontId="11" fillId="0" borderId="283" xfId="8" applyFont="1" applyFill="1" applyBorder="1" applyAlignment="1" applyProtection="1">
      <alignment vertical="center"/>
    </xf>
    <xf numFmtId="0" fontId="10" fillId="7" borderId="176" xfId="9" applyFont="1" applyFill="1" applyBorder="1" applyAlignment="1" applyProtection="1">
      <alignment horizontal="left" vertical="center"/>
      <protection locked="0"/>
    </xf>
    <xf numFmtId="0" fontId="11" fillId="0" borderId="180" xfId="9" applyFont="1" applyBorder="1"/>
    <xf numFmtId="169" fontId="5" fillId="0" borderId="284" xfId="8" applyFont="1" applyFill="1" applyBorder="1" applyAlignment="1" applyProtection="1">
      <alignment vertical="center"/>
    </xf>
    <xf numFmtId="169" fontId="5" fillId="0" borderId="180" xfId="8" applyFont="1" applyFill="1" applyBorder="1" applyAlignment="1" applyProtection="1">
      <alignment vertical="center"/>
    </xf>
    <xf numFmtId="0" fontId="11" fillId="0" borderId="284" xfId="9" applyFont="1" applyBorder="1"/>
    <xf numFmtId="169" fontId="5" fillId="0" borderId="35" xfId="8" applyFont="1" applyFill="1" applyBorder="1" applyAlignment="1" applyProtection="1">
      <alignment vertical="center"/>
    </xf>
    <xf numFmtId="0" fontId="11" fillId="0" borderId="285" xfId="9" applyFont="1" applyFill="1" applyBorder="1" applyAlignment="1" applyProtection="1">
      <alignment horizontal="center" vertical="center"/>
      <protection locked="0"/>
    </xf>
    <xf numFmtId="43" fontId="11" fillId="0" borderId="286" xfId="10" applyFont="1" applyFill="1" applyBorder="1" applyAlignment="1" applyProtection="1">
      <alignment horizontal="right" vertical="center"/>
      <protection locked="0"/>
    </xf>
    <xf numFmtId="169" fontId="11" fillId="0" borderId="0" xfId="8" applyFont="1" applyFill="1" applyBorder="1" applyAlignment="1" applyProtection="1">
      <alignment vertical="center"/>
      <protection locked="0"/>
    </xf>
    <xf numFmtId="0" fontId="10" fillId="0" borderId="9" xfId="9" applyFont="1" applyFill="1" applyBorder="1" applyAlignment="1" applyProtection="1">
      <alignment horizontal="center" vertical="center"/>
      <protection locked="0"/>
    </xf>
    <xf numFmtId="0" fontId="10" fillId="0" borderId="10" xfId="9" applyFont="1" applyFill="1" applyBorder="1" applyAlignment="1" applyProtection="1">
      <alignment horizontal="center" vertical="center"/>
      <protection locked="0"/>
    </xf>
    <xf numFmtId="4" fontId="10" fillId="0" borderId="10" xfId="9" applyNumberFormat="1" applyFont="1" applyFill="1" applyBorder="1" applyAlignment="1" applyProtection="1">
      <alignment horizontal="center" vertical="center"/>
      <protection locked="0"/>
    </xf>
    <xf numFmtId="41" fontId="10" fillId="0" borderId="287" xfId="1" applyNumberFormat="1" applyFont="1" applyFill="1" applyBorder="1" applyAlignment="1" applyProtection="1">
      <alignment horizontal="center" vertical="center"/>
      <protection locked="0"/>
    </xf>
    <xf numFmtId="43" fontId="10" fillId="0" borderId="288" xfId="10" applyFont="1" applyFill="1" applyBorder="1" applyAlignment="1" applyProtection="1">
      <alignment vertical="center"/>
    </xf>
    <xf numFmtId="43" fontId="10" fillId="0" borderId="287" xfId="10" applyFont="1" applyFill="1" applyBorder="1" applyAlignment="1" applyProtection="1">
      <alignment vertical="center"/>
    </xf>
    <xf numFmtId="43" fontId="10" fillId="0" borderId="289" xfId="10" applyFont="1" applyFill="1" applyBorder="1" applyAlignment="1" applyProtection="1">
      <alignment horizontal="center" vertical="center"/>
      <protection locked="0"/>
    </xf>
    <xf numFmtId="9" fontId="10" fillId="0" borderId="287" xfId="13" applyFont="1" applyFill="1" applyBorder="1" applyAlignment="1" applyProtection="1">
      <alignment horizontal="center" vertical="center"/>
      <protection locked="0"/>
    </xf>
    <xf numFmtId="43" fontId="10" fillId="0" borderId="287" xfId="10" applyFont="1" applyFill="1" applyBorder="1" applyAlignment="1" applyProtection="1">
      <alignment horizontal="center" vertical="center"/>
      <protection locked="0"/>
    </xf>
    <xf numFmtId="43" fontId="10" fillId="0" borderId="290" xfId="10" applyFont="1" applyFill="1" applyBorder="1" applyAlignment="1" applyProtection="1">
      <alignment horizontal="center" vertical="center"/>
      <protection locked="0"/>
    </xf>
    <xf numFmtId="43" fontId="10" fillId="0" borderId="104" xfId="10" applyFont="1" applyFill="1" applyBorder="1" applyAlignment="1" applyProtection="1">
      <alignment horizontal="center" vertical="center"/>
      <protection locked="0"/>
    </xf>
    <xf numFmtId="43" fontId="10" fillId="0" borderId="10" xfId="10" applyFont="1" applyFill="1" applyBorder="1" applyAlignment="1" applyProtection="1">
      <alignment horizontal="center" vertical="center"/>
      <protection locked="0"/>
    </xf>
    <xf numFmtId="0" fontId="11" fillId="0" borderId="0" xfId="9" applyFont="1" applyFill="1" applyBorder="1" applyAlignment="1" applyProtection="1">
      <alignment horizontal="centerContinuous" vertical="center"/>
      <protection locked="0"/>
    </xf>
    <xf numFmtId="0" fontId="10" fillId="0" borderId="88" xfId="9" applyFont="1" applyFill="1" applyBorder="1" applyAlignment="1" applyProtection="1">
      <alignment horizontal="center" vertical="center"/>
      <protection locked="0"/>
    </xf>
    <xf numFmtId="0" fontId="10" fillId="0" borderId="84" xfId="9" applyFont="1" applyFill="1" applyBorder="1" applyAlignment="1" applyProtection="1">
      <alignment horizontal="center" vertical="center"/>
      <protection locked="0"/>
    </xf>
    <xf numFmtId="0" fontId="10" fillId="0" borderId="291" xfId="9" applyFont="1" applyFill="1" applyBorder="1" applyAlignment="1" applyProtection="1">
      <alignment horizontal="center" vertical="center"/>
      <protection locked="0"/>
    </xf>
    <xf numFmtId="0" fontId="10" fillId="0" borderId="292" xfId="9" applyFont="1" applyFill="1" applyBorder="1" applyAlignment="1" applyProtection="1">
      <alignment horizontal="center" vertical="center"/>
      <protection locked="0"/>
    </xf>
    <xf numFmtId="43" fontId="10" fillId="0" borderId="86" xfId="10" applyFont="1" applyFill="1" applyBorder="1" applyAlignment="1" applyProtection="1">
      <alignment vertical="center"/>
    </xf>
    <xf numFmtId="9" fontId="10" fillId="0" borderId="86" xfId="13" applyFont="1" applyFill="1" applyBorder="1" applyAlignment="1" applyProtection="1">
      <alignment horizontal="center" vertical="center"/>
      <protection locked="0"/>
    </xf>
    <xf numFmtId="43" fontId="10" fillId="0" borderId="86" xfId="10" applyFont="1" applyFill="1" applyBorder="1" applyAlignment="1" applyProtection="1">
      <alignment horizontal="center" vertical="center"/>
      <protection locked="0"/>
    </xf>
    <xf numFmtId="43" fontId="10" fillId="0" borderId="27" xfId="10" applyFont="1" applyFill="1" applyBorder="1" applyAlignment="1" applyProtection="1">
      <alignment horizontal="center" vertical="center"/>
      <protection locked="0"/>
    </xf>
    <xf numFmtId="43" fontId="10" fillId="0" borderId="85" xfId="10" applyFont="1" applyFill="1" applyBorder="1" applyAlignment="1" applyProtection="1">
      <alignment horizontal="center" vertical="center"/>
      <protection locked="0"/>
    </xf>
    <xf numFmtId="173" fontId="10" fillId="0" borderId="88" xfId="10" applyNumberFormat="1" applyFont="1" applyFill="1" applyBorder="1" applyAlignment="1" applyProtection="1">
      <alignment vertical="center"/>
    </xf>
    <xf numFmtId="173" fontId="10" fillId="0" borderId="86" xfId="10" applyNumberFormat="1" applyFont="1" applyFill="1" applyBorder="1" applyAlignment="1" applyProtection="1">
      <alignment vertical="center"/>
    </xf>
    <xf numFmtId="173" fontId="10" fillId="0" borderId="85" xfId="10" applyNumberFormat="1" applyFont="1" applyFill="1" applyBorder="1" applyAlignment="1" applyProtection="1">
      <alignment vertical="center"/>
    </xf>
    <xf numFmtId="173" fontId="10" fillId="0" borderId="293" xfId="10" applyNumberFormat="1" applyFont="1" applyFill="1" applyBorder="1" applyAlignment="1" applyProtection="1">
      <alignment vertical="center"/>
    </xf>
    <xf numFmtId="173" fontId="10" fillId="0" borderId="294" xfId="10" applyNumberFormat="1" applyFont="1" applyFill="1" applyBorder="1" applyAlignment="1" applyProtection="1">
      <alignment vertical="center"/>
    </xf>
    <xf numFmtId="173" fontId="10" fillId="0" borderId="84" xfId="10" applyNumberFormat="1" applyFont="1" applyFill="1" applyBorder="1" applyAlignment="1" applyProtection="1">
      <alignment vertical="center"/>
    </xf>
    <xf numFmtId="173" fontId="10" fillId="0" borderId="87" xfId="10" applyNumberFormat="1" applyFont="1" applyFill="1" applyBorder="1" applyAlignment="1" applyProtection="1">
      <alignment vertical="center"/>
    </xf>
    <xf numFmtId="173" fontId="10" fillId="0" borderId="27" xfId="10" applyNumberFormat="1" applyFont="1" applyFill="1" applyBorder="1" applyAlignment="1" applyProtection="1">
      <alignment vertical="center"/>
    </xf>
    <xf numFmtId="4" fontId="49" fillId="0" borderId="0" xfId="9" applyNumberFormat="1" applyFont="1" applyFill="1" applyBorder="1" applyAlignment="1" applyProtection="1">
      <alignment horizontal="center" vertical="center"/>
      <protection locked="0"/>
    </xf>
    <xf numFmtId="191" fontId="47" fillId="0" borderId="0" xfId="1" applyNumberFormat="1" applyFont="1" applyAlignment="1">
      <alignment horizontal="center" vertical="center"/>
    </xf>
    <xf numFmtId="192" fontId="47" fillId="0" borderId="0" xfId="12" applyNumberFormat="1" applyFont="1" applyAlignment="1">
      <alignment horizontal="center" vertical="center"/>
    </xf>
    <xf numFmtId="191" fontId="5" fillId="0" borderId="0" xfId="1" applyNumberFormat="1" applyFont="1"/>
    <xf numFmtId="172" fontId="47" fillId="0" borderId="0" xfId="12" applyNumberFormat="1" applyFont="1" applyAlignment="1">
      <alignment vertical="center"/>
    </xf>
    <xf numFmtId="0" fontId="12" fillId="7" borderId="151" xfId="9" applyFont="1" applyFill="1" applyBorder="1" applyAlignment="1" applyProtection="1">
      <alignment horizontal="center" vertical="center"/>
    </xf>
    <xf numFmtId="43" fontId="47" fillId="0" borderId="145" xfId="14" applyNumberFormat="1" applyFont="1" applyBorder="1" applyAlignment="1">
      <alignment horizontal="center" vertical="center" wrapText="1"/>
    </xf>
    <xf numFmtId="172" fontId="47" fillId="0" borderId="0" xfId="12" applyNumberFormat="1" applyFont="1" applyAlignment="1">
      <alignment horizontal="center" vertical="center"/>
    </xf>
    <xf numFmtId="171" fontId="47" fillId="0" borderId="0" xfId="12" applyFont="1" applyAlignment="1">
      <alignment horizontal="center" vertical="center"/>
    </xf>
    <xf numFmtId="0" fontId="1" fillId="0" borderId="0" xfId="15"/>
    <xf numFmtId="43" fontId="4" fillId="0" borderId="142" xfId="1" applyFont="1" applyFill="1" applyBorder="1" applyAlignment="1">
      <alignment horizontal="center" vertical="center" wrapText="1"/>
    </xf>
    <xf numFmtId="43" fontId="4" fillId="0" borderId="142" xfId="1" applyFont="1" applyFill="1" applyBorder="1" applyAlignment="1">
      <alignment horizontal="center" vertical="center"/>
    </xf>
    <xf numFmtId="1" fontId="5" fillId="0" borderId="142" xfId="9" applyNumberFormat="1" applyFont="1" applyFill="1" applyBorder="1" applyAlignment="1">
      <alignment horizontal="center" vertical="top"/>
    </xf>
    <xf numFmtId="2" fontId="5" fillId="0" borderId="142" xfId="9" applyNumberFormat="1" applyFont="1" applyFill="1" applyBorder="1" applyAlignment="1">
      <alignment horizontal="left" vertical="top" wrapText="1"/>
    </xf>
    <xf numFmtId="0" fontId="5" fillId="4" borderId="22" xfId="0" applyFont="1" applyFill="1" applyBorder="1" applyAlignment="1">
      <alignment horizontal="center" vertical="center"/>
    </xf>
    <xf numFmtId="0" fontId="4" fillId="4" borderId="22" xfId="0" applyFont="1" applyFill="1" applyBorder="1" applyAlignment="1">
      <alignment horizontal="center" vertical="center"/>
    </xf>
    <xf numFmtId="43" fontId="5" fillId="11" borderId="142" xfId="1" applyFont="1" applyFill="1" applyBorder="1" applyAlignment="1">
      <alignment horizontal="center" vertical="center"/>
    </xf>
    <xf numFmtId="43" fontId="6" fillId="0" borderId="142" xfId="9" applyNumberFormat="1" applyFont="1" applyFill="1" applyBorder="1" applyAlignment="1">
      <alignment horizontal="center" vertical="center"/>
    </xf>
    <xf numFmtId="43" fontId="5" fillId="4" borderId="22" xfId="1" applyFont="1" applyFill="1" applyBorder="1" applyAlignment="1">
      <alignment horizontal="right" vertical="center"/>
    </xf>
    <xf numFmtId="43" fontId="4" fillId="4" borderId="142" xfId="1" applyFont="1" applyFill="1" applyBorder="1" applyAlignment="1">
      <alignment horizontal="center" vertical="center"/>
    </xf>
    <xf numFmtId="0" fontId="4" fillId="0" borderId="142" xfId="0" applyFont="1" applyBorder="1" applyAlignment="1">
      <alignment horizontal="center" vertical="top" wrapText="1"/>
    </xf>
    <xf numFmtId="179" fontId="4" fillId="0" borderId="142" xfId="0" applyNumberFormat="1" applyFont="1" applyBorder="1" applyAlignment="1">
      <alignment horizontal="center" vertical="top"/>
    </xf>
    <xf numFmtId="0" fontId="4" fillId="0" borderId="0" xfId="0" applyFont="1" applyAlignment="1">
      <alignment vertical="top" wrapText="1"/>
    </xf>
    <xf numFmtId="0" fontId="0" fillId="0" borderId="0" xfId="0" applyAlignment="1">
      <alignment horizontal="center"/>
    </xf>
    <xf numFmtId="0" fontId="4" fillId="0" borderId="0" xfId="0" applyFont="1" applyAlignment="1">
      <alignment horizontal="center" vertical="center"/>
    </xf>
    <xf numFmtId="0" fontId="6" fillId="0" borderId="142" xfId="9" applyFont="1" applyFill="1" applyBorder="1" applyAlignment="1">
      <alignment horizontal="center" vertical="center" wrapText="1"/>
    </xf>
    <xf numFmtId="0" fontId="5" fillId="0" borderId="0" xfId="9" applyFont="1" applyFill="1" applyAlignment="1">
      <alignment vertical="center" wrapText="1"/>
    </xf>
    <xf numFmtId="0" fontId="6" fillId="0" borderId="142" xfId="9" applyFont="1" applyFill="1" applyBorder="1" applyAlignment="1">
      <alignment horizontal="center" vertical="center"/>
    </xf>
    <xf numFmtId="0" fontId="5" fillId="0" borderId="142" xfId="9" applyFont="1" applyFill="1" applyBorder="1" applyAlignment="1">
      <alignment horizontal="center" vertical="center"/>
    </xf>
    <xf numFmtId="0" fontId="4" fillId="0" borderId="133" xfId="0" applyFont="1" applyBorder="1" applyAlignment="1">
      <alignment horizontal="center" vertical="center"/>
    </xf>
    <xf numFmtId="0" fontId="6" fillId="2" borderId="142" xfId="7" applyFont="1" applyBorder="1" applyAlignment="1">
      <alignment vertical="center"/>
    </xf>
    <xf numFmtId="164" fontId="4" fillId="0" borderId="0" xfId="3" quotePrefix="1" applyNumberFormat="1" applyFont="1" applyAlignment="1">
      <alignment horizontal="center" vertical="center"/>
    </xf>
    <xf numFmtId="0" fontId="4" fillId="0" borderId="0" xfId="0" quotePrefix="1" applyFont="1" applyAlignment="1">
      <alignment vertical="center"/>
    </xf>
    <xf numFmtId="0" fontId="0" fillId="0" borderId="0" xfId="0" applyAlignment="1">
      <alignment horizontal="center"/>
    </xf>
    <xf numFmtId="0" fontId="4" fillId="0" borderId="0" xfId="0" applyFont="1" applyAlignment="1">
      <alignment horizontal="center" vertical="center"/>
    </xf>
    <xf numFmtId="0" fontId="6" fillId="0" borderId="22" xfId="9" applyFont="1" applyFill="1" applyBorder="1" applyAlignment="1">
      <alignment horizontal="center" vertical="center"/>
    </xf>
    <xf numFmtId="0" fontId="5" fillId="0" borderId="22" xfId="9" applyFont="1" applyFill="1" applyBorder="1" applyAlignment="1">
      <alignment horizontal="center" vertical="center"/>
    </xf>
    <xf numFmtId="0" fontId="5" fillId="0" borderId="0" xfId="9" applyFont="1" applyFill="1" applyAlignment="1">
      <alignment vertical="center" wrapText="1"/>
    </xf>
    <xf numFmtId="0" fontId="11" fillId="0" borderId="272" xfId="9" applyFont="1" applyFill="1" applyBorder="1" applyAlignment="1" applyProtection="1">
      <alignment horizontal="center" vertical="center"/>
      <protection locked="0"/>
    </xf>
    <xf numFmtId="43" fontId="5" fillId="11" borderId="22" xfId="1" applyNumberFormat="1" applyFont="1" applyFill="1" applyBorder="1" applyAlignment="1">
      <alignment horizontal="center" vertical="center" wrapText="1"/>
    </xf>
    <xf numFmtId="44" fontId="5" fillId="0" borderId="8" xfId="2" applyFont="1" applyBorder="1" applyAlignment="1">
      <alignment horizontal="center" vertical="center" wrapText="1"/>
    </xf>
    <xf numFmtId="44" fontId="5" fillId="0" borderId="11" xfId="2" applyFont="1" applyBorder="1" applyAlignment="1">
      <alignment horizontal="center" vertical="center" wrapText="1"/>
    </xf>
    <xf numFmtId="0" fontId="9" fillId="0" borderId="0" xfId="0" applyFont="1" applyAlignment="1">
      <alignment horizontal="left" vertical="center"/>
    </xf>
    <xf numFmtId="0" fontId="0" fillId="0" borderId="0" xfId="0" applyAlignment="1">
      <alignment horizontal="center"/>
    </xf>
    <xf numFmtId="0" fontId="4" fillId="0" borderId="0" xfId="0" applyFont="1" applyAlignment="1">
      <alignment horizontal="center" vertical="center"/>
    </xf>
    <xf numFmtId="0" fontId="5" fillId="0" borderId="0" xfId="9" applyFont="1" applyFill="1" applyAlignment="1">
      <alignment vertical="center" wrapText="1"/>
    </xf>
    <xf numFmtId="0" fontId="6" fillId="0" borderId="142" xfId="9" applyFont="1" applyFill="1" applyBorder="1" applyAlignment="1">
      <alignment horizontal="center" vertical="center"/>
    </xf>
    <xf numFmtId="180" fontId="6" fillId="0" borderId="22" xfId="9" applyNumberFormat="1" applyFont="1" applyFill="1" applyBorder="1" applyAlignment="1">
      <alignment horizontal="center" vertical="center"/>
    </xf>
    <xf numFmtId="180" fontId="4" fillId="0" borderId="22" xfId="1" applyNumberFormat="1" applyFont="1" applyFill="1" applyBorder="1" applyAlignment="1">
      <alignment horizontal="center" vertical="center"/>
    </xf>
    <xf numFmtId="180" fontId="6" fillId="0" borderId="22" xfId="1" applyNumberFormat="1" applyFont="1" applyFill="1" applyBorder="1" applyAlignment="1">
      <alignment horizontal="center" vertical="center"/>
    </xf>
    <xf numFmtId="0" fontId="11" fillId="0" borderId="156" xfId="9" applyFont="1" applyFill="1" applyBorder="1" applyAlignment="1" applyProtection="1">
      <alignment horizontal="center" vertical="center"/>
      <protection locked="0"/>
    </xf>
    <xf numFmtId="4" fontId="11" fillId="0" borderId="66" xfId="9" applyNumberFormat="1" applyFont="1" applyFill="1" applyBorder="1" applyAlignment="1" applyProtection="1">
      <alignment horizontal="center" vertical="center"/>
      <protection locked="0"/>
    </xf>
    <xf numFmtId="40" fontId="11" fillId="0" borderId="156" xfId="8" applyNumberFormat="1" applyFont="1" applyFill="1" applyBorder="1" applyAlignment="1" applyProtection="1">
      <alignment horizontal="right" vertical="center"/>
      <protection locked="0"/>
    </xf>
    <xf numFmtId="9" fontId="11" fillId="0" borderId="295" xfId="11" applyNumberFormat="1" applyFont="1" applyFill="1" applyBorder="1" applyAlignment="1" applyProtection="1">
      <alignment horizontal="center" vertical="center"/>
      <protection locked="0"/>
    </xf>
    <xf numFmtId="0" fontId="11" fillId="0" borderId="276" xfId="9" applyFont="1" applyFill="1" applyBorder="1" applyAlignment="1" applyProtection="1">
      <alignment horizontal="center" vertical="center"/>
      <protection locked="0"/>
    </xf>
    <xf numFmtId="0" fontId="11" fillId="0" borderId="296" xfId="9" applyFont="1" applyFill="1" applyBorder="1" applyAlignment="1" applyProtection="1">
      <alignment horizontal="center" vertical="center"/>
      <protection locked="0"/>
    </xf>
    <xf numFmtId="0" fontId="11" fillId="0" borderId="297" xfId="9" applyFont="1" applyFill="1" applyBorder="1" applyAlignment="1" applyProtection="1">
      <alignment horizontal="center" vertical="center"/>
      <protection locked="0"/>
    </xf>
    <xf numFmtId="4" fontId="11" fillId="0" borderId="297" xfId="9" applyNumberFormat="1" applyFont="1" applyFill="1" applyBorder="1" applyAlignment="1" applyProtection="1">
      <alignment horizontal="center" vertical="center"/>
      <protection locked="0"/>
    </xf>
    <xf numFmtId="41" fontId="11" fillId="0" borderId="156" xfId="1" applyNumberFormat="1" applyFont="1" applyFill="1" applyBorder="1" applyAlignment="1" applyProtection="1">
      <alignment horizontal="center" vertical="center"/>
      <protection locked="0"/>
    </xf>
    <xf numFmtId="43" fontId="11" fillId="0" borderId="298" xfId="10" applyFont="1" applyFill="1" applyBorder="1" applyAlignment="1" applyProtection="1">
      <alignment vertical="center"/>
    </xf>
    <xf numFmtId="43" fontId="11" fillId="0" borderId="156" xfId="10" applyFont="1" applyFill="1" applyBorder="1" applyAlignment="1" applyProtection="1">
      <alignment horizontal="center" vertical="center"/>
      <protection locked="0"/>
    </xf>
    <xf numFmtId="43" fontId="11" fillId="0" borderId="299" xfId="10" applyFont="1" applyFill="1" applyBorder="1" applyAlignment="1" applyProtection="1">
      <alignment horizontal="center" vertical="center"/>
      <protection locked="0"/>
    </xf>
    <xf numFmtId="43" fontId="11" fillId="0" borderId="300" xfId="10" applyFont="1" applyFill="1" applyBorder="1" applyAlignment="1" applyProtection="1">
      <alignment horizontal="center" vertical="center"/>
      <protection locked="0"/>
    </xf>
    <xf numFmtId="41" fontId="11" fillId="0" borderId="296" xfId="1" applyNumberFormat="1" applyFont="1" applyFill="1" applyBorder="1" applyAlignment="1" applyProtection="1">
      <alignment horizontal="center" vertical="center"/>
      <protection locked="0"/>
    </xf>
    <xf numFmtId="43" fontId="11" fillId="0" borderId="277" xfId="10" applyFont="1" applyFill="1" applyBorder="1" applyAlignment="1" applyProtection="1">
      <alignment vertical="center"/>
    </xf>
    <xf numFmtId="43" fontId="11" fillId="0" borderId="296" xfId="10" applyFont="1" applyFill="1" applyBorder="1" applyAlignment="1" applyProtection="1">
      <alignment vertical="center"/>
    </xf>
    <xf numFmtId="43" fontId="11" fillId="0" borderId="297" xfId="10" applyFont="1" applyFill="1" applyBorder="1" applyAlignment="1" applyProtection="1">
      <alignment horizontal="center" vertical="center"/>
      <protection locked="0"/>
    </xf>
    <xf numFmtId="9" fontId="11" fillId="0" borderId="296" xfId="13" applyFont="1" applyFill="1" applyBorder="1" applyAlignment="1" applyProtection="1">
      <alignment horizontal="center" vertical="center"/>
      <protection locked="0"/>
    </xf>
    <xf numFmtId="43" fontId="11" fillId="0" borderId="296" xfId="10" applyFont="1" applyFill="1" applyBorder="1" applyAlignment="1" applyProtection="1">
      <alignment horizontal="center" vertical="center"/>
      <protection locked="0"/>
    </xf>
    <xf numFmtId="43" fontId="11" fillId="0" borderId="301" xfId="10" applyFont="1" applyFill="1" applyBorder="1" applyAlignment="1" applyProtection="1">
      <alignment horizontal="center" vertical="center"/>
      <protection locked="0"/>
    </xf>
    <xf numFmtId="43" fontId="11" fillId="0" borderId="302" xfId="10" applyFont="1" applyFill="1" applyBorder="1" applyAlignment="1" applyProtection="1">
      <alignment horizontal="center" vertical="center"/>
      <protection locked="0"/>
    </xf>
    <xf numFmtId="0" fontId="11" fillId="0" borderId="303" xfId="9" applyFont="1" applyFill="1" applyBorder="1" applyAlignment="1" applyProtection="1">
      <alignment horizontal="center" vertical="center"/>
      <protection locked="0"/>
    </xf>
    <xf numFmtId="0" fontId="11" fillId="0" borderId="298" xfId="9" applyFont="1" applyFill="1" applyBorder="1" applyAlignment="1" applyProtection="1">
      <alignment horizontal="center" vertical="center"/>
      <protection locked="0"/>
    </xf>
    <xf numFmtId="0" fontId="48" fillId="0" borderId="298" xfId="9" applyFont="1" applyFill="1" applyBorder="1" applyAlignment="1" applyProtection="1">
      <alignment horizontal="center" vertical="center"/>
      <protection locked="0"/>
    </xf>
    <xf numFmtId="0" fontId="11" fillId="0" borderId="298" xfId="9" applyFont="1" applyFill="1" applyBorder="1" applyAlignment="1" applyProtection="1">
      <alignment horizontal="center" vertical="center" wrapText="1"/>
      <protection locked="0"/>
    </xf>
    <xf numFmtId="43" fontId="11" fillId="0" borderId="298" xfId="10" applyFont="1" applyFill="1" applyBorder="1" applyAlignment="1" applyProtection="1">
      <alignment horizontal="center" vertical="center"/>
      <protection locked="0"/>
    </xf>
    <xf numFmtId="43" fontId="11" fillId="0" borderId="304" xfId="1" applyFont="1" applyFill="1" applyBorder="1" applyAlignment="1" applyProtection="1">
      <alignment horizontal="center" vertical="center"/>
      <protection locked="0"/>
    </xf>
    <xf numFmtId="0" fontId="11" fillId="0" borderId="305" xfId="9" applyFont="1" applyFill="1" applyBorder="1" applyAlignment="1" applyProtection="1">
      <alignment horizontal="center" vertical="center"/>
      <protection locked="0"/>
    </xf>
    <xf numFmtId="43" fontId="11" fillId="0" borderId="298" xfId="1" applyFont="1" applyFill="1" applyBorder="1" applyAlignment="1" applyProtection="1">
      <alignment horizontal="center" vertical="center"/>
      <protection locked="0"/>
    </xf>
    <xf numFmtId="43" fontId="11" fillId="0" borderId="66" xfId="1" applyFont="1" applyFill="1" applyBorder="1" applyAlignment="1" applyProtection="1">
      <alignment horizontal="center" vertical="center"/>
      <protection locked="0"/>
    </xf>
    <xf numFmtId="173" fontId="11" fillId="0" borderId="66" xfId="10" applyNumberFormat="1" applyFont="1" applyFill="1" applyBorder="1" applyAlignment="1" applyProtection="1">
      <alignment vertical="center"/>
    </xf>
    <xf numFmtId="173" fontId="11" fillId="0" borderId="306" xfId="10" applyNumberFormat="1" applyFont="1" applyFill="1" applyBorder="1" applyAlignment="1" applyProtection="1">
      <alignment vertical="center"/>
    </xf>
    <xf numFmtId="173" fontId="11" fillId="0" borderId="307" xfId="10" applyNumberFormat="1" applyFont="1" applyFill="1" applyBorder="1" applyAlignment="1" applyProtection="1">
      <alignment vertical="center"/>
    </xf>
    <xf numFmtId="173" fontId="11" fillId="0" borderId="298" xfId="10" applyNumberFormat="1" applyFont="1" applyFill="1" applyBorder="1" applyAlignment="1" applyProtection="1">
      <alignment vertical="center"/>
    </xf>
    <xf numFmtId="173" fontId="11" fillId="0" borderId="300" xfId="10" applyNumberFormat="1" applyFont="1" applyFill="1" applyBorder="1" applyAlignment="1" applyProtection="1">
      <alignment vertical="center"/>
    </xf>
    <xf numFmtId="0" fontId="0" fillId="0" borderId="0" xfId="0" applyAlignment="1">
      <alignment horizontal="center"/>
    </xf>
    <xf numFmtId="0" fontId="4" fillId="0" borderId="0" xfId="0" applyFont="1" applyAlignment="1">
      <alignment horizontal="center" vertical="center"/>
    </xf>
    <xf numFmtId="0" fontId="6" fillId="0" borderId="22" xfId="9" applyFont="1" applyFill="1" applyBorder="1" applyAlignment="1">
      <alignment horizontal="center" vertical="center"/>
    </xf>
    <xf numFmtId="0" fontId="5" fillId="0" borderId="22" xfId="9" applyFont="1" applyFill="1" applyBorder="1" applyAlignment="1">
      <alignment horizontal="center" vertical="center"/>
    </xf>
    <xf numFmtId="0" fontId="5" fillId="0" borderId="0" xfId="9" applyFont="1" applyFill="1" applyAlignment="1">
      <alignment vertical="center" wrapText="1"/>
    </xf>
    <xf numFmtId="0" fontId="6" fillId="0" borderId="142" xfId="9" applyFont="1" applyFill="1" applyBorder="1" applyAlignment="1">
      <alignment horizontal="center" vertical="center"/>
    </xf>
    <xf numFmtId="43" fontId="5" fillId="0" borderId="175" xfId="1" applyFont="1" applyFill="1" applyBorder="1" applyAlignment="1">
      <alignment horizontal="center" vertical="center"/>
    </xf>
    <xf numFmtId="0" fontId="5" fillId="0" borderId="0" xfId="9" applyAlignment="1">
      <alignment horizontal="center" vertical="center"/>
    </xf>
    <xf numFmtId="0" fontId="5" fillId="0" borderId="0" xfId="9" applyAlignment="1">
      <alignment vertical="center"/>
    </xf>
    <xf numFmtId="0" fontId="6" fillId="0" borderId="0" xfId="9" applyFont="1" applyAlignment="1">
      <alignment horizontal="center" vertical="center"/>
    </xf>
    <xf numFmtId="0" fontId="5" fillId="0" borderId="142" xfId="9" applyBorder="1" applyAlignment="1">
      <alignment horizontal="center" vertical="center"/>
    </xf>
    <xf numFmtId="184" fontId="5" fillId="11" borderId="12" xfId="9" applyNumberFormat="1" applyFill="1" applyBorder="1" applyAlignment="1">
      <alignment horizontal="center" vertical="center"/>
    </xf>
    <xf numFmtId="184" fontId="5" fillId="11" borderId="21" xfId="9" applyNumberFormat="1" applyFill="1" applyBorder="1" applyAlignment="1">
      <alignment horizontal="center" vertical="center"/>
    </xf>
    <xf numFmtId="184" fontId="5" fillId="11" borderId="16" xfId="9" applyNumberFormat="1" applyFill="1" applyBorder="1" applyAlignment="1">
      <alignment horizontal="center" vertical="center"/>
    </xf>
    <xf numFmtId="1" fontId="6" fillId="0" borderId="0" xfId="9" applyNumberFormat="1" applyFont="1" applyAlignment="1">
      <alignment horizontal="center" vertical="center"/>
    </xf>
    <xf numFmtId="1" fontId="5" fillId="0" borderId="0" xfId="9" applyNumberFormat="1" applyFont="1" applyFill="1" applyAlignment="1">
      <alignment horizontal="center" vertical="center" wrapText="1"/>
    </xf>
    <xf numFmtId="184" fontId="5" fillId="11" borderId="142" xfId="9" applyNumberFormat="1" applyFill="1" applyBorder="1" applyAlignment="1">
      <alignment horizontal="center" vertical="center"/>
    </xf>
    <xf numFmtId="184" fontId="5" fillId="11" borderId="13" xfId="9" applyNumberFormat="1" applyFill="1" applyBorder="1" applyAlignment="1">
      <alignment horizontal="center" vertical="center"/>
    </xf>
    <xf numFmtId="43" fontId="5" fillId="0" borderId="15" xfId="1" applyFont="1" applyFill="1" applyBorder="1" applyAlignment="1">
      <alignment horizontal="center" vertical="center"/>
    </xf>
    <xf numFmtId="184" fontId="5" fillId="11" borderId="17" xfId="9" applyNumberFormat="1" applyFill="1" applyBorder="1" applyAlignment="1">
      <alignment horizontal="center" vertical="center"/>
    </xf>
    <xf numFmtId="43" fontId="5" fillId="0" borderId="19" xfId="1" applyFont="1" applyFill="1" applyBorder="1" applyAlignment="1">
      <alignment horizontal="center" vertical="center"/>
    </xf>
    <xf numFmtId="0" fontId="4" fillId="0" borderId="0" xfId="0" applyFont="1" applyAlignment="1">
      <alignment horizontal="center" vertical="center"/>
    </xf>
    <xf numFmtId="4" fontId="5" fillId="0" borderId="22" xfId="0" applyNumberFormat="1" applyFont="1" applyFill="1" applyBorder="1" applyAlignment="1">
      <alignment horizontal="center" vertical="center"/>
    </xf>
    <xf numFmtId="0" fontId="4" fillId="4" borderId="0" xfId="0" applyFont="1" applyFill="1" applyAlignment="1">
      <alignment horizontal="center" vertical="center"/>
    </xf>
    <xf numFmtId="43" fontId="4" fillId="4" borderId="0" xfId="1" applyFont="1" applyFill="1" applyAlignment="1">
      <alignment vertical="center"/>
    </xf>
    <xf numFmtId="0" fontId="4" fillId="4" borderId="0" xfId="0" applyFont="1" applyFill="1" applyAlignment="1">
      <alignment vertical="center"/>
    </xf>
    <xf numFmtId="0" fontId="31" fillId="0" borderId="0" xfId="0" applyNumberFormat="1" applyFont="1" applyFill="1" applyBorder="1" applyAlignment="1">
      <alignment horizontal="center" vertical="center"/>
    </xf>
    <xf numFmtId="2" fontId="31" fillId="0" borderId="0" xfId="0" applyNumberFormat="1" applyFont="1" applyFill="1" applyBorder="1" applyAlignment="1">
      <alignment horizontal="left" vertical="center"/>
    </xf>
    <xf numFmtId="2" fontId="31" fillId="0" borderId="0" xfId="0" applyNumberFormat="1" applyFont="1" applyFill="1" applyBorder="1" applyAlignment="1">
      <alignment horizontal="center" vertical="center"/>
    </xf>
    <xf numFmtId="0" fontId="31" fillId="0" borderId="0" xfId="0" applyNumberFormat="1" applyFont="1" applyFill="1" applyBorder="1" applyAlignment="1">
      <alignment horizontal="left" vertical="center"/>
    </xf>
    <xf numFmtId="164" fontId="31" fillId="0" borderId="0" xfId="3" applyNumberFormat="1" applyFont="1" applyFill="1" applyBorder="1" applyAlignment="1">
      <alignment horizontal="center" vertical="center"/>
    </xf>
    <xf numFmtId="0" fontId="17" fillId="4" borderId="0" xfId="3" applyNumberFormat="1" applyFont="1" applyFill="1" applyAlignment="1">
      <alignment horizontal="center" vertical="center"/>
    </xf>
    <xf numFmtId="0" fontId="31" fillId="4" borderId="0" xfId="0" applyNumberFormat="1" applyFont="1" applyFill="1" applyBorder="1" applyAlignment="1">
      <alignment horizontal="center" vertical="center"/>
    </xf>
    <xf numFmtId="2" fontId="31" fillId="4" borderId="0" xfId="0" applyNumberFormat="1" applyFont="1" applyFill="1" applyBorder="1" applyAlignment="1">
      <alignment horizontal="center" vertical="center"/>
    </xf>
    <xf numFmtId="0" fontId="17" fillId="0" borderId="0" xfId="3" applyNumberFormat="1" applyFont="1" applyFill="1" applyAlignment="1">
      <alignment horizontal="center" vertical="center"/>
    </xf>
    <xf numFmtId="0" fontId="0" fillId="0" borderId="0" xfId="0" applyAlignment="1">
      <alignment vertical="center"/>
    </xf>
    <xf numFmtId="0" fontId="4" fillId="0" borderId="0" xfId="0" applyFont="1" applyAlignment="1">
      <alignment horizontal="center" vertical="center"/>
    </xf>
    <xf numFmtId="0" fontId="5" fillId="0" borderId="22" xfId="9" applyFont="1" applyFill="1" applyBorder="1" applyAlignment="1">
      <alignment horizontal="center" vertical="center"/>
    </xf>
    <xf numFmtId="0" fontId="5" fillId="0" borderId="0" xfId="9" applyFont="1" applyFill="1" applyAlignment="1">
      <alignment vertical="center" wrapText="1"/>
    </xf>
    <xf numFmtId="0" fontId="6" fillId="0" borderId="142" xfId="9" applyFont="1" applyFill="1" applyBorder="1" applyAlignment="1">
      <alignment horizontal="center" vertical="center" wrapText="1"/>
    </xf>
    <xf numFmtId="0" fontId="5" fillId="0" borderId="142" xfId="9" applyFont="1" applyFill="1" applyBorder="1" applyAlignment="1">
      <alignment horizontal="center" vertical="center" wrapText="1"/>
    </xf>
    <xf numFmtId="0" fontId="5" fillId="0" borderId="142" xfId="9" applyFont="1" applyFill="1" applyBorder="1" applyAlignment="1">
      <alignment horizontal="center" vertical="center"/>
    </xf>
    <xf numFmtId="0" fontId="6" fillId="0" borderId="22" xfId="9" applyFont="1" applyFill="1" applyBorder="1" applyAlignment="1">
      <alignment horizontal="center" vertical="center"/>
    </xf>
    <xf numFmtId="0" fontId="5" fillId="0" borderId="22" xfId="9" applyFont="1" applyFill="1" applyBorder="1" applyAlignment="1">
      <alignment horizontal="center" vertical="center" wrapText="1"/>
    </xf>
    <xf numFmtId="0" fontId="5" fillId="0" borderId="99" xfId="9" applyFont="1" applyFill="1" applyBorder="1" applyAlignment="1">
      <alignment horizontal="center" vertical="center" wrapText="1"/>
    </xf>
    <xf numFmtId="0" fontId="6" fillId="0" borderId="123" xfId="4" applyFont="1" applyFill="1" applyBorder="1" applyAlignment="1">
      <alignment horizontal="left" vertical="center"/>
    </xf>
    <xf numFmtId="0" fontId="0" fillId="0" borderId="0" xfId="0" applyAlignment="1">
      <alignment horizontal="center"/>
    </xf>
    <xf numFmtId="0" fontId="4" fillId="0" borderId="0" xfId="0" applyFont="1" applyAlignment="1">
      <alignment horizontal="center"/>
    </xf>
    <xf numFmtId="0" fontId="4" fillId="0" borderId="0" xfId="0" applyFont="1" applyAlignment="1">
      <alignment horizontal="center" vertical="center"/>
    </xf>
    <xf numFmtId="189" fontId="11" fillId="0" borderId="229" xfId="8" applyNumberFormat="1" applyFont="1" applyFill="1" applyBorder="1" applyAlignment="1" applyProtection="1">
      <alignment horizontal="center" vertical="center"/>
      <protection locked="0"/>
    </xf>
    <xf numFmtId="169" fontId="11" fillId="0" borderId="229" xfId="8" applyFont="1" applyFill="1" applyBorder="1" applyAlignment="1" applyProtection="1">
      <alignment horizontal="center" vertical="center"/>
    </xf>
    <xf numFmtId="40" fontId="10" fillId="0" borderId="229" xfId="8" applyNumberFormat="1" applyFont="1" applyFill="1" applyBorder="1" applyAlignment="1" applyProtection="1">
      <alignment horizontal="center" vertical="center"/>
    </xf>
    <xf numFmtId="170" fontId="10" fillId="0" borderId="238" xfId="8" applyNumberFormat="1" applyFont="1" applyFill="1" applyBorder="1" applyAlignment="1" applyProtection="1">
      <alignment horizontal="center" vertical="center"/>
    </xf>
    <xf numFmtId="0" fontId="11" fillId="0" borderId="229" xfId="9" applyFont="1" applyFill="1" applyBorder="1" applyAlignment="1" applyProtection="1">
      <alignment horizontal="center" vertical="center"/>
      <protection locked="0"/>
    </xf>
    <xf numFmtId="169" fontId="11" fillId="0" borderId="229" xfId="8" applyFont="1" applyFill="1" applyBorder="1" applyAlignment="1" applyProtection="1">
      <alignment horizontal="center" vertical="center"/>
      <protection locked="0"/>
    </xf>
    <xf numFmtId="9" fontId="10" fillId="0" borderId="229" xfId="11" applyNumberFormat="1" applyFont="1" applyFill="1" applyBorder="1" applyAlignment="1" applyProtection="1">
      <alignment horizontal="center" vertical="center"/>
      <protection locked="0"/>
    </xf>
    <xf numFmtId="169" fontId="11" fillId="11" borderId="229" xfId="8" applyFont="1" applyFill="1" applyBorder="1" applyAlignment="1" applyProtection="1">
      <alignment horizontal="center" vertical="center"/>
      <protection locked="0"/>
    </xf>
    <xf numFmtId="0" fontId="6" fillId="0" borderId="142" xfId="9" applyFont="1" applyFill="1" applyBorder="1" applyAlignment="1">
      <alignment vertical="center" wrapText="1"/>
    </xf>
    <xf numFmtId="0" fontId="8" fillId="0" borderId="22" xfId="0" applyFont="1" applyBorder="1" applyAlignment="1">
      <alignment horizontal="center" vertical="center"/>
    </xf>
    <xf numFmtId="0" fontId="31" fillId="0" borderId="0" xfId="0" applyNumberFormat="1" applyFont="1" applyFill="1" applyBorder="1" applyAlignment="1">
      <alignment horizontal="left" vertical="center" wrapText="1"/>
    </xf>
    <xf numFmtId="0" fontId="4" fillId="0" borderId="0" xfId="0" applyFont="1" applyAlignment="1">
      <alignment horizontal="center" vertical="center"/>
    </xf>
    <xf numFmtId="0" fontId="12" fillId="7" borderId="151" xfId="9" applyFont="1" applyFill="1" applyBorder="1" applyAlignment="1" applyProtection="1">
      <alignment horizontal="center" vertical="center"/>
    </xf>
    <xf numFmtId="0" fontId="11" fillId="0" borderId="232" xfId="9" applyFont="1" applyFill="1" applyBorder="1" applyAlignment="1" applyProtection="1">
      <alignment horizontal="center" vertical="center"/>
      <protection locked="0"/>
    </xf>
    <xf numFmtId="0" fontId="11" fillId="0" borderId="234" xfId="9" applyFont="1" applyFill="1" applyBorder="1" applyAlignment="1" applyProtection="1">
      <alignment horizontal="center" vertical="center"/>
      <protection locked="0"/>
    </xf>
    <xf numFmtId="0" fontId="10" fillId="0" borderId="151" xfId="9" applyFont="1" applyFill="1" applyBorder="1" applyAlignment="1" applyProtection="1">
      <alignment horizontal="left" vertical="center"/>
      <protection locked="0"/>
    </xf>
    <xf numFmtId="184" fontId="11" fillId="0" borderId="71" xfId="9" applyNumberFormat="1" applyFont="1" applyFill="1" applyBorder="1" applyAlignment="1">
      <alignment horizontal="center" vertical="center"/>
    </xf>
    <xf numFmtId="0" fontId="12" fillId="0" borderId="308" xfId="9" applyFont="1" applyBorder="1" applyAlignment="1">
      <alignment horizontal="center" vertical="center"/>
    </xf>
    <xf numFmtId="4" fontId="11" fillId="0" borderId="232" xfId="9" applyNumberFormat="1" applyFont="1" applyFill="1" applyBorder="1" applyAlignment="1" applyProtection="1">
      <alignment horizontal="center" vertical="center"/>
      <protection locked="0"/>
    </xf>
    <xf numFmtId="0" fontId="11" fillId="0" borderId="263" xfId="9" applyFont="1" applyFill="1" applyBorder="1" applyAlignment="1" applyProtection="1">
      <alignment horizontal="center" vertical="center"/>
      <protection locked="0"/>
    </xf>
    <xf numFmtId="184" fontId="11" fillId="0" borderId="266" xfId="9" applyNumberFormat="1" applyFont="1" applyFill="1" applyBorder="1" applyAlignment="1">
      <alignment horizontal="center" vertical="center"/>
    </xf>
    <xf numFmtId="4" fontId="11" fillId="0" borderId="271" xfId="9" applyNumberFormat="1" applyFont="1" applyFill="1" applyBorder="1" applyAlignment="1" applyProtection="1">
      <alignment horizontal="center" vertical="center"/>
      <protection locked="0"/>
    </xf>
    <xf numFmtId="169" fontId="11" fillId="0" borderId="263" xfId="8" applyFont="1" applyFill="1" applyBorder="1" applyAlignment="1" applyProtection="1">
      <alignment horizontal="center" vertical="center"/>
      <protection locked="0"/>
    </xf>
    <xf numFmtId="169" fontId="11" fillId="0" borderId="263" xfId="8" applyFont="1" applyFill="1" applyBorder="1" applyAlignment="1" applyProtection="1">
      <alignment horizontal="center" vertical="center"/>
    </xf>
    <xf numFmtId="9" fontId="10" fillId="0" borderId="263" xfId="11" applyNumberFormat="1" applyFont="1" applyFill="1" applyBorder="1" applyAlignment="1" applyProtection="1">
      <alignment horizontal="center" vertical="center"/>
      <protection locked="0"/>
    </xf>
    <xf numFmtId="169" fontId="11" fillId="11" borderId="263" xfId="8" applyFont="1" applyFill="1" applyBorder="1" applyAlignment="1" applyProtection="1">
      <alignment horizontal="center" vertical="center"/>
      <protection locked="0"/>
    </xf>
    <xf numFmtId="189" fontId="11" fillId="0" borderId="263" xfId="8" applyNumberFormat="1" applyFont="1" applyFill="1" applyBorder="1" applyAlignment="1" applyProtection="1">
      <alignment horizontal="center" vertical="center"/>
      <protection locked="0"/>
    </xf>
    <xf numFmtId="40" fontId="10" fillId="0" borderId="263" xfId="8" applyNumberFormat="1" applyFont="1" applyFill="1" applyBorder="1" applyAlignment="1" applyProtection="1">
      <alignment horizontal="center" vertical="center"/>
    </xf>
    <xf numFmtId="40" fontId="11" fillId="0" borderId="263" xfId="8" applyNumberFormat="1" applyFont="1" applyFill="1" applyBorder="1" applyAlignment="1" applyProtection="1">
      <alignment horizontal="right" vertical="center"/>
      <protection locked="0"/>
    </xf>
    <xf numFmtId="170" fontId="10" fillId="0" borderId="309" xfId="8" applyNumberFormat="1" applyFont="1" applyFill="1" applyBorder="1" applyAlignment="1" applyProtection="1">
      <alignment horizontal="center" vertical="center"/>
    </xf>
    <xf numFmtId="0" fontId="11" fillId="0" borderId="271" xfId="9" applyFont="1" applyFill="1" applyBorder="1" applyAlignment="1" applyProtection="1">
      <alignment horizontal="center" vertical="center"/>
      <protection locked="0"/>
    </xf>
    <xf numFmtId="43" fontId="5" fillId="0" borderId="5" xfId="4" applyNumberFormat="1" applyFont="1" applyFill="1" applyBorder="1" applyAlignment="1">
      <alignment vertical="center"/>
    </xf>
    <xf numFmtId="43" fontId="5" fillId="0" borderId="0" xfId="4" applyNumberFormat="1" applyFont="1" applyFill="1" applyBorder="1" applyAlignment="1">
      <alignment vertical="center"/>
    </xf>
    <xf numFmtId="0" fontId="0" fillId="0" borderId="72" xfId="0" applyBorder="1" applyAlignment="1">
      <alignment horizontal="center"/>
    </xf>
    <xf numFmtId="0" fontId="3" fillId="0" borderId="0" xfId="0" applyFont="1" applyAlignment="1">
      <alignment horizontal="center"/>
    </xf>
    <xf numFmtId="0" fontId="0" fillId="0" borderId="0" xfId="0" applyAlignment="1">
      <alignment horizontal="center"/>
    </xf>
    <xf numFmtId="0" fontId="0" fillId="0" borderId="145" xfId="0" applyBorder="1" applyAlignment="1">
      <alignment horizontal="center"/>
    </xf>
    <xf numFmtId="0" fontId="4" fillId="0" borderId="0" xfId="0" applyFont="1" applyAlignment="1">
      <alignment horizontal="center" vertical="center"/>
    </xf>
    <xf numFmtId="10" fontId="5" fillId="0" borderId="0" xfId="3" applyNumberFormat="1" applyFont="1" applyFill="1" applyBorder="1" applyAlignment="1">
      <alignment horizontal="center" vertical="center"/>
    </xf>
    <xf numFmtId="10" fontId="5" fillId="0" borderId="10" xfId="3" applyNumberFormat="1" applyFont="1" applyFill="1" applyBorder="1" applyAlignment="1">
      <alignment horizontal="center" vertical="center"/>
    </xf>
    <xf numFmtId="0" fontId="5" fillId="0" borderId="142" xfId="9" applyFont="1" applyFill="1" applyBorder="1" applyAlignment="1">
      <alignment horizontal="center" vertical="center" wrapText="1"/>
    </xf>
    <xf numFmtId="0" fontId="5" fillId="0" borderId="0" xfId="9" applyFont="1" applyFill="1" applyAlignment="1">
      <alignment vertical="center" wrapText="1"/>
    </xf>
    <xf numFmtId="0" fontId="6" fillId="0" borderId="22" xfId="9" applyFont="1" applyFill="1" applyBorder="1" applyAlignment="1">
      <alignment horizontal="center" vertical="center"/>
    </xf>
    <xf numFmtId="0" fontId="12" fillId="0" borderId="43" xfId="9" applyFont="1" applyBorder="1" applyAlignment="1">
      <alignment horizontal="center" vertical="center"/>
    </xf>
    <xf numFmtId="0" fontId="12" fillId="0" borderId="30" xfId="9" applyFont="1" applyBorder="1" applyAlignment="1">
      <alignment horizontal="center" vertical="center"/>
    </xf>
    <xf numFmtId="0" fontId="12" fillId="0" borderId="44" xfId="9" applyFont="1" applyBorder="1" applyAlignment="1">
      <alignment horizontal="center" vertical="center"/>
    </xf>
    <xf numFmtId="0" fontId="12" fillId="0" borderId="44" xfId="9" applyFont="1" applyBorder="1" applyAlignment="1">
      <alignment horizontal="center" vertical="center" wrapText="1"/>
    </xf>
    <xf numFmtId="0" fontId="12" fillId="0" borderId="54" xfId="9" applyFont="1" applyBorder="1" applyAlignment="1">
      <alignment horizontal="center" vertical="center" wrapText="1"/>
    </xf>
    <xf numFmtId="0" fontId="12" fillId="0" borderId="32" xfId="9" applyFont="1" applyBorder="1" applyAlignment="1">
      <alignment horizontal="center" vertical="center"/>
    </xf>
    <xf numFmtId="0" fontId="12" fillId="0" borderId="47" xfId="9" applyFont="1" applyBorder="1" applyAlignment="1">
      <alignment horizontal="center" vertical="center"/>
    </xf>
    <xf numFmtId="0" fontId="12" fillId="0" borderId="52" xfId="9" applyFont="1" applyBorder="1" applyAlignment="1">
      <alignment horizontal="center" vertical="center"/>
    </xf>
    <xf numFmtId="43" fontId="5" fillId="0" borderId="10" xfId="4" applyNumberFormat="1" applyFont="1" applyFill="1" applyBorder="1" applyAlignment="1">
      <alignment horizontal="center" vertical="center"/>
    </xf>
    <xf numFmtId="43" fontId="5" fillId="0" borderId="11" xfId="4" applyNumberFormat="1" applyFont="1" applyFill="1" applyBorder="1" applyAlignment="1">
      <alignment horizontal="center" vertical="center"/>
    </xf>
    <xf numFmtId="43" fontId="5" fillId="0" borderId="0" xfId="4" applyNumberFormat="1" applyFont="1" applyFill="1" applyBorder="1" applyAlignment="1">
      <alignment horizontal="center" vertical="center" wrapText="1"/>
    </xf>
    <xf numFmtId="2" fontId="0" fillId="0" borderId="0" xfId="0" applyNumberFormat="1" applyAlignment="1">
      <alignment horizontal="center"/>
    </xf>
    <xf numFmtId="0" fontId="50" fillId="0" borderId="0" xfId="0" applyFont="1"/>
    <xf numFmtId="171" fontId="0" fillId="4" borderId="0" xfId="0" applyNumberFormat="1" applyFill="1"/>
    <xf numFmtId="43" fontId="3" fillId="0" borderId="0" xfId="0" applyNumberFormat="1" applyFont="1"/>
    <xf numFmtId="0" fontId="53" fillId="0" borderId="310" xfId="0" applyFont="1" applyBorder="1" applyAlignment="1">
      <alignment horizontal="center" vertical="center"/>
    </xf>
    <xf numFmtId="0" fontId="53" fillId="0" borderId="311" xfId="0" applyFont="1" applyBorder="1" applyAlignment="1">
      <alignment horizontal="center" vertical="center"/>
    </xf>
    <xf numFmtId="0" fontId="53" fillId="0" borderId="11" xfId="0" applyFont="1" applyBorder="1" applyAlignment="1">
      <alignment horizontal="center" vertical="center" wrapText="1"/>
    </xf>
    <xf numFmtId="0" fontId="53" fillId="0" borderId="11" xfId="0" applyFont="1" applyBorder="1" applyAlignment="1">
      <alignment horizontal="center" vertical="center"/>
    </xf>
    <xf numFmtId="2" fontId="53" fillId="0" borderId="11" xfId="0" applyNumberFormat="1" applyFont="1" applyBorder="1" applyAlignment="1">
      <alignment horizontal="center" vertical="center" wrapText="1"/>
    </xf>
    <xf numFmtId="2" fontId="53" fillId="0" borderId="11" xfId="0" applyNumberFormat="1" applyFont="1" applyBorder="1" applyAlignment="1">
      <alignment horizontal="center" vertical="center"/>
    </xf>
    <xf numFmtId="0" fontId="0" fillId="0" borderId="169" xfId="0" applyBorder="1" applyAlignment="1">
      <alignment horizontal="center"/>
    </xf>
    <xf numFmtId="0" fontId="0" fillId="0" borderId="169" xfId="0" applyBorder="1" applyAlignment="1">
      <alignment horizontal="centerContinuous"/>
    </xf>
    <xf numFmtId="0" fontId="42" fillId="0" borderId="11" xfId="0" applyFont="1" applyBorder="1" applyAlignment="1">
      <alignment vertical="center"/>
    </xf>
    <xf numFmtId="169" fontId="5" fillId="0" borderId="0" xfId="8" applyFill="1" applyAlignment="1" applyProtection="1">
      <alignment vertical="center"/>
    </xf>
    <xf numFmtId="169" fontId="5" fillId="0" borderId="0" xfId="8" applyFill="1" applyAlignment="1" applyProtection="1">
      <alignment horizontal="center" vertical="center"/>
    </xf>
    <xf numFmtId="49" fontId="5" fillId="0" borderId="0" xfId="9" applyNumberFormat="1" applyAlignment="1">
      <alignment horizontal="left" vertical="center"/>
    </xf>
    <xf numFmtId="169" fontId="11" fillId="0" borderId="0" xfId="8" applyFont="1" applyFill="1" applyAlignment="1" applyProtection="1">
      <alignment vertical="center"/>
    </xf>
    <xf numFmtId="0" fontId="11" fillId="0" borderId="0" xfId="9" applyFont="1" applyAlignment="1">
      <alignment horizontal="center" vertical="center"/>
    </xf>
    <xf numFmtId="0" fontId="11" fillId="0" borderId="0" xfId="9" applyFont="1" applyAlignment="1">
      <alignment vertical="center"/>
    </xf>
    <xf numFmtId="169" fontId="11" fillId="0" borderId="0" xfId="8" applyFont="1" applyFill="1" applyAlignment="1" applyProtection="1">
      <alignment horizontal="center" vertical="center"/>
    </xf>
    <xf numFmtId="49" fontId="11" fillId="0" borderId="0" xfId="9" applyNumberFormat="1" applyFont="1" applyAlignment="1">
      <alignment horizontal="left" vertical="center"/>
    </xf>
    <xf numFmtId="0" fontId="10" fillId="0" borderId="0" xfId="9" applyFont="1" applyAlignment="1">
      <alignment horizontal="center" vertical="center"/>
    </xf>
    <xf numFmtId="0" fontId="12" fillId="0" borderId="0" xfId="9" applyFont="1" applyAlignment="1">
      <alignment vertical="center"/>
    </xf>
    <xf numFmtId="0" fontId="12" fillId="0" borderId="0" xfId="9" applyFont="1" applyAlignment="1">
      <alignment horizontal="center" vertical="center"/>
    </xf>
    <xf numFmtId="0" fontId="12" fillId="0" borderId="272" xfId="9" applyFont="1" applyBorder="1" applyAlignment="1">
      <alignment horizontal="center" vertical="center"/>
    </xf>
    <xf numFmtId="0" fontId="12" fillId="0" borderId="263" xfId="9" applyFont="1" applyBorder="1" applyAlignment="1">
      <alignment horizontal="center" vertical="center"/>
    </xf>
    <xf numFmtId="0" fontId="13" fillId="7" borderId="271" xfId="9" applyFont="1" applyFill="1" applyBorder="1" applyAlignment="1">
      <alignment horizontal="center" vertical="center"/>
    </xf>
    <xf numFmtId="0" fontId="13" fillId="0" borderId="0" xfId="9" applyFont="1" applyAlignment="1">
      <alignment horizontal="center" vertical="center"/>
    </xf>
    <xf numFmtId="0" fontId="12" fillId="7" borderId="49" xfId="9" applyFont="1" applyFill="1" applyBorder="1" applyAlignment="1">
      <alignment horizontal="center" vertical="center"/>
    </xf>
    <xf numFmtId="0" fontId="12" fillId="0" borderId="51" xfId="9" applyFont="1" applyBorder="1" applyAlignment="1">
      <alignment horizontal="center" vertical="center"/>
    </xf>
    <xf numFmtId="0" fontId="12" fillId="0" borderId="172" xfId="9" applyFont="1" applyBorder="1" applyAlignment="1">
      <alignment horizontal="center" vertical="center"/>
    </xf>
    <xf numFmtId="0" fontId="12" fillId="0" borderId="280" xfId="9" applyFont="1" applyBorder="1" applyAlignment="1">
      <alignment horizontal="center" vertical="center"/>
    </xf>
    <xf numFmtId="0" fontId="12" fillId="0" borderId="139" xfId="9" applyFont="1" applyBorder="1" applyAlignment="1">
      <alignment horizontal="center" vertical="center"/>
    </xf>
    <xf numFmtId="43" fontId="12" fillId="0" borderId="234" xfId="10" applyFont="1" applyFill="1" applyBorder="1" applyAlignment="1" applyProtection="1">
      <alignment horizontal="center" vertical="center" wrapText="1"/>
    </xf>
    <xf numFmtId="43" fontId="12" fillId="0" borderId="234" xfId="10" applyFont="1" applyFill="1" applyBorder="1" applyAlignment="1" applyProtection="1">
      <alignment horizontal="center" vertical="center"/>
    </xf>
    <xf numFmtId="43" fontId="12" fillId="0" borderId="255" xfId="10" applyFont="1" applyFill="1" applyBorder="1" applyAlignment="1" applyProtection="1">
      <alignment horizontal="center" vertical="center"/>
    </xf>
    <xf numFmtId="0" fontId="10" fillId="0" borderId="160" xfId="9" applyFont="1" applyBorder="1" applyAlignment="1" applyProtection="1">
      <alignment horizontal="left" vertical="center"/>
      <protection locked="0"/>
    </xf>
    <xf numFmtId="0" fontId="10" fillId="0" borderId="28" xfId="9" applyFont="1" applyBorder="1" applyAlignment="1" applyProtection="1">
      <alignment horizontal="left" vertical="center"/>
      <protection locked="0"/>
    </xf>
    <xf numFmtId="0" fontId="11" fillId="0" borderId="28" xfId="9" applyFont="1" applyBorder="1" applyAlignment="1" applyProtection="1">
      <alignment vertical="center"/>
      <protection locked="0"/>
    </xf>
    <xf numFmtId="9" fontId="10" fillId="0" borderId="28" xfId="11" applyFont="1" applyFill="1" applyBorder="1" applyAlignment="1" applyProtection="1">
      <alignment horizontal="center" vertical="center"/>
      <protection locked="0"/>
    </xf>
    <xf numFmtId="169" fontId="10" fillId="0" borderId="28" xfId="8" applyFont="1" applyFill="1" applyBorder="1" applyAlignment="1" applyProtection="1">
      <alignment vertical="center"/>
      <protection locked="0"/>
    </xf>
    <xf numFmtId="9" fontId="11" fillId="0" borderId="36" xfId="11" applyFont="1" applyFill="1" applyBorder="1" applyAlignment="1" applyProtection="1">
      <alignment horizontal="center" vertical="center"/>
      <protection locked="0"/>
    </xf>
    <xf numFmtId="0" fontId="11" fillId="0" borderId="60" xfId="9" applyFont="1" applyBorder="1"/>
    <xf numFmtId="169" fontId="5" fillId="0" borderId="28" xfId="8" applyFill="1" applyBorder="1" applyAlignment="1" applyProtection="1">
      <alignment vertical="center"/>
    </xf>
    <xf numFmtId="169" fontId="5" fillId="0" borderId="36" xfId="8" applyFill="1" applyBorder="1" applyAlignment="1" applyProtection="1">
      <alignment vertical="center"/>
    </xf>
    <xf numFmtId="0" fontId="11" fillId="0" borderId="227" xfId="9" applyFont="1" applyBorder="1" applyAlignment="1" applyProtection="1">
      <alignment horizontal="center" vertical="center"/>
      <protection locked="0"/>
    </xf>
    <xf numFmtId="0" fontId="11" fillId="0" borderId="230" xfId="9" applyFont="1" applyBorder="1" applyAlignment="1" applyProtection="1">
      <alignment horizontal="center" vertical="center"/>
      <protection locked="0"/>
    </xf>
    <xf numFmtId="0" fontId="11" fillId="0" borderId="235" xfId="9" applyFont="1" applyBorder="1" applyAlignment="1" applyProtection="1">
      <alignment horizontal="center" vertical="center"/>
      <protection locked="0"/>
    </xf>
    <xf numFmtId="4" fontId="11" fillId="0" borderId="235" xfId="9" applyNumberFormat="1" applyFont="1" applyBorder="1" applyAlignment="1" applyProtection="1">
      <alignment horizontal="center" vertical="center"/>
      <protection locked="0"/>
    </xf>
    <xf numFmtId="169" fontId="11" fillId="0" borderId="230" xfId="8" applyFont="1" applyFill="1" applyBorder="1" applyAlignment="1" applyProtection="1">
      <alignment vertical="center"/>
      <protection locked="0"/>
    </xf>
    <xf numFmtId="3" fontId="11" fillId="0" borderId="230" xfId="8" applyNumberFormat="1" applyFont="1" applyFill="1" applyBorder="1" applyAlignment="1" applyProtection="1">
      <alignment horizontal="center" vertical="center"/>
      <protection locked="0"/>
    </xf>
    <xf numFmtId="43" fontId="11" fillId="0" borderId="230" xfId="10" applyFont="1" applyFill="1" applyBorder="1" applyAlignment="1" applyProtection="1">
      <alignment vertical="center"/>
      <protection locked="0"/>
    </xf>
    <xf numFmtId="9" fontId="10" fillId="0" borderId="230" xfId="11" applyFont="1" applyFill="1" applyBorder="1" applyAlignment="1" applyProtection="1">
      <alignment horizontal="center" vertical="center"/>
      <protection locked="0"/>
    </xf>
    <xf numFmtId="40" fontId="11" fillId="0" borderId="235" xfId="8" applyNumberFormat="1" applyFont="1" applyFill="1" applyBorder="1" applyAlignment="1" applyProtection="1">
      <alignment vertical="center"/>
    </xf>
    <xf numFmtId="40" fontId="11" fillId="0" borderId="230" xfId="8" applyNumberFormat="1" applyFont="1" applyFill="1" applyBorder="1" applyAlignment="1" applyProtection="1">
      <alignment horizontal="right" vertical="center"/>
      <protection locked="0"/>
    </xf>
    <xf numFmtId="170" fontId="10" fillId="0" borderId="235" xfId="8" applyNumberFormat="1" applyFont="1" applyFill="1" applyBorder="1" applyAlignment="1" applyProtection="1">
      <alignment horizontal="center" vertical="center"/>
    </xf>
    <xf numFmtId="4" fontId="10" fillId="0" borderId="235" xfId="8" applyNumberFormat="1" applyFont="1" applyFill="1" applyBorder="1" applyAlignment="1" applyProtection="1">
      <alignment horizontal="center" vertical="center"/>
      <protection locked="0"/>
    </xf>
    <xf numFmtId="9" fontId="11" fillId="0" borderId="64" xfId="11" applyFont="1" applyFill="1" applyBorder="1" applyAlignment="1" applyProtection="1">
      <alignment horizontal="center" vertical="center"/>
      <protection locked="0"/>
    </xf>
    <xf numFmtId="4" fontId="6" fillId="0" borderId="0" xfId="8" applyNumberFormat="1" applyFont="1" applyFill="1" applyAlignment="1" applyProtection="1">
      <alignment horizontal="center" vertical="center"/>
      <protection locked="0"/>
    </xf>
    <xf numFmtId="0" fontId="11" fillId="0" borderId="65" xfId="9" applyFont="1" applyBorder="1" applyAlignment="1" applyProtection="1">
      <alignment horizontal="center" vertical="center"/>
      <protection locked="0"/>
    </xf>
    <xf numFmtId="0" fontId="11" fillId="0" borderId="162" xfId="9" applyFont="1" applyBorder="1" applyAlignment="1" applyProtection="1">
      <alignment horizontal="center" vertical="center"/>
      <protection locked="0"/>
    </xf>
    <xf numFmtId="0" fontId="11" fillId="0" borderId="163" xfId="9" applyFont="1" applyBorder="1" applyAlignment="1" applyProtection="1">
      <alignment horizontal="center" vertical="center"/>
      <protection locked="0"/>
    </xf>
    <xf numFmtId="0" fontId="11" fillId="0" borderId="66" xfId="9" applyFont="1" applyBorder="1" applyAlignment="1" applyProtection="1">
      <alignment horizontal="center" vertical="center"/>
      <protection locked="0"/>
    </xf>
    <xf numFmtId="4" fontId="11" fillId="0" borderId="163" xfId="9" applyNumberFormat="1" applyFont="1" applyBorder="1" applyAlignment="1" applyProtection="1">
      <alignment horizontal="center" vertical="center"/>
      <protection locked="0"/>
    </xf>
    <xf numFmtId="0" fontId="11" fillId="0" borderId="237" xfId="9" applyFont="1" applyBorder="1" applyAlignment="1" applyProtection="1">
      <alignment horizontal="center" vertical="center"/>
      <protection locked="0"/>
    </xf>
    <xf numFmtId="43" fontId="11" fillId="0" borderId="237" xfId="10" applyFont="1" applyFill="1" applyBorder="1" applyAlignment="1" applyProtection="1">
      <alignment horizontal="center" vertical="center"/>
      <protection locked="0"/>
    </xf>
    <xf numFmtId="43" fontId="11" fillId="0" borderId="235" xfId="10" applyFont="1" applyFill="1" applyBorder="1" applyAlignment="1" applyProtection="1">
      <alignment horizontal="center" vertical="center"/>
      <protection locked="0"/>
    </xf>
    <xf numFmtId="43" fontId="11" fillId="0" borderId="230" xfId="10" applyFont="1" applyFill="1" applyBorder="1" applyAlignment="1" applyProtection="1">
      <alignment vertical="center"/>
    </xf>
    <xf numFmtId="9" fontId="11" fillId="0" borderId="230" xfId="13" applyFont="1" applyFill="1" applyBorder="1" applyAlignment="1" applyProtection="1">
      <alignment horizontal="center" vertical="center"/>
      <protection locked="0"/>
    </xf>
    <xf numFmtId="43" fontId="11" fillId="0" borderId="230" xfId="10" applyFont="1" applyFill="1" applyBorder="1" applyAlignment="1" applyProtection="1">
      <alignment horizontal="center" vertical="center"/>
      <protection locked="0"/>
    </xf>
    <xf numFmtId="0" fontId="11" fillId="0" borderId="285" xfId="9" applyFont="1" applyBorder="1" applyAlignment="1" applyProtection="1">
      <alignment horizontal="center" vertical="center"/>
      <protection locked="0"/>
    </xf>
    <xf numFmtId="0" fontId="11" fillId="0" borderId="263" xfId="9" applyFont="1" applyBorder="1" applyAlignment="1" applyProtection="1">
      <alignment horizontal="center" vertical="center"/>
      <protection locked="0"/>
    </xf>
    <xf numFmtId="0" fontId="11" fillId="0" borderId="271" xfId="9" applyFont="1" applyBorder="1" applyAlignment="1" applyProtection="1">
      <alignment horizontal="center" vertical="center"/>
      <protection locked="0"/>
    </xf>
    <xf numFmtId="4" fontId="11" fillId="0" borderId="271" xfId="9" applyNumberFormat="1" applyFont="1" applyBorder="1" applyAlignment="1" applyProtection="1">
      <alignment horizontal="center" vertical="center"/>
      <protection locked="0"/>
    </xf>
    <xf numFmtId="169" fontId="11" fillId="0" borderId="263" xfId="8" applyFont="1" applyFill="1" applyBorder="1" applyAlignment="1" applyProtection="1">
      <alignment vertical="center"/>
      <protection locked="0"/>
    </xf>
    <xf numFmtId="169" fontId="11" fillId="0" borderId="263" xfId="8" applyFont="1" applyFill="1" applyBorder="1" applyAlignment="1" applyProtection="1">
      <alignment vertical="center"/>
    </xf>
    <xf numFmtId="43" fontId="11" fillId="0" borderId="263" xfId="10" applyFont="1" applyFill="1" applyBorder="1" applyAlignment="1" applyProtection="1">
      <alignment vertical="center"/>
      <protection locked="0"/>
    </xf>
    <xf numFmtId="9" fontId="10" fillId="0" borderId="263" xfId="11" applyFont="1" applyFill="1" applyBorder="1" applyAlignment="1" applyProtection="1">
      <alignment horizontal="center" vertical="center"/>
      <protection locked="0"/>
    </xf>
    <xf numFmtId="40" fontId="11" fillId="0" borderId="271" xfId="8" applyNumberFormat="1" applyFont="1" applyFill="1" applyBorder="1" applyAlignment="1" applyProtection="1">
      <alignment vertical="center"/>
    </xf>
    <xf numFmtId="40" fontId="11" fillId="0" borderId="271" xfId="8" applyNumberFormat="1" applyFont="1" applyFill="1" applyBorder="1" applyAlignment="1" applyProtection="1">
      <alignment horizontal="right" vertical="center"/>
      <protection locked="0"/>
    </xf>
    <xf numFmtId="170" fontId="10" fillId="0" borderId="271" xfId="8" applyNumberFormat="1" applyFont="1" applyFill="1" applyBorder="1" applyAlignment="1" applyProtection="1">
      <alignment horizontal="center" vertical="center"/>
    </xf>
    <xf numFmtId="4" fontId="10" fillId="0" borderId="271" xfId="8" applyNumberFormat="1" applyFont="1" applyFill="1" applyBorder="1" applyAlignment="1" applyProtection="1">
      <alignment horizontal="center" vertical="center"/>
      <protection locked="0"/>
    </xf>
    <xf numFmtId="9" fontId="11" fillId="0" borderId="219" xfId="11" applyFont="1" applyFill="1" applyBorder="1" applyAlignment="1" applyProtection="1">
      <alignment horizontal="center" vertical="center"/>
      <protection locked="0"/>
    </xf>
    <xf numFmtId="0" fontId="11" fillId="0" borderId="43" xfId="9" applyFont="1" applyBorder="1" applyAlignment="1" applyProtection="1">
      <alignment horizontal="center" vertical="center"/>
      <protection locked="0"/>
    </xf>
    <xf numFmtId="0" fontId="11" fillId="0" borderId="44" xfId="9" applyFont="1" applyBorder="1" applyAlignment="1" applyProtection="1">
      <alignment horizontal="center" vertical="center"/>
      <protection locked="0"/>
    </xf>
    <xf numFmtId="0" fontId="11" fillId="0" borderId="78" xfId="9" applyFont="1" applyBorder="1" applyAlignment="1" applyProtection="1">
      <alignment horizontal="center" vertical="center"/>
      <protection locked="0"/>
    </xf>
    <xf numFmtId="4" fontId="11" fillId="0" borderId="78" xfId="9" applyNumberFormat="1" applyFont="1" applyBorder="1" applyAlignment="1" applyProtection="1">
      <alignment horizontal="center" vertical="center"/>
      <protection locked="0"/>
    </xf>
    <xf numFmtId="3" fontId="11" fillId="0" borderId="0" xfId="9" applyNumberFormat="1" applyFont="1" applyAlignment="1" applyProtection="1">
      <alignment horizontal="left" vertical="center"/>
      <protection locked="0"/>
    </xf>
    <xf numFmtId="0" fontId="11" fillId="0" borderId="0" xfId="9" applyFont="1" applyAlignment="1" applyProtection="1">
      <alignment horizontal="center" vertical="center"/>
      <protection locked="0"/>
    </xf>
    <xf numFmtId="4" fontId="11" fillId="0" borderId="0" xfId="9" applyNumberFormat="1" applyFont="1" applyAlignment="1" applyProtection="1">
      <alignment horizontal="left" vertical="center"/>
      <protection locked="0"/>
    </xf>
    <xf numFmtId="3" fontId="11" fillId="0" borderId="0" xfId="9" applyNumberFormat="1" applyFont="1" applyAlignment="1" applyProtection="1">
      <alignment horizontal="right" vertical="center"/>
      <protection locked="0"/>
    </xf>
    <xf numFmtId="4" fontId="11" fillId="0" borderId="0" xfId="9" applyNumberFormat="1" applyFont="1" applyAlignment="1" applyProtection="1">
      <alignment horizontal="center" vertical="center"/>
      <protection locked="0"/>
    </xf>
    <xf numFmtId="174" fontId="11" fillId="0" borderId="0" xfId="8" applyNumberFormat="1" applyFont="1" applyFill="1" applyAlignment="1" applyProtection="1">
      <alignment horizontal="center" vertical="center"/>
      <protection locked="0"/>
    </xf>
    <xf numFmtId="4" fontId="10" fillId="0" borderId="78" xfId="9" applyNumberFormat="1" applyFont="1" applyBorder="1" applyAlignment="1" applyProtection="1">
      <alignment horizontal="center" vertical="center"/>
      <protection locked="0"/>
    </xf>
    <xf numFmtId="43" fontId="10" fillId="9" borderId="80" xfId="10" applyFont="1" applyFill="1" applyBorder="1" applyAlignment="1" applyProtection="1">
      <alignment horizontal="right" vertical="center"/>
      <protection locked="0"/>
    </xf>
    <xf numFmtId="43" fontId="10" fillId="0" borderId="313" xfId="10" applyFont="1" applyFill="1" applyBorder="1" applyAlignment="1" applyProtection="1">
      <alignment vertical="center"/>
    </xf>
    <xf numFmtId="43" fontId="10" fillId="0" borderId="313" xfId="10" applyFont="1" applyFill="1" applyBorder="1" applyAlignment="1" applyProtection="1">
      <alignment horizontal="center" vertical="center"/>
      <protection locked="0"/>
    </xf>
    <xf numFmtId="43" fontId="10" fillId="0" borderId="145" xfId="10" applyFont="1" applyFill="1" applyBorder="1" applyAlignment="1" applyProtection="1">
      <alignment horizontal="center" vertical="center"/>
      <protection locked="0"/>
    </xf>
    <xf numFmtId="43" fontId="10" fillId="0" borderId="314" xfId="10" applyFont="1" applyFill="1" applyBorder="1" applyAlignment="1" applyProtection="1">
      <alignment horizontal="center" vertical="center"/>
      <protection locked="0"/>
    </xf>
    <xf numFmtId="43" fontId="10" fillId="0" borderId="315" xfId="1" applyFont="1" applyFill="1" applyBorder="1" applyAlignment="1" applyProtection="1">
      <alignment horizontal="center" vertical="center"/>
      <protection locked="0"/>
    </xf>
    <xf numFmtId="173" fontId="10" fillId="0" borderId="316" xfId="1" applyNumberFormat="1" applyFont="1" applyFill="1" applyBorder="1" applyAlignment="1" applyProtection="1">
      <alignment horizontal="center" vertical="center"/>
      <protection locked="0"/>
    </xf>
    <xf numFmtId="173" fontId="10" fillId="0" borderId="317" xfId="1" applyNumberFormat="1" applyFont="1" applyFill="1" applyBorder="1" applyAlignment="1" applyProtection="1">
      <alignment horizontal="center" vertical="center"/>
      <protection locked="0"/>
    </xf>
    <xf numFmtId="175" fontId="11" fillId="0" borderId="0" xfId="8" applyNumberFormat="1" applyFont="1" applyFill="1" applyAlignment="1" applyProtection="1">
      <alignment horizontal="center" vertical="center"/>
      <protection locked="0"/>
    </xf>
    <xf numFmtId="170" fontId="11" fillId="0" borderId="0" xfId="8" applyNumberFormat="1" applyFont="1" applyFill="1" applyAlignment="1" applyProtection="1">
      <alignment horizontal="center" vertical="center"/>
    </xf>
    <xf numFmtId="0" fontId="11" fillId="0" borderId="145" xfId="9" applyFont="1" applyBorder="1" applyAlignment="1" applyProtection="1">
      <alignment horizontal="centerContinuous" vertical="center"/>
      <protection locked="0"/>
    </xf>
    <xf numFmtId="0" fontId="11" fillId="7" borderId="0" xfId="9" applyFont="1" applyFill="1" applyAlignment="1" applyProtection="1">
      <alignment horizontal="center" vertical="center"/>
      <protection locked="0"/>
    </xf>
    <xf numFmtId="176" fontId="11" fillId="0" borderId="0" xfId="8" applyNumberFormat="1" applyFont="1" applyFill="1" applyAlignment="1" applyProtection="1">
      <alignment horizontal="left" vertical="center"/>
      <protection locked="0"/>
    </xf>
    <xf numFmtId="176" fontId="11" fillId="0" borderId="0" xfId="8" applyNumberFormat="1" applyFont="1" applyFill="1" applyAlignment="1" applyProtection="1">
      <alignment horizontal="center" vertical="center"/>
      <protection locked="0"/>
    </xf>
    <xf numFmtId="0" fontId="11" fillId="0" borderId="145" xfId="9" applyFont="1" applyBorder="1" applyAlignment="1" applyProtection="1">
      <alignment horizontal="center" vertical="center"/>
      <protection locked="0"/>
    </xf>
    <xf numFmtId="0" fontId="11" fillId="0" borderId="87" xfId="9" applyFont="1" applyBorder="1" applyAlignment="1" applyProtection="1">
      <alignment horizontal="centerContinuous" vertical="center"/>
      <protection locked="0"/>
    </xf>
    <xf numFmtId="0" fontId="11" fillId="0" borderId="84" xfId="9" applyFont="1" applyBorder="1" applyAlignment="1" applyProtection="1">
      <alignment horizontal="centerContinuous" vertical="center"/>
      <protection locked="0"/>
    </xf>
    <xf numFmtId="4" fontId="11" fillId="0" borderId="314" xfId="9" applyNumberFormat="1" applyFont="1" applyBorder="1" applyAlignment="1" applyProtection="1">
      <alignment horizontal="center" vertical="center"/>
      <protection locked="0"/>
    </xf>
    <xf numFmtId="170" fontId="11" fillId="0" borderId="292" xfId="8" applyNumberFormat="1" applyFont="1" applyFill="1" applyBorder="1" applyAlignment="1" applyProtection="1">
      <alignment horizontal="center" vertical="center"/>
    </xf>
    <xf numFmtId="172" fontId="11" fillId="0" borderId="318" xfId="1" applyNumberFormat="1" applyFont="1" applyFill="1" applyBorder="1" applyAlignment="1" applyProtection="1">
      <alignment horizontal="center" vertical="center"/>
      <protection locked="0"/>
    </xf>
    <xf numFmtId="172" fontId="11" fillId="0" borderId="313" xfId="12" applyNumberFormat="1" applyFont="1" applyFill="1" applyBorder="1" applyAlignment="1" applyProtection="1">
      <alignment horizontal="center" vertical="center"/>
      <protection locked="0"/>
    </xf>
    <xf numFmtId="172" fontId="11" fillId="0" borderId="314" xfId="12" applyNumberFormat="1" applyFont="1" applyFill="1" applyBorder="1" applyAlignment="1" applyProtection="1">
      <alignment horizontal="center" vertical="center"/>
      <protection locked="0"/>
    </xf>
    <xf numFmtId="172" fontId="11" fillId="0" borderId="319" xfId="12" applyNumberFormat="1" applyFont="1" applyFill="1" applyBorder="1" applyAlignment="1" applyProtection="1">
      <alignment horizontal="center" vertical="center"/>
      <protection locked="0"/>
    </xf>
    <xf numFmtId="172" fontId="11" fillId="0" borderId="320" xfId="12" applyNumberFormat="1" applyFont="1" applyFill="1" applyBorder="1" applyAlignment="1" applyProtection="1">
      <alignment horizontal="center" vertical="center"/>
      <protection locked="0"/>
    </xf>
    <xf numFmtId="43" fontId="11" fillId="0" borderId="313" xfId="10" applyFont="1" applyFill="1" applyBorder="1" applyAlignment="1" applyProtection="1">
      <alignment vertical="center"/>
    </xf>
    <xf numFmtId="43" fontId="11" fillId="0" borderId="314" xfId="10" applyFont="1" applyFill="1" applyBorder="1" applyAlignment="1" applyProtection="1">
      <alignment horizontal="center" vertical="center"/>
      <protection locked="0"/>
    </xf>
    <xf numFmtId="43" fontId="11" fillId="0" borderId="321" xfId="10" applyFont="1" applyFill="1" applyBorder="1" applyAlignment="1" applyProtection="1">
      <alignment horizontal="center" vertical="center"/>
      <protection locked="0"/>
    </xf>
    <xf numFmtId="43" fontId="11" fillId="0" borderId="313" xfId="10" applyFont="1" applyFill="1" applyBorder="1" applyAlignment="1" applyProtection="1">
      <alignment horizontal="center" vertical="center"/>
      <protection locked="0"/>
    </xf>
    <xf numFmtId="43" fontId="11" fillId="9" borderId="315" xfId="10" applyFont="1" applyFill="1" applyBorder="1" applyAlignment="1" applyProtection="1">
      <alignment horizontal="right" vertical="center"/>
      <protection locked="0"/>
    </xf>
    <xf numFmtId="43" fontId="11" fillId="9" borderId="141" xfId="10" applyFont="1" applyFill="1" applyBorder="1" applyAlignment="1" applyProtection="1">
      <alignment horizontal="right" vertical="center"/>
      <protection locked="0"/>
    </xf>
    <xf numFmtId="0" fontId="11" fillId="0" borderId="321" xfId="9" applyFont="1" applyBorder="1" applyAlignment="1" applyProtection="1">
      <alignment horizontal="center" vertical="center"/>
      <protection locked="0"/>
    </xf>
    <xf numFmtId="0" fontId="11" fillId="0" borderId="321" xfId="9" applyFont="1" applyBorder="1" applyAlignment="1" applyProtection="1">
      <alignment horizontal="centerContinuous" vertical="center"/>
      <protection locked="0"/>
    </xf>
    <xf numFmtId="43" fontId="11" fillId="0" borderId="318" xfId="1" applyFont="1" applyFill="1" applyBorder="1" applyAlignment="1" applyProtection="1">
      <alignment horizontal="center" vertical="center"/>
      <protection locked="0"/>
    </xf>
    <xf numFmtId="173" fontId="12" fillId="0" borderId="318" xfId="1" applyNumberFormat="1" applyFont="1" applyFill="1" applyBorder="1" applyAlignment="1" applyProtection="1">
      <alignment horizontal="center" vertical="center"/>
      <protection locked="0"/>
    </xf>
    <xf numFmtId="173" fontId="12" fillId="0" borderId="322" xfId="1" applyNumberFormat="1" applyFont="1" applyFill="1" applyBorder="1" applyAlignment="1" applyProtection="1">
      <alignment horizontal="center" vertical="center"/>
      <protection locked="0"/>
    </xf>
    <xf numFmtId="9" fontId="11" fillId="0" borderId="0" xfId="11" applyFont="1" applyFill="1" applyAlignment="1" applyProtection="1">
      <alignment vertical="center"/>
      <protection locked="0"/>
    </xf>
    <xf numFmtId="4" fontId="11" fillId="0" borderId="85" xfId="9" applyNumberFormat="1" applyFont="1" applyBorder="1" applyAlignment="1" applyProtection="1">
      <alignment horizontal="center" vertical="center"/>
      <protection locked="0"/>
    </xf>
    <xf numFmtId="172" fontId="11" fillId="0" borderId="78" xfId="12" applyNumberFormat="1" applyFont="1" applyFill="1" applyBorder="1" applyAlignment="1" applyProtection="1">
      <alignment horizontal="center" vertical="center"/>
      <protection locked="0"/>
    </xf>
    <xf numFmtId="172" fontId="11" fillId="0" borderId="323" xfId="12" applyNumberFormat="1" applyFont="1" applyFill="1" applyBorder="1" applyAlignment="1" applyProtection="1">
      <alignment horizontal="center" vertical="center"/>
      <protection locked="0"/>
    </xf>
    <xf numFmtId="43" fontId="11" fillId="0" borderId="0" xfId="10" applyFont="1" applyFill="1" applyBorder="1" applyAlignment="1" applyProtection="1">
      <alignment horizontal="right" vertical="center"/>
      <protection locked="0"/>
    </xf>
    <xf numFmtId="43" fontId="11" fillId="0" borderId="324" xfId="1" applyFont="1" applyFill="1" applyBorder="1" applyAlignment="1" applyProtection="1">
      <alignment horizontal="center" vertical="center"/>
      <protection locked="0"/>
    </xf>
    <xf numFmtId="43" fontId="11" fillId="0" borderId="43" xfId="1" applyFont="1" applyFill="1" applyBorder="1" applyAlignment="1" applyProtection="1">
      <alignment horizontal="center" vertical="center"/>
      <protection locked="0"/>
    </xf>
    <xf numFmtId="43" fontId="11" fillId="0" borderId="44" xfId="1" applyFont="1" applyFill="1" applyBorder="1" applyAlignment="1" applyProtection="1">
      <alignment horizontal="center" vertical="center"/>
      <protection locked="0"/>
    </xf>
    <xf numFmtId="43" fontId="11" fillId="0" borderId="80" xfId="1" applyFont="1" applyFill="1" applyBorder="1" applyAlignment="1" applyProtection="1">
      <alignment horizontal="center" vertical="center"/>
      <protection locked="0"/>
    </xf>
    <xf numFmtId="173" fontId="12" fillId="0" borderId="316" xfId="1" applyNumberFormat="1" applyFont="1" applyFill="1" applyBorder="1" applyAlignment="1" applyProtection="1">
      <alignment horizontal="center" vertical="center"/>
      <protection locked="0"/>
    </xf>
    <xf numFmtId="0" fontId="11" fillId="0" borderId="0" xfId="9" applyFont="1" applyAlignment="1">
      <alignment horizontal="left" vertical="center"/>
    </xf>
    <xf numFmtId="0" fontId="5" fillId="0" borderId="0" xfId="9"/>
    <xf numFmtId="43" fontId="11" fillId="0" borderId="0" xfId="1" applyFont="1"/>
    <xf numFmtId="170" fontId="11" fillId="0" borderId="325" xfId="8" applyNumberFormat="1" applyFont="1" applyFill="1" applyBorder="1" applyAlignment="1" applyProtection="1">
      <alignment horizontal="center" vertical="center"/>
    </xf>
    <xf numFmtId="172" fontId="11" fillId="0" borderId="318" xfId="12" applyNumberFormat="1" applyFont="1" applyFill="1" applyBorder="1" applyAlignment="1" applyProtection="1">
      <alignment horizontal="center" vertical="center"/>
      <protection locked="0"/>
    </xf>
    <xf numFmtId="172" fontId="11" fillId="0" borderId="324" xfId="12" applyNumberFormat="1" applyFont="1" applyFill="1" applyBorder="1" applyAlignment="1" applyProtection="1">
      <alignment horizontal="center" vertical="center"/>
      <protection locked="0"/>
    </xf>
    <xf numFmtId="175" fontId="5" fillId="0" borderId="0" xfId="8" applyNumberFormat="1" applyFill="1" applyAlignment="1" applyProtection="1">
      <alignment horizontal="center" vertical="center"/>
    </xf>
    <xf numFmtId="43" fontId="11" fillId="0" borderId="326" xfId="1" applyFont="1" applyFill="1" applyBorder="1" applyAlignment="1" applyProtection="1">
      <alignment horizontal="center" vertical="center"/>
      <protection locked="0"/>
    </xf>
    <xf numFmtId="43" fontId="11" fillId="0" borderId="327" xfId="1" applyFont="1" applyFill="1" applyBorder="1" applyAlignment="1" applyProtection="1">
      <alignment horizontal="center" vertical="center"/>
      <protection locked="0"/>
    </xf>
    <xf numFmtId="180" fontId="11" fillId="0" borderId="0" xfId="1" applyNumberFormat="1" applyFont="1"/>
    <xf numFmtId="180" fontId="5" fillId="0" borderId="0" xfId="1" applyNumberFormat="1" applyFont="1"/>
    <xf numFmtId="0" fontId="35" fillId="0" borderId="0" xfId="9" applyFont="1" applyAlignment="1" applyProtection="1">
      <alignment horizontal="centerContinuous" vertical="center"/>
      <protection locked="0"/>
    </xf>
    <xf numFmtId="0" fontId="35" fillId="7" borderId="0" xfId="9" applyFont="1" applyFill="1" applyAlignment="1" applyProtection="1">
      <alignment horizontal="center" vertical="center"/>
      <protection locked="0"/>
    </xf>
    <xf numFmtId="43" fontId="5" fillId="0" borderId="0" xfId="1" applyFont="1" applyFill="1"/>
    <xf numFmtId="0" fontId="32" fillId="0" borderId="0" xfId="14" applyFont="1" applyAlignment="1">
      <alignment horizontal="center" vertical="center" wrapText="1"/>
    </xf>
    <xf numFmtId="43" fontId="5" fillId="0" borderId="0" xfId="1" applyFont="1"/>
    <xf numFmtId="0" fontId="32" fillId="0" borderId="328" xfId="14" applyFont="1" applyBorder="1" applyAlignment="1">
      <alignment horizontal="center" vertical="center" wrapText="1"/>
    </xf>
    <xf numFmtId="43" fontId="32" fillId="0" borderId="321" xfId="14" applyNumberFormat="1" applyFont="1" applyBorder="1" applyAlignment="1">
      <alignment horizontal="center" vertical="center" wrapText="1"/>
    </xf>
    <xf numFmtId="43" fontId="5" fillId="0" borderId="0" xfId="9" applyNumberFormat="1" applyFont="1" applyFill="1" applyAlignment="1">
      <alignment vertical="top"/>
    </xf>
    <xf numFmtId="0" fontId="5" fillId="0" borderId="0" xfId="4" applyFont="1" applyFill="1" applyBorder="1" applyAlignment="1">
      <alignment vertical="center" wrapText="1"/>
    </xf>
    <xf numFmtId="0" fontId="5" fillId="0" borderId="0" xfId="4" applyFont="1" applyFill="1" applyBorder="1" applyAlignment="1">
      <alignment horizontal="center" vertical="center" wrapText="1"/>
    </xf>
    <xf numFmtId="0" fontId="4" fillId="0" borderId="8" xfId="0" applyFont="1" applyBorder="1" applyAlignment="1">
      <alignment horizontal="center" vertical="center"/>
    </xf>
    <xf numFmtId="0" fontId="54" fillId="0" borderId="328" xfId="14" applyFont="1" applyBorder="1" applyAlignment="1">
      <alignment horizontal="center" vertical="center" wrapText="1"/>
    </xf>
    <xf numFmtId="191" fontId="11" fillId="0" borderId="156" xfId="10" applyNumberFormat="1" applyFont="1" applyFill="1" applyBorder="1" applyAlignment="1" applyProtection="1">
      <alignment vertical="center"/>
    </xf>
    <xf numFmtId="191" fontId="10" fillId="0" borderId="316" xfId="1" applyNumberFormat="1" applyFont="1" applyFill="1" applyBorder="1" applyAlignment="1" applyProtection="1">
      <alignment horizontal="center" vertical="center"/>
      <protection locked="0"/>
    </xf>
    <xf numFmtId="184" fontId="5" fillId="0" borderId="22" xfId="9" applyNumberFormat="1" applyFont="1" applyFill="1" applyBorder="1" applyAlignment="1">
      <alignment horizontal="center" vertical="center"/>
    </xf>
    <xf numFmtId="43" fontId="6" fillId="11" borderId="0" xfId="1" applyFont="1" applyFill="1" applyBorder="1" applyAlignment="1">
      <alignment horizontal="center" vertical="center"/>
    </xf>
    <xf numFmtId="0" fontId="0" fillId="0" borderId="0" xfId="0"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0" fillId="0" borderId="0" xfId="0" applyAlignment="1">
      <alignment horizontal="center" vertical="center"/>
    </xf>
    <xf numFmtId="184" fontId="5" fillId="0" borderId="328" xfId="9" applyNumberFormat="1" applyFont="1" applyFill="1" applyBorder="1" applyAlignment="1">
      <alignment horizontal="center" vertical="center"/>
    </xf>
    <xf numFmtId="4" fontId="0" fillId="0" borderId="0" xfId="0" applyNumberFormat="1" applyAlignment="1">
      <alignment horizontal="center" vertical="center"/>
    </xf>
    <xf numFmtId="184" fontId="5" fillId="0" borderId="121" xfId="9" applyNumberFormat="1"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84" fontId="5" fillId="0" borderId="13" xfId="9" applyNumberFormat="1" applyFont="1" applyFill="1" applyBorder="1" applyAlignment="1">
      <alignment horizontal="center" vertical="center"/>
    </xf>
    <xf numFmtId="4" fontId="0" fillId="0" borderId="5" xfId="0" applyNumberForma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4" fontId="0" fillId="0" borderId="0" xfId="0" applyNumberForma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184" fontId="5" fillId="0" borderId="17" xfId="9" applyNumberFormat="1" applyFont="1" applyFill="1" applyBorder="1" applyAlignment="1">
      <alignment horizontal="center" vertical="center"/>
    </xf>
    <xf numFmtId="4" fontId="0" fillId="0" borderId="10" xfId="0" applyNumberFormat="1" applyBorder="1" applyAlignment="1">
      <alignment horizontal="center" vertical="center"/>
    </xf>
    <xf numFmtId="0" fontId="0" fillId="0" borderId="11" xfId="0" applyBorder="1" applyAlignment="1">
      <alignment horizontal="center" vertical="center"/>
    </xf>
    <xf numFmtId="0" fontId="0" fillId="0" borderId="0" xfId="0" applyAlignment="1">
      <alignment horizontal="left" vertical="center"/>
    </xf>
    <xf numFmtId="10" fontId="0" fillId="0" borderId="0" xfId="0" applyNumberFormat="1" applyAlignment="1">
      <alignment horizontal="center" vertical="center"/>
    </xf>
    <xf numFmtId="10" fontId="0" fillId="0" borderId="5" xfId="0" applyNumberFormat="1" applyBorder="1" applyAlignment="1">
      <alignment horizontal="center" vertical="center"/>
    </xf>
    <xf numFmtId="4" fontId="0" fillId="0" borderId="6" xfId="0" applyNumberFormat="1" applyBorder="1" applyAlignment="1">
      <alignment horizontal="center" vertical="center"/>
    </xf>
    <xf numFmtId="10" fontId="0" fillId="0" borderId="0" xfId="0" applyNumberFormat="1" applyBorder="1" applyAlignment="1">
      <alignment horizontal="center" vertical="center"/>
    </xf>
    <xf numFmtId="4" fontId="0" fillId="0" borderId="8" xfId="0" applyNumberFormat="1" applyBorder="1" applyAlignment="1">
      <alignment horizontal="center" vertical="center"/>
    </xf>
    <xf numFmtId="10" fontId="0" fillId="0" borderId="10" xfId="0" applyNumberFormat="1" applyBorder="1" applyAlignment="1">
      <alignment horizontal="center" vertical="center"/>
    </xf>
    <xf numFmtId="4" fontId="0" fillId="0" borderId="11" xfId="0" applyNumberFormat="1" applyBorder="1" applyAlignment="1">
      <alignment horizontal="center" vertical="center"/>
    </xf>
    <xf numFmtId="0" fontId="55" fillId="0" borderId="0" xfId="0" applyFont="1" applyAlignment="1">
      <alignment horizontal="justify" vertical="center"/>
    </xf>
    <xf numFmtId="10" fontId="0" fillId="0" borderId="0" xfId="3" applyNumberFormat="1" applyFont="1" applyAlignment="1">
      <alignment horizontal="center"/>
    </xf>
    <xf numFmtId="0" fontId="31" fillId="0" borderId="0" xfId="0" applyFont="1" applyAlignment="1">
      <alignment horizontal="center" vertical="center"/>
    </xf>
    <xf numFmtId="2" fontId="31" fillId="0" borderId="0" xfId="0" applyNumberFormat="1" applyFont="1" applyAlignment="1">
      <alignment horizontal="left" vertical="center"/>
    </xf>
    <xf numFmtId="2" fontId="31" fillId="0" borderId="0" xfId="0" applyNumberFormat="1" applyFont="1" applyAlignment="1">
      <alignment horizontal="center" vertical="center"/>
    </xf>
    <xf numFmtId="9" fontId="4" fillId="0" borderId="0" xfId="1" applyNumberFormat="1" applyFont="1" applyAlignment="1">
      <alignment vertical="center"/>
    </xf>
    <xf numFmtId="194" fontId="10" fillId="0" borderId="230" xfId="8" applyNumberFormat="1" applyFont="1" applyFill="1" applyBorder="1" applyAlignment="1" applyProtection="1">
      <alignment horizontal="right" vertical="center"/>
      <protection locked="0"/>
    </xf>
    <xf numFmtId="40" fontId="10" fillId="0" borderId="230" xfId="8" applyNumberFormat="1" applyFont="1" applyFill="1" applyBorder="1" applyAlignment="1" applyProtection="1">
      <alignment horizontal="right" vertical="center"/>
      <protection locked="0"/>
    </xf>
    <xf numFmtId="0" fontId="0" fillId="0" borderId="0" xfId="0" applyAlignment="1">
      <alignment horizontal="center"/>
    </xf>
    <xf numFmtId="0" fontId="0" fillId="0" borderId="0" xfId="0" applyAlignment="1">
      <alignment horizontal="center"/>
    </xf>
    <xf numFmtId="195" fontId="11" fillId="0" borderId="229" xfId="8" applyNumberFormat="1" applyFont="1" applyFill="1" applyBorder="1" applyAlignment="1" applyProtection="1">
      <alignment horizontal="center" vertical="center"/>
      <protection locked="0"/>
    </xf>
    <xf numFmtId="0" fontId="4" fillId="0" borderId="0" xfId="0" applyFont="1" applyAlignment="1">
      <alignment horizontal="center"/>
    </xf>
    <xf numFmtId="0" fontId="4" fillId="0" borderId="0" xfId="0" applyFont="1" applyAlignment="1">
      <alignment horizontal="center" vertical="center"/>
    </xf>
    <xf numFmtId="43" fontId="6" fillId="0" borderId="0" xfId="4" applyNumberFormat="1" applyFont="1" applyFill="1" applyBorder="1" applyAlignment="1">
      <alignment horizontal="center" vertical="center"/>
    </xf>
    <xf numFmtId="43" fontId="5" fillId="0" borderId="0" xfId="4" applyNumberFormat="1" applyFont="1" applyFill="1" applyBorder="1" applyAlignment="1">
      <alignment horizontal="center" vertical="center"/>
    </xf>
    <xf numFmtId="43" fontId="5" fillId="0" borderId="10" xfId="4" applyNumberFormat="1" applyFont="1" applyFill="1" applyBorder="1" applyAlignment="1">
      <alignment horizontal="center" vertical="center"/>
    </xf>
    <xf numFmtId="43" fontId="5" fillId="0" borderId="11" xfId="4" applyNumberFormat="1" applyFont="1" applyFill="1" applyBorder="1" applyAlignment="1">
      <alignment horizontal="center" vertical="center"/>
    </xf>
    <xf numFmtId="0" fontId="0" fillId="0" borderId="0" xfId="0" applyAlignment="1">
      <alignment horizontal="center"/>
    </xf>
    <xf numFmtId="0" fontId="4" fillId="0" borderId="0" xfId="0" applyFont="1" applyAlignment="1">
      <alignment horizontal="center" vertical="center"/>
    </xf>
    <xf numFmtId="0" fontId="5" fillId="0" borderId="0" xfId="9" applyFont="1" applyFill="1" applyAlignment="1">
      <alignment vertical="center" wrapText="1"/>
    </xf>
    <xf numFmtId="0" fontId="5" fillId="0" borderId="22" xfId="9" applyFont="1" applyFill="1" applyBorder="1" applyAlignment="1">
      <alignment horizontal="center" vertical="center"/>
    </xf>
    <xf numFmtId="0" fontId="6" fillId="0" borderId="142" xfId="9" applyFont="1" applyFill="1" applyBorder="1" applyAlignment="1">
      <alignment horizontal="center" vertical="center"/>
    </xf>
    <xf numFmtId="0" fontId="12" fillId="7" borderId="243" xfId="9" applyFont="1" applyFill="1" applyBorder="1" applyAlignment="1" applyProtection="1">
      <alignment horizontal="center" vertical="center"/>
    </xf>
    <xf numFmtId="0" fontId="4" fillId="0" borderId="16" xfId="0" applyFont="1" applyBorder="1" applyAlignment="1">
      <alignment horizontal="center" vertical="center"/>
    </xf>
    <xf numFmtId="9" fontId="5" fillId="0" borderId="333" xfId="0" applyNumberFormat="1" applyFont="1" applyBorder="1" applyAlignment="1" applyProtection="1">
      <alignment horizontal="center" vertical="center"/>
    </xf>
    <xf numFmtId="9" fontId="5" fillId="0" borderId="334" xfId="0" applyNumberFormat="1" applyFont="1" applyBorder="1" applyAlignment="1">
      <alignment horizontal="center" vertical="center"/>
    </xf>
    <xf numFmtId="9" fontId="5" fillId="0" borderId="335" xfId="0" applyNumberFormat="1" applyFont="1" applyBorder="1" applyAlignment="1" applyProtection="1">
      <alignment horizontal="center" vertical="center"/>
    </xf>
    <xf numFmtId="0" fontId="4" fillId="0" borderId="12" xfId="0" applyFont="1" applyBorder="1" applyAlignment="1">
      <alignment horizontal="center" vertical="center"/>
    </xf>
    <xf numFmtId="9" fontId="5" fillId="0" borderId="336" xfId="0" applyNumberFormat="1" applyFont="1" applyBorder="1" applyAlignment="1" applyProtection="1">
      <alignment horizontal="center" vertical="center"/>
    </xf>
    <xf numFmtId="9" fontId="5" fillId="0" borderId="337" xfId="0" applyNumberFormat="1" applyFont="1" applyBorder="1" applyAlignment="1">
      <alignment horizontal="center" vertical="center"/>
    </xf>
    <xf numFmtId="9" fontId="5" fillId="0" borderId="337" xfId="0" applyNumberFormat="1" applyFont="1" applyBorder="1" applyAlignment="1" applyProtection="1">
      <alignment horizontal="center" vertical="center"/>
    </xf>
    <xf numFmtId="9" fontId="5" fillId="0" borderId="338" xfId="0" applyNumberFormat="1" applyFont="1" applyBorder="1" applyAlignment="1" applyProtection="1">
      <alignment horizontal="center" vertical="center"/>
    </xf>
    <xf numFmtId="0" fontId="4" fillId="0" borderId="21" xfId="0" applyFont="1" applyBorder="1" applyAlignment="1">
      <alignment horizontal="center" vertical="center"/>
    </xf>
    <xf numFmtId="9" fontId="5" fillId="0" borderId="339" xfId="0" applyNumberFormat="1" applyFont="1" applyBorder="1" applyAlignment="1" applyProtection="1">
      <alignment horizontal="center" vertical="center"/>
    </xf>
    <xf numFmtId="9" fontId="5" fillId="0" borderId="340" xfId="0" applyNumberFormat="1" applyFont="1" applyBorder="1" applyAlignment="1">
      <alignment horizontal="center" vertical="center"/>
    </xf>
    <xf numFmtId="9" fontId="5" fillId="0" borderId="341" xfId="0" applyNumberFormat="1" applyFont="1" applyBorder="1" applyAlignment="1" applyProtection="1">
      <alignment horizontal="center" vertical="center"/>
    </xf>
    <xf numFmtId="9" fontId="5" fillId="0" borderId="340" xfId="0" applyNumberFormat="1" applyFont="1" applyBorder="1" applyAlignment="1" applyProtection="1">
      <alignment horizontal="center" vertical="center"/>
    </xf>
    <xf numFmtId="17" fontId="5" fillId="0" borderId="5" xfId="0" quotePrefix="1" applyNumberFormat="1" applyFont="1" applyFill="1" applyBorder="1" applyAlignment="1">
      <alignment vertical="center" wrapText="1"/>
    </xf>
    <xf numFmtId="43" fontId="5" fillId="0" borderId="5" xfId="4" applyNumberFormat="1" applyFont="1" applyFill="1" applyBorder="1" applyAlignment="1">
      <alignment vertical="center" wrapText="1"/>
    </xf>
    <xf numFmtId="43" fontId="5" fillId="0" borderId="0" xfId="4" applyNumberFormat="1" applyFont="1" applyFill="1" applyBorder="1" applyAlignment="1">
      <alignment vertical="center" wrapText="1"/>
    </xf>
    <xf numFmtId="43" fontId="5" fillId="0" borderId="10" xfId="4" applyNumberFormat="1" applyFont="1" applyFill="1" applyBorder="1" applyAlignment="1">
      <alignment vertical="center" wrapText="1"/>
    </xf>
    <xf numFmtId="43" fontId="5" fillId="0" borderId="6" xfId="4" applyNumberFormat="1" applyFont="1" applyFill="1" applyBorder="1" applyAlignment="1">
      <alignment vertical="center"/>
    </xf>
    <xf numFmtId="49" fontId="5" fillId="0" borderId="0" xfId="4" applyNumberFormat="1" applyFont="1" applyFill="1" applyBorder="1" applyAlignment="1">
      <alignment vertical="center" wrapText="1"/>
    </xf>
    <xf numFmtId="43" fontId="5" fillId="0" borderId="8" xfId="4" applyNumberFormat="1" applyFont="1" applyFill="1" applyBorder="1" applyAlignment="1">
      <alignment vertical="center"/>
    </xf>
    <xf numFmtId="10" fontId="5" fillId="0" borderId="0" xfId="3" applyNumberFormat="1" applyFont="1" applyFill="1" applyBorder="1" applyAlignment="1">
      <alignment vertical="center" wrapText="1"/>
    </xf>
    <xf numFmtId="0" fontId="4" fillId="0" borderId="0" xfId="0" applyFont="1" applyAlignment="1">
      <alignment horizontal="center" vertical="center"/>
    </xf>
    <xf numFmtId="172" fontId="11" fillId="7" borderId="0" xfId="9" applyNumberFormat="1" applyFont="1" applyFill="1" applyBorder="1" applyAlignment="1" applyProtection="1">
      <alignment horizontal="center" vertical="center"/>
      <protection locked="0"/>
    </xf>
    <xf numFmtId="0" fontId="12" fillId="7" borderId="342" xfId="9" applyFont="1" applyFill="1" applyBorder="1" applyAlignment="1" applyProtection="1">
      <alignment horizontal="center" vertical="center"/>
    </xf>
    <xf numFmtId="169" fontId="5" fillId="0" borderId="243" xfId="8" applyFont="1" applyFill="1" applyBorder="1" applyAlignment="1" applyProtection="1">
      <alignment vertical="center"/>
    </xf>
    <xf numFmtId="173" fontId="11" fillId="0" borderId="344" xfId="10" applyNumberFormat="1" applyFont="1" applyFill="1" applyBorder="1" applyAlignment="1" applyProtection="1">
      <alignment vertical="center"/>
    </xf>
    <xf numFmtId="173" fontId="11" fillId="0" borderId="299" xfId="10" applyNumberFormat="1" applyFont="1" applyFill="1" applyBorder="1" applyAlignment="1" applyProtection="1">
      <alignment vertical="center"/>
    </xf>
    <xf numFmtId="173" fontId="11" fillId="0" borderId="345" xfId="10" applyNumberFormat="1" applyFont="1" applyFill="1" applyBorder="1" applyAlignment="1" applyProtection="1">
      <alignment vertical="center"/>
    </xf>
    <xf numFmtId="173" fontId="11" fillId="0" borderId="346" xfId="10" applyNumberFormat="1" applyFont="1" applyFill="1" applyBorder="1" applyAlignment="1" applyProtection="1">
      <alignment vertical="center"/>
    </xf>
    <xf numFmtId="173" fontId="11" fillId="0" borderId="273" xfId="10" applyNumberFormat="1" applyFont="1" applyFill="1" applyBorder="1" applyAlignment="1" applyProtection="1">
      <alignment vertical="center"/>
    </xf>
    <xf numFmtId="41" fontId="11" fillId="0" borderId="277" xfId="1" applyNumberFormat="1" applyFont="1" applyFill="1" applyBorder="1" applyAlignment="1" applyProtection="1">
      <alignment horizontal="center" vertical="center"/>
      <protection locked="0"/>
    </xf>
    <xf numFmtId="41" fontId="11" fillId="0" borderId="0" xfId="1" applyNumberFormat="1" applyFont="1" applyFill="1" applyBorder="1" applyAlignment="1" applyProtection="1">
      <alignment horizontal="center" vertical="center"/>
      <protection locked="0"/>
    </xf>
    <xf numFmtId="196" fontId="10" fillId="0" borderId="287" xfId="1" applyNumberFormat="1" applyFont="1" applyFill="1" applyBorder="1" applyAlignment="1" applyProtection="1">
      <alignment horizontal="center" vertical="center"/>
      <protection locked="0"/>
    </xf>
    <xf numFmtId="191" fontId="11" fillId="11" borderId="156" xfId="1" applyNumberFormat="1" applyFont="1" applyFill="1" applyBorder="1" applyAlignment="1" applyProtection="1">
      <alignment horizontal="center" vertical="center"/>
      <protection locked="0"/>
    </xf>
    <xf numFmtId="0" fontId="5" fillId="0" borderId="328" xfId="9" applyFont="1" applyFill="1" applyBorder="1" applyAlignment="1">
      <alignment horizontal="center" vertical="center"/>
    </xf>
    <xf numFmtId="43" fontId="5" fillId="0" borderId="328" xfId="1" applyFont="1" applyFill="1" applyBorder="1" applyAlignment="1">
      <alignment horizontal="left" vertical="center"/>
    </xf>
    <xf numFmtId="0" fontId="5" fillId="0" borderId="328" xfId="9" applyFont="1" applyFill="1" applyBorder="1" applyAlignment="1">
      <alignment horizontal="center" vertical="center" wrapText="1"/>
    </xf>
    <xf numFmtId="43" fontId="4" fillId="0" borderId="328" xfId="0" applyNumberFormat="1" applyFont="1" applyBorder="1" applyAlignment="1">
      <alignment horizontal="center" vertical="center" wrapText="1"/>
    </xf>
    <xf numFmtId="43" fontId="9" fillId="11" borderId="142" xfId="1" applyFont="1" applyFill="1" applyBorder="1" applyAlignment="1">
      <alignment horizontal="center" vertical="center"/>
    </xf>
    <xf numFmtId="43" fontId="5" fillId="0" borderId="0" xfId="1" applyFont="1" applyFill="1" applyAlignment="1">
      <alignment vertical="center"/>
    </xf>
    <xf numFmtId="0" fontId="4" fillId="0" borderId="0" xfId="0" applyFont="1" applyAlignment="1">
      <alignment horizontal="center" vertical="center"/>
    </xf>
    <xf numFmtId="0" fontId="6" fillId="0" borderId="22" xfId="9" applyFont="1" applyFill="1" applyBorder="1" applyAlignment="1">
      <alignment horizontal="center" vertical="center"/>
    </xf>
    <xf numFmtId="0" fontId="5" fillId="0" borderId="0" xfId="9" applyFont="1" applyFill="1" applyAlignment="1">
      <alignment vertical="center" wrapText="1"/>
    </xf>
    <xf numFmtId="0" fontId="5" fillId="0" borderId="22" xfId="9" applyFont="1" applyFill="1" applyBorder="1" applyAlignment="1">
      <alignment horizontal="center" vertical="center"/>
    </xf>
    <xf numFmtId="43" fontId="6" fillId="0" borderId="0" xfId="1" applyFont="1" applyFill="1" applyAlignment="1">
      <alignment vertical="center"/>
    </xf>
    <xf numFmtId="0" fontId="5" fillId="4" borderId="21" xfId="4" applyFont="1" applyFill="1" applyBorder="1" applyAlignment="1">
      <alignment horizontal="center" vertical="center"/>
    </xf>
    <xf numFmtId="0" fontId="5" fillId="4" borderId="22" xfId="0" applyFont="1" applyFill="1" applyBorder="1" applyAlignment="1">
      <alignment horizontal="center" vertical="center" wrapText="1"/>
    </xf>
    <xf numFmtId="168" fontId="5" fillId="4" borderId="142" xfId="1" applyNumberFormat="1" applyFont="1" applyFill="1" applyBorder="1" applyAlignment="1">
      <alignment horizontal="center" vertical="center"/>
    </xf>
    <xf numFmtId="0" fontId="6" fillId="2" borderId="0" xfId="1" applyNumberFormat="1" applyFont="1" applyFill="1" applyBorder="1" applyAlignment="1">
      <alignment vertical="center"/>
    </xf>
    <xf numFmtId="4" fontId="25" fillId="0" borderId="0" xfId="0" applyNumberFormat="1" applyFont="1"/>
    <xf numFmtId="43" fontId="25" fillId="0" borderId="0" xfId="0" applyNumberFormat="1" applyFont="1"/>
    <xf numFmtId="0" fontId="3" fillId="0" borderId="0" xfId="0" applyFont="1" applyAlignment="1">
      <alignment horizontal="center"/>
    </xf>
    <xf numFmtId="43" fontId="5" fillId="4" borderId="22" xfId="1" applyFont="1" applyFill="1" applyBorder="1" applyAlignment="1">
      <alignment horizontal="center" vertical="center" wrapText="1"/>
    </xf>
    <xf numFmtId="0" fontId="24" fillId="0" borderId="0" xfId="9" applyFont="1" applyFill="1" applyAlignment="1">
      <alignment vertical="center"/>
    </xf>
    <xf numFmtId="0" fontId="6" fillId="0" borderId="0" xfId="4" applyFont="1" applyFill="1" applyBorder="1" applyAlignment="1">
      <alignment horizontal="center" vertical="center"/>
    </xf>
    <xf numFmtId="0" fontId="6" fillId="12" borderId="0" xfId="0" applyFont="1" applyFill="1" applyBorder="1" applyAlignment="1">
      <alignment horizontal="centerContinuous" vertical="center"/>
    </xf>
    <xf numFmtId="0" fontId="5" fillId="0" borderId="0" xfId="0" applyFont="1" applyFill="1" applyBorder="1" applyAlignment="1">
      <alignment horizontal="center" vertical="center"/>
    </xf>
    <xf numFmtId="44" fontId="5" fillId="0" borderId="0" xfId="2" applyFont="1" applyBorder="1" applyAlignment="1">
      <alignment horizontal="center" vertical="center" wrapText="1"/>
    </xf>
    <xf numFmtId="40" fontId="5" fillId="0" borderId="0" xfId="4" applyNumberFormat="1" applyFont="1" applyFill="1" applyBorder="1" applyAlignment="1">
      <alignment horizontal="center" vertical="center" wrapText="1"/>
    </xf>
    <xf numFmtId="167" fontId="5" fillId="0" borderId="0" xfId="5" applyNumberFormat="1" applyFont="1" applyFill="1" applyBorder="1" applyAlignment="1" applyProtection="1">
      <alignment horizontal="center" vertical="center" wrapText="1"/>
    </xf>
    <xf numFmtId="43" fontId="6" fillId="5" borderId="0" xfId="1" applyFont="1" applyFill="1" applyBorder="1" applyAlignment="1">
      <alignment horizontal="center" vertical="center"/>
    </xf>
    <xf numFmtId="43" fontId="6" fillId="2" borderId="0" xfId="1" applyFont="1" applyFill="1" applyBorder="1" applyAlignment="1">
      <alignment horizontal="center" vertical="center"/>
    </xf>
    <xf numFmtId="43" fontId="4" fillId="0" borderId="0" xfId="1" applyFont="1" applyFill="1" applyBorder="1" applyAlignment="1">
      <alignment horizontal="center" vertical="center"/>
    </xf>
    <xf numFmtId="0" fontId="0" fillId="0" borderId="0" xfId="0" applyAlignment="1">
      <alignment horizontal="center"/>
    </xf>
    <xf numFmtId="0" fontId="4" fillId="0" borderId="0" xfId="0" applyFont="1" applyAlignment="1">
      <alignment horizontal="center" vertical="center"/>
    </xf>
    <xf numFmtId="10" fontId="5" fillId="0" borderId="0" xfId="3" applyNumberFormat="1" applyFont="1" applyFill="1" applyBorder="1" applyAlignment="1">
      <alignment horizontal="center" vertical="center"/>
    </xf>
    <xf numFmtId="10" fontId="5" fillId="0" borderId="10" xfId="3" applyNumberFormat="1" applyFont="1" applyFill="1" applyBorder="1" applyAlignment="1">
      <alignment horizontal="center" vertical="center"/>
    </xf>
    <xf numFmtId="17" fontId="5" fillId="0" borderId="5" xfId="0" quotePrefix="1" applyNumberFormat="1" applyFont="1" applyFill="1" applyBorder="1" applyAlignment="1">
      <alignment horizontal="center" vertical="center"/>
    </xf>
    <xf numFmtId="43" fontId="6" fillId="0" borderId="0" xfId="4" applyNumberFormat="1"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43" fontId="4" fillId="0" borderId="0" xfId="0" applyNumberFormat="1" applyFont="1" applyAlignment="1">
      <alignment horizontal="center" vertical="center"/>
    </xf>
    <xf numFmtId="0" fontId="5" fillId="0" borderId="4" xfId="4" applyBorder="1" applyAlignment="1">
      <alignment horizontal="left" vertical="center"/>
    </xf>
    <xf numFmtId="0" fontId="6" fillId="0" borderId="5" xfId="4" applyFont="1" applyBorder="1" applyAlignment="1">
      <alignment horizontal="left" vertical="center"/>
    </xf>
    <xf numFmtId="0" fontId="8" fillId="0" borderId="5" xfId="0" applyFont="1" applyBorder="1" applyAlignment="1">
      <alignment horizontal="left" vertical="center"/>
    </xf>
    <xf numFmtId="0" fontId="4" fillId="0" borderId="6" xfId="0" applyFont="1" applyBorder="1" applyAlignment="1">
      <alignment vertical="center"/>
    </xf>
    <xf numFmtId="0" fontId="5" fillId="0" borderId="7" xfId="4" applyBorder="1" applyAlignment="1">
      <alignment horizontal="left" vertical="center"/>
    </xf>
    <xf numFmtId="0" fontId="6" fillId="0" borderId="0" xfId="4" applyFont="1" applyAlignment="1">
      <alignment horizontal="left" vertical="center"/>
    </xf>
    <xf numFmtId="0" fontId="8" fillId="0" borderId="0" xfId="0" applyFont="1" applyAlignment="1">
      <alignment horizontal="left" vertical="center"/>
    </xf>
    <xf numFmtId="183" fontId="8" fillId="0" borderId="0" xfId="1" applyNumberFormat="1" applyFont="1" applyFill="1" applyBorder="1" applyAlignment="1">
      <alignment horizontal="left" vertical="center"/>
    </xf>
    <xf numFmtId="0" fontId="5" fillId="0" borderId="0" xfId="4" applyAlignment="1">
      <alignment vertical="center" wrapText="1"/>
    </xf>
    <xf numFmtId="0" fontId="5" fillId="0" borderId="0" xfId="4" applyAlignment="1">
      <alignment horizontal="center" vertical="center" wrapText="1"/>
    </xf>
    <xf numFmtId="0" fontId="8" fillId="0" borderId="8" xfId="0" applyFont="1" applyBorder="1" applyAlignment="1">
      <alignment horizontal="left" vertical="center"/>
    </xf>
    <xf numFmtId="0" fontId="5" fillId="0" borderId="9" xfId="4" applyBorder="1" applyAlignment="1">
      <alignment horizontal="left" vertical="center"/>
    </xf>
    <xf numFmtId="0" fontId="6" fillId="0" borderId="10" xfId="4" applyFont="1" applyBorder="1" applyAlignment="1">
      <alignment horizontal="left" vertical="center"/>
    </xf>
    <xf numFmtId="0" fontId="8" fillId="0" borderId="10" xfId="0" applyFont="1" applyBorder="1" applyAlignment="1">
      <alignment horizontal="left" vertical="center"/>
    </xf>
    <xf numFmtId="0" fontId="5" fillId="0" borderId="10" xfId="4" applyBorder="1" applyAlignment="1">
      <alignment vertical="center" wrapText="1"/>
    </xf>
    <xf numFmtId="0" fontId="5" fillId="0" borderId="10" xfId="4" applyBorder="1" applyAlignment="1">
      <alignment horizontal="center" vertical="center" wrapText="1"/>
    </xf>
    <xf numFmtId="0" fontId="8" fillId="0" borderId="11" xfId="0" applyFont="1" applyBorder="1" applyAlignment="1">
      <alignment horizontal="left" vertical="center"/>
    </xf>
    <xf numFmtId="0" fontId="8" fillId="0" borderId="0" xfId="0" applyFont="1" applyAlignment="1">
      <alignment horizontal="centerContinuous" vertical="center"/>
    </xf>
    <xf numFmtId="0" fontId="4" fillId="0" borderId="0" xfId="0" applyFont="1" applyAlignment="1">
      <alignment horizontal="centerContinuous" vertical="center"/>
    </xf>
    <xf numFmtId="0" fontId="4" fillId="0" borderId="348" xfId="0" applyFont="1" applyBorder="1" applyAlignment="1">
      <alignment horizontal="center" vertical="center"/>
    </xf>
    <xf numFmtId="0" fontId="4" fillId="0" borderId="116" xfId="0" applyFont="1" applyBorder="1" applyAlignment="1">
      <alignment horizontal="center" vertical="center" wrapText="1"/>
    </xf>
    <xf numFmtId="179" fontId="4" fillId="0" borderId="116" xfId="0" applyNumberFormat="1" applyFont="1" applyBorder="1" applyAlignment="1">
      <alignment horizontal="center" vertical="center"/>
    </xf>
    <xf numFmtId="43" fontId="4" fillId="0" borderId="116" xfId="1" applyFont="1" applyFill="1" applyBorder="1" applyAlignment="1">
      <alignment horizontal="center" vertical="center"/>
    </xf>
    <xf numFmtId="43" fontId="24" fillId="0" borderId="116" xfId="1" applyFont="1" applyFill="1" applyBorder="1" applyAlignment="1">
      <alignment horizontal="center" vertical="center"/>
    </xf>
    <xf numFmtId="43" fontId="4" fillId="0" borderId="349" xfId="1" applyFont="1" applyFill="1" applyBorder="1" applyAlignment="1">
      <alignment horizontal="center" vertical="center"/>
    </xf>
    <xf numFmtId="0" fontId="24" fillId="0" borderId="0" xfId="0" applyFont="1" applyAlignment="1">
      <alignment vertical="center"/>
    </xf>
    <xf numFmtId="0" fontId="4" fillId="0" borderId="350" xfId="0" applyFont="1" applyBorder="1" applyAlignment="1">
      <alignment horizontal="center" vertical="center"/>
    </xf>
    <xf numFmtId="0" fontId="4" fillId="0" borderId="351" xfId="0" applyFont="1" applyBorder="1" applyAlignment="1">
      <alignment horizontal="center" vertical="center" wrapText="1"/>
    </xf>
    <xf numFmtId="179" fontId="4" fillId="0" borderId="351" xfId="0" applyNumberFormat="1" applyFont="1" applyBorder="1" applyAlignment="1">
      <alignment horizontal="center" vertical="center"/>
    </xf>
    <xf numFmtId="43" fontId="4" fillId="0" borderId="351" xfId="1" applyFont="1" applyFill="1" applyBorder="1" applyAlignment="1">
      <alignment horizontal="center" vertical="center"/>
    </xf>
    <xf numFmtId="43" fontId="24" fillId="0" borderId="351" xfId="1" applyFont="1" applyFill="1" applyBorder="1" applyAlignment="1">
      <alignment horizontal="center" vertical="center"/>
    </xf>
    <xf numFmtId="43" fontId="4" fillId="0" borderId="352" xfId="1" applyFont="1" applyFill="1" applyBorder="1" applyAlignment="1">
      <alignment horizontal="center" vertical="center"/>
    </xf>
    <xf numFmtId="0" fontId="4" fillId="0" borderId="353" xfId="0" applyFont="1" applyBorder="1" applyAlignment="1">
      <alignment horizontal="center" vertical="center"/>
    </xf>
    <xf numFmtId="0" fontId="4" fillId="0" borderId="109" xfId="0" applyFont="1" applyBorder="1" applyAlignment="1">
      <alignment horizontal="center" vertical="center" wrapText="1"/>
    </xf>
    <xf numFmtId="179" fontId="4" fillId="0" borderId="109" xfId="0" applyNumberFormat="1" applyFont="1" applyBorder="1" applyAlignment="1">
      <alignment horizontal="center" vertical="center"/>
    </xf>
    <xf numFmtId="43" fontId="4" fillId="0" borderId="109" xfId="1" applyFont="1" applyFill="1" applyBorder="1" applyAlignment="1">
      <alignment horizontal="center" vertical="center"/>
    </xf>
    <xf numFmtId="43" fontId="24" fillId="0" borderId="109" xfId="1" applyFont="1" applyFill="1" applyBorder="1" applyAlignment="1">
      <alignment horizontal="center" vertical="center"/>
    </xf>
    <xf numFmtId="43" fontId="4" fillId="0" borderId="354" xfId="1" applyFont="1" applyFill="1" applyBorder="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vertical="center"/>
    </xf>
    <xf numFmtId="0" fontId="4" fillId="0" borderId="92" xfId="0" applyFont="1" applyBorder="1" applyAlignment="1">
      <alignment vertical="center"/>
    </xf>
    <xf numFmtId="193" fontId="4" fillId="0" borderId="329" xfId="0" applyNumberFormat="1" applyFont="1" applyBorder="1" applyAlignment="1">
      <alignment horizontal="center" vertical="center"/>
    </xf>
    <xf numFmtId="193" fontId="24" fillId="0" borderId="329" xfId="0" applyNumberFormat="1" applyFont="1" applyBorder="1" applyAlignment="1">
      <alignment horizontal="center" vertical="center"/>
    </xf>
    <xf numFmtId="178" fontId="4" fillId="0" borderId="329" xfId="0" applyNumberFormat="1" applyFont="1" applyBorder="1" applyAlignment="1">
      <alignment horizontal="center" vertical="center"/>
    </xf>
    <xf numFmtId="0" fontId="4" fillId="0" borderId="27" xfId="0" applyFont="1" applyBorder="1" applyAlignment="1">
      <alignment vertical="center"/>
    </xf>
    <xf numFmtId="193" fontId="4" fillId="0" borderId="328" xfId="0" applyNumberFormat="1" applyFont="1" applyBorder="1" applyAlignment="1">
      <alignment horizontal="center" vertical="center"/>
    </xf>
    <xf numFmtId="178" fontId="4" fillId="0" borderId="328" xfId="0" applyNumberFormat="1" applyFont="1" applyBorder="1" applyAlignment="1">
      <alignment horizontal="center" vertical="center"/>
    </xf>
    <xf numFmtId="0" fontId="4" fillId="0" borderId="207" xfId="0" applyFont="1" applyBorder="1" applyAlignment="1">
      <alignment vertical="center"/>
    </xf>
    <xf numFmtId="0" fontId="4" fillId="0" borderId="93" xfId="0" applyFont="1" applyBorder="1" applyAlignment="1">
      <alignment vertical="center"/>
    </xf>
    <xf numFmtId="179" fontId="4" fillId="0" borderId="13" xfId="0" applyNumberFormat="1" applyFont="1" applyBorder="1" applyAlignment="1">
      <alignment horizontal="center" vertical="center"/>
    </xf>
    <xf numFmtId="43" fontId="4" fillId="9" borderId="98" xfId="0" applyNumberFormat="1" applyFont="1" applyFill="1" applyBorder="1" applyAlignment="1">
      <alignment vertical="center"/>
    </xf>
    <xf numFmtId="0" fontId="4" fillId="0" borderId="124" xfId="0" applyFont="1" applyBorder="1" applyAlignment="1">
      <alignment vertical="center"/>
    </xf>
    <xf numFmtId="193" fontId="4" fillId="0" borderId="17" xfId="0" applyNumberFormat="1" applyFont="1" applyBorder="1" applyAlignment="1">
      <alignment horizontal="center" vertical="center"/>
    </xf>
    <xf numFmtId="178" fontId="4" fillId="0" borderId="17" xfId="0" applyNumberFormat="1" applyFont="1" applyBorder="1" applyAlignment="1">
      <alignment horizontal="center" vertical="center"/>
    </xf>
    <xf numFmtId="0" fontId="4" fillId="0" borderId="126" xfId="0" applyFont="1" applyBorder="1" applyAlignment="1">
      <alignment vertical="center"/>
    </xf>
    <xf numFmtId="0" fontId="4" fillId="0" borderId="87" xfId="0" applyFont="1" applyBorder="1" applyAlignment="1">
      <alignment vertical="center"/>
    </xf>
    <xf numFmtId="179" fontId="4" fillId="0" borderId="328" xfId="0" applyNumberFormat="1" applyFont="1" applyBorder="1" applyAlignment="1">
      <alignment horizontal="center" vertical="center"/>
    </xf>
    <xf numFmtId="43" fontId="4" fillId="9" borderId="321" xfId="0" applyNumberFormat="1" applyFont="1" applyFill="1" applyBorder="1" applyAlignment="1">
      <alignment vertical="center"/>
    </xf>
    <xf numFmtId="0" fontId="4" fillId="0" borderId="0" xfId="0" applyFont="1" applyAlignment="1">
      <alignment horizontal="center" vertical="center" wrapText="1"/>
    </xf>
    <xf numFmtId="193"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123" xfId="0" applyFont="1" applyBorder="1" applyAlignment="1">
      <alignment vertical="center"/>
    </xf>
    <xf numFmtId="0" fontId="4" fillId="0" borderId="94" xfId="0" applyFont="1" applyBorder="1" applyAlignment="1">
      <alignment vertical="center"/>
    </xf>
    <xf numFmtId="179" fontId="4" fillId="0" borderId="17" xfId="0" applyNumberFormat="1" applyFont="1" applyBorder="1" applyAlignment="1">
      <alignment horizontal="center" vertical="center"/>
    </xf>
    <xf numFmtId="43" fontId="4" fillId="9" borderId="103" xfId="0" applyNumberFormat="1" applyFont="1" applyFill="1" applyBorder="1" applyAlignment="1">
      <alignment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xf>
    <xf numFmtId="193" fontId="4" fillId="0" borderId="25" xfId="0" applyNumberFormat="1" applyFont="1" applyBorder="1" applyAlignment="1">
      <alignment horizontal="center" vertical="center" wrapText="1"/>
    </xf>
    <xf numFmtId="193" fontId="4" fillId="0" borderId="96" xfId="0" applyNumberFormat="1" applyFont="1" applyBorder="1" applyAlignment="1">
      <alignment horizontal="center" vertical="center" wrapText="1"/>
    </xf>
    <xf numFmtId="10" fontId="4" fillId="0" borderId="0" xfId="0" applyNumberFormat="1" applyFont="1" applyAlignment="1">
      <alignment vertical="center"/>
    </xf>
    <xf numFmtId="10" fontId="4" fillId="0" borderId="13" xfId="0" applyNumberFormat="1" applyFont="1" applyBorder="1" applyAlignment="1">
      <alignment vertical="center"/>
    </xf>
    <xf numFmtId="10" fontId="4" fillId="0" borderId="15" xfId="0" applyNumberFormat="1" applyFont="1" applyBorder="1" applyAlignment="1">
      <alignment vertical="center"/>
    </xf>
    <xf numFmtId="10" fontId="4" fillId="0" borderId="328" xfId="0" applyNumberFormat="1" applyFont="1" applyBorder="1" applyAlignment="1">
      <alignment vertical="center"/>
    </xf>
    <xf numFmtId="10" fontId="4" fillId="0" borderId="358" xfId="0" applyNumberFormat="1" applyFont="1" applyBorder="1" applyAlignment="1">
      <alignment vertical="center"/>
    </xf>
    <xf numFmtId="10" fontId="4" fillId="0" borderId="17" xfId="0" applyNumberFormat="1" applyFont="1" applyBorder="1" applyAlignment="1">
      <alignment vertical="center"/>
    </xf>
    <xf numFmtId="10" fontId="4" fillId="0" borderId="19" xfId="0" applyNumberFormat="1" applyFont="1" applyBorder="1" applyAlignment="1">
      <alignment vertical="center"/>
    </xf>
    <xf numFmtId="0" fontId="8" fillId="0" borderId="329" xfId="0" applyFont="1" applyBorder="1" applyAlignment="1">
      <alignment horizontal="center" vertical="center"/>
    </xf>
    <xf numFmtId="10" fontId="8" fillId="0" borderId="329" xfId="0" applyNumberFormat="1" applyFont="1" applyBorder="1" applyAlignment="1">
      <alignment vertical="center"/>
    </xf>
    <xf numFmtId="0" fontId="4" fillId="0" borderId="0" xfId="0" applyFont="1" applyAlignment="1">
      <alignment horizontal="left" vertical="center" wrapText="1"/>
    </xf>
    <xf numFmtId="0" fontId="4" fillId="0" borderId="19" xfId="0" applyFont="1" applyBorder="1" applyAlignment="1">
      <alignment horizontal="center" vertical="center"/>
    </xf>
    <xf numFmtId="0" fontId="4" fillId="0" borderId="355" xfId="0" applyFont="1" applyBorder="1" applyAlignment="1">
      <alignment horizontal="center" vertical="center" wrapText="1"/>
    </xf>
    <xf numFmtId="0" fontId="4" fillId="0" borderId="96" xfId="0" applyFont="1" applyBorder="1" applyAlignment="1">
      <alignment horizontal="center" vertical="center"/>
    </xf>
    <xf numFmtId="43" fontId="4" fillId="0" borderId="24" xfId="1" applyFont="1" applyBorder="1" applyAlignment="1">
      <alignment horizontal="center" vertical="center"/>
    </xf>
    <xf numFmtId="43" fontId="4" fillId="0" borderId="96" xfId="1" applyFont="1" applyBorder="1" applyAlignment="1">
      <alignment horizontal="center" vertical="center"/>
    </xf>
    <xf numFmtId="193" fontId="4" fillId="0" borderId="311" xfId="0" applyNumberFormat="1" applyFont="1" applyBorder="1" applyAlignment="1">
      <alignment horizontal="center" vertical="center"/>
    </xf>
    <xf numFmtId="0" fontId="4" fillId="0" borderId="15" xfId="0" applyFont="1" applyBorder="1" applyAlignment="1">
      <alignment horizontal="center" vertical="center"/>
    </xf>
    <xf numFmtId="43" fontId="4" fillId="0" borderId="12" xfId="1" applyFont="1" applyBorder="1" applyAlignment="1">
      <alignment horizontal="center" vertical="center"/>
    </xf>
    <xf numFmtId="0" fontId="4" fillId="0" borderId="13" xfId="0" applyFont="1" applyBorder="1" applyAlignment="1">
      <alignment horizontal="center" vertical="center"/>
    </xf>
    <xf numFmtId="43" fontId="4" fillId="0" borderId="15" xfId="1" applyFont="1" applyBorder="1" applyAlignment="1">
      <alignment horizontal="center" vertical="center"/>
    </xf>
    <xf numFmtId="193" fontId="4" fillId="0" borderId="355" xfId="0" applyNumberFormat="1" applyFont="1" applyBorder="1" applyAlignment="1">
      <alignment horizontal="center" vertical="center"/>
    </xf>
    <xf numFmtId="43" fontId="4" fillId="0" borderId="16" xfId="1" applyFont="1" applyBorder="1" applyAlignment="1">
      <alignment horizontal="center" vertical="center"/>
    </xf>
    <xf numFmtId="43" fontId="4" fillId="0" borderId="19" xfId="1" applyFont="1" applyBorder="1" applyAlignment="1">
      <alignment horizontal="center" vertical="center"/>
    </xf>
    <xf numFmtId="193" fontId="4" fillId="0" borderId="359" xfId="0" applyNumberFormat="1" applyFont="1" applyBorder="1" applyAlignment="1">
      <alignment horizontal="center" vertical="center"/>
    </xf>
    <xf numFmtId="43" fontId="4" fillId="0" borderId="97" xfId="1" applyFont="1" applyBorder="1" applyAlignment="1">
      <alignment horizontal="center" vertical="center"/>
    </xf>
    <xf numFmtId="0" fontId="4" fillId="0" borderId="329" xfId="0" applyFont="1" applyBorder="1" applyAlignment="1">
      <alignment horizontal="center" vertical="center"/>
    </xf>
    <xf numFmtId="43" fontId="4" fillId="0" borderId="100" xfId="1" applyFont="1" applyBorder="1" applyAlignment="1">
      <alignment horizontal="center" vertical="center"/>
    </xf>
    <xf numFmtId="0" fontId="4" fillId="0" borderId="358" xfId="0" applyFont="1" applyBorder="1" applyAlignment="1">
      <alignment horizontal="center" vertical="center"/>
    </xf>
    <xf numFmtId="43" fontId="4" fillId="0" borderId="21" xfId="1" applyFont="1" applyBorder="1" applyAlignment="1">
      <alignment horizontal="center" vertical="center"/>
    </xf>
    <xf numFmtId="0" fontId="4" fillId="0" borderId="328" xfId="0" applyFont="1" applyBorder="1" applyAlignment="1">
      <alignment horizontal="center" vertical="center"/>
    </xf>
    <xf numFmtId="43" fontId="4" fillId="0" borderId="358" xfId="1" applyFont="1" applyBorder="1" applyAlignment="1">
      <alignment horizontal="center" vertical="center"/>
    </xf>
    <xf numFmtId="193" fontId="4" fillId="0" borderId="357" xfId="0" applyNumberFormat="1" applyFont="1" applyBorder="1" applyAlignment="1">
      <alignment horizontal="center" vertical="center"/>
    </xf>
    <xf numFmtId="0" fontId="5" fillId="0" borderId="6" xfId="0" applyFont="1" applyBorder="1" applyAlignment="1">
      <alignment horizontal="center" vertical="center"/>
    </xf>
    <xf numFmtId="43" fontId="5" fillId="0" borderId="8" xfId="0" applyNumberFormat="1" applyFont="1" applyBorder="1" applyAlignment="1">
      <alignment horizontal="center" vertical="center"/>
    </xf>
    <xf numFmtId="43" fontId="0" fillId="4" borderId="0" xfId="1" applyFont="1" applyFill="1"/>
    <xf numFmtId="0" fontId="57" fillId="0" borderId="0" xfId="0" applyFont="1" applyAlignment="1">
      <alignment vertical="center"/>
    </xf>
    <xf numFmtId="43" fontId="0" fillId="0" borderId="0" xfId="1" applyFont="1" applyFill="1" applyBorder="1" applyAlignment="1">
      <alignment horizontal="center"/>
    </xf>
    <xf numFmtId="168" fontId="0" fillId="0" borderId="0" xfId="1" applyNumberFormat="1" applyFont="1"/>
    <xf numFmtId="0" fontId="31" fillId="0" borderId="0" xfId="0" applyFont="1" applyAlignment="1">
      <alignment horizontal="left" vertical="center"/>
    </xf>
    <xf numFmtId="2" fontId="5" fillId="0" borderId="0" xfId="0" applyNumberFormat="1" applyFont="1" applyAlignment="1">
      <alignment horizontal="center" vertical="center"/>
    </xf>
    <xf numFmtId="164" fontId="5" fillId="0" borderId="0" xfId="3" applyNumberFormat="1" applyFont="1" applyFill="1" applyBorder="1" applyAlignment="1">
      <alignment horizontal="center" vertical="center"/>
    </xf>
    <xf numFmtId="2" fontId="5" fillId="0" borderId="0" xfId="0" applyNumberFormat="1" applyFont="1" applyAlignment="1">
      <alignment horizontal="left" vertical="center" wrapText="1"/>
    </xf>
    <xf numFmtId="43" fontId="5" fillId="5" borderId="0" xfId="1" applyFont="1" applyFill="1" applyBorder="1" applyAlignment="1">
      <alignment horizontal="center" vertical="center"/>
    </xf>
    <xf numFmtId="0" fontId="5" fillId="5" borderId="0" xfId="0" applyFont="1" applyFill="1" applyAlignment="1">
      <alignment horizontal="center" vertical="center"/>
    </xf>
    <xf numFmtId="0" fontId="5" fillId="0" borderId="328" xfId="0" applyFont="1" applyBorder="1" applyAlignment="1">
      <alignment horizontal="center" vertical="center"/>
    </xf>
    <xf numFmtId="43" fontId="6" fillId="2" borderId="329" xfId="1" applyFont="1" applyFill="1" applyBorder="1" applyAlignment="1">
      <alignment horizontal="center" vertical="center"/>
    </xf>
    <xf numFmtId="43" fontId="6" fillId="2" borderId="328" xfId="1" applyFont="1" applyFill="1" applyBorder="1" applyAlignment="1">
      <alignment horizontal="center" vertical="center"/>
    </xf>
    <xf numFmtId="43" fontId="8" fillId="2" borderId="329" xfId="1" applyFont="1" applyFill="1" applyBorder="1" applyAlignment="1">
      <alignment horizontal="center" vertical="center"/>
    </xf>
    <xf numFmtId="10" fontId="4" fillId="0" borderId="328" xfId="1" applyNumberFormat="1" applyFont="1" applyFill="1" applyBorder="1" applyAlignment="1">
      <alignment horizontal="center" vertical="center"/>
    </xf>
    <xf numFmtId="0" fontId="4" fillId="0" borderId="0" xfId="0" applyFont="1" applyAlignment="1">
      <alignment horizontal="center" vertical="center"/>
    </xf>
    <xf numFmtId="10" fontId="5" fillId="0" borderId="0" xfId="3" applyNumberFormat="1" applyFont="1" applyFill="1" applyBorder="1" applyAlignment="1">
      <alignment horizontal="center" vertical="center"/>
    </xf>
    <xf numFmtId="43" fontId="6" fillId="0" borderId="0" xfId="4" applyNumberFormat="1" applyFont="1" applyFill="1" applyBorder="1" applyAlignment="1">
      <alignment horizontal="center" vertical="center"/>
    </xf>
    <xf numFmtId="43" fontId="5" fillId="0" borderId="0" xfId="4" applyNumberFormat="1" applyFont="1" applyFill="1" applyBorder="1" applyAlignment="1">
      <alignment horizontal="center" vertical="center"/>
    </xf>
    <xf numFmtId="43" fontId="5" fillId="0" borderId="8" xfId="4" applyNumberFormat="1" applyFont="1" applyFill="1" applyBorder="1" applyAlignment="1">
      <alignment horizontal="center" vertical="center"/>
    </xf>
    <xf numFmtId="10" fontId="5" fillId="0" borderId="0" xfId="3" applyNumberFormat="1" applyFont="1" applyFill="1" applyBorder="1" applyAlignment="1">
      <alignment horizontal="center" vertical="center" wrapText="1"/>
    </xf>
    <xf numFmtId="3" fontId="6" fillId="0" borderId="10" xfId="1" applyNumberFormat="1" applyFont="1" applyFill="1" applyBorder="1" applyAlignment="1">
      <alignment horizontal="left" vertical="center"/>
    </xf>
    <xf numFmtId="0" fontId="42" fillId="0" borderId="185" xfId="0" applyFont="1" applyBorder="1" applyAlignment="1">
      <alignment horizontal="center" wrapText="1"/>
    </xf>
    <xf numFmtId="0" fontId="42" fillId="0" borderId="186" xfId="0" applyFont="1" applyBorder="1" applyAlignment="1">
      <alignment horizontal="center" wrapText="1"/>
    </xf>
    <xf numFmtId="0" fontId="41" fillId="0" borderId="199" xfId="0" applyFont="1" applyBorder="1" applyAlignment="1">
      <alignment horizontal="center" wrapText="1"/>
    </xf>
    <xf numFmtId="0" fontId="41" fillId="0" borderId="206" xfId="0" applyFont="1" applyBorder="1" applyAlignment="1">
      <alignment horizontal="center" wrapText="1"/>
    </xf>
    <xf numFmtId="0" fontId="41" fillId="0" borderId="185" xfId="0" applyFont="1" applyBorder="1" applyAlignment="1">
      <alignment horizontal="center" wrapText="1"/>
    </xf>
    <xf numFmtId="0" fontId="41" fillId="0" borderId="186" xfId="0" applyFont="1" applyBorder="1" applyAlignment="1">
      <alignment horizontal="center" wrapText="1"/>
    </xf>
    <xf numFmtId="0" fontId="41" fillId="0" borderId="187" xfId="0" applyFont="1" applyBorder="1" applyAlignment="1">
      <alignment horizontal="center" wrapText="1"/>
    </xf>
    <xf numFmtId="0" fontId="11" fillId="0" borderId="196"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0" xfId="0" applyFont="1" applyFill="1" applyBorder="1" applyAlignment="1">
      <alignment horizontal="center" vertical="center" wrapText="1"/>
    </xf>
    <xf numFmtId="184" fontId="11" fillId="0" borderId="188" xfId="9" applyNumberFormat="1" applyFont="1" applyFill="1" applyBorder="1" applyAlignment="1">
      <alignment horizontal="center" vertical="center"/>
    </xf>
    <xf numFmtId="184" fontId="11" fillId="0" borderId="125" xfId="9" applyNumberFormat="1" applyFont="1" applyFill="1" applyBorder="1" applyAlignment="1">
      <alignment horizontal="center" vertical="center"/>
    </xf>
    <xf numFmtId="184" fontId="11" fillId="0" borderId="169" xfId="9" applyNumberFormat="1" applyFont="1" applyFill="1" applyBorder="1" applyAlignment="1">
      <alignment horizontal="center" vertical="center"/>
    </xf>
    <xf numFmtId="184" fontId="11" fillId="0" borderId="189" xfId="9" applyNumberFormat="1" applyFont="1" applyFill="1" applyBorder="1" applyAlignment="1">
      <alignment horizontal="center" vertical="center"/>
    </xf>
    <xf numFmtId="0" fontId="11" fillId="0" borderId="190" xfId="0" applyFont="1" applyFill="1" applyBorder="1" applyAlignment="1">
      <alignment horizontal="center" vertical="center" wrapText="1"/>
    </xf>
    <xf numFmtId="0" fontId="11" fillId="0" borderId="191" xfId="0" applyFont="1" applyFill="1" applyBorder="1" applyAlignment="1">
      <alignment horizontal="center" vertical="center" wrapText="1"/>
    </xf>
    <xf numFmtId="0" fontId="11" fillId="0" borderId="192" xfId="0" applyFont="1" applyFill="1" applyBorder="1" applyAlignment="1">
      <alignment horizontal="center" vertical="center" wrapText="1"/>
    </xf>
    <xf numFmtId="0" fontId="11" fillId="0" borderId="193" xfId="0" applyFont="1" applyFill="1" applyBorder="1" applyAlignment="1">
      <alignment horizontal="center" vertical="center" wrapText="1"/>
    </xf>
    <xf numFmtId="0" fontId="11" fillId="0" borderId="194" xfId="0"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39" fillId="0" borderId="1"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3"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0" fillId="0" borderId="101"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0" fontId="0" fillId="0" borderId="72" xfId="0" applyBorder="1" applyAlignment="1">
      <alignment horizontal="center"/>
    </xf>
    <xf numFmtId="0" fontId="0" fillId="0" borderId="0" xfId="0" applyBorder="1" applyAlignment="1">
      <alignment horizontal="center"/>
    </xf>
    <xf numFmtId="0" fontId="0" fillId="0" borderId="60" xfId="0" applyBorder="1" applyAlignment="1">
      <alignment horizontal="center"/>
    </xf>
    <xf numFmtId="0" fontId="0" fillId="0" borderId="151" xfId="0" applyBorder="1" applyAlignment="1">
      <alignment horizontal="center"/>
    </xf>
    <xf numFmtId="43" fontId="6" fillId="0" borderId="5" xfId="4" applyNumberFormat="1" applyFont="1" applyBorder="1" applyAlignment="1">
      <alignment horizontal="center" vertical="center" wrapText="1"/>
    </xf>
    <xf numFmtId="43" fontId="6" fillId="0" borderId="0" xfId="4" applyNumberFormat="1" applyFont="1" applyAlignment="1">
      <alignment horizontal="center" vertical="center" wrapText="1"/>
    </xf>
    <xf numFmtId="43" fontId="6" fillId="0" borderId="10" xfId="4" applyNumberFormat="1" applyFont="1" applyBorder="1" applyAlignment="1">
      <alignment horizontal="center" vertical="center" wrapText="1"/>
    </xf>
    <xf numFmtId="0" fontId="0" fillId="0" borderId="0" xfId="0" applyAlignment="1">
      <alignment horizontal="center" vertical="center"/>
    </xf>
    <xf numFmtId="0" fontId="3" fillId="0" borderId="0" xfId="0" applyFont="1" applyAlignment="1">
      <alignment horizontal="center" vertical="center"/>
    </xf>
    <xf numFmtId="0" fontId="0" fillId="0" borderId="145" xfId="0" applyBorder="1" applyAlignment="1">
      <alignment horizontal="center"/>
    </xf>
    <xf numFmtId="0" fontId="0" fillId="0" borderId="27" xfId="0" applyBorder="1" applyAlignment="1">
      <alignment horizontal="center"/>
    </xf>
    <xf numFmtId="0" fontId="3" fillId="0" borderId="0" xfId="0" applyFont="1" applyAlignment="1">
      <alignment horizontal="center"/>
    </xf>
    <xf numFmtId="0" fontId="0" fillId="0" borderId="0" xfId="0" applyAlignment="1">
      <alignment horizontal="center"/>
    </xf>
    <xf numFmtId="0" fontId="53" fillId="0" borderId="310" xfId="0" applyFont="1" applyBorder="1" applyAlignment="1">
      <alignment horizontal="center" vertical="center"/>
    </xf>
    <xf numFmtId="0" fontId="53" fillId="0" borderId="311" xfId="0" applyFont="1" applyBorder="1" applyAlignment="1">
      <alignment horizontal="center" vertical="center"/>
    </xf>
    <xf numFmtId="0" fontId="53" fillId="0" borderId="1" xfId="0" applyFont="1" applyBorder="1" applyAlignment="1">
      <alignment horizontal="center" vertical="center" wrapText="1"/>
    </xf>
    <xf numFmtId="0" fontId="53" fillId="0" borderId="3" xfId="0" applyFont="1" applyBorder="1" applyAlignment="1">
      <alignment horizontal="center" vertical="center" wrapText="1"/>
    </xf>
    <xf numFmtId="43" fontId="4" fillId="0" borderId="0" xfId="0" applyNumberFormat="1" applyFont="1" applyAlignment="1">
      <alignment horizontal="center"/>
    </xf>
    <xf numFmtId="0" fontId="4" fillId="0" borderId="0" xfId="0" applyFont="1" applyBorder="1" applyAlignment="1">
      <alignment horizontal="justify" vertical="top" wrapText="1"/>
    </xf>
    <xf numFmtId="0" fontId="4" fillId="0" borderId="0" xfId="0" applyFont="1" applyAlignment="1">
      <alignment horizontal="justify" vertical="top"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6" fillId="0" borderId="1" xfId="0" applyFont="1" applyFill="1" applyBorder="1" applyAlignment="1" applyProtection="1">
      <alignment horizontal="center"/>
    </xf>
    <xf numFmtId="0" fontId="6" fillId="0" borderId="2" xfId="0" applyFont="1" applyFill="1" applyBorder="1" applyAlignment="1" applyProtection="1">
      <alignment horizontal="center"/>
    </xf>
    <xf numFmtId="0" fontId="6" fillId="0" borderId="95" xfId="0" applyFont="1" applyFill="1" applyBorder="1" applyAlignment="1" applyProtection="1">
      <alignment horizontal="center"/>
    </xf>
    <xf numFmtId="0" fontId="4" fillId="10" borderId="101" xfId="0" applyFont="1" applyFill="1" applyBorder="1" applyAlignment="1" applyProtection="1">
      <alignment horizontal="center" vertical="center"/>
    </xf>
    <xf numFmtId="0" fontId="4" fillId="10" borderId="102" xfId="0" applyFont="1" applyFill="1" applyBorder="1" applyAlignment="1" applyProtection="1">
      <alignment horizontal="center" vertical="center"/>
    </xf>
    <xf numFmtId="0" fontId="4" fillId="10" borderId="72" xfId="0" applyFont="1" applyFill="1" applyBorder="1" applyAlignment="1" applyProtection="1">
      <alignment horizontal="center" vertical="center"/>
    </xf>
    <xf numFmtId="0" fontId="4" fillId="10" borderId="8" xfId="0" applyFont="1" applyFill="1" applyBorder="1" applyAlignment="1" applyProtection="1">
      <alignment horizontal="center" vertical="center"/>
    </xf>
    <xf numFmtId="0" fontId="4" fillId="10" borderId="104" xfId="0" applyFont="1" applyFill="1" applyBorder="1" applyAlignment="1" applyProtection="1">
      <alignment horizontal="center" vertical="center"/>
    </xf>
    <xf numFmtId="0" fontId="4" fillId="10" borderId="11" xfId="0" applyFont="1" applyFill="1" applyBorder="1" applyAlignment="1" applyProtection="1">
      <alignment horizontal="center" vertical="center"/>
    </xf>
    <xf numFmtId="0" fontId="4" fillId="0" borderId="0" xfId="0" applyFont="1" applyAlignment="1">
      <alignment horizontal="center"/>
    </xf>
    <xf numFmtId="0" fontId="7" fillId="12" borderId="1" xfId="0" applyFont="1" applyFill="1" applyBorder="1" applyAlignment="1">
      <alignment horizontal="center" vertical="center"/>
    </xf>
    <xf numFmtId="0" fontId="7" fillId="12" borderId="2" xfId="0" applyFont="1" applyFill="1" applyBorder="1" applyAlignment="1">
      <alignment horizontal="center" vertical="center"/>
    </xf>
    <xf numFmtId="0" fontId="7" fillId="12" borderId="3" xfId="0" applyFont="1" applyFill="1" applyBorder="1" applyAlignment="1">
      <alignment horizontal="center" vertical="center"/>
    </xf>
    <xf numFmtId="0" fontId="8" fillId="0" borderId="5" xfId="0" applyFont="1" applyFill="1" applyBorder="1" applyAlignment="1">
      <alignment horizontal="justify" vertical="top" wrapText="1"/>
    </xf>
    <xf numFmtId="0" fontId="0" fillId="0" borderId="5" xfId="0" applyBorder="1" applyAlignment="1">
      <alignment horizontal="justify" vertical="top" wrapText="1"/>
    </xf>
    <xf numFmtId="0" fontId="0" fillId="0" borderId="6" xfId="0" applyBorder="1" applyAlignment="1">
      <alignment horizontal="justify" vertical="top" wrapText="1"/>
    </xf>
    <xf numFmtId="0" fontId="8" fillId="0"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8" xfId="0" applyBorder="1" applyAlignment="1">
      <alignment horizontal="justify" vertical="top" wrapText="1"/>
    </xf>
    <xf numFmtId="0" fontId="4" fillId="10" borderId="4" xfId="0" applyFont="1" applyFill="1" applyBorder="1" applyAlignment="1" applyProtection="1">
      <alignment horizontal="center" vertical="center"/>
    </xf>
    <xf numFmtId="0" fontId="4" fillId="10" borderId="9" xfId="0" applyFont="1" applyFill="1" applyBorder="1" applyAlignment="1" applyProtection="1">
      <alignment horizontal="center" vertical="center"/>
    </xf>
    <xf numFmtId="0" fontId="4" fillId="10" borderId="93" xfId="0" applyFont="1" applyFill="1" applyBorder="1" applyAlignment="1" applyProtection="1">
      <alignment horizontal="center"/>
    </xf>
    <xf numFmtId="0" fontId="4" fillId="10" borderId="6" xfId="0" applyFont="1" applyFill="1" applyBorder="1" applyAlignment="1" applyProtection="1">
      <alignment horizontal="center" vertical="center"/>
    </xf>
    <xf numFmtId="0" fontId="4" fillId="10" borderId="94" xfId="0" applyFont="1" applyFill="1" applyBorder="1" applyAlignment="1" applyProtection="1">
      <alignment horizontal="center" vertical="top"/>
    </xf>
    <xf numFmtId="0" fontId="8" fillId="0" borderId="10" xfId="0" applyFont="1" applyFill="1" applyBorder="1" applyAlignment="1">
      <alignment horizontal="justify" vertical="top" wrapText="1"/>
    </xf>
    <xf numFmtId="0" fontId="0" fillId="0" borderId="10" xfId="0" applyBorder="1" applyAlignment="1">
      <alignment horizontal="justify" vertical="top" wrapText="1"/>
    </xf>
    <xf numFmtId="0" fontId="0" fillId="0" borderId="11" xfId="0" applyBorder="1" applyAlignment="1">
      <alignment horizontal="justify" vertical="top" wrapText="1"/>
    </xf>
    <xf numFmtId="0" fontId="4" fillId="0" borderId="0" xfId="0" applyFont="1" applyAlignment="1">
      <alignment horizontal="center" vertical="center"/>
    </xf>
    <xf numFmtId="0" fontId="4" fillId="0" borderId="10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95" xfId="0" applyFont="1" applyFill="1" applyBorder="1" applyAlignment="1">
      <alignment horizontal="center" vertical="center" wrapText="1"/>
    </xf>
    <xf numFmtId="0" fontId="6" fillId="2" borderId="98" xfId="7" applyFont="1" applyBorder="1" applyAlignment="1">
      <alignment horizontal="left" vertical="center" wrapText="1"/>
    </xf>
    <xf numFmtId="0" fontId="6" fillId="2" borderId="93" xfId="7" applyFont="1" applyBorder="1" applyAlignment="1">
      <alignment horizontal="left" vertical="center" wrapText="1"/>
    </xf>
    <xf numFmtId="0" fontId="6" fillId="2" borderId="146" xfId="7" applyFont="1" applyBorder="1" applyAlignment="1">
      <alignment horizontal="left" vertical="center" wrapText="1"/>
    </xf>
    <xf numFmtId="0" fontId="6" fillId="0" borderId="0" xfId="4" applyFont="1" applyFill="1" applyBorder="1" applyAlignment="1">
      <alignment horizontal="center" vertical="center"/>
    </xf>
    <xf numFmtId="44" fontId="4" fillId="0" borderId="8" xfId="2" applyFont="1" applyBorder="1" applyAlignment="1">
      <alignment horizontal="center" vertical="center" wrapText="1"/>
    </xf>
    <xf numFmtId="44" fontId="4" fillId="0" borderId="11" xfId="2" applyFont="1" applyBorder="1" applyAlignment="1">
      <alignment horizontal="center" vertical="center" wrapText="1"/>
    </xf>
    <xf numFmtId="43" fontId="6" fillId="0" borderId="5" xfId="4" applyNumberFormat="1" applyFont="1" applyFill="1" applyBorder="1" applyAlignment="1">
      <alignment horizontal="center" vertical="center" wrapText="1"/>
    </xf>
    <xf numFmtId="43" fontId="6" fillId="0" borderId="0" xfId="4" applyNumberFormat="1" applyFont="1" applyFill="1" applyBorder="1" applyAlignment="1">
      <alignment horizontal="center" vertical="center" wrapText="1"/>
    </xf>
    <xf numFmtId="43" fontId="6" fillId="0" borderId="10" xfId="4" applyNumberFormat="1" applyFont="1" applyFill="1" applyBorder="1" applyAlignment="1">
      <alignment horizontal="center" vertical="center" wrapText="1"/>
    </xf>
    <xf numFmtId="17" fontId="5" fillId="0" borderId="5" xfId="0" quotePrefix="1" applyNumberFormat="1" applyFont="1" applyFill="1" applyBorder="1" applyAlignment="1">
      <alignment horizontal="center" vertical="center"/>
    </xf>
    <xf numFmtId="17" fontId="5" fillId="0" borderId="0" xfId="0" quotePrefix="1" applyNumberFormat="1" applyFont="1" applyFill="1" applyBorder="1" applyAlignment="1">
      <alignment horizontal="center" vertical="center"/>
    </xf>
    <xf numFmtId="0" fontId="5" fillId="0" borderId="14" xfId="4" applyFont="1" applyFill="1" applyBorder="1" applyAlignment="1">
      <alignment horizontal="center" vertical="center" wrapText="1"/>
    </xf>
    <xf numFmtId="0" fontId="5" fillId="0" borderId="18" xfId="4" applyFont="1" applyFill="1" applyBorder="1" applyAlignment="1">
      <alignment horizontal="center" vertical="center" wrapText="1"/>
    </xf>
    <xf numFmtId="40" fontId="5" fillId="0" borderId="13" xfId="4" applyNumberFormat="1" applyFont="1" applyFill="1" applyBorder="1" applyAlignment="1">
      <alignment horizontal="center" vertical="center" wrapText="1"/>
    </xf>
    <xf numFmtId="40" fontId="5" fillId="0" borderId="15" xfId="4" applyNumberFormat="1" applyFont="1" applyFill="1" applyBorder="1" applyAlignment="1">
      <alignment horizontal="center" vertical="center" wrapText="1"/>
    </xf>
    <xf numFmtId="0" fontId="5" fillId="0" borderId="122" xfId="4" applyFont="1" applyFill="1" applyBorder="1" applyAlignment="1">
      <alignment horizontal="center" vertical="center"/>
    </xf>
    <xf numFmtId="0" fontId="5" fillId="0" borderId="125" xfId="4" applyFont="1" applyFill="1" applyBorder="1" applyAlignment="1">
      <alignment horizontal="center" vertical="center"/>
    </xf>
    <xf numFmtId="0" fontId="5" fillId="0" borderId="14" xfId="4" applyFont="1" applyFill="1" applyBorder="1" applyAlignment="1">
      <alignment horizontal="center" vertical="center"/>
    </xf>
    <xf numFmtId="0" fontId="5" fillId="0" borderId="18" xfId="4" applyFont="1" applyFill="1" applyBorder="1" applyAlignment="1">
      <alignment horizontal="center" vertical="center"/>
    </xf>
    <xf numFmtId="40" fontId="5" fillId="0" borderId="14" xfId="4" applyNumberFormat="1" applyFont="1" applyFill="1" applyBorder="1" applyAlignment="1">
      <alignment horizontal="center" vertical="center"/>
    </xf>
    <xf numFmtId="40" fontId="5" fillId="0" borderId="18" xfId="4" applyNumberFormat="1" applyFont="1" applyFill="1" applyBorder="1" applyAlignment="1">
      <alignment horizontal="center" vertical="center"/>
    </xf>
    <xf numFmtId="43" fontId="6" fillId="0" borderId="0" xfId="4" applyNumberFormat="1" applyFont="1" applyFill="1" applyBorder="1" applyAlignment="1">
      <alignment horizontal="center" vertical="center"/>
    </xf>
    <xf numFmtId="43" fontId="6" fillId="0" borderId="10" xfId="4" applyNumberFormat="1" applyFont="1" applyFill="1" applyBorder="1" applyAlignment="1">
      <alignment horizontal="center" vertical="center"/>
    </xf>
    <xf numFmtId="10" fontId="5" fillId="0" borderId="0" xfId="3" applyNumberFormat="1" applyFont="1" applyFill="1" applyBorder="1" applyAlignment="1">
      <alignment horizontal="center" vertical="center"/>
    </xf>
    <xf numFmtId="10" fontId="5" fillId="0" borderId="10" xfId="3" applyNumberFormat="1" applyFont="1" applyFill="1" applyBorder="1" applyAlignment="1">
      <alignment horizontal="center" vertical="center"/>
    </xf>
    <xf numFmtId="0" fontId="4" fillId="0" borderId="122" xfId="0" applyFont="1" applyBorder="1" applyAlignment="1">
      <alignment horizontal="center" vertical="center" wrapText="1"/>
    </xf>
    <xf numFmtId="0" fontId="4" fillId="0" borderId="188" xfId="0" applyFont="1" applyBorder="1" applyAlignment="1">
      <alignment horizontal="center" vertical="center" wrapText="1"/>
    </xf>
    <xf numFmtId="0" fontId="4" fillId="0" borderId="125" xfId="0" applyFont="1" applyBorder="1" applyAlignment="1">
      <alignment horizontal="center" vertical="center" wrapText="1"/>
    </xf>
    <xf numFmtId="0" fontId="4" fillId="0" borderId="149"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72" xfId="0" applyFont="1" applyBorder="1" applyAlignment="1">
      <alignment horizontal="center" vertical="center" wrapText="1"/>
    </xf>
    <xf numFmtId="0" fontId="4" fillId="0" borderId="0" xfId="0" applyFont="1" applyAlignment="1">
      <alignment horizontal="center" vertical="center" wrapText="1"/>
    </xf>
    <xf numFmtId="0" fontId="4" fillId="0" borderId="60" xfId="0" applyFont="1" applyBorder="1" applyAlignment="1">
      <alignment horizontal="center" vertical="center" wrapText="1"/>
    </xf>
    <xf numFmtId="0" fontId="4" fillId="0" borderId="10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9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34"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3" xfId="0" applyFont="1" applyBorder="1" applyAlignment="1">
      <alignment horizontal="center" vertical="center"/>
    </xf>
    <xf numFmtId="0" fontId="4" fillId="0" borderId="98" xfId="0" applyFont="1" applyBorder="1" applyAlignment="1">
      <alignment horizontal="center" vertical="center"/>
    </xf>
    <xf numFmtId="0" fontId="4" fillId="0" borderId="93" xfId="0" applyFont="1" applyBorder="1" applyAlignment="1">
      <alignment horizontal="center" vertical="center"/>
    </xf>
    <xf numFmtId="0" fontId="4" fillId="0" borderId="146" xfId="0" applyFont="1" applyBorder="1" applyAlignment="1">
      <alignment horizontal="center" vertical="center"/>
    </xf>
    <xf numFmtId="0" fontId="4" fillId="0" borderId="98"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146" xfId="0" applyFont="1" applyBorder="1" applyAlignment="1">
      <alignment horizontal="center" vertical="center" wrapText="1"/>
    </xf>
    <xf numFmtId="0" fontId="4" fillId="0" borderId="150" xfId="0" applyFont="1" applyBorder="1" applyAlignment="1">
      <alignment horizontal="center" vertical="center" wrapText="1"/>
    </xf>
    <xf numFmtId="0" fontId="4" fillId="0" borderId="347" xfId="0" applyFont="1" applyBorder="1" applyAlignment="1">
      <alignment horizontal="center" vertical="center" wrapText="1"/>
    </xf>
    <xf numFmtId="0" fontId="4" fillId="0" borderId="153" xfId="0" applyFont="1" applyBorder="1" applyAlignment="1">
      <alignment horizontal="center" vertical="center" wrapText="1"/>
    </xf>
    <xf numFmtId="0" fontId="4" fillId="0" borderId="121" xfId="0" applyFont="1" applyBorder="1" applyAlignment="1">
      <alignment horizontal="center" vertical="center" wrapText="1"/>
    </xf>
    <xf numFmtId="0" fontId="4" fillId="0" borderId="121" xfId="0" applyFont="1" applyBorder="1" applyAlignment="1">
      <alignment horizontal="center" vertical="center"/>
    </xf>
    <xf numFmtId="0" fontId="4" fillId="0" borderId="18" xfId="0" applyFont="1" applyBorder="1" applyAlignment="1">
      <alignment horizontal="center" vertical="center"/>
    </xf>
    <xf numFmtId="0" fontId="4" fillId="0" borderId="109" xfId="0" applyFont="1" applyBorder="1" applyAlignment="1">
      <alignment horizontal="left" vertical="center" wrapText="1"/>
    </xf>
    <xf numFmtId="0" fontId="4" fillId="0" borderId="116" xfId="0" applyFont="1" applyBorder="1" applyAlignment="1">
      <alignment horizontal="left" vertical="center" wrapText="1"/>
    </xf>
    <xf numFmtId="0" fontId="4" fillId="0" borderId="351" xfId="0" applyFont="1" applyBorder="1" applyAlignment="1">
      <alignment horizontal="left" vertical="center" wrapText="1"/>
    </xf>
    <xf numFmtId="0" fontId="4" fillId="0" borderId="103" xfId="0" applyFont="1" applyBorder="1" applyAlignment="1">
      <alignment horizontal="center" vertical="center"/>
    </xf>
    <xf numFmtId="0" fontId="4" fillId="0" borderId="124"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52"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290" xfId="0" applyFont="1" applyBorder="1" applyAlignment="1">
      <alignment horizontal="center" vertical="center"/>
    </xf>
    <xf numFmtId="0" fontId="4" fillId="0" borderId="14" xfId="0" applyFont="1" applyBorder="1" applyAlignment="1">
      <alignment horizontal="center" vertical="center"/>
    </xf>
    <xf numFmtId="193" fontId="4" fillId="0" borderId="98" xfId="0" applyNumberFormat="1" applyFont="1" applyBorder="1" applyAlignment="1">
      <alignment horizontal="center" vertical="center"/>
    </xf>
    <xf numFmtId="193" fontId="4" fillId="0" borderId="146" xfId="0" applyNumberFormat="1" applyFont="1" applyBorder="1" applyAlignment="1">
      <alignment horizontal="center" vertical="center"/>
    </xf>
    <xf numFmtId="193" fontId="4" fillId="0" borderId="329" xfId="0" applyNumberFormat="1" applyFont="1" applyBorder="1" applyAlignment="1">
      <alignment horizontal="center" vertical="center"/>
    </xf>
    <xf numFmtId="193" fontId="4" fillId="0" borderId="100" xfId="0" applyNumberFormat="1" applyFont="1" applyBorder="1" applyAlignment="1">
      <alignment horizontal="center" vertical="center"/>
    </xf>
    <xf numFmtId="0" fontId="4" fillId="0" borderId="1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355" xfId="0" applyFont="1" applyBorder="1" applyAlignment="1">
      <alignment horizontal="center" vertical="center" wrapText="1"/>
    </xf>
    <xf numFmtId="0" fontId="4" fillId="0" borderId="357" xfId="0" applyFont="1" applyBorder="1" applyAlignment="1">
      <alignment horizontal="center" vertical="center" wrapText="1"/>
    </xf>
    <xf numFmtId="0" fontId="4" fillId="0" borderId="35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56" xfId="0" applyFont="1" applyBorder="1" applyAlignment="1">
      <alignment horizontal="center" vertical="center"/>
    </xf>
    <xf numFmtId="193" fontId="4" fillId="0" borderId="321" xfId="0" applyNumberFormat="1" applyFont="1" applyBorder="1" applyAlignment="1">
      <alignment horizontal="center" vertical="center"/>
    </xf>
    <xf numFmtId="193" fontId="4" fillId="0" borderId="27" xfId="0" applyNumberFormat="1" applyFont="1" applyBorder="1" applyAlignment="1">
      <alignment horizontal="center" vertical="center"/>
    </xf>
    <xf numFmtId="193" fontId="4" fillId="0" borderId="328" xfId="0" applyNumberFormat="1" applyFont="1" applyBorder="1" applyAlignment="1">
      <alignment horizontal="center" vertical="center"/>
    </xf>
    <xf numFmtId="193" fontId="4" fillId="0" borderId="358" xfId="0" applyNumberFormat="1" applyFont="1" applyBorder="1" applyAlignment="1">
      <alignment horizontal="center" vertical="center"/>
    </xf>
    <xf numFmtId="43" fontId="4" fillId="9" borderId="98" xfId="0" applyNumberFormat="1" applyFont="1" applyFill="1" applyBorder="1" applyAlignment="1">
      <alignment horizontal="center" vertical="center"/>
    </xf>
    <xf numFmtId="43" fontId="4" fillId="9" borderId="356" xfId="0" applyNumberFormat="1" applyFont="1" applyFill="1" applyBorder="1" applyAlignment="1">
      <alignment horizontal="center" vertical="center"/>
    </xf>
    <xf numFmtId="193" fontId="4" fillId="0" borderId="103" xfId="0" applyNumberFormat="1" applyFont="1" applyBorder="1" applyAlignment="1">
      <alignment horizontal="center" vertical="center"/>
    </xf>
    <xf numFmtId="193" fontId="4" fillId="0" borderId="124" xfId="0" applyNumberFormat="1" applyFont="1" applyBorder="1" applyAlignment="1">
      <alignment horizontal="center" vertical="center"/>
    </xf>
    <xf numFmtId="193" fontId="4" fillId="0" borderId="17" xfId="0" applyNumberFormat="1" applyFont="1" applyBorder="1" applyAlignment="1">
      <alignment horizontal="center" vertical="center"/>
    </xf>
    <xf numFmtId="193" fontId="4" fillId="0" borderId="19" xfId="0" applyNumberFormat="1" applyFont="1" applyBorder="1" applyAlignment="1">
      <alignment horizontal="center" vertical="center"/>
    </xf>
    <xf numFmtId="43" fontId="4" fillId="9" borderId="169" xfId="0" applyNumberFormat="1" applyFont="1" applyFill="1" applyBorder="1" applyAlignment="1">
      <alignment horizontal="center" vertical="center"/>
    </xf>
    <xf numFmtId="43" fontId="4" fillId="9" borderId="189" xfId="0" applyNumberFormat="1" applyFont="1" applyFill="1" applyBorder="1" applyAlignment="1">
      <alignment horizontal="center" vertical="center"/>
    </xf>
    <xf numFmtId="0" fontId="4" fillId="0" borderId="310" xfId="0" applyFont="1" applyBorder="1" applyAlignment="1">
      <alignment horizontal="center" vertical="center" wrapText="1"/>
    </xf>
    <xf numFmtId="0" fontId="4" fillId="0" borderId="311" xfId="0" applyFont="1" applyBorder="1" applyAlignment="1">
      <alignment horizontal="center" vertical="center" wrapText="1"/>
    </xf>
    <xf numFmtId="0" fontId="4" fillId="0" borderId="360" xfId="0" applyFont="1" applyBorder="1" applyAlignment="1">
      <alignment horizontal="center" vertical="center" wrapText="1"/>
    </xf>
    <xf numFmtId="43" fontId="4" fillId="9" borderId="104" xfId="0" applyNumberFormat="1" applyFont="1" applyFill="1" applyBorder="1" applyAlignment="1">
      <alignment horizontal="center" vertical="center"/>
    </xf>
    <xf numFmtId="43" fontId="4" fillId="9" borderId="11" xfId="0" applyNumberFormat="1" applyFont="1" applyFill="1" applyBorder="1" applyAlignment="1">
      <alignment horizontal="center" vertical="center"/>
    </xf>
    <xf numFmtId="0" fontId="4" fillId="0" borderId="0" xfId="0" applyFont="1" applyAlignment="1">
      <alignment horizontal="left" vertical="center" wrapText="1"/>
    </xf>
    <xf numFmtId="0" fontId="4" fillId="0" borderId="310" xfId="0" applyFont="1" applyBorder="1" applyAlignment="1">
      <alignment horizontal="center" vertical="center"/>
    </xf>
    <xf numFmtId="0" fontId="4" fillId="0" borderId="311" xfId="0" applyFont="1" applyBorder="1" applyAlignment="1">
      <alignment horizontal="center" vertical="center"/>
    </xf>
    <xf numFmtId="0" fontId="4" fillId="0" borderId="207" xfId="0" applyFont="1" applyBorder="1" applyAlignment="1">
      <alignment horizontal="center" vertical="center"/>
    </xf>
    <xf numFmtId="0" fontId="4" fillId="0" borderId="12" xfId="0" applyFont="1" applyBorder="1" applyAlignment="1">
      <alignment horizontal="center" vertical="center"/>
    </xf>
    <xf numFmtId="0" fontId="4" fillId="0" borderId="15" xfId="0" applyFont="1" applyBorder="1" applyAlignment="1">
      <alignment horizontal="center" vertical="center"/>
    </xf>
    <xf numFmtId="0" fontId="5" fillId="0" borderId="22" xfId="9" applyFont="1" applyFill="1" applyBorder="1" applyAlignment="1">
      <alignment horizontal="center" vertical="center" wrapText="1"/>
    </xf>
    <xf numFmtId="0" fontId="5" fillId="0" borderId="22" xfId="9" applyFont="1" applyFill="1" applyBorder="1" applyAlignment="1">
      <alignment horizontal="center" vertical="center"/>
    </xf>
    <xf numFmtId="0" fontId="6" fillId="0" borderId="142" xfId="9" applyFont="1" applyFill="1" applyBorder="1" applyAlignment="1">
      <alignment horizontal="center" vertical="center"/>
    </xf>
    <xf numFmtId="0" fontId="5" fillId="0" borderId="142" xfId="9" applyFont="1" applyFill="1" applyBorder="1" applyAlignment="1">
      <alignment horizontal="center" vertical="center" wrapText="1"/>
    </xf>
    <xf numFmtId="0" fontId="6" fillId="0" borderId="22" xfId="9" applyFont="1" applyFill="1" applyBorder="1" applyAlignment="1">
      <alignment horizontal="center" vertical="center" wrapText="1"/>
    </xf>
    <xf numFmtId="0" fontId="6" fillId="0" borderId="22" xfId="9" applyFont="1" applyFill="1" applyBorder="1" applyAlignment="1">
      <alignment horizontal="center" vertical="center"/>
    </xf>
    <xf numFmtId="0" fontId="6" fillId="0" borderId="328" xfId="9" applyFont="1" applyBorder="1" applyAlignment="1">
      <alignment horizontal="center" vertical="center" wrapText="1"/>
    </xf>
    <xf numFmtId="0" fontId="5" fillId="0" borderId="145" xfId="9" applyFont="1" applyFill="1" applyBorder="1" applyAlignment="1">
      <alignment horizontal="center" vertical="center" wrapText="1"/>
    </xf>
    <xf numFmtId="0" fontId="5" fillId="0" borderId="27" xfId="9" applyFont="1" applyFill="1" applyBorder="1" applyAlignment="1">
      <alignment horizontal="center" vertical="center" wrapText="1"/>
    </xf>
    <xf numFmtId="0" fontId="5" fillId="0" borderId="0" xfId="9" applyFont="1" applyFill="1" applyAlignment="1">
      <alignment vertical="center" wrapText="1"/>
    </xf>
    <xf numFmtId="0" fontId="0" fillId="0" borderId="0" xfId="0" applyAlignment="1">
      <alignment vertical="center" wrapText="1"/>
    </xf>
    <xf numFmtId="0" fontId="6" fillId="0" borderId="142" xfId="9" applyFont="1" applyFill="1" applyBorder="1" applyAlignment="1">
      <alignment horizontal="center" vertical="center" wrapText="1"/>
    </xf>
    <xf numFmtId="0" fontId="6" fillId="0" borderId="121" xfId="9" applyFont="1" applyFill="1" applyBorder="1" applyAlignment="1">
      <alignment horizontal="center" vertical="center" wrapText="1"/>
    </xf>
    <xf numFmtId="0" fontId="6" fillId="0" borderId="134" xfId="9" applyFont="1" applyFill="1" applyBorder="1" applyAlignment="1">
      <alignment horizontal="center" vertical="center" wrapText="1"/>
    </xf>
    <xf numFmtId="0" fontId="6" fillId="0" borderId="99" xfId="9" applyFont="1" applyFill="1" applyBorder="1" applyAlignment="1">
      <alignment horizontal="center" vertical="center" wrapText="1"/>
    </xf>
    <xf numFmtId="0" fontId="5" fillId="0" borderId="142" xfId="9" applyFont="1" applyFill="1" applyBorder="1" applyAlignment="1">
      <alignment horizontal="center" vertical="center"/>
    </xf>
    <xf numFmtId="0" fontId="5" fillId="0" borderId="328" xfId="9" applyFont="1" applyFill="1" applyBorder="1" applyAlignment="1">
      <alignment horizontal="center" vertical="center" wrapText="1"/>
    </xf>
    <xf numFmtId="0" fontId="5" fillId="0" borderId="121" xfId="9" applyFont="1" applyFill="1" applyBorder="1" applyAlignment="1">
      <alignment horizontal="center" vertical="center" wrapText="1"/>
    </xf>
    <xf numFmtId="0" fontId="5" fillId="0" borderId="134" xfId="9" applyFont="1" applyFill="1" applyBorder="1" applyAlignment="1">
      <alignment horizontal="center" vertical="center" wrapText="1"/>
    </xf>
    <xf numFmtId="0" fontId="5" fillId="0" borderId="99" xfId="9" applyFont="1" applyFill="1" applyBorder="1" applyAlignment="1">
      <alignment horizontal="center" vertical="center" wrapText="1"/>
    </xf>
    <xf numFmtId="0" fontId="5" fillId="0" borderId="142" xfId="9" applyBorder="1" applyAlignment="1">
      <alignment horizontal="center" vertical="center"/>
    </xf>
    <xf numFmtId="0" fontId="6" fillId="0" borderId="142" xfId="9" applyFont="1" applyBorder="1" applyAlignment="1">
      <alignment horizontal="center" vertical="center" wrapText="1"/>
    </xf>
    <xf numFmtId="0" fontId="6" fillId="0" borderId="169" xfId="9" applyFont="1" applyFill="1" applyBorder="1" applyAlignment="1">
      <alignment horizontal="center" vertical="center"/>
    </xf>
    <xf numFmtId="0" fontId="6" fillId="0" borderId="92" xfId="9" applyFont="1" applyFill="1" applyBorder="1" applyAlignment="1">
      <alignment horizontal="center" vertical="center"/>
    </xf>
    <xf numFmtId="0" fontId="5" fillId="0" borderId="74" xfId="9" applyFont="1" applyFill="1" applyBorder="1" applyAlignment="1">
      <alignment horizontal="center" vertical="center" wrapText="1"/>
    </xf>
    <xf numFmtId="0" fontId="5" fillId="0" borderId="60" xfId="9" applyFont="1" applyFill="1" applyBorder="1" applyAlignment="1">
      <alignment horizontal="center" vertical="center" wrapText="1"/>
    </xf>
    <xf numFmtId="0" fontId="5" fillId="0" borderId="92" xfId="9" applyFont="1" applyFill="1" applyBorder="1" applyAlignment="1">
      <alignment horizontal="center" vertical="center" wrapText="1"/>
    </xf>
    <xf numFmtId="0" fontId="5" fillId="0" borderId="329" xfId="9" applyFont="1" applyFill="1" applyBorder="1" applyAlignment="1">
      <alignment horizontal="center" vertical="center" wrapText="1"/>
    </xf>
    <xf numFmtId="0" fontId="6" fillId="0" borderId="321" xfId="9" applyFont="1" applyFill="1" applyBorder="1" applyAlignment="1">
      <alignment horizontal="center" vertical="center"/>
    </xf>
    <xf numFmtId="0" fontId="6" fillId="0" borderId="27" xfId="9" applyFont="1" applyFill="1" applyBorder="1" applyAlignment="1">
      <alignment horizontal="center" vertical="center"/>
    </xf>
    <xf numFmtId="0" fontId="12" fillId="0" borderId="160" xfId="9" applyFont="1" applyBorder="1" applyAlignment="1">
      <alignment horizontal="center" vertical="center"/>
    </xf>
    <xf numFmtId="0" fontId="12" fillId="0" borderId="28" xfId="9" applyFont="1" applyBorder="1" applyAlignment="1">
      <alignment horizontal="center" vertical="center"/>
    </xf>
    <xf numFmtId="0" fontId="12" fillId="0" borderId="36" xfId="9" applyFont="1" applyBorder="1" applyAlignment="1">
      <alignment horizontal="center" vertical="center"/>
    </xf>
    <xf numFmtId="0" fontId="12" fillId="0" borderId="271" xfId="9" applyFont="1" applyBorder="1" applyAlignment="1">
      <alignment horizontal="center" vertical="center" wrapText="1"/>
    </xf>
    <xf numFmtId="0" fontId="12" fillId="0" borderId="272" xfId="9" applyFont="1" applyBorder="1" applyAlignment="1">
      <alignment horizontal="center" vertical="center" wrapText="1"/>
    </xf>
    <xf numFmtId="0" fontId="12" fillId="0" borderId="53" xfId="9" applyFont="1" applyBorder="1" applyAlignment="1">
      <alignment horizontal="center" vertical="center" wrapText="1"/>
    </xf>
    <xf numFmtId="0" fontId="12" fillId="0" borderId="51" xfId="9" applyFont="1" applyBorder="1" applyAlignment="1">
      <alignment horizontal="center" vertical="center" wrapText="1"/>
    </xf>
    <xf numFmtId="0" fontId="12" fillId="0" borderId="182" xfId="9" applyFont="1" applyBorder="1" applyAlignment="1">
      <alignment horizontal="center" vertical="center" wrapText="1"/>
    </xf>
    <xf numFmtId="0" fontId="12" fillId="0" borderId="183" xfId="9" applyFont="1" applyBorder="1" applyAlignment="1">
      <alignment horizontal="center" vertical="center" wrapText="1"/>
    </xf>
    <xf numFmtId="0" fontId="12" fillId="0" borderId="232" xfId="9" applyFont="1" applyBorder="1" applyAlignment="1">
      <alignment horizontal="center" vertical="center" wrapText="1"/>
    </xf>
    <xf numFmtId="0" fontId="12" fillId="0" borderId="234" xfId="9" applyFont="1" applyBorder="1" applyAlignment="1">
      <alignment horizontal="center" vertical="center" wrapText="1"/>
    </xf>
    <xf numFmtId="0" fontId="12" fillId="0" borderId="41" xfId="9" applyFont="1" applyBorder="1" applyAlignment="1">
      <alignment horizontal="center" vertical="center" wrapText="1"/>
    </xf>
    <xf numFmtId="0" fontId="12" fillId="0" borderId="251" xfId="9" applyFont="1" applyBorder="1" applyAlignment="1">
      <alignment horizontal="center" vertical="center" wrapText="1"/>
    </xf>
    <xf numFmtId="0" fontId="12" fillId="0" borderId="42" xfId="9" applyFont="1" applyBorder="1" applyAlignment="1">
      <alignment horizontal="center" vertical="center" wrapText="1"/>
    </xf>
    <xf numFmtId="0" fontId="12" fillId="0" borderId="249" xfId="9" applyFont="1" applyBorder="1" applyAlignment="1">
      <alignment horizontal="center" vertical="center" wrapText="1"/>
    </xf>
    <xf numFmtId="0" fontId="12" fillId="0" borderId="180" xfId="9" applyFont="1" applyBorder="1" applyAlignment="1">
      <alignment horizontal="center" vertical="center" wrapText="1"/>
    </xf>
    <xf numFmtId="0" fontId="12" fillId="0" borderId="28" xfId="9" applyFont="1" applyBorder="1" applyAlignment="1">
      <alignment horizontal="center" vertical="center" wrapText="1"/>
    </xf>
    <xf numFmtId="0" fontId="12" fillId="0" borderId="36" xfId="9" applyFont="1" applyBorder="1" applyAlignment="1">
      <alignment horizontal="center" vertical="center" wrapText="1"/>
    </xf>
    <xf numFmtId="43" fontId="12" fillId="0" borderId="160" xfId="10" applyFont="1" applyFill="1" applyBorder="1" applyAlignment="1" applyProtection="1">
      <alignment horizontal="center" vertical="center"/>
    </xf>
    <xf numFmtId="43" fontId="12" fillId="0" borderId="36" xfId="10" applyFont="1" applyFill="1" applyBorder="1" applyAlignment="1" applyProtection="1">
      <alignment horizontal="center" vertical="center"/>
    </xf>
    <xf numFmtId="0" fontId="10" fillId="0" borderId="169" xfId="9" applyFont="1" applyBorder="1" applyAlignment="1" applyProtection="1">
      <alignment horizontal="center" vertical="center"/>
      <protection locked="0"/>
    </xf>
    <xf numFmtId="0" fontId="10" fillId="0" borderId="76" xfId="9" applyFont="1" applyBorder="1" applyAlignment="1" applyProtection="1">
      <alignment horizontal="center" vertical="center"/>
      <protection locked="0"/>
    </xf>
    <xf numFmtId="0" fontId="10" fillId="0" borderId="77" xfId="9" applyFont="1" applyBorder="1" applyAlignment="1" applyProtection="1">
      <alignment horizontal="center" vertical="center"/>
      <protection locked="0"/>
    </xf>
    <xf numFmtId="0" fontId="10" fillId="7" borderId="145" xfId="9" applyFont="1" applyFill="1" applyBorder="1" applyAlignment="1" applyProtection="1">
      <alignment horizontal="center" vertical="center"/>
      <protection locked="0"/>
    </xf>
    <xf numFmtId="0" fontId="10" fillId="7" borderId="87" xfId="9" applyFont="1" applyFill="1" applyBorder="1" applyAlignment="1" applyProtection="1">
      <alignment horizontal="center" vertical="center"/>
      <protection locked="0"/>
    </xf>
    <xf numFmtId="0" fontId="10" fillId="7" borderId="84" xfId="9" applyFont="1" applyFill="1" applyBorder="1" applyAlignment="1" applyProtection="1">
      <alignment horizontal="center" vertical="center"/>
      <protection locked="0"/>
    </xf>
    <xf numFmtId="0" fontId="12" fillId="0" borderId="30" xfId="9" applyFont="1" applyBorder="1" applyAlignment="1">
      <alignment horizontal="center" vertical="center" wrapText="1"/>
    </xf>
    <xf numFmtId="0" fontId="12" fillId="0" borderId="32" xfId="9" applyFont="1" applyBorder="1" applyAlignment="1">
      <alignment horizontal="center" vertical="center" wrapText="1"/>
    </xf>
    <xf numFmtId="0" fontId="12" fillId="0" borderId="159" xfId="9" applyFont="1" applyBorder="1" applyAlignment="1">
      <alignment horizontal="center" vertical="center"/>
    </xf>
    <xf numFmtId="43" fontId="12" fillId="0" borderId="38" xfId="10" applyFont="1" applyFill="1" applyBorder="1" applyAlignment="1" applyProtection="1">
      <alignment horizontal="center" vertical="center"/>
    </xf>
    <xf numFmtId="43" fontId="12" fillId="0" borderId="39" xfId="10" applyFont="1" applyFill="1" applyBorder="1" applyAlignment="1" applyProtection="1">
      <alignment horizontal="center" vertical="center"/>
    </xf>
    <xf numFmtId="43" fontId="12" fillId="0" borderId="40" xfId="10" applyFont="1" applyFill="1" applyBorder="1" applyAlignment="1" applyProtection="1">
      <alignment horizontal="center" vertical="center"/>
    </xf>
    <xf numFmtId="0" fontId="12" fillId="0" borderId="37" xfId="9" applyFont="1" applyBorder="1" applyAlignment="1">
      <alignment horizontal="center" vertical="center"/>
    </xf>
    <xf numFmtId="0" fontId="12" fillId="0" borderId="181" xfId="9" applyFont="1" applyBorder="1" applyAlignment="1">
      <alignment horizontal="center" vertical="center"/>
    </xf>
    <xf numFmtId="0" fontId="12" fillId="0" borderId="30" xfId="9" applyFont="1" applyBorder="1" applyAlignment="1">
      <alignment horizontal="center" vertical="center"/>
    </xf>
    <xf numFmtId="0" fontId="12" fillId="0" borderId="44" xfId="9" applyFont="1" applyBorder="1" applyAlignment="1">
      <alignment horizontal="center" vertical="center"/>
    </xf>
    <xf numFmtId="0" fontId="12" fillId="0" borderId="32" xfId="9" applyFont="1" applyBorder="1" applyAlignment="1">
      <alignment horizontal="center" vertical="center"/>
    </xf>
    <xf numFmtId="0" fontId="12" fillId="0" borderId="47" xfId="9" applyFont="1" applyBorder="1" applyAlignment="1">
      <alignment horizontal="center" vertical="center" wrapText="1"/>
    </xf>
    <xf numFmtId="0" fontId="12" fillId="0" borderId="37" xfId="9" applyFont="1" applyBorder="1" applyAlignment="1">
      <alignment horizontal="center" vertical="center" wrapText="1"/>
    </xf>
    <xf numFmtId="0" fontId="12" fillId="0" borderId="46" xfId="9" applyFont="1" applyBorder="1" applyAlignment="1">
      <alignment horizontal="center" vertical="center" wrapText="1"/>
    </xf>
    <xf numFmtId="0" fontId="12" fillId="0" borderId="159" xfId="9" applyFont="1" applyBorder="1" applyAlignment="1">
      <alignment horizontal="center" vertical="center" wrapText="1"/>
    </xf>
    <xf numFmtId="0" fontId="12" fillId="0" borderId="308" xfId="9" applyFont="1" applyBorder="1" applyAlignment="1">
      <alignment horizontal="center" vertical="center"/>
    </xf>
    <xf numFmtId="0" fontId="12" fillId="0" borderId="235" xfId="9" applyFont="1" applyBorder="1" applyAlignment="1">
      <alignment horizontal="center" vertical="center"/>
    </xf>
    <xf numFmtId="0" fontId="12" fillId="0" borderId="236" xfId="9" applyFont="1" applyBorder="1" applyAlignment="1">
      <alignment horizontal="center" vertical="center"/>
    </xf>
    <xf numFmtId="0" fontId="12" fillId="0" borderId="237" xfId="9" applyFont="1" applyBorder="1" applyAlignment="1">
      <alignment horizontal="center" vertical="center"/>
    </xf>
    <xf numFmtId="0" fontId="13" fillId="7" borderId="235" xfId="9" applyFont="1" applyFill="1" applyBorder="1" applyAlignment="1">
      <alignment horizontal="center" vertical="center"/>
    </xf>
    <xf numFmtId="0" fontId="13" fillId="7" borderId="236" xfId="9" applyFont="1" applyFill="1" applyBorder="1" applyAlignment="1">
      <alignment horizontal="center" vertical="center"/>
    </xf>
    <xf numFmtId="0" fontId="12" fillId="0" borderId="34" xfId="9" applyFont="1" applyBorder="1" applyAlignment="1">
      <alignment horizontal="center" vertical="center"/>
    </xf>
    <xf numFmtId="0" fontId="12" fillId="0" borderId="48" xfId="9" applyFont="1" applyBorder="1" applyAlignment="1">
      <alignment horizontal="center" vertical="center"/>
    </xf>
    <xf numFmtId="0" fontId="12" fillId="7" borderId="161" xfId="9" applyFont="1" applyFill="1" applyBorder="1" applyAlignment="1">
      <alignment horizontal="center" vertical="center"/>
    </xf>
    <xf numFmtId="0" fontId="12" fillId="7" borderId="28" xfId="9" applyFont="1" applyFill="1" applyBorder="1" applyAlignment="1">
      <alignment horizontal="center" vertical="center"/>
    </xf>
    <xf numFmtId="0" fontId="12" fillId="7" borderId="35" xfId="9" applyFont="1" applyFill="1" applyBorder="1" applyAlignment="1">
      <alignment horizontal="center" vertical="center"/>
    </xf>
    <xf numFmtId="0" fontId="12" fillId="7" borderId="312" xfId="9" applyFont="1" applyFill="1" applyBorder="1" applyAlignment="1">
      <alignment horizontal="center" vertical="center"/>
    </xf>
    <xf numFmtId="0" fontId="12" fillId="7" borderId="138" xfId="9" applyFont="1" applyFill="1" applyBorder="1" applyAlignment="1">
      <alignment horizontal="center" vertical="center"/>
    </xf>
    <xf numFmtId="0" fontId="12" fillId="0" borderId="229" xfId="9" applyFont="1" applyBorder="1" applyAlignment="1">
      <alignment horizontal="center" vertical="center"/>
    </xf>
    <xf numFmtId="0" fontId="12" fillId="0" borderId="229" xfId="9" applyFont="1" applyBorder="1" applyAlignment="1">
      <alignment horizontal="center" vertical="center" wrapText="1"/>
    </xf>
    <xf numFmtId="0" fontId="12" fillId="0" borderId="44" xfId="9" applyFont="1" applyBorder="1" applyAlignment="1">
      <alignment horizontal="center" vertical="center" wrapText="1"/>
    </xf>
    <xf numFmtId="0" fontId="12" fillId="0" borderId="233" xfId="9" applyFont="1" applyBorder="1" applyAlignment="1">
      <alignment horizontal="center" vertical="center" wrapText="1"/>
    </xf>
    <xf numFmtId="0" fontId="12" fillId="0" borderId="235" xfId="9" applyFont="1" applyBorder="1" applyAlignment="1">
      <alignment horizontal="center" vertical="center" wrapText="1"/>
    </xf>
    <xf numFmtId="0" fontId="12" fillId="0" borderId="237" xfId="9" applyFont="1" applyBorder="1" applyAlignment="1">
      <alignment horizontal="center" vertical="center" wrapText="1"/>
    </xf>
    <xf numFmtId="0" fontId="10" fillId="6" borderId="223" xfId="9" applyFont="1" applyFill="1" applyBorder="1" applyAlignment="1">
      <alignment horizontal="center" vertical="center"/>
    </xf>
    <xf numFmtId="0" fontId="10" fillId="6" borderId="154" xfId="9" applyFont="1" applyFill="1" applyBorder="1" applyAlignment="1">
      <alignment horizontal="center" vertical="center"/>
    </xf>
    <xf numFmtId="0" fontId="10" fillId="6" borderId="224" xfId="9" applyFont="1" applyFill="1" applyBorder="1" applyAlignment="1">
      <alignment horizontal="center" vertical="center"/>
    </xf>
    <xf numFmtId="0" fontId="10" fillId="6" borderId="145" xfId="9" applyFont="1" applyFill="1" applyBorder="1" applyAlignment="1">
      <alignment horizontal="center" vertical="center"/>
    </xf>
    <xf numFmtId="0" fontId="10" fillId="6" borderId="87" xfId="9" applyFont="1" applyFill="1" applyBorder="1" applyAlignment="1">
      <alignment horizontal="center" vertical="center"/>
    </xf>
    <xf numFmtId="0" fontId="10" fillId="6" borderId="27" xfId="9" applyFont="1" applyFill="1" applyBorder="1" applyAlignment="1">
      <alignment horizontal="center" vertical="center"/>
    </xf>
    <xf numFmtId="0" fontId="12" fillId="0" borderId="308" xfId="9" applyFont="1" applyBorder="1" applyAlignment="1">
      <alignment horizontal="center" vertical="center" wrapText="1"/>
    </xf>
    <xf numFmtId="0" fontId="13" fillId="7" borderId="30" xfId="9" applyFont="1" applyFill="1" applyBorder="1" applyAlignment="1">
      <alignment horizontal="center" vertical="center" wrapText="1"/>
    </xf>
    <xf numFmtId="0" fontId="13" fillId="7" borderId="32" xfId="9" applyFont="1" applyFill="1" applyBorder="1" applyAlignment="1">
      <alignment horizontal="center" vertical="center" wrapText="1"/>
    </xf>
    <xf numFmtId="0" fontId="13" fillId="7" borderId="44" xfId="9" applyFont="1" applyFill="1" applyBorder="1" applyAlignment="1">
      <alignment horizontal="center" vertical="center" wrapText="1"/>
    </xf>
    <xf numFmtId="0" fontId="12" fillId="7" borderId="31" xfId="9" applyFont="1" applyFill="1" applyBorder="1" applyAlignment="1">
      <alignment horizontal="center" vertical="center" wrapText="1"/>
    </xf>
    <xf numFmtId="0" fontId="12" fillId="7" borderId="33" xfId="9" applyFont="1" applyFill="1" applyBorder="1" applyAlignment="1">
      <alignment horizontal="center" vertical="center" wrapText="1"/>
    </xf>
    <xf numFmtId="0" fontId="12" fillId="7" borderId="45" xfId="9" applyFont="1" applyFill="1" applyBorder="1" applyAlignment="1">
      <alignment horizontal="center" vertical="center" wrapText="1"/>
    </xf>
    <xf numFmtId="0" fontId="10" fillId="8" borderId="145" xfId="9" applyFont="1" applyFill="1" applyBorder="1" applyAlignment="1">
      <alignment horizontal="center"/>
    </xf>
    <xf numFmtId="0" fontId="10" fillId="8" borderId="87" xfId="9" applyFont="1" applyFill="1" applyBorder="1" applyAlignment="1">
      <alignment horizontal="center"/>
    </xf>
    <xf numFmtId="0" fontId="10" fillId="8" borderId="27" xfId="9" applyFont="1" applyFill="1" applyBorder="1" applyAlignment="1">
      <alignment horizontal="center"/>
    </xf>
    <xf numFmtId="0" fontId="12" fillId="0" borderId="227" xfId="9" applyFont="1" applyBorder="1" applyAlignment="1">
      <alignment horizontal="center" vertical="center"/>
    </xf>
    <xf numFmtId="0" fontId="12" fillId="0" borderId="228" xfId="9" applyFont="1" applyBorder="1" applyAlignment="1">
      <alignment horizontal="center" vertical="center"/>
    </xf>
    <xf numFmtId="0" fontId="12" fillId="0" borderId="38" xfId="9" applyFont="1" applyBorder="1" applyAlignment="1">
      <alignment horizontal="center" vertical="center"/>
    </xf>
    <xf numFmtId="0" fontId="12" fillId="0" borderId="39" xfId="9" applyFont="1" applyBorder="1" applyAlignment="1">
      <alignment horizontal="center" vertical="center"/>
    </xf>
    <xf numFmtId="0" fontId="12" fillId="0" borderId="244" xfId="9" applyFont="1" applyBorder="1" applyAlignment="1">
      <alignment horizontal="center" vertical="center"/>
    </xf>
    <xf numFmtId="0" fontId="12" fillId="0" borderId="48" xfId="9" applyFont="1" applyBorder="1" applyAlignment="1">
      <alignment horizontal="center" vertical="center" wrapText="1"/>
    </xf>
    <xf numFmtId="0" fontId="12" fillId="0" borderId="255" xfId="9" applyFont="1" applyBorder="1" applyAlignment="1">
      <alignment horizontal="center" vertical="center" wrapText="1"/>
    </xf>
    <xf numFmtId="0" fontId="12" fillId="0" borderId="274" xfId="9" applyFont="1" applyBorder="1" applyAlignment="1">
      <alignment horizontal="center" vertical="center" wrapText="1"/>
    </xf>
    <xf numFmtId="0" fontId="12" fillId="0" borderId="69" xfId="9" applyFont="1" applyBorder="1" applyAlignment="1">
      <alignment horizontal="center" vertical="center"/>
    </xf>
    <xf numFmtId="0" fontId="12" fillId="0" borderId="70" xfId="9" applyFont="1" applyBorder="1" applyAlignment="1">
      <alignment horizontal="center" vertical="center"/>
    </xf>
    <xf numFmtId="0" fontId="12" fillId="0" borderId="67" xfId="9" applyFont="1" applyBorder="1" applyAlignment="1">
      <alignment horizontal="center" vertical="center"/>
    </xf>
    <xf numFmtId="0" fontId="12" fillId="7" borderId="243" xfId="9" applyFont="1" applyFill="1" applyBorder="1" applyAlignment="1" applyProtection="1">
      <alignment horizontal="center" vertical="center"/>
    </xf>
    <xf numFmtId="0" fontId="12" fillId="7" borderId="262" xfId="9" applyFont="1" applyFill="1" applyBorder="1" applyAlignment="1" applyProtection="1">
      <alignment horizontal="center" vertical="center"/>
    </xf>
    <xf numFmtId="0" fontId="12" fillId="7" borderId="260" xfId="9" applyFont="1" applyFill="1" applyBorder="1" applyAlignment="1" applyProtection="1">
      <alignment horizontal="center" vertical="center"/>
    </xf>
    <xf numFmtId="0" fontId="12" fillId="7" borderId="261" xfId="9" applyFont="1" applyFill="1" applyBorder="1" applyAlignment="1" applyProtection="1">
      <alignment horizontal="center" vertical="center"/>
    </xf>
    <xf numFmtId="0" fontId="12" fillId="7" borderId="180" xfId="9" applyFont="1" applyFill="1" applyBorder="1" applyAlignment="1" applyProtection="1">
      <alignment horizontal="center" vertical="center"/>
    </xf>
    <xf numFmtId="0" fontId="12" fillId="7" borderId="28" xfId="9" applyFont="1" applyFill="1" applyBorder="1" applyAlignment="1" applyProtection="1">
      <alignment horizontal="center" vertical="center"/>
    </xf>
    <xf numFmtId="0" fontId="12" fillId="0" borderId="254" xfId="9" applyFont="1" applyFill="1" applyBorder="1" applyAlignment="1" applyProtection="1">
      <alignment horizontal="center" vertical="center"/>
    </xf>
    <xf numFmtId="0" fontId="12" fillId="0" borderId="270" xfId="9" applyFont="1" applyFill="1" applyBorder="1" applyAlignment="1" applyProtection="1">
      <alignment horizontal="center" vertical="center"/>
    </xf>
    <xf numFmtId="0" fontId="12" fillId="0" borderId="330" xfId="9" applyFont="1" applyFill="1" applyBorder="1" applyAlignment="1" applyProtection="1">
      <alignment horizontal="center" vertical="center"/>
    </xf>
    <xf numFmtId="0" fontId="12" fillId="0" borderId="331" xfId="9" applyFont="1" applyFill="1" applyBorder="1" applyAlignment="1" applyProtection="1">
      <alignment horizontal="center" vertical="center"/>
    </xf>
    <xf numFmtId="0" fontId="12" fillId="0" borderId="229" xfId="9" applyFont="1" applyFill="1" applyBorder="1" applyAlignment="1" applyProtection="1">
      <alignment horizontal="center" vertical="center"/>
    </xf>
    <xf numFmtId="0" fontId="12" fillId="0" borderId="44" xfId="9" applyFont="1" applyFill="1" applyBorder="1" applyAlignment="1" applyProtection="1">
      <alignment horizontal="center" vertical="center"/>
    </xf>
    <xf numFmtId="0" fontId="12" fillId="0" borderId="232" xfId="9" applyFont="1" applyFill="1" applyBorder="1" applyAlignment="1" applyProtection="1">
      <alignment horizontal="center" vertical="center"/>
    </xf>
    <xf numFmtId="0" fontId="12" fillId="0" borderId="78" xfId="9" applyFont="1" applyFill="1" applyBorder="1" applyAlignment="1" applyProtection="1">
      <alignment horizontal="center" vertical="center"/>
    </xf>
    <xf numFmtId="0" fontId="12" fillId="0" borderId="236" xfId="9" applyFont="1" applyFill="1" applyBorder="1" applyAlignment="1" applyProtection="1">
      <alignment horizontal="center" vertical="center"/>
    </xf>
    <xf numFmtId="0" fontId="12" fillId="0" borderId="47" xfId="9" applyFont="1" applyFill="1" applyBorder="1" applyAlignment="1" applyProtection="1">
      <alignment horizontal="center" vertical="center"/>
    </xf>
    <xf numFmtId="0" fontId="12" fillId="0" borderId="34" xfId="9" applyFont="1" applyFill="1" applyBorder="1" applyAlignment="1" applyProtection="1">
      <alignment horizontal="center" vertical="center"/>
    </xf>
    <xf numFmtId="0" fontId="12" fillId="0" borderId="151" xfId="9" applyFont="1" applyFill="1" applyBorder="1" applyAlignment="1" applyProtection="1">
      <alignment horizontal="center" vertical="center"/>
    </xf>
    <xf numFmtId="0" fontId="12" fillId="0" borderId="74" xfId="9" applyFont="1" applyFill="1" applyBorder="1" applyAlignment="1" applyProtection="1">
      <alignment horizontal="center" vertical="center"/>
    </xf>
    <xf numFmtId="0" fontId="12" fillId="0" borderId="178" xfId="9" applyFont="1" applyFill="1" applyBorder="1" applyAlignment="1" applyProtection="1">
      <alignment horizontal="center" vertical="center"/>
    </xf>
    <xf numFmtId="0" fontId="12" fillId="0" borderId="256" xfId="9" applyFont="1" applyFill="1" applyBorder="1" applyAlignment="1" applyProtection="1">
      <alignment horizontal="center" vertical="center"/>
    </xf>
    <xf numFmtId="0" fontId="12" fillId="0" borderId="179" xfId="9" applyFont="1" applyFill="1" applyBorder="1" applyAlignment="1" applyProtection="1">
      <alignment horizontal="center" vertical="center"/>
    </xf>
    <xf numFmtId="0" fontId="12" fillId="0" borderId="245" xfId="9" applyFont="1" applyBorder="1" applyAlignment="1">
      <alignment horizontal="center" vertical="center" wrapText="1"/>
    </xf>
    <xf numFmtId="0" fontId="12" fillId="0" borderId="151" xfId="9" applyFont="1" applyBorder="1" applyAlignment="1">
      <alignment horizontal="center" vertical="center" wrapText="1"/>
    </xf>
    <xf numFmtId="0" fontId="12" fillId="0" borderId="74" xfId="9" applyFont="1" applyBorder="1" applyAlignment="1">
      <alignment horizontal="center" vertical="center" wrapText="1"/>
    </xf>
    <xf numFmtId="0" fontId="12" fillId="0" borderId="257" xfId="9" applyFont="1" applyBorder="1" applyAlignment="1">
      <alignment horizontal="center" vertical="center" wrapText="1"/>
    </xf>
    <xf numFmtId="0" fontId="12" fillId="0" borderId="258" xfId="9" applyFont="1" applyBorder="1" applyAlignment="1">
      <alignment horizontal="center" vertical="center" wrapText="1"/>
    </xf>
    <xf numFmtId="0" fontId="12" fillId="0" borderId="259" xfId="9" applyFont="1" applyBorder="1" applyAlignment="1">
      <alignment horizontal="center" vertical="center" wrapText="1"/>
    </xf>
    <xf numFmtId="0" fontId="12" fillId="0" borderId="145" xfId="9" applyFont="1" applyFill="1" applyBorder="1" applyAlignment="1" applyProtection="1">
      <alignment horizontal="center" vertical="center"/>
    </xf>
    <xf numFmtId="0" fontId="12" fillId="0" borderId="87" xfId="9" applyFont="1" applyFill="1" applyBorder="1" applyAlignment="1" applyProtection="1">
      <alignment horizontal="center" vertical="center"/>
    </xf>
    <xf numFmtId="0" fontId="12" fillId="0" borderId="246" xfId="9" applyFont="1" applyFill="1" applyBorder="1" applyAlignment="1" applyProtection="1">
      <alignment horizontal="center" vertical="center"/>
    </xf>
    <xf numFmtId="0" fontId="12" fillId="0" borderId="247" xfId="9" applyFont="1" applyFill="1" applyBorder="1" applyAlignment="1" applyProtection="1">
      <alignment horizontal="center" vertical="center"/>
    </xf>
    <xf numFmtId="0" fontId="12" fillId="0" borderId="27" xfId="9" applyFont="1" applyFill="1" applyBorder="1" applyAlignment="1" applyProtection="1">
      <alignment horizontal="center" vertical="center"/>
    </xf>
    <xf numFmtId="0" fontId="12" fillId="0" borderId="159" xfId="9" applyFont="1" applyFill="1" applyBorder="1" applyAlignment="1" applyProtection="1">
      <alignment horizontal="center" vertical="center"/>
    </xf>
    <xf numFmtId="0" fontId="12" fillId="0" borderId="28" xfId="9" applyFont="1" applyFill="1" applyBorder="1" applyAlignment="1" applyProtection="1">
      <alignment horizontal="center" vertical="center"/>
    </xf>
    <xf numFmtId="0" fontId="12" fillId="0" borderId="36" xfId="9" applyFont="1" applyFill="1" applyBorder="1" applyAlignment="1" applyProtection="1">
      <alignment horizontal="center" vertical="center"/>
    </xf>
    <xf numFmtId="0" fontId="12" fillId="0" borderId="181" xfId="9" applyFont="1" applyBorder="1" applyAlignment="1">
      <alignment horizontal="center" vertical="center" wrapText="1"/>
    </xf>
    <xf numFmtId="0" fontId="12" fillId="0" borderId="29" xfId="9" applyFont="1" applyFill="1" applyBorder="1" applyAlignment="1" applyProtection="1">
      <alignment horizontal="center" vertical="center"/>
    </xf>
    <xf numFmtId="0" fontId="12" fillId="0" borderId="254" xfId="9" applyFont="1" applyBorder="1" applyAlignment="1">
      <alignment horizontal="center" vertical="center"/>
    </xf>
    <xf numFmtId="0" fontId="12" fillId="0" borderId="270" xfId="9" applyFont="1" applyBorder="1" applyAlignment="1">
      <alignment horizontal="center" vertical="center"/>
    </xf>
    <xf numFmtId="0" fontId="12" fillId="0" borderId="47" xfId="9" applyFont="1" applyBorder="1" applyAlignment="1">
      <alignment horizontal="center" vertical="center"/>
    </xf>
    <xf numFmtId="0" fontId="12" fillId="7" borderId="151" xfId="9" applyFont="1" applyFill="1" applyBorder="1" applyAlignment="1" applyProtection="1">
      <alignment horizontal="center" vertical="center"/>
    </xf>
    <xf numFmtId="0" fontId="12" fillId="7" borderId="242" xfId="9" applyFont="1" applyFill="1" applyBorder="1" applyAlignment="1" applyProtection="1">
      <alignment horizontal="center" vertical="center"/>
    </xf>
    <xf numFmtId="0" fontId="12" fillId="0" borderId="252" xfId="9" applyFont="1" applyBorder="1" applyAlignment="1">
      <alignment horizontal="center" vertical="center"/>
    </xf>
    <xf numFmtId="0" fontId="12" fillId="0" borderId="268" xfId="9" applyFont="1" applyBorder="1" applyAlignment="1">
      <alignment horizontal="center" vertical="center"/>
    </xf>
    <xf numFmtId="0" fontId="12" fillId="0" borderId="233" xfId="9" applyFont="1" applyBorder="1" applyAlignment="1">
      <alignment horizontal="center" vertical="center"/>
    </xf>
    <xf numFmtId="0" fontId="12" fillId="0" borderId="54" xfId="9" applyFont="1" applyBorder="1" applyAlignment="1">
      <alignment horizontal="center" vertical="center"/>
    </xf>
    <xf numFmtId="0" fontId="12" fillId="0" borderId="234" xfId="9" applyFont="1" applyBorder="1" applyAlignment="1">
      <alignment horizontal="center" vertical="center"/>
    </xf>
    <xf numFmtId="0" fontId="12" fillId="0" borderId="52" xfId="9" applyFont="1" applyBorder="1" applyAlignment="1">
      <alignment horizontal="center" vertical="center"/>
    </xf>
    <xf numFmtId="0" fontId="12" fillId="0" borderId="253" xfId="9" applyFont="1" applyFill="1" applyBorder="1" applyAlignment="1" applyProtection="1">
      <alignment horizontal="center" vertical="center"/>
    </xf>
    <xf numFmtId="0" fontId="12" fillId="0" borderId="269" xfId="9" applyFont="1" applyFill="1" applyBorder="1" applyAlignment="1" applyProtection="1">
      <alignment horizontal="center" vertical="center"/>
    </xf>
    <xf numFmtId="0" fontId="12" fillId="0" borderId="0" xfId="9" applyFont="1" applyFill="1" applyBorder="1" applyAlignment="1" applyProtection="1">
      <alignment horizontal="center" vertical="center" wrapText="1"/>
    </xf>
    <xf numFmtId="0" fontId="12" fillId="0" borderId="76" xfId="9" applyFont="1" applyFill="1" applyBorder="1" applyAlignment="1" applyProtection="1">
      <alignment horizontal="center" vertical="center" wrapText="1"/>
    </xf>
    <xf numFmtId="0" fontId="47" fillId="0" borderId="240" xfId="0" applyFont="1" applyBorder="1" applyAlignment="1">
      <alignment horizontal="center"/>
    </xf>
    <xf numFmtId="0" fontId="12" fillId="0" borderId="230" xfId="9" applyFont="1" applyFill="1" applyBorder="1" applyAlignment="1" applyProtection="1">
      <alignment horizontal="center" vertical="center" wrapText="1"/>
    </xf>
    <xf numFmtId="0" fontId="45" fillId="0" borderId="231" xfId="0" applyFont="1" applyBorder="1" applyAlignment="1">
      <alignment horizontal="center" vertical="center"/>
    </xf>
    <xf numFmtId="0" fontId="12" fillId="0" borderId="229" xfId="9" applyFont="1" applyFill="1" applyBorder="1" applyAlignment="1" applyProtection="1">
      <alignment horizontal="center" vertical="center" wrapText="1"/>
    </xf>
    <xf numFmtId="0" fontId="12" fillId="0" borderId="32" xfId="9" applyFont="1" applyFill="1" applyBorder="1" applyAlignment="1" applyProtection="1">
      <alignment horizontal="center" vertical="center" wrapText="1"/>
    </xf>
    <xf numFmtId="0" fontId="12" fillId="0" borderId="44" xfId="9" applyFont="1" applyFill="1" applyBorder="1" applyAlignment="1" applyProtection="1">
      <alignment horizontal="center" vertical="center" wrapText="1"/>
    </xf>
    <xf numFmtId="0" fontId="47" fillId="0" borderId="241" xfId="0" applyFont="1" applyBorder="1" applyAlignment="1">
      <alignment horizontal="center"/>
    </xf>
    <xf numFmtId="0" fontId="12" fillId="0" borderId="29" xfId="9" applyFont="1" applyBorder="1" applyAlignment="1">
      <alignment horizontal="center" vertical="center"/>
    </xf>
    <xf numFmtId="0" fontId="10" fillId="6" borderId="332" xfId="9" applyFont="1" applyFill="1" applyBorder="1" applyAlignment="1">
      <alignment horizontal="center" vertical="center"/>
    </xf>
    <xf numFmtId="0" fontId="12" fillId="0" borderId="183" xfId="9" applyFont="1" applyFill="1" applyBorder="1" applyAlignment="1" applyProtection="1">
      <alignment horizontal="center" vertical="center" wrapText="1"/>
    </xf>
    <xf numFmtId="0" fontId="12" fillId="0" borderId="77" xfId="9" applyFont="1" applyFill="1" applyBorder="1" applyAlignment="1" applyProtection="1">
      <alignment horizontal="center" vertical="center" wrapText="1"/>
    </xf>
    <xf numFmtId="0" fontId="12" fillId="0" borderId="233" xfId="9" applyFont="1" applyFill="1" applyBorder="1" applyAlignment="1" applyProtection="1">
      <alignment horizontal="center" vertical="center"/>
    </xf>
    <xf numFmtId="0" fontId="12" fillId="0" borderId="76" xfId="9" applyFont="1" applyFill="1" applyBorder="1" applyAlignment="1" applyProtection="1">
      <alignment horizontal="center" vertical="center"/>
    </xf>
    <xf numFmtId="0" fontId="12" fillId="0" borderId="234" xfId="9" applyFont="1" applyFill="1" applyBorder="1" applyAlignment="1" applyProtection="1">
      <alignment horizontal="center" vertical="center"/>
    </xf>
    <xf numFmtId="0" fontId="12" fillId="0" borderId="77" xfId="9" applyFont="1" applyFill="1" applyBorder="1" applyAlignment="1" applyProtection="1">
      <alignment horizontal="center" vertical="center"/>
    </xf>
    <xf numFmtId="0" fontId="12" fillId="0" borderId="249" xfId="9" applyFont="1" applyFill="1" applyBorder="1" applyAlignment="1" applyProtection="1">
      <alignment horizontal="center" vertical="center"/>
    </xf>
    <xf numFmtId="0" fontId="12" fillId="0" borderId="82" xfId="9" applyFont="1" applyFill="1" applyBorder="1" applyAlignment="1" applyProtection="1">
      <alignment horizontal="center" vertical="center"/>
    </xf>
    <xf numFmtId="0" fontId="12" fillId="0" borderId="235" xfId="9" applyFont="1" applyFill="1" applyBorder="1" applyAlignment="1" applyProtection="1">
      <alignment horizontal="center" vertical="center" wrapText="1"/>
    </xf>
    <xf numFmtId="0" fontId="12" fillId="0" borderId="236" xfId="9" applyFont="1" applyFill="1" applyBorder="1" applyAlignment="1" applyProtection="1">
      <alignment horizontal="center" vertical="center" wrapText="1"/>
    </xf>
    <xf numFmtId="0" fontId="12" fillId="0" borderId="237" xfId="9" applyFont="1" applyFill="1" applyBorder="1" applyAlignment="1" applyProtection="1">
      <alignment horizontal="center" vertical="center" wrapText="1"/>
    </xf>
    <xf numFmtId="0" fontId="12" fillId="0" borderId="263" xfId="9" applyFont="1" applyFill="1" applyBorder="1" applyAlignment="1" applyProtection="1">
      <alignment horizontal="center" vertical="center" wrapText="1"/>
    </xf>
    <xf numFmtId="0" fontId="45" fillId="0" borderId="249" xfId="0" applyFont="1" applyBorder="1" applyAlignment="1">
      <alignment horizontal="center" vertical="center"/>
    </xf>
    <xf numFmtId="0" fontId="45" fillId="0" borderId="82" xfId="0" applyFont="1" applyBorder="1" applyAlignment="1">
      <alignment horizontal="center" vertical="center"/>
    </xf>
    <xf numFmtId="0" fontId="12" fillId="0" borderId="225" xfId="9" applyFont="1" applyFill="1" applyBorder="1" applyAlignment="1" applyProtection="1">
      <alignment horizontal="center" vertical="center"/>
    </xf>
    <xf numFmtId="0" fontId="12" fillId="0" borderId="225" xfId="9" applyFont="1" applyFill="1" applyBorder="1" applyAlignment="1" applyProtection="1">
      <alignment horizontal="center" vertical="center" wrapText="1"/>
    </xf>
    <xf numFmtId="0" fontId="12" fillId="0" borderId="34" xfId="9" applyFont="1" applyFill="1" applyBorder="1" applyAlignment="1" applyProtection="1">
      <alignment horizontal="center" vertical="center" wrapText="1"/>
    </xf>
    <xf numFmtId="0" fontId="12" fillId="0" borderId="178" xfId="9" applyFont="1" applyFill="1" applyBorder="1" applyAlignment="1" applyProtection="1">
      <alignment horizontal="center" vertical="center" wrapText="1"/>
    </xf>
    <xf numFmtId="0" fontId="12" fillId="0" borderId="42" xfId="9" applyFont="1" applyFill="1" applyBorder="1" applyAlignment="1" applyProtection="1">
      <alignment horizontal="center" vertical="center" wrapText="1"/>
    </xf>
    <xf numFmtId="0" fontId="13" fillId="7" borderId="226" xfId="9" applyFont="1" applyFill="1" applyBorder="1" applyAlignment="1" applyProtection="1">
      <alignment horizontal="center" vertical="center" wrapText="1"/>
    </xf>
    <xf numFmtId="0" fontId="13" fillId="7" borderId="183" xfId="9" applyFont="1" applyFill="1" applyBorder="1" applyAlignment="1" applyProtection="1">
      <alignment horizontal="center" vertical="center" wrapText="1"/>
    </xf>
    <xf numFmtId="0" fontId="13" fillId="7" borderId="77" xfId="9" applyFont="1" applyFill="1" applyBorder="1" applyAlignment="1" applyProtection="1">
      <alignment horizontal="center" vertical="center" wrapText="1"/>
    </xf>
    <xf numFmtId="0" fontId="12" fillId="7" borderId="31" xfId="9" applyFont="1" applyFill="1" applyBorder="1" applyAlignment="1" applyProtection="1">
      <alignment horizontal="center" vertical="center" wrapText="1"/>
    </xf>
    <xf numFmtId="0" fontId="12" fillId="7" borderId="33" xfId="9" applyFont="1" applyFill="1" applyBorder="1" applyAlignment="1" applyProtection="1">
      <alignment horizontal="center" vertical="center" wrapText="1"/>
    </xf>
    <xf numFmtId="0" fontId="12" fillId="7" borderId="45" xfId="9" applyFont="1" applyFill="1" applyBorder="1" applyAlignment="1" applyProtection="1">
      <alignment horizontal="center" vertical="center" wrapText="1"/>
    </xf>
    <xf numFmtId="0" fontId="0" fillId="0" borderId="87" xfId="0" applyBorder="1" applyAlignment="1">
      <alignment horizontal="center"/>
    </xf>
    <xf numFmtId="0" fontId="12" fillId="0" borderId="232" xfId="9" applyFont="1" applyFill="1" applyBorder="1" applyAlignment="1" applyProtection="1">
      <alignment horizontal="center" vertical="center" wrapText="1"/>
    </xf>
    <xf numFmtId="0" fontId="12" fillId="0" borderId="233" xfId="9" applyFont="1" applyFill="1" applyBorder="1" applyAlignment="1" applyProtection="1">
      <alignment horizontal="center" vertical="center" wrapText="1"/>
    </xf>
    <xf numFmtId="0" fontId="12" fillId="0" borderId="234" xfId="9" applyFont="1" applyFill="1" applyBorder="1" applyAlignment="1" applyProtection="1">
      <alignment horizontal="center" vertical="center" wrapText="1"/>
    </xf>
    <xf numFmtId="0" fontId="12" fillId="0" borderId="235" xfId="9" applyFont="1" applyFill="1" applyBorder="1" applyAlignment="1" applyProtection="1">
      <alignment horizontal="center" vertical="center"/>
    </xf>
    <xf numFmtId="0" fontId="12" fillId="0" borderId="237" xfId="9" applyFont="1" applyFill="1" applyBorder="1" applyAlignment="1" applyProtection="1">
      <alignment horizontal="center" vertical="center"/>
    </xf>
    <xf numFmtId="0" fontId="12" fillId="0" borderId="248" xfId="9" applyFont="1" applyBorder="1" applyAlignment="1">
      <alignment horizontal="center" vertical="center"/>
    </xf>
    <xf numFmtId="0" fontId="12" fillId="0" borderId="43" xfId="9" applyFont="1" applyBorder="1" applyAlignment="1">
      <alignment horizontal="center" vertical="center"/>
    </xf>
    <xf numFmtId="0" fontId="12" fillId="0" borderId="343" xfId="9" applyFont="1" applyFill="1" applyBorder="1" applyAlignment="1" applyProtection="1">
      <alignment horizontal="center" vertical="center"/>
    </xf>
    <xf numFmtId="0" fontId="12" fillId="0" borderId="253" xfId="9" quotePrefix="1" applyFont="1" applyFill="1" applyBorder="1" applyAlignment="1" applyProtection="1">
      <alignment horizontal="center" vertical="center"/>
    </xf>
    <xf numFmtId="0" fontId="13" fillId="7" borderId="238" xfId="9" applyFont="1" applyFill="1" applyBorder="1" applyAlignment="1" applyProtection="1">
      <alignment horizontal="center" vertical="center"/>
    </xf>
    <xf numFmtId="0" fontId="13" fillId="7" borderId="250" xfId="9" applyFont="1" applyFill="1" applyBorder="1" applyAlignment="1" applyProtection="1">
      <alignment horizontal="center" vertical="center"/>
    </xf>
    <xf numFmtId="0" fontId="13" fillId="7" borderId="264" xfId="9" applyFont="1" applyFill="1" applyBorder="1" applyAlignment="1" applyProtection="1">
      <alignment horizontal="center" vertical="center"/>
    </xf>
    <xf numFmtId="0" fontId="47" fillId="0" borderId="239" xfId="0" applyFont="1" applyBorder="1" applyAlignment="1">
      <alignment horizontal="center"/>
    </xf>
    <xf numFmtId="0" fontId="12" fillId="0" borderId="182" xfId="9" applyFont="1" applyFill="1" applyBorder="1" applyAlignment="1" applyProtection="1">
      <alignment horizontal="center" vertical="center" wrapText="1"/>
    </xf>
    <xf numFmtId="0" fontId="12" fillId="0" borderId="78" xfId="9" applyFont="1" applyFill="1" applyBorder="1" applyAlignment="1" applyProtection="1">
      <alignment horizontal="center" vertical="center" wrapText="1"/>
    </xf>
    <xf numFmtId="0" fontId="8" fillId="11" borderId="4" xfId="0" applyFont="1" applyFill="1" applyBorder="1" applyAlignment="1">
      <alignment horizontal="center" vertical="center" wrapText="1"/>
    </xf>
    <xf numFmtId="0" fontId="8" fillId="11" borderId="5" xfId="0" applyFont="1" applyFill="1" applyBorder="1" applyAlignment="1">
      <alignment horizontal="center" vertical="center" wrapText="1"/>
    </xf>
    <xf numFmtId="0" fontId="8" fillId="11" borderId="9" xfId="0" applyFont="1" applyFill="1" applyBorder="1" applyAlignment="1">
      <alignment horizontal="center" vertical="center" wrapText="1"/>
    </xf>
    <xf numFmtId="0" fontId="8" fillId="11" borderId="10" xfId="0" applyFont="1" applyFill="1" applyBorder="1" applyAlignment="1">
      <alignment horizontal="center" vertical="center" wrapText="1"/>
    </xf>
    <xf numFmtId="43" fontId="5" fillId="0" borderId="0" xfId="4" applyNumberFormat="1" applyFont="1" applyFill="1" applyBorder="1" applyAlignment="1">
      <alignment horizontal="center" vertical="center"/>
    </xf>
    <xf numFmtId="43" fontId="5" fillId="0" borderId="8" xfId="4" applyNumberFormat="1" applyFont="1" applyFill="1" applyBorder="1" applyAlignment="1">
      <alignment horizontal="center" vertical="center"/>
    </xf>
    <xf numFmtId="43" fontId="5" fillId="0" borderId="10" xfId="4" applyNumberFormat="1" applyFont="1" applyFill="1" applyBorder="1" applyAlignment="1">
      <alignment horizontal="center" vertical="center"/>
    </xf>
    <xf numFmtId="43" fontId="5" fillId="0" borderId="11" xfId="4" applyNumberFormat="1" applyFont="1" applyFill="1" applyBorder="1" applyAlignment="1">
      <alignment horizontal="center" vertical="center"/>
    </xf>
    <xf numFmtId="0" fontId="7" fillId="11" borderId="1"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43" fontId="5" fillId="0" borderId="5" xfId="4" applyNumberFormat="1" applyFont="1" applyFill="1" applyBorder="1" applyAlignment="1">
      <alignment horizontal="center" vertical="center"/>
    </xf>
    <xf numFmtId="43" fontId="5" fillId="0" borderId="6" xfId="4" applyNumberFormat="1" applyFont="1" applyFill="1" applyBorder="1" applyAlignment="1">
      <alignment horizontal="center" vertical="center"/>
    </xf>
    <xf numFmtId="43" fontId="5" fillId="0" borderId="5" xfId="4" applyNumberFormat="1" applyFont="1" applyFill="1" applyBorder="1" applyAlignment="1">
      <alignment horizontal="center" vertical="center" wrapText="1"/>
    </xf>
    <xf numFmtId="43" fontId="5" fillId="0" borderId="0" xfId="4" applyNumberFormat="1" applyFont="1" applyFill="1" applyBorder="1" applyAlignment="1">
      <alignment horizontal="center" vertical="center" wrapText="1"/>
    </xf>
    <xf numFmtId="43" fontId="5" fillId="0" borderId="10" xfId="4" applyNumberFormat="1" applyFont="1" applyFill="1" applyBorder="1" applyAlignment="1">
      <alignment horizontal="center" vertical="center" wrapText="1"/>
    </xf>
    <xf numFmtId="0" fontId="4" fillId="0" borderId="149"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04"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22" xfId="0" applyFont="1" applyFill="1" applyBorder="1" applyAlignment="1">
      <alignment horizontal="center" vertical="center"/>
    </xf>
    <xf numFmtId="0" fontId="4" fillId="0" borderId="125" xfId="0" applyFont="1" applyFill="1" applyBorder="1" applyAlignment="1">
      <alignment horizontal="center" vertical="center"/>
    </xf>
    <xf numFmtId="0" fontId="5" fillId="0" borderId="13" xfId="0" applyFont="1" applyFill="1" applyBorder="1" applyAlignment="1">
      <alignment horizontal="center" vertical="center"/>
    </xf>
    <xf numFmtId="0" fontId="8" fillId="0" borderId="14" xfId="0" applyFont="1" applyFill="1" applyBorder="1" applyAlignment="1">
      <alignment horizontal="center" vertical="center" wrapText="1"/>
    </xf>
    <xf numFmtId="0" fontId="8" fillId="0" borderId="18" xfId="0" applyFont="1" applyFill="1" applyBorder="1" applyAlignment="1">
      <alignment horizontal="center" vertical="center" wrapText="1"/>
    </xf>
    <xf numFmtId="10" fontId="8" fillId="0" borderId="150" xfId="3" applyNumberFormat="1" applyFont="1" applyFill="1" applyBorder="1" applyAlignment="1">
      <alignment horizontal="center" vertical="center" wrapText="1"/>
    </xf>
    <xf numFmtId="10" fontId="8" fillId="0" borderId="153" xfId="3" applyNumberFormat="1" applyFont="1" applyFill="1" applyBorder="1" applyAlignment="1">
      <alignment horizontal="center" vertical="center" wrapText="1"/>
    </xf>
    <xf numFmtId="40" fontId="5" fillId="0" borderId="14" xfId="4" applyNumberFormat="1" applyFont="1" applyFill="1" applyBorder="1" applyAlignment="1">
      <alignment horizontal="center" vertical="center" wrapText="1"/>
    </xf>
    <xf numFmtId="40" fontId="5" fillId="0" borderId="18" xfId="4" applyNumberFormat="1" applyFont="1" applyFill="1" applyBorder="1" applyAlignment="1">
      <alignment horizontal="center" vertical="center" wrapText="1"/>
    </xf>
    <xf numFmtId="0" fontId="5" fillId="0" borderId="12" xfId="4" applyFont="1" applyFill="1" applyBorder="1" applyAlignment="1">
      <alignment horizontal="center" vertical="center"/>
    </xf>
    <xf numFmtId="0" fontId="5" fillId="0" borderId="16" xfId="4" applyFont="1" applyFill="1" applyBorder="1" applyAlignment="1">
      <alignment horizontal="center" vertical="center"/>
    </xf>
    <xf numFmtId="0" fontId="5" fillId="0" borderId="13" xfId="4" applyFont="1" applyFill="1" applyBorder="1" applyAlignment="1">
      <alignment horizontal="center" vertical="center" wrapText="1"/>
    </xf>
    <xf numFmtId="0" fontId="5" fillId="0" borderId="17" xfId="4" applyFont="1" applyFill="1" applyBorder="1" applyAlignment="1">
      <alignment horizontal="center" vertical="center" wrapText="1"/>
    </xf>
    <xf numFmtId="40" fontId="5" fillId="0" borderId="13" xfId="4" applyNumberFormat="1" applyFont="1" applyFill="1" applyBorder="1" applyAlignment="1">
      <alignment horizontal="center" vertical="center"/>
    </xf>
    <xf numFmtId="40" fontId="5" fillId="0" borderId="17" xfId="4" applyNumberFormat="1" applyFont="1" applyFill="1" applyBorder="1" applyAlignment="1">
      <alignment horizontal="center" vertical="center"/>
    </xf>
    <xf numFmtId="0" fontId="5" fillId="0" borderId="13" xfId="4" applyFont="1" applyFill="1" applyBorder="1" applyAlignment="1">
      <alignment horizontal="center" vertical="center"/>
    </xf>
    <xf numFmtId="0" fontId="5" fillId="0" borderId="17" xfId="4" applyFont="1" applyFill="1" applyBorder="1" applyAlignment="1">
      <alignment horizontal="center" vertical="center"/>
    </xf>
    <xf numFmtId="0" fontId="4" fillId="0" borderId="133" xfId="0" applyFont="1" applyBorder="1" applyAlignment="1">
      <alignment horizontal="center" vertical="center"/>
    </xf>
    <xf numFmtId="0" fontId="4" fillId="0" borderId="97" xfId="0" applyFont="1" applyBorder="1" applyAlignment="1">
      <alignment horizontal="center" vertical="center"/>
    </xf>
    <xf numFmtId="0" fontId="4" fillId="0" borderId="112" xfId="0" applyFont="1" applyBorder="1" applyAlignment="1">
      <alignment horizontal="justify" vertical="center" wrapText="1"/>
    </xf>
    <xf numFmtId="0" fontId="4" fillId="0" borderId="113" xfId="0" applyFont="1" applyBorder="1" applyAlignment="1">
      <alignment horizontal="justify" vertical="center" wrapText="1"/>
    </xf>
    <xf numFmtId="0" fontId="4" fillId="0" borderId="128" xfId="0" applyFont="1" applyBorder="1" applyAlignment="1">
      <alignment horizontal="justify" vertical="center" wrapText="1"/>
    </xf>
    <xf numFmtId="0" fontId="4" fillId="0" borderId="129" xfId="0" applyFont="1" applyBorder="1" applyAlignment="1">
      <alignment horizontal="justify" vertical="center" wrapText="1"/>
    </xf>
    <xf numFmtId="43" fontId="8" fillId="0" borderId="121" xfId="1" applyFont="1" applyBorder="1" applyAlignment="1">
      <alignment horizontal="center" vertical="center"/>
    </xf>
    <xf numFmtId="43" fontId="8" fillId="0" borderId="99" xfId="1" applyFont="1" applyBorder="1" applyAlignment="1">
      <alignment horizontal="center" vertical="center"/>
    </xf>
    <xf numFmtId="10" fontId="8" fillId="0" borderId="121" xfId="3" applyNumberFormat="1" applyFont="1" applyBorder="1" applyAlignment="1">
      <alignment horizontal="center" vertical="center"/>
    </xf>
    <xf numFmtId="10" fontId="8" fillId="0" borderId="99" xfId="3" applyNumberFormat="1" applyFont="1" applyBorder="1" applyAlignment="1">
      <alignment horizontal="center" vertical="center"/>
    </xf>
    <xf numFmtId="0" fontId="4" fillId="0" borderId="122" xfId="0" applyFont="1" applyBorder="1" applyAlignment="1">
      <alignment horizontal="center" vertical="center"/>
    </xf>
    <xf numFmtId="0" fontId="4" fillId="0" borderId="114" xfId="0" applyFont="1" applyBorder="1" applyAlignment="1">
      <alignment horizontal="justify" vertical="center" wrapText="1"/>
    </xf>
    <xf numFmtId="0" fontId="4" fillId="0" borderId="115" xfId="0" applyFont="1" applyBorder="1" applyAlignment="1">
      <alignment horizontal="justify" vertical="center" wrapText="1"/>
    </xf>
    <xf numFmtId="43" fontId="8" fillId="0" borderId="14" xfId="1" applyFont="1" applyBorder="1" applyAlignment="1">
      <alignment horizontal="center" vertical="center"/>
    </xf>
    <xf numFmtId="10" fontId="8" fillId="0" borderId="14" xfId="3" applyNumberFormat="1" applyFont="1" applyBorder="1" applyAlignment="1">
      <alignment horizontal="center" vertical="center"/>
    </xf>
    <xf numFmtId="49" fontId="5" fillId="0" borderId="0" xfId="4" applyNumberFormat="1" applyFont="1" applyFill="1" applyBorder="1" applyAlignment="1">
      <alignment horizontal="center" vertical="center" wrapText="1"/>
    </xf>
    <xf numFmtId="10" fontId="5" fillId="0" borderId="0" xfId="3" applyNumberFormat="1" applyFont="1" applyFill="1" applyBorder="1" applyAlignment="1">
      <alignment horizontal="center" vertical="center" wrapText="1"/>
    </xf>
    <xf numFmtId="17" fontId="5" fillId="0" borderId="5" xfId="0" quotePrefix="1" applyNumberFormat="1" applyFont="1" applyFill="1" applyBorder="1" applyAlignment="1">
      <alignment horizontal="center" vertical="center" wrapText="1"/>
    </xf>
    <xf numFmtId="0" fontId="4" fillId="0" borderId="103" xfId="0" applyFont="1" applyBorder="1" applyAlignment="1">
      <alignment horizontal="justify" vertical="center" wrapText="1"/>
    </xf>
    <xf numFmtId="0" fontId="4" fillId="0" borderId="124" xfId="0" applyFont="1" applyBorder="1" applyAlignment="1">
      <alignment horizontal="justify" vertical="center" wrapText="1"/>
    </xf>
    <xf numFmtId="0" fontId="4" fillId="0" borderId="321"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98" xfId="0" applyFont="1" applyBorder="1" applyAlignment="1">
      <alignment horizontal="justify" vertical="center" wrapText="1"/>
    </xf>
    <xf numFmtId="0" fontId="4" fillId="0" borderId="146" xfId="0" applyFont="1" applyBorder="1" applyAlignment="1">
      <alignment horizontal="justify" vertical="center" wrapText="1"/>
    </xf>
  </cellXfs>
  <cellStyles count="20">
    <cellStyle name="Hiperlink" xfId="17" builtinId="8"/>
    <cellStyle name="Item principal" xfId="6" xr:uid="{00000000-0005-0000-0000-000001000000}"/>
    <cellStyle name="Item Secundário" xfId="7" xr:uid="{00000000-0005-0000-0000-000002000000}"/>
    <cellStyle name="Moeda" xfId="2" builtinId="4"/>
    <cellStyle name="Moeda_RESUMO DA TABELA SINAPI" xfId="5" xr:uid="{00000000-0005-0000-0000-000004000000}"/>
    <cellStyle name="Normal" xfId="0" builtinId="0"/>
    <cellStyle name="Normal 10" xfId="15" xr:uid="{00000000-0005-0000-0000-000006000000}"/>
    <cellStyle name="Normal 2 2 7" xfId="9" xr:uid="{00000000-0005-0000-0000-000007000000}"/>
    <cellStyle name="Normal 9" xfId="14" xr:uid="{00000000-0005-0000-0000-000008000000}"/>
    <cellStyle name="Normal_Pesquisa no referencial 10 de maio de 2013" xfId="19" xr:uid="{00000000-0005-0000-0000-000009000000}"/>
    <cellStyle name="Normal_RESUMO DA TABELA SINAPI" xfId="4" xr:uid="{00000000-0005-0000-0000-00000A000000}"/>
    <cellStyle name="Porcentagem" xfId="3" builtinId="5"/>
    <cellStyle name="Porcentagem 2" xfId="13" xr:uid="{00000000-0005-0000-0000-00000C000000}"/>
    <cellStyle name="Porcentagem 2 2" xfId="16" xr:uid="{00000000-0005-0000-0000-00000D000000}"/>
    <cellStyle name="Porcentagem 2 6" xfId="11" xr:uid="{00000000-0005-0000-0000-00000E000000}"/>
    <cellStyle name="Separador de milhares 2 2 2" xfId="8" xr:uid="{00000000-0005-0000-0000-00000F000000}"/>
    <cellStyle name="Vírgula" xfId="1" builtinId="3"/>
    <cellStyle name="Vírgula 2" xfId="18" xr:uid="{00000000-0005-0000-0000-000011000000}"/>
    <cellStyle name="Vírgula 2 2 3" xfId="10" xr:uid="{00000000-0005-0000-0000-000012000000}"/>
    <cellStyle name="Vírgula 3" xfId="12" xr:uid="{00000000-0005-0000-0000-000013000000}"/>
  </cellStyles>
  <dxfs count="81">
    <dxf>
      <font>
        <color theme="0"/>
      </font>
    </dxf>
    <dxf>
      <fill>
        <patternFill>
          <bgColor theme="0" tint="-0.14996795556505021"/>
        </patternFill>
      </fill>
    </dxf>
    <dxf>
      <fill>
        <patternFill>
          <bgColor theme="0" tint="-0.14996795556505021"/>
        </patternFill>
      </fill>
    </dxf>
    <dxf>
      <font>
        <color rgb="FFB2B2B2"/>
      </font>
      <fill>
        <patternFill patternType="none">
          <bgColor auto="1"/>
        </patternFill>
      </fill>
    </dxf>
    <dxf>
      <fill>
        <patternFill>
          <bgColor theme="0" tint="-0.1499679555650502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ill>
        <patternFill>
          <bgColor theme="0" tint="-0.14996795556505021"/>
        </patternFill>
      </fill>
    </dxf>
    <dxf>
      <fill>
        <patternFill>
          <bgColor theme="0" tint="-0.14996795556505021"/>
        </patternFill>
      </fill>
    </dxf>
    <dxf>
      <font>
        <color rgb="FFB2B2B2"/>
      </font>
      <fill>
        <patternFill patternType="none">
          <bgColor auto="1"/>
        </patternFill>
      </fill>
    </dxf>
    <dxf>
      <fill>
        <patternFill>
          <bgColor theme="0" tint="-0.1499679555650502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ill>
        <patternFill>
          <bgColor theme="0" tint="-0.1499679555650502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ill>
        <patternFill>
          <bgColor theme="0" tint="-0.1499679555650502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ont>
        <color rgb="FFB2B2B2"/>
      </font>
      <fill>
        <patternFill patternType="none">
          <bgColor auto="1"/>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bgColor rgb="FFFF0000"/>
        </patternFill>
      </fill>
    </dxf>
    <dxf>
      <fill>
        <patternFill patternType="none">
          <bgColor auto="1"/>
        </patternFill>
      </fill>
    </dxf>
    <dxf>
      <font>
        <color theme="0"/>
      </font>
    </dxf>
    <dxf>
      <font>
        <color theme="0"/>
      </font>
    </dxf>
    <dxf>
      <fill>
        <patternFill patternType="solid">
          <fgColor indexed="60"/>
          <bgColor indexed="10"/>
        </patternFill>
      </fill>
    </dxf>
    <dxf>
      <font>
        <color theme="0"/>
      </font>
    </dxf>
    <dxf>
      <fill>
        <patternFill patternType="solid">
          <fgColor indexed="60"/>
          <bgColor indexed="10"/>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b/>
        <i val="0"/>
        <strike val="0"/>
        <condense val="0"/>
        <extend val="0"/>
        <color indexed="10"/>
      </font>
      <fill>
        <patternFill>
          <bgColor indexed="43"/>
        </patternFill>
      </fill>
    </dxf>
    <dxf>
      <font>
        <b/>
        <i val="0"/>
        <strike val="0"/>
        <condense val="0"/>
        <extend val="0"/>
        <color indexed="10"/>
      </font>
      <fill>
        <patternFill>
          <bgColor indexed="43"/>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30.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w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28.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18" Type="http://schemas.openxmlformats.org/officeDocument/2006/relationships/image" Target="../media/image21.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emf"/><Relationship Id="rId17" Type="http://schemas.openxmlformats.org/officeDocument/2006/relationships/image" Target="../media/image20.emf"/><Relationship Id="rId2" Type="http://schemas.openxmlformats.org/officeDocument/2006/relationships/image" Target="../media/image5.emf"/><Relationship Id="rId16" Type="http://schemas.openxmlformats.org/officeDocument/2006/relationships/image" Target="../media/image19.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5" Type="http://schemas.openxmlformats.org/officeDocument/2006/relationships/image" Target="../media/image18.emf"/><Relationship Id="rId10" Type="http://schemas.openxmlformats.org/officeDocument/2006/relationships/image" Target="../media/image13.emf"/><Relationship Id="rId19" Type="http://schemas.openxmlformats.org/officeDocument/2006/relationships/image" Target="../media/image22.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3</xdr:col>
      <xdr:colOff>85725</xdr:colOff>
      <xdr:row>103</xdr:row>
      <xdr:rowOff>85725</xdr:rowOff>
    </xdr:from>
    <xdr:to>
      <xdr:col>23</xdr:col>
      <xdr:colOff>47625</xdr:colOff>
      <xdr:row>113</xdr:row>
      <xdr:rowOff>85725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398" t="25385" r="8812" b="56094"/>
        <a:stretch>
          <a:fillRect/>
        </a:stretch>
      </xdr:blipFill>
      <xdr:spPr bwMode="auto">
        <a:xfrm>
          <a:off x="2085975" y="5029200"/>
          <a:ext cx="1061085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600075</xdr:colOff>
      <xdr:row>33</xdr:row>
      <xdr:rowOff>57150</xdr:rowOff>
    </xdr:from>
    <xdr:to>
      <xdr:col>10</xdr:col>
      <xdr:colOff>1323975</xdr:colOff>
      <xdr:row>40</xdr:row>
      <xdr:rowOff>123825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7067" t="72897" r="35056" b="10767"/>
        <a:stretch>
          <a:fillRect/>
        </a:stretch>
      </xdr:blipFill>
      <xdr:spPr bwMode="auto">
        <a:xfrm>
          <a:off x="4762500" y="6648450"/>
          <a:ext cx="42481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371475</xdr:colOff>
          <xdr:row>14</xdr:row>
          <xdr:rowOff>114300</xdr:rowOff>
        </xdr:from>
        <xdr:to>
          <xdr:col>8</xdr:col>
          <xdr:colOff>361950</xdr:colOff>
          <xdr:row>17</xdr:row>
          <xdr:rowOff>95250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34</xdr:col>
      <xdr:colOff>266700</xdr:colOff>
      <xdr:row>0</xdr:row>
      <xdr:rowOff>0</xdr:rowOff>
    </xdr:from>
    <xdr:to>
      <xdr:col>44</xdr:col>
      <xdr:colOff>571500</xdr:colOff>
      <xdr:row>18</xdr:row>
      <xdr:rowOff>57150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3911" t="21207" r="31084" b="44901"/>
        <a:stretch>
          <a:fillRect/>
        </a:stretch>
      </xdr:blipFill>
      <xdr:spPr bwMode="auto">
        <a:xfrm>
          <a:off x="26965275" y="0"/>
          <a:ext cx="6400800"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114300</xdr:colOff>
      <xdr:row>22</xdr:row>
      <xdr:rowOff>104775</xdr:rowOff>
    </xdr:from>
    <xdr:to>
      <xdr:col>41</xdr:col>
      <xdr:colOff>504825</xdr:colOff>
      <xdr:row>31</xdr:row>
      <xdr:rowOff>28575</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7244" t="26578" r="34731" b="55643"/>
        <a:stretch>
          <a:fillRect/>
        </a:stretch>
      </xdr:blipFill>
      <xdr:spPr bwMode="auto">
        <a:xfrm>
          <a:off x="26346150" y="4410075"/>
          <a:ext cx="51244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133350</xdr:colOff>
      <xdr:row>41</xdr:row>
      <xdr:rowOff>114300</xdr:rowOff>
    </xdr:from>
    <xdr:to>
      <xdr:col>18</xdr:col>
      <xdr:colOff>47625</xdr:colOff>
      <xdr:row>63</xdr:row>
      <xdr:rowOff>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38860" t="45190" r="36554" b="13786"/>
        <a:stretch>
          <a:fillRect/>
        </a:stretch>
      </xdr:blipFill>
      <xdr:spPr bwMode="auto">
        <a:xfrm>
          <a:off x="10658475" y="8229600"/>
          <a:ext cx="4495800"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238125</xdr:colOff>
          <xdr:row>15</xdr:row>
          <xdr:rowOff>85725</xdr:rowOff>
        </xdr:from>
        <xdr:to>
          <xdr:col>3</xdr:col>
          <xdr:colOff>95250</xdr:colOff>
          <xdr:row>16</xdr:row>
          <xdr:rowOff>123825</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xdr:row>
          <xdr:rowOff>0</xdr:rowOff>
        </xdr:from>
        <xdr:to>
          <xdr:col>3</xdr:col>
          <xdr:colOff>361950</xdr:colOff>
          <xdr:row>46</xdr:row>
          <xdr:rowOff>57150</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62</xdr:row>
          <xdr:rowOff>66675</xdr:rowOff>
        </xdr:from>
        <xdr:to>
          <xdr:col>2</xdr:col>
          <xdr:colOff>590550</xdr:colOff>
          <xdr:row>65</xdr:row>
          <xdr:rowOff>142875</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49</xdr:row>
          <xdr:rowOff>114300</xdr:rowOff>
        </xdr:from>
        <xdr:to>
          <xdr:col>9</xdr:col>
          <xdr:colOff>104775</xdr:colOff>
          <xdr:row>52</xdr:row>
          <xdr:rowOff>76200</xdr:rowOff>
        </xdr:to>
        <xdr:sp macro="" textlink="">
          <xdr:nvSpPr>
            <xdr:cNvPr id="14341" name="Object 5" hidden="1">
              <a:extLst>
                <a:ext uri="{63B3BB69-23CF-44E3-9099-C40C66FF867C}">
                  <a14:compatExt spid="_x0000_s14341"/>
                </a:ext>
                <a:ext uri="{FF2B5EF4-FFF2-40B4-BE49-F238E27FC236}">
                  <a16:creationId xmlns:a16="http://schemas.microsoft.com/office/drawing/2014/main" id="{00000000-0008-0000-0400-00000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49</xdr:row>
          <xdr:rowOff>123825</xdr:rowOff>
        </xdr:from>
        <xdr:to>
          <xdr:col>7</xdr:col>
          <xdr:colOff>409575</xdr:colOff>
          <xdr:row>52</xdr:row>
          <xdr:rowOff>85725</xdr:rowOff>
        </xdr:to>
        <xdr:sp macro="" textlink="">
          <xdr:nvSpPr>
            <xdr:cNvPr id="14342" name="Object 6" hidden="1">
              <a:extLst>
                <a:ext uri="{63B3BB69-23CF-44E3-9099-C40C66FF867C}">
                  <a14:compatExt spid="_x0000_s14342"/>
                </a:ext>
                <a:ext uri="{FF2B5EF4-FFF2-40B4-BE49-F238E27FC236}">
                  <a16:creationId xmlns:a16="http://schemas.microsoft.com/office/drawing/2014/main" id="{00000000-0008-0000-0400-00000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66675</xdr:rowOff>
        </xdr:from>
        <xdr:to>
          <xdr:col>2</xdr:col>
          <xdr:colOff>590550</xdr:colOff>
          <xdr:row>72</xdr:row>
          <xdr:rowOff>142875</xdr:rowOff>
        </xdr:to>
        <xdr:sp macro="" textlink="">
          <xdr:nvSpPr>
            <xdr:cNvPr id="14343" name="Object 7" hidden="1">
              <a:extLst>
                <a:ext uri="{63B3BB69-23CF-44E3-9099-C40C66FF867C}">
                  <a14:compatExt spid="_x0000_s14343"/>
                </a:ext>
                <a:ext uri="{FF2B5EF4-FFF2-40B4-BE49-F238E27FC236}">
                  <a16:creationId xmlns:a16="http://schemas.microsoft.com/office/drawing/2014/main" id="{00000000-0008-0000-0400-000007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76</xdr:row>
          <xdr:rowOff>66675</xdr:rowOff>
        </xdr:from>
        <xdr:to>
          <xdr:col>2</xdr:col>
          <xdr:colOff>590550</xdr:colOff>
          <xdr:row>79</xdr:row>
          <xdr:rowOff>142875</xdr:rowOff>
        </xdr:to>
        <xdr:sp macro="" textlink="">
          <xdr:nvSpPr>
            <xdr:cNvPr id="14344" name="Object 8" hidden="1">
              <a:extLst>
                <a:ext uri="{63B3BB69-23CF-44E3-9099-C40C66FF867C}">
                  <a14:compatExt spid="_x0000_s14344"/>
                </a:ext>
                <a:ext uri="{FF2B5EF4-FFF2-40B4-BE49-F238E27FC236}">
                  <a16:creationId xmlns:a16="http://schemas.microsoft.com/office/drawing/2014/main" id="{00000000-0008-0000-0400-000008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94</xdr:row>
          <xdr:rowOff>76200</xdr:rowOff>
        </xdr:from>
        <xdr:to>
          <xdr:col>8</xdr:col>
          <xdr:colOff>361950</xdr:colOff>
          <xdr:row>97</xdr:row>
          <xdr:rowOff>47625</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0400-000009380000}"/>
                </a:ext>
              </a:extLst>
            </xdr:cNvPr>
            <xdr:cNvSpPr/>
          </xdr:nvSpPr>
          <xdr:spPr bwMode="auto">
            <a:xfrm>
              <a:off x="0" y="0"/>
              <a:ext cx="0" cy="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xdr:row>
          <xdr:rowOff>38100</xdr:rowOff>
        </xdr:from>
        <xdr:to>
          <xdr:col>2</xdr:col>
          <xdr:colOff>495300</xdr:colOff>
          <xdr:row>96</xdr:row>
          <xdr:rowOff>76200</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0400-00000A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99</xdr:row>
          <xdr:rowOff>180975</xdr:rowOff>
        </xdr:from>
        <xdr:to>
          <xdr:col>6</xdr:col>
          <xdr:colOff>523875</xdr:colOff>
          <xdr:row>101</xdr:row>
          <xdr:rowOff>0</xdr:rowOff>
        </xdr:to>
        <xdr:sp macro="" textlink="">
          <xdr:nvSpPr>
            <xdr:cNvPr id="14347" name="Object 11" hidden="1">
              <a:extLst>
                <a:ext uri="{63B3BB69-23CF-44E3-9099-C40C66FF867C}">
                  <a14:compatExt spid="_x0000_s14347"/>
                </a:ext>
                <a:ext uri="{FF2B5EF4-FFF2-40B4-BE49-F238E27FC236}">
                  <a16:creationId xmlns:a16="http://schemas.microsoft.com/office/drawing/2014/main" id="{00000000-0008-0000-0400-00000B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106</xdr:row>
          <xdr:rowOff>76200</xdr:rowOff>
        </xdr:from>
        <xdr:to>
          <xdr:col>4</xdr:col>
          <xdr:colOff>114300</xdr:colOff>
          <xdr:row>108</xdr:row>
          <xdr:rowOff>123825</xdr:rowOff>
        </xdr:to>
        <xdr:sp macro="" textlink="">
          <xdr:nvSpPr>
            <xdr:cNvPr id="14348" name="Object 12" hidden="1">
              <a:extLst>
                <a:ext uri="{63B3BB69-23CF-44E3-9099-C40C66FF867C}">
                  <a14:compatExt spid="_x0000_s14348"/>
                </a:ext>
                <a:ext uri="{FF2B5EF4-FFF2-40B4-BE49-F238E27FC236}">
                  <a16:creationId xmlns:a16="http://schemas.microsoft.com/office/drawing/2014/main" id="{00000000-0008-0000-0400-00000C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110</xdr:row>
          <xdr:rowOff>152400</xdr:rowOff>
        </xdr:from>
        <xdr:to>
          <xdr:col>1</xdr:col>
          <xdr:colOff>1314450</xdr:colOff>
          <xdr:row>112</xdr:row>
          <xdr:rowOff>9525</xdr:rowOff>
        </xdr:to>
        <xdr:sp macro="" textlink="">
          <xdr:nvSpPr>
            <xdr:cNvPr id="14349" name="Object 13" hidden="1">
              <a:extLst>
                <a:ext uri="{63B3BB69-23CF-44E3-9099-C40C66FF867C}">
                  <a14:compatExt spid="_x0000_s14349"/>
                </a:ext>
                <a:ext uri="{FF2B5EF4-FFF2-40B4-BE49-F238E27FC236}">
                  <a16:creationId xmlns:a16="http://schemas.microsoft.com/office/drawing/2014/main" id="{00000000-0008-0000-0400-00000D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121</xdr:row>
          <xdr:rowOff>47625</xdr:rowOff>
        </xdr:from>
        <xdr:to>
          <xdr:col>3</xdr:col>
          <xdr:colOff>57150</xdr:colOff>
          <xdr:row>123</xdr:row>
          <xdr:rowOff>76200</xdr:rowOff>
        </xdr:to>
        <xdr:sp macro="" textlink="">
          <xdr:nvSpPr>
            <xdr:cNvPr id="14350" name="Object 14" hidden="1">
              <a:extLst>
                <a:ext uri="{63B3BB69-23CF-44E3-9099-C40C66FF867C}">
                  <a14:compatExt spid="_x0000_s14350"/>
                </a:ext>
                <a:ext uri="{FF2B5EF4-FFF2-40B4-BE49-F238E27FC236}">
                  <a16:creationId xmlns:a16="http://schemas.microsoft.com/office/drawing/2014/main" id="{00000000-0008-0000-0400-00000E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121</xdr:row>
          <xdr:rowOff>104775</xdr:rowOff>
        </xdr:from>
        <xdr:to>
          <xdr:col>8</xdr:col>
          <xdr:colOff>104775</xdr:colOff>
          <xdr:row>124</xdr:row>
          <xdr:rowOff>19050</xdr:rowOff>
        </xdr:to>
        <xdr:sp macro="" textlink="">
          <xdr:nvSpPr>
            <xdr:cNvPr id="14351" name="Object 15" hidden="1">
              <a:extLst>
                <a:ext uri="{63B3BB69-23CF-44E3-9099-C40C66FF867C}">
                  <a14:compatExt spid="_x0000_s14351"/>
                </a:ext>
                <a:ext uri="{FF2B5EF4-FFF2-40B4-BE49-F238E27FC236}">
                  <a16:creationId xmlns:a16="http://schemas.microsoft.com/office/drawing/2014/main" id="{00000000-0008-0000-0400-00000F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142</xdr:row>
          <xdr:rowOff>0</xdr:rowOff>
        </xdr:from>
        <xdr:to>
          <xdr:col>3</xdr:col>
          <xdr:colOff>323850</xdr:colOff>
          <xdr:row>143</xdr:row>
          <xdr:rowOff>57150</xdr:rowOff>
        </xdr:to>
        <xdr:sp macro="" textlink="">
          <xdr:nvSpPr>
            <xdr:cNvPr id="14352" name="Object 16" hidden="1">
              <a:extLst>
                <a:ext uri="{63B3BB69-23CF-44E3-9099-C40C66FF867C}">
                  <a14:compatExt spid="_x0000_s14352"/>
                </a:ext>
                <a:ext uri="{FF2B5EF4-FFF2-40B4-BE49-F238E27FC236}">
                  <a16:creationId xmlns:a16="http://schemas.microsoft.com/office/drawing/2014/main" id="{00000000-0008-0000-0400-000010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159</xdr:row>
          <xdr:rowOff>66675</xdr:rowOff>
        </xdr:from>
        <xdr:to>
          <xdr:col>2</xdr:col>
          <xdr:colOff>590550</xdr:colOff>
          <xdr:row>162</xdr:row>
          <xdr:rowOff>142875</xdr:rowOff>
        </xdr:to>
        <xdr:sp macro="" textlink="">
          <xdr:nvSpPr>
            <xdr:cNvPr id="14353" name="Object 17" hidden="1">
              <a:extLst>
                <a:ext uri="{63B3BB69-23CF-44E3-9099-C40C66FF867C}">
                  <a14:compatExt spid="_x0000_s14353"/>
                </a:ext>
                <a:ext uri="{FF2B5EF4-FFF2-40B4-BE49-F238E27FC236}">
                  <a16:creationId xmlns:a16="http://schemas.microsoft.com/office/drawing/2014/main" id="{00000000-0008-0000-0400-00001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146</xdr:row>
          <xdr:rowOff>114300</xdr:rowOff>
        </xdr:from>
        <xdr:to>
          <xdr:col>9</xdr:col>
          <xdr:colOff>142875</xdr:colOff>
          <xdr:row>149</xdr:row>
          <xdr:rowOff>76200</xdr:rowOff>
        </xdr:to>
        <xdr:sp macro="" textlink="">
          <xdr:nvSpPr>
            <xdr:cNvPr id="14354" name="Object 18" hidden="1">
              <a:extLst>
                <a:ext uri="{63B3BB69-23CF-44E3-9099-C40C66FF867C}">
                  <a14:compatExt spid="_x0000_s14354"/>
                </a:ext>
                <a:ext uri="{FF2B5EF4-FFF2-40B4-BE49-F238E27FC236}">
                  <a16:creationId xmlns:a16="http://schemas.microsoft.com/office/drawing/2014/main" id="{00000000-0008-0000-0400-00001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146</xdr:row>
          <xdr:rowOff>123825</xdr:rowOff>
        </xdr:from>
        <xdr:to>
          <xdr:col>7</xdr:col>
          <xdr:colOff>419100</xdr:colOff>
          <xdr:row>149</xdr:row>
          <xdr:rowOff>85725</xdr:rowOff>
        </xdr:to>
        <xdr:sp macro="" textlink="">
          <xdr:nvSpPr>
            <xdr:cNvPr id="14355" name="Object 19" hidden="1">
              <a:extLst>
                <a:ext uri="{63B3BB69-23CF-44E3-9099-C40C66FF867C}">
                  <a14:compatExt spid="_x0000_s14355"/>
                </a:ext>
                <a:ext uri="{FF2B5EF4-FFF2-40B4-BE49-F238E27FC236}">
                  <a16:creationId xmlns:a16="http://schemas.microsoft.com/office/drawing/2014/main" id="{00000000-0008-0000-0400-00001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166</xdr:row>
          <xdr:rowOff>66675</xdr:rowOff>
        </xdr:from>
        <xdr:to>
          <xdr:col>2</xdr:col>
          <xdr:colOff>590550</xdr:colOff>
          <xdr:row>169</xdr:row>
          <xdr:rowOff>152400</xdr:rowOff>
        </xdr:to>
        <xdr:sp macro="" textlink="">
          <xdr:nvSpPr>
            <xdr:cNvPr id="14356" name="Object 20" hidden="1">
              <a:extLst>
                <a:ext uri="{63B3BB69-23CF-44E3-9099-C40C66FF867C}">
                  <a14:compatExt spid="_x0000_s14356"/>
                </a:ext>
                <a:ext uri="{FF2B5EF4-FFF2-40B4-BE49-F238E27FC236}">
                  <a16:creationId xmlns:a16="http://schemas.microsoft.com/office/drawing/2014/main" id="{00000000-0008-0000-0400-00001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173</xdr:row>
          <xdr:rowOff>66675</xdr:rowOff>
        </xdr:from>
        <xdr:to>
          <xdr:col>2</xdr:col>
          <xdr:colOff>590550</xdr:colOff>
          <xdr:row>176</xdr:row>
          <xdr:rowOff>152400</xdr:rowOff>
        </xdr:to>
        <xdr:sp macro="" textlink="">
          <xdr:nvSpPr>
            <xdr:cNvPr id="14357" name="Object 21" hidden="1">
              <a:extLst>
                <a:ext uri="{63B3BB69-23CF-44E3-9099-C40C66FF867C}">
                  <a14:compatExt spid="_x0000_s14357"/>
                </a:ext>
                <a:ext uri="{FF2B5EF4-FFF2-40B4-BE49-F238E27FC236}">
                  <a16:creationId xmlns:a16="http://schemas.microsoft.com/office/drawing/2014/main" id="{00000000-0008-0000-0400-00001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99</xdr:row>
          <xdr:rowOff>152400</xdr:rowOff>
        </xdr:from>
        <xdr:to>
          <xdr:col>2</xdr:col>
          <xdr:colOff>381000</xdr:colOff>
          <xdr:row>100</xdr:row>
          <xdr:rowOff>152400</xdr:rowOff>
        </xdr:to>
        <xdr:sp macro="" textlink="">
          <xdr:nvSpPr>
            <xdr:cNvPr id="14358" name="Object 22" hidden="1">
              <a:extLst>
                <a:ext uri="{63B3BB69-23CF-44E3-9099-C40C66FF867C}">
                  <a14:compatExt spid="_x0000_s14358"/>
                </a:ext>
                <a:ext uri="{FF2B5EF4-FFF2-40B4-BE49-F238E27FC236}">
                  <a16:creationId xmlns:a16="http://schemas.microsoft.com/office/drawing/2014/main" id="{00000000-0008-0000-0400-00001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790575</xdr:colOff>
      <xdr:row>10</xdr:row>
      <xdr:rowOff>0</xdr:rowOff>
    </xdr:from>
    <xdr:to>
      <xdr:col>36</xdr:col>
      <xdr:colOff>2133600</xdr:colOff>
      <xdr:row>11</xdr:row>
      <xdr:rowOff>180975</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89" b="-520"/>
        <a:stretch>
          <a:fillRect/>
        </a:stretch>
      </xdr:blipFill>
      <xdr:spPr bwMode="auto">
        <a:xfrm>
          <a:off x="14906625" y="13487400"/>
          <a:ext cx="1343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257175</xdr:colOff>
      <xdr:row>17</xdr:row>
      <xdr:rowOff>76200</xdr:rowOff>
    </xdr:from>
    <xdr:to>
      <xdr:col>17</xdr:col>
      <xdr:colOff>66675</xdr:colOff>
      <xdr:row>21</xdr:row>
      <xdr:rowOff>9525</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10150" y="2257425"/>
          <a:ext cx="1209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171450</xdr:colOff>
      <xdr:row>25</xdr:row>
      <xdr:rowOff>161925</xdr:rowOff>
    </xdr:from>
    <xdr:to>
      <xdr:col>17</xdr:col>
      <xdr:colOff>257175</xdr:colOff>
      <xdr:row>28</xdr:row>
      <xdr:rowOff>123825</xdr:rowOff>
    </xdr:to>
    <xdr:pic>
      <xdr:nvPicPr>
        <xdr:cNvPr id="3" name="Imagem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00875" y="10629900"/>
          <a:ext cx="18002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628650</xdr:colOff>
          <xdr:row>53</xdr:row>
          <xdr:rowOff>161925</xdr:rowOff>
        </xdr:from>
        <xdr:to>
          <xdr:col>18</xdr:col>
          <xdr:colOff>19050</xdr:colOff>
          <xdr:row>56</xdr:row>
          <xdr:rowOff>180975</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0B00-000002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22</xdr:col>
      <xdr:colOff>285750</xdr:colOff>
      <xdr:row>16</xdr:row>
      <xdr:rowOff>180975</xdr:rowOff>
    </xdr:from>
    <xdr:to>
      <xdr:col>30</xdr:col>
      <xdr:colOff>85275</xdr:colOff>
      <xdr:row>39</xdr:row>
      <xdr:rowOff>183297</xdr:rowOff>
    </xdr:to>
    <xdr:pic>
      <xdr:nvPicPr>
        <xdr:cNvPr id="6" name="Imagem 2">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6192" t="14001" r="26241" b="4544"/>
        <a:stretch>
          <a:fillRect/>
        </a:stretch>
      </xdr:blipFill>
      <xdr:spPr bwMode="auto">
        <a:xfrm>
          <a:off x="8658225" y="2162175"/>
          <a:ext cx="3600000" cy="4393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219075</xdr:colOff>
      <xdr:row>16</xdr:row>
      <xdr:rowOff>161925</xdr:rowOff>
    </xdr:from>
    <xdr:to>
      <xdr:col>41</xdr:col>
      <xdr:colOff>190050</xdr:colOff>
      <xdr:row>43</xdr:row>
      <xdr:rowOff>91704</xdr:rowOff>
    </xdr:to>
    <xdr:pic>
      <xdr:nvPicPr>
        <xdr:cNvPr id="7" name="Imagem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4"/>
        <a:srcRect l="32764" t="25559" r="42728" b="13177"/>
        <a:stretch/>
      </xdr:blipFill>
      <xdr:spPr>
        <a:xfrm>
          <a:off x="12582525" y="2143125"/>
          <a:ext cx="3600000" cy="5082804"/>
        </a:xfrm>
        <a:prstGeom prst="rect">
          <a:avLst/>
        </a:prstGeom>
      </xdr:spPr>
    </xdr:pic>
    <xdr:clientData/>
  </xdr:twoCellAnchor>
  <xdr:twoCellAnchor>
    <xdr:from>
      <xdr:col>14</xdr:col>
      <xdr:colOff>161925</xdr:colOff>
      <xdr:row>21</xdr:row>
      <xdr:rowOff>95250</xdr:rowOff>
    </xdr:from>
    <xdr:to>
      <xdr:col>16</xdr:col>
      <xdr:colOff>226693</xdr:colOff>
      <xdr:row>23</xdr:row>
      <xdr:rowOff>176364</xdr:rowOff>
    </xdr:to>
    <mc:AlternateContent xmlns:mc="http://schemas.openxmlformats.org/markup-compatibility/2006" xmlns:a14="http://schemas.microsoft.com/office/drawing/2010/main">
      <mc:Choice Requires="a14">
        <xdr:sp macro="" textlink="">
          <xdr:nvSpPr>
            <xdr:cNvPr id="5" name="Object 1">
              <a:extLst>
                <a:ext uri="{63B3BB69-23CF-44E3-9099-C40C66FF867C}">
                  <a14:compatExt spid="_x0000_s40961"/>
                </a:ext>
                <a:ext uri="{FF2B5EF4-FFF2-40B4-BE49-F238E27FC236}">
                  <a16:creationId xmlns:a16="http://schemas.microsoft.com/office/drawing/2014/main" id="{00000000-0008-0000-0B00-000005000000}"/>
                </a:ext>
              </a:extLst>
            </xdr:cNvPr>
            <xdr:cNvSpPr txBox="1"/>
          </xdr:nvSpPr>
          <xdr:spPr>
            <a:xfrm>
              <a:off x="6991350" y="9801225"/>
              <a:ext cx="1398268" cy="462114"/>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r>
                      <a:rPr lang="pt-BR" i="1">
                        <a:solidFill>
                          <a:srgbClr val="000000"/>
                        </a:solidFill>
                        <a:latin typeface="Cambria Math" panose="02040503050406030204" pitchFamily="18" charset="0"/>
                      </a:rPr>
                      <m:t>𝑖</m:t>
                    </m:r>
                    <m:r>
                      <a:rPr lang="pt-BR" i="1">
                        <a:solidFill>
                          <a:srgbClr val="000000"/>
                        </a:solidFill>
                        <a:latin typeface="Cambria Math" panose="02040503050406030204" pitchFamily="18" charset="0"/>
                      </a:rPr>
                      <m:t>=</m:t>
                    </m:r>
                    <m:f>
                      <m:fPr>
                        <m:ctrlPr>
                          <a:rPr lang="pt-BR" i="1">
                            <a:solidFill>
                              <a:srgbClr val="000000"/>
                            </a:solidFill>
                            <a:latin typeface="Cambria Math" panose="02040503050406030204" pitchFamily="18" charset="0"/>
                          </a:rPr>
                        </m:ctrlPr>
                      </m:fPr>
                      <m:num>
                        <m:r>
                          <a:rPr lang="pt-BR" b="0" i="1">
                            <a:solidFill>
                              <a:srgbClr val="000000"/>
                            </a:solidFill>
                            <a:latin typeface="Cambria Math" panose="02040503050406030204" pitchFamily="18" charset="0"/>
                          </a:rPr>
                          <m:t>1.568,93</m:t>
                        </m:r>
                        <m:r>
                          <a:rPr lang="pt-BR" i="1">
                            <a:solidFill>
                              <a:srgbClr val="000000"/>
                            </a:solidFill>
                            <a:latin typeface="Cambria Math" panose="02040503050406030204" pitchFamily="18" charset="0"/>
                          </a:rPr>
                          <m:t>•</m:t>
                        </m:r>
                        <m:sSup>
                          <m:sSupPr>
                            <m:ctrlPr>
                              <a:rPr lang="pt-BR" i="1">
                                <a:solidFill>
                                  <a:srgbClr val="000000"/>
                                </a:solidFill>
                                <a:latin typeface="Cambria Math" panose="02040503050406030204" pitchFamily="18" charset="0"/>
                              </a:rPr>
                            </m:ctrlPr>
                          </m:sSupPr>
                          <m:e>
                            <m:r>
                              <a:rPr lang="pt-BR" i="1">
                                <a:solidFill>
                                  <a:srgbClr val="000000"/>
                                </a:solidFill>
                                <a:latin typeface="Cambria Math" panose="02040503050406030204" pitchFamily="18" charset="0"/>
                              </a:rPr>
                              <m:t>𝑇</m:t>
                            </m:r>
                          </m:e>
                          <m:sup>
                            <m:r>
                              <a:rPr lang="pt-BR" b="0" i="1">
                                <a:solidFill>
                                  <a:srgbClr val="000000"/>
                                </a:solidFill>
                                <a:latin typeface="Cambria Math" panose="02040503050406030204" pitchFamily="18" charset="0"/>
                              </a:rPr>
                              <m:t>0,14</m:t>
                            </m:r>
                          </m:sup>
                        </m:sSup>
                      </m:num>
                      <m:den>
                        <m:r>
                          <a:rPr lang="pt-BR" i="1">
                            <a:solidFill>
                              <a:srgbClr val="000000"/>
                            </a:solidFill>
                            <a:latin typeface="Cambria Math" panose="02040503050406030204" pitchFamily="18" charset="0"/>
                          </a:rPr>
                          <m:t>(</m:t>
                        </m:r>
                        <m:r>
                          <a:rPr lang="pt-BR" i="1">
                            <a:solidFill>
                              <a:srgbClr val="000000"/>
                            </a:solidFill>
                            <a:latin typeface="Cambria Math" panose="02040503050406030204" pitchFamily="18" charset="0"/>
                          </a:rPr>
                          <m:t>𝑡</m:t>
                        </m:r>
                        <m:r>
                          <a:rPr lang="pt-BR" i="1">
                            <a:solidFill>
                              <a:srgbClr val="000000"/>
                            </a:solidFill>
                            <a:latin typeface="Cambria Math" panose="02040503050406030204" pitchFamily="18" charset="0"/>
                          </a:rPr>
                          <m:t>+17,09</m:t>
                        </m:r>
                        <m:sSup>
                          <m:sSupPr>
                            <m:ctrlPr>
                              <a:rPr lang="pt-BR" i="1">
                                <a:solidFill>
                                  <a:srgbClr val="000000"/>
                                </a:solidFill>
                                <a:latin typeface="Cambria Math" panose="02040503050406030204" pitchFamily="18" charset="0"/>
                              </a:rPr>
                            </m:ctrlPr>
                          </m:sSupPr>
                          <m:e>
                            <m:r>
                              <a:rPr lang="pt-BR" i="1">
                                <a:solidFill>
                                  <a:srgbClr val="000000"/>
                                </a:solidFill>
                                <a:latin typeface="Cambria Math" panose="02040503050406030204" pitchFamily="18" charset="0"/>
                              </a:rPr>
                              <m:t>)</m:t>
                            </m:r>
                          </m:e>
                          <m:sup>
                            <m:r>
                              <a:rPr lang="pt-BR" i="1">
                                <a:solidFill>
                                  <a:srgbClr val="000000"/>
                                </a:solidFill>
                                <a:latin typeface="Cambria Math" panose="02040503050406030204" pitchFamily="18" charset="0"/>
                              </a:rPr>
                              <m:t>0,</m:t>
                            </m:r>
                            <m:r>
                              <a:rPr lang="pt-BR" b="0" i="1">
                                <a:solidFill>
                                  <a:srgbClr val="000000"/>
                                </a:solidFill>
                                <a:latin typeface="Cambria Math" panose="02040503050406030204" pitchFamily="18" charset="0"/>
                              </a:rPr>
                              <m:t>82</m:t>
                            </m:r>
                          </m:sup>
                        </m:sSup>
                      </m:den>
                    </m:f>
                  </m:oMath>
                </m:oMathPara>
              </a14:m>
              <a:endParaRPr lang="pt-BR"/>
            </a:p>
          </xdr:txBody>
        </xdr:sp>
      </mc:Choice>
      <mc:Fallback xmlns="">
        <xdr:sp macro="" textlink="">
          <xdr:nvSpPr>
            <xdr:cNvPr id="5" name="Object 1">
              <a:extLst>
                <a:ext uri="{63B3BB69-23CF-44E3-9099-C40C66FF867C}">
                  <a14:compatExt xmlns:a14="http://schemas.microsoft.com/office/drawing/2010/main" spid="_x0000_s40961"/>
                </a:ext>
                <a:ext uri="{FF2B5EF4-FFF2-40B4-BE49-F238E27FC236}">
                  <a16:creationId xmlns:a16="http://schemas.microsoft.com/office/drawing/2014/main" id="{00000000-0008-0000-0B00-000001A00000}"/>
                </a:ext>
              </a:extLst>
            </xdr:cNvPr>
            <xdr:cNvSpPr txBox="1"/>
          </xdr:nvSpPr>
          <xdr:spPr>
            <a:xfrm>
              <a:off x="6991350" y="9801225"/>
              <a:ext cx="1398268" cy="462114"/>
            </a:xfrm>
            <a:prstGeom prst="rect">
              <a:avLst/>
            </a:prstGeom>
          </xdr:spPr>
          <xdr:txBody>
            <a:bodyPr vertOverflow="clip" horzOverflow="clip" wrap="none">
              <a:spAutoFit/>
            </a:bodyPr>
            <a:lstStyle/>
            <a:p>
              <a:pPr/>
              <a:r>
                <a:rPr lang="pt-BR" i="0">
                  <a:solidFill>
                    <a:srgbClr val="000000"/>
                  </a:solidFill>
                  <a:latin typeface="Cambria Math" panose="02040503050406030204" pitchFamily="18" charset="0"/>
                </a:rPr>
                <a:t>𝑖=(</a:t>
              </a:r>
              <a:r>
                <a:rPr lang="pt-BR" b="0" i="0">
                  <a:solidFill>
                    <a:srgbClr val="000000"/>
                  </a:solidFill>
                  <a:latin typeface="Cambria Math" panose="02040503050406030204" pitchFamily="18" charset="0"/>
                </a:rPr>
                <a:t>1.568,93</a:t>
              </a:r>
              <a:r>
                <a:rPr lang="pt-BR" i="0">
                  <a:solidFill>
                    <a:srgbClr val="000000"/>
                  </a:solidFill>
                  <a:latin typeface="Cambria Math" panose="02040503050406030204" pitchFamily="18" charset="0"/>
                </a:rPr>
                <a:t>•𝑇^</a:t>
              </a:r>
              <a:r>
                <a:rPr lang="pt-BR" b="0" i="0">
                  <a:solidFill>
                    <a:srgbClr val="000000"/>
                  </a:solidFill>
                  <a:latin typeface="Cambria Math" panose="02040503050406030204" pitchFamily="18" charset="0"/>
                </a:rPr>
                <a:t>0,14)/(</a:t>
              </a:r>
              <a:r>
                <a:rPr lang="pt-BR" i="0">
                  <a:solidFill>
                    <a:srgbClr val="000000"/>
                  </a:solidFill>
                  <a:latin typeface="Cambria Math" panose="02040503050406030204" pitchFamily="18" charset="0"/>
                </a:rPr>
                <a:t>(𝑡+</a:t>
              </a:r>
              <a:r>
                <a:rPr lang="pt-BR" b="0" i="0">
                  <a:solidFill>
                    <a:srgbClr val="000000"/>
                  </a:solidFill>
                  <a:latin typeface="Cambria Math" panose="02040503050406030204" pitchFamily="18" charset="0"/>
                </a:rPr>
                <a:t>17,09</a:t>
              </a:r>
              <a:r>
                <a:rPr lang="pt-BR" i="0">
                  <a:solidFill>
                    <a:srgbClr val="000000"/>
                  </a:solidFill>
                  <a:latin typeface="Cambria Math" panose="02040503050406030204" pitchFamily="18" charset="0"/>
                </a:rPr>
                <a:t>)^0,</a:t>
              </a:r>
              <a:r>
                <a:rPr lang="pt-BR" b="0" i="0">
                  <a:solidFill>
                    <a:srgbClr val="000000"/>
                  </a:solidFill>
                  <a:latin typeface="Cambria Math" panose="02040503050406030204" pitchFamily="18" charset="0"/>
                </a:rPr>
                <a:t>82 )</a:t>
              </a:r>
              <a:endParaRPr lang="pt-B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ilherme\c\ARQXLS\PR\Conservas%20dez-02\Pato%20PRRTN%20-%20BR47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RQUIVOS%20R96\EXCEL\PATOs\BR153_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emi-tec-01\C-Tec\Documents%20and%20Settings\lcardoso\Meus%20documentos\P\s_c\45000_49620_ServAu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RQUIVOS%20R-9-6\Excel\PATOs\BR153_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ED_133L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EINFRA%20(SC)\Tabela%20de%20pre&#231;o\Composi&#231;&#245;es%20sem%20transporte%20(13_01_04)\45000_49620_ServAu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XCEL\ARQXLS\SC\ED142_9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emi-tec-01\c-tec\Documents%20and%20Settings\C%20arlos%20%20Machado\My%20Documents\Disco%202\BR-135-MA\2001\Relat&#243;rio\Custos%20Brig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ilherme\c\Contratos\Pg086-01\Proposta%20de%20pre&#231;os%20DN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ontrato A"/>
      <sheetName val="Resumo B"/>
      <sheetName val="Custos Unit."/>
      <sheetName val="COMPOSIÇÃO C"/>
      <sheetName val="Auxiliar"/>
      <sheetName val="P A T O  D"/>
      <sheetName val="Trans E"/>
      <sheetName val="Cronograma F (1)"/>
      <sheetName val="Cronograma F (2)"/>
      <sheetName val="Preços  G"/>
      <sheetName val="Croqui H"/>
      <sheetName val="Pesquisa I"/>
      <sheetName val="Quantidades e Preços - Lote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 val="61M-CBMI"/>
      <sheetName val="CUSTO ZONA SUL"/>
      <sheetName val="Equipamentos"/>
      <sheetName val="Plan 2.7"/>
      <sheetName val="C"/>
      <sheetName val="Capa Memória de Calc"/>
      <sheetName val="Capa Resumo"/>
      <sheetName val="Capa Documentação"/>
      <sheetName val="Capa Anexo I"/>
      <sheetName val="Capa Anexo II"/>
      <sheetName val="Capa Anexo III"/>
      <sheetName val="Capa Anexo IV"/>
      <sheetName val="Capa Premissas"/>
      <sheetName val="Capa Caract. Seg."/>
      <sheetName val="IDENTIFIC. EMPRESA - Q1"/>
      <sheetName val="RESTAURAÇÃO "/>
      <sheetName val="Capa Mapa"/>
      <sheetName val="RO"/>
      <sheetName val="DEQ"/>
      <sheetName val="CADPLACAS"/>
      <sheetName val="DADOS"/>
      <sheetName val="Plan2"/>
      <sheetName val="ETIQUETA"/>
      <sheetName val="DG"/>
      <sheetName val="P A T O 99 B"/>
    </sheetNames>
    <sheetDataSet>
      <sheetData sheetId="0" refreshError="1"/>
      <sheetData sheetId="1" refreshError="1">
        <row r="8">
          <cell r="B8" t="str">
            <v>30000</v>
          </cell>
          <cell r="D8" t="str">
            <v>TRATOR ESTEIRA CATERPILLAR</v>
          </cell>
          <cell r="G8" t="str">
            <v>CAT-D4 T</v>
          </cell>
          <cell r="I8">
            <v>75</v>
          </cell>
          <cell r="J8">
            <v>8</v>
          </cell>
          <cell r="K8">
            <v>2000</v>
          </cell>
          <cell r="L8">
            <v>154000</v>
          </cell>
          <cell r="M8">
            <v>14.87</v>
          </cell>
          <cell r="N8">
            <v>0.8</v>
          </cell>
          <cell r="O8">
            <v>7.7</v>
          </cell>
          <cell r="P8" t="str">
            <v>D</v>
          </cell>
          <cell r="Q8">
            <v>0.15</v>
          </cell>
          <cell r="R8">
            <v>11.25</v>
          </cell>
          <cell r="S8" t="str">
            <v>20014</v>
          </cell>
          <cell r="T8">
            <v>1</v>
          </cell>
          <cell r="U8">
            <v>9.4700000000000006</v>
          </cell>
          <cell r="V8">
            <v>43.29</v>
          </cell>
          <cell r="W8">
            <v>24.34</v>
          </cell>
        </row>
        <row r="9">
          <cell r="B9" t="str">
            <v>30050</v>
          </cell>
          <cell r="D9" t="str">
            <v>TRATOR ESTEIRA CATERPILLAR</v>
          </cell>
          <cell r="G9" t="str">
            <v>CAT-D6 T</v>
          </cell>
          <cell r="I9">
            <v>140</v>
          </cell>
          <cell r="J9">
            <v>8</v>
          </cell>
          <cell r="K9">
            <v>2000</v>
          </cell>
          <cell r="L9">
            <v>196000</v>
          </cell>
          <cell r="M9">
            <v>18.93</v>
          </cell>
          <cell r="N9">
            <v>0.8</v>
          </cell>
          <cell r="O9">
            <v>9.8000000000000007</v>
          </cell>
          <cell r="P9" t="str">
            <v>D</v>
          </cell>
          <cell r="Q9">
            <v>0.15</v>
          </cell>
          <cell r="R9">
            <v>21</v>
          </cell>
          <cell r="S9" t="str">
            <v>20014</v>
          </cell>
          <cell r="T9">
            <v>1</v>
          </cell>
          <cell r="U9">
            <v>9.4700000000000006</v>
          </cell>
          <cell r="V9">
            <v>59.2</v>
          </cell>
          <cell r="W9">
            <v>28.4</v>
          </cell>
        </row>
        <row r="10">
          <cell r="B10" t="str">
            <v>30100</v>
          </cell>
          <cell r="D10" t="str">
            <v>TRATOR ESTEIRA CATERPILLAR</v>
          </cell>
          <cell r="G10" t="str">
            <v>CAT-D6 R</v>
          </cell>
          <cell r="I10">
            <v>140</v>
          </cell>
          <cell r="J10">
            <v>8</v>
          </cell>
          <cell r="K10">
            <v>2000</v>
          </cell>
          <cell r="L10">
            <v>204000</v>
          </cell>
          <cell r="M10">
            <v>19.7</v>
          </cell>
          <cell r="N10">
            <v>0.8</v>
          </cell>
          <cell r="O10">
            <v>10.199999999999999</v>
          </cell>
          <cell r="P10" t="str">
            <v>D</v>
          </cell>
          <cell r="Q10">
            <v>0.15</v>
          </cell>
          <cell r="R10">
            <v>21</v>
          </cell>
          <cell r="S10" t="str">
            <v>20014</v>
          </cell>
          <cell r="T10">
            <v>1</v>
          </cell>
          <cell r="U10">
            <v>9.4700000000000006</v>
          </cell>
          <cell r="V10">
            <v>60.37</v>
          </cell>
          <cell r="W10">
            <v>29.17</v>
          </cell>
        </row>
        <row r="11">
          <cell r="B11" t="str">
            <v>30150</v>
          </cell>
          <cell r="D11" t="str">
            <v>TRATOR ESTEIRA CATERPILLAR</v>
          </cell>
          <cell r="G11" t="str">
            <v>CAT-D6 RP</v>
          </cell>
          <cell r="I11">
            <v>140</v>
          </cell>
          <cell r="J11">
            <v>8</v>
          </cell>
          <cell r="K11">
            <v>2000</v>
          </cell>
          <cell r="L11">
            <v>215500</v>
          </cell>
          <cell r="M11">
            <v>20.81</v>
          </cell>
          <cell r="N11">
            <v>0.8</v>
          </cell>
          <cell r="O11">
            <v>10.78</v>
          </cell>
          <cell r="P11" t="str">
            <v>D</v>
          </cell>
          <cell r="Q11">
            <v>0.15</v>
          </cell>
          <cell r="R11">
            <v>21</v>
          </cell>
          <cell r="S11" t="str">
            <v>20014</v>
          </cell>
          <cell r="T11">
            <v>1</v>
          </cell>
          <cell r="U11">
            <v>9.4700000000000006</v>
          </cell>
          <cell r="V11">
            <v>62.059999999999995</v>
          </cell>
          <cell r="W11">
            <v>30.28</v>
          </cell>
        </row>
        <row r="12">
          <cell r="B12" t="str">
            <v>30200</v>
          </cell>
          <cell r="D12" t="str">
            <v>TRATOR ESTEIRA CATERPILLAR</v>
          </cell>
          <cell r="G12" t="str">
            <v>CAT-D8 T</v>
          </cell>
          <cell r="I12">
            <v>330</v>
          </cell>
          <cell r="J12">
            <v>8</v>
          </cell>
          <cell r="K12">
            <v>2000</v>
          </cell>
          <cell r="L12">
            <v>667330</v>
          </cell>
          <cell r="M12">
            <v>64.45</v>
          </cell>
          <cell r="N12">
            <v>0.8</v>
          </cell>
          <cell r="O12">
            <v>33.369999999999997</v>
          </cell>
          <cell r="P12" t="str">
            <v>D</v>
          </cell>
          <cell r="Q12">
            <v>0.15</v>
          </cell>
          <cell r="R12">
            <v>49.5</v>
          </cell>
          <cell r="S12" t="str">
            <v>20014</v>
          </cell>
          <cell r="T12">
            <v>1</v>
          </cell>
          <cell r="U12">
            <v>9.4700000000000006</v>
          </cell>
          <cell r="V12">
            <v>156.79</v>
          </cell>
          <cell r="W12">
            <v>73.92</v>
          </cell>
        </row>
        <row r="13">
          <cell r="B13" t="str">
            <v>30201</v>
          </cell>
          <cell r="D13" t="str">
            <v>TRATOR ESTEIRA CATERPILLAR</v>
          </cell>
          <cell r="G13" t="str">
            <v>CAT-D8 R</v>
          </cell>
          <cell r="I13">
            <v>330</v>
          </cell>
          <cell r="J13">
            <v>8</v>
          </cell>
          <cell r="K13">
            <v>2000</v>
          </cell>
          <cell r="L13">
            <v>674310</v>
          </cell>
          <cell r="M13">
            <v>65.13</v>
          </cell>
          <cell r="N13">
            <v>0.8</v>
          </cell>
          <cell r="O13">
            <v>33.72</v>
          </cell>
          <cell r="P13" t="str">
            <v>D</v>
          </cell>
          <cell r="Q13">
            <v>0.15</v>
          </cell>
          <cell r="R13">
            <v>49.5</v>
          </cell>
          <cell r="S13" t="str">
            <v>20014</v>
          </cell>
          <cell r="T13">
            <v>1</v>
          </cell>
          <cell r="U13">
            <v>9.4700000000000006</v>
          </cell>
          <cell r="V13">
            <v>157.82</v>
          </cell>
          <cell r="W13">
            <v>74.599999999999994</v>
          </cell>
        </row>
        <row r="14">
          <cell r="B14" t="str">
            <v>30250</v>
          </cell>
          <cell r="D14" t="str">
            <v>TRATOR ESTEIRA CATERPILLAR</v>
          </cell>
          <cell r="G14" t="str">
            <v>CAT-D8 RP</v>
          </cell>
          <cell r="I14">
            <v>330</v>
          </cell>
          <cell r="J14">
            <v>8</v>
          </cell>
          <cell r="K14">
            <v>2000</v>
          </cell>
          <cell r="L14">
            <v>694740</v>
          </cell>
          <cell r="M14">
            <v>67.099999999999994</v>
          </cell>
          <cell r="N14">
            <v>0.8</v>
          </cell>
          <cell r="O14">
            <v>34.74</v>
          </cell>
          <cell r="P14" t="str">
            <v>D</v>
          </cell>
          <cell r="Q14">
            <v>0.15</v>
          </cell>
          <cell r="R14">
            <v>49.5</v>
          </cell>
          <cell r="S14" t="str">
            <v>20014</v>
          </cell>
          <cell r="T14">
            <v>1</v>
          </cell>
          <cell r="U14">
            <v>9.4700000000000006</v>
          </cell>
          <cell r="V14">
            <v>160.81</v>
          </cell>
          <cell r="W14">
            <v>76.569999999999993</v>
          </cell>
        </row>
        <row r="15">
          <cell r="B15" t="str">
            <v>30260</v>
          </cell>
          <cell r="D15" t="str">
            <v>TRATOR ESTEIRA CATERPILLAR</v>
          </cell>
          <cell r="G15" t="str">
            <v>CAT-D9 T</v>
          </cell>
          <cell r="I15">
            <v>410</v>
          </cell>
          <cell r="J15">
            <v>8</v>
          </cell>
          <cell r="K15">
            <v>2000</v>
          </cell>
          <cell r="M15">
            <v>0</v>
          </cell>
          <cell r="N15">
            <v>0.8</v>
          </cell>
          <cell r="O15">
            <v>0</v>
          </cell>
          <cell r="P15" t="str">
            <v>D</v>
          </cell>
          <cell r="Q15">
            <v>0.15</v>
          </cell>
          <cell r="R15">
            <v>61.5</v>
          </cell>
          <cell r="S15" t="str">
            <v>20014</v>
          </cell>
          <cell r="T15">
            <v>1</v>
          </cell>
          <cell r="U15">
            <v>9.4700000000000006</v>
          </cell>
          <cell r="V15">
            <v>70.97</v>
          </cell>
          <cell r="W15">
            <v>9.4700000000000006</v>
          </cell>
        </row>
        <row r="16">
          <cell r="B16" t="str">
            <v>30270</v>
          </cell>
          <cell r="D16" t="str">
            <v>TRATOR ESTEIRA CATERPILLAR</v>
          </cell>
          <cell r="G16" t="str">
            <v>CAT-D9 RP</v>
          </cell>
          <cell r="I16">
            <v>410</v>
          </cell>
          <cell r="J16">
            <v>8</v>
          </cell>
          <cell r="K16">
            <v>2000</v>
          </cell>
          <cell r="M16">
            <v>0</v>
          </cell>
          <cell r="N16">
            <v>0.8</v>
          </cell>
          <cell r="O16">
            <v>0</v>
          </cell>
          <cell r="P16" t="str">
            <v>D</v>
          </cell>
          <cell r="Q16">
            <v>0.15</v>
          </cell>
          <cell r="R16">
            <v>61.5</v>
          </cell>
          <cell r="S16" t="str">
            <v>20014</v>
          </cell>
          <cell r="T16">
            <v>1</v>
          </cell>
          <cell r="U16">
            <v>9.4700000000000006</v>
          </cell>
          <cell r="V16">
            <v>70.97</v>
          </cell>
          <cell r="W16">
            <v>9.4700000000000006</v>
          </cell>
        </row>
        <row r="17">
          <cell r="B17" t="str">
            <v>30300</v>
          </cell>
          <cell r="D17" t="str">
            <v>TRATOR AGRICOLA PNEUS CBT</v>
          </cell>
          <cell r="G17" t="str">
            <v>CBT-2105</v>
          </cell>
          <cell r="I17">
            <v>103</v>
          </cell>
          <cell r="J17">
            <v>5</v>
          </cell>
          <cell r="K17">
            <v>2000</v>
          </cell>
          <cell r="L17">
            <v>56872</v>
          </cell>
          <cell r="M17">
            <v>7.44</v>
          </cell>
          <cell r="N17">
            <v>0.8</v>
          </cell>
          <cell r="O17">
            <v>4.55</v>
          </cell>
          <cell r="P17" t="str">
            <v>D</v>
          </cell>
          <cell r="Q17">
            <v>0.15</v>
          </cell>
          <cell r="R17">
            <v>15.45</v>
          </cell>
          <cell r="S17" t="str">
            <v>20014</v>
          </cell>
          <cell r="T17">
            <v>1</v>
          </cell>
          <cell r="U17">
            <v>9.4700000000000006</v>
          </cell>
          <cell r="V17">
            <v>36.909999999999997</v>
          </cell>
          <cell r="W17">
            <v>16.91</v>
          </cell>
        </row>
        <row r="18">
          <cell r="B18" t="str">
            <v>30450</v>
          </cell>
          <cell r="D18" t="str">
            <v>MOTOSCRAPER CATERPILLAR 15M3</v>
          </cell>
          <cell r="G18" t="str">
            <v>CAT-621</v>
          </cell>
          <cell r="I18">
            <v>330</v>
          </cell>
          <cell r="J18">
            <v>5</v>
          </cell>
          <cell r="K18">
            <v>2000</v>
          </cell>
          <cell r="M18">
            <v>0</v>
          </cell>
          <cell r="N18">
            <v>0.8</v>
          </cell>
          <cell r="O18">
            <v>0</v>
          </cell>
          <cell r="P18" t="str">
            <v>D</v>
          </cell>
          <cell r="Q18">
            <v>0.15</v>
          </cell>
          <cell r="R18">
            <v>49.5</v>
          </cell>
          <cell r="S18" t="str">
            <v>20014</v>
          </cell>
          <cell r="T18">
            <v>1</v>
          </cell>
          <cell r="U18">
            <v>9.4700000000000006</v>
          </cell>
          <cell r="V18">
            <v>58.97</v>
          </cell>
          <cell r="W18">
            <v>9.4700000000000006</v>
          </cell>
        </row>
        <row r="19">
          <cell r="B19" t="str">
            <v>30460</v>
          </cell>
          <cell r="D19" t="str">
            <v>MOTOSCRAPER CATERPILLAR 23M3</v>
          </cell>
          <cell r="G19" t="str">
            <v>CAT-631</v>
          </cell>
          <cell r="I19">
            <v>450</v>
          </cell>
          <cell r="J19">
            <v>5</v>
          </cell>
          <cell r="K19">
            <v>2000</v>
          </cell>
          <cell r="M19">
            <v>0</v>
          </cell>
          <cell r="N19">
            <v>0.8</v>
          </cell>
          <cell r="O19">
            <v>0</v>
          </cell>
          <cell r="P19" t="str">
            <v>D</v>
          </cell>
          <cell r="Q19">
            <v>0.15</v>
          </cell>
          <cell r="R19">
            <v>67.5</v>
          </cell>
          <cell r="S19" t="str">
            <v>20014</v>
          </cell>
          <cell r="T19">
            <v>1</v>
          </cell>
          <cell r="U19">
            <v>9.4700000000000006</v>
          </cell>
          <cell r="V19">
            <v>76.97</v>
          </cell>
          <cell r="W19">
            <v>9.4700000000000006</v>
          </cell>
        </row>
        <row r="20">
          <cell r="B20" t="str">
            <v>30470</v>
          </cell>
          <cell r="D20" t="str">
            <v>MOTOSCRAPER CATERPILLAR</v>
          </cell>
          <cell r="G20" t="str">
            <v>CAT-637</v>
          </cell>
          <cell r="I20">
            <v>705</v>
          </cell>
          <cell r="J20">
            <v>5</v>
          </cell>
          <cell r="K20">
            <v>2000</v>
          </cell>
          <cell r="M20">
            <v>0</v>
          </cell>
          <cell r="N20">
            <v>0.8</v>
          </cell>
          <cell r="O20">
            <v>0</v>
          </cell>
          <cell r="P20" t="str">
            <v>D</v>
          </cell>
          <cell r="Q20">
            <v>0.15</v>
          </cell>
          <cell r="R20">
            <v>105.75</v>
          </cell>
          <cell r="S20" t="str">
            <v>20014</v>
          </cell>
          <cell r="T20">
            <v>1</v>
          </cell>
          <cell r="U20">
            <v>9.4700000000000006</v>
          </cell>
          <cell r="V20">
            <v>115.22</v>
          </cell>
          <cell r="W20">
            <v>9.4700000000000006</v>
          </cell>
        </row>
        <row r="21">
          <cell r="B21" t="str">
            <v>30480</v>
          </cell>
          <cell r="D21" t="str">
            <v>MOTOSCRAPER CATERPILLAR</v>
          </cell>
          <cell r="G21" t="str">
            <v>CAT-657</v>
          </cell>
          <cell r="I21">
            <v>950</v>
          </cell>
          <cell r="J21">
            <v>5</v>
          </cell>
          <cell r="K21">
            <v>2000</v>
          </cell>
          <cell r="M21">
            <v>0</v>
          </cell>
          <cell r="N21">
            <v>0.8</v>
          </cell>
          <cell r="O21">
            <v>0</v>
          </cell>
          <cell r="P21" t="str">
            <v>D</v>
          </cell>
          <cell r="Q21">
            <v>0.15</v>
          </cell>
          <cell r="R21">
            <v>142.5</v>
          </cell>
          <cell r="S21" t="str">
            <v>20014</v>
          </cell>
          <cell r="T21">
            <v>1</v>
          </cell>
          <cell r="U21">
            <v>9.4700000000000006</v>
          </cell>
          <cell r="V21">
            <v>151.97</v>
          </cell>
          <cell r="W21">
            <v>9.4700000000000006</v>
          </cell>
        </row>
        <row r="22">
          <cell r="B22" t="str">
            <v>30540</v>
          </cell>
          <cell r="D22" t="str">
            <v>CARREGADEIRA PNEUS CATERPILLAR</v>
          </cell>
          <cell r="G22" t="str">
            <v>CAT-914 G</v>
          </cell>
          <cell r="I22">
            <v>90</v>
          </cell>
          <cell r="J22">
            <v>5</v>
          </cell>
          <cell r="K22">
            <v>2000</v>
          </cell>
          <cell r="L22">
            <v>155000</v>
          </cell>
          <cell r="M22">
            <v>20.28</v>
          </cell>
          <cell r="N22">
            <v>0.8</v>
          </cell>
          <cell r="O22">
            <v>12.4</v>
          </cell>
          <cell r="P22" t="str">
            <v>D</v>
          </cell>
          <cell r="Q22">
            <v>0.15</v>
          </cell>
          <cell r="R22">
            <v>13.5</v>
          </cell>
          <cell r="S22" t="str">
            <v>20014</v>
          </cell>
          <cell r="T22">
            <v>1</v>
          </cell>
          <cell r="U22">
            <v>9.4700000000000006</v>
          </cell>
          <cell r="V22">
            <v>55.65</v>
          </cell>
          <cell r="W22">
            <v>29.75</v>
          </cell>
        </row>
        <row r="23">
          <cell r="B23" t="str">
            <v>30550</v>
          </cell>
          <cell r="D23" t="str">
            <v>CARREGADEIRA PNEUS CATERPILLAR</v>
          </cell>
          <cell r="G23" t="str">
            <v>CAT-930 T</v>
          </cell>
          <cell r="I23">
            <v>100</v>
          </cell>
          <cell r="J23">
            <v>5</v>
          </cell>
          <cell r="K23">
            <v>2000</v>
          </cell>
          <cell r="L23">
            <v>171000</v>
          </cell>
          <cell r="M23">
            <v>22.37</v>
          </cell>
          <cell r="N23">
            <v>0.8</v>
          </cell>
          <cell r="O23">
            <v>13.68</v>
          </cell>
          <cell r="P23" t="str">
            <v>D</v>
          </cell>
          <cell r="Q23">
            <v>0.15</v>
          </cell>
          <cell r="R23">
            <v>15</v>
          </cell>
          <cell r="S23" t="str">
            <v>20014</v>
          </cell>
          <cell r="T23">
            <v>1</v>
          </cell>
          <cell r="U23">
            <v>9.4700000000000006</v>
          </cell>
          <cell r="V23">
            <v>60.519999999999996</v>
          </cell>
          <cell r="W23">
            <v>31.840000000000003</v>
          </cell>
        </row>
        <row r="24">
          <cell r="B24" t="str">
            <v>30551</v>
          </cell>
          <cell r="D24" t="str">
            <v>CARREGADEIRA PNEUS CATERPILLAR</v>
          </cell>
          <cell r="G24" t="str">
            <v>CAT-930 R</v>
          </cell>
          <cell r="I24">
            <v>100</v>
          </cell>
          <cell r="J24">
            <v>5</v>
          </cell>
          <cell r="K24">
            <v>2000</v>
          </cell>
          <cell r="L24">
            <v>173500</v>
          </cell>
          <cell r="M24">
            <v>22.7</v>
          </cell>
          <cell r="N24">
            <v>0.8</v>
          </cell>
          <cell r="O24">
            <v>13.88</v>
          </cell>
          <cell r="P24" t="str">
            <v>D</v>
          </cell>
          <cell r="Q24">
            <v>0.15</v>
          </cell>
          <cell r="R24">
            <v>15</v>
          </cell>
          <cell r="S24" t="str">
            <v>20014</v>
          </cell>
          <cell r="T24">
            <v>1</v>
          </cell>
          <cell r="U24">
            <v>9.4700000000000006</v>
          </cell>
          <cell r="V24">
            <v>61.05</v>
          </cell>
          <cell r="W24">
            <v>32.17</v>
          </cell>
        </row>
        <row r="25">
          <cell r="B25" t="str">
            <v>30650</v>
          </cell>
          <cell r="D25" t="str">
            <v>CARREGADEIRA PNEUS CATERPILLAR</v>
          </cell>
          <cell r="G25" t="str">
            <v>CAT-950 T</v>
          </cell>
          <cell r="I25">
            <v>170</v>
          </cell>
          <cell r="J25">
            <v>5</v>
          </cell>
          <cell r="K25">
            <v>2000</v>
          </cell>
          <cell r="L25">
            <v>305000</v>
          </cell>
          <cell r="M25">
            <v>39.9</v>
          </cell>
          <cell r="N25">
            <v>0.8</v>
          </cell>
          <cell r="O25">
            <v>24.4</v>
          </cell>
          <cell r="P25" t="str">
            <v>D</v>
          </cell>
          <cell r="Q25">
            <v>0.15</v>
          </cell>
          <cell r="R25">
            <v>25.5</v>
          </cell>
          <cell r="S25" t="str">
            <v>20014</v>
          </cell>
          <cell r="T25">
            <v>1</v>
          </cell>
          <cell r="U25">
            <v>9.4700000000000006</v>
          </cell>
          <cell r="V25">
            <v>99.27</v>
          </cell>
          <cell r="W25">
            <v>49.37</v>
          </cell>
        </row>
        <row r="26">
          <cell r="B26" t="str">
            <v>30651</v>
          </cell>
          <cell r="D26" t="str">
            <v>CARREGADEIRA PNEUS CATERPILLAR</v>
          </cell>
          <cell r="G26" t="str">
            <v>CAT-950 R</v>
          </cell>
          <cell r="I26">
            <v>170</v>
          </cell>
          <cell r="J26">
            <v>5</v>
          </cell>
          <cell r="K26">
            <v>2000</v>
          </cell>
          <cell r="L26">
            <v>311750</v>
          </cell>
          <cell r="M26">
            <v>40.79</v>
          </cell>
          <cell r="N26">
            <v>0.8</v>
          </cell>
          <cell r="O26">
            <v>24.94</v>
          </cell>
          <cell r="P26" t="str">
            <v>D</v>
          </cell>
          <cell r="Q26">
            <v>0.15</v>
          </cell>
          <cell r="R26">
            <v>25.5</v>
          </cell>
          <cell r="S26" t="str">
            <v>20014</v>
          </cell>
          <cell r="T26">
            <v>1</v>
          </cell>
          <cell r="U26">
            <v>9.4700000000000006</v>
          </cell>
          <cell r="V26">
            <v>100.7</v>
          </cell>
          <cell r="W26">
            <v>50.26</v>
          </cell>
        </row>
        <row r="27">
          <cell r="B27" t="str">
            <v>30660</v>
          </cell>
          <cell r="D27" t="str">
            <v>CARREGADEIRA ESTEIRA CATERPILLAR</v>
          </cell>
          <cell r="G27" t="str">
            <v>CAT-943 T</v>
          </cell>
          <cell r="I27">
            <v>80</v>
          </cell>
          <cell r="J27">
            <v>6</v>
          </cell>
          <cell r="K27">
            <v>2000</v>
          </cell>
          <cell r="M27">
            <v>0</v>
          </cell>
          <cell r="N27">
            <v>0.8</v>
          </cell>
          <cell r="O27">
            <v>0</v>
          </cell>
          <cell r="P27" t="str">
            <v>D</v>
          </cell>
          <cell r="Q27">
            <v>0.15</v>
          </cell>
          <cell r="R27">
            <v>12</v>
          </cell>
          <cell r="S27" t="str">
            <v>20014</v>
          </cell>
          <cell r="T27">
            <v>1</v>
          </cell>
          <cell r="U27">
            <v>9.4700000000000006</v>
          </cell>
          <cell r="V27">
            <v>21.47</v>
          </cell>
          <cell r="W27">
            <v>9.4700000000000006</v>
          </cell>
        </row>
        <row r="28">
          <cell r="B28" t="str">
            <v>30670</v>
          </cell>
          <cell r="D28" t="str">
            <v>CARREGADEIRA ESTEIRA CATERPILLAR</v>
          </cell>
          <cell r="G28" t="str">
            <v>CAT-955 T</v>
          </cell>
          <cell r="I28">
            <v>130</v>
          </cell>
          <cell r="J28">
            <v>5</v>
          </cell>
          <cell r="K28">
            <v>2000</v>
          </cell>
          <cell r="M28">
            <v>0</v>
          </cell>
          <cell r="N28">
            <v>0.8</v>
          </cell>
          <cell r="O28">
            <v>0</v>
          </cell>
          <cell r="P28" t="str">
            <v>D</v>
          </cell>
          <cell r="Q28">
            <v>0.15</v>
          </cell>
          <cell r="R28">
            <v>19.5</v>
          </cell>
          <cell r="S28" t="str">
            <v>20014</v>
          </cell>
          <cell r="T28">
            <v>1</v>
          </cell>
          <cell r="U28">
            <v>9.4700000000000006</v>
          </cell>
          <cell r="V28">
            <v>28.97</v>
          </cell>
          <cell r="W28">
            <v>9.4700000000000006</v>
          </cell>
        </row>
        <row r="29">
          <cell r="B29" t="str">
            <v>30675</v>
          </cell>
          <cell r="D29" t="str">
            <v>CARREGADEIRA ESTEIRA CATERPILLAR</v>
          </cell>
          <cell r="G29" t="str">
            <v>CAT-955 R</v>
          </cell>
          <cell r="I29">
            <v>130</v>
          </cell>
          <cell r="J29">
            <v>4</v>
          </cell>
          <cell r="K29">
            <v>2000</v>
          </cell>
          <cell r="M29">
            <v>0</v>
          </cell>
          <cell r="N29">
            <v>0.8</v>
          </cell>
          <cell r="O29">
            <v>0</v>
          </cell>
          <cell r="P29" t="str">
            <v>D</v>
          </cell>
          <cell r="Q29">
            <v>0.15</v>
          </cell>
          <cell r="R29">
            <v>19.5</v>
          </cell>
          <cell r="S29" t="str">
            <v>20014</v>
          </cell>
          <cell r="T29">
            <v>1</v>
          </cell>
          <cell r="U29">
            <v>9.4700000000000006</v>
          </cell>
          <cell r="V29">
            <v>28.97</v>
          </cell>
          <cell r="W29">
            <v>9.4700000000000006</v>
          </cell>
        </row>
        <row r="30">
          <cell r="B30" t="str">
            <v>30680</v>
          </cell>
          <cell r="D30" t="str">
            <v>CARREGADEIRA ESTEIRA CATERPILLAR</v>
          </cell>
          <cell r="G30" t="str">
            <v>CAT-973 T</v>
          </cell>
          <cell r="I30">
            <v>190</v>
          </cell>
          <cell r="J30">
            <v>5</v>
          </cell>
          <cell r="K30">
            <v>2000</v>
          </cell>
          <cell r="M30">
            <v>0</v>
          </cell>
          <cell r="N30">
            <v>0.8</v>
          </cell>
          <cell r="O30">
            <v>0</v>
          </cell>
          <cell r="P30" t="str">
            <v>D</v>
          </cell>
          <cell r="Q30">
            <v>0.15</v>
          </cell>
          <cell r="R30">
            <v>28.5</v>
          </cell>
          <cell r="S30" t="str">
            <v>20014</v>
          </cell>
          <cell r="T30">
            <v>1</v>
          </cell>
          <cell r="U30">
            <v>9.4700000000000006</v>
          </cell>
          <cell r="V30">
            <v>37.97</v>
          </cell>
          <cell r="W30">
            <v>9.4700000000000006</v>
          </cell>
        </row>
        <row r="31">
          <cell r="B31" t="str">
            <v>30685</v>
          </cell>
          <cell r="D31" t="str">
            <v>CARREGADEIRA ESTEIRA CATERPILLAR</v>
          </cell>
          <cell r="G31" t="str">
            <v>CAT-973 R</v>
          </cell>
          <cell r="I31">
            <v>190</v>
          </cell>
          <cell r="J31">
            <v>5</v>
          </cell>
          <cell r="K31">
            <v>2000</v>
          </cell>
          <cell r="M31">
            <v>0</v>
          </cell>
          <cell r="N31">
            <v>0.8</v>
          </cell>
          <cell r="O31">
            <v>0</v>
          </cell>
          <cell r="P31" t="str">
            <v>D</v>
          </cell>
          <cell r="Q31">
            <v>0.15</v>
          </cell>
          <cell r="R31">
            <v>28.5</v>
          </cell>
          <cell r="S31" t="str">
            <v>20014</v>
          </cell>
          <cell r="T31">
            <v>1</v>
          </cell>
          <cell r="U31">
            <v>9.4700000000000006</v>
          </cell>
          <cell r="V31">
            <v>37.97</v>
          </cell>
          <cell r="W31">
            <v>9.4700000000000006</v>
          </cell>
        </row>
        <row r="32">
          <cell r="B32" t="str">
            <v>30710</v>
          </cell>
          <cell r="D32" t="str">
            <v>ROLO AUTOPROPELIDO LISO VIBRATORIO DYNAPAC</v>
          </cell>
          <cell r="G32" t="str">
            <v>CC-43</v>
          </cell>
          <cell r="I32">
            <v>126</v>
          </cell>
          <cell r="J32">
            <v>8</v>
          </cell>
          <cell r="K32">
            <v>1750</v>
          </cell>
          <cell r="L32">
            <v>84577</v>
          </cell>
          <cell r="M32">
            <v>9.34</v>
          </cell>
          <cell r="N32">
            <v>0.8</v>
          </cell>
          <cell r="O32">
            <v>4.83</v>
          </cell>
          <cell r="P32" t="str">
            <v>D</v>
          </cell>
          <cell r="Q32">
            <v>0.15</v>
          </cell>
          <cell r="R32">
            <v>18.899999999999999</v>
          </cell>
          <cell r="S32" t="str">
            <v>20014</v>
          </cell>
          <cell r="T32">
            <v>1</v>
          </cell>
          <cell r="U32">
            <v>9.4700000000000006</v>
          </cell>
          <cell r="V32">
            <v>42.54</v>
          </cell>
          <cell r="W32">
            <v>18.810000000000002</v>
          </cell>
        </row>
        <row r="33">
          <cell r="B33" t="str">
            <v>30720</v>
          </cell>
          <cell r="D33" t="str">
            <v>ROLO AUTOPROPELIDO LISO VIBRATORIO DYNAPAC</v>
          </cell>
          <cell r="G33" t="str">
            <v>CG-11</v>
          </cell>
          <cell r="I33">
            <v>13</v>
          </cell>
          <cell r="J33">
            <v>8</v>
          </cell>
          <cell r="K33">
            <v>1750</v>
          </cell>
          <cell r="M33">
            <v>0</v>
          </cell>
          <cell r="N33">
            <v>0.8</v>
          </cell>
          <cell r="O33">
            <v>0</v>
          </cell>
          <cell r="P33" t="str">
            <v>D</v>
          </cell>
          <cell r="Q33">
            <v>0.15</v>
          </cell>
          <cell r="R33">
            <v>1.95</v>
          </cell>
          <cell r="S33" t="str">
            <v>20014</v>
          </cell>
          <cell r="T33">
            <v>1</v>
          </cell>
          <cell r="U33">
            <v>9.4700000000000006</v>
          </cell>
          <cell r="V33">
            <v>11.42</v>
          </cell>
          <cell r="W33">
            <v>9.4700000000000006</v>
          </cell>
        </row>
        <row r="34">
          <cell r="B34" t="str">
            <v>30730</v>
          </cell>
          <cell r="D34" t="str">
            <v>ROLO AUTOPROPELIDO LISO VIBRATORIO DYNAPAC</v>
          </cell>
          <cell r="G34" t="str">
            <v>CA-15</v>
          </cell>
          <cell r="I34">
            <v>101</v>
          </cell>
          <cell r="J34">
            <v>8</v>
          </cell>
          <cell r="K34">
            <v>1750</v>
          </cell>
          <cell r="M34">
            <v>0</v>
          </cell>
          <cell r="N34">
            <v>0.8</v>
          </cell>
          <cell r="O34">
            <v>0</v>
          </cell>
          <cell r="P34" t="str">
            <v>D</v>
          </cell>
          <cell r="Q34">
            <v>0.15</v>
          </cell>
          <cell r="R34">
            <v>15.149999999999999</v>
          </cell>
          <cell r="S34" t="str">
            <v>20014</v>
          </cell>
          <cell r="T34">
            <v>1</v>
          </cell>
          <cell r="U34">
            <v>9.4700000000000006</v>
          </cell>
          <cell r="V34">
            <v>24.619999999999997</v>
          </cell>
          <cell r="W34">
            <v>9.4700000000000006</v>
          </cell>
        </row>
        <row r="35">
          <cell r="B35" t="str">
            <v>30740</v>
          </cell>
          <cell r="D35" t="str">
            <v>ROLO AUTOPROPELIDO LISO VIBRATORIO DYNAPAC</v>
          </cell>
          <cell r="G35" t="str">
            <v>CA-25D</v>
          </cell>
          <cell r="I35">
            <v>145</v>
          </cell>
          <cell r="J35">
            <v>8</v>
          </cell>
          <cell r="K35">
            <v>1750</v>
          </cell>
          <cell r="L35">
            <v>148358</v>
          </cell>
          <cell r="M35">
            <v>16.38</v>
          </cell>
          <cell r="N35">
            <v>0.8</v>
          </cell>
          <cell r="O35">
            <v>8.48</v>
          </cell>
          <cell r="P35" t="str">
            <v>D</v>
          </cell>
          <cell r="Q35">
            <v>0.15</v>
          </cell>
          <cell r="R35">
            <v>21.75</v>
          </cell>
          <cell r="S35" t="str">
            <v>20014</v>
          </cell>
          <cell r="T35">
            <v>1</v>
          </cell>
          <cell r="U35">
            <v>9.4700000000000006</v>
          </cell>
          <cell r="V35">
            <v>56.08</v>
          </cell>
          <cell r="W35">
            <v>25.85</v>
          </cell>
        </row>
        <row r="36">
          <cell r="B36" t="str">
            <v>30750</v>
          </cell>
          <cell r="D36" t="str">
            <v>ROLO AUTOPROPELIDO PECARN VIBRATORIO DYNAPAC</v>
          </cell>
          <cell r="G36" t="str">
            <v>CA-25PD</v>
          </cell>
          <cell r="I36">
            <v>145</v>
          </cell>
          <cell r="J36">
            <v>8</v>
          </cell>
          <cell r="K36">
            <v>1750</v>
          </cell>
          <cell r="L36">
            <v>149700</v>
          </cell>
          <cell r="M36">
            <v>16.52</v>
          </cell>
          <cell r="N36">
            <v>0.8</v>
          </cell>
          <cell r="O36">
            <v>8.5500000000000007</v>
          </cell>
          <cell r="P36" t="str">
            <v>D</v>
          </cell>
          <cell r="Q36">
            <v>0.15</v>
          </cell>
          <cell r="R36">
            <v>21.75</v>
          </cell>
          <cell r="S36" t="str">
            <v>20014</v>
          </cell>
          <cell r="T36">
            <v>1</v>
          </cell>
          <cell r="U36">
            <v>9.4700000000000006</v>
          </cell>
          <cell r="V36">
            <v>56.29</v>
          </cell>
          <cell r="W36">
            <v>25.990000000000002</v>
          </cell>
        </row>
        <row r="37">
          <cell r="B37" t="str">
            <v>30760</v>
          </cell>
          <cell r="D37" t="str">
            <v>ROLO AUTOPROPELIDO LISO VIBRATORIO DYNAPAC</v>
          </cell>
          <cell r="G37" t="str">
            <v>CA-35</v>
          </cell>
          <cell r="I37">
            <v>145</v>
          </cell>
          <cell r="J37">
            <v>8</v>
          </cell>
          <cell r="K37">
            <v>1750</v>
          </cell>
          <cell r="M37">
            <v>0</v>
          </cell>
          <cell r="N37">
            <v>0.8</v>
          </cell>
          <cell r="O37">
            <v>0</v>
          </cell>
          <cell r="P37" t="str">
            <v>D</v>
          </cell>
          <cell r="Q37">
            <v>0.15</v>
          </cell>
          <cell r="R37">
            <v>21.75</v>
          </cell>
          <cell r="S37" t="str">
            <v>20014</v>
          </cell>
          <cell r="T37">
            <v>1</v>
          </cell>
          <cell r="U37">
            <v>9.4700000000000006</v>
          </cell>
          <cell r="V37">
            <v>31.22</v>
          </cell>
          <cell r="W37">
            <v>9.4700000000000006</v>
          </cell>
        </row>
        <row r="38">
          <cell r="B38" t="str">
            <v>30770</v>
          </cell>
          <cell r="D38" t="str">
            <v>ROLO REBOCAVEL LISO VIBRATORIO DYNAPAC</v>
          </cell>
          <cell r="G38" t="str">
            <v>CH-44</v>
          </cell>
          <cell r="I38">
            <v>77</v>
          </cell>
          <cell r="J38">
            <v>8</v>
          </cell>
          <cell r="K38">
            <v>1750</v>
          </cell>
          <cell r="M38">
            <v>0</v>
          </cell>
          <cell r="N38">
            <v>0.8</v>
          </cell>
          <cell r="O38">
            <v>0</v>
          </cell>
          <cell r="P38" t="str">
            <v>D</v>
          </cell>
          <cell r="Q38">
            <v>0.15</v>
          </cell>
          <cell r="R38">
            <v>11.549999999999999</v>
          </cell>
          <cell r="S38" t="str">
            <v>20014</v>
          </cell>
          <cell r="T38">
            <v>1</v>
          </cell>
          <cell r="U38">
            <v>9.4700000000000006</v>
          </cell>
          <cell r="V38">
            <v>21.02</v>
          </cell>
          <cell r="W38">
            <v>9.4700000000000006</v>
          </cell>
        </row>
        <row r="39">
          <cell r="B39" t="str">
            <v>30780</v>
          </cell>
          <cell r="D39" t="str">
            <v>ROLO REBOCAVEL LISO VIBRATORIO DYNAPAC</v>
          </cell>
          <cell r="G39" t="str">
            <v>CK-51</v>
          </cell>
          <cell r="I39">
            <v>84</v>
          </cell>
          <cell r="J39">
            <v>8</v>
          </cell>
          <cell r="K39">
            <v>1750</v>
          </cell>
          <cell r="M39">
            <v>0</v>
          </cell>
          <cell r="N39">
            <v>0.8</v>
          </cell>
          <cell r="O39">
            <v>0</v>
          </cell>
          <cell r="P39" t="str">
            <v>D</v>
          </cell>
          <cell r="Q39">
            <v>0.15</v>
          </cell>
          <cell r="R39">
            <v>12.6</v>
          </cell>
          <cell r="S39" t="str">
            <v>20014</v>
          </cell>
          <cell r="T39">
            <v>1</v>
          </cell>
          <cell r="U39">
            <v>9.4700000000000006</v>
          </cell>
          <cell r="V39">
            <v>22.07</v>
          </cell>
          <cell r="W39">
            <v>9.4700000000000006</v>
          </cell>
        </row>
        <row r="40">
          <cell r="B40" t="str">
            <v>30790</v>
          </cell>
          <cell r="D40" t="str">
            <v>ROLO REBOCAVEL LISO VIBRATORIO DYNAPAC</v>
          </cell>
          <cell r="G40" t="str">
            <v>CHB-66</v>
          </cell>
          <cell r="I40">
            <v>85</v>
          </cell>
          <cell r="J40">
            <v>8</v>
          </cell>
          <cell r="K40">
            <v>1750</v>
          </cell>
          <cell r="M40">
            <v>0</v>
          </cell>
          <cell r="N40">
            <v>0.8</v>
          </cell>
          <cell r="O40">
            <v>0</v>
          </cell>
          <cell r="P40" t="str">
            <v>D</v>
          </cell>
          <cell r="Q40">
            <v>0.15</v>
          </cell>
          <cell r="R40">
            <v>12.75</v>
          </cell>
          <cell r="S40" t="str">
            <v>20014</v>
          </cell>
          <cell r="T40">
            <v>1</v>
          </cell>
          <cell r="U40">
            <v>9.4700000000000006</v>
          </cell>
          <cell r="V40">
            <v>22.22</v>
          </cell>
          <cell r="W40">
            <v>9.4700000000000006</v>
          </cell>
        </row>
        <row r="41">
          <cell r="B41" t="str">
            <v>30791</v>
          </cell>
          <cell r="D41" t="str">
            <v>ROLO AUTOPROPELIDO PECARN ESTATICO TEMA TERRA</v>
          </cell>
          <cell r="G41" t="str">
            <v>SP-255</v>
          </cell>
          <cell r="I41">
            <v>165</v>
          </cell>
          <cell r="J41">
            <v>8</v>
          </cell>
          <cell r="K41">
            <v>1750</v>
          </cell>
          <cell r="M41">
            <v>0</v>
          </cell>
          <cell r="N41">
            <v>0.8</v>
          </cell>
          <cell r="O41">
            <v>0</v>
          </cell>
          <cell r="P41" t="str">
            <v>D</v>
          </cell>
          <cell r="Q41">
            <v>0.15</v>
          </cell>
          <cell r="R41">
            <v>24.75</v>
          </cell>
          <cell r="S41" t="str">
            <v>20014</v>
          </cell>
          <cell r="T41">
            <v>1</v>
          </cell>
          <cell r="U41">
            <v>9.4700000000000006</v>
          </cell>
          <cell r="V41">
            <v>34.22</v>
          </cell>
          <cell r="W41">
            <v>9.4700000000000006</v>
          </cell>
        </row>
        <row r="42">
          <cell r="B42" t="str">
            <v>30792</v>
          </cell>
          <cell r="D42" t="str">
            <v>ROLO AUTOPROPELDIO PECARN VIBRATORIO DYNAPAC</v>
          </cell>
          <cell r="G42" t="str">
            <v>CA-15P</v>
          </cell>
          <cell r="I42">
            <v>101</v>
          </cell>
          <cell r="J42">
            <v>8</v>
          </cell>
          <cell r="K42">
            <v>1750</v>
          </cell>
          <cell r="M42">
            <v>0</v>
          </cell>
          <cell r="N42">
            <v>0.8</v>
          </cell>
          <cell r="O42">
            <v>0</v>
          </cell>
          <cell r="P42" t="str">
            <v>D</v>
          </cell>
          <cell r="Q42">
            <v>0.15</v>
          </cell>
          <cell r="R42">
            <v>15.149999999999999</v>
          </cell>
          <cell r="S42" t="str">
            <v>20014</v>
          </cell>
          <cell r="T42">
            <v>1</v>
          </cell>
          <cell r="U42">
            <v>9.4700000000000006</v>
          </cell>
          <cell r="V42">
            <v>24.619999999999997</v>
          </cell>
          <cell r="W42">
            <v>9.4700000000000006</v>
          </cell>
        </row>
        <row r="43">
          <cell r="B43" t="str">
            <v>30810</v>
          </cell>
          <cell r="D43" t="str">
            <v>ROLO LISO ESTATICO AUTOPROPELIDO MULLER</v>
          </cell>
          <cell r="G43" t="str">
            <v>RT-62</v>
          </cell>
          <cell r="I43">
            <v>58</v>
          </cell>
          <cell r="J43">
            <v>8</v>
          </cell>
          <cell r="K43">
            <v>1750</v>
          </cell>
          <cell r="M43">
            <v>0</v>
          </cell>
          <cell r="N43">
            <v>0.8</v>
          </cell>
          <cell r="O43">
            <v>0</v>
          </cell>
          <cell r="P43" t="str">
            <v>D</v>
          </cell>
          <cell r="Q43">
            <v>0.15</v>
          </cell>
          <cell r="R43">
            <v>8.6999999999999993</v>
          </cell>
          <cell r="S43" t="str">
            <v>20014</v>
          </cell>
          <cell r="T43">
            <v>1</v>
          </cell>
          <cell r="U43">
            <v>9.4700000000000006</v>
          </cell>
          <cell r="V43">
            <v>18.170000000000002</v>
          </cell>
          <cell r="W43">
            <v>9.4700000000000006</v>
          </cell>
        </row>
        <row r="44">
          <cell r="B44" t="str">
            <v>30820</v>
          </cell>
          <cell r="D44" t="str">
            <v>ROLO LISO ESTATICO AUTOPROPELIDO MULLER</v>
          </cell>
          <cell r="G44" t="str">
            <v>RT-82</v>
          </cell>
          <cell r="I44">
            <v>58</v>
          </cell>
          <cell r="J44">
            <v>8</v>
          </cell>
          <cell r="K44">
            <v>1750</v>
          </cell>
          <cell r="M44">
            <v>0</v>
          </cell>
          <cell r="N44">
            <v>0.8</v>
          </cell>
          <cell r="O44">
            <v>0</v>
          </cell>
          <cell r="P44" t="str">
            <v>D</v>
          </cell>
          <cell r="Q44">
            <v>0.15</v>
          </cell>
          <cell r="R44">
            <v>8.6999999999999993</v>
          </cell>
          <cell r="S44" t="str">
            <v>20014</v>
          </cell>
          <cell r="T44">
            <v>1</v>
          </cell>
          <cell r="U44">
            <v>9.4700000000000006</v>
          </cell>
          <cell r="V44">
            <v>18.170000000000002</v>
          </cell>
          <cell r="W44">
            <v>9.4700000000000006</v>
          </cell>
        </row>
        <row r="45">
          <cell r="B45" t="str">
            <v>30900</v>
          </cell>
          <cell r="D45" t="str">
            <v>ROLO AUTOPROPELIDO PNEUS TEMA TERRA</v>
          </cell>
          <cell r="G45" t="str">
            <v>SP-8000</v>
          </cell>
          <cell r="I45">
            <v>145</v>
          </cell>
          <cell r="J45">
            <v>8</v>
          </cell>
          <cell r="K45">
            <v>1750</v>
          </cell>
          <cell r="L45">
            <v>104000</v>
          </cell>
          <cell r="M45">
            <v>11.48</v>
          </cell>
          <cell r="N45">
            <v>0.8</v>
          </cell>
          <cell r="O45">
            <v>5.94</v>
          </cell>
          <cell r="P45" t="str">
            <v>D</v>
          </cell>
          <cell r="Q45">
            <v>0.15</v>
          </cell>
          <cell r="R45">
            <v>21.75</v>
          </cell>
          <cell r="S45" t="str">
            <v>20014</v>
          </cell>
          <cell r="T45">
            <v>1</v>
          </cell>
          <cell r="U45">
            <v>9.4700000000000006</v>
          </cell>
          <cell r="V45">
            <v>48.64</v>
          </cell>
          <cell r="W45">
            <v>20.950000000000003</v>
          </cell>
        </row>
        <row r="46">
          <cell r="B46" t="str">
            <v>30910</v>
          </cell>
          <cell r="D46" t="str">
            <v>ROLO AUTOPROPELIDO PNEUS TEMA TERRA</v>
          </cell>
          <cell r="G46" t="str">
            <v>SP-12000</v>
          </cell>
          <cell r="I46">
            <v>165</v>
          </cell>
          <cell r="J46">
            <v>8</v>
          </cell>
          <cell r="K46">
            <v>1750</v>
          </cell>
          <cell r="L46">
            <v>119000</v>
          </cell>
          <cell r="M46">
            <v>13.14</v>
          </cell>
          <cell r="N46">
            <v>0.8</v>
          </cell>
          <cell r="O46">
            <v>6.8</v>
          </cell>
          <cell r="P46" t="str">
            <v>D</v>
          </cell>
          <cell r="Q46">
            <v>0.15</v>
          </cell>
          <cell r="R46">
            <v>24.75</v>
          </cell>
          <cell r="S46" t="str">
            <v>20014</v>
          </cell>
          <cell r="T46">
            <v>1</v>
          </cell>
          <cell r="U46">
            <v>9.4700000000000006</v>
          </cell>
          <cell r="V46">
            <v>54.16</v>
          </cell>
          <cell r="W46">
            <v>22.61</v>
          </cell>
        </row>
        <row r="47">
          <cell r="B47" t="str">
            <v>30920</v>
          </cell>
          <cell r="D47" t="str">
            <v>ROLO AUTOPROPELIDO PNEUS DYNAPAC</v>
          </cell>
          <cell r="G47" t="str">
            <v>CP-27</v>
          </cell>
          <cell r="I47">
            <v>108</v>
          </cell>
          <cell r="J47">
            <v>8</v>
          </cell>
          <cell r="K47">
            <v>1750</v>
          </cell>
          <cell r="L47">
            <v>109688</v>
          </cell>
          <cell r="M47">
            <v>12.11</v>
          </cell>
          <cell r="N47">
            <v>0.8</v>
          </cell>
          <cell r="O47">
            <v>6.27</v>
          </cell>
          <cell r="P47" t="str">
            <v>D</v>
          </cell>
          <cell r="Q47">
            <v>0.15</v>
          </cell>
          <cell r="R47">
            <v>16.2</v>
          </cell>
          <cell r="S47" t="str">
            <v>20014</v>
          </cell>
          <cell r="T47">
            <v>1</v>
          </cell>
          <cell r="U47">
            <v>9.4700000000000006</v>
          </cell>
          <cell r="V47">
            <v>44.05</v>
          </cell>
          <cell r="W47">
            <v>21.58</v>
          </cell>
        </row>
        <row r="48">
          <cell r="B48" t="str">
            <v>30930</v>
          </cell>
          <cell r="D48" t="str">
            <v>ROLO AUTOPROPELIDO ESTATICO MULLER</v>
          </cell>
          <cell r="G48" t="str">
            <v>TI-18</v>
          </cell>
          <cell r="I48">
            <v>150</v>
          </cell>
          <cell r="J48">
            <v>5</v>
          </cell>
          <cell r="K48">
            <v>2000</v>
          </cell>
          <cell r="M48">
            <v>0</v>
          </cell>
          <cell r="N48">
            <v>0.8</v>
          </cell>
          <cell r="O48">
            <v>0</v>
          </cell>
          <cell r="P48" t="str">
            <v>D</v>
          </cell>
          <cell r="Q48">
            <v>0.15</v>
          </cell>
          <cell r="R48">
            <v>22.5</v>
          </cell>
          <cell r="S48" t="str">
            <v>20014</v>
          </cell>
          <cell r="T48">
            <v>1</v>
          </cell>
          <cell r="U48">
            <v>9.4700000000000006</v>
          </cell>
          <cell r="V48">
            <v>31.97</v>
          </cell>
          <cell r="W48">
            <v>9.4700000000000006</v>
          </cell>
        </row>
        <row r="49">
          <cell r="B49" t="str">
            <v>30940</v>
          </cell>
          <cell r="D49" t="str">
            <v>ROLO REBOCAVEL PECARN VIBRATORIO DYNAPAC</v>
          </cell>
          <cell r="G49" t="str">
            <v>CF-44</v>
          </cell>
          <cell r="I49">
            <v>77</v>
          </cell>
          <cell r="J49">
            <v>8</v>
          </cell>
          <cell r="K49">
            <v>1750</v>
          </cell>
          <cell r="M49">
            <v>0</v>
          </cell>
          <cell r="N49">
            <v>0.8</v>
          </cell>
          <cell r="O49">
            <v>0</v>
          </cell>
          <cell r="Q49">
            <v>0</v>
          </cell>
          <cell r="R49">
            <v>0</v>
          </cell>
          <cell r="U49">
            <v>0</v>
          </cell>
          <cell r="V49">
            <v>0</v>
          </cell>
          <cell r="W49">
            <v>0</v>
          </cell>
        </row>
        <row r="50">
          <cell r="B50" t="str">
            <v>30950</v>
          </cell>
          <cell r="D50" t="str">
            <v>ROLO REBOCAVEL PECARN VIBRATORIO DYNAPAC</v>
          </cell>
          <cell r="G50" t="str">
            <v>CFB-66</v>
          </cell>
          <cell r="I50">
            <v>85</v>
          </cell>
          <cell r="J50">
            <v>8</v>
          </cell>
          <cell r="K50">
            <v>1750</v>
          </cell>
          <cell r="M50">
            <v>0</v>
          </cell>
          <cell r="N50">
            <v>0.8</v>
          </cell>
          <cell r="O50">
            <v>0</v>
          </cell>
          <cell r="Q50">
            <v>0</v>
          </cell>
          <cell r="R50">
            <v>0</v>
          </cell>
          <cell r="U50">
            <v>0</v>
          </cell>
          <cell r="V50">
            <v>0</v>
          </cell>
          <cell r="W50">
            <v>0</v>
          </cell>
        </row>
        <row r="51">
          <cell r="B51" t="str">
            <v>30960</v>
          </cell>
          <cell r="D51" t="str">
            <v>ROLO PECARN VIBRATORIO REBOCAVEL HYSTER</v>
          </cell>
          <cell r="G51" t="str">
            <v>C-410A</v>
          </cell>
          <cell r="I51">
            <v>330</v>
          </cell>
          <cell r="J51">
            <v>8</v>
          </cell>
          <cell r="K51">
            <v>1750</v>
          </cell>
          <cell r="M51">
            <v>0</v>
          </cell>
          <cell r="N51">
            <v>0.8</v>
          </cell>
          <cell r="O51">
            <v>0</v>
          </cell>
          <cell r="P51" t="str">
            <v>D</v>
          </cell>
          <cell r="Q51">
            <v>0.15</v>
          </cell>
          <cell r="R51">
            <v>49.5</v>
          </cell>
          <cell r="U51">
            <v>0</v>
          </cell>
          <cell r="V51">
            <v>49.5</v>
          </cell>
          <cell r="W51">
            <v>0</v>
          </cell>
        </row>
        <row r="52">
          <cell r="B52" t="str">
            <v>31000</v>
          </cell>
          <cell r="D52" t="str">
            <v>DISTRIBUIDOR AGREGADOS REBOCAVEL FERLEX</v>
          </cell>
          <cell r="G52" t="str">
            <v>EA-12</v>
          </cell>
          <cell r="I52">
            <v>0</v>
          </cell>
          <cell r="J52">
            <v>6</v>
          </cell>
          <cell r="K52">
            <v>1333</v>
          </cell>
          <cell r="M52">
            <v>0</v>
          </cell>
          <cell r="N52">
            <v>0.8</v>
          </cell>
          <cell r="O52">
            <v>0</v>
          </cell>
          <cell r="P52" t="str">
            <v>D</v>
          </cell>
          <cell r="Q52">
            <v>0.15</v>
          </cell>
          <cell r="R52">
            <v>0</v>
          </cell>
          <cell r="S52">
            <v>0</v>
          </cell>
          <cell r="T52">
            <v>1</v>
          </cell>
          <cell r="U52">
            <v>0</v>
          </cell>
          <cell r="V52">
            <v>0</v>
          </cell>
          <cell r="W52">
            <v>0</v>
          </cell>
        </row>
        <row r="53">
          <cell r="B53" t="str">
            <v>31050</v>
          </cell>
          <cell r="D53" t="str">
            <v>DISTRIBUIDOR AGREGADOS C.CIFALI</v>
          </cell>
          <cell r="G53" t="str">
            <v>SD-1</v>
          </cell>
          <cell r="I53">
            <v>59</v>
          </cell>
          <cell r="J53">
            <v>6</v>
          </cell>
          <cell r="K53">
            <v>1333</v>
          </cell>
          <cell r="M53">
            <v>0</v>
          </cell>
          <cell r="N53">
            <v>0.8</v>
          </cell>
          <cell r="O53">
            <v>0</v>
          </cell>
          <cell r="P53" t="str">
            <v>D</v>
          </cell>
          <cell r="Q53">
            <v>0.15</v>
          </cell>
          <cell r="R53">
            <v>8.85</v>
          </cell>
          <cell r="S53" t="str">
            <v>20033</v>
          </cell>
          <cell r="T53">
            <v>1</v>
          </cell>
          <cell r="U53">
            <v>7.21</v>
          </cell>
          <cell r="V53">
            <v>16.059999999999999</v>
          </cell>
          <cell r="W53">
            <v>7.21</v>
          </cell>
        </row>
        <row r="54">
          <cell r="B54" t="str">
            <v>31060</v>
          </cell>
          <cell r="D54" t="str">
            <v>DISTRIBUIDOR AGREGADOS C.CIFALI</v>
          </cell>
          <cell r="G54" t="str">
            <v>SS-41</v>
          </cell>
          <cell r="I54">
            <v>103</v>
          </cell>
          <cell r="J54">
            <v>6</v>
          </cell>
          <cell r="K54">
            <v>1333</v>
          </cell>
          <cell r="L54">
            <v>143700</v>
          </cell>
          <cell r="M54">
            <v>24.89</v>
          </cell>
          <cell r="N54">
            <v>0.8</v>
          </cell>
          <cell r="O54">
            <v>14.37</v>
          </cell>
          <cell r="P54" t="str">
            <v>D</v>
          </cell>
          <cell r="Q54">
            <v>0.15</v>
          </cell>
          <cell r="R54">
            <v>15.45</v>
          </cell>
          <cell r="S54" t="str">
            <v>20033</v>
          </cell>
          <cell r="T54">
            <v>1</v>
          </cell>
          <cell r="U54">
            <v>7.21</v>
          </cell>
          <cell r="V54">
            <v>61.919999999999995</v>
          </cell>
          <cell r="W54">
            <v>32.1</v>
          </cell>
        </row>
        <row r="55">
          <cell r="B55" t="str">
            <v>31100</v>
          </cell>
          <cell r="D55" t="str">
            <v>PERFURATRIZ G.DENVER</v>
          </cell>
          <cell r="G55" t="str">
            <v>AT-50</v>
          </cell>
          <cell r="I55">
            <v>0</v>
          </cell>
          <cell r="J55">
            <v>5</v>
          </cell>
          <cell r="K55">
            <v>2000</v>
          </cell>
          <cell r="M55">
            <v>0</v>
          </cell>
          <cell r="N55">
            <v>0.8</v>
          </cell>
          <cell r="O55">
            <v>0</v>
          </cell>
          <cell r="P55" t="str">
            <v>D</v>
          </cell>
          <cell r="Q55">
            <v>0.15</v>
          </cell>
          <cell r="R55">
            <v>0</v>
          </cell>
          <cell r="S55" t="str">
            <v>20028</v>
          </cell>
          <cell r="T55">
            <v>1</v>
          </cell>
          <cell r="U55">
            <v>4.7300000000000004</v>
          </cell>
          <cell r="V55">
            <v>4.7300000000000004</v>
          </cell>
          <cell r="W55">
            <v>4.7300000000000004</v>
          </cell>
        </row>
        <row r="56">
          <cell r="B56" t="str">
            <v>31110</v>
          </cell>
          <cell r="D56" t="str">
            <v>PERFURATRIZ G.DENVER</v>
          </cell>
          <cell r="G56" t="str">
            <v>ATD-3100</v>
          </cell>
          <cell r="I56">
            <v>0</v>
          </cell>
          <cell r="J56">
            <v>5</v>
          </cell>
          <cell r="K56">
            <v>2000</v>
          </cell>
          <cell r="M56">
            <v>0</v>
          </cell>
          <cell r="N56">
            <v>0.8</v>
          </cell>
          <cell r="O56">
            <v>0</v>
          </cell>
          <cell r="P56" t="str">
            <v>D</v>
          </cell>
          <cell r="Q56">
            <v>0.15</v>
          </cell>
          <cell r="R56">
            <v>0</v>
          </cell>
          <cell r="S56" t="str">
            <v>20028</v>
          </cell>
          <cell r="T56">
            <v>1</v>
          </cell>
          <cell r="U56">
            <v>4.7300000000000004</v>
          </cell>
          <cell r="V56">
            <v>4.7300000000000004</v>
          </cell>
          <cell r="W56">
            <v>4.7300000000000004</v>
          </cell>
        </row>
        <row r="57">
          <cell r="B57" t="str">
            <v>31150</v>
          </cell>
          <cell r="D57" t="str">
            <v>CARRETA DE PERFURAÇÃO S/ESTEIRA</v>
          </cell>
          <cell r="G57" t="str">
            <v>ROC-601</v>
          </cell>
          <cell r="I57">
            <v>120</v>
          </cell>
          <cell r="J57">
            <v>5</v>
          </cell>
          <cell r="K57">
            <v>2000</v>
          </cell>
          <cell r="L57">
            <v>246134</v>
          </cell>
          <cell r="M57">
            <v>32.200000000000003</v>
          </cell>
          <cell r="N57">
            <v>0.8</v>
          </cell>
          <cell r="O57">
            <v>19.690000000000001</v>
          </cell>
          <cell r="P57" t="str">
            <v>D</v>
          </cell>
          <cell r="Q57">
            <v>0.15</v>
          </cell>
          <cell r="R57">
            <v>18</v>
          </cell>
          <cell r="S57" t="str">
            <v>20028</v>
          </cell>
          <cell r="T57">
            <v>1</v>
          </cell>
          <cell r="U57">
            <v>4.7300000000000004</v>
          </cell>
          <cell r="V57">
            <v>74.62</v>
          </cell>
          <cell r="W57">
            <v>36.930000000000007</v>
          </cell>
        </row>
        <row r="58">
          <cell r="B58" t="str">
            <v>31160</v>
          </cell>
          <cell r="D58" t="str">
            <v>CARRETA DE PERFURAÇÃO S/ESTEIRA</v>
          </cell>
          <cell r="G58" t="str">
            <v>ROC-722</v>
          </cell>
          <cell r="I58">
            <v>120</v>
          </cell>
          <cell r="J58">
            <v>5</v>
          </cell>
          <cell r="K58">
            <v>2000</v>
          </cell>
          <cell r="L58">
            <v>351620</v>
          </cell>
          <cell r="M58">
            <v>46</v>
          </cell>
          <cell r="N58">
            <v>0.8</v>
          </cell>
          <cell r="O58">
            <v>28.13</v>
          </cell>
          <cell r="P58" t="str">
            <v>D</v>
          </cell>
          <cell r="Q58">
            <v>0.15</v>
          </cell>
          <cell r="R58">
            <v>18</v>
          </cell>
          <cell r="S58" t="str">
            <v>20028</v>
          </cell>
          <cell r="T58">
            <v>1</v>
          </cell>
          <cell r="U58">
            <v>4.7300000000000004</v>
          </cell>
          <cell r="V58">
            <v>96.86</v>
          </cell>
          <cell r="W58">
            <v>50.730000000000004</v>
          </cell>
        </row>
        <row r="59">
          <cell r="B59" t="str">
            <v>31170</v>
          </cell>
          <cell r="D59" t="str">
            <v>FRESADORA WHIRT E.M. - 1000 C</v>
          </cell>
          <cell r="G59" t="str">
            <v>E.M. - 1000 C</v>
          </cell>
          <cell r="I59">
            <v>220</v>
          </cell>
          <cell r="J59">
            <v>5</v>
          </cell>
          <cell r="K59">
            <v>2000</v>
          </cell>
          <cell r="L59">
            <v>1173402</v>
          </cell>
          <cell r="M59">
            <v>153.52000000000001</v>
          </cell>
          <cell r="N59">
            <v>0.8</v>
          </cell>
          <cell r="O59">
            <v>93.87</v>
          </cell>
          <cell r="P59" t="str">
            <v>D</v>
          </cell>
          <cell r="Q59">
            <v>0.15</v>
          </cell>
          <cell r="R59">
            <v>33</v>
          </cell>
          <cell r="S59" t="str">
            <v>20014</v>
          </cell>
          <cell r="T59">
            <v>1</v>
          </cell>
          <cell r="U59">
            <v>9.4700000000000006</v>
          </cell>
          <cell r="V59">
            <v>289.86</v>
          </cell>
          <cell r="W59">
            <v>162.99</v>
          </cell>
        </row>
        <row r="60">
          <cell r="B60" t="str">
            <v>31180</v>
          </cell>
          <cell r="D60" t="str">
            <v>GUIND + PERF PARA FUNDAÇÃO - ESTACA ESCAVADA</v>
          </cell>
          <cell r="G60" t="str">
            <v>EST ESCAV</v>
          </cell>
          <cell r="I60">
            <v>480</v>
          </cell>
          <cell r="J60">
            <v>10</v>
          </cell>
          <cell r="K60">
            <v>2000</v>
          </cell>
          <cell r="L60">
            <v>1425000</v>
          </cell>
          <cell r="M60">
            <v>122.04</v>
          </cell>
          <cell r="N60">
            <v>0.8</v>
          </cell>
          <cell r="O60">
            <v>57</v>
          </cell>
          <cell r="P60" t="str">
            <v>D</v>
          </cell>
          <cell r="Q60">
            <v>0.3</v>
          </cell>
          <cell r="R60">
            <v>144</v>
          </cell>
          <cell r="S60" t="str">
            <v>20028</v>
          </cell>
          <cell r="T60">
            <v>3</v>
          </cell>
          <cell r="U60">
            <v>14.2</v>
          </cell>
          <cell r="V60">
            <v>337.24</v>
          </cell>
          <cell r="W60">
            <v>136.24</v>
          </cell>
        </row>
        <row r="61">
          <cell r="B61" t="str">
            <v>31190</v>
          </cell>
          <cell r="D61" t="str">
            <v>GUIND + PERF PARA FUNDAÇÃO - ESTACA HÉLICE</v>
          </cell>
          <cell r="G61" t="str">
            <v>HELICE CONT</v>
          </cell>
          <cell r="I61">
            <v>480</v>
          </cell>
          <cell r="J61">
            <v>10</v>
          </cell>
          <cell r="K61">
            <v>2000</v>
          </cell>
          <cell r="L61">
            <v>2300000</v>
          </cell>
          <cell r="M61">
            <v>196.98</v>
          </cell>
          <cell r="N61">
            <v>0.8</v>
          </cell>
          <cell r="O61">
            <v>92</v>
          </cell>
          <cell r="P61" t="str">
            <v>D</v>
          </cell>
          <cell r="Q61">
            <v>0.3</v>
          </cell>
          <cell r="R61">
            <v>144</v>
          </cell>
          <cell r="S61" t="str">
            <v>20014</v>
          </cell>
          <cell r="T61">
            <v>3</v>
          </cell>
          <cell r="U61">
            <v>28.41</v>
          </cell>
          <cell r="V61">
            <v>461.39000000000004</v>
          </cell>
          <cell r="W61">
            <v>225.39</v>
          </cell>
        </row>
        <row r="62">
          <cell r="B62" t="str">
            <v>31200</v>
          </cell>
          <cell r="D62" t="str">
            <v>VIBRO ACABADORA ASFALTO B.GREENE</v>
          </cell>
          <cell r="G62" t="str">
            <v>SA-41</v>
          </cell>
          <cell r="I62">
            <v>52</v>
          </cell>
          <cell r="J62">
            <v>8</v>
          </cell>
          <cell r="K62">
            <v>1500</v>
          </cell>
          <cell r="L62">
            <v>723000</v>
          </cell>
          <cell r="M62">
            <v>93.11</v>
          </cell>
          <cell r="N62">
            <v>0.8</v>
          </cell>
          <cell r="O62">
            <v>48.2</v>
          </cell>
          <cell r="P62" t="str">
            <v>D</v>
          </cell>
          <cell r="Q62">
            <v>0.15</v>
          </cell>
          <cell r="R62">
            <v>7.8</v>
          </cell>
          <cell r="S62" t="str">
            <v>20014</v>
          </cell>
          <cell r="T62">
            <v>1</v>
          </cell>
          <cell r="U62">
            <v>9.4700000000000006</v>
          </cell>
          <cell r="V62">
            <v>158.58000000000001</v>
          </cell>
          <cell r="W62">
            <v>102.58</v>
          </cell>
        </row>
        <row r="63">
          <cell r="B63" t="str">
            <v>31260</v>
          </cell>
          <cell r="D63" t="str">
            <v>VIBRADOR PNM BROBRAS</v>
          </cell>
          <cell r="G63" t="str">
            <v>NF-25</v>
          </cell>
          <cell r="I63">
            <v>0</v>
          </cell>
          <cell r="J63">
            <v>4</v>
          </cell>
          <cell r="K63">
            <v>1250</v>
          </cell>
          <cell r="L63">
            <v>1100</v>
          </cell>
          <cell r="M63">
            <v>0.27</v>
          </cell>
          <cell r="N63">
            <v>0.8</v>
          </cell>
          <cell r="O63">
            <v>0.18</v>
          </cell>
          <cell r="Q63">
            <v>0</v>
          </cell>
          <cell r="R63">
            <v>0</v>
          </cell>
          <cell r="U63">
            <v>0</v>
          </cell>
          <cell r="V63">
            <v>0.45</v>
          </cell>
          <cell r="W63">
            <v>0.27</v>
          </cell>
        </row>
        <row r="64">
          <cell r="B64" t="str">
            <v>31270</v>
          </cell>
          <cell r="D64" t="str">
            <v>VIBRADOR PNM BROBRAS</v>
          </cell>
          <cell r="G64" t="str">
            <v>NF-50</v>
          </cell>
          <cell r="I64">
            <v>0</v>
          </cell>
          <cell r="J64">
            <v>4</v>
          </cell>
          <cell r="K64">
            <v>1250</v>
          </cell>
          <cell r="L64">
            <v>1328</v>
          </cell>
          <cell r="M64">
            <v>0.33</v>
          </cell>
          <cell r="N64">
            <v>0.8</v>
          </cell>
          <cell r="O64">
            <v>0.21</v>
          </cell>
          <cell r="R64">
            <v>0</v>
          </cell>
          <cell r="U64">
            <v>0</v>
          </cell>
          <cell r="V64">
            <v>0.54</v>
          </cell>
          <cell r="W64">
            <v>0.33</v>
          </cell>
        </row>
        <row r="65">
          <cell r="B65" t="str">
            <v>31280</v>
          </cell>
          <cell r="D65" t="str">
            <v>VIBRADOR PNM BROBRAS</v>
          </cell>
          <cell r="G65" t="str">
            <v>NF-70</v>
          </cell>
          <cell r="I65">
            <v>0</v>
          </cell>
          <cell r="J65">
            <v>4</v>
          </cell>
          <cell r="K65">
            <v>1250</v>
          </cell>
          <cell r="L65">
            <v>1490</v>
          </cell>
          <cell r="M65">
            <v>0.37</v>
          </cell>
          <cell r="N65">
            <v>0.8</v>
          </cell>
          <cell r="O65">
            <v>0.24</v>
          </cell>
          <cell r="Q65">
            <v>0</v>
          </cell>
          <cell r="R65">
            <v>0</v>
          </cell>
          <cell r="U65">
            <v>0</v>
          </cell>
          <cell r="V65">
            <v>0.61</v>
          </cell>
          <cell r="W65">
            <v>0.37</v>
          </cell>
        </row>
        <row r="66">
          <cell r="B66" t="str">
            <v>31290</v>
          </cell>
          <cell r="D66" t="str">
            <v>VIBRADOR PNM BROBRAS</v>
          </cell>
          <cell r="G66" t="str">
            <v>NF-90</v>
          </cell>
          <cell r="I66">
            <v>0</v>
          </cell>
          <cell r="J66">
            <v>4</v>
          </cell>
          <cell r="K66">
            <v>1250</v>
          </cell>
          <cell r="L66">
            <v>1750</v>
          </cell>
          <cell r="M66">
            <v>0.43</v>
          </cell>
          <cell r="N66">
            <v>0.8</v>
          </cell>
          <cell r="O66">
            <v>0.28000000000000003</v>
          </cell>
          <cell r="Q66">
            <v>0</v>
          </cell>
          <cell r="R66">
            <v>0</v>
          </cell>
          <cell r="U66">
            <v>0</v>
          </cell>
          <cell r="V66">
            <v>0.71</v>
          </cell>
          <cell r="W66">
            <v>0.43</v>
          </cell>
        </row>
        <row r="67">
          <cell r="B67" t="str">
            <v>31295</v>
          </cell>
          <cell r="D67" t="str">
            <v>VIBRADOR PNM BROBRAS</v>
          </cell>
          <cell r="G67" t="str">
            <v>NF-140</v>
          </cell>
          <cell r="I67">
            <v>0</v>
          </cell>
          <cell r="J67">
            <v>4</v>
          </cell>
          <cell r="K67">
            <v>1250</v>
          </cell>
          <cell r="L67">
            <v>2130</v>
          </cell>
          <cell r="M67">
            <v>0.53</v>
          </cell>
          <cell r="N67">
            <v>0.8</v>
          </cell>
          <cell r="O67">
            <v>0.34</v>
          </cell>
          <cell r="Q67">
            <v>0</v>
          </cell>
          <cell r="R67">
            <v>0</v>
          </cell>
          <cell r="U67">
            <v>0</v>
          </cell>
          <cell r="V67">
            <v>0.87000000000000011</v>
          </cell>
          <cell r="W67">
            <v>0.53</v>
          </cell>
        </row>
        <row r="68">
          <cell r="B68" t="str">
            <v>31350</v>
          </cell>
          <cell r="D68" t="str">
            <v>COMPACTADOR MANUAL DYNAPAC</v>
          </cell>
          <cell r="G68" t="str">
            <v>CM-20</v>
          </cell>
          <cell r="I68">
            <v>7</v>
          </cell>
          <cell r="J68">
            <v>4</v>
          </cell>
          <cell r="K68">
            <v>1500</v>
          </cell>
          <cell r="L68">
            <v>24227</v>
          </cell>
          <cell r="M68">
            <v>4.9800000000000004</v>
          </cell>
          <cell r="N68">
            <v>0.8</v>
          </cell>
          <cell r="O68">
            <v>3.23</v>
          </cell>
          <cell r="P68" t="str">
            <v>D</v>
          </cell>
          <cell r="Q68">
            <v>0.15</v>
          </cell>
          <cell r="R68">
            <v>1.05</v>
          </cell>
          <cell r="U68">
            <v>0</v>
          </cell>
          <cell r="V68">
            <v>9.2600000000000016</v>
          </cell>
          <cell r="W68">
            <v>4.9800000000000004</v>
          </cell>
        </row>
        <row r="69">
          <cell r="B69" t="str">
            <v>31351</v>
          </cell>
          <cell r="D69" t="str">
            <v xml:space="preserve">COMPACTADOR MANUAL </v>
          </cell>
          <cell r="G69" t="str">
            <v>RAM-30</v>
          </cell>
          <cell r="I69">
            <v>7</v>
          </cell>
          <cell r="J69">
            <v>4</v>
          </cell>
          <cell r="K69">
            <v>1500</v>
          </cell>
          <cell r="L69">
            <v>2780</v>
          </cell>
          <cell r="M69">
            <v>0.56999999999999995</v>
          </cell>
          <cell r="N69">
            <v>0.8</v>
          </cell>
          <cell r="O69">
            <v>0.37</v>
          </cell>
          <cell r="P69" t="str">
            <v>D</v>
          </cell>
          <cell r="Q69">
            <v>0.15</v>
          </cell>
          <cell r="R69">
            <v>1.05</v>
          </cell>
          <cell r="U69">
            <v>0</v>
          </cell>
          <cell r="V69">
            <v>1.99</v>
          </cell>
          <cell r="W69">
            <v>0.56999999999999995</v>
          </cell>
        </row>
        <row r="70">
          <cell r="B70" t="str">
            <v>31400</v>
          </cell>
          <cell r="D70" t="str">
            <v>CENTRAL MOVEL BRITAGEM FACO/MARAJOARA II</v>
          </cell>
          <cell r="G70" t="str">
            <v>30 M3/H</v>
          </cell>
          <cell r="I70">
            <v>127</v>
          </cell>
          <cell r="J70">
            <v>6</v>
          </cell>
          <cell r="K70">
            <v>1500</v>
          </cell>
          <cell r="L70">
            <v>310120</v>
          </cell>
          <cell r="M70">
            <v>47.74</v>
          </cell>
          <cell r="N70">
            <v>0.8</v>
          </cell>
          <cell r="O70">
            <v>27.57</v>
          </cell>
          <cell r="P70" t="str">
            <v>D</v>
          </cell>
          <cell r="Q70">
            <v>0.15</v>
          </cell>
          <cell r="R70">
            <v>38.1</v>
          </cell>
          <cell r="S70" t="str">
            <v>20031</v>
          </cell>
          <cell r="T70">
            <v>1</v>
          </cell>
          <cell r="U70">
            <v>6.76</v>
          </cell>
          <cell r="V70">
            <v>120.17</v>
          </cell>
          <cell r="W70">
            <v>54.5</v>
          </cell>
        </row>
        <row r="71">
          <cell r="B71" t="str">
            <v>31410</v>
          </cell>
          <cell r="D71" t="str">
            <v>CENTRAL MOVEL BRITAGEM FACO AZTECA</v>
          </cell>
          <cell r="G71" t="str">
            <v>AZTECA</v>
          </cell>
          <cell r="I71">
            <v>240</v>
          </cell>
          <cell r="J71">
            <v>6</v>
          </cell>
          <cell r="K71">
            <v>1500</v>
          </cell>
          <cell r="L71">
            <v>922767</v>
          </cell>
          <cell r="M71">
            <v>142.05000000000001</v>
          </cell>
          <cell r="N71">
            <v>0.8</v>
          </cell>
          <cell r="O71">
            <v>82.02</v>
          </cell>
          <cell r="P71" t="str">
            <v>D</v>
          </cell>
          <cell r="Q71">
            <v>0.15</v>
          </cell>
          <cell r="R71">
            <v>72</v>
          </cell>
          <cell r="S71" t="str">
            <v>20031</v>
          </cell>
          <cell r="T71">
            <v>1</v>
          </cell>
          <cell r="U71">
            <v>6.76</v>
          </cell>
          <cell r="V71">
            <v>302.83</v>
          </cell>
          <cell r="W71">
            <v>148.81</v>
          </cell>
        </row>
        <row r="72">
          <cell r="B72" t="str">
            <v>31420</v>
          </cell>
          <cell r="D72" t="str">
            <v>CENTRAL MOVEL BRITAGEM B.GREENE</v>
          </cell>
          <cell r="G72" t="str">
            <v>IBP-752</v>
          </cell>
          <cell r="I72">
            <v>250</v>
          </cell>
          <cell r="J72">
            <v>6</v>
          </cell>
          <cell r="K72">
            <v>1500</v>
          </cell>
          <cell r="M72">
            <v>0</v>
          </cell>
          <cell r="N72">
            <v>0.8</v>
          </cell>
          <cell r="O72">
            <v>0</v>
          </cell>
          <cell r="P72" t="str">
            <v>E</v>
          </cell>
          <cell r="Q72">
            <v>0.63100000000000001</v>
          </cell>
          <cell r="R72">
            <v>42.592500000000008</v>
          </cell>
          <cell r="S72" t="str">
            <v>20031</v>
          </cell>
          <cell r="T72">
            <v>1</v>
          </cell>
          <cell r="U72">
            <v>6.76</v>
          </cell>
          <cell r="V72">
            <v>49.352500000000006</v>
          </cell>
          <cell r="W72">
            <v>6.76</v>
          </cell>
        </row>
        <row r="73">
          <cell r="B73" t="str">
            <v>31430</v>
          </cell>
          <cell r="D73" t="str">
            <v>CENTRAL MOVEL BRITAGEM B.GREENE</v>
          </cell>
          <cell r="G73" t="str">
            <v>IBP-753</v>
          </cell>
          <cell r="I73">
            <v>260</v>
          </cell>
          <cell r="J73">
            <v>6</v>
          </cell>
          <cell r="K73">
            <v>1500</v>
          </cell>
          <cell r="M73">
            <v>0</v>
          </cell>
          <cell r="N73">
            <v>0.8</v>
          </cell>
          <cell r="O73">
            <v>0</v>
          </cell>
          <cell r="P73" t="str">
            <v>E</v>
          </cell>
          <cell r="Q73">
            <v>0.63100000000000001</v>
          </cell>
          <cell r="R73">
            <v>44.296200000000006</v>
          </cell>
          <cell r="S73" t="str">
            <v>20031</v>
          </cell>
          <cell r="T73">
            <v>1</v>
          </cell>
          <cell r="U73">
            <v>6.76</v>
          </cell>
          <cell r="V73">
            <v>51.056200000000004</v>
          </cell>
          <cell r="W73">
            <v>6.76</v>
          </cell>
        </row>
        <row r="74">
          <cell r="B74" t="str">
            <v>31440</v>
          </cell>
          <cell r="D74" t="str">
            <v>CENTRAL BRITAGEM FACO</v>
          </cell>
          <cell r="G74" t="str">
            <v>60 M3/H</v>
          </cell>
          <cell r="I74">
            <v>360</v>
          </cell>
          <cell r="J74">
            <v>6</v>
          </cell>
          <cell r="K74">
            <v>1500</v>
          </cell>
          <cell r="L74">
            <v>873000</v>
          </cell>
          <cell r="M74">
            <v>134.38999999999999</v>
          </cell>
          <cell r="N74">
            <v>0.8</v>
          </cell>
          <cell r="O74">
            <v>77.599999999999994</v>
          </cell>
          <cell r="P74" t="str">
            <v>D</v>
          </cell>
          <cell r="Q74">
            <v>0.15</v>
          </cell>
          <cell r="R74">
            <v>108</v>
          </cell>
          <cell r="S74" t="str">
            <v>20031</v>
          </cell>
          <cell r="T74">
            <v>1</v>
          </cell>
          <cell r="U74">
            <v>6.76</v>
          </cell>
          <cell r="V74">
            <v>326.75</v>
          </cell>
          <cell r="W74">
            <v>141.14999999999998</v>
          </cell>
        </row>
        <row r="75">
          <cell r="B75" t="str">
            <v>31450</v>
          </cell>
          <cell r="D75" t="str">
            <v>CENTRAL BRITAGEM FACO</v>
          </cell>
          <cell r="G75" t="str">
            <v>120 M3/H</v>
          </cell>
          <cell r="I75">
            <v>726</v>
          </cell>
          <cell r="J75">
            <v>6</v>
          </cell>
          <cell r="K75">
            <v>1500</v>
          </cell>
          <cell r="L75">
            <v>1254000</v>
          </cell>
          <cell r="M75">
            <v>193.04</v>
          </cell>
          <cell r="N75">
            <v>0.8</v>
          </cell>
          <cell r="O75">
            <v>111.47</v>
          </cell>
          <cell r="P75" t="str">
            <v>D</v>
          </cell>
          <cell r="Q75">
            <v>0.15</v>
          </cell>
          <cell r="R75">
            <v>217.79999999999998</v>
          </cell>
          <cell r="S75" t="str">
            <v>20031</v>
          </cell>
          <cell r="T75">
            <v>1</v>
          </cell>
          <cell r="U75">
            <v>6.76</v>
          </cell>
          <cell r="V75">
            <v>529.06999999999994</v>
          </cell>
          <cell r="W75">
            <v>199.79999999999998</v>
          </cell>
        </row>
        <row r="76">
          <cell r="B76" t="str">
            <v>31600</v>
          </cell>
          <cell r="D76" t="str">
            <v>CENTRAL BRITAGEM FACO</v>
          </cell>
          <cell r="G76" t="str">
            <v>170 M3/H</v>
          </cell>
          <cell r="I76">
            <v>1350</v>
          </cell>
          <cell r="J76">
            <v>6</v>
          </cell>
          <cell r="K76">
            <v>1500</v>
          </cell>
          <cell r="M76">
            <v>0</v>
          </cell>
          <cell r="N76">
            <v>0.8</v>
          </cell>
          <cell r="O76">
            <v>0</v>
          </cell>
          <cell r="P76" t="str">
            <v>E</v>
          </cell>
          <cell r="Q76">
            <v>0.63100000000000001</v>
          </cell>
          <cell r="R76">
            <v>229.99950000000004</v>
          </cell>
          <cell r="S76" t="str">
            <v>20031</v>
          </cell>
          <cell r="T76">
            <v>1</v>
          </cell>
          <cell r="U76">
            <v>6.76</v>
          </cell>
          <cell r="V76">
            <v>236.75950000000003</v>
          </cell>
          <cell r="W76">
            <v>6.76</v>
          </cell>
        </row>
        <row r="77">
          <cell r="B77" t="str">
            <v>31610</v>
          </cell>
          <cell r="D77" t="str">
            <v>CENTRAL DE BENEF. DE CASCALHO/SEIXO</v>
          </cell>
          <cell r="G77" t="str">
            <v>60 M3/H</v>
          </cell>
          <cell r="I77">
            <v>240</v>
          </cell>
          <cell r="J77">
            <v>6</v>
          </cell>
          <cell r="K77">
            <v>1500</v>
          </cell>
          <cell r="L77">
            <v>323000</v>
          </cell>
          <cell r="M77">
            <v>49.72</v>
          </cell>
          <cell r="N77">
            <v>0.8</v>
          </cell>
          <cell r="O77">
            <v>28.71</v>
          </cell>
          <cell r="P77" t="str">
            <v>E</v>
          </cell>
          <cell r="Q77">
            <v>0.63100000000000001</v>
          </cell>
          <cell r="R77">
            <v>40.888800000000003</v>
          </cell>
          <cell r="S77" t="str">
            <v>20031</v>
          </cell>
          <cell r="T77">
            <v>1</v>
          </cell>
          <cell r="U77">
            <v>6.76</v>
          </cell>
          <cell r="V77">
            <v>126.07880000000002</v>
          </cell>
          <cell r="W77">
            <v>56.48</v>
          </cell>
        </row>
        <row r="78">
          <cell r="B78" t="str">
            <v>32260</v>
          </cell>
          <cell r="D78" t="str">
            <v>CENTRAL DOS/MIST CONCRETO TIB TOW-GO</v>
          </cell>
          <cell r="G78" t="str">
            <v>20 M3/H</v>
          </cell>
          <cell r="I78">
            <v>50</v>
          </cell>
          <cell r="J78">
            <v>6</v>
          </cell>
          <cell r="K78">
            <v>1667</v>
          </cell>
          <cell r="L78">
            <v>85000</v>
          </cell>
          <cell r="M78">
            <v>11.77</v>
          </cell>
          <cell r="N78">
            <v>0.8</v>
          </cell>
          <cell r="O78">
            <v>6.8</v>
          </cell>
          <cell r="P78" t="str">
            <v>D</v>
          </cell>
          <cell r="Q78">
            <v>0.15</v>
          </cell>
          <cell r="R78">
            <v>11.25</v>
          </cell>
          <cell r="S78" t="str">
            <v>20024</v>
          </cell>
          <cell r="T78">
            <v>1</v>
          </cell>
          <cell r="U78">
            <v>13.53</v>
          </cell>
          <cell r="V78">
            <v>43.35</v>
          </cell>
          <cell r="W78">
            <v>25.299999999999997</v>
          </cell>
        </row>
        <row r="79">
          <cell r="B79" t="str">
            <v>32270</v>
          </cell>
          <cell r="D79" t="str">
            <v>CENTRAL DOS/MIST CONCRETO PERSONAL 4</v>
          </cell>
          <cell r="G79" t="str">
            <v>90 M3/H</v>
          </cell>
          <cell r="I79">
            <v>80</v>
          </cell>
          <cell r="J79">
            <v>6</v>
          </cell>
          <cell r="K79">
            <v>1667</v>
          </cell>
          <cell r="M79">
            <v>0</v>
          </cell>
          <cell r="N79">
            <v>0.8</v>
          </cell>
          <cell r="O79">
            <v>0</v>
          </cell>
          <cell r="P79" t="str">
            <v>E</v>
          </cell>
          <cell r="Q79">
            <v>0.63100000000000001</v>
          </cell>
          <cell r="R79">
            <v>13.629600000000002</v>
          </cell>
          <cell r="S79" t="str">
            <v>20024</v>
          </cell>
          <cell r="T79">
            <v>1</v>
          </cell>
          <cell r="U79">
            <v>13.53</v>
          </cell>
          <cell r="V79">
            <v>27.159600000000001</v>
          </cell>
          <cell r="W79">
            <v>13.53</v>
          </cell>
        </row>
        <row r="80">
          <cell r="B80" t="str">
            <v>32300</v>
          </cell>
          <cell r="D80" t="str">
            <v>MAQUINA PARA MEIO-FIO</v>
          </cell>
          <cell r="G80" t="str">
            <v>MFIO</v>
          </cell>
          <cell r="I80">
            <v>12</v>
          </cell>
          <cell r="J80">
            <v>5</v>
          </cell>
          <cell r="K80">
            <v>1400</v>
          </cell>
          <cell r="L80">
            <v>22000</v>
          </cell>
          <cell r="M80">
            <v>4.1100000000000003</v>
          </cell>
          <cell r="N80">
            <v>0.8</v>
          </cell>
          <cell r="O80">
            <v>2.5099999999999998</v>
          </cell>
          <cell r="P80" t="str">
            <v>D</v>
          </cell>
          <cell r="Q80">
            <v>0.15</v>
          </cell>
          <cell r="R80">
            <v>1.7999999999999998</v>
          </cell>
          <cell r="U80">
            <v>0</v>
          </cell>
          <cell r="V80">
            <v>8.42</v>
          </cell>
          <cell r="W80">
            <v>4.1100000000000003</v>
          </cell>
        </row>
        <row r="81">
          <cell r="B81" t="str">
            <v>32350</v>
          </cell>
          <cell r="D81" t="str">
            <v>USINA DE SOLOS C.CIFALI</v>
          </cell>
          <cell r="G81" t="str">
            <v>USC-2</v>
          </cell>
          <cell r="I81">
            <v>169</v>
          </cell>
          <cell r="J81">
            <v>4</v>
          </cell>
          <cell r="K81">
            <v>1500</v>
          </cell>
          <cell r="L81">
            <v>222950</v>
          </cell>
          <cell r="M81">
            <v>45.83</v>
          </cell>
          <cell r="N81">
            <v>0.8</v>
          </cell>
          <cell r="O81">
            <v>29.73</v>
          </cell>
          <cell r="P81" t="str">
            <v>E</v>
          </cell>
          <cell r="Q81">
            <v>0.63100000000000001</v>
          </cell>
          <cell r="R81">
            <v>28.792530000000003</v>
          </cell>
          <cell r="S81" t="str">
            <v>20025</v>
          </cell>
          <cell r="T81">
            <v>1</v>
          </cell>
          <cell r="U81">
            <v>13.53</v>
          </cell>
          <cell r="V81">
            <v>117.88253</v>
          </cell>
          <cell r="W81">
            <v>59.36</v>
          </cell>
        </row>
        <row r="82">
          <cell r="B82" t="str">
            <v>32420</v>
          </cell>
          <cell r="D82" t="str">
            <v>USINA PRE-MISTURADOR A FRIO ALMEIDA</v>
          </cell>
          <cell r="G82" t="str">
            <v>PMF-33E</v>
          </cell>
          <cell r="I82">
            <v>20</v>
          </cell>
          <cell r="J82">
            <v>6</v>
          </cell>
          <cell r="K82">
            <v>1667</v>
          </cell>
          <cell r="L82">
            <v>165000</v>
          </cell>
          <cell r="M82">
            <v>22.85</v>
          </cell>
          <cell r="N82">
            <v>0.8</v>
          </cell>
          <cell r="O82">
            <v>13.2</v>
          </cell>
          <cell r="P82" t="str">
            <v>E</v>
          </cell>
          <cell r="Q82">
            <v>0.63100000000000001</v>
          </cell>
          <cell r="R82">
            <v>3.4074000000000004</v>
          </cell>
          <cell r="S82" t="str">
            <v>20025</v>
          </cell>
          <cell r="T82">
            <v>1</v>
          </cell>
          <cell r="U82">
            <v>13.53</v>
          </cell>
          <cell r="V82">
            <v>52.987400000000001</v>
          </cell>
          <cell r="W82">
            <v>36.380000000000003</v>
          </cell>
        </row>
        <row r="83">
          <cell r="B83" t="str">
            <v>32450</v>
          </cell>
          <cell r="D83" t="str">
            <v>USINA DE ASFALTO B.GREENE</v>
          </cell>
          <cell r="G83" t="str">
            <v>UA-2</v>
          </cell>
          <cell r="I83">
            <v>190</v>
          </cell>
          <cell r="J83">
            <v>6</v>
          </cell>
          <cell r="K83">
            <v>1667</v>
          </cell>
          <cell r="L83">
            <v>1450000</v>
          </cell>
          <cell r="M83">
            <v>200.85</v>
          </cell>
          <cell r="N83">
            <v>1</v>
          </cell>
          <cell r="O83">
            <v>144.97</v>
          </cell>
          <cell r="P83" t="str">
            <v>E</v>
          </cell>
          <cell r="Q83">
            <v>0.11</v>
          </cell>
          <cell r="R83">
            <v>1147.7159999999999</v>
          </cell>
          <cell r="S83" t="str">
            <v>20027</v>
          </cell>
          <cell r="T83">
            <v>1</v>
          </cell>
          <cell r="U83">
            <v>27.05</v>
          </cell>
          <cell r="V83">
            <v>1520.5859999999998</v>
          </cell>
          <cell r="W83">
            <v>227.9</v>
          </cell>
        </row>
        <row r="84">
          <cell r="B84" t="str">
            <v>32455</v>
          </cell>
          <cell r="D84" t="str">
            <v>PULVIMISTURADOR APROP T. TERRA SSPRM7</v>
          </cell>
          <cell r="G84" t="str">
            <v>PULVIM</v>
          </cell>
          <cell r="I84">
            <v>200</v>
          </cell>
          <cell r="J84">
            <v>4</v>
          </cell>
          <cell r="K84">
            <v>1500</v>
          </cell>
          <cell r="L84">
            <v>180000</v>
          </cell>
          <cell r="M84">
            <v>37</v>
          </cell>
          <cell r="N84">
            <v>1</v>
          </cell>
          <cell r="O84">
            <v>30</v>
          </cell>
          <cell r="P84" t="str">
            <v>D</v>
          </cell>
          <cell r="Q84">
            <v>0.15</v>
          </cell>
          <cell r="R84">
            <v>30</v>
          </cell>
          <cell r="S84" t="str">
            <v>20015</v>
          </cell>
          <cell r="T84">
            <v>1</v>
          </cell>
          <cell r="U84">
            <v>7.21</v>
          </cell>
          <cell r="V84">
            <v>104.21</v>
          </cell>
          <cell r="W84">
            <v>44.21</v>
          </cell>
        </row>
        <row r="85">
          <cell r="B85" t="str">
            <v>32500</v>
          </cell>
          <cell r="D85" t="str">
            <v>CALDEIRA A VAPOR SGC-400</v>
          </cell>
          <cell r="G85" t="str">
            <v>SGC-400</v>
          </cell>
          <cell r="I85">
            <v>8.1999999999999993</v>
          </cell>
          <cell r="J85">
            <v>4</v>
          </cell>
          <cell r="K85">
            <v>1500</v>
          </cell>
          <cell r="L85">
            <v>87000</v>
          </cell>
          <cell r="M85">
            <v>17.88</v>
          </cell>
          <cell r="N85">
            <v>1</v>
          </cell>
          <cell r="O85">
            <v>14.5</v>
          </cell>
          <cell r="P85" t="str">
            <v>D</v>
          </cell>
          <cell r="Q85">
            <v>0.15</v>
          </cell>
          <cell r="R85">
            <v>1.2299999999999998</v>
          </cell>
          <cell r="S85" t="str">
            <v>20015</v>
          </cell>
          <cell r="U85">
            <v>0</v>
          </cell>
          <cell r="V85">
            <v>33.609999999999992</v>
          </cell>
          <cell r="W85">
            <v>17.88</v>
          </cell>
        </row>
        <row r="86">
          <cell r="B86" t="str">
            <v>32810</v>
          </cell>
          <cell r="D86" t="str">
            <v>COMPRESSOR AR PORTATIL G.DENVER - 340 PCM</v>
          </cell>
          <cell r="G86" t="str">
            <v>SP-340</v>
          </cell>
          <cell r="I86">
            <v>130</v>
          </cell>
          <cell r="J86">
            <v>6</v>
          </cell>
          <cell r="K86">
            <v>1667</v>
          </cell>
          <cell r="M86">
            <v>0</v>
          </cell>
          <cell r="N86">
            <v>0.8</v>
          </cell>
          <cell r="O86">
            <v>0</v>
          </cell>
          <cell r="P86" t="str">
            <v>D</v>
          </cell>
          <cell r="Q86">
            <v>0.15</v>
          </cell>
          <cell r="R86">
            <v>19.5</v>
          </cell>
          <cell r="S86" t="str">
            <v>20015</v>
          </cell>
          <cell r="T86">
            <v>1</v>
          </cell>
          <cell r="U86">
            <v>7.21</v>
          </cell>
          <cell r="V86">
            <v>26.71</v>
          </cell>
          <cell r="W86">
            <v>7.21</v>
          </cell>
        </row>
        <row r="87">
          <cell r="B87" t="str">
            <v>32820</v>
          </cell>
          <cell r="D87" t="str">
            <v>COMPRESSOR AR PORTATIL G.DENVER - 750 PCM</v>
          </cell>
          <cell r="G87" t="str">
            <v>SP-750</v>
          </cell>
          <cell r="I87">
            <v>300</v>
          </cell>
          <cell r="J87">
            <v>6</v>
          </cell>
          <cell r="K87">
            <v>1667</v>
          </cell>
          <cell r="M87">
            <v>0</v>
          </cell>
          <cell r="N87">
            <v>0.8</v>
          </cell>
          <cell r="O87">
            <v>0</v>
          </cell>
          <cell r="P87" t="str">
            <v>D</v>
          </cell>
          <cell r="Q87">
            <v>0.15</v>
          </cell>
          <cell r="R87">
            <v>45</v>
          </cell>
          <cell r="S87" t="str">
            <v>20015</v>
          </cell>
          <cell r="T87">
            <v>1</v>
          </cell>
          <cell r="U87">
            <v>7.21</v>
          </cell>
          <cell r="V87">
            <v>52.21</v>
          </cell>
          <cell r="W87">
            <v>7.21</v>
          </cell>
        </row>
        <row r="88">
          <cell r="B88" t="str">
            <v>32900</v>
          </cell>
          <cell r="D88" t="str">
            <v>COMPRESSOR AR PORTATIL A.COPCO - 250 PCM</v>
          </cell>
          <cell r="G88" t="str">
            <v>XA-120</v>
          </cell>
          <cell r="I88">
            <v>90</v>
          </cell>
          <cell r="J88">
            <v>6</v>
          </cell>
          <cell r="K88">
            <v>1667</v>
          </cell>
          <cell r="L88">
            <v>47000</v>
          </cell>
          <cell r="M88">
            <v>6.51</v>
          </cell>
          <cell r="N88">
            <v>0.8</v>
          </cell>
          <cell r="O88">
            <v>3.76</v>
          </cell>
          <cell r="P88" t="str">
            <v>D</v>
          </cell>
          <cell r="Q88">
            <v>0.15</v>
          </cell>
          <cell r="R88">
            <v>13.5</v>
          </cell>
          <cell r="S88" t="str">
            <v>20015</v>
          </cell>
          <cell r="T88">
            <v>1</v>
          </cell>
          <cell r="U88">
            <v>7.21</v>
          </cell>
          <cell r="V88">
            <v>30.98</v>
          </cell>
          <cell r="W88">
            <v>13.719999999999999</v>
          </cell>
        </row>
        <row r="89">
          <cell r="B89" t="str">
            <v>33000</v>
          </cell>
          <cell r="D89" t="str">
            <v>COMPRESSOR AR PORTATIL A.COPCO - 764 PCM</v>
          </cell>
          <cell r="G89" t="str">
            <v>XA-350</v>
          </cell>
          <cell r="I89">
            <v>300</v>
          </cell>
          <cell r="J89">
            <v>6</v>
          </cell>
          <cell r="K89">
            <v>1667</v>
          </cell>
          <cell r="L89">
            <v>63182</v>
          </cell>
          <cell r="M89">
            <v>8.75</v>
          </cell>
          <cell r="N89">
            <v>0.8</v>
          </cell>
          <cell r="O89">
            <v>5.05</v>
          </cell>
          <cell r="P89" t="str">
            <v>D</v>
          </cell>
          <cell r="Q89">
            <v>0.15</v>
          </cell>
          <cell r="R89">
            <v>45</v>
          </cell>
          <cell r="S89" t="str">
            <v>20015</v>
          </cell>
          <cell r="T89">
            <v>1</v>
          </cell>
          <cell r="U89">
            <v>7.21</v>
          </cell>
          <cell r="V89">
            <v>66.009999999999991</v>
          </cell>
          <cell r="W89">
            <v>15.96</v>
          </cell>
        </row>
        <row r="90">
          <cell r="B90" t="str">
            <v>33010</v>
          </cell>
          <cell r="D90" t="str">
            <v>COMPRESSOR AR ESTACIONARIO A.COPCO - 160 PCM</v>
          </cell>
          <cell r="G90" t="str">
            <v>GA-507</v>
          </cell>
          <cell r="I90">
            <v>40</v>
          </cell>
          <cell r="J90">
            <v>6</v>
          </cell>
          <cell r="K90">
            <v>1667</v>
          </cell>
          <cell r="M90">
            <v>0</v>
          </cell>
          <cell r="N90">
            <v>0.8</v>
          </cell>
          <cell r="O90">
            <v>0</v>
          </cell>
          <cell r="P90" t="str">
            <v>E</v>
          </cell>
          <cell r="Q90">
            <v>0.63100000000000001</v>
          </cell>
          <cell r="R90">
            <v>6.8148000000000009</v>
          </cell>
          <cell r="S90" t="str">
            <v>20015</v>
          </cell>
          <cell r="T90">
            <v>1</v>
          </cell>
          <cell r="U90">
            <v>7.21</v>
          </cell>
          <cell r="V90">
            <v>14.024800000000001</v>
          </cell>
          <cell r="W90">
            <v>7.21</v>
          </cell>
        </row>
        <row r="91">
          <cell r="B91" t="str">
            <v>33020</v>
          </cell>
          <cell r="D91" t="str">
            <v>COMPRESSOR AR ESTACIONARIO A.COPCO - 604 PCM</v>
          </cell>
          <cell r="G91" t="str">
            <v>DT-4</v>
          </cell>
          <cell r="I91">
            <v>125</v>
          </cell>
          <cell r="J91">
            <v>6</v>
          </cell>
          <cell r="K91">
            <v>1667</v>
          </cell>
          <cell r="M91">
            <v>0</v>
          </cell>
          <cell r="N91">
            <v>0.8</v>
          </cell>
          <cell r="O91">
            <v>0</v>
          </cell>
          <cell r="P91" t="str">
            <v>E</v>
          </cell>
          <cell r="Q91">
            <v>0.63100000000000001</v>
          </cell>
          <cell r="R91">
            <v>21.296250000000004</v>
          </cell>
          <cell r="S91" t="str">
            <v>20015</v>
          </cell>
          <cell r="T91">
            <v>1</v>
          </cell>
          <cell r="U91">
            <v>7.21</v>
          </cell>
          <cell r="V91">
            <v>28.506250000000005</v>
          </cell>
          <cell r="W91">
            <v>7.21</v>
          </cell>
        </row>
        <row r="92">
          <cell r="B92" t="str">
            <v>33025</v>
          </cell>
          <cell r="D92" t="str">
            <v>COMPRESSOR AR ESTACIONARIO A.COPCO - 1987 PCM</v>
          </cell>
          <cell r="G92" t="str">
            <v>ZA-5B</v>
          </cell>
          <cell r="I92">
            <v>415</v>
          </cell>
          <cell r="J92">
            <v>6</v>
          </cell>
          <cell r="K92">
            <v>1667</v>
          </cell>
          <cell r="M92">
            <v>0</v>
          </cell>
          <cell r="N92">
            <v>0.8</v>
          </cell>
          <cell r="O92">
            <v>0</v>
          </cell>
          <cell r="P92" t="str">
            <v>E</v>
          </cell>
          <cell r="Q92">
            <v>0.63100000000000001</v>
          </cell>
          <cell r="R92">
            <v>70.703550000000007</v>
          </cell>
          <cell r="S92" t="str">
            <v>20015</v>
          </cell>
          <cell r="T92">
            <v>1</v>
          </cell>
          <cell r="U92">
            <v>7.21</v>
          </cell>
          <cell r="V92">
            <v>77.913550000000001</v>
          </cell>
          <cell r="W92">
            <v>7.21</v>
          </cell>
        </row>
        <row r="93">
          <cell r="B93" t="str">
            <v>33030</v>
          </cell>
          <cell r="D93" t="str">
            <v>ROMPEDOR PNEUMATICO ATLAS COPCO</v>
          </cell>
          <cell r="G93" t="str">
            <v>TEX-11</v>
          </cell>
          <cell r="I93">
            <v>0</v>
          </cell>
          <cell r="J93">
            <v>3</v>
          </cell>
          <cell r="K93">
            <v>2000</v>
          </cell>
          <cell r="L93">
            <v>1140</v>
          </cell>
          <cell r="M93">
            <v>0.22</v>
          </cell>
          <cell r="N93">
            <v>0.8</v>
          </cell>
          <cell r="O93">
            <v>0.15</v>
          </cell>
          <cell r="P93" t="str">
            <v>D</v>
          </cell>
          <cell r="Q93">
            <v>0.15</v>
          </cell>
          <cell r="R93">
            <v>0</v>
          </cell>
          <cell r="U93">
            <v>0</v>
          </cell>
          <cell r="V93">
            <v>0.37</v>
          </cell>
          <cell r="W93">
            <v>0.22</v>
          </cell>
        </row>
        <row r="94">
          <cell r="B94" t="str">
            <v>33040</v>
          </cell>
          <cell r="D94" t="str">
            <v>ROMPEDOR PNEUMATIVO ATLAS COPCO</v>
          </cell>
          <cell r="G94" t="str">
            <v>TEX-21</v>
          </cell>
          <cell r="I94">
            <v>0</v>
          </cell>
          <cell r="J94">
            <v>3</v>
          </cell>
          <cell r="K94">
            <v>2000</v>
          </cell>
          <cell r="L94">
            <v>1315</v>
          </cell>
          <cell r="M94">
            <v>0.25</v>
          </cell>
          <cell r="N94">
            <v>0.8</v>
          </cell>
          <cell r="O94">
            <v>0.18</v>
          </cell>
          <cell r="P94" t="str">
            <v>D</v>
          </cell>
          <cell r="Q94">
            <v>0.15</v>
          </cell>
          <cell r="R94">
            <v>0</v>
          </cell>
          <cell r="U94">
            <v>0</v>
          </cell>
          <cell r="V94">
            <v>0.43</v>
          </cell>
          <cell r="W94">
            <v>0.25</v>
          </cell>
        </row>
        <row r="95">
          <cell r="B95" t="str">
            <v>33050</v>
          </cell>
          <cell r="D95" t="str">
            <v>ROMPEDOR PNEUMATICO ATLAS COPCO</v>
          </cell>
          <cell r="G95" t="str">
            <v>TEX-31</v>
          </cell>
          <cell r="I95">
            <v>0</v>
          </cell>
          <cell r="J95">
            <v>3</v>
          </cell>
          <cell r="K95">
            <v>2000</v>
          </cell>
          <cell r="L95">
            <v>1490</v>
          </cell>
          <cell r="M95">
            <v>0.28999999999999998</v>
          </cell>
          <cell r="N95">
            <v>0.8</v>
          </cell>
          <cell r="O95">
            <v>0.2</v>
          </cell>
          <cell r="P95" t="str">
            <v>D</v>
          </cell>
          <cell r="Q95">
            <v>0.15</v>
          </cell>
          <cell r="R95">
            <v>0</v>
          </cell>
          <cell r="U95">
            <v>0</v>
          </cell>
          <cell r="V95">
            <v>0.49</v>
          </cell>
          <cell r="W95">
            <v>0.28999999999999998</v>
          </cell>
        </row>
        <row r="96">
          <cell r="B96" t="str">
            <v>33060</v>
          </cell>
          <cell r="D96" t="str">
            <v>ROMPEDOR PNEUMATICO ATLAS COPCO</v>
          </cell>
          <cell r="G96" t="str">
            <v>TEX-41</v>
          </cell>
          <cell r="I96">
            <v>0</v>
          </cell>
          <cell r="J96">
            <v>3</v>
          </cell>
          <cell r="K96">
            <v>2000</v>
          </cell>
          <cell r="L96">
            <v>1720</v>
          </cell>
          <cell r="M96">
            <v>0.33</v>
          </cell>
          <cell r="N96">
            <v>0.8</v>
          </cell>
          <cell r="O96">
            <v>0.23</v>
          </cell>
          <cell r="P96" t="str">
            <v>D</v>
          </cell>
          <cell r="Q96">
            <v>0.15</v>
          </cell>
          <cell r="R96">
            <v>0</v>
          </cell>
          <cell r="U96">
            <v>0</v>
          </cell>
          <cell r="V96">
            <v>0.56000000000000005</v>
          </cell>
          <cell r="W96">
            <v>0.33</v>
          </cell>
        </row>
        <row r="97">
          <cell r="B97" t="str">
            <v>33150</v>
          </cell>
          <cell r="D97" t="str">
            <v>MARTELETE PNEUMATICO ATLAS COPCO</v>
          </cell>
          <cell r="G97" t="str">
            <v>RH-658</v>
          </cell>
          <cell r="I97">
            <v>0</v>
          </cell>
          <cell r="J97">
            <v>3</v>
          </cell>
          <cell r="K97">
            <v>2000</v>
          </cell>
          <cell r="L97">
            <v>4750</v>
          </cell>
          <cell r="M97">
            <v>0.92</v>
          </cell>
          <cell r="N97">
            <v>0.8</v>
          </cell>
          <cell r="O97">
            <v>0.63</v>
          </cell>
          <cell r="P97" t="str">
            <v>D</v>
          </cell>
          <cell r="Q97">
            <v>0.15</v>
          </cell>
          <cell r="R97">
            <v>0</v>
          </cell>
          <cell r="U97">
            <v>0</v>
          </cell>
          <cell r="V97">
            <v>1.55</v>
          </cell>
          <cell r="W97">
            <v>0.92</v>
          </cell>
        </row>
        <row r="98">
          <cell r="B98" t="str">
            <v>33160</v>
          </cell>
          <cell r="D98" t="str">
            <v>MARTELETE PNEUMATICO ATLAS COPCO</v>
          </cell>
          <cell r="G98" t="str">
            <v>BBC-17</v>
          </cell>
          <cell r="I98">
            <v>0</v>
          </cell>
          <cell r="J98">
            <v>3</v>
          </cell>
          <cell r="K98">
            <v>2000</v>
          </cell>
          <cell r="M98">
            <v>0</v>
          </cell>
          <cell r="N98">
            <v>0.8</v>
          </cell>
          <cell r="O98">
            <v>0</v>
          </cell>
          <cell r="P98" t="str">
            <v>D</v>
          </cell>
          <cell r="Q98">
            <v>0.15</v>
          </cell>
          <cell r="R98">
            <v>0</v>
          </cell>
          <cell r="U98">
            <v>0</v>
          </cell>
          <cell r="V98">
            <v>0</v>
          </cell>
          <cell r="W98">
            <v>0</v>
          </cell>
        </row>
        <row r="99">
          <cell r="B99" t="str">
            <v>33200</v>
          </cell>
          <cell r="D99" t="str">
            <v>GRADE DE DISCO ROME TCH</v>
          </cell>
          <cell r="G99" t="str">
            <v>24 X 24</v>
          </cell>
          <cell r="I99">
            <v>0</v>
          </cell>
          <cell r="J99">
            <v>6</v>
          </cell>
          <cell r="K99">
            <v>1000</v>
          </cell>
          <cell r="L99">
            <v>4000</v>
          </cell>
          <cell r="M99">
            <v>0.92</v>
          </cell>
          <cell r="N99">
            <v>0.8</v>
          </cell>
          <cell r="O99">
            <v>0.53</v>
          </cell>
          <cell r="Q99">
            <v>0</v>
          </cell>
          <cell r="R99">
            <v>0</v>
          </cell>
          <cell r="U99">
            <v>0</v>
          </cell>
          <cell r="V99">
            <v>1.4500000000000002</v>
          </cell>
          <cell r="W99">
            <v>0.92</v>
          </cell>
        </row>
        <row r="100">
          <cell r="B100" t="str">
            <v>33205</v>
          </cell>
          <cell r="D100" t="str">
            <v>ROCADEIRA</v>
          </cell>
          <cell r="G100" t="str">
            <v>ROÇA</v>
          </cell>
          <cell r="I100">
            <v>0</v>
          </cell>
          <cell r="J100">
            <v>6</v>
          </cell>
          <cell r="K100">
            <v>1000</v>
          </cell>
          <cell r="L100">
            <v>3500</v>
          </cell>
          <cell r="M100">
            <v>0.81</v>
          </cell>
          <cell r="N100">
            <v>0.8</v>
          </cell>
          <cell r="O100">
            <v>0.47</v>
          </cell>
          <cell r="Q100">
            <v>0</v>
          </cell>
          <cell r="R100">
            <v>0</v>
          </cell>
          <cell r="U100">
            <v>0</v>
          </cell>
          <cell r="V100">
            <v>1.28</v>
          </cell>
          <cell r="W100">
            <v>0.81</v>
          </cell>
        </row>
        <row r="101">
          <cell r="B101" t="str">
            <v>33210</v>
          </cell>
          <cell r="D101" t="str">
            <v>ROCADEIRA COSTAL</v>
          </cell>
          <cell r="G101" t="str">
            <v>COSTAL</v>
          </cell>
          <cell r="I101">
            <v>0</v>
          </cell>
          <cell r="J101">
            <v>6</v>
          </cell>
          <cell r="K101">
            <v>1000</v>
          </cell>
          <cell r="L101">
            <v>3700</v>
          </cell>
          <cell r="M101">
            <v>0.85</v>
          </cell>
          <cell r="N101">
            <v>0.8</v>
          </cell>
          <cell r="O101">
            <v>0.49</v>
          </cell>
          <cell r="Q101">
            <v>0</v>
          </cell>
          <cell r="R101">
            <v>0</v>
          </cell>
          <cell r="U101">
            <v>0</v>
          </cell>
          <cell r="V101">
            <v>1.3399999999999999</v>
          </cell>
          <cell r="W101">
            <v>0.85</v>
          </cell>
        </row>
        <row r="102">
          <cell r="B102" t="str">
            <v>33350</v>
          </cell>
          <cell r="D102" t="str">
            <v>MOTOBOMBA 3 POL - GASOLINA</v>
          </cell>
          <cell r="G102" t="str">
            <v>MTBB</v>
          </cell>
          <cell r="I102">
            <v>8</v>
          </cell>
          <cell r="J102">
            <v>4</v>
          </cell>
          <cell r="K102">
            <v>1500</v>
          </cell>
          <cell r="L102">
            <v>1400</v>
          </cell>
          <cell r="M102">
            <v>0.28999999999999998</v>
          </cell>
          <cell r="N102">
            <v>0.8</v>
          </cell>
          <cell r="O102">
            <v>0.19</v>
          </cell>
          <cell r="P102" t="str">
            <v>G</v>
          </cell>
          <cell r="Q102">
            <v>0.245</v>
          </cell>
          <cell r="R102">
            <v>3.92</v>
          </cell>
          <cell r="T102">
            <v>1</v>
          </cell>
          <cell r="U102">
            <v>0</v>
          </cell>
          <cell r="V102">
            <v>4.4000000000000004</v>
          </cell>
          <cell r="W102">
            <v>0.28999999999999998</v>
          </cell>
        </row>
        <row r="103">
          <cell r="B103" t="str">
            <v>33355</v>
          </cell>
          <cell r="D103" t="str">
            <v>BOMBA 4 POL</v>
          </cell>
          <cell r="G103" t="str">
            <v>BOMBA</v>
          </cell>
          <cell r="I103">
            <v>13</v>
          </cell>
          <cell r="J103">
            <v>7</v>
          </cell>
          <cell r="K103">
            <v>1500</v>
          </cell>
          <cell r="L103">
            <v>17007</v>
          </cell>
          <cell r="M103">
            <v>2.37</v>
          </cell>
          <cell r="N103">
            <v>0.8</v>
          </cell>
          <cell r="O103">
            <v>1.3</v>
          </cell>
          <cell r="P103" t="str">
            <v>E</v>
          </cell>
          <cell r="Q103">
            <v>0.63100000000000001</v>
          </cell>
          <cell r="R103">
            <v>2.2148100000000004</v>
          </cell>
          <cell r="V103">
            <v>5.8848099999999999</v>
          </cell>
          <cell r="W103">
            <v>2.37</v>
          </cell>
        </row>
        <row r="104">
          <cell r="B104" t="str">
            <v>33360</v>
          </cell>
          <cell r="D104" t="str">
            <v>BOMBA DE CONCRETO SCHWING</v>
          </cell>
          <cell r="G104" t="str">
            <v>550-HDD</v>
          </cell>
          <cell r="I104">
            <v>125</v>
          </cell>
          <cell r="J104">
            <v>6</v>
          </cell>
          <cell r="K104">
            <v>1500</v>
          </cell>
          <cell r="L104">
            <v>109250</v>
          </cell>
          <cell r="M104">
            <v>16.82</v>
          </cell>
          <cell r="N104">
            <v>0.8</v>
          </cell>
          <cell r="O104">
            <v>9.7100000000000009</v>
          </cell>
          <cell r="P104" t="str">
            <v>D</v>
          </cell>
          <cell r="Q104">
            <v>0.15</v>
          </cell>
          <cell r="R104">
            <v>18.75</v>
          </cell>
          <cell r="S104" t="str">
            <v>20014</v>
          </cell>
          <cell r="T104">
            <v>1</v>
          </cell>
          <cell r="U104">
            <v>9.4700000000000006</v>
          </cell>
          <cell r="V104">
            <v>54.75</v>
          </cell>
          <cell r="W104">
            <v>26.29</v>
          </cell>
        </row>
        <row r="105">
          <cell r="B105" t="str">
            <v>33362</v>
          </cell>
          <cell r="D105" t="str">
            <v>BOMBA PROTENSÃO</v>
          </cell>
          <cell r="G105" t="str">
            <v>BOMPRO</v>
          </cell>
          <cell r="I105">
            <v>125</v>
          </cell>
          <cell r="J105">
            <v>6</v>
          </cell>
          <cell r="K105">
            <v>1500</v>
          </cell>
          <cell r="L105">
            <v>98325</v>
          </cell>
          <cell r="M105">
            <v>15.14</v>
          </cell>
          <cell r="N105">
            <v>0.8</v>
          </cell>
          <cell r="O105">
            <v>8.74</v>
          </cell>
          <cell r="P105" t="str">
            <v>D</v>
          </cell>
          <cell r="Q105">
            <v>0.15</v>
          </cell>
          <cell r="R105">
            <v>18.75</v>
          </cell>
          <cell r="S105" t="str">
            <v>20014</v>
          </cell>
          <cell r="T105">
            <v>1</v>
          </cell>
          <cell r="U105">
            <v>9.4700000000000006</v>
          </cell>
          <cell r="V105">
            <v>52.1</v>
          </cell>
          <cell r="W105">
            <v>24.61</v>
          </cell>
        </row>
        <row r="106">
          <cell r="B106" t="str">
            <v>33363</v>
          </cell>
          <cell r="D106" t="str">
            <v>BOMBA INJEÇÃO</v>
          </cell>
          <cell r="G106" t="str">
            <v>BOMINJ</v>
          </cell>
          <cell r="I106">
            <v>125</v>
          </cell>
          <cell r="J106">
            <v>6</v>
          </cell>
          <cell r="K106">
            <v>1500</v>
          </cell>
          <cell r="L106">
            <v>98325</v>
          </cell>
          <cell r="M106">
            <v>15.14</v>
          </cell>
          <cell r="N106">
            <v>0.8</v>
          </cell>
          <cell r="O106">
            <v>8.74</v>
          </cell>
          <cell r="P106" t="str">
            <v>D</v>
          </cell>
          <cell r="Q106">
            <v>0.15</v>
          </cell>
          <cell r="R106">
            <v>18.75</v>
          </cell>
          <cell r="S106" t="str">
            <v>20014</v>
          </cell>
          <cell r="T106">
            <v>1</v>
          </cell>
          <cell r="U106">
            <v>9.4700000000000006</v>
          </cell>
          <cell r="V106">
            <v>52.1</v>
          </cell>
          <cell r="W106">
            <v>24.61</v>
          </cell>
        </row>
        <row r="107">
          <cell r="B107" t="str">
            <v>33365</v>
          </cell>
          <cell r="D107" t="str">
            <v>BOMBA DE PROJETAR CONCRETO - MEYCO CP06</v>
          </cell>
          <cell r="G107" t="str">
            <v>CP-06</v>
          </cell>
          <cell r="I107">
            <v>10</v>
          </cell>
          <cell r="J107">
            <v>4</v>
          </cell>
          <cell r="K107">
            <v>1500</v>
          </cell>
          <cell r="L107">
            <v>28500</v>
          </cell>
          <cell r="M107">
            <v>5.86</v>
          </cell>
          <cell r="N107">
            <v>0.8</v>
          </cell>
          <cell r="O107">
            <v>3.8</v>
          </cell>
          <cell r="P107" t="str">
            <v>D</v>
          </cell>
          <cell r="Q107">
            <v>0.15</v>
          </cell>
          <cell r="R107">
            <v>1.5</v>
          </cell>
          <cell r="T107">
            <v>1</v>
          </cell>
          <cell r="U107">
            <v>0</v>
          </cell>
          <cell r="V107">
            <v>11.16</v>
          </cell>
          <cell r="W107">
            <v>5.86</v>
          </cell>
        </row>
        <row r="108">
          <cell r="B108" t="str">
            <v>33370</v>
          </cell>
          <cell r="D108" t="str">
            <v>MACACO PARA PROTENSÃO</v>
          </cell>
          <cell r="G108" t="str">
            <v>MACACO</v>
          </cell>
          <cell r="I108">
            <v>0</v>
          </cell>
          <cell r="J108">
            <v>4</v>
          </cell>
          <cell r="K108">
            <v>1500</v>
          </cell>
          <cell r="L108">
            <v>22000</v>
          </cell>
          <cell r="M108">
            <v>4.5199999999999996</v>
          </cell>
          <cell r="N108">
            <v>1.8</v>
          </cell>
          <cell r="O108">
            <v>6.6</v>
          </cell>
          <cell r="P108" t="str">
            <v>E</v>
          </cell>
          <cell r="Q108">
            <v>0.63100000000000001</v>
          </cell>
          <cell r="R108">
            <v>0</v>
          </cell>
          <cell r="T108">
            <v>0</v>
          </cell>
          <cell r="U108">
            <v>0</v>
          </cell>
          <cell r="V108">
            <v>11.12</v>
          </cell>
          <cell r="W108">
            <v>4.5199999999999996</v>
          </cell>
        </row>
        <row r="109">
          <cell r="B109" t="str">
            <v>33390</v>
          </cell>
          <cell r="D109" t="str">
            <v>CENTRALINA COM MACACO PARA EXTRAÇÃO DE TUBOS</v>
          </cell>
          <cell r="G109" t="str">
            <v>CENT</v>
          </cell>
          <cell r="V109">
            <v>30</v>
          </cell>
          <cell r="W109">
            <v>15</v>
          </cell>
        </row>
        <row r="110">
          <cell r="B110" t="str">
            <v>33395</v>
          </cell>
          <cell r="D110" t="str">
            <v>MARTELO DE FUNDO</v>
          </cell>
          <cell r="G110" t="str">
            <v>MART</v>
          </cell>
          <cell r="V110">
            <v>80</v>
          </cell>
          <cell r="W110">
            <v>40</v>
          </cell>
        </row>
        <row r="111">
          <cell r="B111" t="str">
            <v>33401</v>
          </cell>
          <cell r="D111" t="str">
            <v>ESCAVADEIRA BUCYRUS  C/DRAG-LINE</v>
          </cell>
          <cell r="G111" t="str">
            <v>38-B</v>
          </cell>
          <cell r="I111">
            <v>100</v>
          </cell>
          <cell r="J111">
            <v>6</v>
          </cell>
          <cell r="K111">
            <v>2000</v>
          </cell>
          <cell r="L111">
            <v>245763</v>
          </cell>
          <cell r="M111">
            <v>28.37</v>
          </cell>
          <cell r="N111">
            <v>0.8</v>
          </cell>
          <cell r="O111">
            <v>16.38</v>
          </cell>
          <cell r="P111" t="str">
            <v>D</v>
          </cell>
          <cell r="Q111">
            <v>0.15</v>
          </cell>
          <cell r="R111">
            <v>15</v>
          </cell>
          <cell r="S111" t="str">
            <v>20014</v>
          </cell>
          <cell r="T111">
            <v>1</v>
          </cell>
          <cell r="U111">
            <v>9.4700000000000006</v>
          </cell>
          <cell r="V111">
            <v>69.22</v>
          </cell>
          <cell r="W111">
            <v>37.840000000000003</v>
          </cell>
        </row>
        <row r="112">
          <cell r="B112" t="str">
            <v>33410</v>
          </cell>
          <cell r="D112" t="str">
            <v>GUINDASTE PNEUS AMERICAN 5530</v>
          </cell>
          <cell r="G112" t="str">
            <v>AM-5530</v>
          </cell>
          <cell r="I112">
            <v>285</v>
          </cell>
          <cell r="J112">
            <v>8</v>
          </cell>
          <cell r="K112">
            <v>2000</v>
          </cell>
          <cell r="L112">
            <v>1124300</v>
          </cell>
          <cell r="M112">
            <v>108.59</v>
          </cell>
          <cell r="N112">
            <v>0.8</v>
          </cell>
          <cell r="O112">
            <v>56.22</v>
          </cell>
          <cell r="P112" t="str">
            <v>D</v>
          </cell>
          <cell r="Q112">
            <v>0.15</v>
          </cell>
          <cell r="R112">
            <v>42.75</v>
          </cell>
          <cell r="S112" t="str">
            <v>20014</v>
          </cell>
          <cell r="T112">
            <v>2</v>
          </cell>
          <cell r="U112">
            <v>18.940000000000001</v>
          </cell>
          <cell r="V112">
            <v>226.5</v>
          </cell>
          <cell r="W112">
            <v>127.53</v>
          </cell>
        </row>
        <row r="113">
          <cell r="B113" t="str">
            <v>33420</v>
          </cell>
          <cell r="D113" t="str">
            <v>TRELIÇA LANÇADEIRA DE VIGAS - SICET 120/45</v>
          </cell>
          <cell r="G113" t="str">
            <v>SICET</v>
          </cell>
          <cell r="I113">
            <v>136</v>
          </cell>
          <cell r="J113">
            <v>8</v>
          </cell>
          <cell r="K113">
            <v>2000</v>
          </cell>
          <cell r="L113">
            <v>1255000</v>
          </cell>
          <cell r="M113">
            <v>121.22</v>
          </cell>
          <cell r="N113">
            <v>0.8</v>
          </cell>
          <cell r="O113">
            <v>62.75</v>
          </cell>
          <cell r="P113" t="str">
            <v>D</v>
          </cell>
          <cell r="Q113">
            <v>0.15</v>
          </cell>
          <cell r="R113">
            <v>20.399999999999999</v>
          </cell>
          <cell r="S113" t="str">
            <v>20014</v>
          </cell>
          <cell r="T113">
            <v>2</v>
          </cell>
          <cell r="U113">
            <v>18.940000000000001</v>
          </cell>
          <cell r="V113">
            <v>223.31</v>
          </cell>
          <cell r="W113">
            <v>140.16</v>
          </cell>
        </row>
        <row r="114">
          <cell r="B114" t="str">
            <v>33430</v>
          </cell>
          <cell r="D114" t="str">
            <v>CARRELONE SICET 140 TON - CAV. MEC. SCANIA</v>
          </cell>
          <cell r="G114" t="str">
            <v>CARREL</v>
          </cell>
          <cell r="I114">
            <v>228</v>
          </cell>
          <cell r="J114">
            <v>6</v>
          </cell>
          <cell r="K114">
            <v>2000</v>
          </cell>
          <cell r="L114">
            <v>188000</v>
          </cell>
          <cell r="M114">
            <v>21.7</v>
          </cell>
          <cell r="N114">
            <v>0.8</v>
          </cell>
          <cell r="O114">
            <v>12.53</v>
          </cell>
          <cell r="P114" t="str">
            <v>D</v>
          </cell>
          <cell r="Q114">
            <v>0.15</v>
          </cell>
          <cell r="R114">
            <v>34.199999999999996</v>
          </cell>
          <cell r="S114" t="str">
            <v>20014</v>
          </cell>
          <cell r="T114">
            <v>2</v>
          </cell>
          <cell r="U114">
            <v>18.940000000000001</v>
          </cell>
          <cell r="V114">
            <v>87.36999999999999</v>
          </cell>
          <cell r="W114">
            <v>40.64</v>
          </cell>
        </row>
        <row r="115">
          <cell r="B115" t="str">
            <v>33510</v>
          </cell>
          <cell r="D115" t="str">
            <v>GUINDASTE PNEUS APROP BANTAM</v>
          </cell>
          <cell r="G115" t="str">
            <v>S-628</v>
          </cell>
          <cell r="I115">
            <v>140</v>
          </cell>
          <cell r="J115">
            <v>8</v>
          </cell>
          <cell r="K115">
            <v>2000</v>
          </cell>
          <cell r="L115">
            <v>418348</v>
          </cell>
          <cell r="M115">
            <v>40.409999999999997</v>
          </cell>
          <cell r="N115">
            <v>0.8</v>
          </cell>
          <cell r="O115">
            <v>20.92</v>
          </cell>
          <cell r="P115" t="str">
            <v>D</v>
          </cell>
          <cell r="Q115">
            <v>0.15</v>
          </cell>
          <cell r="R115">
            <v>21</v>
          </cell>
          <cell r="S115" t="str">
            <v>20014</v>
          </cell>
          <cell r="T115">
            <v>1</v>
          </cell>
          <cell r="U115">
            <v>9.4700000000000006</v>
          </cell>
          <cell r="V115">
            <v>91.8</v>
          </cell>
          <cell r="W115">
            <v>49.879999999999995</v>
          </cell>
        </row>
        <row r="116">
          <cell r="B116" t="str">
            <v>33511</v>
          </cell>
          <cell r="D116" t="str">
            <v>GUINDASTE COM LANÇA</v>
          </cell>
          <cell r="G116" t="str">
            <v>GUILAN</v>
          </cell>
          <cell r="I116">
            <v>225</v>
          </cell>
          <cell r="J116">
            <v>8</v>
          </cell>
          <cell r="K116">
            <v>2000</v>
          </cell>
          <cell r="L116">
            <v>1011870</v>
          </cell>
          <cell r="M116">
            <v>97.73</v>
          </cell>
          <cell r="N116">
            <v>0.8</v>
          </cell>
          <cell r="O116">
            <v>50.59</v>
          </cell>
          <cell r="P116" t="str">
            <v>D</v>
          </cell>
          <cell r="Q116">
            <v>0.15</v>
          </cell>
          <cell r="R116">
            <v>33.75</v>
          </cell>
          <cell r="S116" t="str">
            <v>20014</v>
          </cell>
          <cell r="T116">
            <v>1</v>
          </cell>
          <cell r="U116">
            <v>9.4700000000000006</v>
          </cell>
          <cell r="V116">
            <v>191.54</v>
          </cell>
          <cell r="W116">
            <v>107.2</v>
          </cell>
        </row>
        <row r="117">
          <cell r="B117" t="str">
            <v>33512</v>
          </cell>
          <cell r="D117" t="str">
            <v>GUINDASTE BUCYRUS 54B</v>
          </cell>
          <cell r="G117" t="str">
            <v>54B</v>
          </cell>
          <cell r="I117">
            <v>225</v>
          </cell>
          <cell r="J117">
            <v>8</v>
          </cell>
          <cell r="K117">
            <v>2000</v>
          </cell>
          <cell r="L117">
            <v>1011870</v>
          </cell>
          <cell r="M117">
            <v>97.73</v>
          </cell>
          <cell r="N117">
            <v>0.8</v>
          </cell>
          <cell r="O117">
            <v>50.59</v>
          </cell>
          <cell r="P117" t="str">
            <v>D</v>
          </cell>
          <cell r="Q117">
            <v>0.15</v>
          </cell>
          <cell r="R117">
            <v>33.75</v>
          </cell>
          <cell r="S117" t="str">
            <v>20014</v>
          </cell>
          <cell r="T117">
            <v>1</v>
          </cell>
          <cell r="U117">
            <v>9.4700000000000006</v>
          </cell>
          <cell r="V117">
            <v>191.54</v>
          </cell>
          <cell r="W117">
            <v>107.2</v>
          </cell>
        </row>
        <row r="118">
          <cell r="B118" t="str">
            <v>33513</v>
          </cell>
          <cell r="D118" t="str">
            <v>GUINDASTE LINK-BELT LS108</v>
          </cell>
          <cell r="G118" t="str">
            <v>LS108</v>
          </cell>
          <cell r="I118">
            <v>200</v>
          </cell>
          <cell r="J118">
            <v>8</v>
          </cell>
          <cell r="K118">
            <v>2000</v>
          </cell>
          <cell r="L118">
            <v>850000</v>
          </cell>
          <cell r="M118">
            <v>82.1</v>
          </cell>
          <cell r="N118">
            <v>0.8</v>
          </cell>
          <cell r="O118">
            <v>42.5</v>
          </cell>
          <cell r="P118" t="str">
            <v>D</v>
          </cell>
          <cell r="Q118">
            <v>0.15</v>
          </cell>
          <cell r="R118">
            <v>30</v>
          </cell>
          <cell r="S118" t="str">
            <v>20014</v>
          </cell>
          <cell r="T118">
            <v>1</v>
          </cell>
          <cell r="U118">
            <v>9.4700000000000006</v>
          </cell>
          <cell r="V118">
            <v>164.07</v>
          </cell>
          <cell r="W118">
            <v>91.57</v>
          </cell>
        </row>
        <row r="119">
          <cell r="B119" t="str">
            <v>33515</v>
          </cell>
          <cell r="D119" t="str">
            <v>ESCAVADEIRA ESTEIRA CATERPILLAR</v>
          </cell>
          <cell r="G119" t="str">
            <v>CAT-225</v>
          </cell>
          <cell r="I119">
            <v>125</v>
          </cell>
          <cell r="J119">
            <v>6</v>
          </cell>
          <cell r="K119">
            <v>2000</v>
          </cell>
          <cell r="L119">
            <v>273000</v>
          </cell>
          <cell r="M119">
            <v>31.52</v>
          </cell>
          <cell r="N119">
            <v>0.8</v>
          </cell>
          <cell r="O119">
            <v>18.2</v>
          </cell>
          <cell r="P119" t="str">
            <v>D</v>
          </cell>
          <cell r="Q119">
            <v>0.15</v>
          </cell>
          <cell r="R119">
            <v>18.75</v>
          </cell>
          <cell r="S119" t="str">
            <v>20014</v>
          </cell>
          <cell r="T119">
            <v>1</v>
          </cell>
          <cell r="U119">
            <v>9.4700000000000006</v>
          </cell>
          <cell r="V119">
            <v>77.94</v>
          </cell>
          <cell r="W119">
            <v>40.99</v>
          </cell>
        </row>
        <row r="120">
          <cell r="B120" t="str">
            <v>33520</v>
          </cell>
          <cell r="D120" t="str">
            <v>ESCAVADEIRA ESTEIRA KOMATSU</v>
          </cell>
          <cell r="G120" t="str">
            <v>PC-220</v>
          </cell>
          <cell r="I120">
            <v>250</v>
          </cell>
          <cell r="J120">
            <v>6</v>
          </cell>
          <cell r="K120">
            <v>2000</v>
          </cell>
          <cell r="L120">
            <v>352000</v>
          </cell>
          <cell r="M120">
            <v>40.64</v>
          </cell>
          <cell r="N120">
            <v>0.8</v>
          </cell>
          <cell r="O120">
            <v>23.47</v>
          </cell>
          <cell r="P120" t="str">
            <v>D</v>
          </cell>
          <cell r="Q120">
            <v>0.15</v>
          </cell>
          <cell r="R120">
            <v>37.5</v>
          </cell>
          <cell r="S120" t="str">
            <v>20027</v>
          </cell>
          <cell r="T120">
            <v>1</v>
          </cell>
          <cell r="U120">
            <v>27.05</v>
          </cell>
          <cell r="V120">
            <v>128.66</v>
          </cell>
          <cell r="W120">
            <v>67.69</v>
          </cell>
        </row>
        <row r="121">
          <cell r="B121" t="str">
            <v>33530</v>
          </cell>
          <cell r="D121" t="str">
            <v>ESCAVADEIRA ESTEIRA FIAT</v>
          </cell>
          <cell r="G121" t="str">
            <v>FE-105</v>
          </cell>
          <cell r="I121">
            <v>92</v>
          </cell>
          <cell r="J121">
            <v>6</v>
          </cell>
          <cell r="K121">
            <v>2000</v>
          </cell>
          <cell r="L121">
            <v>147000</v>
          </cell>
          <cell r="M121">
            <v>16.97</v>
          </cell>
          <cell r="N121">
            <v>0.8</v>
          </cell>
          <cell r="O121">
            <v>9.8000000000000007</v>
          </cell>
          <cell r="P121" t="str">
            <v>D</v>
          </cell>
          <cell r="Q121">
            <v>0.15</v>
          </cell>
          <cell r="R121">
            <v>13.799999999999999</v>
          </cell>
          <cell r="S121" t="str">
            <v>20014</v>
          </cell>
          <cell r="T121">
            <v>1</v>
          </cell>
          <cell r="U121">
            <v>9.4700000000000006</v>
          </cell>
          <cell r="V121">
            <v>50.04</v>
          </cell>
          <cell r="W121">
            <v>26.439999999999998</v>
          </cell>
        </row>
        <row r="122">
          <cell r="B122" t="str">
            <v>33540</v>
          </cell>
          <cell r="D122" t="str">
            <v>RETROESCAVADEIRA PNEUS POCLAIN</v>
          </cell>
          <cell r="G122" t="str">
            <v>LY-2P</v>
          </cell>
          <cell r="I122">
            <v>100</v>
          </cell>
          <cell r="J122">
            <v>6</v>
          </cell>
          <cell r="K122">
            <v>2000</v>
          </cell>
          <cell r="L122">
            <v>136000</v>
          </cell>
          <cell r="M122">
            <v>15.7</v>
          </cell>
          <cell r="N122">
            <v>0.8</v>
          </cell>
          <cell r="O122">
            <v>9.07</v>
          </cell>
          <cell r="P122" t="str">
            <v>D</v>
          </cell>
          <cell r="Q122">
            <v>0.15</v>
          </cell>
          <cell r="R122">
            <v>15</v>
          </cell>
          <cell r="S122" t="str">
            <v>20014</v>
          </cell>
          <cell r="T122">
            <v>1</v>
          </cell>
          <cell r="U122">
            <v>9.4700000000000006</v>
          </cell>
          <cell r="V122">
            <v>49.239999999999995</v>
          </cell>
          <cell r="W122">
            <v>25.17</v>
          </cell>
        </row>
        <row r="123">
          <cell r="B123" t="str">
            <v>33545</v>
          </cell>
          <cell r="D123" t="str">
            <v>ESCAVADEIRA  CASE POCLAIN 988</v>
          </cell>
          <cell r="G123" t="str">
            <v>POC 988</v>
          </cell>
          <cell r="I123">
            <v>170</v>
          </cell>
          <cell r="J123">
            <v>6</v>
          </cell>
          <cell r="K123">
            <v>2000</v>
          </cell>
          <cell r="L123">
            <v>286000</v>
          </cell>
          <cell r="M123">
            <v>33.020000000000003</v>
          </cell>
          <cell r="N123">
            <v>0.8</v>
          </cell>
          <cell r="O123">
            <v>19.07</v>
          </cell>
          <cell r="P123" t="str">
            <v>D</v>
          </cell>
          <cell r="Q123">
            <v>0.15</v>
          </cell>
          <cell r="R123">
            <v>25.5</v>
          </cell>
          <cell r="S123" t="str">
            <v>20014</v>
          </cell>
          <cell r="T123">
            <v>1</v>
          </cell>
          <cell r="U123">
            <v>9.4700000000000006</v>
          </cell>
          <cell r="V123">
            <v>87.06</v>
          </cell>
          <cell r="W123">
            <v>42.49</v>
          </cell>
        </row>
        <row r="124">
          <cell r="B124" t="str">
            <v>33550</v>
          </cell>
          <cell r="D124" t="str">
            <v>RETROESCAVADEIRA CASE</v>
          </cell>
          <cell r="G124" t="str">
            <v>CASE 580</v>
          </cell>
          <cell r="I124">
            <v>74</v>
          </cell>
          <cell r="J124">
            <v>6</v>
          </cell>
          <cell r="K124">
            <v>2000</v>
          </cell>
          <cell r="L124">
            <v>77000</v>
          </cell>
          <cell r="M124">
            <v>8.89</v>
          </cell>
          <cell r="N124">
            <v>0.8</v>
          </cell>
          <cell r="O124">
            <v>5.13</v>
          </cell>
          <cell r="P124" t="str">
            <v>D</v>
          </cell>
          <cell r="Q124">
            <v>0.15</v>
          </cell>
          <cell r="R124">
            <v>11.1</v>
          </cell>
          <cell r="S124" t="str">
            <v>20014</v>
          </cell>
          <cell r="T124">
            <v>1</v>
          </cell>
          <cell r="U124">
            <v>9.4700000000000006</v>
          </cell>
          <cell r="V124">
            <v>34.589999999999996</v>
          </cell>
          <cell r="W124">
            <v>18.36</v>
          </cell>
        </row>
        <row r="125">
          <cell r="B125" t="str">
            <v>33560</v>
          </cell>
          <cell r="D125" t="str">
            <v>CARREGADEIRA MF-86</v>
          </cell>
          <cell r="G125" t="str">
            <v>MF-86</v>
          </cell>
          <cell r="I125">
            <v>74</v>
          </cell>
          <cell r="J125">
            <v>6</v>
          </cell>
          <cell r="K125">
            <v>2000</v>
          </cell>
          <cell r="L125">
            <v>89500</v>
          </cell>
          <cell r="M125">
            <v>10.33</v>
          </cell>
          <cell r="N125">
            <v>0.8</v>
          </cell>
          <cell r="O125">
            <v>5.97</v>
          </cell>
          <cell r="P125" t="str">
            <v>D</v>
          </cell>
          <cell r="Q125">
            <v>0.15</v>
          </cell>
          <cell r="R125">
            <v>11.1</v>
          </cell>
          <cell r="S125" t="str">
            <v>20014</v>
          </cell>
          <cell r="T125">
            <v>1</v>
          </cell>
          <cell r="U125">
            <v>9.4700000000000006</v>
          </cell>
          <cell r="V125">
            <v>36.869999999999997</v>
          </cell>
          <cell r="W125">
            <v>19.8</v>
          </cell>
        </row>
        <row r="126">
          <cell r="B126" t="str">
            <v>33600</v>
          </cell>
          <cell r="D126" t="str">
            <v>VASSOURA MECANICA FERLEX</v>
          </cell>
          <cell r="G126" t="str">
            <v>VM-7</v>
          </cell>
          <cell r="I126">
            <v>0</v>
          </cell>
          <cell r="J126">
            <v>8</v>
          </cell>
          <cell r="K126">
            <v>1000</v>
          </cell>
          <cell r="L126">
            <v>54482</v>
          </cell>
          <cell r="M126">
            <v>10.52</v>
          </cell>
          <cell r="N126">
            <v>0.8</v>
          </cell>
          <cell r="O126">
            <v>5.45</v>
          </cell>
          <cell r="Q126">
            <v>0</v>
          </cell>
          <cell r="R126">
            <v>0</v>
          </cell>
          <cell r="S126" t="str">
            <v>20014</v>
          </cell>
          <cell r="U126">
            <v>0</v>
          </cell>
          <cell r="V126">
            <v>15.969999999999999</v>
          </cell>
          <cell r="W126">
            <v>10.52</v>
          </cell>
        </row>
        <row r="127">
          <cell r="B127" t="str">
            <v>33610</v>
          </cell>
          <cell r="D127" t="str">
            <v>TANQUE PARA DEPOSITO DE EMULSAO</v>
          </cell>
          <cell r="G127" t="str">
            <v>TQ-EMULS</v>
          </cell>
          <cell r="J127">
            <v>5</v>
          </cell>
          <cell r="K127">
            <v>2000</v>
          </cell>
          <cell r="L127">
            <v>10000</v>
          </cell>
          <cell r="M127">
            <v>1.31</v>
          </cell>
          <cell r="N127">
            <v>0.8</v>
          </cell>
          <cell r="O127">
            <v>0.8</v>
          </cell>
          <cell r="Q127">
            <v>0</v>
          </cell>
          <cell r="R127">
            <v>0</v>
          </cell>
          <cell r="S127" t="str">
            <v>20014</v>
          </cell>
          <cell r="U127">
            <v>0</v>
          </cell>
          <cell r="V127">
            <v>2.1100000000000003</v>
          </cell>
          <cell r="W127">
            <v>1.31</v>
          </cell>
        </row>
        <row r="128">
          <cell r="B128" t="str">
            <v>33620</v>
          </cell>
          <cell r="D128" t="str">
            <v>TANQUE PARA DEPOSITO DE ASF. DILUÍDO</v>
          </cell>
          <cell r="G128" t="str">
            <v>TQ-ASF.</v>
          </cell>
          <cell r="J128">
            <v>5</v>
          </cell>
          <cell r="K128">
            <v>2000</v>
          </cell>
          <cell r="L128">
            <v>11000</v>
          </cell>
          <cell r="M128">
            <v>1.44</v>
          </cell>
          <cell r="N128">
            <v>0.8</v>
          </cell>
          <cell r="O128">
            <v>0.88</v>
          </cell>
          <cell r="Q128">
            <v>0</v>
          </cell>
          <cell r="R128">
            <v>0</v>
          </cell>
          <cell r="S128" t="str">
            <v>20014</v>
          </cell>
          <cell r="U128">
            <v>0</v>
          </cell>
          <cell r="V128">
            <v>2.3199999999999998</v>
          </cell>
          <cell r="W128">
            <v>1.44</v>
          </cell>
        </row>
        <row r="129">
          <cell r="B129" t="str">
            <v>33625</v>
          </cell>
          <cell r="D129" t="str">
            <v>TANQUE PARA DEPOSITO DE ASF. COM MACARICO</v>
          </cell>
          <cell r="G129" t="str">
            <v>TQ-ASF/MA</v>
          </cell>
          <cell r="J129">
            <v>5</v>
          </cell>
          <cell r="K129">
            <v>2000</v>
          </cell>
          <cell r="L129">
            <v>12410</v>
          </cell>
          <cell r="M129">
            <v>1.62</v>
          </cell>
          <cell r="N129">
            <v>0.8</v>
          </cell>
          <cell r="O129">
            <v>0.99</v>
          </cell>
          <cell r="S129" t="str">
            <v>20014</v>
          </cell>
          <cell r="V129">
            <v>2.6100000000000003</v>
          </cell>
          <cell r="W129">
            <v>1.62</v>
          </cell>
        </row>
        <row r="130">
          <cell r="B130" t="str">
            <v>33750</v>
          </cell>
          <cell r="D130" t="str">
            <v>REGUA VIBRATÓRIA ELÉTRICA 3,2M DYNAPAC</v>
          </cell>
          <cell r="G130" t="str">
            <v>BR361</v>
          </cell>
          <cell r="I130">
            <v>10</v>
          </cell>
          <cell r="J130">
            <v>3</v>
          </cell>
          <cell r="K130">
            <v>1500</v>
          </cell>
          <cell r="L130">
            <v>10421</v>
          </cell>
          <cell r="M130">
            <v>2.69</v>
          </cell>
          <cell r="N130">
            <v>0.8</v>
          </cell>
          <cell r="O130">
            <v>1.85</v>
          </cell>
          <cell r="P130" t="str">
            <v>E</v>
          </cell>
          <cell r="Q130">
            <v>0.63100000000000001</v>
          </cell>
          <cell r="R130">
            <v>1.7037000000000002</v>
          </cell>
          <cell r="S130" t="str">
            <v>20014</v>
          </cell>
          <cell r="U130">
            <v>0</v>
          </cell>
          <cell r="V130">
            <v>6.2437000000000005</v>
          </cell>
          <cell r="W130">
            <v>2.69</v>
          </cell>
        </row>
        <row r="131">
          <cell r="B131" t="str">
            <v>33900</v>
          </cell>
          <cell r="D131" t="str">
            <v>CAMINHAO BASCULANTE MB LK1114/36</v>
          </cell>
          <cell r="G131" t="str">
            <v>4 M3 - T</v>
          </cell>
          <cell r="I131">
            <v>145</v>
          </cell>
          <cell r="J131">
            <v>5</v>
          </cell>
          <cell r="K131">
            <v>2000</v>
          </cell>
          <cell r="M131">
            <v>0</v>
          </cell>
          <cell r="N131">
            <v>0.8</v>
          </cell>
          <cell r="O131">
            <v>0</v>
          </cell>
          <cell r="P131" t="str">
            <v>D</v>
          </cell>
          <cell r="Q131">
            <v>0.15</v>
          </cell>
          <cell r="R131">
            <v>21.75</v>
          </cell>
          <cell r="S131" t="str">
            <v>20015</v>
          </cell>
          <cell r="T131">
            <v>1</v>
          </cell>
          <cell r="U131">
            <v>7.21</v>
          </cell>
          <cell r="V131">
            <v>28.96</v>
          </cell>
          <cell r="W131">
            <v>7.21</v>
          </cell>
        </row>
        <row r="132">
          <cell r="B132" t="str">
            <v>33910</v>
          </cell>
          <cell r="D132" t="str">
            <v>CAMINHAO BASCULANTE MB LK1114/36</v>
          </cell>
          <cell r="G132" t="str">
            <v>4 M3 - R</v>
          </cell>
          <cell r="I132">
            <v>145</v>
          </cell>
          <cell r="J132">
            <v>5</v>
          </cell>
          <cell r="K132">
            <v>2000</v>
          </cell>
          <cell r="M132">
            <v>0</v>
          </cell>
          <cell r="N132">
            <v>0.8</v>
          </cell>
          <cell r="O132">
            <v>0</v>
          </cell>
          <cell r="P132" t="str">
            <v>D</v>
          </cell>
          <cell r="Q132">
            <v>0.15</v>
          </cell>
          <cell r="R132">
            <v>21.75</v>
          </cell>
          <cell r="S132" t="str">
            <v>20015</v>
          </cell>
          <cell r="T132">
            <v>1</v>
          </cell>
          <cell r="U132">
            <v>7.21</v>
          </cell>
          <cell r="V132">
            <v>28.96</v>
          </cell>
          <cell r="W132">
            <v>7.21</v>
          </cell>
        </row>
        <row r="133">
          <cell r="B133" t="str">
            <v>33920</v>
          </cell>
          <cell r="D133" t="str">
            <v>CAMINHAO BASCULANTE MB LK1318/36</v>
          </cell>
          <cell r="G133" t="str">
            <v>5 M3 - T</v>
          </cell>
          <cell r="I133">
            <v>145</v>
          </cell>
          <cell r="J133">
            <v>5</v>
          </cell>
          <cell r="K133">
            <v>2000</v>
          </cell>
          <cell r="M133">
            <v>0</v>
          </cell>
          <cell r="N133">
            <v>0.8</v>
          </cell>
          <cell r="O133">
            <v>0</v>
          </cell>
          <cell r="P133" t="str">
            <v>D</v>
          </cell>
          <cell r="Q133">
            <v>0.15</v>
          </cell>
          <cell r="R133">
            <v>21.75</v>
          </cell>
          <cell r="S133" t="str">
            <v>20015</v>
          </cell>
          <cell r="T133">
            <v>1</v>
          </cell>
          <cell r="U133">
            <v>7.21</v>
          </cell>
          <cell r="V133">
            <v>28.96</v>
          </cell>
          <cell r="W133">
            <v>7.21</v>
          </cell>
        </row>
        <row r="134">
          <cell r="B134" t="str">
            <v>33930</v>
          </cell>
          <cell r="D134" t="str">
            <v>CAMINHAO BASCULANTE MB LK1318/36</v>
          </cell>
          <cell r="G134" t="str">
            <v>5 M3 - R</v>
          </cell>
          <cell r="I134">
            <v>145</v>
          </cell>
          <cell r="J134">
            <v>5</v>
          </cell>
          <cell r="K134">
            <v>2000</v>
          </cell>
          <cell r="M134">
            <v>0</v>
          </cell>
          <cell r="N134">
            <v>0.8</v>
          </cell>
          <cell r="O134">
            <v>0</v>
          </cell>
          <cell r="P134" t="str">
            <v>D</v>
          </cell>
          <cell r="Q134">
            <v>0.15</v>
          </cell>
          <cell r="R134">
            <v>21.75</v>
          </cell>
          <cell r="S134" t="str">
            <v>20015</v>
          </cell>
          <cell r="T134">
            <v>1</v>
          </cell>
          <cell r="U134">
            <v>7.21</v>
          </cell>
          <cell r="V134">
            <v>28.96</v>
          </cell>
          <cell r="W134">
            <v>7.21</v>
          </cell>
        </row>
        <row r="135">
          <cell r="B135" t="str">
            <v>33940</v>
          </cell>
          <cell r="D135" t="str">
            <v>CAMINHAO BASCULANTE MB LK1518/42</v>
          </cell>
          <cell r="G135" t="str">
            <v>6 M3 - T</v>
          </cell>
          <cell r="I135">
            <v>145</v>
          </cell>
          <cell r="J135">
            <v>5</v>
          </cell>
          <cell r="K135">
            <v>2000</v>
          </cell>
          <cell r="L135">
            <v>129000</v>
          </cell>
          <cell r="M135">
            <v>16.88</v>
          </cell>
          <cell r="N135">
            <v>0.8</v>
          </cell>
          <cell r="O135">
            <v>10.32</v>
          </cell>
          <cell r="P135" t="str">
            <v>D</v>
          </cell>
          <cell r="Q135">
            <v>0.15</v>
          </cell>
          <cell r="R135">
            <v>21.75</v>
          </cell>
          <cell r="S135" t="str">
            <v>20015</v>
          </cell>
          <cell r="T135">
            <v>1</v>
          </cell>
          <cell r="U135">
            <v>7.21</v>
          </cell>
          <cell r="V135">
            <v>56.160000000000004</v>
          </cell>
          <cell r="W135">
            <v>24.09</v>
          </cell>
        </row>
        <row r="136">
          <cell r="B136" t="str">
            <v>33950</v>
          </cell>
          <cell r="D136" t="str">
            <v>CAMINHAO BASCULANTE MB LK1518/42</v>
          </cell>
          <cell r="G136" t="str">
            <v>6 M3 - R</v>
          </cell>
          <cell r="I136">
            <v>145</v>
          </cell>
          <cell r="J136">
            <v>5</v>
          </cell>
          <cell r="K136">
            <v>2000</v>
          </cell>
          <cell r="L136">
            <v>132000</v>
          </cell>
          <cell r="M136">
            <v>17.27</v>
          </cell>
          <cell r="N136">
            <v>0.8</v>
          </cell>
          <cell r="O136">
            <v>10.56</v>
          </cell>
          <cell r="P136" t="str">
            <v>D</v>
          </cell>
          <cell r="Q136">
            <v>0.15</v>
          </cell>
          <cell r="R136">
            <v>21.75</v>
          </cell>
          <cell r="S136" t="str">
            <v>20015</v>
          </cell>
          <cell r="T136">
            <v>1</v>
          </cell>
          <cell r="U136">
            <v>7.21</v>
          </cell>
          <cell r="V136">
            <v>56.79</v>
          </cell>
          <cell r="W136">
            <v>24.48</v>
          </cell>
        </row>
        <row r="137">
          <cell r="B137" t="str">
            <v>33960</v>
          </cell>
          <cell r="D137" t="str">
            <v>CAMINHAO BASCULANTE MB LK2214/36</v>
          </cell>
          <cell r="G137" t="str">
            <v>10 M3 - T</v>
          </cell>
          <cell r="I137">
            <v>130</v>
          </cell>
          <cell r="J137">
            <v>5</v>
          </cell>
          <cell r="K137">
            <v>2000</v>
          </cell>
          <cell r="L137">
            <v>147202</v>
          </cell>
          <cell r="M137">
            <v>19.260000000000002</v>
          </cell>
          <cell r="N137">
            <v>0.8</v>
          </cell>
          <cell r="O137">
            <v>11.78</v>
          </cell>
          <cell r="P137" t="str">
            <v>D</v>
          </cell>
          <cell r="Q137">
            <v>0.15</v>
          </cell>
          <cell r="R137">
            <v>19.5</v>
          </cell>
          <cell r="S137" t="str">
            <v>20015</v>
          </cell>
          <cell r="T137">
            <v>1</v>
          </cell>
          <cell r="U137">
            <v>7.21</v>
          </cell>
          <cell r="V137">
            <v>57.75</v>
          </cell>
          <cell r="W137">
            <v>26.470000000000002</v>
          </cell>
        </row>
        <row r="138">
          <cell r="B138" t="str">
            <v>33970</v>
          </cell>
          <cell r="D138" t="str">
            <v>CAMINHAO BASCULANTE MB LK2214/36</v>
          </cell>
          <cell r="G138" t="str">
            <v>10 M3 - R</v>
          </cell>
          <cell r="I138">
            <v>145</v>
          </cell>
          <cell r="J138">
            <v>5</v>
          </cell>
          <cell r="K138">
            <v>2000</v>
          </cell>
          <cell r="L138">
            <v>141052</v>
          </cell>
          <cell r="M138">
            <v>18.45</v>
          </cell>
          <cell r="N138">
            <v>0.8</v>
          </cell>
          <cell r="O138">
            <v>11.28</v>
          </cell>
          <cell r="P138" t="str">
            <v>D</v>
          </cell>
          <cell r="Q138">
            <v>0.15</v>
          </cell>
          <cell r="R138">
            <v>21.75</v>
          </cell>
          <cell r="S138" t="str">
            <v>20015</v>
          </cell>
          <cell r="T138">
            <v>1</v>
          </cell>
          <cell r="U138">
            <v>7.21</v>
          </cell>
          <cell r="V138">
            <v>58.69</v>
          </cell>
          <cell r="W138">
            <v>25.66</v>
          </cell>
        </row>
        <row r="139">
          <cell r="B139" t="str">
            <v>33975</v>
          </cell>
          <cell r="D139" t="str">
            <v>CAMINHÃO BASCULANTE MB 2423K (TRUNCADO)</v>
          </cell>
          <cell r="G139" t="str">
            <v>10 M3 - TRUC</v>
          </cell>
          <cell r="I139">
            <v>231</v>
          </cell>
          <cell r="J139">
            <v>5</v>
          </cell>
          <cell r="K139">
            <v>2000</v>
          </cell>
          <cell r="L139">
            <v>145780</v>
          </cell>
          <cell r="M139">
            <v>19.07</v>
          </cell>
          <cell r="N139">
            <v>0.8</v>
          </cell>
          <cell r="O139">
            <v>11.66</v>
          </cell>
          <cell r="P139" t="str">
            <v>D</v>
          </cell>
          <cell r="Q139">
            <v>0.15</v>
          </cell>
          <cell r="R139">
            <v>34.65</v>
          </cell>
          <cell r="S139" t="str">
            <v>20015</v>
          </cell>
          <cell r="T139">
            <v>1</v>
          </cell>
          <cell r="U139">
            <v>7.21</v>
          </cell>
          <cell r="V139">
            <v>72.589999999999989</v>
          </cell>
          <cell r="W139">
            <v>26.28</v>
          </cell>
        </row>
        <row r="140">
          <cell r="B140" t="str">
            <v>33980</v>
          </cell>
          <cell r="D140" t="str">
            <v>CAMINHAO BASCULANTE SCANIA LS111/38</v>
          </cell>
          <cell r="G140" t="str">
            <v>12 M3 - T</v>
          </cell>
          <cell r="I140">
            <v>207</v>
          </cell>
          <cell r="J140">
            <v>5</v>
          </cell>
          <cell r="K140">
            <v>2000</v>
          </cell>
          <cell r="L140">
            <v>157500</v>
          </cell>
          <cell r="M140">
            <v>20.61</v>
          </cell>
          <cell r="N140">
            <v>0.8</v>
          </cell>
          <cell r="O140">
            <v>12.6</v>
          </cell>
          <cell r="P140" t="str">
            <v>D</v>
          </cell>
          <cell r="Q140">
            <v>0.15</v>
          </cell>
          <cell r="R140">
            <v>31.049999999999997</v>
          </cell>
          <cell r="S140" t="str">
            <v>20015</v>
          </cell>
          <cell r="T140">
            <v>1</v>
          </cell>
          <cell r="U140">
            <v>7.21</v>
          </cell>
          <cell r="V140">
            <v>71.469999999999985</v>
          </cell>
          <cell r="W140">
            <v>27.82</v>
          </cell>
        </row>
        <row r="141">
          <cell r="B141" t="str">
            <v>33990</v>
          </cell>
          <cell r="D141" t="str">
            <v>CAMINHAO BASCULANTE SCANIA LS111/38</v>
          </cell>
          <cell r="G141" t="str">
            <v>12 M3 - R</v>
          </cell>
          <cell r="I141">
            <v>207</v>
          </cell>
          <cell r="J141">
            <v>5</v>
          </cell>
          <cell r="K141">
            <v>2000</v>
          </cell>
          <cell r="L141">
            <v>162500</v>
          </cell>
          <cell r="M141">
            <v>21.26</v>
          </cell>
          <cell r="N141">
            <v>0.8</v>
          </cell>
          <cell r="O141">
            <v>13</v>
          </cell>
          <cell r="P141" t="str">
            <v>D</v>
          </cell>
          <cell r="Q141">
            <v>0.15</v>
          </cell>
          <cell r="R141">
            <v>31.049999999999997</v>
          </cell>
          <cell r="S141" t="str">
            <v>20015</v>
          </cell>
          <cell r="T141">
            <v>1</v>
          </cell>
          <cell r="U141">
            <v>7.21</v>
          </cell>
          <cell r="V141">
            <v>72.52</v>
          </cell>
          <cell r="W141">
            <v>28.470000000000002</v>
          </cell>
        </row>
        <row r="142">
          <cell r="B142" t="str">
            <v>34000</v>
          </cell>
          <cell r="D142" t="str">
            <v>CAMINHAO FORA ESTRADA TEREX 13M3-20T</v>
          </cell>
          <cell r="G142" t="str">
            <v>R-22 T</v>
          </cell>
          <cell r="I142">
            <v>240</v>
          </cell>
          <cell r="J142">
            <v>5</v>
          </cell>
          <cell r="K142">
            <v>2000</v>
          </cell>
          <cell r="M142">
            <v>0</v>
          </cell>
          <cell r="N142">
            <v>0.8</v>
          </cell>
          <cell r="O142">
            <v>0</v>
          </cell>
          <cell r="P142" t="str">
            <v>D</v>
          </cell>
          <cell r="Q142">
            <v>0.15</v>
          </cell>
          <cell r="R142">
            <v>36</v>
          </cell>
          <cell r="S142" t="str">
            <v>20015</v>
          </cell>
          <cell r="T142">
            <v>1</v>
          </cell>
          <cell r="U142">
            <v>7.21</v>
          </cell>
          <cell r="V142">
            <v>43.21</v>
          </cell>
          <cell r="W142">
            <v>7.21</v>
          </cell>
        </row>
        <row r="143">
          <cell r="B143" t="str">
            <v>34010</v>
          </cell>
          <cell r="D143" t="str">
            <v>CAMINHAO FORA ESTRADA TEREX 13M3-20T</v>
          </cell>
          <cell r="G143" t="str">
            <v>R-22 R</v>
          </cell>
          <cell r="I143">
            <v>240</v>
          </cell>
          <cell r="J143">
            <v>5</v>
          </cell>
          <cell r="K143">
            <v>2000</v>
          </cell>
          <cell r="M143">
            <v>0</v>
          </cell>
          <cell r="N143">
            <v>0.8</v>
          </cell>
          <cell r="O143">
            <v>0</v>
          </cell>
          <cell r="P143" t="str">
            <v>D</v>
          </cell>
          <cell r="Q143">
            <v>0.15</v>
          </cell>
          <cell r="R143">
            <v>36</v>
          </cell>
          <cell r="S143" t="str">
            <v>20015</v>
          </cell>
          <cell r="T143">
            <v>1</v>
          </cell>
          <cell r="U143">
            <v>7.21</v>
          </cell>
          <cell r="V143">
            <v>43.21</v>
          </cell>
          <cell r="W143">
            <v>7.21</v>
          </cell>
        </row>
        <row r="144">
          <cell r="B144" t="str">
            <v>34020</v>
          </cell>
          <cell r="D144" t="str">
            <v>CAMINHAO FORA ESTRADA CATERPILLAR 23M3-33T</v>
          </cell>
          <cell r="G144" t="str">
            <v>CAT-769 T</v>
          </cell>
          <cell r="I144">
            <v>415</v>
          </cell>
          <cell r="J144">
            <v>5</v>
          </cell>
          <cell r="K144">
            <v>2000</v>
          </cell>
          <cell r="M144">
            <v>0</v>
          </cell>
          <cell r="N144">
            <v>0.8</v>
          </cell>
          <cell r="O144">
            <v>0</v>
          </cell>
          <cell r="P144" t="str">
            <v>D</v>
          </cell>
          <cell r="Q144">
            <v>0.15</v>
          </cell>
          <cell r="R144">
            <v>62.25</v>
          </cell>
          <cell r="S144" t="str">
            <v>20015</v>
          </cell>
          <cell r="T144">
            <v>1</v>
          </cell>
          <cell r="U144">
            <v>7.21</v>
          </cell>
          <cell r="V144">
            <v>69.459999999999994</v>
          </cell>
          <cell r="W144">
            <v>7.21</v>
          </cell>
        </row>
        <row r="145">
          <cell r="B145" t="str">
            <v>34030</v>
          </cell>
          <cell r="D145" t="str">
            <v>CAMINHAO FORA ESTRADA CATERPILLAR 23M3-33T</v>
          </cell>
          <cell r="G145" t="str">
            <v>CAT-769 R</v>
          </cell>
          <cell r="I145">
            <v>415</v>
          </cell>
          <cell r="J145">
            <v>5</v>
          </cell>
          <cell r="K145">
            <v>2000</v>
          </cell>
          <cell r="M145">
            <v>0</v>
          </cell>
          <cell r="N145">
            <v>0.8</v>
          </cell>
          <cell r="O145">
            <v>0</v>
          </cell>
          <cell r="P145" t="str">
            <v>D</v>
          </cell>
          <cell r="Q145">
            <v>0.15</v>
          </cell>
          <cell r="R145">
            <v>62.25</v>
          </cell>
          <cell r="S145" t="str">
            <v>20015</v>
          </cell>
          <cell r="T145">
            <v>1</v>
          </cell>
          <cell r="U145">
            <v>7.21</v>
          </cell>
          <cell r="V145">
            <v>69.459999999999994</v>
          </cell>
          <cell r="W145">
            <v>7.21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 A"/>
      <sheetName val="Resumo B"/>
      <sheetName val="Auxiliar"/>
      <sheetName val="COMPOSIÇÃO C"/>
      <sheetName val="P A T O 98 D"/>
      <sheetName val="Trans 98 E"/>
      <sheetName val="Cronograma 98 F"/>
      <sheetName val="Preços 98 G"/>
      <sheetName val="Croqui H"/>
      <sheetName val="Pesquisa"/>
      <sheetName val="patobr153"/>
      <sheetName val="Preços"/>
      <sheetName val="Transporte"/>
      <sheetName val="P A T O 99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_133L2"/>
      <sheetName val="Sheet1"/>
      <sheetName val="Dados de entrada"/>
      <sheetName val="BDI_19"/>
      <sheetName val="MO"/>
      <sheetName val="Resumo"/>
      <sheetName val="CBEMI"/>
      <sheetName val="CRONO-FIS-FIN"/>
      <sheetName val="COMPARATIVO"/>
      <sheetName val="TERRAPL"/>
      <sheetName val="PAV"/>
      <sheetName val="Mat_Bet"/>
      <sheetName val="DREN"/>
      <sheetName val="SIN"/>
      <sheetName val="COMPLEM"/>
      <sheetName val="INSTAL.ROD"/>
      <sheetName val="ILUM.PUBL"/>
      <sheetName val="AMB"/>
      <sheetName val="MOB_CANT"/>
      <sheetName val="OAE"/>
      <sheetName val="AUX"/>
      <sheetName val="MAT_Ilum"/>
      <sheetName val="MAT"/>
      <sheetName val="CHE"/>
      <sheetName val="DMT"/>
      <sheetName val="Incidência Auxiliar"/>
      <sheetName val="Prod. Eq. Mec."/>
      <sheetName val="Encargos Sociais"/>
      <sheetName val="ED_133L2.XLS"/>
    </sheetNames>
    <definedNames>
      <definedName name="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s>
    <sheetDataSet>
      <sheetData sheetId="0"/>
      <sheetData sheetId="1"/>
      <sheetData sheetId="2"/>
      <sheetData sheetId="3">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e">
            <v>#N/A</v>
          </cell>
          <cell r="D91" t="str">
            <v>M3</v>
          </cell>
          <cell r="E91">
            <v>2.6599999999999997</v>
          </cell>
        </row>
        <row r="92">
          <cell r="B92" t="str">
            <v>48008</v>
          </cell>
          <cell r="C92" t="e">
            <v>#N/A</v>
          </cell>
          <cell r="D92" t="str">
            <v>M3</v>
          </cell>
          <cell r="E92">
            <v>4.1100000000000003</v>
          </cell>
        </row>
        <row r="93">
          <cell r="B93" t="str">
            <v>48009</v>
          </cell>
          <cell r="C93" t="e">
            <v>#N/A</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e">
            <v>#N/A</v>
          </cell>
          <cell r="C109" t="str">
            <v>CAUQ (NA USINA) - PARA CONSERVACAO RODOVIARIA</v>
          </cell>
          <cell r="D109" t="str">
            <v>T</v>
          </cell>
          <cell r="E109">
            <v>38.5</v>
          </cell>
        </row>
        <row r="110">
          <cell r="B110" t="e">
            <v>#N/A</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e">
            <v>#N/A</v>
          </cell>
          <cell r="D148" t="str">
            <v>M</v>
          </cell>
          <cell r="E148">
            <v>66.209999999999994</v>
          </cell>
        </row>
        <row r="149">
          <cell r="B149" t="str">
            <v>49190</v>
          </cell>
          <cell r="C149" t="e">
            <v>#N/A</v>
          </cell>
          <cell r="D149" t="str">
            <v>M2</v>
          </cell>
          <cell r="E149">
            <v>0.12</v>
          </cell>
        </row>
        <row r="150">
          <cell r="B150" t="str">
            <v>49200</v>
          </cell>
          <cell r="C150" t="e">
            <v>#N/A</v>
          </cell>
          <cell r="D150" t="str">
            <v>HA</v>
          </cell>
          <cell r="E150">
            <v>104.35</v>
          </cell>
        </row>
        <row r="151">
          <cell r="B151" t="str">
            <v>49210</v>
          </cell>
          <cell r="C151" t="e">
            <v>#N/A</v>
          </cell>
          <cell r="D151" t="str">
            <v>M2</v>
          </cell>
          <cell r="E151">
            <v>0.05</v>
          </cell>
        </row>
        <row r="152">
          <cell r="B152" t="str">
            <v>49220</v>
          </cell>
          <cell r="C152" t="e">
            <v>#N/A</v>
          </cell>
          <cell r="D152" t="str">
            <v>M3</v>
          </cell>
          <cell r="E152">
            <v>412.58</v>
          </cell>
        </row>
        <row r="153">
          <cell r="B153" t="str">
            <v>49230</v>
          </cell>
          <cell r="C153" t="e">
            <v>#N/A</v>
          </cell>
          <cell r="D153" t="str">
            <v>M3</v>
          </cell>
          <cell r="E153">
            <v>330.47</v>
          </cell>
        </row>
        <row r="154">
          <cell r="B154" t="str">
            <v>49301</v>
          </cell>
          <cell r="C154" t="e">
            <v>#N/A</v>
          </cell>
          <cell r="D154" t="str">
            <v>M3</v>
          </cell>
          <cell r="E154">
            <v>4.54</v>
          </cell>
        </row>
        <row r="155">
          <cell r="B155" t="str">
            <v>49302</v>
          </cell>
          <cell r="C155" t="str">
            <v>REATERRO E APILOAMENTO EM CAMADAS DE 20 CM</v>
          </cell>
          <cell r="D155" t="str">
            <v>M3</v>
          </cell>
          <cell r="E155">
            <v>6.6</v>
          </cell>
        </row>
        <row r="156">
          <cell r="B156" t="str">
            <v>49303</v>
          </cell>
          <cell r="C156" t="e">
            <v>#N/A</v>
          </cell>
          <cell r="D156" t="str">
            <v>T</v>
          </cell>
          <cell r="E156">
            <v>11.64</v>
          </cell>
        </row>
        <row r="157">
          <cell r="B157" t="str">
            <v>49400</v>
          </cell>
          <cell r="C157" t="e">
            <v>#N/A</v>
          </cell>
          <cell r="D157" t="str">
            <v>H</v>
          </cell>
          <cell r="E157">
            <v>59.2</v>
          </cell>
        </row>
        <row r="158">
          <cell r="B158" t="str">
            <v>49401</v>
          </cell>
          <cell r="C158" t="e">
            <v>#N/A</v>
          </cell>
          <cell r="D158" t="str">
            <v>H</v>
          </cell>
          <cell r="E158">
            <v>55.65</v>
          </cell>
        </row>
        <row r="159">
          <cell r="B159" t="str">
            <v>49402</v>
          </cell>
          <cell r="C159" t="e">
            <v>#N/A</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e">
            <v>#N/A</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e">
            <v>#N/A</v>
          </cell>
          <cell r="D220" t="str">
            <v>M</v>
          </cell>
          <cell r="E220" t="e">
            <v>#N/A</v>
          </cell>
        </row>
        <row r="221">
          <cell r="B221" t="e">
            <v>#N/A</v>
          </cell>
          <cell r="C221" t="e">
            <v>#N/A</v>
          </cell>
          <cell r="D221" t="str">
            <v>M</v>
          </cell>
          <cell r="E221" t="e">
            <v>#N/A</v>
          </cell>
        </row>
        <row r="222">
          <cell r="B222" t="e">
            <v>#N/A</v>
          </cell>
          <cell r="C222" t="e">
            <v>#N/A</v>
          </cell>
          <cell r="D222" t="str">
            <v>M</v>
          </cell>
          <cell r="E222" t="e">
            <v>#N/A</v>
          </cell>
        </row>
        <row r="223">
          <cell r="B223" t="e">
            <v>#N/A</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t="str">
            <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row r="529">
          <cell r="B529" t="str">
            <v>18080</v>
          </cell>
          <cell r="C529" t="str">
            <v>TUBO D= 60 CM  -  CA-1</v>
          </cell>
          <cell r="D529" t="str">
            <v>M</v>
          </cell>
          <cell r="E529" t="e">
            <v>#N/A</v>
          </cell>
        </row>
        <row r="530">
          <cell r="B530" t="str">
            <v>18090</v>
          </cell>
          <cell r="C530" t="str">
            <v xml:space="preserve">PROTENSÃO E INJEÇÃO DE NATA </v>
          </cell>
          <cell r="D530" t="str">
            <v>KG</v>
          </cell>
          <cell r="E530">
            <v>0.94</v>
          </cell>
        </row>
        <row r="531">
          <cell r="B531" t="str">
            <v>18120</v>
          </cell>
          <cell r="C531" t="str">
            <v>PEDRA DE MAO COMERCIAL - RACHÃO</v>
          </cell>
          <cell r="D531" t="str">
            <v>M3</v>
          </cell>
          <cell r="E531" t="str">
            <v>12,00</v>
          </cell>
        </row>
        <row r="532">
          <cell r="B532" t="str">
            <v>18160</v>
          </cell>
          <cell r="C532" t="str">
            <v>TUBO DE FERRO GALVANIZADO DN=100 MM</v>
          </cell>
          <cell r="D532" t="str">
            <v>M</v>
          </cell>
          <cell r="E532">
            <v>37</v>
          </cell>
        </row>
        <row r="533">
          <cell r="B533" t="str">
            <v>18170</v>
          </cell>
          <cell r="C533" t="str">
            <v>PINTURA COM SILICONE S/ESTRUTURA NOVA DE CONCRETO</v>
          </cell>
          <cell r="D533" t="str">
            <v>M2</v>
          </cell>
          <cell r="E533">
            <v>8</v>
          </cell>
        </row>
        <row r="534">
          <cell r="B534" t="str">
            <v>18180</v>
          </cell>
          <cell r="C534" t="str">
            <v>SILICONE A BASE DE SOLVENTE</v>
          </cell>
          <cell r="D534" t="str">
            <v>L</v>
          </cell>
          <cell r="E534">
            <v>4</v>
          </cell>
        </row>
        <row r="535">
          <cell r="B535" t="str">
            <v>18190</v>
          </cell>
          <cell r="C535" t="str">
            <v>CONCRETO PROJETADO</v>
          </cell>
          <cell r="D535" t="str">
            <v>M3</v>
          </cell>
          <cell r="E535">
            <v>326.98</v>
          </cell>
        </row>
        <row r="536">
          <cell r="B536" t="str">
            <v>18200</v>
          </cell>
          <cell r="C536" t="str">
            <v>TERRA ARM - ELEM CONSTR. - MAC GREIDE 0 A 6M</v>
          </cell>
          <cell r="D536" t="str">
            <v>M2</v>
          </cell>
          <cell r="E536">
            <v>32</v>
          </cell>
        </row>
        <row r="537">
          <cell r="B537" t="str">
            <v>18230</v>
          </cell>
          <cell r="C537" t="str">
            <v>TERRA ARM - ELEM CONSTR. TECNOL, PROJ E ASSIT. TEC.</v>
          </cell>
          <cell r="D537" t="str">
            <v>VB</v>
          </cell>
          <cell r="E537">
            <v>75</v>
          </cell>
        </row>
        <row r="538">
          <cell r="B538" t="str">
            <v>18250</v>
          </cell>
          <cell r="C538" t="str">
            <v>TERRA ARM - ELEM CONSTR. - MAC GREIDE 6 A 9M</v>
          </cell>
          <cell r="D538" t="str">
            <v>M2</v>
          </cell>
          <cell r="E538">
            <v>36</v>
          </cell>
        </row>
        <row r="539">
          <cell r="B539" t="str">
            <v>18300</v>
          </cell>
          <cell r="C539" t="str">
            <v>TERRA ARM - ELEM CONSTR. - MAC GREIDE 9 A 12M</v>
          </cell>
          <cell r="D539" t="str">
            <v>M2</v>
          </cell>
          <cell r="E539">
            <v>39</v>
          </cell>
        </row>
        <row r="540">
          <cell r="B540" t="str">
            <v>18350</v>
          </cell>
          <cell r="C540" t="str">
            <v>TERRA ARM - ELEM CONSTR. - MAC PÉ TALUDE 0 A 6M</v>
          </cell>
          <cell r="D540" t="str">
            <v>M2</v>
          </cell>
          <cell r="E540">
            <v>28</v>
          </cell>
        </row>
        <row r="541">
          <cell r="B541" t="str">
            <v>18400</v>
          </cell>
          <cell r="C541" t="str">
            <v>TERRA ARM - ELEM CONSTR. - MAC PÉ TALUDE 6 A 9M</v>
          </cell>
          <cell r="D541" t="str">
            <v>M2</v>
          </cell>
          <cell r="E541">
            <v>31</v>
          </cell>
        </row>
        <row r="542">
          <cell r="B542" t="str">
            <v>18450</v>
          </cell>
          <cell r="C542" t="str">
            <v>TERRA ARM - ELEM CONSTR. - MAC PÉ TALUDE 9 A 12M</v>
          </cell>
          <cell r="D542" t="str">
            <v>M2</v>
          </cell>
          <cell r="E542">
            <v>34</v>
          </cell>
        </row>
        <row r="543">
          <cell r="B543" t="str">
            <v>18470</v>
          </cell>
          <cell r="C543" t="str">
            <v>TUBOS PARA CONCRETAGEM</v>
          </cell>
          <cell r="D543" t="str">
            <v>VB</v>
          </cell>
          <cell r="E543">
            <v>10</v>
          </cell>
        </row>
        <row r="544">
          <cell r="B544" t="str">
            <v>18480</v>
          </cell>
          <cell r="C544" t="str">
            <v>TUBOS PARA BENTONITA</v>
          </cell>
          <cell r="D544" t="str">
            <v>VB</v>
          </cell>
          <cell r="E544">
            <v>10</v>
          </cell>
        </row>
        <row r="545">
          <cell r="B545" t="str">
            <v>18500</v>
          </cell>
          <cell r="C545" t="str">
            <v>TERRA ARM - ELEM CONSTR. - MURO ENCONTRO 0 A 6M</v>
          </cell>
          <cell r="D545" t="str">
            <v>M2</v>
          </cell>
          <cell r="E545">
            <v>34.5</v>
          </cell>
        </row>
        <row r="546">
          <cell r="B546" t="str">
            <v>18550</v>
          </cell>
          <cell r="C546" t="str">
            <v>TERRA ARM - ELEM CONSTR. - MURO ENCONTRO 6 A 9M</v>
          </cell>
          <cell r="D546" t="str">
            <v>M2</v>
          </cell>
          <cell r="E546">
            <v>37.5</v>
          </cell>
        </row>
        <row r="547">
          <cell r="B547" t="str">
            <v>18600</v>
          </cell>
          <cell r="C547" t="str">
            <v>TERRA ARM - ELEM CONSTR. - MURO ENCONTRO 9 A 12M</v>
          </cell>
          <cell r="D547" t="str">
            <v>M2</v>
          </cell>
          <cell r="E547">
            <v>40.5</v>
          </cell>
        </row>
        <row r="548">
          <cell r="B548" t="str">
            <v>18610</v>
          </cell>
          <cell r="C548" t="str">
            <v>TIRANTES (GEWI 50/55) Q.TRAB=200 KN</v>
          </cell>
          <cell r="D548" t="str">
            <v>M</v>
          </cell>
          <cell r="E548">
            <v>65</v>
          </cell>
        </row>
        <row r="549">
          <cell r="B549" t="str">
            <v>18620</v>
          </cell>
          <cell r="C549" t="str">
            <v>TIRANTES (GEWI 85/105) Q.TRAB=350 KN</v>
          </cell>
          <cell r="D549" t="str">
            <v>M</v>
          </cell>
          <cell r="E549">
            <v>85</v>
          </cell>
        </row>
        <row r="550">
          <cell r="B550" t="str">
            <v>18630</v>
          </cell>
          <cell r="C550" t="str">
            <v>BULBO DE ANCOR ROCHA, P/TIRANTES Q.TRAB=200 KN</v>
          </cell>
          <cell r="D550" t="str">
            <v>M</v>
          </cell>
          <cell r="E550">
            <v>104</v>
          </cell>
        </row>
        <row r="551">
          <cell r="B551" t="str">
            <v>18640</v>
          </cell>
          <cell r="C551" t="str">
            <v>BULBO DE ANCOR SOLO, P/TIRANTES Q.TRAB=200 KN</v>
          </cell>
          <cell r="D551" t="str">
            <v>M</v>
          </cell>
          <cell r="E551">
            <v>91</v>
          </cell>
        </row>
        <row r="552">
          <cell r="B552" t="str">
            <v>18650</v>
          </cell>
          <cell r="C552" t="str">
            <v>BULBO DE ANCOR ROCHA, P/TIRANTES Q.TRAB=350 KN</v>
          </cell>
          <cell r="D552" t="str">
            <v>M</v>
          </cell>
          <cell r="E552">
            <v>143</v>
          </cell>
        </row>
        <row r="553">
          <cell r="B553" t="str">
            <v>18660</v>
          </cell>
          <cell r="C553" t="str">
            <v>BULBO DE ANCOR SOLO, P/TIRANTES Q.TRAB=350 KN</v>
          </cell>
          <cell r="D553" t="str">
            <v>M</v>
          </cell>
          <cell r="E553">
            <v>137</v>
          </cell>
        </row>
        <row r="554">
          <cell r="B554" t="str">
            <v>18700</v>
          </cell>
          <cell r="C554" t="str">
            <v>ATER.REFORÇ. C/ELEM REFORÇO (0,5x1,0x4,0) (MALHA 8X10)</v>
          </cell>
          <cell r="D554" t="str">
            <v>UN</v>
          </cell>
          <cell r="E554">
            <v>170.89</v>
          </cell>
        </row>
        <row r="555">
          <cell r="B555" t="str">
            <v>18750</v>
          </cell>
          <cell r="C555" t="str">
            <v>ATER.REFORÇ. C/ELEM REFORÇO (1,0x1,0x4,0) (MALHA 8X10)</v>
          </cell>
          <cell r="D555" t="str">
            <v>UN</v>
          </cell>
          <cell r="E555">
            <v>207.27</v>
          </cell>
        </row>
        <row r="556">
          <cell r="B556" t="str">
            <v>18800</v>
          </cell>
          <cell r="C556" t="str">
            <v>DRENO FIBRO-QUÍMICO</v>
          </cell>
          <cell r="D556" t="str">
            <v>M</v>
          </cell>
          <cell r="E556">
            <v>3.3</v>
          </cell>
        </row>
        <row r="557">
          <cell r="B557" t="str">
            <v>19000</v>
          </cell>
          <cell r="C557" t="str">
            <v>ROYALTIE DE JAZIDA</v>
          </cell>
          <cell r="D557" t="str">
            <v>M3</v>
          </cell>
          <cell r="E557">
            <v>0.5</v>
          </cell>
        </row>
        <row r="558">
          <cell r="B558" t="str">
            <v>19100</v>
          </cell>
          <cell r="C558" t="str">
            <v>ROYALTIE DE AREIA</v>
          </cell>
          <cell r="D558" t="str">
            <v>M3</v>
          </cell>
          <cell r="E558">
            <v>2</v>
          </cell>
        </row>
        <row r="559">
          <cell r="B559" t="str">
            <v>19200</v>
          </cell>
          <cell r="C559" t="str">
            <v>ROYALTIE DE SEIXO</v>
          </cell>
          <cell r="D559" t="str">
            <v>M3</v>
          </cell>
          <cell r="E559">
            <v>1.2</v>
          </cell>
        </row>
        <row r="560">
          <cell r="B560" t="str">
            <v>2298</v>
          </cell>
          <cell r="C560" t="str">
            <v>DIAS IMPRATICÁVEIS</v>
          </cell>
          <cell r="D560" t="str">
            <v>VB</v>
          </cell>
        </row>
        <row r="561">
          <cell r="B561" t="str">
            <v>2999</v>
          </cell>
          <cell r="C561" t="str">
            <v>FERRAMENTAS MANUAIS</v>
          </cell>
          <cell r="D561" t="str">
            <v>VB</v>
          </cell>
        </row>
        <row r="562">
          <cell r="B562" t="str">
            <v>40002</v>
          </cell>
          <cell r="C562" t="str">
            <v>TRANSPORTE DE BRITA JAZIDA-BRITADOR</v>
          </cell>
          <cell r="D562" t="str">
            <v>M3*KM</v>
          </cell>
          <cell r="E562">
            <v>0.2</v>
          </cell>
        </row>
        <row r="563">
          <cell r="B563" t="str">
            <v>40003</v>
          </cell>
          <cell r="C563" t="str">
            <v>TRANSPORTE DE SEIXO PENEIRADO</v>
          </cell>
          <cell r="D563" t="str">
            <v>M3*KM</v>
          </cell>
          <cell r="E563">
            <v>0.2</v>
          </cell>
        </row>
        <row r="564">
          <cell r="B564" t="str">
            <v>40004</v>
          </cell>
          <cell r="C564" t="str">
            <v>TRANSPORTE DE AREIA DE JAZIDA</v>
          </cell>
          <cell r="D564" t="str">
            <v>M3*KM</v>
          </cell>
          <cell r="E564">
            <v>0.2</v>
          </cell>
        </row>
        <row r="565">
          <cell r="B565" t="str">
            <v>40005</v>
          </cell>
          <cell r="C565" t="str">
            <v>TRANSPORTE COMERCIAL DE AREIA</v>
          </cell>
          <cell r="D565" t="str">
            <v>M3*KM</v>
          </cell>
          <cell r="E565">
            <v>0.2</v>
          </cell>
        </row>
        <row r="566">
          <cell r="B566" t="str">
            <v>40006</v>
          </cell>
          <cell r="C566" t="str">
            <v xml:space="preserve">TRANSPORTE COMERCIAL DE BRITA </v>
          </cell>
          <cell r="D566" t="str">
            <v>M3*KM</v>
          </cell>
          <cell r="E566">
            <v>0.35</v>
          </cell>
        </row>
        <row r="567">
          <cell r="B567" t="str">
            <v>40007</v>
          </cell>
          <cell r="C567" t="str">
            <v>TRANSPORTE DE BRITA PROCESSADA</v>
          </cell>
          <cell r="D567" t="str">
            <v>M3*KM</v>
          </cell>
          <cell r="E567">
            <v>0.38</v>
          </cell>
        </row>
        <row r="568">
          <cell r="B568" t="str">
            <v>40008</v>
          </cell>
          <cell r="C568" t="str">
            <v xml:space="preserve">TRANSPORTE COMERCIAL DE CAP </v>
          </cell>
          <cell r="D568" t="str">
            <v>TKM</v>
          </cell>
          <cell r="E568">
            <v>0.09</v>
          </cell>
        </row>
        <row r="569">
          <cell r="B569" t="str">
            <v>40009</v>
          </cell>
          <cell r="C569" t="str">
            <v>TRANSPORTE COMERCIAL DE EMULSÃO</v>
          </cell>
          <cell r="D569" t="str">
            <v>TKM</v>
          </cell>
          <cell r="E569">
            <v>0.09</v>
          </cell>
        </row>
        <row r="570">
          <cell r="B570" t="str">
            <v>40010</v>
          </cell>
          <cell r="C570" t="str">
            <v>TRANSPORTE COMERCIAL DE ASF DILUÍDO</v>
          </cell>
          <cell r="D570" t="str">
            <v>TKM</v>
          </cell>
          <cell r="E570">
            <v>0.09</v>
          </cell>
        </row>
      </sheetData>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142_95"/>
      <sheetName val="Mat"/>
      <sheetName val="Mistura Betum. Usinada Quente"/>
      <sheetName val="ED142_95.XLS"/>
      <sheetName val="[ED142_95.XLS]_EXCEL_ARQXLS_S_7"/>
      <sheetName val="[ED142_95.XLS]_EXCEL_ARQXLS_S_2"/>
      <sheetName val="[ED142_95.XLS]_EXCEL_ARQXLS_S_6"/>
      <sheetName val="[ED142_95.XLS]_EXCEL_ARQXLS_S_4"/>
      <sheetName val="[ED142_95.XLS]_EXCEL_ARQXLS_S_3"/>
      <sheetName val="[ED142_95.XLS]_EXCEL_ARQXLS_S_5"/>
      <sheetName val="[ED142_95.XLS]_EXCEL_ARQXLS_S_8"/>
      <sheetName val="[ED142_95.XLS]_EXCEL_ARQXLS_S_9"/>
      <sheetName val="[ED142_95.XLS]_EXCEL_ARQXLS__10"/>
      <sheetName val="[ED142_95.XLS]_EXCEL_ARQXLS__14"/>
      <sheetName val="[ED142_95.XLS]_EXCEL_ARQXLS__11"/>
      <sheetName val="[ED142_95.XLS]_EXCEL_ARQXLS__12"/>
      <sheetName val="[ED142_95.XLS]_EXCEL_ARQXLS__13"/>
      <sheetName val="[ED142_95.XLS]_EXCEL_ARQXLS__15"/>
      <sheetName val="[ED142_95.XLS]_EXCEL_ARQXLS__16"/>
      <sheetName val="[ED142_95.XLS]\EXCEL\ARQXLS\SC\"/>
      <sheetName val="[ED142_95.XLS]_EXCEL_ARQXLS__27"/>
      <sheetName val="[ED142_95.XLS]_EXCEL_ARQXLS__22"/>
      <sheetName val="[ED142_95.XLS]_EXCEL_ARQXLS__17"/>
      <sheetName val="[ED142_95.XLS]_EXCEL_ARQXLS__18"/>
      <sheetName val="[ED142_95.XLS]_EXCEL_ARQXLS__19"/>
      <sheetName val="[ED142_95.XLS]_EXCEL_ARQXLS__20"/>
      <sheetName val="[ED142_95.XLS]_EXCEL_ARQXLS__21"/>
      <sheetName val="[ED142_95.XLS]_EXCEL_ARQXLS__23"/>
      <sheetName val="[ED142_95.XLS]_EXCEL_ARQXLS__24"/>
      <sheetName val="[ED142_95.XLS]_EXCEL_ARQXLS__25"/>
      <sheetName val="[ED142_95.XLS]_EXCEL_ARQXLS__26"/>
      <sheetName val="[ED142_95.XLS]_EXCEL_ARQXLS__30"/>
      <sheetName val="[ED142_95.XLS]_EXCEL_ARQXLS__28"/>
      <sheetName val="[ED142_95.XLS]_EXCEL_ARQXLS__29"/>
      <sheetName val="[ED142_95.XLS]_EXCEL_ARQXLS__40"/>
      <sheetName val="[ED142_95.XLS]_EXCEL_ARQXLS__31"/>
      <sheetName val="[ED142_95.XLS]_EXCEL_ARQXLS__35"/>
      <sheetName val="[ED142_95.XLS]_EXCEL_ARQXLS__32"/>
      <sheetName val="[ED142_95.XLS]_EXCEL_ARQXLS__33"/>
      <sheetName val="[ED142_95.XLS]_EXCEL_ARQXLS__34"/>
      <sheetName val="[ED142_95.XLS]_EXCEL_ARQXLS__37"/>
      <sheetName val="[ED142_95.XLS]_EXCEL_ARQXLS__36"/>
      <sheetName val="[ED142_95.XLS]_EXCEL_ARQXLS__38"/>
      <sheetName val="[ED142_95.XLS]_EXCEL_ARQXLS__39"/>
      <sheetName val="[ED142_95.XLS]_EXCEL_ARQXLS__42"/>
      <sheetName val="[ED142_95.XLS]_EXCEL_ARQXLS__41"/>
      <sheetName val="[ED142_95.XLS]_EXCEL_ARQXLS__43"/>
      <sheetName val="[ED142_95.XLS]_EXCEL_ARQXLS__44"/>
      <sheetName val="[ED142_95.XLS]_EXCEL_ARQXLS__45"/>
      <sheetName val="[ED142_95.XLS]_EXCEL_ARQXLS__49"/>
      <sheetName val="[ED142_95.XLS]_EXCEL_ARQXLS__46"/>
      <sheetName val="[ED142_95.XLS]_EXCEL_ARQXLS__47"/>
      <sheetName val="[ED142_95.XLS]_EXCEL_ARQXLS__48"/>
      <sheetName val="[ED142_95.XLS]_EXCEL_ARQXLS__51"/>
      <sheetName val="[ED142_95.XLS]_EXCEL_ARQXLS__50"/>
      <sheetName val="[ED142_95.XLS]_EXCEL_ARQXLS__53"/>
      <sheetName val="[ED142_95.XLS]_EXCEL_ARQXLS__52"/>
      <sheetName val="[ED142_95.XLS]_EXCEL_ARQXLS__54"/>
      <sheetName val="[ED142_95.XLS]_EXCEL_ARQXLS__55"/>
      <sheetName val="[ED142_95.XLS]_EXCEL_ARQXLS__56"/>
      <sheetName val="[ED142_95.XLS]_EXCEL_ARQXLS__57"/>
      <sheetName val="[ED142_95.XLS]_EXCEL_ARQXLS__58"/>
      <sheetName val="[ED142_95.XLS]_EXCEL_ARQXLS__60"/>
      <sheetName val="[ED142_95.XLS]_EXCEL_ARQXLS__59"/>
      <sheetName val="Mistura_Betum__Usinada_Quente"/>
      <sheetName val="ED142_95_XLS"/>
      <sheetName val="\EXCEL\ARQXLS\SC\ED142_95_XLS"/>
      <sheetName val="[ED142_95.XLS]_EXCEL_ARQXLS__61"/>
      <sheetName val="[ED142_95.XLS]_EXCEL_ARQXLS__62"/>
      <sheetName val="[ED142_95.XLS]_EXCEL_ARQXLS__63"/>
      <sheetName val="[ED142_95.XLS]_EXCEL_ARQXLS__64"/>
    </sheetNames>
    <definedNames>
      <definedName name="módulo1.Extens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Discriminativo Rec. Inicial"/>
      <sheetName val="Discriminativo Manut. Operação"/>
      <sheetName val="Discriminativo Restauração"/>
      <sheetName val="Equipamentos"/>
      <sheetName val="Mão de Obra"/>
      <sheetName val="Encargos Sociais"/>
      <sheetName val="Materiais"/>
      <sheetName val="DMTs"/>
      <sheetName val="BDI"/>
      <sheetName val="Recuperação Inicial"/>
      <sheetName val="Conserva Rotineira"/>
      <sheetName val="Operação da Rodovia"/>
      <sheetName val="Restauração"/>
      <sheetName val="Reabilitação Ambiental"/>
      <sheetName val="AUX"/>
      <sheetName val="Resumo DAER"/>
      <sheetName val="Custos Briga"/>
      <sheetName val="Plan1"/>
      <sheetName val="Plan2"/>
      <sheetName val="Plan3"/>
      <sheetName val="P A T O 98 D"/>
    </sheetNames>
    <sheetDataSet>
      <sheetData sheetId="0"/>
      <sheetData sheetId="1"/>
      <sheetData sheetId="2"/>
      <sheetData sheetId="3"/>
      <sheetData sheetId="4"/>
      <sheetData sheetId="5" refreshError="1">
        <row r="4">
          <cell r="B4" t="str">
            <v>QUADRO 09</v>
          </cell>
        </row>
        <row r="6">
          <cell r="B6" t="str">
            <v>Código</v>
          </cell>
          <cell r="C6" t="str">
            <v>Categoria Profissional</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CBEMI Corrigido"/>
      <sheetName val="Q.CBEMI"/>
      <sheetName val="Q.CBEMI Corrigido"/>
      <sheetName val="Q.PROJETO"/>
      <sheetName val="Cronograma"/>
      <sheetName val="Cronograma Perc."/>
      <sheetName val="Justificativa preços remendos"/>
      <sheetName val="Q.COMPAR. Beto"/>
      <sheetName val="Q.COMPAR."/>
      <sheetName val="TER"/>
      <sheetName val="COMP.NOVAS"/>
      <sheetName val="COMP.NOVAS Abr-2002"/>
      <sheetName val="PAV"/>
      <sheetName val="PAV DESMEMBRADA"/>
      <sheetName val="AUX DESMEMBRADA"/>
      <sheetName val="DRE"/>
      <sheetName val="PAV BID"/>
      <sheetName val="SIN"/>
      <sheetName val="ACESSOS"/>
      <sheetName val="P.VEG"/>
      <sheetName val="AUX"/>
      <sheetName val="DMT"/>
      <sheetName val="MAT"/>
      <sheetName val="Prod. Mec. Tratamento"/>
      <sheetName val="Prod. Mec."/>
      <sheetName val="ATUAL. ORÇAMENTO"/>
      <sheetName val="CHE"/>
      <sheetName val="MO"/>
      <sheetName val="ENC.SOC."/>
      <sheetName val="BDI"/>
      <sheetName val="Cron.Fis-Finan"/>
      <sheetName val="Q.COMPAR.ATUAL. Beto"/>
      <sheetName val="Mão de Obr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persons/person.xml><?xml version="1.0" encoding="utf-8"?>
<personList xmlns="http://schemas.microsoft.com/office/spreadsheetml/2018/threadedcomments" xmlns:x="http://schemas.openxmlformats.org/spreadsheetml/2006/main">
  <person displayName="Juliano Wolschick" id="{0B31BDEE-7275-456F-AACC-A06BA22DC754}" userId="5ebca778caab1f73" providerId="Windows Liv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93" dT="2022-06-07T12:05:40.53" personId="{0B31BDEE-7275-456F-AACC-A06BA22DC754}" id="{2D203806-9920-4FD5-888D-6BED8320E71A}">
    <text>Cotação Traçado</text>
  </threadedComment>
  <threadedComment ref="G93" dT="2022-06-07T12:07:02.06" personId="{0B31BDEE-7275-456F-AACC-A06BA22DC754}" id="{56729F75-8C60-447B-A684-0F099DB3D7DB}">
    <text>cotação CBB</text>
  </threadedComment>
  <threadedComment ref="H93" dT="2022-06-07T12:07:36.44" personId="{0B31BDEE-7275-456F-AACC-A06BA22DC754}" id="{36E882C3-389F-419A-BDE8-26A7A46C8905}">
    <text>Cotação Greca</text>
  </threadedComment>
  <threadedComment ref="I93" dT="2022-06-07T12:08:46.62" personId="{0B31BDEE-7275-456F-AACC-A06BA22DC754}" id="{2CCE43AE-1FFC-4CA7-9C28-113E81E05C20}">
    <text>Cotação Stratura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image" Target="../media/image32.wmf"/><Relationship Id="rId5" Type="http://schemas.openxmlformats.org/officeDocument/2006/relationships/oleObject" Target="../embeddings/oleObject23.bin"/><Relationship Id="rId4" Type="http://schemas.openxmlformats.org/officeDocument/2006/relationships/vmlDrawing" Target="../drawings/vmlDrawing1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3" Type="http://schemas.openxmlformats.org/officeDocument/2006/relationships/oleObject" Target="../embeddings/oleObject5.bin"/><Relationship Id="rId18" Type="http://schemas.openxmlformats.org/officeDocument/2006/relationships/image" Target="../media/image10.emf"/><Relationship Id="rId26" Type="http://schemas.openxmlformats.org/officeDocument/2006/relationships/image" Target="../media/image14.emf"/><Relationship Id="rId39" Type="http://schemas.openxmlformats.org/officeDocument/2006/relationships/oleObject" Target="../embeddings/oleObject18.bin"/><Relationship Id="rId21" Type="http://schemas.openxmlformats.org/officeDocument/2006/relationships/oleObject" Target="../embeddings/oleObject9.bin"/><Relationship Id="rId34" Type="http://schemas.openxmlformats.org/officeDocument/2006/relationships/image" Target="../media/image18.emf"/><Relationship Id="rId42" Type="http://schemas.openxmlformats.org/officeDocument/2006/relationships/oleObject" Target="../embeddings/oleObject20.bin"/><Relationship Id="rId7" Type="http://schemas.openxmlformats.org/officeDocument/2006/relationships/oleObject" Target="../embeddings/oleObject2.bin"/><Relationship Id="rId2" Type="http://schemas.openxmlformats.org/officeDocument/2006/relationships/drawing" Target="../drawings/drawing2.xml"/><Relationship Id="rId16" Type="http://schemas.openxmlformats.org/officeDocument/2006/relationships/image" Target="../media/image9.emf"/><Relationship Id="rId29" Type="http://schemas.openxmlformats.org/officeDocument/2006/relationships/oleObject" Target="../embeddings/oleObject13.bin"/><Relationship Id="rId1" Type="http://schemas.openxmlformats.org/officeDocument/2006/relationships/printerSettings" Target="../printerSettings/printerSettings4.bin"/><Relationship Id="rId6" Type="http://schemas.openxmlformats.org/officeDocument/2006/relationships/image" Target="../media/image4.emf"/><Relationship Id="rId11" Type="http://schemas.openxmlformats.org/officeDocument/2006/relationships/oleObject" Target="../embeddings/oleObject4.bin"/><Relationship Id="rId24" Type="http://schemas.openxmlformats.org/officeDocument/2006/relationships/image" Target="../media/image13.emf"/><Relationship Id="rId32" Type="http://schemas.openxmlformats.org/officeDocument/2006/relationships/image" Target="../media/image17.emf"/><Relationship Id="rId37" Type="http://schemas.openxmlformats.org/officeDocument/2006/relationships/oleObject" Target="../embeddings/oleObject17.bin"/><Relationship Id="rId40" Type="http://schemas.openxmlformats.org/officeDocument/2006/relationships/image" Target="../media/image21.emf"/><Relationship Id="rId45" Type="http://schemas.openxmlformats.org/officeDocument/2006/relationships/image" Target="../media/image22.emf"/><Relationship Id="rId5" Type="http://schemas.openxmlformats.org/officeDocument/2006/relationships/oleObject" Target="../embeddings/oleObject1.bin"/><Relationship Id="rId15" Type="http://schemas.openxmlformats.org/officeDocument/2006/relationships/oleObject" Target="../embeddings/oleObject6.bin"/><Relationship Id="rId23" Type="http://schemas.openxmlformats.org/officeDocument/2006/relationships/oleObject" Target="../embeddings/oleObject10.bin"/><Relationship Id="rId28" Type="http://schemas.openxmlformats.org/officeDocument/2006/relationships/image" Target="../media/image15.emf"/><Relationship Id="rId36" Type="http://schemas.openxmlformats.org/officeDocument/2006/relationships/image" Target="../media/image19.emf"/><Relationship Id="rId10" Type="http://schemas.openxmlformats.org/officeDocument/2006/relationships/image" Target="../media/image6.emf"/><Relationship Id="rId19" Type="http://schemas.openxmlformats.org/officeDocument/2006/relationships/oleObject" Target="../embeddings/oleObject8.bin"/><Relationship Id="rId31" Type="http://schemas.openxmlformats.org/officeDocument/2006/relationships/oleObject" Target="../embeddings/oleObject14.bin"/><Relationship Id="rId44" Type="http://schemas.openxmlformats.org/officeDocument/2006/relationships/oleObject" Target="../embeddings/oleObject22.bin"/><Relationship Id="rId4" Type="http://schemas.openxmlformats.org/officeDocument/2006/relationships/vmlDrawing" Target="../drawings/vmlDrawing4.vml"/><Relationship Id="rId9" Type="http://schemas.openxmlformats.org/officeDocument/2006/relationships/oleObject" Target="../embeddings/oleObject3.bin"/><Relationship Id="rId14" Type="http://schemas.openxmlformats.org/officeDocument/2006/relationships/image" Target="../media/image8.emf"/><Relationship Id="rId22" Type="http://schemas.openxmlformats.org/officeDocument/2006/relationships/image" Target="../media/image12.emf"/><Relationship Id="rId27" Type="http://schemas.openxmlformats.org/officeDocument/2006/relationships/oleObject" Target="../embeddings/oleObject12.bin"/><Relationship Id="rId30" Type="http://schemas.openxmlformats.org/officeDocument/2006/relationships/image" Target="../media/image16.emf"/><Relationship Id="rId35" Type="http://schemas.openxmlformats.org/officeDocument/2006/relationships/oleObject" Target="../embeddings/oleObject16.bin"/><Relationship Id="rId43" Type="http://schemas.openxmlformats.org/officeDocument/2006/relationships/oleObject" Target="../embeddings/oleObject21.bin"/><Relationship Id="rId8" Type="http://schemas.openxmlformats.org/officeDocument/2006/relationships/image" Target="../media/image5.emf"/><Relationship Id="rId3" Type="http://schemas.openxmlformats.org/officeDocument/2006/relationships/vmlDrawing" Target="../drawings/vmlDrawing3.vml"/><Relationship Id="rId12" Type="http://schemas.openxmlformats.org/officeDocument/2006/relationships/image" Target="../media/image7.emf"/><Relationship Id="rId17" Type="http://schemas.openxmlformats.org/officeDocument/2006/relationships/oleObject" Target="../embeddings/oleObject7.bin"/><Relationship Id="rId25" Type="http://schemas.openxmlformats.org/officeDocument/2006/relationships/oleObject" Target="../embeddings/oleObject11.bin"/><Relationship Id="rId33" Type="http://schemas.openxmlformats.org/officeDocument/2006/relationships/oleObject" Target="../embeddings/oleObject15.bin"/><Relationship Id="rId38" Type="http://schemas.openxmlformats.org/officeDocument/2006/relationships/image" Target="../media/image20.emf"/><Relationship Id="rId20" Type="http://schemas.openxmlformats.org/officeDocument/2006/relationships/image" Target="../media/image11.emf"/><Relationship Id="rId41" Type="http://schemas.openxmlformats.org/officeDocument/2006/relationships/oleObject" Target="../embeddings/oleObject1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BO101"/>
  <sheetViews>
    <sheetView showGridLines="0" view="pageBreakPreview" topLeftCell="A91" zoomScaleNormal="100" zoomScaleSheetLayoutView="100" workbookViewId="0">
      <selection activeCell="M94" sqref="M94"/>
    </sheetView>
  </sheetViews>
  <sheetFormatPr defaultRowHeight="15" x14ac:dyDescent="0.25"/>
  <cols>
    <col min="1" max="2" width="9.140625" style="759"/>
    <col min="3" max="3" width="11.7109375" style="759" bestFit="1" customWidth="1"/>
    <col min="4" max="4" width="10.42578125" style="759" bestFit="1" customWidth="1"/>
    <col min="5" max="6" width="9.140625" style="759"/>
    <col min="7" max="7" width="8.42578125" style="759" customWidth="1"/>
    <col min="8" max="8" width="7.5703125" style="759" customWidth="1"/>
    <col min="9" max="9" width="7.28515625" style="759" customWidth="1"/>
    <col min="10" max="11" width="8.28515625" style="759" customWidth="1"/>
    <col min="12" max="12" width="8.42578125" style="759" customWidth="1"/>
    <col min="13" max="13" width="7.5703125" style="759" customWidth="1"/>
    <col min="14" max="14" width="7.28515625" style="759" customWidth="1"/>
    <col min="15" max="16" width="7.42578125" style="759" bestFit="1" customWidth="1"/>
    <col min="17" max="17" width="7.5703125" style="759" bestFit="1" customWidth="1"/>
    <col min="18" max="25" width="7.5703125" style="759" customWidth="1"/>
    <col min="26" max="26" width="8.42578125" style="759" customWidth="1"/>
    <col min="27" max="33" width="7.5703125" style="759" customWidth="1"/>
    <col min="34" max="34" width="9.140625" style="759"/>
    <col min="35" max="37" width="9.140625" style="759" customWidth="1"/>
    <col min="38" max="38" width="18.42578125" style="759" customWidth="1"/>
    <col min="39" max="52" width="9.140625" style="759"/>
    <col min="53" max="53" width="9.7109375" style="759" bestFit="1" customWidth="1"/>
    <col min="54" max="54" width="9.140625" style="759"/>
    <col min="55" max="55" width="24.28515625" style="760" customWidth="1"/>
    <col min="56" max="56" width="15.42578125" style="760" bestFit="1" customWidth="1"/>
    <col min="57" max="57" width="13.85546875" style="760" bestFit="1" customWidth="1"/>
    <col min="58" max="58" width="16.5703125" style="760" bestFit="1" customWidth="1"/>
    <col min="59" max="59" width="16.5703125" style="759" bestFit="1" customWidth="1"/>
    <col min="60" max="61" width="5.7109375" style="759" bestFit="1" customWidth="1"/>
    <col min="62" max="62" width="13.140625" style="759" bestFit="1" customWidth="1"/>
    <col min="63" max="65" width="13.140625" style="759" customWidth="1"/>
    <col min="66" max="66" width="16" style="759" bestFit="1" customWidth="1"/>
    <col min="67" max="67" width="15" style="759" bestFit="1" customWidth="1"/>
    <col min="68" max="258" width="9.140625" style="759"/>
    <col min="259" max="259" width="11.7109375" style="759" bestFit="1" customWidth="1"/>
    <col min="260" max="260" width="10.42578125" style="759" bestFit="1" customWidth="1"/>
    <col min="261" max="262" width="9.140625" style="759"/>
    <col min="263" max="263" width="8.42578125" style="759" customWidth="1"/>
    <col min="264" max="264" width="7.5703125" style="759" customWidth="1"/>
    <col min="265" max="265" width="7.28515625" style="759" customWidth="1"/>
    <col min="266" max="267" width="8.28515625" style="759" customWidth="1"/>
    <col min="268" max="268" width="8.42578125" style="759" customWidth="1"/>
    <col min="269" max="269" width="7.5703125" style="759" customWidth="1"/>
    <col min="270" max="270" width="7.28515625" style="759" customWidth="1"/>
    <col min="271" max="272" width="7.42578125" style="759" bestFit="1" customWidth="1"/>
    <col min="273" max="273" width="7.5703125" style="759" bestFit="1" customWidth="1"/>
    <col min="274" max="281" width="7.5703125" style="759" customWidth="1"/>
    <col min="282" max="282" width="8.42578125" style="759" customWidth="1"/>
    <col min="283" max="289" width="7.5703125" style="759" customWidth="1"/>
    <col min="290" max="290" width="9.140625" style="759"/>
    <col min="291" max="293" width="9.140625" style="759" customWidth="1"/>
    <col min="294" max="294" width="18.42578125" style="759" customWidth="1"/>
    <col min="295" max="308" width="9.140625" style="759"/>
    <col min="309" max="309" width="9.7109375" style="759" bestFit="1" customWidth="1"/>
    <col min="310" max="310" width="9.140625" style="759"/>
    <col min="311" max="311" width="24.28515625" style="759" customWidth="1"/>
    <col min="312" max="312" width="15.42578125" style="759" bestFit="1" customWidth="1"/>
    <col min="313" max="313" width="13.85546875" style="759" bestFit="1" customWidth="1"/>
    <col min="314" max="315" width="16.5703125" style="759" bestFit="1" customWidth="1"/>
    <col min="316" max="317" width="5.7109375" style="759" bestFit="1" customWidth="1"/>
    <col min="318" max="318" width="13.140625" style="759" bestFit="1" customWidth="1"/>
    <col min="319" max="321" width="13.140625" style="759" customWidth="1"/>
    <col min="322" max="322" width="16" style="759" bestFit="1" customWidth="1"/>
    <col min="323" max="323" width="15" style="759" bestFit="1" customWidth="1"/>
    <col min="324" max="514" width="9.140625" style="759"/>
    <col min="515" max="515" width="11.7109375" style="759" bestFit="1" customWidth="1"/>
    <col min="516" max="516" width="10.42578125" style="759" bestFit="1" customWidth="1"/>
    <col min="517" max="518" width="9.140625" style="759"/>
    <col min="519" max="519" width="8.42578125" style="759" customWidth="1"/>
    <col min="520" max="520" width="7.5703125" style="759" customWidth="1"/>
    <col min="521" max="521" width="7.28515625" style="759" customWidth="1"/>
    <col min="522" max="523" width="8.28515625" style="759" customWidth="1"/>
    <col min="524" max="524" width="8.42578125" style="759" customWidth="1"/>
    <col min="525" max="525" width="7.5703125" style="759" customWidth="1"/>
    <col min="526" max="526" width="7.28515625" style="759" customWidth="1"/>
    <col min="527" max="528" width="7.42578125" style="759" bestFit="1" customWidth="1"/>
    <col min="529" max="529" width="7.5703125" style="759" bestFit="1" customWidth="1"/>
    <col min="530" max="537" width="7.5703125" style="759" customWidth="1"/>
    <col min="538" max="538" width="8.42578125" style="759" customWidth="1"/>
    <col min="539" max="545" width="7.5703125" style="759" customWidth="1"/>
    <col min="546" max="546" width="9.140625" style="759"/>
    <col min="547" max="549" width="9.140625" style="759" customWidth="1"/>
    <col min="550" max="550" width="18.42578125" style="759" customWidth="1"/>
    <col min="551" max="564" width="9.140625" style="759"/>
    <col min="565" max="565" width="9.7109375" style="759" bestFit="1" customWidth="1"/>
    <col min="566" max="566" width="9.140625" style="759"/>
    <col min="567" max="567" width="24.28515625" style="759" customWidth="1"/>
    <col min="568" max="568" width="15.42578125" style="759" bestFit="1" customWidth="1"/>
    <col min="569" max="569" width="13.85546875" style="759" bestFit="1" customWidth="1"/>
    <col min="570" max="571" width="16.5703125" style="759" bestFit="1" customWidth="1"/>
    <col min="572" max="573" width="5.7109375" style="759" bestFit="1" customWidth="1"/>
    <col min="574" max="574" width="13.140625" style="759" bestFit="1" customWidth="1"/>
    <col min="575" max="577" width="13.140625" style="759" customWidth="1"/>
    <col min="578" max="578" width="16" style="759" bestFit="1" customWidth="1"/>
    <col min="579" max="579" width="15" style="759" bestFit="1" customWidth="1"/>
    <col min="580" max="770" width="9.140625" style="759"/>
    <col min="771" max="771" width="11.7109375" style="759" bestFit="1" customWidth="1"/>
    <col min="772" max="772" width="10.42578125" style="759" bestFit="1" customWidth="1"/>
    <col min="773" max="774" width="9.140625" style="759"/>
    <col min="775" max="775" width="8.42578125" style="759" customWidth="1"/>
    <col min="776" max="776" width="7.5703125" style="759" customWidth="1"/>
    <col min="777" max="777" width="7.28515625" style="759" customWidth="1"/>
    <col min="778" max="779" width="8.28515625" style="759" customWidth="1"/>
    <col min="780" max="780" width="8.42578125" style="759" customWidth="1"/>
    <col min="781" max="781" width="7.5703125" style="759" customWidth="1"/>
    <col min="782" max="782" width="7.28515625" style="759" customWidth="1"/>
    <col min="783" max="784" width="7.42578125" style="759" bestFit="1" customWidth="1"/>
    <col min="785" max="785" width="7.5703125" style="759" bestFit="1" customWidth="1"/>
    <col min="786" max="793" width="7.5703125" style="759" customWidth="1"/>
    <col min="794" max="794" width="8.42578125" style="759" customWidth="1"/>
    <col min="795" max="801" width="7.5703125" style="759" customWidth="1"/>
    <col min="802" max="802" width="9.140625" style="759"/>
    <col min="803" max="805" width="9.140625" style="759" customWidth="1"/>
    <col min="806" max="806" width="18.42578125" style="759" customWidth="1"/>
    <col min="807" max="820" width="9.140625" style="759"/>
    <col min="821" max="821" width="9.7109375" style="759" bestFit="1" customWidth="1"/>
    <col min="822" max="822" width="9.140625" style="759"/>
    <col min="823" max="823" width="24.28515625" style="759" customWidth="1"/>
    <col min="824" max="824" width="15.42578125" style="759" bestFit="1" customWidth="1"/>
    <col min="825" max="825" width="13.85546875" style="759" bestFit="1" customWidth="1"/>
    <col min="826" max="827" width="16.5703125" style="759" bestFit="1" customWidth="1"/>
    <col min="828" max="829" width="5.7109375" style="759" bestFit="1" customWidth="1"/>
    <col min="830" max="830" width="13.140625" style="759" bestFit="1" customWidth="1"/>
    <col min="831" max="833" width="13.140625" style="759" customWidth="1"/>
    <col min="834" max="834" width="16" style="759" bestFit="1" customWidth="1"/>
    <col min="835" max="835" width="15" style="759" bestFit="1" customWidth="1"/>
    <col min="836" max="1026" width="9.140625" style="759"/>
    <col min="1027" max="1027" width="11.7109375" style="759" bestFit="1" customWidth="1"/>
    <col min="1028" max="1028" width="10.42578125" style="759" bestFit="1" customWidth="1"/>
    <col min="1029" max="1030" width="9.140625" style="759"/>
    <col min="1031" max="1031" width="8.42578125" style="759" customWidth="1"/>
    <col min="1032" max="1032" width="7.5703125" style="759" customWidth="1"/>
    <col min="1033" max="1033" width="7.28515625" style="759" customWidth="1"/>
    <col min="1034" max="1035" width="8.28515625" style="759" customWidth="1"/>
    <col min="1036" max="1036" width="8.42578125" style="759" customWidth="1"/>
    <col min="1037" max="1037" width="7.5703125" style="759" customWidth="1"/>
    <col min="1038" max="1038" width="7.28515625" style="759" customWidth="1"/>
    <col min="1039" max="1040" width="7.42578125" style="759" bestFit="1" customWidth="1"/>
    <col min="1041" max="1041" width="7.5703125" style="759" bestFit="1" customWidth="1"/>
    <col min="1042" max="1049" width="7.5703125" style="759" customWidth="1"/>
    <col min="1050" max="1050" width="8.42578125" style="759" customWidth="1"/>
    <col min="1051" max="1057" width="7.5703125" style="759" customWidth="1"/>
    <col min="1058" max="1058" width="9.140625" style="759"/>
    <col min="1059" max="1061" width="9.140625" style="759" customWidth="1"/>
    <col min="1062" max="1062" width="18.42578125" style="759" customWidth="1"/>
    <col min="1063" max="1076" width="9.140625" style="759"/>
    <col min="1077" max="1077" width="9.7109375" style="759" bestFit="1" customWidth="1"/>
    <col min="1078" max="1078" width="9.140625" style="759"/>
    <col min="1079" max="1079" width="24.28515625" style="759" customWidth="1"/>
    <col min="1080" max="1080" width="15.42578125" style="759" bestFit="1" customWidth="1"/>
    <col min="1081" max="1081" width="13.85546875" style="759" bestFit="1" customWidth="1"/>
    <col min="1082" max="1083" width="16.5703125" style="759" bestFit="1" customWidth="1"/>
    <col min="1084" max="1085" width="5.7109375" style="759" bestFit="1" customWidth="1"/>
    <col min="1086" max="1086" width="13.140625" style="759" bestFit="1" customWidth="1"/>
    <col min="1087" max="1089" width="13.140625" style="759" customWidth="1"/>
    <col min="1090" max="1090" width="16" style="759" bestFit="1" customWidth="1"/>
    <col min="1091" max="1091" width="15" style="759" bestFit="1" customWidth="1"/>
    <col min="1092" max="1282" width="9.140625" style="759"/>
    <col min="1283" max="1283" width="11.7109375" style="759" bestFit="1" customWidth="1"/>
    <col min="1284" max="1284" width="10.42578125" style="759" bestFit="1" customWidth="1"/>
    <col min="1285" max="1286" width="9.140625" style="759"/>
    <col min="1287" max="1287" width="8.42578125" style="759" customWidth="1"/>
    <col min="1288" max="1288" width="7.5703125" style="759" customWidth="1"/>
    <col min="1289" max="1289" width="7.28515625" style="759" customWidth="1"/>
    <col min="1290" max="1291" width="8.28515625" style="759" customWidth="1"/>
    <col min="1292" max="1292" width="8.42578125" style="759" customWidth="1"/>
    <col min="1293" max="1293" width="7.5703125" style="759" customWidth="1"/>
    <col min="1294" max="1294" width="7.28515625" style="759" customWidth="1"/>
    <col min="1295" max="1296" width="7.42578125" style="759" bestFit="1" customWidth="1"/>
    <col min="1297" max="1297" width="7.5703125" style="759" bestFit="1" customWidth="1"/>
    <col min="1298" max="1305" width="7.5703125" style="759" customWidth="1"/>
    <col min="1306" max="1306" width="8.42578125" style="759" customWidth="1"/>
    <col min="1307" max="1313" width="7.5703125" style="759" customWidth="1"/>
    <col min="1314" max="1314" width="9.140625" style="759"/>
    <col min="1315" max="1317" width="9.140625" style="759" customWidth="1"/>
    <col min="1318" max="1318" width="18.42578125" style="759" customWidth="1"/>
    <col min="1319" max="1332" width="9.140625" style="759"/>
    <col min="1333" max="1333" width="9.7109375" style="759" bestFit="1" customWidth="1"/>
    <col min="1334" max="1334" width="9.140625" style="759"/>
    <col min="1335" max="1335" width="24.28515625" style="759" customWidth="1"/>
    <col min="1336" max="1336" width="15.42578125" style="759" bestFit="1" customWidth="1"/>
    <col min="1337" max="1337" width="13.85546875" style="759" bestFit="1" customWidth="1"/>
    <col min="1338" max="1339" width="16.5703125" style="759" bestFit="1" customWidth="1"/>
    <col min="1340" max="1341" width="5.7109375" style="759" bestFit="1" customWidth="1"/>
    <col min="1342" max="1342" width="13.140625" style="759" bestFit="1" customWidth="1"/>
    <col min="1343" max="1345" width="13.140625" style="759" customWidth="1"/>
    <col min="1346" max="1346" width="16" style="759" bestFit="1" customWidth="1"/>
    <col min="1347" max="1347" width="15" style="759" bestFit="1" customWidth="1"/>
    <col min="1348" max="1538" width="9.140625" style="759"/>
    <col min="1539" max="1539" width="11.7109375" style="759" bestFit="1" customWidth="1"/>
    <col min="1540" max="1540" width="10.42578125" style="759" bestFit="1" customWidth="1"/>
    <col min="1541" max="1542" width="9.140625" style="759"/>
    <col min="1543" max="1543" width="8.42578125" style="759" customWidth="1"/>
    <col min="1544" max="1544" width="7.5703125" style="759" customWidth="1"/>
    <col min="1545" max="1545" width="7.28515625" style="759" customWidth="1"/>
    <col min="1546" max="1547" width="8.28515625" style="759" customWidth="1"/>
    <col min="1548" max="1548" width="8.42578125" style="759" customWidth="1"/>
    <col min="1549" max="1549" width="7.5703125" style="759" customWidth="1"/>
    <col min="1550" max="1550" width="7.28515625" style="759" customWidth="1"/>
    <col min="1551" max="1552" width="7.42578125" style="759" bestFit="1" customWidth="1"/>
    <col min="1553" max="1553" width="7.5703125" style="759" bestFit="1" customWidth="1"/>
    <col min="1554" max="1561" width="7.5703125" style="759" customWidth="1"/>
    <col min="1562" max="1562" width="8.42578125" style="759" customWidth="1"/>
    <col min="1563" max="1569" width="7.5703125" style="759" customWidth="1"/>
    <col min="1570" max="1570" width="9.140625" style="759"/>
    <col min="1571" max="1573" width="9.140625" style="759" customWidth="1"/>
    <col min="1574" max="1574" width="18.42578125" style="759" customWidth="1"/>
    <col min="1575" max="1588" width="9.140625" style="759"/>
    <col min="1589" max="1589" width="9.7109375" style="759" bestFit="1" customWidth="1"/>
    <col min="1590" max="1590" width="9.140625" style="759"/>
    <col min="1591" max="1591" width="24.28515625" style="759" customWidth="1"/>
    <col min="1592" max="1592" width="15.42578125" style="759" bestFit="1" customWidth="1"/>
    <col min="1593" max="1593" width="13.85546875" style="759" bestFit="1" customWidth="1"/>
    <col min="1594" max="1595" width="16.5703125" style="759" bestFit="1" customWidth="1"/>
    <col min="1596" max="1597" width="5.7109375" style="759" bestFit="1" customWidth="1"/>
    <col min="1598" max="1598" width="13.140625" style="759" bestFit="1" customWidth="1"/>
    <col min="1599" max="1601" width="13.140625" style="759" customWidth="1"/>
    <col min="1602" max="1602" width="16" style="759" bestFit="1" customWidth="1"/>
    <col min="1603" max="1603" width="15" style="759" bestFit="1" customWidth="1"/>
    <col min="1604" max="1794" width="9.140625" style="759"/>
    <col min="1795" max="1795" width="11.7109375" style="759" bestFit="1" customWidth="1"/>
    <col min="1796" max="1796" width="10.42578125" style="759" bestFit="1" customWidth="1"/>
    <col min="1797" max="1798" width="9.140625" style="759"/>
    <col min="1799" max="1799" width="8.42578125" style="759" customWidth="1"/>
    <col min="1800" max="1800" width="7.5703125" style="759" customWidth="1"/>
    <col min="1801" max="1801" width="7.28515625" style="759" customWidth="1"/>
    <col min="1802" max="1803" width="8.28515625" style="759" customWidth="1"/>
    <col min="1804" max="1804" width="8.42578125" style="759" customWidth="1"/>
    <col min="1805" max="1805" width="7.5703125" style="759" customWidth="1"/>
    <col min="1806" max="1806" width="7.28515625" style="759" customWidth="1"/>
    <col min="1807" max="1808" width="7.42578125" style="759" bestFit="1" customWidth="1"/>
    <col min="1809" max="1809" width="7.5703125" style="759" bestFit="1" customWidth="1"/>
    <col min="1810" max="1817" width="7.5703125" style="759" customWidth="1"/>
    <col min="1818" max="1818" width="8.42578125" style="759" customWidth="1"/>
    <col min="1819" max="1825" width="7.5703125" style="759" customWidth="1"/>
    <col min="1826" max="1826" width="9.140625" style="759"/>
    <col min="1827" max="1829" width="9.140625" style="759" customWidth="1"/>
    <col min="1830" max="1830" width="18.42578125" style="759" customWidth="1"/>
    <col min="1831" max="1844" width="9.140625" style="759"/>
    <col min="1845" max="1845" width="9.7109375" style="759" bestFit="1" customWidth="1"/>
    <col min="1846" max="1846" width="9.140625" style="759"/>
    <col min="1847" max="1847" width="24.28515625" style="759" customWidth="1"/>
    <col min="1848" max="1848" width="15.42578125" style="759" bestFit="1" customWidth="1"/>
    <col min="1849" max="1849" width="13.85546875" style="759" bestFit="1" customWidth="1"/>
    <col min="1850" max="1851" width="16.5703125" style="759" bestFit="1" customWidth="1"/>
    <col min="1852" max="1853" width="5.7109375" style="759" bestFit="1" customWidth="1"/>
    <col min="1854" max="1854" width="13.140625" style="759" bestFit="1" customWidth="1"/>
    <col min="1855" max="1857" width="13.140625" style="759" customWidth="1"/>
    <col min="1858" max="1858" width="16" style="759" bestFit="1" customWidth="1"/>
    <col min="1859" max="1859" width="15" style="759" bestFit="1" customWidth="1"/>
    <col min="1860" max="2050" width="9.140625" style="759"/>
    <col min="2051" max="2051" width="11.7109375" style="759" bestFit="1" customWidth="1"/>
    <col min="2052" max="2052" width="10.42578125" style="759" bestFit="1" customWidth="1"/>
    <col min="2053" max="2054" width="9.140625" style="759"/>
    <col min="2055" max="2055" width="8.42578125" style="759" customWidth="1"/>
    <col min="2056" max="2056" width="7.5703125" style="759" customWidth="1"/>
    <col min="2057" max="2057" width="7.28515625" style="759" customWidth="1"/>
    <col min="2058" max="2059" width="8.28515625" style="759" customWidth="1"/>
    <col min="2060" max="2060" width="8.42578125" style="759" customWidth="1"/>
    <col min="2061" max="2061" width="7.5703125" style="759" customWidth="1"/>
    <col min="2062" max="2062" width="7.28515625" style="759" customWidth="1"/>
    <col min="2063" max="2064" width="7.42578125" style="759" bestFit="1" customWidth="1"/>
    <col min="2065" max="2065" width="7.5703125" style="759" bestFit="1" customWidth="1"/>
    <col min="2066" max="2073" width="7.5703125" style="759" customWidth="1"/>
    <col min="2074" max="2074" width="8.42578125" style="759" customWidth="1"/>
    <col min="2075" max="2081" width="7.5703125" style="759" customWidth="1"/>
    <col min="2082" max="2082" width="9.140625" style="759"/>
    <col min="2083" max="2085" width="9.140625" style="759" customWidth="1"/>
    <col min="2086" max="2086" width="18.42578125" style="759" customWidth="1"/>
    <col min="2087" max="2100" width="9.140625" style="759"/>
    <col min="2101" max="2101" width="9.7109375" style="759" bestFit="1" customWidth="1"/>
    <col min="2102" max="2102" width="9.140625" style="759"/>
    <col min="2103" max="2103" width="24.28515625" style="759" customWidth="1"/>
    <col min="2104" max="2104" width="15.42578125" style="759" bestFit="1" customWidth="1"/>
    <col min="2105" max="2105" width="13.85546875" style="759" bestFit="1" customWidth="1"/>
    <col min="2106" max="2107" width="16.5703125" style="759" bestFit="1" customWidth="1"/>
    <col min="2108" max="2109" width="5.7109375" style="759" bestFit="1" customWidth="1"/>
    <col min="2110" max="2110" width="13.140625" style="759" bestFit="1" customWidth="1"/>
    <col min="2111" max="2113" width="13.140625" style="759" customWidth="1"/>
    <col min="2114" max="2114" width="16" style="759" bestFit="1" customWidth="1"/>
    <col min="2115" max="2115" width="15" style="759" bestFit="1" customWidth="1"/>
    <col min="2116" max="2306" width="9.140625" style="759"/>
    <col min="2307" max="2307" width="11.7109375" style="759" bestFit="1" customWidth="1"/>
    <col min="2308" max="2308" width="10.42578125" style="759" bestFit="1" customWidth="1"/>
    <col min="2309" max="2310" width="9.140625" style="759"/>
    <col min="2311" max="2311" width="8.42578125" style="759" customWidth="1"/>
    <col min="2312" max="2312" width="7.5703125" style="759" customWidth="1"/>
    <col min="2313" max="2313" width="7.28515625" style="759" customWidth="1"/>
    <col min="2314" max="2315" width="8.28515625" style="759" customWidth="1"/>
    <col min="2316" max="2316" width="8.42578125" style="759" customWidth="1"/>
    <col min="2317" max="2317" width="7.5703125" style="759" customWidth="1"/>
    <col min="2318" max="2318" width="7.28515625" style="759" customWidth="1"/>
    <col min="2319" max="2320" width="7.42578125" style="759" bestFit="1" customWidth="1"/>
    <col min="2321" max="2321" width="7.5703125" style="759" bestFit="1" customWidth="1"/>
    <col min="2322" max="2329" width="7.5703125" style="759" customWidth="1"/>
    <col min="2330" max="2330" width="8.42578125" style="759" customWidth="1"/>
    <col min="2331" max="2337" width="7.5703125" style="759" customWidth="1"/>
    <col min="2338" max="2338" width="9.140625" style="759"/>
    <col min="2339" max="2341" width="9.140625" style="759" customWidth="1"/>
    <col min="2342" max="2342" width="18.42578125" style="759" customWidth="1"/>
    <col min="2343" max="2356" width="9.140625" style="759"/>
    <col min="2357" max="2357" width="9.7109375" style="759" bestFit="1" customWidth="1"/>
    <col min="2358" max="2358" width="9.140625" style="759"/>
    <col min="2359" max="2359" width="24.28515625" style="759" customWidth="1"/>
    <col min="2360" max="2360" width="15.42578125" style="759" bestFit="1" customWidth="1"/>
    <col min="2361" max="2361" width="13.85546875" style="759" bestFit="1" customWidth="1"/>
    <col min="2362" max="2363" width="16.5703125" style="759" bestFit="1" customWidth="1"/>
    <col min="2364" max="2365" width="5.7109375" style="759" bestFit="1" customWidth="1"/>
    <col min="2366" max="2366" width="13.140625" style="759" bestFit="1" customWidth="1"/>
    <col min="2367" max="2369" width="13.140625" style="759" customWidth="1"/>
    <col min="2370" max="2370" width="16" style="759" bestFit="1" customWidth="1"/>
    <col min="2371" max="2371" width="15" style="759" bestFit="1" customWidth="1"/>
    <col min="2372" max="2562" width="9.140625" style="759"/>
    <col min="2563" max="2563" width="11.7109375" style="759" bestFit="1" customWidth="1"/>
    <col min="2564" max="2564" width="10.42578125" style="759" bestFit="1" customWidth="1"/>
    <col min="2565" max="2566" width="9.140625" style="759"/>
    <col min="2567" max="2567" width="8.42578125" style="759" customWidth="1"/>
    <col min="2568" max="2568" width="7.5703125" style="759" customWidth="1"/>
    <col min="2569" max="2569" width="7.28515625" style="759" customWidth="1"/>
    <col min="2570" max="2571" width="8.28515625" style="759" customWidth="1"/>
    <col min="2572" max="2572" width="8.42578125" style="759" customWidth="1"/>
    <col min="2573" max="2573" width="7.5703125" style="759" customWidth="1"/>
    <col min="2574" max="2574" width="7.28515625" style="759" customWidth="1"/>
    <col min="2575" max="2576" width="7.42578125" style="759" bestFit="1" customWidth="1"/>
    <col min="2577" max="2577" width="7.5703125" style="759" bestFit="1" customWidth="1"/>
    <col min="2578" max="2585" width="7.5703125" style="759" customWidth="1"/>
    <col min="2586" max="2586" width="8.42578125" style="759" customWidth="1"/>
    <col min="2587" max="2593" width="7.5703125" style="759" customWidth="1"/>
    <col min="2594" max="2594" width="9.140625" style="759"/>
    <col min="2595" max="2597" width="9.140625" style="759" customWidth="1"/>
    <col min="2598" max="2598" width="18.42578125" style="759" customWidth="1"/>
    <col min="2599" max="2612" width="9.140625" style="759"/>
    <col min="2613" max="2613" width="9.7109375" style="759" bestFit="1" customWidth="1"/>
    <col min="2614" max="2614" width="9.140625" style="759"/>
    <col min="2615" max="2615" width="24.28515625" style="759" customWidth="1"/>
    <col min="2616" max="2616" width="15.42578125" style="759" bestFit="1" customWidth="1"/>
    <col min="2617" max="2617" width="13.85546875" style="759" bestFit="1" customWidth="1"/>
    <col min="2618" max="2619" width="16.5703125" style="759" bestFit="1" customWidth="1"/>
    <col min="2620" max="2621" width="5.7109375" style="759" bestFit="1" customWidth="1"/>
    <col min="2622" max="2622" width="13.140625" style="759" bestFit="1" customWidth="1"/>
    <col min="2623" max="2625" width="13.140625" style="759" customWidth="1"/>
    <col min="2626" max="2626" width="16" style="759" bestFit="1" customWidth="1"/>
    <col min="2627" max="2627" width="15" style="759" bestFit="1" customWidth="1"/>
    <col min="2628" max="2818" width="9.140625" style="759"/>
    <col min="2819" max="2819" width="11.7109375" style="759" bestFit="1" customWidth="1"/>
    <col min="2820" max="2820" width="10.42578125" style="759" bestFit="1" customWidth="1"/>
    <col min="2821" max="2822" width="9.140625" style="759"/>
    <col min="2823" max="2823" width="8.42578125" style="759" customWidth="1"/>
    <col min="2824" max="2824" width="7.5703125" style="759" customWidth="1"/>
    <col min="2825" max="2825" width="7.28515625" style="759" customWidth="1"/>
    <col min="2826" max="2827" width="8.28515625" style="759" customWidth="1"/>
    <col min="2828" max="2828" width="8.42578125" style="759" customWidth="1"/>
    <col min="2829" max="2829" width="7.5703125" style="759" customWidth="1"/>
    <col min="2830" max="2830" width="7.28515625" style="759" customWidth="1"/>
    <col min="2831" max="2832" width="7.42578125" style="759" bestFit="1" customWidth="1"/>
    <col min="2833" max="2833" width="7.5703125" style="759" bestFit="1" customWidth="1"/>
    <col min="2834" max="2841" width="7.5703125" style="759" customWidth="1"/>
    <col min="2842" max="2842" width="8.42578125" style="759" customWidth="1"/>
    <col min="2843" max="2849" width="7.5703125" style="759" customWidth="1"/>
    <col min="2850" max="2850" width="9.140625" style="759"/>
    <col min="2851" max="2853" width="9.140625" style="759" customWidth="1"/>
    <col min="2854" max="2854" width="18.42578125" style="759" customWidth="1"/>
    <col min="2855" max="2868" width="9.140625" style="759"/>
    <col min="2869" max="2869" width="9.7109375" style="759" bestFit="1" customWidth="1"/>
    <col min="2870" max="2870" width="9.140625" style="759"/>
    <col min="2871" max="2871" width="24.28515625" style="759" customWidth="1"/>
    <col min="2872" max="2872" width="15.42578125" style="759" bestFit="1" customWidth="1"/>
    <col min="2873" max="2873" width="13.85546875" style="759" bestFit="1" customWidth="1"/>
    <col min="2874" max="2875" width="16.5703125" style="759" bestFit="1" customWidth="1"/>
    <col min="2876" max="2877" width="5.7109375" style="759" bestFit="1" customWidth="1"/>
    <col min="2878" max="2878" width="13.140625" style="759" bestFit="1" customWidth="1"/>
    <col min="2879" max="2881" width="13.140625" style="759" customWidth="1"/>
    <col min="2882" max="2882" width="16" style="759" bestFit="1" customWidth="1"/>
    <col min="2883" max="2883" width="15" style="759" bestFit="1" customWidth="1"/>
    <col min="2884" max="3074" width="9.140625" style="759"/>
    <col min="3075" max="3075" width="11.7109375" style="759" bestFit="1" customWidth="1"/>
    <col min="3076" max="3076" width="10.42578125" style="759" bestFit="1" customWidth="1"/>
    <col min="3077" max="3078" width="9.140625" style="759"/>
    <col min="3079" max="3079" width="8.42578125" style="759" customWidth="1"/>
    <col min="3080" max="3080" width="7.5703125" style="759" customWidth="1"/>
    <col min="3081" max="3081" width="7.28515625" style="759" customWidth="1"/>
    <col min="3082" max="3083" width="8.28515625" style="759" customWidth="1"/>
    <col min="3084" max="3084" width="8.42578125" style="759" customWidth="1"/>
    <col min="3085" max="3085" width="7.5703125" style="759" customWidth="1"/>
    <col min="3086" max="3086" width="7.28515625" style="759" customWidth="1"/>
    <col min="3087" max="3088" width="7.42578125" style="759" bestFit="1" customWidth="1"/>
    <col min="3089" max="3089" width="7.5703125" style="759" bestFit="1" customWidth="1"/>
    <col min="3090" max="3097" width="7.5703125" style="759" customWidth="1"/>
    <col min="3098" max="3098" width="8.42578125" style="759" customWidth="1"/>
    <col min="3099" max="3105" width="7.5703125" style="759" customWidth="1"/>
    <col min="3106" max="3106" width="9.140625" style="759"/>
    <col min="3107" max="3109" width="9.140625" style="759" customWidth="1"/>
    <col min="3110" max="3110" width="18.42578125" style="759" customWidth="1"/>
    <col min="3111" max="3124" width="9.140625" style="759"/>
    <col min="3125" max="3125" width="9.7109375" style="759" bestFit="1" customWidth="1"/>
    <col min="3126" max="3126" width="9.140625" style="759"/>
    <col min="3127" max="3127" width="24.28515625" style="759" customWidth="1"/>
    <col min="3128" max="3128" width="15.42578125" style="759" bestFit="1" customWidth="1"/>
    <col min="3129" max="3129" width="13.85546875" style="759" bestFit="1" customWidth="1"/>
    <col min="3130" max="3131" width="16.5703125" style="759" bestFit="1" customWidth="1"/>
    <col min="3132" max="3133" width="5.7109375" style="759" bestFit="1" customWidth="1"/>
    <col min="3134" max="3134" width="13.140625" style="759" bestFit="1" customWidth="1"/>
    <col min="3135" max="3137" width="13.140625" style="759" customWidth="1"/>
    <col min="3138" max="3138" width="16" style="759" bestFit="1" customWidth="1"/>
    <col min="3139" max="3139" width="15" style="759" bestFit="1" customWidth="1"/>
    <col min="3140" max="3330" width="9.140625" style="759"/>
    <col min="3331" max="3331" width="11.7109375" style="759" bestFit="1" customWidth="1"/>
    <col min="3332" max="3332" width="10.42578125" style="759" bestFit="1" customWidth="1"/>
    <col min="3333" max="3334" width="9.140625" style="759"/>
    <col min="3335" max="3335" width="8.42578125" style="759" customWidth="1"/>
    <col min="3336" max="3336" width="7.5703125" style="759" customWidth="1"/>
    <col min="3337" max="3337" width="7.28515625" style="759" customWidth="1"/>
    <col min="3338" max="3339" width="8.28515625" style="759" customWidth="1"/>
    <col min="3340" max="3340" width="8.42578125" style="759" customWidth="1"/>
    <col min="3341" max="3341" width="7.5703125" style="759" customWidth="1"/>
    <col min="3342" max="3342" width="7.28515625" style="759" customWidth="1"/>
    <col min="3343" max="3344" width="7.42578125" style="759" bestFit="1" customWidth="1"/>
    <col min="3345" max="3345" width="7.5703125" style="759" bestFit="1" customWidth="1"/>
    <col min="3346" max="3353" width="7.5703125" style="759" customWidth="1"/>
    <col min="3354" max="3354" width="8.42578125" style="759" customWidth="1"/>
    <col min="3355" max="3361" width="7.5703125" style="759" customWidth="1"/>
    <col min="3362" max="3362" width="9.140625" style="759"/>
    <col min="3363" max="3365" width="9.140625" style="759" customWidth="1"/>
    <col min="3366" max="3366" width="18.42578125" style="759" customWidth="1"/>
    <col min="3367" max="3380" width="9.140625" style="759"/>
    <col min="3381" max="3381" width="9.7109375" style="759" bestFit="1" customWidth="1"/>
    <col min="3382" max="3382" width="9.140625" style="759"/>
    <col min="3383" max="3383" width="24.28515625" style="759" customWidth="1"/>
    <col min="3384" max="3384" width="15.42578125" style="759" bestFit="1" customWidth="1"/>
    <col min="3385" max="3385" width="13.85546875" style="759" bestFit="1" customWidth="1"/>
    <col min="3386" max="3387" width="16.5703125" style="759" bestFit="1" customWidth="1"/>
    <col min="3388" max="3389" width="5.7109375" style="759" bestFit="1" customWidth="1"/>
    <col min="3390" max="3390" width="13.140625" style="759" bestFit="1" customWidth="1"/>
    <col min="3391" max="3393" width="13.140625" style="759" customWidth="1"/>
    <col min="3394" max="3394" width="16" style="759" bestFit="1" customWidth="1"/>
    <col min="3395" max="3395" width="15" style="759" bestFit="1" customWidth="1"/>
    <col min="3396" max="3586" width="9.140625" style="759"/>
    <col min="3587" max="3587" width="11.7109375" style="759" bestFit="1" customWidth="1"/>
    <col min="3588" max="3588" width="10.42578125" style="759" bestFit="1" customWidth="1"/>
    <col min="3589" max="3590" width="9.140625" style="759"/>
    <col min="3591" max="3591" width="8.42578125" style="759" customWidth="1"/>
    <col min="3592" max="3592" width="7.5703125" style="759" customWidth="1"/>
    <col min="3593" max="3593" width="7.28515625" style="759" customWidth="1"/>
    <col min="3594" max="3595" width="8.28515625" style="759" customWidth="1"/>
    <col min="3596" max="3596" width="8.42578125" style="759" customWidth="1"/>
    <col min="3597" max="3597" width="7.5703125" style="759" customWidth="1"/>
    <col min="3598" max="3598" width="7.28515625" style="759" customWidth="1"/>
    <col min="3599" max="3600" width="7.42578125" style="759" bestFit="1" customWidth="1"/>
    <col min="3601" max="3601" width="7.5703125" style="759" bestFit="1" customWidth="1"/>
    <col min="3602" max="3609" width="7.5703125" style="759" customWidth="1"/>
    <col min="3610" max="3610" width="8.42578125" style="759" customWidth="1"/>
    <col min="3611" max="3617" width="7.5703125" style="759" customWidth="1"/>
    <col min="3618" max="3618" width="9.140625" style="759"/>
    <col min="3619" max="3621" width="9.140625" style="759" customWidth="1"/>
    <col min="3622" max="3622" width="18.42578125" style="759" customWidth="1"/>
    <col min="3623" max="3636" width="9.140625" style="759"/>
    <col min="3637" max="3637" width="9.7109375" style="759" bestFit="1" customWidth="1"/>
    <col min="3638" max="3638" width="9.140625" style="759"/>
    <col min="3639" max="3639" width="24.28515625" style="759" customWidth="1"/>
    <col min="3640" max="3640" width="15.42578125" style="759" bestFit="1" customWidth="1"/>
    <col min="3641" max="3641" width="13.85546875" style="759" bestFit="1" customWidth="1"/>
    <col min="3642" max="3643" width="16.5703125" style="759" bestFit="1" customWidth="1"/>
    <col min="3644" max="3645" width="5.7109375" style="759" bestFit="1" customWidth="1"/>
    <col min="3646" max="3646" width="13.140625" style="759" bestFit="1" customWidth="1"/>
    <col min="3647" max="3649" width="13.140625" style="759" customWidth="1"/>
    <col min="3650" max="3650" width="16" style="759" bestFit="1" customWidth="1"/>
    <col min="3651" max="3651" width="15" style="759" bestFit="1" customWidth="1"/>
    <col min="3652" max="3842" width="9.140625" style="759"/>
    <col min="3843" max="3843" width="11.7109375" style="759" bestFit="1" customWidth="1"/>
    <col min="3844" max="3844" width="10.42578125" style="759" bestFit="1" customWidth="1"/>
    <col min="3845" max="3846" width="9.140625" style="759"/>
    <col min="3847" max="3847" width="8.42578125" style="759" customWidth="1"/>
    <col min="3848" max="3848" width="7.5703125" style="759" customWidth="1"/>
    <col min="3849" max="3849" width="7.28515625" style="759" customWidth="1"/>
    <col min="3850" max="3851" width="8.28515625" style="759" customWidth="1"/>
    <col min="3852" max="3852" width="8.42578125" style="759" customWidth="1"/>
    <col min="3853" max="3853" width="7.5703125" style="759" customWidth="1"/>
    <col min="3854" max="3854" width="7.28515625" style="759" customWidth="1"/>
    <col min="3855" max="3856" width="7.42578125" style="759" bestFit="1" customWidth="1"/>
    <col min="3857" max="3857" width="7.5703125" style="759" bestFit="1" customWidth="1"/>
    <col min="3858" max="3865" width="7.5703125" style="759" customWidth="1"/>
    <col min="3866" max="3866" width="8.42578125" style="759" customWidth="1"/>
    <col min="3867" max="3873" width="7.5703125" style="759" customWidth="1"/>
    <col min="3874" max="3874" width="9.140625" style="759"/>
    <col min="3875" max="3877" width="9.140625" style="759" customWidth="1"/>
    <col min="3878" max="3878" width="18.42578125" style="759" customWidth="1"/>
    <col min="3879" max="3892" width="9.140625" style="759"/>
    <col min="3893" max="3893" width="9.7109375" style="759" bestFit="1" customWidth="1"/>
    <col min="3894" max="3894" width="9.140625" style="759"/>
    <col min="3895" max="3895" width="24.28515625" style="759" customWidth="1"/>
    <col min="3896" max="3896" width="15.42578125" style="759" bestFit="1" customWidth="1"/>
    <col min="3897" max="3897" width="13.85546875" style="759" bestFit="1" customWidth="1"/>
    <col min="3898" max="3899" width="16.5703125" style="759" bestFit="1" customWidth="1"/>
    <col min="3900" max="3901" width="5.7109375" style="759" bestFit="1" customWidth="1"/>
    <col min="3902" max="3902" width="13.140625" style="759" bestFit="1" customWidth="1"/>
    <col min="3903" max="3905" width="13.140625" style="759" customWidth="1"/>
    <col min="3906" max="3906" width="16" style="759" bestFit="1" customWidth="1"/>
    <col min="3907" max="3907" width="15" style="759" bestFit="1" customWidth="1"/>
    <col min="3908" max="4098" width="9.140625" style="759"/>
    <col min="4099" max="4099" width="11.7109375" style="759" bestFit="1" customWidth="1"/>
    <col min="4100" max="4100" width="10.42578125" style="759" bestFit="1" customWidth="1"/>
    <col min="4101" max="4102" width="9.140625" style="759"/>
    <col min="4103" max="4103" width="8.42578125" style="759" customWidth="1"/>
    <col min="4104" max="4104" width="7.5703125" style="759" customWidth="1"/>
    <col min="4105" max="4105" width="7.28515625" style="759" customWidth="1"/>
    <col min="4106" max="4107" width="8.28515625" style="759" customWidth="1"/>
    <col min="4108" max="4108" width="8.42578125" style="759" customWidth="1"/>
    <col min="4109" max="4109" width="7.5703125" style="759" customWidth="1"/>
    <col min="4110" max="4110" width="7.28515625" style="759" customWidth="1"/>
    <col min="4111" max="4112" width="7.42578125" style="759" bestFit="1" customWidth="1"/>
    <col min="4113" max="4113" width="7.5703125" style="759" bestFit="1" customWidth="1"/>
    <col min="4114" max="4121" width="7.5703125" style="759" customWidth="1"/>
    <col min="4122" max="4122" width="8.42578125" style="759" customWidth="1"/>
    <col min="4123" max="4129" width="7.5703125" style="759" customWidth="1"/>
    <col min="4130" max="4130" width="9.140625" style="759"/>
    <col min="4131" max="4133" width="9.140625" style="759" customWidth="1"/>
    <col min="4134" max="4134" width="18.42578125" style="759" customWidth="1"/>
    <col min="4135" max="4148" width="9.140625" style="759"/>
    <col min="4149" max="4149" width="9.7109375" style="759" bestFit="1" customWidth="1"/>
    <col min="4150" max="4150" width="9.140625" style="759"/>
    <col min="4151" max="4151" width="24.28515625" style="759" customWidth="1"/>
    <col min="4152" max="4152" width="15.42578125" style="759" bestFit="1" customWidth="1"/>
    <col min="4153" max="4153" width="13.85546875" style="759" bestFit="1" customWidth="1"/>
    <col min="4154" max="4155" width="16.5703125" style="759" bestFit="1" customWidth="1"/>
    <col min="4156" max="4157" width="5.7109375" style="759" bestFit="1" customWidth="1"/>
    <col min="4158" max="4158" width="13.140625" style="759" bestFit="1" customWidth="1"/>
    <col min="4159" max="4161" width="13.140625" style="759" customWidth="1"/>
    <col min="4162" max="4162" width="16" style="759" bestFit="1" customWidth="1"/>
    <col min="4163" max="4163" width="15" style="759" bestFit="1" customWidth="1"/>
    <col min="4164" max="4354" width="9.140625" style="759"/>
    <col min="4355" max="4355" width="11.7109375" style="759" bestFit="1" customWidth="1"/>
    <col min="4356" max="4356" width="10.42578125" style="759" bestFit="1" customWidth="1"/>
    <col min="4357" max="4358" width="9.140625" style="759"/>
    <col min="4359" max="4359" width="8.42578125" style="759" customWidth="1"/>
    <col min="4360" max="4360" width="7.5703125" style="759" customWidth="1"/>
    <col min="4361" max="4361" width="7.28515625" style="759" customWidth="1"/>
    <col min="4362" max="4363" width="8.28515625" style="759" customWidth="1"/>
    <col min="4364" max="4364" width="8.42578125" style="759" customWidth="1"/>
    <col min="4365" max="4365" width="7.5703125" style="759" customWidth="1"/>
    <col min="4366" max="4366" width="7.28515625" style="759" customWidth="1"/>
    <col min="4367" max="4368" width="7.42578125" style="759" bestFit="1" customWidth="1"/>
    <col min="4369" max="4369" width="7.5703125" style="759" bestFit="1" customWidth="1"/>
    <col min="4370" max="4377" width="7.5703125" style="759" customWidth="1"/>
    <col min="4378" max="4378" width="8.42578125" style="759" customWidth="1"/>
    <col min="4379" max="4385" width="7.5703125" style="759" customWidth="1"/>
    <col min="4386" max="4386" width="9.140625" style="759"/>
    <col min="4387" max="4389" width="9.140625" style="759" customWidth="1"/>
    <col min="4390" max="4390" width="18.42578125" style="759" customWidth="1"/>
    <col min="4391" max="4404" width="9.140625" style="759"/>
    <col min="4405" max="4405" width="9.7109375" style="759" bestFit="1" customWidth="1"/>
    <col min="4406" max="4406" width="9.140625" style="759"/>
    <col min="4407" max="4407" width="24.28515625" style="759" customWidth="1"/>
    <col min="4408" max="4408" width="15.42578125" style="759" bestFit="1" customWidth="1"/>
    <col min="4409" max="4409" width="13.85546875" style="759" bestFit="1" customWidth="1"/>
    <col min="4410" max="4411" width="16.5703125" style="759" bestFit="1" customWidth="1"/>
    <col min="4412" max="4413" width="5.7109375" style="759" bestFit="1" customWidth="1"/>
    <col min="4414" max="4414" width="13.140625" style="759" bestFit="1" customWidth="1"/>
    <col min="4415" max="4417" width="13.140625" style="759" customWidth="1"/>
    <col min="4418" max="4418" width="16" style="759" bestFit="1" customWidth="1"/>
    <col min="4419" max="4419" width="15" style="759" bestFit="1" customWidth="1"/>
    <col min="4420" max="4610" width="9.140625" style="759"/>
    <col min="4611" max="4611" width="11.7109375" style="759" bestFit="1" customWidth="1"/>
    <col min="4612" max="4612" width="10.42578125" style="759" bestFit="1" customWidth="1"/>
    <col min="4613" max="4614" width="9.140625" style="759"/>
    <col min="4615" max="4615" width="8.42578125" style="759" customWidth="1"/>
    <col min="4616" max="4616" width="7.5703125" style="759" customWidth="1"/>
    <col min="4617" max="4617" width="7.28515625" style="759" customWidth="1"/>
    <col min="4618" max="4619" width="8.28515625" style="759" customWidth="1"/>
    <col min="4620" max="4620" width="8.42578125" style="759" customWidth="1"/>
    <col min="4621" max="4621" width="7.5703125" style="759" customWidth="1"/>
    <col min="4622" max="4622" width="7.28515625" style="759" customWidth="1"/>
    <col min="4623" max="4624" width="7.42578125" style="759" bestFit="1" customWidth="1"/>
    <col min="4625" max="4625" width="7.5703125" style="759" bestFit="1" customWidth="1"/>
    <col min="4626" max="4633" width="7.5703125" style="759" customWidth="1"/>
    <col min="4634" max="4634" width="8.42578125" style="759" customWidth="1"/>
    <col min="4635" max="4641" width="7.5703125" style="759" customWidth="1"/>
    <col min="4642" max="4642" width="9.140625" style="759"/>
    <col min="4643" max="4645" width="9.140625" style="759" customWidth="1"/>
    <col min="4646" max="4646" width="18.42578125" style="759" customWidth="1"/>
    <col min="4647" max="4660" width="9.140625" style="759"/>
    <col min="4661" max="4661" width="9.7109375" style="759" bestFit="1" customWidth="1"/>
    <col min="4662" max="4662" width="9.140625" style="759"/>
    <col min="4663" max="4663" width="24.28515625" style="759" customWidth="1"/>
    <col min="4664" max="4664" width="15.42578125" style="759" bestFit="1" customWidth="1"/>
    <col min="4665" max="4665" width="13.85546875" style="759" bestFit="1" customWidth="1"/>
    <col min="4666" max="4667" width="16.5703125" style="759" bestFit="1" customWidth="1"/>
    <col min="4668" max="4669" width="5.7109375" style="759" bestFit="1" customWidth="1"/>
    <col min="4670" max="4670" width="13.140625" style="759" bestFit="1" customWidth="1"/>
    <col min="4671" max="4673" width="13.140625" style="759" customWidth="1"/>
    <col min="4674" max="4674" width="16" style="759" bestFit="1" customWidth="1"/>
    <col min="4675" max="4675" width="15" style="759" bestFit="1" customWidth="1"/>
    <col min="4676" max="4866" width="9.140625" style="759"/>
    <col min="4867" max="4867" width="11.7109375" style="759" bestFit="1" customWidth="1"/>
    <col min="4868" max="4868" width="10.42578125" style="759" bestFit="1" customWidth="1"/>
    <col min="4869" max="4870" width="9.140625" style="759"/>
    <col min="4871" max="4871" width="8.42578125" style="759" customWidth="1"/>
    <col min="4872" max="4872" width="7.5703125" style="759" customWidth="1"/>
    <col min="4873" max="4873" width="7.28515625" style="759" customWidth="1"/>
    <col min="4874" max="4875" width="8.28515625" style="759" customWidth="1"/>
    <col min="4876" max="4876" width="8.42578125" style="759" customWidth="1"/>
    <col min="4877" max="4877" width="7.5703125" style="759" customWidth="1"/>
    <col min="4878" max="4878" width="7.28515625" style="759" customWidth="1"/>
    <col min="4879" max="4880" width="7.42578125" style="759" bestFit="1" customWidth="1"/>
    <col min="4881" max="4881" width="7.5703125" style="759" bestFit="1" customWidth="1"/>
    <col min="4882" max="4889" width="7.5703125" style="759" customWidth="1"/>
    <col min="4890" max="4890" width="8.42578125" style="759" customWidth="1"/>
    <col min="4891" max="4897" width="7.5703125" style="759" customWidth="1"/>
    <col min="4898" max="4898" width="9.140625" style="759"/>
    <col min="4899" max="4901" width="9.140625" style="759" customWidth="1"/>
    <col min="4902" max="4902" width="18.42578125" style="759" customWidth="1"/>
    <col min="4903" max="4916" width="9.140625" style="759"/>
    <col min="4917" max="4917" width="9.7109375" style="759" bestFit="1" customWidth="1"/>
    <col min="4918" max="4918" width="9.140625" style="759"/>
    <col min="4919" max="4919" width="24.28515625" style="759" customWidth="1"/>
    <col min="4920" max="4920" width="15.42578125" style="759" bestFit="1" customWidth="1"/>
    <col min="4921" max="4921" width="13.85546875" style="759" bestFit="1" customWidth="1"/>
    <col min="4922" max="4923" width="16.5703125" style="759" bestFit="1" customWidth="1"/>
    <col min="4924" max="4925" width="5.7109375" style="759" bestFit="1" customWidth="1"/>
    <col min="4926" max="4926" width="13.140625" style="759" bestFit="1" customWidth="1"/>
    <col min="4927" max="4929" width="13.140625" style="759" customWidth="1"/>
    <col min="4930" max="4930" width="16" style="759" bestFit="1" customWidth="1"/>
    <col min="4931" max="4931" width="15" style="759" bestFit="1" customWidth="1"/>
    <col min="4932" max="5122" width="9.140625" style="759"/>
    <col min="5123" max="5123" width="11.7109375" style="759" bestFit="1" customWidth="1"/>
    <col min="5124" max="5124" width="10.42578125" style="759" bestFit="1" customWidth="1"/>
    <col min="5125" max="5126" width="9.140625" style="759"/>
    <col min="5127" max="5127" width="8.42578125" style="759" customWidth="1"/>
    <col min="5128" max="5128" width="7.5703125" style="759" customWidth="1"/>
    <col min="5129" max="5129" width="7.28515625" style="759" customWidth="1"/>
    <col min="5130" max="5131" width="8.28515625" style="759" customWidth="1"/>
    <col min="5132" max="5132" width="8.42578125" style="759" customWidth="1"/>
    <col min="5133" max="5133" width="7.5703125" style="759" customWidth="1"/>
    <col min="5134" max="5134" width="7.28515625" style="759" customWidth="1"/>
    <col min="5135" max="5136" width="7.42578125" style="759" bestFit="1" customWidth="1"/>
    <col min="5137" max="5137" width="7.5703125" style="759" bestFit="1" customWidth="1"/>
    <col min="5138" max="5145" width="7.5703125" style="759" customWidth="1"/>
    <col min="5146" max="5146" width="8.42578125" style="759" customWidth="1"/>
    <col min="5147" max="5153" width="7.5703125" style="759" customWidth="1"/>
    <col min="5154" max="5154" width="9.140625" style="759"/>
    <col min="5155" max="5157" width="9.140625" style="759" customWidth="1"/>
    <col min="5158" max="5158" width="18.42578125" style="759" customWidth="1"/>
    <col min="5159" max="5172" width="9.140625" style="759"/>
    <col min="5173" max="5173" width="9.7109375" style="759" bestFit="1" customWidth="1"/>
    <col min="5174" max="5174" width="9.140625" style="759"/>
    <col min="5175" max="5175" width="24.28515625" style="759" customWidth="1"/>
    <col min="5176" max="5176" width="15.42578125" style="759" bestFit="1" customWidth="1"/>
    <col min="5177" max="5177" width="13.85546875" style="759" bestFit="1" customWidth="1"/>
    <col min="5178" max="5179" width="16.5703125" style="759" bestFit="1" customWidth="1"/>
    <col min="5180" max="5181" width="5.7109375" style="759" bestFit="1" customWidth="1"/>
    <col min="5182" max="5182" width="13.140625" style="759" bestFit="1" customWidth="1"/>
    <col min="5183" max="5185" width="13.140625" style="759" customWidth="1"/>
    <col min="5186" max="5186" width="16" style="759" bestFit="1" customWidth="1"/>
    <col min="5187" max="5187" width="15" style="759" bestFit="1" customWidth="1"/>
    <col min="5188" max="5378" width="9.140625" style="759"/>
    <col min="5379" max="5379" width="11.7109375" style="759" bestFit="1" customWidth="1"/>
    <col min="5380" max="5380" width="10.42578125" style="759" bestFit="1" customWidth="1"/>
    <col min="5381" max="5382" width="9.140625" style="759"/>
    <col min="5383" max="5383" width="8.42578125" style="759" customWidth="1"/>
    <col min="5384" max="5384" width="7.5703125" style="759" customWidth="1"/>
    <col min="5385" max="5385" width="7.28515625" style="759" customWidth="1"/>
    <col min="5386" max="5387" width="8.28515625" style="759" customWidth="1"/>
    <col min="5388" max="5388" width="8.42578125" style="759" customWidth="1"/>
    <col min="5389" max="5389" width="7.5703125" style="759" customWidth="1"/>
    <col min="5390" max="5390" width="7.28515625" style="759" customWidth="1"/>
    <col min="5391" max="5392" width="7.42578125" style="759" bestFit="1" customWidth="1"/>
    <col min="5393" max="5393" width="7.5703125" style="759" bestFit="1" customWidth="1"/>
    <col min="5394" max="5401" width="7.5703125" style="759" customWidth="1"/>
    <col min="5402" max="5402" width="8.42578125" style="759" customWidth="1"/>
    <col min="5403" max="5409" width="7.5703125" style="759" customWidth="1"/>
    <col min="5410" max="5410" width="9.140625" style="759"/>
    <col min="5411" max="5413" width="9.140625" style="759" customWidth="1"/>
    <col min="5414" max="5414" width="18.42578125" style="759" customWidth="1"/>
    <col min="5415" max="5428" width="9.140625" style="759"/>
    <col min="5429" max="5429" width="9.7109375" style="759" bestFit="1" customWidth="1"/>
    <col min="5430" max="5430" width="9.140625" style="759"/>
    <col min="5431" max="5431" width="24.28515625" style="759" customWidth="1"/>
    <col min="5432" max="5432" width="15.42578125" style="759" bestFit="1" customWidth="1"/>
    <col min="5433" max="5433" width="13.85546875" style="759" bestFit="1" customWidth="1"/>
    <col min="5434" max="5435" width="16.5703125" style="759" bestFit="1" customWidth="1"/>
    <col min="5436" max="5437" width="5.7109375" style="759" bestFit="1" customWidth="1"/>
    <col min="5438" max="5438" width="13.140625" style="759" bestFit="1" customWidth="1"/>
    <col min="5439" max="5441" width="13.140625" style="759" customWidth="1"/>
    <col min="5442" max="5442" width="16" style="759" bestFit="1" customWidth="1"/>
    <col min="5443" max="5443" width="15" style="759" bestFit="1" customWidth="1"/>
    <col min="5444" max="5634" width="9.140625" style="759"/>
    <col min="5635" max="5635" width="11.7109375" style="759" bestFit="1" customWidth="1"/>
    <col min="5636" max="5636" width="10.42578125" style="759" bestFit="1" customWidth="1"/>
    <col min="5637" max="5638" width="9.140625" style="759"/>
    <col min="5639" max="5639" width="8.42578125" style="759" customWidth="1"/>
    <col min="5640" max="5640" width="7.5703125" style="759" customWidth="1"/>
    <col min="5641" max="5641" width="7.28515625" style="759" customWidth="1"/>
    <col min="5642" max="5643" width="8.28515625" style="759" customWidth="1"/>
    <col min="5644" max="5644" width="8.42578125" style="759" customWidth="1"/>
    <col min="5645" max="5645" width="7.5703125" style="759" customWidth="1"/>
    <col min="5646" max="5646" width="7.28515625" style="759" customWidth="1"/>
    <col min="5647" max="5648" width="7.42578125" style="759" bestFit="1" customWidth="1"/>
    <col min="5649" max="5649" width="7.5703125" style="759" bestFit="1" customWidth="1"/>
    <col min="5650" max="5657" width="7.5703125" style="759" customWidth="1"/>
    <col min="5658" max="5658" width="8.42578125" style="759" customWidth="1"/>
    <col min="5659" max="5665" width="7.5703125" style="759" customWidth="1"/>
    <col min="5666" max="5666" width="9.140625" style="759"/>
    <col min="5667" max="5669" width="9.140625" style="759" customWidth="1"/>
    <col min="5670" max="5670" width="18.42578125" style="759" customWidth="1"/>
    <col min="5671" max="5684" width="9.140625" style="759"/>
    <col min="5685" max="5685" width="9.7109375" style="759" bestFit="1" customWidth="1"/>
    <col min="5686" max="5686" width="9.140625" style="759"/>
    <col min="5687" max="5687" width="24.28515625" style="759" customWidth="1"/>
    <col min="5688" max="5688" width="15.42578125" style="759" bestFit="1" customWidth="1"/>
    <col min="5689" max="5689" width="13.85546875" style="759" bestFit="1" customWidth="1"/>
    <col min="5690" max="5691" width="16.5703125" style="759" bestFit="1" customWidth="1"/>
    <col min="5692" max="5693" width="5.7109375" style="759" bestFit="1" customWidth="1"/>
    <col min="5694" max="5694" width="13.140625" style="759" bestFit="1" customWidth="1"/>
    <col min="5695" max="5697" width="13.140625" style="759" customWidth="1"/>
    <col min="5698" max="5698" width="16" style="759" bestFit="1" customWidth="1"/>
    <col min="5699" max="5699" width="15" style="759" bestFit="1" customWidth="1"/>
    <col min="5700" max="5890" width="9.140625" style="759"/>
    <col min="5891" max="5891" width="11.7109375" style="759" bestFit="1" customWidth="1"/>
    <col min="5892" max="5892" width="10.42578125" style="759" bestFit="1" customWidth="1"/>
    <col min="5893" max="5894" width="9.140625" style="759"/>
    <col min="5895" max="5895" width="8.42578125" style="759" customWidth="1"/>
    <col min="5896" max="5896" width="7.5703125" style="759" customWidth="1"/>
    <col min="5897" max="5897" width="7.28515625" style="759" customWidth="1"/>
    <col min="5898" max="5899" width="8.28515625" style="759" customWidth="1"/>
    <col min="5900" max="5900" width="8.42578125" style="759" customWidth="1"/>
    <col min="5901" max="5901" width="7.5703125" style="759" customWidth="1"/>
    <col min="5902" max="5902" width="7.28515625" style="759" customWidth="1"/>
    <col min="5903" max="5904" width="7.42578125" style="759" bestFit="1" customWidth="1"/>
    <col min="5905" max="5905" width="7.5703125" style="759" bestFit="1" customWidth="1"/>
    <col min="5906" max="5913" width="7.5703125" style="759" customWidth="1"/>
    <col min="5914" max="5914" width="8.42578125" style="759" customWidth="1"/>
    <col min="5915" max="5921" width="7.5703125" style="759" customWidth="1"/>
    <col min="5922" max="5922" width="9.140625" style="759"/>
    <col min="5923" max="5925" width="9.140625" style="759" customWidth="1"/>
    <col min="5926" max="5926" width="18.42578125" style="759" customWidth="1"/>
    <col min="5927" max="5940" width="9.140625" style="759"/>
    <col min="5941" max="5941" width="9.7109375" style="759" bestFit="1" customWidth="1"/>
    <col min="5942" max="5942" width="9.140625" style="759"/>
    <col min="5943" max="5943" width="24.28515625" style="759" customWidth="1"/>
    <col min="5944" max="5944" width="15.42578125" style="759" bestFit="1" customWidth="1"/>
    <col min="5945" max="5945" width="13.85546875" style="759" bestFit="1" customWidth="1"/>
    <col min="5946" max="5947" width="16.5703125" style="759" bestFit="1" customWidth="1"/>
    <col min="5948" max="5949" width="5.7109375" style="759" bestFit="1" customWidth="1"/>
    <col min="5950" max="5950" width="13.140625" style="759" bestFit="1" customWidth="1"/>
    <col min="5951" max="5953" width="13.140625" style="759" customWidth="1"/>
    <col min="5954" max="5954" width="16" style="759" bestFit="1" customWidth="1"/>
    <col min="5955" max="5955" width="15" style="759" bestFit="1" customWidth="1"/>
    <col min="5956" max="6146" width="9.140625" style="759"/>
    <col min="6147" max="6147" width="11.7109375" style="759" bestFit="1" customWidth="1"/>
    <col min="6148" max="6148" width="10.42578125" style="759" bestFit="1" customWidth="1"/>
    <col min="6149" max="6150" width="9.140625" style="759"/>
    <col min="6151" max="6151" width="8.42578125" style="759" customWidth="1"/>
    <col min="6152" max="6152" width="7.5703125" style="759" customWidth="1"/>
    <col min="6153" max="6153" width="7.28515625" style="759" customWidth="1"/>
    <col min="6154" max="6155" width="8.28515625" style="759" customWidth="1"/>
    <col min="6156" max="6156" width="8.42578125" style="759" customWidth="1"/>
    <col min="6157" max="6157" width="7.5703125" style="759" customWidth="1"/>
    <col min="6158" max="6158" width="7.28515625" style="759" customWidth="1"/>
    <col min="6159" max="6160" width="7.42578125" style="759" bestFit="1" customWidth="1"/>
    <col min="6161" max="6161" width="7.5703125" style="759" bestFit="1" customWidth="1"/>
    <col min="6162" max="6169" width="7.5703125" style="759" customWidth="1"/>
    <col min="6170" max="6170" width="8.42578125" style="759" customWidth="1"/>
    <col min="6171" max="6177" width="7.5703125" style="759" customWidth="1"/>
    <col min="6178" max="6178" width="9.140625" style="759"/>
    <col min="6179" max="6181" width="9.140625" style="759" customWidth="1"/>
    <col min="6182" max="6182" width="18.42578125" style="759" customWidth="1"/>
    <col min="6183" max="6196" width="9.140625" style="759"/>
    <col min="6197" max="6197" width="9.7109375" style="759" bestFit="1" customWidth="1"/>
    <col min="6198" max="6198" width="9.140625" style="759"/>
    <col min="6199" max="6199" width="24.28515625" style="759" customWidth="1"/>
    <col min="6200" max="6200" width="15.42578125" style="759" bestFit="1" customWidth="1"/>
    <col min="6201" max="6201" width="13.85546875" style="759" bestFit="1" customWidth="1"/>
    <col min="6202" max="6203" width="16.5703125" style="759" bestFit="1" customWidth="1"/>
    <col min="6204" max="6205" width="5.7109375" style="759" bestFit="1" customWidth="1"/>
    <col min="6206" max="6206" width="13.140625" style="759" bestFit="1" customWidth="1"/>
    <col min="6207" max="6209" width="13.140625" style="759" customWidth="1"/>
    <col min="6210" max="6210" width="16" style="759" bestFit="1" customWidth="1"/>
    <col min="6211" max="6211" width="15" style="759" bestFit="1" customWidth="1"/>
    <col min="6212" max="6402" width="9.140625" style="759"/>
    <col min="6403" max="6403" width="11.7109375" style="759" bestFit="1" customWidth="1"/>
    <col min="6404" max="6404" width="10.42578125" style="759" bestFit="1" customWidth="1"/>
    <col min="6405" max="6406" width="9.140625" style="759"/>
    <col min="6407" max="6407" width="8.42578125" style="759" customWidth="1"/>
    <col min="6408" max="6408" width="7.5703125" style="759" customWidth="1"/>
    <col min="6409" max="6409" width="7.28515625" style="759" customWidth="1"/>
    <col min="6410" max="6411" width="8.28515625" style="759" customWidth="1"/>
    <col min="6412" max="6412" width="8.42578125" style="759" customWidth="1"/>
    <col min="6413" max="6413" width="7.5703125" style="759" customWidth="1"/>
    <col min="6414" max="6414" width="7.28515625" style="759" customWidth="1"/>
    <col min="6415" max="6416" width="7.42578125" style="759" bestFit="1" customWidth="1"/>
    <col min="6417" max="6417" width="7.5703125" style="759" bestFit="1" customWidth="1"/>
    <col min="6418" max="6425" width="7.5703125" style="759" customWidth="1"/>
    <col min="6426" max="6426" width="8.42578125" style="759" customWidth="1"/>
    <col min="6427" max="6433" width="7.5703125" style="759" customWidth="1"/>
    <col min="6434" max="6434" width="9.140625" style="759"/>
    <col min="6435" max="6437" width="9.140625" style="759" customWidth="1"/>
    <col min="6438" max="6438" width="18.42578125" style="759" customWidth="1"/>
    <col min="6439" max="6452" width="9.140625" style="759"/>
    <col min="6453" max="6453" width="9.7109375" style="759" bestFit="1" customWidth="1"/>
    <col min="6454" max="6454" width="9.140625" style="759"/>
    <col min="6455" max="6455" width="24.28515625" style="759" customWidth="1"/>
    <col min="6456" max="6456" width="15.42578125" style="759" bestFit="1" customWidth="1"/>
    <col min="6457" max="6457" width="13.85546875" style="759" bestFit="1" customWidth="1"/>
    <col min="6458" max="6459" width="16.5703125" style="759" bestFit="1" customWidth="1"/>
    <col min="6460" max="6461" width="5.7109375" style="759" bestFit="1" customWidth="1"/>
    <col min="6462" max="6462" width="13.140625" style="759" bestFit="1" customWidth="1"/>
    <col min="6463" max="6465" width="13.140625" style="759" customWidth="1"/>
    <col min="6466" max="6466" width="16" style="759" bestFit="1" customWidth="1"/>
    <col min="6467" max="6467" width="15" style="759" bestFit="1" customWidth="1"/>
    <col min="6468" max="6658" width="9.140625" style="759"/>
    <col min="6659" max="6659" width="11.7109375" style="759" bestFit="1" customWidth="1"/>
    <col min="6660" max="6660" width="10.42578125" style="759" bestFit="1" customWidth="1"/>
    <col min="6661" max="6662" width="9.140625" style="759"/>
    <col min="6663" max="6663" width="8.42578125" style="759" customWidth="1"/>
    <col min="6664" max="6664" width="7.5703125" style="759" customWidth="1"/>
    <col min="6665" max="6665" width="7.28515625" style="759" customWidth="1"/>
    <col min="6666" max="6667" width="8.28515625" style="759" customWidth="1"/>
    <col min="6668" max="6668" width="8.42578125" style="759" customWidth="1"/>
    <col min="6669" max="6669" width="7.5703125" style="759" customWidth="1"/>
    <col min="6670" max="6670" width="7.28515625" style="759" customWidth="1"/>
    <col min="6671" max="6672" width="7.42578125" style="759" bestFit="1" customWidth="1"/>
    <col min="6673" max="6673" width="7.5703125" style="759" bestFit="1" customWidth="1"/>
    <col min="6674" max="6681" width="7.5703125" style="759" customWidth="1"/>
    <col min="6682" max="6682" width="8.42578125" style="759" customWidth="1"/>
    <col min="6683" max="6689" width="7.5703125" style="759" customWidth="1"/>
    <col min="6690" max="6690" width="9.140625" style="759"/>
    <col min="6691" max="6693" width="9.140625" style="759" customWidth="1"/>
    <col min="6694" max="6694" width="18.42578125" style="759" customWidth="1"/>
    <col min="6695" max="6708" width="9.140625" style="759"/>
    <col min="6709" max="6709" width="9.7109375" style="759" bestFit="1" customWidth="1"/>
    <col min="6710" max="6710" width="9.140625" style="759"/>
    <col min="6711" max="6711" width="24.28515625" style="759" customWidth="1"/>
    <col min="6712" max="6712" width="15.42578125" style="759" bestFit="1" customWidth="1"/>
    <col min="6713" max="6713" width="13.85546875" style="759" bestFit="1" customWidth="1"/>
    <col min="6714" max="6715" width="16.5703125" style="759" bestFit="1" customWidth="1"/>
    <col min="6716" max="6717" width="5.7109375" style="759" bestFit="1" customWidth="1"/>
    <col min="6718" max="6718" width="13.140625" style="759" bestFit="1" customWidth="1"/>
    <col min="6719" max="6721" width="13.140625" style="759" customWidth="1"/>
    <col min="6722" max="6722" width="16" style="759" bestFit="1" customWidth="1"/>
    <col min="6723" max="6723" width="15" style="759" bestFit="1" customWidth="1"/>
    <col min="6724" max="6914" width="9.140625" style="759"/>
    <col min="6915" max="6915" width="11.7109375" style="759" bestFit="1" customWidth="1"/>
    <col min="6916" max="6916" width="10.42578125" style="759" bestFit="1" customWidth="1"/>
    <col min="6917" max="6918" width="9.140625" style="759"/>
    <col min="6919" max="6919" width="8.42578125" style="759" customWidth="1"/>
    <col min="6920" max="6920" width="7.5703125" style="759" customWidth="1"/>
    <col min="6921" max="6921" width="7.28515625" style="759" customWidth="1"/>
    <col min="6922" max="6923" width="8.28515625" style="759" customWidth="1"/>
    <col min="6924" max="6924" width="8.42578125" style="759" customWidth="1"/>
    <col min="6925" max="6925" width="7.5703125" style="759" customWidth="1"/>
    <col min="6926" max="6926" width="7.28515625" style="759" customWidth="1"/>
    <col min="6927" max="6928" width="7.42578125" style="759" bestFit="1" customWidth="1"/>
    <col min="6929" max="6929" width="7.5703125" style="759" bestFit="1" customWidth="1"/>
    <col min="6930" max="6937" width="7.5703125" style="759" customWidth="1"/>
    <col min="6938" max="6938" width="8.42578125" style="759" customWidth="1"/>
    <col min="6939" max="6945" width="7.5703125" style="759" customWidth="1"/>
    <col min="6946" max="6946" width="9.140625" style="759"/>
    <col min="6947" max="6949" width="9.140625" style="759" customWidth="1"/>
    <col min="6950" max="6950" width="18.42578125" style="759" customWidth="1"/>
    <col min="6951" max="6964" width="9.140625" style="759"/>
    <col min="6965" max="6965" width="9.7109375" style="759" bestFit="1" customWidth="1"/>
    <col min="6966" max="6966" width="9.140625" style="759"/>
    <col min="6967" max="6967" width="24.28515625" style="759" customWidth="1"/>
    <col min="6968" max="6968" width="15.42578125" style="759" bestFit="1" customWidth="1"/>
    <col min="6969" max="6969" width="13.85546875" style="759" bestFit="1" customWidth="1"/>
    <col min="6970" max="6971" width="16.5703125" style="759" bestFit="1" customWidth="1"/>
    <col min="6972" max="6973" width="5.7109375" style="759" bestFit="1" customWidth="1"/>
    <col min="6974" max="6974" width="13.140625" style="759" bestFit="1" customWidth="1"/>
    <col min="6975" max="6977" width="13.140625" style="759" customWidth="1"/>
    <col min="6978" max="6978" width="16" style="759" bestFit="1" customWidth="1"/>
    <col min="6979" max="6979" width="15" style="759" bestFit="1" customWidth="1"/>
    <col min="6980" max="7170" width="9.140625" style="759"/>
    <col min="7171" max="7171" width="11.7109375" style="759" bestFit="1" customWidth="1"/>
    <col min="7172" max="7172" width="10.42578125" style="759" bestFit="1" customWidth="1"/>
    <col min="7173" max="7174" width="9.140625" style="759"/>
    <col min="7175" max="7175" width="8.42578125" style="759" customWidth="1"/>
    <col min="7176" max="7176" width="7.5703125" style="759" customWidth="1"/>
    <col min="7177" max="7177" width="7.28515625" style="759" customWidth="1"/>
    <col min="7178" max="7179" width="8.28515625" style="759" customWidth="1"/>
    <col min="7180" max="7180" width="8.42578125" style="759" customWidth="1"/>
    <col min="7181" max="7181" width="7.5703125" style="759" customWidth="1"/>
    <col min="7182" max="7182" width="7.28515625" style="759" customWidth="1"/>
    <col min="7183" max="7184" width="7.42578125" style="759" bestFit="1" customWidth="1"/>
    <col min="7185" max="7185" width="7.5703125" style="759" bestFit="1" customWidth="1"/>
    <col min="7186" max="7193" width="7.5703125" style="759" customWidth="1"/>
    <col min="7194" max="7194" width="8.42578125" style="759" customWidth="1"/>
    <col min="7195" max="7201" width="7.5703125" style="759" customWidth="1"/>
    <col min="7202" max="7202" width="9.140625" style="759"/>
    <col min="7203" max="7205" width="9.140625" style="759" customWidth="1"/>
    <col min="7206" max="7206" width="18.42578125" style="759" customWidth="1"/>
    <col min="7207" max="7220" width="9.140625" style="759"/>
    <col min="7221" max="7221" width="9.7109375" style="759" bestFit="1" customWidth="1"/>
    <col min="7222" max="7222" width="9.140625" style="759"/>
    <col min="7223" max="7223" width="24.28515625" style="759" customWidth="1"/>
    <col min="7224" max="7224" width="15.42578125" style="759" bestFit="1" customWidth="1"/>
    <col min="7225" max="7225" width="13.85546875" style="759" bestFit="1" customWidth="1"/>
    <col min="7226" max="7227" width="16.5703125" style="759" bestFit="1" customWidth="1"/>
    <col min="7228" max="7229" width="5.7109375" style="759" bestFit="1" customWidth="1"/>
    <col min="7230" max="7230" width="13.140625" style="759" bestFit="1" customWidth="1"/>
    <col min="7231" max="7233" width="13.140625" style="759" customWidth="1"/>
    <col min="7234" max="7234" width="16" style="759" bestFit="1" customWidth="1"/>
    <col min="7235" max="7235" width="15" style="759" bestFit="1" customWidth="1"/>
    <col min="7236" max="7426" width="9.140625" style="759"/>
    <col min="7427" max="7427" width="11.7109375" style="759" bestFit="1" customWidth="1"/>
    <col min="7428" max="7428" width="10.42578125" style="759" bestFit="1" customWidth="1"/>
    <col min="7429" max="7430" width="9.140625" style="759"/>
    <col min="7431" max="7431" width="8.42578125" style="759" customWidth="1"/>
    <col min="7432" max="7432" width="7.5703125" style="759" customWidth="1"/>
    <col min="7433" max="7433" width="7.28515625" style="759" customWidth="1"/>
    <col min="7434" max="7435" width="8.28515625" style="759" customWidth="1"/>
    <col min="7436" max="7436" width="8.42578125" style="759" customWidth="1"/>
    <col min="7437" max="7437" width="7.5703125" style="759" customWidth="1"/>
    <col min="7438" max="7438" width="7.28515625" style="759" customWidth="1"/>
    <col min="7439" max="7440" width="7.42578125" style="759" bestFit="1" customWidth="1"/>
    <col min="7441" max="7441" width="7.5703125" style="759" bestFit="1" customWidth="1"/>
    <col min="7442" max="7449" width="7.5703125" style="759" customWidth="1"/>
    <col min="7450" max="7450" width="8.42578125" style="759" customWidth="1"/>
    <col min="7451" max="7457" width="7.5703125" style="759" customWidth="1"/>
    <col min="7458" max="7458" width="9.140625" style="759"/>
    <col min="7459" max="7461" width="9.140625" style="759" customWidth="1"/>
    <col min="7462" max="7462" width="18.42578125" style="759" customWidth="1"/>
    <col min="7463" max="7476" width="9.140625" style="759"/>
    <col min="7477" max="7477" width="9.7109375" style="759" bestFit="1" customWidth="1"/>
    <col min="7478" max="7478" width="9.140625" style="759"/>
    <col min="7479" max="7479" width="24.28515625" style="759" customWidth="1"/>
    <col min="7480" max="7480" width="15.42578125" style="759" bestFit="1" customWidth="1"/>
    <col min="7481" max="7481" width="13.85546875" style="759" bestFit="1" customWidth="1"/>
    <col min="7482" max="7483" width="16.5703125" style="759" bestFit="1" customWidth="1"/>
    <col min="7484" max="7485" width="5.7109375" style="759" bestFit="1" customWidth="1"/>
    <col min="7486" max="7486" width="13.140625" style="759" bestFit="1" customWidth="1"/>
    <col min="7487" max="7489" width="13.140625" style="759" customWidth="1"/>
    <col min="7490" max="7490" width="16" style="759" bestFit="1" customWidth="1"/>
    <col min="7491" max="7491" width="15" style="759" bestFit="1" customWidth="1"/>
    <col min="7492" max="7682" width="9.140625" style="759"/>
    <col min="7683" max="7683" width="11.7109375" style="759" bestFit="1" customWidth="1"/>
    <col min="7684" max="7684" width="10.42578125" style="759" bestFit="1" customWidth="1"/>
    <col min="7685" max="7686" width="9.140625" style="759"/>
    <col min="7687" max="7687" width="8.42578125" style="759" customWidth="1"/>
    <col min="7688" max="7688" width="7.5703125" style="759" customWidth="1"/>
    <col min="7689" max="7689" width="7.28515625" style="759" customWidth="1"/>
    <col min="7690" max="7691" width="8.28515625" style="759" customWidth="1"/>
    <col min="7692" max="7692" width="8.42578125" style="759" customWidth="1"/>
    <col min="7693" max="7693" width="7.5703125" style="759" customWidth="1"/>
    <col min="7694" max="7694" width="7.28515625" style="759" customWidth="1"/>
    <col min="7695" max="7696" width="7.42578125" style="759" bestFit="1" customWidth="1"/>
    <col min="7697" max="7697" width="7.5703125" style="759" bestFit="1" customWidth="1"/>
    <col min="7698" max="7705" width="7.5703125" style="759" customWidth="1"/>
    <col min="7706" max="7706" width="8.42578125" style="759" customWidth="1"/>
    <col min="7707" max="7713" width="7.5703125" style="759" customWidth="1"/>
    <col min="7714" max="7714" width="9.140625" style="759"/>
    <col min="7715" max="7717" width="9.140625" style="759" customWidth="1"/>
    <col min="7718" max="7718" width="18.42578125" style="759" customWidth="1"/>
    <col min="7719" max="7732" width="9.140625" style="759"/>
    <col min="7733" max="7733" width="9.7109375" style="759" bestFit="1" customWidth="1"/>
    <col min="7734" max="7734" width="9.140625" style="759"/>
    <col min="7735" max="7735" width="24.28515625" style="759" customWidth="1"/>
    <col min="7736" max="7736" width="15.42578125" style="759" bestFit="1" customWidth="1"/>
    <col min="7737" max="7737" width="13.85546875" style="759" bestFit="1" customWidth="1"/>
    <col min="7738" max="7739" width="16.5703125" style="759" bestFit="1" customWidth="1"/>
    <col min="7740" max="7741" width="5.7109375" style="759" bestFit="1" customWidth="1"/>
    <col min="7742" max="7742" width="13.140625" style="759" bestFit="1" customWidth="1"/>
    <col min="7743" max="7745" width="13.140625" style="759" customWidth="1"/>
    <col min="7746" max="7746" width="16" style="759" bestFit="1" customWidth="1"/>
    <col min="7747" max="7747" width="15" style="759" bestFit="1" customWidth="1"/>
    <col min="7748" max="7938" width="9.140625" style="759"/>
    <col min="7939" max="7939" width="11.7109375" style="759" bestFit="1" customWidth="1"/>
    <col min="7940" max="7940" width="10.42578125" style="759" bestFit="1" customWidth="1"/>
    <col min="7941" max="7942" width="9.140625" style="759"/>
    <col min="7943" max="7943" width="8.42578125" style="759" customWidth="1"/>
    <col min="7944" max="7944" width="7.5703125" style="759" customWidth="1"/>
    <col min="7945" max="7945" width="7.28515625" style="759" customWidth="1"/>
    <col min="7946" max="7947" width="8.28515625" style="759" customWidth="1"/>
    <col min="7948" max="7948" width="8.42578125" style="759" customWidth="1"/>
    <col min="7949" max="7949" width="7.5703125" style="759" customWidth="1"/>
    <col min="7950" max="7950" width="7.28515625" style="759" customWidth="1"/>
    <col min="7951" max="7952" width="7.42578125" style="759" bestFit="1" customWidth="1"/>
    <col min="7953" max="7953" width="7.5703125" style="759" bestFit="1" customWidth="1"/>
    <col min="7954" max="7961" width="7.5703125" style="759" customWidth="1"/>
    <col min="7962" max="7962" width="8.42578125" style="759" customWidth="1"/>
    <col min="7963" max="7969" width="7.5703125" style="759" customWidth="1"/>
    <col min="7970" max="7970" width="9.140625" style="759"/>
    <col min="7971" max="7973" width="9.140625" style="759" customWidth="1"/>
    <col min="7974" max="7974" width="18.42578125" style="759" customWidth="1"/>
    <col min="7975" max="7988" width="9.140625" style="759"/>
    <col min="7989" max="7989" width="9.7109375" style="759" bestFit="1" customWidth="1"/>
    <col min="7990" max="7990" width="9.140625" style="759"/>
    <col min="7991" max="7991" width="24.28515625" style="759" customWidth="1"/>
    <col min="7992" max="7992" width="15.42578125" style="759" bestFit="1" customWidth="1"/>
    <col min="7993" max="7993" width="13.85546875" style="759" bestFit="1" customWidth="1"/>
    <col min="7994" max="7995" width="16.5703125" style="759" bestFit="1" customWidth="1"/>
    <col min="7996" max="7997" width="5.7109375" style="759" bestFit="1" customWidth="1"/>
    <col min="7998" max="7998" width="13.140625" style="759" bestFit="1" customWidth="1"/>
    <col min="7999" max="8001" width="13.140625" style="759" customWidth="1"/>
    <col min="8002" max="8002" width="16" style="759" bestFit="1" customWidth="1"/>
    <col min="8003" max="8003" width="15" style="759" bestFit="1" customWidth="1"/>
    <col min="8004" max="8194" width="9.140625" style="759"/>
    <col min="8195" max="8195" width="11.7109375" style="759" bestFit="1" customWidth="1"/>
    <col min="8196" max="8196" width="10.42578125" style="759" bestFit="1" customWidth="1"/>
    <col min="8197" max="8198" width="9.140625" style="759"/>
    <col min="8199" max="8199" width="8.42578125" style="759" customWidth="1"/>
    <col min="8200" max="8200" width="7.5703125" style="759" customWidth="1"/>
    <col min="8201" max="8201" width="7.28515625" style="759" customWidth="1"/>
    <col min="8202" max="8203" width="8.28515625" style="759" customWidth="1"/>
    <col min="8204" max="8204" width="8.42578125" style="759" customWidth="1"/>
    <col min="8205" max="8205" width="7.5703125" style="759" customWidth="1"/>
    <col min="8206" max="8206" width="7.28515625" style="759" customWidth="1"/>
    <col min="8207" max="8208" width="7.42578125" style="759" bestFit="1" customWidth="1"/>
    <col min="8209" max="8209" width="7.5703125" style="759" bestFit="1" customWidth="1"/>
    <col min="8210" max="8217" width="7.5703125" style="759" customWidth="1"/>
    <col min="8218" max="8218" width="8.42578125" style="759" customWidth="1"/>
    <col min="8219" max="8225" width="7.5703125" style="759" customWidth="1"/>
    <col min="8226" max="8226" width="9.140625" style="759"/>
    <col min="8227" max="8229" width="9.140625" style="759" customWidth="1"/>
    <col min="8230" max="8230" width="18.42578125" style="759" customWidth="1"/>
    <col min="8231" max="8244" width="9.140625" style="759"/>
    <col min="8245" max="8245" width="9.7109375" style="759" bestFit="1" customWidth="1"/>
    <col min="8246" max="8246" width="9.140625" style="759"/>
    <col min="8247" max="8247" width="24.28515625" style="759" customWidth="1"/>
    <col min="8248" max="8248" width="15.42578125" style="759" bestFit="1" customWidth="1"/>
    <col min="8249" max="8249" width="13.85546875" style="759" bestFit="1" customWidth="1"/>
    <col min="8250" max="8251" width="16.5703125" style="759" bestFit="1" customWidth="1"/>
    <col min="8252" max="8253" width="5.7109375" style="759" bestFit="1" customWidth="1"/>
    <col min="8254" max="8254" width="13.140625" style="759" bestFit="1" customWidth="1"/>
    <col min="8255" max="8257" width="13.140625" style="759" customWidth="1"/>
    <col min="8258" max="8258" width="16" style="759" bestFit="1" customWidth="1"/>
    <col min="8259" max="8259" width="15" style="759" bestFit="1" customWidth="1"/>
    <col min="8260" max="8450" width="9.140625" style="759"/>
    <col min="8451" max="8451" width="11.7109375" style="759" bestFit="1" customWidth="1"/>
    <col min="8452" max="8452" width="10.42578125" style="759" bestFit="1" customWidth="1"/>
    <col min="8453" max="8454" width="9.140625" style="759"/>
    <col min="8455" max="8455" width="8.42578125" style="759" customWidth="1"/>
    <col min="8456" max="8456" width="7.5703125" style="759" customWidth="1"/>
    <col min="8457" max="8457" width="7.28515625" style="759" customWidth="1"/>
    <col min="8458" max="8459" width="8.28515625" style="759" customWidth="1"/>
    <col min="8460" max="8460" width="8.42578125" style="759" customWidth="1"/>
    <col min="8461" max="8461" width="7.5703125" style="759" customWidth="1"/>
    <col min="8462" max="8462" width="7.28515625" style="759" customWidth="1"/>
    <col min="8463" max="8464" width="7.42578125" style="759" bestFit="1" customWidth="1"/>
    <col min="8465" max="8465" width="7.5703125" style="759" bestFit="1" customWidth="1"/>
    <col min="8466" max="8473" width="7.5703125" style="759" customWidth="1"/>
    <col min="8474" max="8474" width="8.42578125" style="759" customWidth="1"/>
    <col min="8475" max="8481" width="7.5703125" style="759" customWidth="1"/>
    <col min="8482" max="8482" width="9.140625" style="759"/>
    <col min="8483" max="8485" width="9.140625" style="759" customWidth="1"/>
    <col min="8486" max="8486" width="18.42578125" style="759" customWidth="1"/>
    <col min="8487" max="8500" width="9.140625" style="759"/>
    <col min="8501" max="8501" width="9.7109375" style="759" bestFit="1" customWidth="1"/>
    <col min="8502" max="8502" width="9.140625" style="759"/>
    <col min="8503" max="8503" width="24.28515625" style="759" customWidth="1"/>
    <col min="8504" max="8504" width="15.42578125" style="759" bestFit="1" customWidth="1"/>
    <col min="8505" max="8505" width="13.85546875" style="759" bestFit="1" customWidth="1"/>
    <col min="8506" max="8507" width="16.5703125" style="759" bestFit="1" customWidth="1"/>
    <col min="8508" max="8509" width="5.7109375" style="759" bestFit="1" customWidth="1"/>
    <col min="8510" max="8510" width="13.140625" style="759" bestFit="1" customWidth="1"/>
    <col min="8511" max="8513" width="13.140625" style="759" customWidth="1"/>
    <col min="8514" max="8514" width="16" style="759" bestFit="1" customWidth="1"/>
    <col min="8515" max="8515" width="15" style="759" bestFit="1" customWidth="1"/>
    <col min="8516" max="8706" width="9.140625" style="759"/>
    <col min="8707" max="8707" width="11.7109375" style="759" bestFit="1" customWidth="1"/>
    <col min="8708" max="8708" width="10.42578125" style="759" bestFit="1" customWidth="1"/>
    <col min="8709" max="8710" width="9.140625" style="759"/>
    <col min="8711" max="8711" width="8.42578125" style="759" customWidth="1"/>
    <col min="8712" max="8712" width="7.5703125" style="759" customWidth="1"/>
    <col min="8713" max="8713" width="7.28515625" style="759" customWidth="1"/>
    <col min="8714" max="8715" width="8.28515625" style="759" customWidth="1"/>
    <col min="8716" max="8716" width="8.42578125" style="759" customWidth="1"/>
    <col min="8717" max="8717" width="7.5703125" style="759" customWidth="1"/>
    <col min="8718" max="8718" width="7.28515625" style="759" customWidth="1"/>
    <col min="8719" max="8720" width="7.42578125" style="759" bestFit="1" customWidth="1"/>
    <col min="8721" max="8721" width="7.5703125" style="759" bestFit="1" customWidth="1"/>
    <col min="8722" max="8729" width="7.5703125" style="759" customWidth="1"/>
    <col min="8730" max="8730" width="8.42578125" style="759" customWidth="1"/>
    <col min="8731" max="8737" width="7.5703125" style="759" customWidth="1"/>
    <col min="8738" max="8738" width="9.140625" style="759"/>
    <col min="8739" max="8741" width="9.140625" style="759" customWidth="1"/>
    <col min="8742" max="8742" width="18.42578125" style="759" customWidth="1"/>
    <col min="8743" max="8756" width="9.140625" style="759"/>
    <col min="8757" max="8757" width="9.7109375" style="759" bestFit="1" customWidth="1"/>
    <col min="8758" max="8758" width="9.140625" style="759"/>
    <col min="8759" max="8759" width="24.28515625" style="759" customWidth="1"/>
    <col min="8760" max="8760" width="15.42578125" style="759" bestFit="1" customWidth="1"/>
    <col min="8761" max="8761" width="13.85546875" style="759" bestFit="1" customWidth="1"/>
    <col min="8762" max="8763" width="16.5703125" style="759" bestFit="1" customWidth="1"/>
    <col min="8764" max="8765" width="5.7109375" style="759" bestFit="1" customWidth="1"/>
    <col min="8766" max="8766" width="13.140625" style="759" bestFit="1" customWidth="1"/>
    <col min="8767" max="8769" width="13.140625" style="759" customWidth="1"/>
    <col min="8770" max="8770" width="16" style="759" bestFit="1" customWidth="1"/>
    <col min="8771" max="8771" width="15" style="759" bestFit="1" customWidth="1"/>
    <col min="8772" max="8962" width="9.140625" style="759"/>
    <col min="8963" max="8963" width="11.7109375" style="759" bestFit="1" customWidth="1"/>
    <col min="8964" max="8964" width="10.42578125" style="759" bestFit="1" customWidth="1"/>
    <col min="8965" max="8966" width="9.140625" style="759"/>
    <col min="8967" max="8967" width="8.42578125" style="759" customWidth="1"/>
    <col min="8968" max="8968" width="7.5703125" style="759" customWidth="1"/>
    <col min="8969" max="8969" width="7.28515625" style="759" customWidth="1"/>
    <col min="8970" max="8971" width="8.28515625" style="759" customWidth="1"/>
    <col min="8972" max="8972" width="8.42578125" style="759" customWidth="1"/>
    <col min="8973" max="8973" width="7.5703125" style="759" customWidth="1"/>
    <col min="8974" max="8974" width="7.28515625" style="759" customWidth="1"/>
    <col min="8975" max="8976" width="7.42578125" style="759" bestFit="1" customWidth="1"/>
    <col min="8977" max="8977" width="7.5703125" style="759" bestFit="1" customWidth="1"/>
    <col min="8978" max="8985" width="7.5703125" style="759" customWidth="1"/>
    <col min="8986" max="8986" width="8.42578125" style="759" customWidth="1"/>
    <col min="8987" max="8993" width="7.5703125" style="759" customWidth="1"/>
    <col min="8994" max="8994" width="9.140625" style="759"/>
    <col min="8995" max="8997" width="9.140625" style="759" customWidth="1"/>
    <col min="8998" max="8998" width="18.42578125" style="759" customWidth="1"/>
    <col min="8999" max="9012" width="9.140625" style="759"/>
    <col min="9013" max="9013" width="9.7109375" style="759" bestFit="1" customWidth="1"/>
    <col min="9014" max="9014" width="9.140625" style="759"/>
    <col min="9015" max="9015" width="24.28515625" style="759" customWidth="1"/>
    <col min="9016" max="9016" width="15.42578125" style="759" bestFit="1" customWidth="1"/>
    <col min="9017" max="9017" width="13.85546875" style="759" bestFit="1" customWidth="1"/>
    <col min="9018" max="9019" width="16.5703125" style="759" bestFit="1" customWidth="1"/>
    <col min="9020" max="9021" width="5.7109375" style="759" bestFit="1" customWidth="1"/>
    <col min="9022" max="9022" width="13.140625" style="759" bestFit="1" customWidth="1"/>
    <col min="9023" max="9025" width="13.140625" style="759" customWidth="1"/>
    <col min="9026" max="9026" width="16" style="759" bestFit="1" customWidth="1"/>
    <col min="9027" max="9027" width="15" style="759" bestFit="1" customWidth="1"/>
    <col min="9028" max="9218" width="9.140625" style="759"/>
    <col min="9219" max="9219" width="11.7109375" style="759" bestFit="1" customWidth="1"/>
    <col min="9220" max="9220" width="10.42578125" style="759" bestFit="1" customWidth="1"/>
    <col min="9221" max="9222" width="9.140625" style="759"/>
    <col min="9223" max="9223" width="8.42578125" style="759" customWidth="1"/>
    <col min="9224" max="9224" width="7.5703125" style="759" customWidth="1"/>
    <col min="9225" max="9225" width="7.28515625" style="759" customWidth="1"/>
    <col min="9226" max="9227" width="8.28515625" style="759" customWidth="1"/>
    <col min="9228" max="9228" width="8.42578125" style="759" customWidth="1"/>
    <col min="9229" max="9229" width="7.5703125" style="759" customWidth="1"/>
    <col min="9230" max="9230" width="7.28515625" style="759" customWidth="1"/>
    <col min="9231" max="9232" width="7.42578125" style="759" bestFit="1" customWidth="1"/>
    <col min="9233" max="9233" width="7.5703125" style="759" bestFit="1" customWidth="1"/>
    <col min="9234" max="9241" width="7.5703125" style="759" customWidth="1"/>
    <col min="9242" max="9242" width="8.42578125" style="759" customWidth="1"/>
    <col min="9243" max="9249" width="7.5703125" style="759" customWidth="1"/>
    <col min="9250" max="9250" width="9.140625" style="759"/>
    <col min="9251" max="9253" width="9.140625" style="759" customWidth="1"/>
    <col min="9254" max="9254" width="18.42578125" style="759" customWidth="1"/>
    <col min="9255" max="9268" width="9.140625" style="759"/>
    <col min="9269" max="9269" width="9.7109375" style="759" bestFit="1" customWidth="1"/>
    <col min="9270" max="9270" width="9.140625" style="759"/>
    <col min="9271" max="9271" width="24.28515625" style="759" customWidth="1"/>
    <col min="9272" max="9272" width="15.42578125" style="759" bestFit="1" customWidth="1"/>
    <col min="9273" max="9273" width="13.85546875" style="759" bestFit="1" customWidth="1"/>
    <col min="9274" max="9275" width="16.5703125" style="759" bestFit="1" customWidth="1"/>
    <col min="9276" max="9277" width="5.7109375" style="759" bestFit="1" customWidth="1"/>
    <col min="9278" max="9278" width="13.140625" style="759" bestFit="1" customWidth="1"/>
    <col min="9279" max="9281" width="13.140625" style="759" customWidth="1"/>
    <col min="9282" max="9282" width="16" style="759" bestFit="1" customWidth="1"/>
    <col min="9283" max="9283" width="15" style="759" bestFit="1" customWidth="1"/>
    <col min="9284" max="9474" width="9.140625" style="759"/>
    <col min="9475" max="9475" width="11.7109375" style="759" bestFit="1" customWidth="1"/>
    <col min="9476" max="9476" width="10.42578125" style="759" bestFit="1" customWidth="1"/>
    <col min="9477" max="9478" width="9.140625" style="759"/>
    <col min="9479" max="9479" width="8.42578125" style="759" customWidth="1"/>
    <col min="9480" max="9480" width="7.5703125" style="759" customWidth="1"/>
    <col min="9481" max="9481" width="7.28515625" style="759" customWidth="1"/>
    <col min="9482" max="9483" width="8.28515625" style="759" customWidth="1"/>
    <col min="9484" max="9484" width="8.42578125" style="759" customWidth="1"/>
    <col min="9485" max="9485" width="7.5703125" style="759" customWidth="1"/>
    <col min="9486" max="9486" width="7.28515625" style="759" customWidth="1"/>
    <col min="9487" max="9488" width="7.42578125" style="759" bestFit="1" customWidth="1"/>
    <col min="9489" max="9489" width="7.5703125" style="759" bestFit="1" customWidth="1"/>
    <col min="9490" max="9497" width="7.5703125" style="759" customWidth="1"/>
    <col min="9498" max="9498" width="8.42578125" style="759" customWidth="1"/>
    <col min="9499" max="9505" width="7.5703125" style="759" customWidth="1"/>
    <col min="9506" max="9506" width="9.140625" style="759"/>
    <col min="9507" max="9509" width="9.140625" style="759" customWidth="1"/>
    <col min="9510" max="9510" width="18.42578125" style="759" customWidth="1"/>
    <col min="9511" max="9524" width="9.140625" style="759"/>
    <col min="9525" max="9525" width="9.7109375" style="759" bestFit="1" customWidth="1"/>
    <col min="9526" max="9526" width="9.140625" style="759"/>
    <col min="9527" max="9527" width="24.28515625" style="759" customWidth="1"/>
    <col min="9528" max="9528" width="15.42578125" style="759" bestFit="1" customWidth="1"/>
    <col min="9529" max="9529" width="13.85546875" style="759" bestFit="1" customWidth="1"/>
    <col min="9530" max="9531" width="16.5703125" style="759" bestFit="1" customWidth="1"/>
    <col min="9532" max="9533" width="5.7109375" style="759" bestFit="1" customWidth="1"/>
    <col min="9534" max="9534" width="13.140625" style="759" bestFit="1" customWidth="1"/>
    <col min="9535" max="9537" width="13.140625" style="759" customWidth="1"/>
    <col min="9538" max="9538" width="16" style="759" bestFit="1" customWidth="1"/>
    <col min="9539" max="9539" width="15" style="759" bestFit="1" customWidth="1"/>
    <col min="9540" max="9730" width="9.140625" style="759"/>
    <col min="9731" max="9731" width="11.7109375" style="759" bestFit="1" customWidth="1"/>
    <col min="9732" max="9732" width="10.42578125" style="759" bestFit="1" customWidth="1"/>
    <col min="9733" max="9734" width="9.140625" style="759"/>
    <col min="9735" max="9735" width="8.42578125" style="759" customWidth="1"/>
    <col min="9736" max="9736" width="7.5703125" style="759" customWidth="1"/>
    <col min="9737" max="9737" width="7.28515625" style="759" customWidth="1"/>
    <col min="9738" max="9739" width="8.28515625" style="759" customWidth="1"/>
    <col min="9740" max="9740" width="8.42578125" style="759" customWidth="1"/>
    <col min="9741" max="9741" width="7.5703125" style="759" customWidth="1"/>
    <col min="9742" max="9742" width="7.28515625" style="759" customWidth="1"/>
    <col min="9743" max="9744" width="7.42578125" style="759" bestFit="1" customWidth="1"/>
    <col min="9745" max="9745" width="7.5703125" style="759" bestFit="1" customWidth="1"/>
    <col min="9746" max="9753" width="7.5703125" style="759" customWidth="1"/>
    <col min="9754" max="9754" width="8.42578125" style="759" customWidth="1"/>
    <col min="9755" max="9761" width="7.5703125" style="759" customWidth="1"/>
    <col min="9762" max="9762" width="9.140625" style="759"/>
    <col min="9763" max="9765" width="9.140625" style="759" customWidth="1"/>
    <col min="9766" max="9766" width="18.42578125" style="759" customWidth="1"/>
    <col min="9767" max="9780" width="9.140625" style="759"/>
    <col min="9781" max="9781" width="9.7109375" style="759" bestFit="1" customWidth="1"/>
    <col min="9782" max="9782" width="9.140625" style="759"/>
    <col min="9783" max="9783" width="24.28515625" style="759" customWidth="1"/>
    <col min="9784" max="9784" width="15.42578125" style="759" bestFit="1" customWidth="1"/>
    <col min="9785" max="9785" width="13.85546875" style="759" bestFit="1" customWidth="1"/>
    <col min="9786" max="9787" width="16.5703125" style="759" bestFit="1" customWidth="1"/>
    <col min="9788" max="9789" width="5.7109375" style="759" bestFit="1" customWidth="1"/>
    <col min="9790" max="9790" width="13.140625" style="759" bestFit="1" customWidth="1"/>
    <col min="9791" max="9793" width="13.140625" style="759" customWidth="1"/>
    <col min="9794" max="9794" width="16" style="759" bestFit="1" customWidth="1"/>
    <col min="9795" max="9795" width="15" style="759" bestFit="1" customWidth="1"/>
    <col min="9796" max="9986" width="9.140625" style="759"/>
    <col min="9987" max="9987" width="11.7109375" style="759" bestFit="1" customWidth="1"/>
    <col min="9988" max="9988" width="10.42578125" style="759" bestFit="1" customWidth="1"/>
    <col min="9989" max="9990" width="9.140625" style="759"/>
    <col min="9991" max="9991" width="8.42578125" style="759" customWidth="1"/>
    <col min="9992" max="9992" width="7.5703125" style="759" customWidth="1"/>
    <col min="9993" max="9993" width="7.28515625" style="759" customWidth="1"/>
    <col min="9994" max="9995" width="8.28515625" style="759" customWidth="1"/>
    <col min="9996" max="9996" width="8.42578125" style="759" customWidth="1"/>
    <col min="9997" max="9997" width="7.5703125" style="759" customWidth="1"/>
    <col min="9998" max="9998" width="7.28515625" style="759" customWidth="1"/>
    <col min="9999" max="10000" width="7.42578125" style="759" bestFit="1" customWidth="1"/>
    <col min="10001" max="10001" width="7.5703125" style="759" bestFit="1" customWidth="1"/>
    <col min="10002" max="10009" width="7.5703125" style="759" customWidth="1"/>
    <col min="10010" max="10010" width="8.42578125" style="759" customWidth="1"/>
    <col min="10011" max="10017" width="7.5703125" style="759" customWidth="1"/>
    <col min="10018" max="10018" width="9.140625" style="759"/>
    <col min="10019" max="10021" width="9.140625" style="759" customWidth="1"/>
    <col min="10022" max="10022" width="18.42578125" style="759" customWidth="1"/>
    <col min="10023" max="10036" width="9.140625" style="759"/>
    <col min="10037" max="10037" width="9.7109375" style="759" bestFit="1" customWidth="1"/>
    <col min="10038" max="10038" width="9.140625" style="759"/>
    <col min="10039" max="10039" width="24.28515625" style="759" customWidth="1"/>
    <col min="10040" max="10040" width="15.42578125" style="759" bestFit="1" customWidth="1"/>
    <col min="10041" max="10041" width="13.85546875" style="759" bestFit="1" customWidth="1"/>
    <col min="10042" max="10043" width="16.5703125" style="759" bestFit="1" customWidth="1"/>
    <col min="10044" max="10045" width="5.7109375" style="759" bestFit="1" customWidth="1"/>
    <col min="10046" max="10046" width="13.140625" style="759" bestFit="1" customWidth="1"/>
    <col min="10047" max="10049" width="13.140625" style="759" customWidth="1"/>
    <col min="10050" max="10050" width="16" style="759" bestFit="1" customWidth="1"/>
    <col min="10051" max="10051" width="15" style="759" bestFit="1" customWidth="1"/>
    <col min="10052" max="10242" width="9.140625" style="759"/>
    <col min="10243" max="10243" width="11.7109375" style="759" bestFit="1" customWidth="1"/>
    <col min="10244" max="10244" width="10.42578125" style="759" bestFit="1" customWidth="1"/>
    <col min="10245" max="10246" width="9.140625" style="759"/>
    <col min="10247" max="10247" width="8.42578125" style="759" customWidth="1"/>
    <col min="10248" max="10248" width="7.5703125" style="759" customWidth="1"/>
    <col min="10249" max="10249" width="7.28515625" style="759" customWidth="1"/>
    <col min="10250" max="10251" width="8.28515625" style="759" customWidth="1"/>
    <col min="10252" max="10252" width="8.42578125" style="759" customWidth="1"/>
    <col min="10253" max="10253" width="7.5703125" style="759" customWidth="1"/>
    <col min="10254" max="10254" width="7.28515625" style="759" customWidth="1"/>
    <col min="10255" max="10256" width="7.42578125" style="759" bestFit="1" customWidth="1"/>
    <col min="10257" max="10257" width="7.5703125" style="759" bestFit="1" customWidth="1"/>
    <col min="10258" max="10265" width="7.5703125" style="759" customWidth="1"/>
    <col min="10266" max="10266" width="8.42578125" style="759" customWidth="1"/>
    <col min="10267" max="10273" width="7.5703125" style="759" customWidth="1"/>
    <col min="10274" max="10274" width="9.140625" style="759"/>
    <col min="10275" max="10277" width="9.140625" style="759" customWidth="1"/>
    <col min="10278" max="10278" width="18.42578125" style="759" customWidth="1"/>
    <col min="10279" max="10292" width="9.140625" style="759"/>
    <col min="10293" max="10293" width="9.7109375" style="759" bestFit="1" customWidth="1"/>
    <col min="10294" max="10294" width="9.140625" style="759"/>
    <col min="10295" max="10295" width="24.28515625" style="759" customWidth="1"/>
    <col min="10296" max="10296" width="15.42578125" style="759" bestFit="1" customWidth="1"/>
    <col min="10297" max="10297" width="13.85546875" style="759" bestFit="1" customWidth="1"/>
    <col min="10298" max="10299" width="16.5703125" style="759" bestFit="1" customWidth="1"/>
    <col min="10300" max="10301" width="5.7109375" style="759" bestFit="1" customWidth="1"/>
    <col min="10302" max="10302" width="13.140625" style="759" bestFit="1" customWidth="1"/>
    <col min="10303" max="10305" width="13.140625" style="759" customWidth="1"/>
    <col min="10306" max="10306" width="16" style="759" bestFit="1" customWidth="1"/>
    <col min="10307" max="10307" width="15" style="759" bestFit="1" customWidth="1"/>
    <col min="10308" max="10498" width="9.140625" style="759"/>
    <col min="10499" max="10499" width="11.7109375" style="759" bestFit="1" customWidth="1"/>
    <col min="10500" max="10500" width="10.42578125" style="759" bestFit="1" customWidth="1"/>
    <col min="10501" max="10502" width="9.140625" style="759"/>
    <col min="10503" max="10503" width="8.42578125" style="759" customWidth="1"/>
    <col min="10504" max="10504" width="7.5703125" style="759" customWidth="1"/>
    <col min="10505" max="10505" width="7.28515625" style="759" customWidth="1"/>
    <col min="10506" max="10507" width="8.28515625" style="759" customWidth="1"/>
    <col min="10508" max="10508" width="8.42578125" style="759" customWidth="1"/>
    <col min="10509" max="10509" width="7.5703125" style="759" customWidth="1"/>
    <col min="10510" max="10510" width="7.28515625" style="759" customWidth="1"/>
    <col min="10511" max="10512" width="7.42578125" style="759" bestFit="1" customWidth="1"/>
    <col min="10513" max="10513" width="7.5703125" style="759" bestFit="1" customWidth="1"/>
    <col min="10514" max="10521" width="7.5703125" style="759" customWidth="1"/>
    <col min="10522" max="10522" width="8.42578125" style="759" customWidth="1"/>
    <col min="10523" max="10529" width="7.5703125" style="759" customWidth="1"/>
    <col min="10530" max="10530" width="9.140625" style="759"/>
    <col min="10531" max="10533" width="9.140625" style="759" customWidth="1"/>
    <col min="10534" max="10534" width="18.42578125" style="759" customWidth="1"/>
    <col min="10535" max="10548" width="9.140625" style="759"/>
    <col min="10549" max="10549" width="9.7109375" style="759" bestFit="1" customWidth="1"/>
    <col min="10550" max="10550" width="9.140625" style="759"/>
    <col min="10551" max="10551" width="24.28515625" style="759" customWidth="1"/>
    <col min="10552" max="10552" width="15.42578125" style="759" bestFit="1" customWidth="1"/>
    <col min="10553" max="10553" width="13.85546875" style="759" bestFit="1" customWidth="1"/>
    <col min="10554" max="10555" width="16.5703125" style="759" bestFit="1" customWidth="1"/>
    <col min="10556" max="10557" width="5.7109375" style="759" bestFit="1" customWidth="1"/>
    <col min="10558" max="10558" width="13.140625" style="759" bestFit="1" customWidth="1"/>
    <col min="10559" max="10561" width="13.140625" style="759" customWidth="1"/>
    <col min="10562" max="10562" width="16" style="759" bestFit="1" customWidth="1"/>
    <col min="10563" max="10563" width="15" style="759" bestFit="1" customWidth="1"/>
    <col min="10564" max="10754" width="9.140625" style="759"/>
    <col min="10755" max="10755" width="11.7109375" style="759" bestFit="1" customWidth="1"/>
    <col min="10756" max="10756" width="10.42578125" style="759" bestFit="1" customWidth="1"/>
    <col min="10757" max="10758" width="9.140625" style="759"/>
    <col min="10759" max="10759" width="8.42578125" style="759" customWidth="1"/>
    <col min="10760" max="10760" width="7.5703125" style="759" customWidth="1"/>
    <col min="10761" max="10761" width="7.28515625" style="759" customWidth="1"/>
    <col min="10762" max="10763" width="8.28515625" style="759" customWidth="1"/>
    <col min="10764" max="10764" width="8.42578125" style="759" customWidth="1"/>
    <col min="10765" max="10765" width="7.5703125" style="759" customWidth="1"/>
    <col min="10766" max="10766" width="7.28515625" style="759" customWidth="1"/>
    <col min="10767" max="10768" width="7.42578125" style="759" bestFit="1" customWidth="1"/>
    <col min="10769" max="10769" width="7.5703125" style="759" bestFit="1" customWidth="1"/>
    <col min="10770" max="10777" width="7.5703125" style="759" customWidth="1"/>
    <col min="10778" max="10778" width="8.42578125" style="759" customWidth="1"/>
    <col min="10779" max="10785" width="7.5703125" style="759" customWidth="1"/>
    <col min="10786" max="10786" width="9.140625" style="759"/>
    <col min="10787" max="10789" width="9.140625" style="759" customWidth="1"/>
    <col min="10790" max="10790" width="18.42578125" style="759" customWidth="1"/>
    <col min="10791" max="10804" width="9.140625" style="759"/>
    <col min="10805" max="10805" width="9.7109375" style="759" bestFit="1" customWidth="1"/>
    <col min="10806" max="10806" width="9.140625" style="759"/>
    <col min="10807" max="10807" width="24.28515625" style="759" customWidth="1"/>
    <col min="10808" max="10808" width="15.42578125" style="759" bestFit="1" customWidth="1"/>
    <col min="10809" max="10809" width="13.85546875" style="759" bestFit="1" customWidth="1"/>
    <col min="10810" max="10811" width="16.5703125" style="759" bestFit="1" customWidth="1"/>
    <col min="10812" max="10813" width="5.7109375" style="759" bestFit="1" customWidth="1"/>
    <col min="10814" max="10814" width="13.140625" style="759" bestFit="1" customWidth="1"/>
    <col min="10815" max="10817" width="13.140625" style="759" customWidth="1"/>
    <col min="10818" max="10818" width="16" style="759" bestFit="1" customWidth="1"/>
    <col min="10819" max="10819" width="15" style="759" bestFit="1" customWidth="1"/>
    <col min="10820" max="11010" width="9.140625" style="759"/>
    <col min="11011" max="11011" width="11.7109375" style="759" bestFit="1" customWidth="1"/>
    <col min="11012" max="11012" width="10.42578125" style="759" bestFit="1" customWidth="1"/>
    <col min="11013" max="11014" width="9.140625" style="759"/>
    <col min="11015" max="11015" width="8.42578125" style="759" customWidth="1"/>
    <col min="11016" max="11016" width="7.5703125" style="759" customWidth="1"/>
    <col min="11017" max="11017" width="7.28515625" style="759" customWidth="1"/>
    <col min="11018" max="11019" width="8.28515625" style="759" customWidth="1"/>
    <col min="11020" max="11020" width="8.42578125" style="759" customWidth="1"/>
    <col min="11021" max="11021" width="7.5703125" style="759" customWidth="1"/>
    <col min="11022" max="11022" width="7.28515625" style="759" customWidth="1"/>
    <col min="11023" max="11024" width="7.42578125" style="759" bestFit="1" customWidth="1"/>
    <col min="11025" max="11025" width="7.5703125" style="759" bestFit="1" customWidth="1"/>
    <col min="11026" max="11033" width="7.5703125" style="759" customWidth="1"/>
    <col min="11034" max="11034" width="8.42578125" style="759" customWidth="1"/>
    <col min="11035" max="11041" width="7.5703125" style="759" customWidth="1"/>
    <col min="11042" max="11042" width="9.140625" style="759"/>
    <col min="11043" max="11045" width="9.140625" style="759" customWidth="1"/>
    <col min="11046" max="11046" width="18.42578125" style="759" customWidth="1"/>
    <col min="11047" max="11060" width="9.140625" style="759"/>
    <col min="11061" max="11061" width="9.7109375" style="759" bestFit="1" customWidth="1"/>
    <col min="11062" max="11062" width="9.140625" style="759"/>
    <col min="11063" max="11063" width="24.28515625" style="759" customWidth="1"/>
    <col min="11064" max="11064" width="15.42578125" style="759" bestFit="1" customWidth="1"/>
    <col min="11065" max="11065" width="13.85546875" style="759" bestFit="1" customWidth="1"/>
    <col min="11066" max="11067" width="16.5703125" style="759" bestFit="1" customWidth="1"/>
    <col min="11068" max="11069" width="5.7109375" style="759" bestFit="1" customWidth="1"/>
    <col min="11070" max="11070" width="13.140625" style="759" bestFit="1" customWidth="1"/>
    <col min="11071" max="11073" width="13.140625" style="759" customWidth="1"/>
    <col min="11074" max="11074" width="16" style="759" bestFit="1" customWidth="1"/>
    <col min="11075" max="11075" width="15" style="759" bestFit="1" customWidth="1"/>
    <col min="11076" max="11266" width="9.140625" style="759"/>
    <col min="11267" max="11267" width="11.7109375" style="759" bestFit="1" customWidth="1"/>
    <col min="11268" max="11268" width="10.42578125" style="759" bestFit="1" customWidth="1"/>
    <col min="11269" max="11270" width="9.140625" style="759"/>
    <col min="11271" max="11271" width="8.42578125" style="759" customWidth="1"/>
    <col min="11272" max="11272" width="7.5703125" style="759" customWidth="1"/>
    <col min="11273" max="11273" width="7.28515625" style="759" customWidth="1"/>
    <col min="11274" max="11275" width="8.28515625" style="759" customWidth="1"/>
    <col min="11276" max="11276" width="8.42578125" style="759" customWidth="1"/>
    <col min="11277" max="11277" width="7.5703125" style="759" customWidth="1"/>
    <col min="11278" max="11278" width="7.28515625" style="759" customWidth="1"/>
    <col min="11279" max="11280" width="7.42578125" style="759" bestFit="1" customWidth="1"/>
    <col min="11281" max="11281" width="7.5703125" style="759" bestFit="1" customWidth="1"/>
    <col min="11282" max="11289" width="7.5703125" style="759" customWidth="1"/>
    <col min="11290" max="11290" width="8.42578125" style="759" customWidth="1"/>
    <col min="11291" max="11297" width="7.5703125" style="759" customWidth="1"/>
    <col min="11298" max="11298" width="9.140625" style="759"/>
    <col min="11299" max="11301" width="9.140625" style="759" customWidth="1"/>
    <col min="11302" max="11302" width="18.42578125" style="759" customWidth="1"/>
    <col min="11303" max="11316" width="9.140625" style="759"/>
    <col min="11317" max="11317" width="9.7109375" style="759" bestFit="1" customWidth="1"/>
    <col min="11318" max="11318" width="9.140625" style="759"/>
    <col min="11319" max="11319" width="24.28515625" style="759" customWidth="1"/>
    <col min="11320" max="11320" width="15.42578125" style="759" bestFit="1" customWidth="1"/>
    <col min="11321" max="11321" width="13.85546875" style="759" bestFit="1" customWidth="1"/>
    <col min="11322" max="11323" width="16.5703125" style="759" bestFit="1" customWidth="1"/>
    <col min="11324" max="11325" width="5.7109375" style="759" bestFit="1" customWidth="1"/>
    <col min="11326" max="11326" width="13.140625" style="759" bestFit="1" customWidth="1"/>
    <col min="11327" max="11329" width="13.140625" style="759" customWidth="1"/>
    <col min="11330" max="11330" width="16" style="759" bestFit="1" customWidth="1"/>
    <col min="11331" max="11331" width="15" style="759" bestFit="1" customWidth="1"/>
    <col min="11332" max="11522" width="9.140625" style="759"/>
    <col min="11523" max="11523" width="11.7109375" style="759" bestFit="1" customWidth="1"/>
    <col min="11524" max="11524" width="10.42578125" style="759" bestFit="1" customWidth="1"/>
    <col min="11525" max="11526" width="9.140625" style="759"/>
    <col min="11527" max="11527" width="8.42578125" style="759" customWidth="1"/>
    <col min="11528" max="11528" width="7.5703125" style="759" customWidth="1"/>
    <col min="11529" max="11529" width="7.28515625" style="759" customWidth="1"/>
    <col min="11530" max="11531" width="8.28515625" style="759" customWidth="1"/>
    <col min="11532" max="11532" width="8.42578125" style="759" customWidth="1"/>
    <col min="11533" max="11533" width="7.5703125" style="759" customWidth="1"/>
    <col min="11534" max="11534" width="7.28515625" style="759" customWidth="1"/>
    <col min="11535" max="11536" width="7.42578125" style="759" bestFit="1" customWidth="1"/>
    <col min="11537" max="11537" width="7.5703125" style="759" bestFit="1" customWidth="1"/>
    <col min="11538" max="11545" width="7.5703125" style="759" customWidth="1"/>
    <col min="11546" max="11546" width="8.42578125" style="759" customWidth="1"/>
    <col min="11547" max="11553" width="7.5703125" style="759" customWidth="1"/>
    <col min="11554" max="11554" width="9.140625" style="759"/>
    <col min="11555" max="11557" width="9.140625" style="759" customWidth="1"/>
    <col min="11558" max="11558" width="18.42578125" style="759" customWidth="1"/>
    <col min="11559" max="11572" width="9.140625" style="759"/>
    <col min="11573" max="11573" width="9.7109375" style="759" bestFit="1" customWidth="1"/>
    <col min="11574" max="11574" width="9.140625" style="759"/>
    <col min="11575" max="11575" width="24.28515625" style="759" customWidth="1"/>
    <col min="11576" max="11576" width="15.42578125" style="759" bestFit="1" customWidth="1"/>
    <col min="11577" max="11577" width="13.85546875" style="759" bestFit="1" customWidth="1"/>
    <col min="11578" max="11579" width="16.5703125" style="759" bestFit="1" customWidth="1"/>
    <col min="11580" max="11581" width="5.7109375" style="759" bestFit="1" customWidth="1"/>
    <col min="11582" max="11582" width="13.140625" style="759" bestFit="1" customWidth="1"/>
    <col min="11583" max="11585" width="13.140625" style="759" customWidth="1"/>
    <col min="11586" max="11586" width="16" style="759" bestFit="1" customWidth="1"/>
    <col min="11587" max="11587" width="15" style="759" bestFit="1" customWidth="1"/>
    <col min="11588" max="11778" width="9.140625" style="759"/>
    <col min="11779" max="11779" width="11.7109375" style="759" bestFit="1" customWidth="1"/>
    <col min="11780" max="11780" width="10.42578125" style="759" bestFit="1" customWidth="1"/>
    <col min="11781" max="11782" width="9.140625" style="759"/>
    <col min="11783" max="11783" width="8.42578125" style="759" customWidth="1"/>
    <col min="11784" max="11784" width="7.5703125" style="759" customWidth="1"/>
    <col min="11785" max="11785" width="7.28515625" style="759" customWidth="1"/>
    <col min="11786" max="11787" width="8.28515625" style="759" customWidth="1"/>
    <col min="11788" max="11788" width="8.42578125" style="759" customWidth="1"/>
    <col min="11789" max="11789" width="7.5703125" style="759" customWidth="1"/>
    <col min="11790" max="11790" width="7.28515625" style="759" customWidth="1"/>
    <col min="11791" max="11792" width="7.42578125" style="759" bestFit="1" customWidth="1"/>
    <col min="11793" max="11793" width="7.5703125" style="759" bestFit="1" customWidth="1"/>
    <col min="11794" max="11801" width="7.5703125" style="759" customWidth="1"/>
    <col min="11802" max="11802" width="8.42578125" style="759" customWidth="1"/>
    <col min="11803" max="11809" width="7.5703125" style="759" customWidth="1"/>
    <col min="11810" max="11810" width="9.140625" style="759"/>
    <col min="11811" max="11813" width="9.140625" style="759" customWidth="1"/>
    <col min="11814" max="11814" width="18.42578125" style="759" customWidth="1"/>
    <col min="11815" max="11828" width="9.140625" style="759"/>
    <col min="11829" max="11829" width="9.7109375" style="759" bestFit="1" customWidth="1"/>
    <col min="11830" max="11830" width="9.140625" style="759"/>
    <col min="11831" max="11831" width="24.28515625" style="759" customWidth="1"/>
    <col min="11832" max="11832" width="15.42578125" style="759" bestFit="1" customWidth="1"/>
    <col min="11833" max="11833" width="13.85546875" style="759" bestFit="1" customWidth="1"/>
    <col min="11834" max="11835" width="16.5703125" style="759" bestFit="1" customWidth="1"/>
    <col min="11836" max="11837" width="5.7109375" style="759" bestFit="1" customWidth="1"/>
    <col min="11838" max="11838" width="13.140625" style="759" bestFit="1" customWidth="1"/>
    <col min="11839" max="11841" width="13.140625" style="759" customWidth="1"/>
    <col min="11842" max="11842" width="16" style="759" bestFit="1" customWidth="1"/>
    <col min="11843" max="11843" width="15" style="759" bestFit="1" customWidth="1"/>
    <col min="11844" max="12034" width="9.140625" style="759"/>
    <col min="12035" max="12035" width="11.7109375" style="759" bestFit="1" customWidth="1"/>
    <col min="12036" max="12036" width="10.42578125" style="759" bestFit="1" customWidth="1"/>
    <col min="12037" max="12038" width="9.140625" style="759"/>
    <col min="12039" max="12039" width="8.42578125" style="759" customWidth="1"/>
    <col min="12040" max="12040" width="7.5703125" style="759" customWidth="1"/>
    <col min="12041" max="12041" width="7.28515625" style="759" customWidth="1"/>
    <col min="12042" max="12043" width="8.28515625" style="759" customWidth="1"/>
    <col min="12044" max="12044" width="8.42578125" style="759" customWidth="1"/>
    <col min="12045" max="12045" width="7.5703125" style="759" customWidth="1"/>
    <col min="12046" max="12046" width="7.28515625" style="759" customWidth="1"/>
    <col min="12047" max="12048" width="7.42578125" style="759" bestFit="1" customWidth="1"/>
    <col min="12049" max="12049" width="7.5703125" style="759" bestFit="1" customWidth="1"/>
    <col min="12050" max="12057" width="7.5703125" style="759" customWidth="1"/>
    <col min="12058" max="12058" width="8.42578125" style="759" customWidth="1"/>
    <col min="12059" max="12065" width="7.5703125" style="759" customWidth="1"/>
    <col min="12066" max="12066" width="9.140625" style="759"/>
    <col min="12067" max="12069" width="9.140625" style="759" customWidth="1"/>
    <col min="12070" max="12070" width="18.42578125" style="759" customWidth="1"/>
    <col min="12071" max="12084" width="9.140625" style="759"/>
    <col min="12085" max="12085" width="9.7109375" style="759" bestFit="1" customWidth="1"/>
    <col min="12086" max="12086" width="9.140625" style="759"/>
    <col min="12087" max="12087" width="24.28515625" style="759" customWidth="1"/>
    <col min="12088" max="12088" width="15.42578125" style="759" bestFit="1" customWidth="1"/>
    <col min="12089" max="12089" width="13.85546875" style="759" bestFit="1" customWidth="1"/>
    <col min="12090" max="12091" width="16.5703125" style="759" bestFit="1" customWidth="1"/>
    <col min="12092" max="12093" width="5.7109375" style="759" bestFit="1" customWidth="1"/>
    <col min="12094" max="12094" width="13.140625" style="759" bestFit="1" customWidth="1"/>
    <col min="12095" max="12097" width="13.140625" style="759" customWidth="1"/>
    <col min="12098" max="12098" width="16" style="759" bestFit="1" customWidth="1"/>
    <col min="12099" max="12099" width="15" style="759" bestFit="1" customWidth="1"/>
    <col min="12100" max="12290" width="9.140625" style="759"/>
    <col min="12291" max="12291" width="11.7109375" style="759" bestFit="1" customWidth="1"/>
    <col min="12292" max="12292" width="10.42578125" style="759" bestFit="1" customWidth="1"/>
    <col min="12293" max="12294" width="9.140625" style="759"/>
    <col min="12295" max="12295" width="8.42578125" style="759" customWidth="1"/>
    <col min="12296" max="12296" width="7.5703125" style="759" customWidth="1"/>
    <col min="12297" max="12297" width="7.28515625" style="759" customWidth="1"/>
    <col min="12298" max="12299" width="8.28515625" style="759" customWidth="1"/>
    <col min="12300" max="12300" width="8.42578125" style="759" customWidth="1"/>
    <col min="12301" max="12301" width="7.5703125" style="759" customWidth="1"/>
    <col min="12302" max="12302" width="7.28515625" style="759" customWidth="1"/>
    <col min="12303" max="12304" width="7.42578125" style="759" bestFit="1" customWidth="1"/>
    <col min="12305" max="12305" width="7.5703125" style="759" bestFit="1" customWidth="1"/>
    <col min="12306" max="12313" width="7.5703125" style="759" customWidth="1"/>
    <col min="12314" max="12314" width="8.42578125" style="759" customWidth="1"/>
    <col min="12315" max="12321" width="7.5703125" style="759" customWidth="1"/>
    <col min="12322" max="12322" width="9.140625" style="759"/>
    <col min="12323" max="12325" width="9.140625" style="759" customWidth="1"/>
    <col min="12326" max="12326" width="18.42578125" style="759" customWidth="1"/>
    <col min="12327" max="12340" width="9.140625" style="759"/>
    <col min="12341" max="12341" width="9.7109375" style="759" bestFit="1" customWidth="1"/>
    <col min="12342" max="12342" width="9.140625" style="759"/>
    <col min="12343" max="12343" width="24.28515625" style="759" customWidth="1"/>
    <col min="12344" max="12344" width="15.42578125" style="759" bestFit="1" customWidth="1"/>
    <col min="12345" max="12345" width="13.85546875" style="759" bestFit="1" customWidth="1"/>
    <col min="12346" max="12347" width="16.5703125" style="759" bestFit="1" customWidth="1"/>
    <col min="12348" max="12349" width="5.7109375" style="759" bestFit="1" customWidth="1"/>
    <col min="12350" max="12350" width="13.140625" style="759" bestFit="1" customWidth="1"/>
    <col min="12351" max="12353" width="13.140625" style="759" customWidth="1"/>
    <col min="12354" max="12354" width="16" style="759" bestFit="1" customWidth="1"/>
    <col min="12355" max="12355" width="15" style="759" bestFit="1" customWidth="1"/>
    <col min="12356" max="12546" width="9.140625" style="759"/>
    <col min="12547" max="12547" width="11.7109375" style="759" bestFit="1" customWidth="1"/>
    <col min="12548" max="12548" width="10.42578125" style="759" bestFit="1" customWidth="1"/>
    <col min="12549" max="12550" width="9.140625" style="759"/>
    <col min="12551" max="12551" width="8.42578125" style="759" customWidth="1"/>
    <col min="12552" max="12552" width="7.5703125" style="759" customWidth="1"/>
    <col min="12553" max="12553" width="7.28515625" style="759" customWidth="1"/>
    <col min="12554" max="12555" width="8.28515625" style="759" customWidth="1"/>
    <col min="12556" max="12556" width="8.42578125" style="759" customWidth="1"/>
    <col min="12557" max="12557" width="7.5703125" style="759" customWidth="1"/>
    <col min="12558" max="12558" width="7.28515625" style="759" customWidth="1"/>
    <col min="12559" max="12560" width="7.42578125" style="759" bestFit="1" customWidth="1"/>
    <col min="12561" max="12561" width="7.5703125" style="759" bestFit="1" customWidth="1"/>
    <col min="12562" max="12569" width="7.5703125" style="759" customWidth="1"/>
    <col min="12570" max="12570" width="8.42578125" style="759" customWidth="1"/>
    <col min="12571" max="12577" width="7.5703125" style="759" customWidth="1"/>
    <col min="12578" max="12578" width="9.140625" style="759"/>
    <col min="12579" max="12581" width="9.140625" style="759" customWidth="1"/>
    <col min="12582" max="12582" width="18.42578125" style="759" customWidth="1"/>
    <col min="12583" max="12596" width="9.140625" style="759"/>
    <col min="12597" max="12597" width="9.7109375" style="759" bestFit="1" customWidth="1"/>
    <col min="12598" max="12598" width="9.140625" style="759"/>
    <col min="12599" max="12599" width="24.28515625" style="759" customWidth="1"/>
    <col min="12600" max="12600" width="15.42578125" style="759" bestFit="1" customWidth="1"/>
    <col min="12601" max="12601" width="13.85546875" style="759" bestFit="1" customWidth="1"/>
    <col min="12602" max="12603" width="16.5703125" style="759" bestFit="1" customWidth="1"/>
    <col min="12604" max="12605" width="5.7109375" style="759" bestFit="1" customWidth="1"/>
    <col min="12606" max="12606" width="13.140625" style="759" bestFit="1" customWidth="1"/>
    <col min="12607" max="12609" width="13.140625" style="759" customWidth="1"/>
    <col min="12610" max="12610" width="16" style="759" bestFit="1" customWidth="1"/>
    <col min="12611" max="12611" width="15" style="759" bestFit="1" customWidth="1"/>
    <col min="12612" max="12802" width="9.140625" style="759"/>
    <col min="12803" max="12803" width="11.7109375" style="759" bestFit="1" customWidth="1"/>
    <col min="12804" max="12804" width="10.42578125" style="759" bestFit="1" customWidth="1"/>
    <col min="12805" max="12806" width="9.140625" style="759"/>
    <col min="12807" max="12807" width="8.42578125" style="759" customWidth="1"/>
    <col min="12808" max="12808" width="7.5703125" style="759" customWidth="1"/>
    <col min="12809" max="12809" width="7.28515625" style="759" customWidth="1"/>
    <col min="12810" max="12811" width="8.28515625" style="759" customWidth="1"/>
    <col min="12812" max="12812" width="8.42578125" style="759" customWidth="1"/>
    <col min="12813" max="12813" width="7.5703125" style="759" customWidth="1"/>
    <col min="12814" max="12814" width="7.28515625" style="759" customWidth="1"/>
    <col min="12815" max="12816" width="7.42578125" style="759" bestFit="1" customWidth="1"/>
    <col min="12817" max="12817" width="7.5703125" style="759" bestFit="1" customWidth="1"/>
    <col min="12818" max="12825" width="7.5703125" style="759" customWidth="1"/>
    <col min="12826" max="12826" width="8.42578125" style="759" customWidth="1"/>
    <col min="12827" max="12833" width="7.5703125" style="759" customWidth="1"/>
    <col min="12834" max="12834" width="9.140625" style="759"/>
    <col min="12835" max="12837" width="9.140625" style="759" customWidth="1"/>
    <col min="12838" max="12838" width="18.42578125" style="759" customWidth="1"/>
    <col min="12839" max="12852" width="9.140625" style="759"/>
    <col min="12853" max="12853" width="9.7109375" style="759" bestFit="1" customWidth="1"/>
    <col min="12854" max="12854" width="9.140625" style="759"/>
    <col min="12855" max="12855" width="24.28515625" style="759" customWidth="1"/>
    <col min="12856" max="12856" width="15.42578125" style="759" bestFit="1" customWidth="1"/>
    <col min="12857" max="12857" width="13.85546875" style="759" bestFit="1" customWidth="1"/>
    <col min="12858" max="12859" width="16.5703125" style="759" bestFit="1" customWidth="1"/>
    <col min="12860" max="12861" width="5.7109375" style="759" bestFit="1" customWidth="1"/>
    <col min="12862" max="12862" width="13.140625" style="759" bestFit="1" customWidth="1"/>
    <col min="12863" max="12865" width="13.140625" style="759" customWidth="1"/>
    <col min="12866" max="12866" width="16" style="759" bestFit="1" customWidth="1"/>
    <col min="12867" max="12867" width="15" style="759" bestFit="1" customWidth="1"/>
    <col min="12868" max="13058" width="9.140625" style="759"/>
    <col min="13059" max="13059" width="11.7109375" style="759" bestFit="1" customWidth="1"/>
    <col min="13060" max="13060" width="10.42578125" style="759" bestFit="1" customWidth="1"/>
    <col min="13061" max="13062" width="9.140625" style="759"/>
    <col min="13063" max="13063" width="8.42578125" style="759" customWidth="1"/>
    <col min="13064" max="13064" width="7.5703125" style="759" customWidth="1"/>
    <col min="13065" max="13065" width="7.28515625" style="759" customWidth="1"/>
    <col min="13066" max="13067" width="8.28515625" style="759" customWidth="1"/>
    <col min="13068" max="13068" width="8.42578125" style="759" customWidth="1"/>
    <col min="13069" max="13069" width="7.5703125" style="759" customWidth="1"/>
    <col min="13070" max="13070" width="7.28515625" style="759" customWidth="1"/>
    <col min="13071" max="13072" width="7.42578125" style="759" bestFit="1" customWidth="1"/>
    <col min="13073" max="13073" width="7.5703125" style="759" bestFit="1" customWidth="1"/>
    <col min="13074" max="13081" width="7.5703125" style="759" customWidth="1"/>
    <col min="13082" max="13082" width="8.42578125" style="759" customWidth="1"/>
    <col min="13083" max="13089" width="7.5703125" style="759" customWidth="1"/>
    <col min="13090" max="13090" width="9.140625" style="759"/>
    <col min="13091" max="13093" width="9.140625" style="759" customWidth="1"/>
    <col min="13094" max="13094" width="18.42578125" style="759" customWidth="1"/>
    <col min="13095" max="13108" width="9.140625" style="759"/>
    <col min="13109" max="13109" width="9.7109375" style="759" bestFit="1" customWidth="1"/>
    <col min="13110" max="13110" width="9.140625" style="759"/>
    <col min="13111" max="13111" width="24.28515625" style="759" customWidth="1"/>
    <col min="13112" max="13112" width="15.42578125" style="759" bestFit="1" customWidth="1"/>
    <col min="13113" max="13113" width="13.85546875" style="759" bestFit="1" customWidth="1"/>
    <col min="13114" max="13115" width="16.5703125" style="759" bestFit="1" customWidth="1"/>
    <col min="13116" max="13117" width="5.7109375" style="759" bestFit="1" customWidth="1"/>
    <col min="13118" max="13118" width="13.140625" style="759" bestFit="1" customWidth="1"/>
    <col min="13119" max="13121" width="13.140625" style="759" customWidth="1"/>
    <col min="13122" max="13122" width="16" style="759" bestFit="1" customWidth="1"/>
    <col min="13123" max="13123" width="15" style="759" bestFit="1" customWidth="1"/>
    <col min="13124" max="13314" width="9.140625" style="759"/>
    <col min="13315" max="13315" width="11.7109375" style="759" bestFit="1" customWidth="1"/>
    <col min="13316" max="13316" width="10.42578125" style="759" bestFit="1" customWidth="1"/>
    <col min="13317" max="13318" width="9.140625" style="759"/>
    <col min="13319" max="13319" width="8.42578125" style="759" customWidth="1"/>
    <col min="13320" max="13320" width="7.5703125" style="759" customWidth="1"/>
    <col min="13321" max="13321" width="7.28515625" style="759" customWidth="1"/>
    <col min="13322" max="13323" width="8.28515625" style="759" customWidth="1"/>
    <col min="13324" max="13324" width="8.42578125" style="759" customWidth="1"/>
    <col min="13325" max="13325" width="7.5703125" style="759" customWidth="1"/>
    <col min="13326" max="13326" width="7.28515625" style="759" customWidth="1"/>
    <col min="13327" max="13328" width="7.42578125" style="759" bestFit="1" customWidth="1"/>
    <col min="13329" max="13329" width="7.5703125" style="759" bestFit="1" customWidth="1"/>
    <col min="13330" max="13337" width="7.5703125" style="759" customWidth="1"/>
    <col min="13338" max="13338" width="8.42578125" style="759" customWidth="1"/>
    <col min="13339" max="13345" width="7.5703125" style="759" customWidth="1"/>
    <col min="13346" max="13346" width="9.140625" style="759"/>
    <col min="13347" max="13349" width="9.140625" style="759" customWidth="1"/>
    <col min="13350" max="13350" width="18.42578125" style="759" customWidth="1"/>
    <col min="13351" max="13364" width="9.140625" style="759"/>
    <col min="13365" max="13365" width="9.7109375" style="759" bestFit="1" customWidth="1"/>
    <col min="13366" max="13366" width="9.140625" style="759"/>
    <col min="13367" max="13367" width="24.28515625" style="759" customWidth="1"/>
    <col min="13368" max="13368" width="15.42578125" style="759" bestFit="1" customWidth="1"/>
    <col min="13369" max="13369" width="13.85546875" style="759" bestFit="1" customWidth="1"/>
    <col min="13370" max="13371" width="16.5703125" style="759" bestFit="1" customWidth="1"/>
    <col min="13372" max="13373" width="5.7109375" style="759" bestFit="1" customWidth="1"/>
    <col min="13374" max="13374" width="13.140625" style="759" bestFit="1" customWidth="1"/>
    <col min="13375" max="13377" width="13.140625" style="759" customWidth="1"/>
    <col min="13378" max="13378" width="16" style="759" bestFit="1" customWidth="1"/>
    <col min="13379" max="13379" width="15" style="759" bestFit="1" customWidth="1"/>
    <col min="13380" max="13570" width="9.140625" style="759"/>
    <col min="13571" max="13571" width="11.7109375" style="759" bestFit="1" customWidth="1"/>
    <col min="13572" max="13572" width="10.42578125" style="759" bestFit="1" customWidth="1"/>
    <col min="13573" max="13574" width="9.140625" style="759"/>
    <col min="13575" max="13575" width="8.42578125" style="759" customWidth="1"/>
    <col min="13576" max="13576" width="7.5703125" style="759" customWidth="1"/>
    <col min="13577" max="13577" width="7.28515625" style="759" customWidth="1"/>
    <col min="13578" max="13579" width="8.28515625" style="759" customWidth="1"/>
    <col min="13580" max="13580" width="8.42578125" style="759" customWidth="1"/>
    <col min="13581" max="13581" width="7.5703125" style="759" customWidth="1"/>
    <col min="13582" max="13582" width="7.28515625" style="759" customWidth="1"/>
    <col min="13583" max="13584" width="7.42578125" style="759" bestFit="1" customWidth="1"/>
    <col min="13585" max="13585" width="7.5703125" style="759" bestFit="1" customWidth="1"/>
    <col min="13586" max="13593" width="7.5703125" style="759" customWidth="1"/>
    <col min="13594" max="13594" width="8.42578125" style="759" customWidth="1"/>
    <col min="13595" max="13601" width="7.5703125" style="759" customWidth="1"/>
    <col min="13602" max="13602" width="9.140625" style="759"/>
    <col min="13603" max="13605" width="9.140625" style="759" customWidth="1"/>
    <col min="13606" max="13606" width="18.42578125" style="759" customWidth="1"/>
    <col min="13607" max="13620" width="9.140625" style="759"/>
    <col min="13621" max="13621" width="9.7109375" style="759" bestFit="1" customWidth="1"/>
    <col min="13622" max="13622" width="9.140625" style="759"/>
    <col min="13623" max="13623" width="24.28515625" style="759" customWidth="1"/>
    <col min="13624" max="13624" width="15.42578125" style="759" bestFit="1" customWidth="1"/>
    <col min="13625" max="13625" width="13.85546875" style="759" bestFit="1" customWidth="1"/>
    <col min="13626" max="13627" width="16.5703125" style="759" bestFit="1" customWidth="1"/>
    <col min="13628" max="13629" width="5.7109375" style="759" bestFit="1" customWidth="1"/>
    <col min="13630" max="13630" width="13.140625" style="759" bestFit="1" customWidth="1"/>
    <col min="13631" max="13633" width="13.140625" style="759" customWidth="1"/>
    <col min="13634" max="13634" width="16" style="759" bestFit="1" customWidth="1"/>
    <col min="13635" max="13635" width="15" style="759" bestFit="1" customWidth="1"/>
    <col min="13636" max="13826" width="9.140625" style="759"/>
    <col min="13827" max="13827" width="11.7109375" style="759" bestFit="1" customWidth="1"/>
    <col min="13828" max="13828" width="10.42578125" style="759" bestFit="1" customWidth="1"/>
    <col min="13829" max="13830" width="9.140625" style="759"/>
    <col min="13831" max="13831" width="8.42578125" style="759" customWidth="1"/>
    <col min="13832" max="13832" width="7.5703125" style="759" customWidth="1"/>
    <col min="13833" max="13833" width="7.28515625" style="759" customWidth="1"/>
    <col min="13834" max="13835" width="8.28515625" style="759" customWidth="1"/>
    <col min="13836" max="13836" width="8.42578125" style="759" customWidth="1"/>
    <col min="13837" max="13837" width="7.5703125" style="759" customWidth="1"/>
    <col min="13838" max="13838" width="7.28515625" style="759" customWidth="1"/>
    <col min="13839" max="13840" width="7.42578125" style="759" bestFit="1" customWidth="1"/>
    <col min="13841" max="13841" width="7.5703125" style="759" bestFit="1" customWidth="1"/>
    <col min="13842" max="13849" width="7.5703125" style="759" customWidth="1"/>
    <col min="13850" max="13850" width="8.42578125" style="759" customWidth="1"/>
    <col min="13851" max="13857" width="7.5703125" style="759" customWidth="1"/>
    <col min="13858" max="13858" width="9.140625" style="759"/>
    <col min="13859" max="13861" width="9.140625" style="759" customWidth="1"/>
    <col min="13862" max="13862" width="18.42578125" style="759" customWidth="1"/>
    <col min="13863" max="13876" width="9.140625" style="759"/>
    <col min="13877" max="13877" width="9.7109375" style="759" bestFit="1" customWidth="1"/>
    <col min="13878" max="13878" width="9.140625" style="759"/>
    <col min="13879" max="13879" width="24.28515625" style="759" customWidth="1"/>
    <col min="13880" max="13880" width="15.42578125" style="759" bestFit="1" customWidth="1"/>
    <col min="13881" max="13881" width="13.85546875" style="759" bestFit="1" customWidth="1"/>
    <col min="13882" max="13883" width="16.5703125" style="759" bestFit="1" customWidth="1"/>
    <col min="13884" max="13885" width="5.7109375" style="759" bestFit="1" customWidth="1"/>
    <col min="13886" max="13886" width="13.140625" style="759" bestFit="1" customWidth="1"/>
    <col min="13887" max="13889" width="13.140625" style="759" customWidth="1"/>
    <col min="13890" max="13890" width="16" style="759" bestFit="1" customWidth="1"/>
    <col min="13891" max="13891" width="15" style="759" bestFit="1" customWidth="1"/>
    <col min="13892" max="14082" width="9.140625" style="759"/>
    <col min="14083" max="14083" width="11.7109375" style="759" bestFit="1" customWidth="1"/>
    <col min="14084" max="14084" width="10.42578125" style="759" bestFit="1" customWidth="1"/>
    <col min="14085" max="14086" width="9.140625" style="759"/>
    <col min="14087" max="14087" width="8.42578125" style="759" customWidth="1"/>
    <col min="14088" max="14088" width="7.5703125" style="759" customWidth="1"/>
    <col min="14089" max="14089" width="7.28515625" style="759" customWidth="1"/>
    <col min="14090" max="14091" width="8.28515625" style="759" customWidth="1"/>
    <col min="14092" max="14092" width="8.42578125" style="759" customWidth="1"/>
    <col min="14093" max="14093" width="7.5703125" style="759" customWidth="1"/>
    <col min="14094" max="14094" width="7.28515625" style="759" customWidth="1"/>
    <col min="14095" max="14096" width="7.42578125" style="759" bestFit="1" customWidth="1"/>
    <col min="14097" max="14097" width="7.5703125" style="759" bestFit="1" customWidth="1"/>
    <col min="14098" max="14105" width="7.5703125" style="759" customWidth="1"/>
    <col min="14106" max="14106" width="8.42578125" style="759" customWidth="1"/>
    <col min="14107" max="14113" width="7.5703125" style="759" customWidth="1"/>
    <col min="14114" max="14114" width="9.140625" style="759"/>
    <col min="14115" max="14117" width="9.140625" style="759" customWidth="1"/>
    <col min="14118" max="14118" width="18.42578125" style="759" customWidth="1"/>
    <col min="14119" max="14132" width="9.140625" style="759"/>
    <col min="14133" max="14133" width="9.7109375" style="759" bestFit="1" customWidth="1"/>
    <col min="14134" max="14134" width="9.140625" style="759"/>
    <col min="14135" max="14135" width="24.28515625" style="759" customWidth="1"/>
    <col min="14136" max="14136" width="15.42578125" style="759" bestFit="1" customWidth="1"/>
    <col min="14137" max="14137" width="13.85546875" style="759" bestFit="1" customWidth="1"/>
    <col min="14138" max="14139" width="16.5703125" style="759" bestFit="1" customWidth="1"/>
    <col min="14140" max="14141" width="5.7109375" style="759" bestFit="1" customWidth="1"/>
    <col min="14142" max="14142" width="13.140625" style="759" bestFit="1" customWidth="1"/>
    <col min="14143" max="14145" width="13.140625" style="759" customWidth="1"/>
    <col min="14146" max="14146" width="16" style="759" bestFit="1" customWidth="1"/>
    <col min="14147" max="14147" width="15" style="759" bestFit="1" customWidth="1"/>
    <col min="14148" max="14338" width="9.140625" style="759"/>
    <col min="14339" max="14339" width="11.7109375" style="759" bestFit="1" customWidth="1"/>
    <col min="14340" max="14340" width="10.42578125" style="759" bestFit="1" customWidth="1"/>
    <col min="14341" max="14342" width="9.140625" style="759"/>
    <col min="14343" max="14343" width="8.42578125" style="759" customWidth="1"/>
    <col min="14344" max="14344" width="7.5703125" style="759" customWidth="1"/>
    <col min="14345" max="14345" width="7.28515625" style="759" customWidth="1"/>
    <col min="14346" max="14347" width="8.28515625" style="759" customWidth="1"/>
    <col min="14348" max="14348" width="8.42578125" style="759" customWidth="1"/>
    <col min="14349" max="14349" width="7.5703125" style="759" customWidth="1"/>
    <col min="14350" max="14350" width="7.28515625" style="759" customWidth="1"/>
    <col min="14351" max="14352" width="7.42578125" style="759" bestFit="1" customWidth="1"/>
    <col min="14353" max="14353" width="7.5703125" style="759" bestFit="1" customWidth="1"/>
    <col min="14354" max="14361" width="7.5703125" style="759" customWidth="1"/>
    <col min="14362" max="14362" width="8.42578125" style="759" customWidth="1"/>
    <col min="14363" max="14369" width="7.5703125" style="759" customWidth="1"/>
    <col min="14370" max="14370" width="9.140625" style="759"/>
    <col min="14371" max="14373" width="9.140625" style="759" customWidth="1"/>
    <col min="14374" max="14374" width="18.42578125" style="759" customWidth="1"/>
    <col min="14375" max="14388" width="9.140625" style="759"/>
    <col min="14389" max="14389" width="9.7109375" style="759" bestFit="1" customWidth="1"/>
    <col min="14390" max="14390" width="9.140625" style="759"/>
    <col min="14391" max="14391" width="24.28515625" style="759" customWidth="1"/>
    <col min="14392" max="14392" width="15.42578125" style="759" bestFit="1" customWidth="1"/>
    <col min="14393" max="14393" width="13.85546875" style="759" bestFit="1" customWidth="1"/>
    <col min="14394" max="14395" width="16.5703125" style="759" bestFit="1" customWidth="1"/>
    <col min="14396" max="14397" width="5.7109375" style="759" bestFit="1" customWidth="1"/>
    <col min="14398" max="14398" width="13.140625" style="759" bestFit="1" customWidth="1"/>
    <col min="14399" max="14401" width="13.140625" style="759" customWidth="1"/>
    <col min="14402" max="14402" width="16" style="759" bestFit="1" customWidth="1"/>
    <col min="14403" max="14403" width="15" style="759" bestFit="1" customWidth="1"/>
    <col min="14404" max="14594" width="9.140625" style="759"/>
    <col min="14595" max="14595" width="11.7109375" style="759" bestFit="1" customWidth="1"/>
    <col min="14596" max="14596" width="10.42578125" style="759" bestFit="1" customWidth="1"/>
    <col min="14597" max="14598" width="9.140625" style="759"/>
    <col min="14599" max="14599" width="8.42578125" style="759" customWidth="1"/>
    <col min="14600" max="14600" width="7.5703125" style="759" customWidth="1"/>
    <col min="14601" max="14601" width="7.28515625" style="759" customWidth="1"/>
    <col min="14602" max="14603" width="8.28515625" style="759" customWidth="1"/>
    <col min="14604" max="14604" width="8.42578125" style="759" customWidth="1"/>
    <col min="14605" max="14605" width="7.5703125" style="759" customWidth="1"/>
    <col min="14606" max="14606" width="7.28515625" style="759" customWidth="1"/>
    <col min="14607" max="14608" width="7.42578125" style="759" bestFit="1" customWidth="1"/>
    <col min="14609" max="14609" width="7.5703125" style="759" bestFit="1" customWidth="1"/>
    <col min="14610" max="14617" width="7.5703125" style="759" customWidth="1"/>
    <col min="14618" max="14618" width="8.42578125" style="759" customWidth="1"/>
    <col min="14619" max="14625" width="7.5703125" style="759" customWidth="1"/>
    <col min="14626" max="14626" width="9.140625" style="759"/>
    <col min="14627" max="14629" width="9.140625" style="759" customWidth="1"/>
    <col min="14630" max="14630" width="18.42578125" style="759" customWidth="1"/>
    <col min="14631" max="14644" width="9.140625" style="759"/>
    <col min="14645" max="14645" width="9.7109375" style="759" bestFit="1" customWidth="1"/>
    <col min="14646" max="14646" width="9.140625" style="759"/>
    <col min="14647" max="14647" width="24.28515625" style="759" customWidth="1"/>
    <col min="14648" max="14648" width="15.42578125" style="759" bestFit="1" customWidth="1"/>
    <col min="14649" max="14649" width="13.85546875" style="759" bestFit="1" customWidth="1"/>
    <col min="14650" max="14651" width="16.5703125" style="759" bestFit="1" customWidth="1"/>
    <col min="14652" max="14653" width="5.7109375" style="759" bestFit="1" customWidth="1"/>
    <col min="14654" max="14654" width="13.140625" style="759" bestFit="1" customWidth="1"/>
    <col min="14655" max="14657" width="13.140625" style="759" customWidth="1"/>
    <col min="14658" max="14658" width="16" style="759" bestFit="1" customWidth="1"/>
    <col min="14659" max="14659" width="15" style="759" bestFit="1" customWidth="1"/>
    <col min="14660" max="14850" width="9.140625" style="759"/>
    <col min="14851" max="14851" width="11.7109375" style="759" bestFit="1" customWidth="1"/>
    <col min="14852" max="14852" width="10.42578125" style="759" bestFit="1" customWidth="1"/>
    <col min="14853" max="14854" width="9.140625" style="759"/>
    <col min="14855" max="14855" width="8.42578125" style="759" customWidth="1"/>
    <col min="14856" max="14856" width="7.5703125" style="759" customWidth="1"/>
    <col min="14857" max="14857" width="7.28515625" style="759" customWidth="1"/>
    <col min="14858" max="14859" width="8.28515625" style="759" customWidth="1"/>
    <col min="14860" max="14860" width="8.42578125" style="759" customWidth="1"/>
    <col min="14861" max="14861" width="7.5703125" style="759" customWidth="1"/>
    <col min="14862" max="14862" width="7.28515625" style="759" customWidth="1"/>
    <col min="14863" max="14864" width="7.42578125" style="759" bestFit="1" customWidth="1"/>
    <col min="14865" max="14865" width="7.5703125" style="759" bestFit="1" customWidth="1"/>
    <col min="14866" max="14873" width="7.5703125" style="759" customWidth="1"/>
    <col min="14874" max="14874" width="8.42578125" style="759" customWidth="1"/>
    <col min="14875" max="14881" width="7.5703125" style="759" customWidth="1"/>
    <col min="14882" max="14882" width="9.140625" style="759"/>
    <col min="14883" max="14885" width="9.140625" style="759" customWidth="1"/>
    <col min="14886" max="14886" width="18.42578125" style="759" customWidth="1"/>
    <col min="14887" max="14900" width="9.140625" style="759"/>
    <col min="14901" max="14901" width="9.7109375" style="759" bestFit="1" customWidth="1"/>
    <col min="14902" max="14902" width="9.140625" style="759"/>
    <col min="14903" max="14903" width="24.28515625" style="759" customWidth="1"/>
    <col min="14904" max="14904" width="15.42578125" style="759" bestFit="1" customWidth="1"/>
    <col min="14905" max="14905" width="13.85546875" style="759" bestFit="1" customWidth="1"/>
    <col min="14906" max="14907" width="16.5703125" style="759" bestFit="1" customWidth="1"/>
    <col min="14908" max="14909" width="5.7109375" style="759" bestFit="1" customWidth="1"/>
    <col min="14910" max="14910" width="13.140625" style="759" bestFit="1" customWidth="1"/>
    <col min="14911" max="14913" width="13.140625" style="759" customWidth="1"/>
    <col min="14914" max="14914" width="16" style="759" bestFit="1" customWidth="1"/>
    <col min="14915" max="14915" width="15" style="759" bestFit="1" customWidth="1"/>
    <col min="14916" max="15106" width="9.140625" style="759"/>
    <col min="15107" max="15107" width="11.7109375" style="759" bestFit="1" customWidth="1"/>
    <col min="15108" max="15108" width="10.42578125" style="759" bestFit="1" customWidth="1"/>
    <col min="15109" max="15110" width="9.140625" style="759"/>
    <col min="15111" max="15111" width="8.42578125" style="759" customWidth="1"/>
    <col min="15112" max="15112" width="7.5703125" style="759" customWidth="1"/>
    <col min="15113" max="15113" width="7.28515625" style="759" customWidth="1"/>
    <col min="15114" max="15115" width="8.28515625" style="759" customWidth="1"/>
    <col min="15116" max="15116" width="8.42578125" style="759" customWidth="1"/>
    <col min="15117" max="15117" width="7.5703125" style="759" customWidth="1"/>
    <col min="15118" max="15118" width="7.28515625" style="759" customWidth="1"/>
    <col min="15119" max="15120" width="7.42578125" style="759" bestFit="1" customWidth="1"/>
    <col min="15121" max="15121" width="7.5703125" style="759" bestFit="1" customWidth="1"/>
    <col min="15122" max="15129" width="7.5703125" style="759" customWidth="1"/>
    <col min="15130" max="15130" width="8.42578125" style="759" customWidth="1"/>
    <col min="15131" max="15137" width="7.5703125" style="759" customWidth="1"/>
    <col min="15138" max="15138" width="9.140625" style="759"/>
    <col min="15139" max="15141" width="9.140625" style="759" customWidth="1"/>
    <col min="15142" max="15142" width="18.42578125" style="759" customWidth="1"/>
    <col min="15143" max="15156" width="9.140625" style="759"/>
    <col min="15157" max="15157" width="9.7109375" style="759" bestFit="1" customWidth="1"/>
    <col min="15158" max="15158" width="9.140625" style="759"/>
    <col min="15159" max="15159" width="24.28515625" style="759" customWidth="1"/>
    <col min="15160" max="15160" width="15.42578125" style="759" bestFit="1" customWidth="1"/>
    <col min="15161" max="15161" width="13.85546875" style="759" bestFit="1" customWidth="1"/>
    <col min="15162" max="15163" width="16.5703125" style="759" bestFit="1" customWidth="1"/>
    <col min="15164" max="15165" width="5.7109375" style="759" bestFit="1" customWidth="1"/>
    <col min="15166" max="15166" width="13.140625" style="759" bestFit="1" customWidth="1"/>
    <col min="15167" max="15169" width="13.140625" style="759" customWidth="1"/>
    <col min="15170" max="15170" width="16" style="759" bestFit="1" customWidth="1"/>
    <col min="15171" max="15171" width="15" style="759" bestFit="1" customWidth="1"/>
    <col min="15172" max="15362" width="9.140625" style="759"/>
    <col min="15363" max="15363" width="11.7109375" style="759" bestFit="1" customWidth="1"/>
    <col min="15364" max="15364" width="10.42578125" style="759" bestFit="1" customWidth="1"/>
    <col min="15365" max="15366" width="9.140625" style="759"/>
    <col min="15367" max="15367" width="8.42578125" style="759" customWidth="1"/>
    <col min="15368" max="15368" width="7.5703125" style="759" customWidth="1"/>
    <col min="15369" max="15369" width="7.28515625" style="759" customWidth="1"/>
    <col min="15370" max="15371" width="8.28515625" style="759" customWidth="1"/>
    <col min="15372" max="15372" width="8.42578125" style="759" customWidth="1"/>
    <col min="15373" max="15373" width="7.5703125" style="759" customWidth="1"/>
    <col min="15374" max="15374" width="7.28515625" style="759" customWidth="1"/>
    <col min="15375" max="15376" width="7.42578125" style="759" bestFit="1" customWidth="1"/>
    <col min="15377" max="15377" width="7.5703125" style="759" bestFit="1" customWidth="1"/>
    <col min="15378" max="15385" width="7.5703125" style="759" customWidth="1"/>
    <col min="15386" max="15386" width="8.42578125" style="759" customWidth="1"/>
    <col min="15387" max="15393" width="7.5703125" style="759" customWidth="1"/>
    <col min="15394" max="15394" width="9.140625" style="759"/>
    <col min="15395" max="15397" width="9.140625" style="759" customWidth="1"/>
    <col min="15398" max="15398" width="18.42578125" style="759" customWidth="1"/>
    <col min="15399" max="15412" width="9.140625" style="759"/>
    <col min="15413" max="15413" width="9.7109375" style="759" bestFit="1" customWidth="1"/>
    <col min="15414" max="15414" width="9.140625" style="759"/>
    <col min="15415" max="15415" width="24.28515625" style="759" customWidth="1"/>
    <col min="15416" max="15416" width="15.42578125" style="759" bestFit="1" customWidth="1"/>
    <col min="15417" max="15417" width="13.85546875" style="759" bestFit="1" customWidth="1"/>
    <col min="15418" max="15419" width="16.5703125" style="759" bestFit="1" customWidth="1"/>
    <col min="15420" max="15421" width="5.7109375" style="759" bestFit="1" customWidth="1"/>
    <col min="15422" max="15422" width="13.140625" style="759" bestFit="1" customWidth="1"/>
    <col min="15423" max="15425" width="13.140625" style="759" customWidth="1"/>
    <col min="15426" max="15426" width="16" style="759" bestFit="1" customWidth="1"/>
    <col min="15427" max="15427" width="15" style="759" bestFit="1" customWidth="1"/>
    <col min="15428" max="15618" width="9.140625" style="759"/>
    <col min="15619" max="15619" width="11.7109375" style="759" bestFit="1" customWidth="1"/>
    <col min="15620" max="15620" width="10.42578125" style="759" bestFit="1" customWidth="1"/>
    <col min="15621" max="15622" width="9.140625" style="759"/>
    <col min="15623" max="15623" width="8.42578125" style="759" customWidth="1"/>
    <col min="15624" max="15624" width="7.5703125" style="759" customWidth="1"/>
    <col min="15625" max="15625" width="7.28515625" style="759" customWidth="1"/>
    <col min="15626" max="15627" width="8.28515625" style="759" customWidth="1"/>
    <col min="15628" max="15628" width="8.42578125" style="759" customWidth="1"/>
    <col min="15629" max="15629" width="7.5703125" style="759" customWidth="1"/>
    <col min="15630" max="15630" width="7.28515625" style="759" customWidth="1"/>
    <col min="15631" max="15632" width="7.42578125" style="759" bestFit="1" customWidth="1"/>
    <col min="15633" max="15633" width="7.5703125" style="759" bestFit="1" customWidth="1"/>
    <col min="15634" max="15641" width="7.5703125" style="759" customWidth="1"/>
    <col min="15642" max="15642" width="8.42578125" style="759" customWidth="1"/>
    <col min="15643" max="15649" width="7.5703125" style="759" customWidth="1"/>
    <col min="15650" max="15650" width="9.140625" style="759"/>
    <col min="15651" max="15653" width="9.140625" style="759" customWidth="1"/>
    <col min="15654" max="15654" width="18.42578125" style="759" customWidth="1"/>
    <col min="15655" max="15668" width="9.140625" style="759"/>
    <col min="15669" max="15669" width="9.7109375" style="759" bestFit="1" customWidth="1"/>
    <col min="15670" max="15670" width="9.140625" style="759"/>
    <col min="15671" max="15671" width="24.28515625" style="759" customWidth="1"/>
    <col min="15672" max="15672" width="15.42578125" style="759" bestFit="1" customWidth="1"/>
    <col min="15673" max="15673" width="13.85546875" style="759" bestFit="1" customWidth="1"/>
    <col min="15674" max="15675" width="16.5703125" style="759" bestFit="1" customWidth="1"/>
    <col min="15676" max="15677" width="5.7109375" style="759" bestFit="1" customWidth="1"/>
    <col min="15678" max="15678" width="13.140625" style="759" bestFit="1" customWidth="1"/>
    <col min="15679" max="15681" width="13.140625" style="759" customWidth="1"/>
    <col min="15682" max="15682" width="16" style="759" bestFit="1" customWidth="1"/>
    <col min="15683" max="15683" width="15" style="759" bestFit="1" customWidth="1"/>
    <col min="15684" max="15874" width="9.140625" style="759"/>
    <col min="15875" max="15875" width="11.7109375" style="759" bestFit="1" customWidth="1"/>
    <col min="15876" max="15876" width="10.42578125" style="759" bestFit="1" customWidth="1"/>
    <col min="15877" max="15878" width="9.140625" style="759"/>
    <col min="15879" max="15879" width="8.42578125" style="759" customWidth="1"/>
    <col min="15880" max="15880" width="7.5703125" style="759" customWidth="1"/>
    <col min="15881" max="15881" width="7.28515625" style="759" customWidth="1"/>
    <col min="15882" max="15883" width="8.28515625" style="759" customWidth="1"/>
    <col min="15884" max="15884" width="8.42578125" style="759" customWidth="1"/>
    <col min="15885" max="15885" width="7.5703125" style="759" customWidth="1"/>
    <col min="15886" max="15886" width="7.28515625" style="759" customWidth="1"/>
    <col min="15887" max="15888" width="7.42578125" style="759" bestFit="1" customWidth="1"/>
    <col min="15889" max="15889" width="7.5703125" style="759" bestFit="1" customWidth="1"/>
    <col min="15890" max="15897" width="7.5703125" style="759" customWidth="1"/>
    <col min="15898" max="15898" width="8.42578125" style="759" customWidth="1"/>
    <col min="15899" max="15905" width="7.5703125" style="759" customWidth="1"/>
    <col min="15906" max="15906" width="9.140625" style="759"/>
    <col min="15907" max="15909" width="9.140625" style="759" customWidth="1"/>
    <col min="15910" max="15910" width="18.42578125" style="759" customWidth="1"/>
    <col min="15911" max="15924" width="9.140625" style="759"/>
    <col min="15925" max="15925" width="9.7109375" style="759" bestFit="1" customWidth="1"/>
    <col min="15926" max="15926" width="9.140625" style="759"/>
    <col min="15927" max="15927" width="24.28515625" style="759" customWidth="1"/>
    <col min="15928" max="15928" width="15.42578125" style="759" bestFit="1" customWidth="1"/>
    <col min="15929" max="15929" width="13.85546875" style="759" bestFit="1" customWidth="1"/>
    <col min="15930" max="15931" width="16.5703125" style="759" bestFit="1" customWidth="1"/>
    <col min="15932" max="15933" width="5.7109375" style="759" bestFit="1" customWidth="1"/>
    <col min="15934" max="15934" width="13.140625" style="759" bestFit="1" customWidth="1"/>
    <col min="15935" max="15937" width="13.140625" style="759" customWidth="1"/>
    <col min="15938" max="15938" width="16" style="759" bestFit="1" customWidth="1"/>
    <col min="15939" max="15939" width="15" style="759" bestFit="1" customWidth="1"/>
    <col min="15940" max="16130" width="9.140625" style="759"/>
    <col min="16131" max="16131" width="11.7109375" style="759" bestFit="1" customWidth="1"/>
    <col min="16132" max="16132" width="10.42578125" style="759" bestFit="1" customWidth="1"/>
    <col min="16133" max="16134" width="9.140625" style="759"/>
    <col min="16135" max="16135" width="8.42578125" style="759" customWidth="1"/>
    <col min="16136" max="16136" width="7.5703125" style="759" customWidth="1"/>
    <col min="16137" max="16137" width="7.28515625" style="759" customWidth="1"/>
    <col min="16138" max="16139" width="8.28515625" style="759" customWidth="1"/>
    <col min="16140" max="16140" width="8.42578125" style="759" customWidth="1"/>
    <col min="16141" max="16141" width="7.5703125" style="759" customWidth="1"/>
    <col min="16142" max="16142" width="7.28515625" style="759" customWidth="1"/>
    <col min="16143" max="16144" width="7.42578125" style="759" bestFit="1" customWidth="1"/>
    <col min="16145" max="16145" width="7.5703125" style="759" bestFit="1" customWidth="1"/>
    <col min="16146" max="16153" width="7.5703125" style="759" customWidth="1"/>
    <col min="16154" max="16154" width="8.42578125" style="759" customWidth="1"/>
    <col min="16155" max="16161" width="7.5703125" style="759" customWidth="1"/>
    <col min="16162" max="16162" width="9.140625" style="759"/>
    <col min="16163" max="16165" width="9.140625" style="759" customWidth="1"/>
    <col min="16166" max="16166" width="18.42578125" style="759" customWidth="1"/>
    <col min="16167" max="16180" width="9.140625" style="759"/>
    <col min="16181" max="16181" width="9.7109375" style="759" bestFit="1" customWidth="1"/>
    <col min="16182" max="16182" width="9.140625" style="759"/>
    <col min="16183" max="16183" width="24.28515625" style="759" customWidth="1"/>
    <col min="16184" max="16184" width="15.42578125" style="759" bestFit="1" customWidth="1"/>
    <col min="16185" max="16185" width="13.85546875" style="759" bestFit="1" customWidth="1"/>
    <col min="16186" max="16187" width="16.5703125" style="759" bestFit="1" customWidth="1"/>
    <col min="16188" max="16189" width="5.7109375" style="759" bestFit="1" customWidth="1"/>
    <col min="16190" max="16190" width="13.140625" style="759" bestFit="1" customWidth="1"/>
    <col min="16191" max="16193" width="13.140625" style="759" customWidth="1"/>
    <col min="16194" max="16194" width="16" style="759" bestFit="1" customWidth="1"/>
    <col min="16195" max="16195" width="15" style="759" bestFit="1" customWidth="1"/>
    <col min="16196" max="16384" width="9.140625" style="759"/>
  </cols>
  <sheetData>
    <row r="2" spans="2:67" x14ac:dyDescent="0.25">
      <c r="AH2" s="759">
        <v>0.05</v>
      </c>
    </row>
    <row r="3" spans="2:67" x14ac:dyDescent="0.25">
      <c r="AH3" s="759">
        <v>0.15</v>
      </c>
    </row>
    <row r="4" spans="2:67" x14ac:dyDescent="0.25">
      <c r="AH4" s="759">
        <v>0.15</v>
      </c>
      <c r="BC4" s="761" t="s">
        <v>4268</v>
      </c>
    </row>
    <row r="5" spans="2:67" x14ac:dyDescent="0.25">
      <c r="BC5" s="761" t="s">
        <v>4269</v>
      </c>
    </row>
    <row r="6" spans="2:67" x14ac:dyDescent="0.25">
      <c r="BC6" s="761" t="s">
        <v>4270</v>
      </c>
    </row>
    <row r="7" spans="2:67" x14ac:dyDescent="0.25">
      <c r="AL7" s="761" t="s">
        <v>4271</v>
      </c>
      <c r="AV7" s="761"/>
      <c r="BC7" s="761" t="s">
        <v>4272</v>
      </c>
    </row>
    <row r="8" spans="2:67" ht="15.75" thickBot="1" x14ac:dyDescent="0.25">
      <c r="AI8" s="761" t="s">
        <v>4273</v>
      </c>
      <c r="AV8" s="761"/>
      <c r="BA8" s="762">
        <f>BA15</f>
        <v>20</v>
      </c>
      <c r="BD8" s="763">
        <v>6987120.7980000004</v>
      </c>
      <c r="BE8" s="763">
        <v>400583.79700000002</v>
      </c>
      <c r="BF8" s="764" t="s">
        <v>4274</v>
      </c>
      <c r="BG8" s="764" t="s">
        <v>4275</v>
      </c>
    </row>
    <row r="9" spans="2:67" ht="15.75" thickBot="1" x14ac:dyDescent="0.3">
      <c r="B9" s="1600" t="s">
        <v>4276</v>
      </c>
      <c r="C9" s="1601"/>
      <c r="D9" s="1601"/>
      <c r="E9" s="1601"/>
      <c r="F9" s="1601"/>
      <c r="G9" s="1601"/>
      <c r="H9" s="1601"/>
      <c r="I9" s="1601"/>
      <c r="J9" s="1601"/>
      <c r="K9" s="1601"/>
      <c r="L9" s="1601"/>
      <c r="M9" s="1601"/>
      <c r="N9" s="1601"/>
      <c r="O9" s="1601"/>
      <c r="P9" s="1601"/>
      <c r="Q9" s="1601"/>
      <c r="R9" s="1601"/>
      <c r="S9" s="1601"/>
      <c r="T9" s="1601"/>
      <c r="U9" s="1601"/>
      <c r="V9" s="1601"/>
      <c r="W9" s="1601"/>
      <c r="X9" s="1601"/>
      <c r="Y9" s="1601"/>
      <c r="Z9" s="1601"/>
      <c r="AA9" s="1602"/>
      <c r="AB9" s="765"/>
      <c r="AC9" s="765"/>
      <c r="AD9" s="765"/>
      <c r="AE9" s="765"/>
      <c r="AF9" s="765"/>
      <c r="AG9" s="765"/>
      <c r="AI9" s="761" t="s">
        <v>4277</v>
      </c>
      <c r="AV9" s="761"/>
      <c r="BC9" s="761" t="s">
        <v>4278</v>
      </c>
    </row>
    <row r="10" spans="2:67" ht="15.75" thickBot="1" x14ac:dyDescent="0.3">
      <c r="B10" s="766"/>
      <c r="C10" s="767"/>
      <c r="D10" s="767"/>
      <c r="E10" s="768"/>
      <c r="F10" s="768"/>
      <c r="G10" s="768"/>
      <c r="H10" s="768"/>
      <c r="I10" s="768"/>
      <c r="J10" s="768"/>
      <c r="K10" s="768"/>
      <c r="L10" s="768"/>
      <c r="M10" s="768"/>
      <c r="N10" s="768"/>
      <c r="O10" s="768"/>
      <c r="P10" s="768"/>
      <c r="Q10" s="768"/>
      <c r="R10" s="768"/>
      <c r="S10" s="768"/>
      <c r="T10" s="768"/>
      <c r="U10" s="768"/>
      <c r="V10" s="768"/>
      <c r="W10" s="768"/>
      <c r="X10" s="768"/>
      <c r="Y10" s="768"/>
      <c r="Z10" s="768"/>
      <c r="AA10" s="769"/>
      <c r="AB10" s="765"/>
      <c r="AC10" s="765"/>
      <c r="AD10" s="765"/>
      <c r="AE10" s="765"/>
      <c r="AF10" s="765"/>
      <c r="AG10" s="765"/>
      <c r="AV10" s="761"/>
      <c r="BC10" s="761"/>
    </row>
    <row r="11" spans="2:67" ht="15.75" customHeight="1" thickBot="1" x14ac:dyDescent="0.25">
      <c r="B11" s="1603" t="s">
        <v>4279</v>
      </c>
      <c r="C11" s="1604"/>
      <c r="D11" s="1605"/>
      <c r="E11" s="1606" t="s">
        <v>4280</v>
      </c>
      <c r="F11" s="1607"/>
      <c r="G11" s="1607"/>
      <c r="H11" s="1607"/>
      <c r="I11" s="1607"/>
      <c r="J11" s="1607"/>
      <c r="K11" s="1607"/>
      <c r="L11" s="1607"/>
      <c r="M11" s="1607"/>
      <c r="N11" s="1608"/>
      <c r="O11" s="1609" t="s">
        <v>4281</v>
      </c>
      <c r="P11" s="1610"/>
      <c r="Q11" s="1611"/>
      <c r="R11" s="1609" t="s">
        <v>4282</v>
      </c>
      <c r="S11" s="1610"/>
      <c r="T11" s="1610"/>
      <c r="U11" s="1610"/>
      <c r="V11" s="1610"/>
      <c r="W11" s="1610"/>
      <c r="X11" s="1610"/>
      <c r="Y11" s="1610"/>
      <c r="Z11" s="1610"/>
      <c r="AA11" s="1611"/>
      <c r="AB11" s="770"/>
      <c r="AC11" s="770"/>
      <c r="AD11" s="770"/>
      <c r="AE11" s="770"/>
      <c r="AF11" s="770"/>
      <c r="AG11" s="770"/>
      <c r="AH11" s="771">
        <f>SUM(AH2:AH4)</f>
        <v>0.35</v>
      </c>
      <c r="AI11" s="1583" t="s">
        <v>4283</v>
      </c>
      <c r="AJ11" s="1584"/>
      <c r="AK11" s="1585"/>
      <c r="AL11" s="1583" t="s">
        <v>4284</v>
      </c>
      <c r="AM11" s="1584"/>
      <c r="AN11" s="1584"/>
      <c r="AO11" s="1584"/>
      <c r="AP11" s="1584"/>
      <c r="AQ11" s="1585"/>
      <c r="AR11" s="1584" t="s">
        <v>4285</v>
      </c>
      <c r="AS11" s="1584"/>
      <c r="AT11" s="1584"/>
      <c r="AV11" s="1579" t="s">
        <v>4283</v>
      </c>
      <c r="AW11" s="1580"/>
      <c r="AX11" s="1580" t="s">
        <v>4285</v>
      </c>
      <c r="AY11" s="1580"/>
      <c r="BD11" s="763" t="e">
        <f>BD10+(BA11-BA10)*(BD12-BD10)/(BA12-BA10)</f>
        <v>#DIV/0!</v>
      </c>
      <c r="BE11" s="763" t="e">
        <f>BE10+(BA11-BA10)*(BE12-BE10)/(BA12-BA10)</f>
        <v>#DIV/0!</v>
      </c>
      <c r="BF11" s="764" t="s">
        <v>4286</v>
      </c>
    </row>
    <row r="12" spans="2:67" ht="15.75" customHeight="1" x14ac:dyDescent="0.2">
      <c r="B12" s="1590" t="s">
        <v>2799</v>
      </c>
      <c r="C12" s="1592" t="s">
        <v>4287</v>
      </c>
      <c r="D12" s="1593"/>
      <c r="E12" s="1594" t="s">
        <v>4288</v>
      </c>
      <c r="F12" s="1595"/>
      <c r="G12" s="1596" t="s">
        <v>4289</v>
      </c>
      <c r="H12" s="1595"/>
      <c r="I12" s="1597"/>
      <c r="J12" s="1596" t="s">
        <v>4290</v>
      </c>
      <c r="K12" s="1597"/>
      <c r="L12" s="1596" t="s">
        <v>4291</v>
      </c>
      <c r="M12" s="1595"/>
      <c r="N12" s="1598"/>
      <c r="O12" s="1594" t="s">
        <v>4292</v>
      </c>
      <c r="P12" s="1595"/>
      <c r="Q12" s="1598"/>
      <c r="R12" s="1599" t="s">
        <v>4291</v>
      </c>
      <c r="S12" s="1586"/>
      <c r="T12" s="1586"/>
      <c r="U12" s="1586" t="s">
        <v>4290</v>
      </c>
      <c r="V12" s="1586"/>
      <c r="W12" s="1586" t="s">
        <v>4289</v>
      </c>
      <c r="X12" s="1586"/>
      <c r="Y12" s="1586"/>
      <c r="Z12" s="1586" t="s">
        <v>4288</v>
      </c>
      <c r="AA12" s="1587"/>
      <c r="AB12" s="1588" t="str">
        <f>E11</f>
        <v>LADO ESQUERDO</v>
      </c>
      <c r="AC12" s="1589"/>
      <c r="AD12" s="772"/>
      <c r="AE12" s="1588" t="str">
        <f>R11</f>
        <v>LADO DIREITO</v>
      </c>
      <c r="AF12" s="1589"/>
      <c r="AG12" s="772"/>
      <c r="AH12" s="773">
        <v>4.5</v>
      </c>
      <c r="AI12" s="1583" t="s">
        <v>4293</v>
      </c>
      <c r="AJ12" s="1584"/>
      <c r="AK12" s="1585"/>
      <c r="AL12" s="1581" t="s">
        <v>4294</v>
      </c>
      <c r="AM12" s="1581" t="s">
        <v>4295</v>
      </c>
      <c r="AN12" s="1581" t="s">
        <v>4296</v>
      </c>
      <c r="AO12" s="1581" t="s">
        <v>4297</v>
      </c>
      <c r="AP12" s="1581" t="s">
        <v>4298</v>
      </c>
      <c r="AQ12" s="1581" t="s">
        <v>4299</v>
      </c>
      <c r="AR12" s="1583" t="s">
        <v>4293</v>
      </c>
      <c r="AS12" s="1584"/>
      <c r="AT12" s="1585"/>
      <c r="AV12" s="1579" t="s">
        <v>4288</v>
      </c>
      <c r="AW12" s="1580"/>
      <c r="AX12" s="1579" t="s">
        <v>4288</v>
      </c>
      <c r="AY12" s="1580"/>
    </row>
    <row r="13" spans="2:67" ht="23.25" thickBot="1" x14ac:dyDescent="0.25">
      <c r="B13" s="1591"/>
      <c r="C13" s="774" t="s">
        <v>4300</v>
      </c>
      <c r="D13" s="775" t="s">
        <v>4301</v>
      </c>
      <c r="E13" s="776" t="s">
        <v>4302</v>
      </c>
      <c r="F13" s="777" t="s">
        <v>4303</v>
      </c>
      <c r="G13" s="777" t="s">
        <v>4302</v>
      </c>
      <c r="H13" s="777" t="s">
        <v>4303</v>
      </c>
      <c r="I13" s="777" t="s">
        <v>4304</v>
      </c>
      <c r="J13" s="777" t="s">
        <v>4302</v>
      </c>
      <c r="K13" s="777" t="s">
        <v>4303</v>
      </c>
      <c r="L13" s="777" t="s">
        <v>4302</v>
      </c>
      <c r="M13" s="777" t="s">
        <v>4303</v>
      </c>
      <c r="N13" s="778" t="s">
        <v>4304</v>
      </c>
      <c r="O13" s="776" t="s">
        <v>4305</v>
      </c>
      <c r="P13" s="777" t="s">
        <v>4306</v>
      </c>
      <c r="Q13" s="778" t="s">
        <v>4307</v>
      </c>
      <c r="R13" s="779" t="s">
        <v>4304</v>
      </c>
      <c r="S13" s="780" t="s">
        <v>4303</v>
      </c>
      <c r="T13" s="780" t="s">
        <v>4302</v>
      </c>
      <c r="U13" s="780" t="s">
        <v>4303</v>
      </c>
      <c r="V13" s="780" t="s">
        <v>4302</v>
      </c>
      <c r="W13" s="780" t="s">
        <v>4304</v>
      </c>
      <c r="X13" s="780" t="s">
        <v>4303</v>
      </c>
      <c r="Y13" s="780" t="s">
        <v>4302</v>
      </c>
      <c r="Z13" s="780" t="s">
        <v>4303</v>
      </c>
      <c r="AA13" s="781" t="s">
        <v>4302</v>
      </c>
      <c r="AB13" s="772"/>
      <c r="AC13" s="772"/>
      <c r="AD13" s="772"/>
      <c r="AE13" s="772"/>
      <c r="AF13" s="772"/>
      <c r="AG13" s="772"/>
      <c r="AH13" s="773">
        <v>1.5</v>
      </c>
      <c r="AI13" s="782" t="s">
        <v>4302</v>
      </c>
      <c r="AJ13" s="782" t="s">
        <v>4303</v>
      </c>
      <c r="AK13" s="782" t="s">
        <v>4304</v>
      </c>
      <c r="AL13" s="1582"/>
      <c r="AM13" s="1582"/>
      <c r="AN13" s="1582"/>
      <c r="AO13" s="1582"/>
      <c r="AP13" s="1582"/>
      <c r="AQ13" s="1582"/>
      <c r="AR13" s="782" t="s">
        <v>4302</v>
      </c>
      <c r="AS13" s="782" t="s">
        <v>4303</v>
      </c>
      <c r="AT13" s="782" t="s">
        <v>4304</v>
      </c>
      <c r="AV13" s="783" t="s">
        <v>4302</v>
      </c>
      <c r="AW13" s="783" t="s">
        <v>4303</v>
      </c>
      <c r="AX13" s="783" t="s">
        <v>4302</v>
      </c>
      <c r="AY13" s="783" t="s">
        <v>4303</v>
      </c>
      <c r="BC13" s="784" t="s">
        <v>4294</v>
      </c>
      <c r="BD13" s="784" t="s">
        <v>4300</v>
      </c>
      <c r="BE13" s="784" t="s">
        <v>4308</v>
      </c>
      <c r="BF13" s="784" t="s">
        <v>4309</v>
      </c>
    </row>
    <row r="14" spans="2:67" ht="15.75" x14ac:dyDescent="0.3">
      <c r="B14" s="785">
        <f t="shared" ref="B14:B17" si="0">AL14*20+AM14</f>
        <v>0</v>
      </c>
      <c r="C14" s="786">
        <f>BD14</f>
        <v>6980863.9019999998</v>
      </c>
      <c r="D14" s="787">
        <f>BE14</f>
        <v>365183.11</v>
      </c>
      <c r="E14" s="788">
        <f t="shared" ref="E14:F17" si="1">IF(AV14="","",AV14)</f>
        <v>0</v>
      </c>
      <c r="F14" s="789">
        <f t="shared" si="1"/>
        <v>0</v>
      </c>
      <c r="G14" s="790">
        <f t="shared" ref="G14:G17" si="2">IF(AC14="","",-AB14-AC14)</f>
        <v>-5.15</v>
      </c>
      <c r="H14" s="789">
        <f t="shared" ref="H14:H17" si="3">IF(G14="","",K14+(I14/100)*ABS(G14-J14))</f>
        <v>446.25</v>
      </c>
      <c r="I14" s="791">
        <f t="shared" ref="I14:I17" si="4">IF(G14="","",1)</f>
        <v>1</v>
      </c>
      <c r="J14" s="790">
        <f t="shared" ref="J14:J17" si="5">IF(AC14="","",L14-AD14)</f>
        <v>-4.2</v>
      </c>
      <c r="K14" s="790">
        <f t="shared" ref="K14:K17" si="6">IF(J14="","",M14+$AH$11+0.15-0.1)</f>
        <v>446.24</v>
      </c>
      <c r="L14" s="789">
        <f t="shared" ref="L14:L17" si="7">-AB14-AD14</f>
        <v>-3.85</v>
      </c>
      <c r="M14" s="789">
        <f t="shared" ref="M14:M17" si="8">O14+(N14/100)*ABS(L14)</f>
        <v>445.83600000000001</v>
      </c>
      <c r="N14" s="789">
        <v>-2</v>
      </c>
      <c r="O14" s="788">
        <f t="shared" ref="O14:O17" si="9">AO14-$AH$11</f>
        <v>445.91300000000001</v>
      </c>
      <c r="P14" s="789">
        <f t="shared" ref="P14:P17" si="10">AP14</f>
        <v>446.11</v>
      </c>
      <c r="Q14" s="792">
        <f t="shared" ref="Q14:Q17" si="11">O14-P14</f>
        <v>-0.19700000000000001</v>
      </c>
      <c r="R14" s="789">
        <v>-2</v>
      </c>
      <c r="S14" s="789">
        <f t="shared" ref="S14:S17" si="12">O14+(R14/100)*T14</f>
        <v>445.83600000000001</v>
      </c>
      <c r="T14" s="789">
        <f t="shared" ref="T14:T17" si="13">AE14+AG14</f>
        <v>3.85</v>
      </c>
      <c r="U14" s="790">
        <f t="shared" ref="U14:U17" si="14">IF(V14="","",S14+$AH$11+0.15-0.1)</f>
        <v>446.24</v>
      </c>
      <c r="V14" s="786">
        <f t="shared" ref="V14:V17" si="15">IF(AF14="","",T14+AG14)</f>
        <v>4.2</v>
      </c>
      <c r="W14" s="791">
        <f t="shared" ref="W14:W17" si="16">IF(Y14="","",1)</f>
        <v>1</v>
      </c>
      <c r="X14" s="789">
        <f t="shared" ref="X14:X17" si="17">IF(Y14="","",U14+W14/100*(Y14-V14))</f>
        <v>446.25</v>
      </c>
      <c r="Y14" s="791">
        <f t="shared" ref="Y14:Y17" si="18">IF(AF14="","",AE14+AF14)</f>
        <v>5.15</v>
      </c>
      <c r="Z14" s="789">
        <f t="shared" ref="Z14:Z17" si="19">IF(AY14="","",AY14)</f>
        <v>0</v>
      </c>
      <c r="AA14" s="792">
        <f t="shared" ref="AA14:AA17" si="20">IF(AX14="","",AX14)</f>
        <v>0</v>
      </c>
      <c r="AB14" s="793">
        <v>3.5</v>
      </c>
      <c r="AC14" s="794">
        <v>1.65</v>
      </c>
      <c r="AD14" s="795">
        <f t="shared" ref="AD14:AD100" si="21">$AH$11</f>
        <v>0.35</v>
      </c>
      <c r="AE14" s="793">
        <f>AB14</f>
        <v>3.5</v>
      </c>
      <c r="AF14" s="794">
        <f>AC14</f>
        <v>1.65</v>
      </c>
      <c r="AG14" s="795">
        <f t="shared" ref="AG14:AG100" si="22">$AH$11</f>
        <v>0.35</v>
      </c>
      <c r="AH14" s="773"/>
      <c r="AI14" s="796"/>
      <c r="AJ14" s="796"/>
      <c r="AK14" s="796"/>
      <c r="AL14" s="796">
        <v>0</v>
      </c>
      <c r="AM14" s="797">
        <v>0</v>
      </c>
      <c r="AN14" s="796"/>
      <c r="AO14" s="796">
        <v>446.26299999999998</v>
      </c>
      <c r="AP14" s="796">
        <v>446.11</v>
      </c>
      <c r="AQ14" s="796">
        <f>AO14-AP14</f>
        <v>0.152999999999963</v>
      </c>
      <c r="AR14" s="797"/>
      <c r="AS14" s="797"/>
      <c r="AT14" s="797"/>
      <c r="AV14" s="797">
        <v>0</v>
      </c>
      <c r="AW14" s="797">
        <v>0</v>
      </c>
      <c r="AX14" s="797">
        <v>0</v>
      </c>
      <c r="AY14" s="797">
        <v>0</v>
      </c>
      <c r="BA14" s="762">
        <f t="shared" ref="BA14:BA17" si="23">B14</f>
        <v>0</v>
      </c>
      <c r="BC14" s="798">
        <f t="shared" ref="BC14:BC17" si="24">BA14</f>
        <v>0</v>
      </c>
      <c r="BD14" s="799">
        <f>VLOOKUP($BC14,$BM$14:$BO$100,2)</f>
        <v>6980863.9019999998</v>
      </c>
      <c r="BE14" s="799">
        <f>VLOOKUP($BC14,$BM$14:$BO$100,3)</f>
        <v>365183.11</v>
      </c>
      <c r="BF14" s="800"/>
      <c r="BJ14" s="801">
        <v>0</v>
      </c>
      <c r="BK14" s="802"/>
      <c r="BL14" s="802"/>
      <c r="BM14" s="803">
        <f>BJ14*20+BK14</f>
        <v>0</v>
      </c>
      <c r="BN14" s="804">
        <v>6980863.9018400004</v>
      </c>
      <c r="BO14" s="805">
        <v>365183.11037000001</v>
      </c>
    </row>
    <row r="15" spans="2:67" ht="15.75" x14ac:dyDescent="0.3">
      <c r="B15" s="806">
        <f t="shared" si="0"/>
        <v>20</v>
      </c>
      <c r="C15" s="807">
        <f t="shared" ref="C15:D17" si="25">BD15</f>
        <v>6980846.4369999999</v>
      </c>
      <c r="D15" s="808">
        <f t="shared" si="25"/>
        <v>365173.37</v>
      </c>
      <c r="E15" s="809">
        <f t="shared" si="1"/>
        <v>-5.7210000000000001</v>
      </c>
      <c r="F15" s="810">
        <f t="shared" si="1"/>
        <v>445.71199999999999</v>
      </c>
      <c r="G15" s="811">
        <f t="shared" si="2"/>
        <v>-5.15</v>
      </c>
      <c r="H15" s="810">
        <f t="shared" si="3"/>
        <v>446.09</v>
      </c>
      <c r="I15" s="812">
        <f t="shared" si="4"/>
        <v>1</v>
      </c>
      <c r="J15" s="811">
        <f t="shared" si="5"/>
        <v>-4.2</v>
      </c>
      <c r="K15" s="811">
        <f t="shared" si="6"/>
        <v>446.08</v>
      </c>
      <c r="L15" s="810">
        <f t="shared" si="7"/>
        <v>-3.85</v>
      </c>
      <c r="M15" s="810">
        <f t="shared" si="8"/>
        <v>445.68299999999999</v>
      </c>
      <c r="N15" s="810">
        <v>1.4</v>
      </c>
      <c r="O15" s="809">
        <f t="shared" si="9"/>
        <v>445.62900000000002</v>
      </c>
      <c r="P15" s="810">
        <f t="shared" si="10"/>
        <v>445.53</v>
      </c>
      <c r="Q15" s="813">
        <f t="shared" si="11"/>
        <v>9.9000000000000005E-2</v>
      </c>
      <c r="R15" s="810">
        <v>-2</v>
      </c>
      <c r="S15" s="810">
        <f t="shared" si="12"/>
        <v>445.55200000000002</v>
      </c>
      <c r="T15" s="810">
        <f t="shared" si="13"/>
        <v>3.85</v>
      </c>
      <c r="U15" s="811">
        <f t="shared" si="14"/>
        <v>445.95</v>
      </c>
      <c r="V15" s="807">
        <f t="shared" si="15"/>
        <v>4.2</v>
      </c>
      <c r="W15" s="812">
        <f t="shared" si="16"/>
        <v>1</v>
      </c>
      <c r="X15" s="810">
        <f t="shared" si="17"/>
        <v>445.96</v>
      </c>
      <c r="Y15" s="812">
        <f t="shared" si="18"/>
        <v>5.15</v>
      </c>
      <c r="Z15" s="810">
        <f t="shared" si="19"/>
        <v>448.13400000000001</v>
      </c>
      <c r="AA15" s="813">
        <f t="shared" si="20"/>
        <v>6.577</v>
      </c>
      <c r="AB15" s="793">
        <f>AB14</f>
        <v>3.5</v>
      </c>
      <c r="AC15" s="794">
        <f>AC14</f>
        <v>1.65</v>
      </c>
      <c r="AD15" s="795">
        <f t="shared" si="21"/>
        <v>0.35</v>
      </c>
      <c r="AE15" s="793">
        <f>AE14</f>
        <v>3.5</v>
      </c>
      <c r="AF15" s="794">
        <f>AF14</f>
        <v>1.65</v>
      </c>
      <c r="AG15" s="795">
        <f t="shared" si="22"/>
        <v>0.35</v>
      </c>
      <c r="AH15" s="773"/>
      <c r="AI15" s="796"/>
      <c r="AJ15" s="796"/>
      <c r="AK15" s="796"/>
      <c r="AL15" s="796">
        <v>1</v>
      </c>
      <c r="AM15" s="797">
        <v>0</v>
      </c>
      <c r="AN15" s="796" t="s">
        <v>4310</v>
      </c>
      <c r="AO15" s="796">
        <v>445.97899999999998</v>
      </c>
      <c r="AP15" s="796">
        <v>445.53</v>
      </c>
      <c r="AQ15" s="796">
        <f t="shared" ref="AQ15:AQ78" si="26">AO15-AP15</f>
        <v>0.449000000000012</v>
      </c>
      <c r="AR15" s="796"/>
      <c r="AS15" s="796"/>
      <c r="AT15" s="796"/>
      <c r="AV15" s="797">
        <v>-5.7210000000000001</v>
      </c>
      <c r="AW15" s="797">
        <v>445.71199999999999</v>
      </c>
      <c r="AX15" s="797">
        <v>6.577</v>
      </c>
      <c r="AY15" s="797">
        <v>448.13400000000001</v>
      </c>
      <c r="BA15" s="762">
        <f t="shared" si="23"/>
        <v>20</v>
      </c>
      <c r="BC15" s="798">
        <f t="shared" si="24"/>
        <v>20</v>
      </c>
      <c r="BD15" s="799">
        <f t="shared" ref="BD15:BD78" si="27">VLOOKUP($BC15,$BM$14:$BO$100,2)</f>
        <v>6980846.4369999999</v>
      </c>
      <c r="BE15" s="799">
        <f t="shared" ref="BE15:BE78" si="28">VLOOKUP($BC15,$BM$14:$BO$100,3)</f>
        <v>365173.36499999999</v>
      </c>
      <c r="BF15" s="764" t="s">
        <v>4286</v>
      </c>
      <c r="BJ15" s="801">
        <v>1</v>
      </c>
      <c r="BK15" s="802"/>
      <c r="BL15" s="802"/>
      <c r="BM15" s="803">
        <f t="shared" ref="BM15:BM78" si="29">BJ15*20+BK15</f>
        <v>20</v>
      </c>
      <c r="BN15" s="804">
        <v>6980846.4369692001</v>
      </c>
      <c r="BO15" s="805">
        <v>365173.36468950001</v>
      </c>
    </row>
    <row r="16" spans="2:67" ht="15.75" x14ac:dyDescent="0.3">
      <c r="B16" s="814">
        <f t="shared" si="0"/>
        <v>40</v>
      </c>
      <c r="C16" s="815">
        <f t="shared" si="25"/>
        <v>6980829.5599999996</v>
      </c>
      <c r="D16" s="816">
        <f t="shared" si="25"/>
        <v>365162.69</v>
      </c>
      <c r="E16" s="817">
        <f t="shared" si="1"/>
        <v>-5.6769999999999996</v>
      </c>
      <c r="F16" s="818">
        <f t="shared" si="1"/>
        <v>445.60500000000002</v>
      </c>
      <c r="G16" s="819">
        <f t="shared" si="2"/>
        <v>-5.15</v>
      </c>
      <c r="H16" s="818">
        <f t="shared" si="3"/>
        <v>445.98</v>
      </c>
      <c r="I16" s="820">
        <f t="shared" si="4"/>
        <v>1</v>
      </c>
      <c r="J16" s="819">
        <f t="shared" si="5"/>
        <v>-4.2</v>
      </c>
      <c r="K16" s="819">
        <f t="shared" si="6"/>
        <v>445.97</v>
      </c>
      <c r="L16" s="818">
        <f t="shared" si="7"/>
        <v>-3.85</v>
      </c>
      <c r="M16" s="818">
        <f t="shared" si="8"/>
        <v>445.565</v>
      </c>
      <c r="N16" s="818">
        <v>6.99</v>
      </c>
      <c r="O16" s="817">
        <f t="shared" si="9"/>
        <v>445.29599999999999</v>
      </c>
      <c r="P16" s="818">
        <f t="shared" si="10"/>
        <v>445.14499999999998</v>
      </c>
      <c r="Q16" s="821">
        <f t="shared" si="11"/>
        <v>0.151</v>
      </c>
      <c r="R16" s="818">
        <v>-1.99</v>
      </c>
      <c r="S16" s="818">
        <f t="shared" si="12"/>
        <v>445.21899999999999</v>
      </c>
      <c r="T16" s="818">
        <f t="shared" si="13"/>
        <v>3.85</v>
      </c>
      <c r="U16" s="819">
        <f t="shared" si="14"/>
        <v>445.62</v>
      </c>
      <c r="V16" s="815">
        <f t="shared" si="15"/>
        <v>4.2</v>
      </c>
      <c r="W16" s="820">
        <f t="shared" si="16"/>
        <v>1</v>
      </c>
      <c r="X16" s="818">
        <f t="shared" si="17"/>
        <v>445.63</v>
      </c>
      <c r="Y16" s="820">
        <f t="shared" si="18"/>
        <v>5.15</v>
      </c>
      <c r="Z16" s="818">
        <f t="shared" si="19"/>
        <v>446.38200000000001</v>
      </c>
      <c r="AA16" s="821">
        <f t="shared" si="20"/>
        <v>5.7539999999999996</v>
      </c>
      <c r="AB16" s="793">
        <f t="shared" ref="AB16:AB79" si="30">AB15</f>
        <v>3.5</v>
      </c>
      <c r="AC16" s="794">
        <f t="shared" ref="AC16:AC79" si="31">AC15</f>
        <v>1.65</v>
      </c>
      <c r="AD16" s="795">
        <f t="shared" si="21"/>
        <v>0.35</v>
      </c>
      <c r="AE16" s="793">
        <f t="shared" ref="AE16:AE79" si="32">AE15</f>
        <v>3.5</v>
      </c>
      <c r="AF16" s="794">
        <f t="shared" ref="AF16:AF79" si="33">AF15</f>
        <v>1.65</v>
      </c>
      <c r="AG16" s="795">
        <f t="shared" si="22"/>
        <v>0.35</v>
      </c>
      <c r="AH16" s="773"/>
      <c r="AI16" s="796"/>
      <c r="AJ16" s="796"/>
      <c r="AK16" s="796"/>
      <c r="AL16" s="796">
        <v>2</v>
      </c>
      <c r="AM16" s="797">
        <v>0</v>
      </c>
      <c r="AN16" s="796"/>
      <c r="AO16" s="796">
        <v>445.64600000000002</v>
      </c>
      <c r="AP16" s="796">
        <v>445.14499999999998</v>
      </c>
      <c r="AQ16" s="796">
        <f t="shared" si="26"/>
        <v>0.50100000000003297</v>
      </c>
      <c r="AR16" s="796"/>
      <c r="AS16" s="796"/>
      <c r="AT16" s="796"/>
      <c r="AV16" s="797">
        <v>-5.6769999999999996</v>
      </c>
      <c r="AW16" s="797">
        <v>445.60500000000002</v>
      </c>
      <c r="AX16" s="797">
        <v>5.7539999999999996</v>
      </c>
      <c r="AY16" s="797">
        <v>446.38200000000001</v>
      </c>
      <c r="BA16" s="762">
        <f t="shared" si="23"/>
        <v>40</v>
      </c>
      <c r="BC16" s="798">
        <f t="shared" si="24"/>
        <v>40</v>
      </c>
      <c r="BD16" s="799">
        <f t="shared" si="27"/>
        <v>6980829.5599999996</v>
      </c>
      <c r="BE16" s="799">
        <f t="shared" si="28"/>
        <v>365162.69400000002</v>
      </c>
      <c r="BF16" s="800"/>
      <c r="BJ16" s="801">
        <v>2</v>
      </c>
      <c r="BK16" s="802"/>
      <c r="BL16" s="802"/>
      <c r="BM16" s="803">
        <f t="shared" si="29"/>
        <v>40</v>
      </c>
      <c r="BN16" s="804">
        <v>6980829.5596476002</v>
      </c>
      <c r="BO16" s="805">
        <v>365162.69417169999</v>
      </c>
    </row>
    <row r="17" spans="2:67" ht="15.75" x14ac:dyDescent="0.3">
      <c r="B17" s="806">
        <f t="shared" si="0"/>
        <v>60</v>
      </c>
      <c r="C17" s="822">
        <f t="shared" si="25"/>
        <v>6980815.591</v>
      </c>
      <c r="D17" s="823">
        <f t="shared" si="25"/>
        <v>365148.43</v>
      </c>
      <c r="E17" s="824">
        <f t="shared" si="1"/>
        <v>-5.2110000000000003</v>
      </c>
      <c r="F17" s="793">
        <f t="shared" si="1"/>
        <v>444.82</v>
      </c>
      <c r="G17" s="825">
        <f t="shared" si="2"/>
        <v>-5.15</v>
      </c>
      <c r="H17" s="793">
        <f t="shared" si="3"/>
        <v>444.87</v>
      </c>
      <c r="I17" s="826">
        <f t="shared" si="4"/>
        <v>1</v>
      </c>
      <c r="J17" s="825">
        <f t="shared" si="5"/>
        <v>-4.2</v>
      </c>
      <c r="K17" s="825">
        <f t="shared" si="6"/>
        <v>444.86</v>
      </c>
      <c r="L17" s="793">
        <f t="shared" si="7"/>
        <v>-3.85</v>
      </c>
      <c r="M17" s="793">
        <f t="shared" si="8"/>
        <v>444.45800000000003</v>
      </c>
      <c r="N17" s="793">
        <v>3.19</v>
      </c>
      <c r="O17" s="824">
        <f t="shared" si="9"/>
        <v>444.33499999999998</v>
      </c>
      <c r="P17" s="793">
        <f t="shared" si="10"/>
        <v>444.32400000000001</v>
      </c>
      <c r="Q17" s="794">
        <f t="shared" si="11"/>
        <v>1.0999999999999999E-2</v>
      </c>
      <c r="R17" s="793">
        <v>0.47</v>
      </c>
      <c r="S17" s="793">
        <f t="shared" si="12"/>
        <v>444.35300000000001</v>
      </c>
      <c r="T17" s="793">
        <f t="shared" si="13"/>
        <v>3.85</v>
      </c>
      <c r="U17" s="825">
        <f t="shared" si="14"/>
        <v>444.75</v>
      </c>
      <c r="V17" s="822">
        <f t="shared" si="15"/>
        <v>4.2</v>
      </c>
      <c r="W17" s="826">
        <f t="shared" si="16"/>
        <v>1</v>
      </c>
      <c r="X17" s="793">
        <f t="shared" si="17"/>
        <v>444.76</v>
      </c>
      <c r="Y17" s="826">
        <f t="shared" si="18"/>
        <v>5.15</v>
      </c>
      <c r="Z17" s="793">
        <f t="shared" si="19"/>
        <v>447.49299999999999</v>
      </c>
      <c r="AA17" s="794">
        <f t="shared" si="20"/>
        <v>7.0339999999999998</v>
      </c>
      <c r="AB17" s="793">
        <f t="shared" si="30"/>
        <v>3.5</v>
      </c>
      <c r="AC17" s="794">
        <f t="shared" si="31"/>
        <v>1.65</v>
      </c>
      <c r="AD17" s="795">
        <f t="shared" si="21"/>
        <v>0.35</v>
      </c>
      <c r="AE17" s="793">
        <f t="shared" si="32"/>
        <v>3.5</v>
      </c>
      <c r="AF17" s="794">
        <f t="shared" si="33"/>
        <v>1.65</v>
      </c>
      <c r="AG17" s="795">
        <f t="shared" si="22"/>
        <v>0.35</v>
      </c>
      <c r="AH17" s="773"/>
      <c r="AI17" s="796"/>
      <c r="AJ17" s="796"/>
      <c r="AK17" s="796"/>
      <c r="AL17" s="796">
        <v>3</v>
      </c>
      <c r="AM17" s="797">
        <v>0</v>
      </c>
      <c r="AN17" s="796" t="s">
        <v>4311</v>
      </c>
      <c r="AO17" s="796">
        <v>444.685</v>
      </c>
      <c r="AP17" s="796">
        <v>444.32400000000001</v>
      </c>
      <c r="AQ17" s="796">
        <f t="shared" si="26"/>
        <v>0.36099999999999</v>
      </c>
      <c r="AR17" s="796"/>
      <c r="AS17" s="796"/>
      <c r="AT17" s="796"/>
      <c r="AV17" s="797">
        <v>-5.2110000000000003</v>
      </c>
      <c r="AW17" s="797">
        <v>444.82</v>
      </c>
      <c r="AX17" s="797">
        <v>7.0339999999999998</v>
      </c>
      <c r="AY17" s="797">
        <v>447.49299999999999</v>
      </c>
      <c r="BA17" s="762">
        <f t="shared" si="23"/>
        <v>60</v>
      </c>
      <c r="BC17" s="798">
        <f t="shared" si="24"/>
        <v>60</v>
      </c>
      <c r="BD17" s="799">
        <f t="shared" si="27"/>
        <v>6980815.591</v>
      </c>
      <c r="BE17" s="799">
        <f t="shared" si="28"/>
        <v>365148.42599999998</v>
      </c>
      <c r="BF17" s="764" t="s">
        <v>4286</v>
      </c>
      <c r="BJ17" s="801">
        <v>3</v>
      </c>
      <c r="BK17" s="802"/>
      <c r="BL17" s="802"/>
      <c r="BM17" s="803">
        <f t="shared" si="29"/>
        <v>60</v>
      </c>
      <c r="BN17" s="804">
        <v>6980815.5910101999</v>
      </c>
      <c r="BO17" s="805">
        <v>365148.42574620002</v>
      </c>
    </row>
    <row r="18" spans="2:67" ht="15.75" x14ac:dyDescent="0.3">
      <c r="B18" s="806">
        <f t="shared" ref="B18:B81" si="34">AL18*20+AM18</f>
        <v>80</v>
      </c>
      <c r="C18" s="822">
        <f t="shared" ref="C18:C81" si="35">BD18</f>
        <v>6980801.71</v>
      </c>
      <c r="D18" s="823">
        <f t="shared" ref="D18:D81" si="36">BE18</f>
        <v>365134.07</v>
      </c>
      <c r="E18" s="824">
        <f t="shared" ref="E18:E81" si="37">IF(AV18="","",AV18)</f>
        <v>-5.3070000000000004</v>
      </c>
      <c r="F18" s="793">
        <f t="shared" ref="F18:F81" si="38">IF(AW18="","",AW18)</f>
        <v>442.92599999999999</v>
      </c>
      <c r="G18" s="825">
        <f t="shared" ref="G18:G81" si="39">IF(AC18="","",-AB18-AC18)</f>
        <v>-5.15</v>
      </c>
      <c r="H18" s="793">
        <f t="shared" ref="H18:H81" si="40">IF(G18="","",K18+(I18/100)*ABS(G18-J18))</f>
        <v>443.01</v>
      </c>
      <c r="I18" s="826">
        <f t="shared" ref="I18:I81" si="41">IF(G18="","",1)</f>
        <v>1</v>
      </c>
      <c r="J18" s="825">
        <f t="shared" ref="J18:J81" si="42">IF(AC18="","",L18-AD18)</f>
        <v>-4.2</v>
      </c>
      <c r="K18" s="825">
        <f t="shared" ref="K18:K81" si="43">IF(J18="","",M18+$AH$11+0.15-0.1)</f>
        <v>443</v>
      </c>
      <c r="L18" s="793">
        <f t="shared" ref="L18:L81" si="44">-AB18-AD18</f>
        <v>-3.85</v>
      </c>
      <c r="M18" s="793">
        <f t="shared" ref="M18:M81" si="45">O18+(N18/100)*ABS(L18)</f>
        <v>442.60300000000001</v>
      </c>
      <c r="N18" s="793">
        <v>-3.61</v>
      </c>
      <c r="O18" s="824">
        <f t="shared" ref="O18:O81" si="46">AO18-$AH$11</f>
        <v>442.74200000000002</v>
      </c>
      <c r="P18" s="793">
        <f t="shared" ref="P18:P81" si="47">AP18</f>
        <v>442.714</v>
      </c>
      <c r="Q18" s="794">
        <f t="shared" ref="Q18:Q81" si="48">O18-P18</f>
        <v>2.8000000000000001E-2</v>
      </c>
      <c r="R18" s="793">
        <v>4.87</v>
      </c>
      <c r="S18" s="793">
        <f t="shared" ref="S18:S81" si="49">O18+(R18/100)*T18</f>
        <v>442.92899999999997</v>
      </c>
      <c r="T18" s="793">
        <f t="shared" ref="T18:T81" si="50">AE18+AG18</f>
        <v>3.85</v>
      </c>
      <c r="U18" s="825">
        <f t="shared" ref="U18:U81" si="51">IF(V18="","",S18+$AH$11+0.15-0.1)</f>
        <v>443.33</v>
      </c>
      <c r="V18" s="822">
        <f t="shared" ref="V18:V81" si="52">IF(AF18="","",T18+AG18)</f>
        <v>4.2</v>
      </c>
      <c r="W18" s="826">
        <f t="shared" ref="W18:W81" si="53">IF(Y18="","",1)</f>
        <v>1</v>
      </c>
      <c r="X18" s="793">
        <f t="shared" ref="X18:X81" si="54">IF(Y18="","",U18+W18/100*(Y18-V18))</f>
        <v>443.34</v>
      </c>
      <c r="Y18" s="826">
        <f t="shared" ref="Y18:Y81" si="55">IF(AF18="","",AE18+AF18)</f>
        <v>5.15</v>
      </c>
      <c r="Z18" s="793">
        <f t="shared" ref="Z18:Z81" si="56">IF(AY18="","",AY18)</f>
        <v>445.85700000000003</v>
      </c>
      <c r="AA18" s="794">
        <f t="shared" ref="AA18:AA81" si="57">IF(AX18="","",AX18)</f>
        <v>6.8490000000000002</v>
      </c>
      <c r="AB18" s="793">
        <f t="shared" si="30"/>
        <v>3.5</v>
      </c>
      <c r="AC18" s="794">
        <f t="shared" si="31"/>
        <v>1.65</v>
      </c>
      <c r="AD18" s="795">
        <f t="shared" si="21"/>
        <v>0.35</v>
      </c>
      <c r="AE18" s="793">
        <f t="shared" si="32"/>
        <v>3.5</v>
      </c>
      <c r="AF18" s="794">
        <f t="shared" si="33"/>
        <v>1.65</v>
      </c>
      <c r="AG18" s="795">
        <f t="shared" si="22"/>
        <v>0.35</v>
      </c>
      <c r="AH18" s="773"/>
      <c r="AI18" s="796"/>
      <c r="AJ18" s="796"/>
      <c r="AK18" s="796"/>
      <c r="AL18" s="796">
        <v>4</v>
      </c>
      <c r="AM18" s="797">
        <v>0</v>
      </c>
      <c r="AN18" s="796" t="s">
        <v>4310</v>
      </c>
      <c r="AO18" s="796">
        <v>443.09199999999998</v>
      </c>
      <c r="AP18" s="796">
        <v>442.714</v>
      </c>
      <c r="AQ18" s="796">
        <f t="shared" si="26"/>
        <v>0.37799999999998601</v>
      </c>
      <c r="AR18" s="796"/>
      <c r="AS18" s="796"/>
      <c r="AT18" s="796"/>
      <c r="AV18" s="797">
        <v>-5.3070000000000004</v>
      </c>
      <c r="AW18" s="797">
        <v>442.92599999999999</v>
      </c>
      <c r="AX18" s="797">
        <v>6.8490000000000002</v>
      </c>
      <c r="AY18" s="797">
        <v>445.85700000000003</v>
      </c>
      <c r="BA18" s="762">
        <f t="shared" ref="BA18:BA81" si="58">B18</f>
        <v>80</v>
      </c>
      <c r="BC18" s="798">
        <f t="shared" ref="BC18:BC81" si="59">BA18</f>
        <v>80</v>
      </c>
      <c r="BD18" s="799">
        <f t="shared" si="27"/>
        <v>6980801.71</v>
      </c>
      <c r="BE18" s="799">
        <f t="shared" si="28"/>
        <v>365134.06900000002</v>
      </c>
      <c r="BF18" s="800"/>
      <c r="BJ18" s="801">
        <v>4</v>
      </c>
      <c r="BK18" s="802"/>
      <c r="BL18" s="802"/>
      <c r="BM18" s="803">
        <f t="shared" si="29"/>
        <v>80</v>
      </c>
      <c r="BN18" s="804">
        <v>6980801.7104062</v>
      </c>
      <c r="BO18" s="805">
        <v>365134.06873479998</v>
      </c>
    </row>
    <row r="19" spans="2:67" ht="15.75" x14ac:dyDescent="0.3">
      <c r="B19" s="806">
        <f t="shared" si="34"/>
        <v>100</v>
      </c>
      <c r="C19" s="822">
        <f t="shared" si="35"/>
        <v>6980784.6310000001</v>
      </c>
      <c r="D19" s="823">
        <f t="shared" si="36"/>
        <v>365123.79</v>
      </c>
      <c r="E19" s="824">
        <f t="shared" si="37"/>
        <v>-8.4640000000000004</v>
      </c>
      <c r="F19" s="793">
        <f t="shared" si="38"/>
        <v>439.24299999999999</v>
      </c>
      <c r="G19" s="825">
        <f t="shared" si="39"/>
        <v>-5.15</v>
      </c>
      <c r="H19" s="793">
        <f t="shared" si="40"/>
        <v>441.43</v>
      </c>
      <c r="I19" s="826">
        <f t="shared" si="41"/>
        <v>1</v>
      </c>
      <c r="J19" s="825">
        <f t="shared" si="42"/>
        <v>-4.2</v>
      </c>
      <c r="K19" s="825">
        <f t="shared" si="43"/>
        <v>441.42</v>
      </c>
      <c r="L19" s="793">
        <f t="shared" si="44"/>
        <v>-3.85</v>
      </c>
      <c r="M19" s="793">
        <f t="shared" si="45"/>
        <v>441.01900000000001</v>
      </c>
      <c r="N19" s="793">
        <v>-5.22</v>
      </c>
      <c r="O19" s="824">
        <f t="shared" si="46"/>
        <v>441.22</v>
      </c>
      <c r="P19" s="793">
        <f t="shared" si="47"/>
        <v>441.17700000000002</v>
      </c>
      <c r="Q19" s="794">
        <f t="shared" si="48"/>
        <v>4.2999999999999997E-2</v>
      </c>
      <c r="R19" s="793">
        <v>5.92</v>
      </c>
      <c r="S19" s="793">
        <f t="shared" si="49"/>
        <v>441.44799999999998</v>
      </c>
      <c r="T19" s="793">
        <f t="shared" si="50"/>
        <v>3.85</v>
      </c>
      <c r="U19" s="825">
        <f t="shared" si="51"/>
        <v>441.85</v>
      </c>
      <c r="V19" s="822">
        <f t="shared" si="52"/>
        <v>4.2</v>
      </c>
      <c r="W19" s="826">
        <f t="shared" si="53"/>
        <v>1</v>
      </c>
      <c r="X19" s="793">
        <f t="shared" si="54"/>
        <v>441.86</v>
      </c>
      <c r="Y19" s="826">
        <f t="shared" si="55"/>
        <v>5.15</v>
      </c>
      <c r="Z19" s="793">
        <f t="shared" si="56"/>
        <v>443.93799999999999</v>
      </c>
      <c r="AA19" s="794">
        <f t="shared" si="57"/>
        <v>6.55</v>
      </c>
      <c r="AB19" s="793">
        <f t="shared" si="30"/>
        <v>3.5</v>
      </c>
      <c r="AC19" s="794">
        <f t="shared" si="31"/>
        <v>1.65</v>
      </c>
      <c r="AD19" s="795">
        <f t="shared" si="21"/>
        <v>0.35</v>
      </c>
      <c r="AE19" s="793">
        <f t="shared" si="32"/>
        <v>3.5</v>
      </c>
      <c r="AF19" s="794">
        <f t="shared" si="33"/>
        <v>1.65</v>
      </c>
      <c r="AG19" s="795">
        <f t="shared" si="22"/>
        <v>0.35</v>
      </c>
      <c r="AH19" s="773"/>
      <c r="AI19" s="796"/>
      <c r="AJ19" s="796"/>
      <c r="AK19" s="796"/>
      <c r="AL19" s="796">
        <v>5</v>
      </c>
      <c r="AM19" s="797">
        <v>0</v>
      </c>
      <c r="AN19" s="796"/>
      <c r="AO19" s="796">
        <v>441.57</v>
      </c>
      <c r="AP19" s="796">
        <v>441.17700000000002</v>
      </c>
      <c r="AQ19" s="796">
        <f t="shared" si="26"/>
        <v>0.39299999999997198</v>
      </c>
      <c r="AR19" s="796"/>
      <c r="AS19" s="796"/>
      <c r="AT19" s="796"/>
      <c r="AV19" s="797">
        <v>-8.4640000000000004</v>
      </c>
      <c r="AW19" s="797">
        <v>439.24299999999999</v>
      </c>
      <c r="AX19" s="797">
        <v>6.55</v>
      </c>
      <c r="AY19" s="797">
        <v>443.93799999999999</v>
      </c>
      <c r="BA19" s="762">
        <f t="shared" si="58"/>
        <v>100</v>
      </c>
      <c r="BC19" s="798">
        <f t="shared" si="59"/>
        <v>100</v>
      </c>
      <c r="BD19" s="799">
        <f t="shared" si="27"/>
        <v>6980784.6310000001</v>
      </c>
      <c r="BE19" s="799">
        <f t="shared" si="28"/>
        <v>365123.79399999999</v>
      </c>
      <c r="BF19" s="800"/>
      <c r="BJ19" s="801">
        <v>5</v>
      </c>
      <c r="BK19" s="802"/>
      <c r="BL19" s="802"/>
      <c r="BM19" s="803">
        <f t="shared" si="29"/>
        <v>100</v>
      </c>
      <c r="BN19" s="804">
        <v>6980784.6305304002</v>
      </c>
      <c r="BO19" s="805">
        <v>365123.79429330002</v>
      </c>
    </row>
    <row r="20" spans="2:67" ht="15.75" x14ac:dyDescent="0.3">
      <c r="B20" s="806">
        <f t="shared" si="34"/>
        <v>120</v>
      </c>
      <c r="C20" s="822">
        <f t="shared" si="35"/>
        <v>6980765.4079999998</v>
      </c>
      <c r="D20" s="823">
        <f t="shared" si="36"/>
        <v>365118.41</v>
      </c>
      <c r="E20" s="824">
        <f t="shared" si="37"/>
        <v>-7.8739999999999997</v>
      </c>
      <c r="F20" s="793">
        <f t="shared" si="38"/>
        <v>438.98599999999999</v>
      </c>
      <c r="G20" s="825">
        <f t="shared" si="39"/>
        <v>-5.15</v>
      </c>
      <c r="H20" s="793">
        <f t="shared" si="40"/>
        <v>440.79</v>
      </c>
      <c r="I20" s="826">
        <f t="shared" si="41"/>
        <v>1</v>
      </c>
      <c r="J20" s="825">
        <f t="shared" si="42"/>
        <v>-4.2</v>
      </c>
      <c r="K20" s="825">
        <f t="shared" si="43"/>
        <v>440.78</v>
      </c>
      <c r="L20" s="793">
        <f t="shared" si="44"/>
        <v>-3.85</v>
      </c>
      <c r="M20" s="793">
        <f t="shared" si="45"/>
        <v>440.38400000000001</v>
      </c>
      <c r="N20" s="793">
        <v>-0.89</v>
      </c>
      <c r="O20" s="824">
        <f t="shared" si="46"/>
        <v>440.41800000000001</v>
      </c>
      <c r="P20" s="793">
        <f t="shared" si="47"/>
        <v>440.35399999999998</v>
      </c>
      <c r="Q20" s="794">
        <f t="shared" si="48"/>
        <v>6.4000000000000001E-2</v>
      </c>
      <c r="R20" s="793">
        <v>3.11</v>
      </c>
      <c r="S20" s="793">
        <f t="shared" si="49"/>
        <v>440.53800000000001</v>
      </c>
      <c r="T20" s="793">
        <f t="shared" si="50"/>
        <v>3.85</v>
      </c>
      <c r="U20" s="825">
        <f t="shared" si="51"/>
        <v>440.94</v>
      </c>
      <c r="V20" s="822">
        <f t="shared" si="52"/>
        <v>4.2</v>
      </c>
      <c r="W20" s="826">
        <f t="shared" si="53"/>
        <v>1</v>
      </c>
      <c r="X20" s="793">
        <f t="shared" si="54"/>
        <v>440.95</v>
      </c>
      <c r="Y20" s="826">
        <f t="shared" si="55"/>
        <v>5.15</v>
      </c>
      <c r="Z20" s="793">
        <f t="shared" si="56"/>
        <v>442.149</v>
      </c>
      <c r="AA20" s="794">
        <f t="shared" si="57"/>
        <v>5.9989999999999997</v>
      </c>
      <c r="AB20" s="793">
        <f t="shared" si="30"/>
        <v>3.5</v>
      </c>
      <c r="AC20" s="794">
        <f t="shared" si="31"/>
        <v>1.65</v>
      </c>
      <c r="AD20" s="795">
        <f t="shared" si="21"/>
        <v>0.35</v>
      </c>
      <c r="AE20" s="793">
        <f t="shared" si="32"/>
        <v>3.5</v>
      </c>
      <c r="AF20" s="794">
        <f t="shared" si="33"/>
        <v>1.65</v>
      </c>
      <c r="AG20" s="795">
        <f t="shared" si="22"/>
        <v>0.35</v>
      </c>
      <c r="AH20" s="773"/>
      <c r="AI20" s="796"/>
      <c r="AJ20" s="796"/>
      <c r="AK20" s="796"/>
      <c r="AL20" s="796">
        <v>6</v>
      </c>
      <c r="AM20" s="797">
        <v>0</v>
      </c>
      <c r="AN20" s="796" t="s">
        <v>4311</v>
      </c>
      <c r="AO20" s="796">
        <v>440.76799999999997</v>
      </c>
      <c r="AP20" s="796">
        <v>440.35399999999998</v>
      </c>
      <c r="AQ20" s="796">
        <f t="shared" si="26"/>
        <v>0.41399999999998699</v>
      </c>
      <c r="AR20" s="796"/>
      <c r="AS20" s="796"/>
      <c r="AT20" s="796"/>
      <c r="AV20" s="797">
        <v>-7.8739999999999997</v>
      </c>
      <c r="AW20" s="797">
        <v>438.98599999999999</v>
      </c>
      <c r="AX20" s="797">
        <v>5.9989999999999997</v>
      </c>
      <c r="AY20" s="797">
        <v>442.149</v>
      </c>
      <c r="BA20" s="762">
        <f t="shared" si="58"/>
        <v>120</v>
      </c>
      <c r="BC20" s="798">
        <f t="shared" si="59"/>
        <v>120</v>
      </c>
      <c r="BD20" s="799">
        <f t="shared" si="27"/>
        <v>6980765.4079999998</v>
      </c>
      <c r="BE20" s="799">
        <f t="shared" si="28"/>
        <v>365118.413</v>
      </c>
      <c r="BF20" s="800"/>
      <c r="BJ20" s="801">
        <v>6</v>
      </c>
      <c r="BK20" s="802"/>
      <c r="BL20" s="802"/>
      <c r="BM20" s="803">
        <f t="shared" si="29"/>
        <v>120</v>
      </c>
      <c r="BN20" s="804">
        <v>6980765.4082954004</v>
      </c>
      <c r="BO20" s="805">
        <v>365118.41296079999</v>
      </c>
    </row>
    <row r="21" spans="2:67" ht="15.75" x14ac:dyDescent="0.3">
      <c r="B21" s="806">
        <f t="shared" si="34"/>
        <v>140</v>
      </c>
      <c r="C21" s="822">
        <f t="shared" si="35"/>
        <v>6980745.898</v>
      </c>
      <c r="D21" s="823">
        <f t="shared" si="36"/>
        <v>365114.03</v>
      </c>
      <c r="E21" s="824">
        <f t="shared" si="37"/>
        <v>-15.56</v>
      </c>
      <c r="F21" s="793">
        <f t="shared" si="38"/>
        <v>433.99099999999999</v>
      </c>
      <c r="G21" s="825">
        <f t="shared" si="39"/>
        <v>-5.15</v>
      </c>
      <c r="H21" s="793">
        <f t="shared" si="40"/>
        <v>440.94</v>
      </c>
      <c r="I21" s="826">
        <f t="shared" si="41"/>
        <v>1</v>
      </c>
      <c r="J21" s="825">
        <f t="shared" si="42"/>
        <v>-4.2</v>
      </c>
      <c r="K21" s="825">
        <f t="shared" si="43"/>
        <v>440.93</v>
      </c>
      <c r="L21" s="793">
        <f t="shared" si="44"/>
        <v>-3.85</v>
      </c>
      <c r="M21" s="793">
        <f t="shared" si="45"/>
        <v>440.52699999999999</v>
      </c>
      <c r="N21" s="793">
        <v>3.45</v>
      </c>
      <c r="O21" s="824">
        <f t="shared" si="46"/>
        <v>440.39400000000001</v>
      </c>
      <c r="P21" s="793">
        <f t="shared" si="47"/>
        <v>440.654</v>
      </c>
      <c r="Q21" s="794">
        <f t="shared" si="48"/>
        <v>-0.26</v>
      </c>
      <c r="R21" s="793">
        <v>0.3</v>
      </c>
      <c r="S21" s="793">
        <f t="shared" si="49"/>
        <v>440.40600000000001</v>
      </c>
      <c r="T21" s="793">
        <f t="shared" si="50"/>
        <v>3.85</v>
      </c>
      <c r="U21" s="825">
        <f t="shared" si="51"/>
        <v>440.81</v>
      </c>
      <c r="V21" s="822">
        <f t="shared" si="52"/>
        <v>4.2</v>
      </c>
      <c r="W21" s="826">
        <f t="shared" si="53"/>
        <v>1</v>
      </c>
      <c r="X21" s="793">
        <f t="shared" si="54"/>
        <v>440.82</v>
      </c>
      <c r="Y21" s="826">
        <f t="shared" si="55"/>
        <v>5.15</v>
      </c>
      <c r="Z21" s="793">
        <f t="shared" si="56"/>
        <v>445.38499999999999</v>
      </c>
      <c r="AA21" s="794">
        <f t="shared" si="57"/>
        <v>8.25</v>
      </c>
      <c r="AB21" s="793">
        <f t="shared" si="30"/>
        <v>3.5</v>
      </c>
      <c r="AC21" s="794">
        <f t="shared" si="31"/>
        <v>1.65</v>
      </c>
      <c r="AD21" s="795">
        <f t="shared" si="21"/>
        <v>0.35</v>
      </c>
      <c r="AE21" s="793">
        <f t="shared" si="32"/>
        <v>3.5</v>
      </c>
      <c r="AF21" s="794">
        <f t="shared" si="33"/>
        <v>1.65</v>
      </c>
      <c r="AG21" s="795">
        <f t="shared" si="22"/>
        <v>0.35</v>
      </c>
      <c r="AH21" s="773"/>
      <c r="AI21" s="796"/>
      <c r="AJ21" s="796"/>
      <c r="AK21" s="796"/>
      <c r="AL21" s="796">
        <v>7</v>
      </c>
      <c r="AM21" s="797">
        <v>0</v>
      </c>
      <c r="AN21" s="796"/>
      <c r="AO21" s="796">
        <v>440.74400000000003</v>
      </c>
      <c r="AP21" s="796">
        <v>440.654</v>
      </c>
      <c r="AQ21" s="796">
        <f t="shared" si="26"/>
        <v>9.0000000000031805E-2</v>
      </c>
      <c r="AR21" s="796"/>
      <c r="AS21" s="796"/>
      <c r="AT21" s="796"/>
      <c r="AV21" s="797">
        <v>-15.56</v>
      </c>
      <c r="AW21" s="797">
        <v>433.99099999999999</v>
      </c>
      <c r="AX21" s="797">
        <v>8.25</v>
      </c>
      <c r="AY21" s="797">
        <v>445.38499999999999</v>
      </c>
      <c r="BA21" s="762">
        <f t="shared" si="58"/>
        <v>140</v>
      </c>
      <c r="BC21" s="798">
        <f t="shared" si="59"/>
        <v>140</v>
      </c>
      <c r="BD21" s="799">
        <f t="shared" si="27"/>
        <v>6980745.898</v>
      </c>
      <c r="BE21" s="799">
        <f t="shared" si="28"/>
        <v>365114.02899999998</v>
      </c>
      <c r="BF21" s="800"/>
      <c r="BJ21" s="801">
        <v>7</v>
      </c>
      <c r="BK21" s="802"/>
      <c r="BL21" s="802"/>
      <c r="BM21" s="803">
        <f t="shared" si="29"/>
        <v>140</v>
      </c>
      <c r="BN21" s="804">
        <v>6980745.8982261</v>
      </c>
      <c r="BO21" s="805">
        <v>365114.02872509998</v>
      </c>
    </row>
    <row r="22" spans="2:67" ht="15.75" x14ac:dyDescent="0.3">
      <c r="B22" s="806">
        <f t="shared" si="34"/>
        <v>160</v>
      </c>
      <c r="C22" s="822">
        <f t="shared" si="35"/>
        <v>6980727.6490000002</v>
      </c>
      <c r="D22" s="823">
        <f t="shared" si="36"/>
        <v>365105.99</v>
      </c>
      <c r="E22" s="824">
        <f t="shared" si="37"/>
        <v>-5.4589999999999996</v>
      </c>
      <c r="F22" s="793">
        <f t="shared" si="38"/>
        <v>441.05399999999997</v>
      </c>
      <c r="G22" s="825">
        <f t="shared" si="39"/>
        <v>-5.15</v>
      </c>
      <c r="H22" s="793">
        <f t="shared" si="40"/>
        <v>441.28</v>
      </c>
      <c r="I22" s="826">
        <f t="shared" si="41"/>
        <v>1</v>
      </c>
      <c r="J22" s="825">
        <f t="shared" si="42"/>
        <v>-4.2</v>
      </c>
      <c r="K22" s="825">
        <f t="shared" si="43"/>
        <v>441.27</v>
      </c>
      <c r="L22" s="793">
        <f t="shared" si="44"/>
        <v>-3.85</v>
      </c>
      <c r="M22" s="793">
        <f t="shared" si="45"/>
        <v>440.87</v>
      </c>
      <c r="N22" s="793">
        <v>6.95</v>
      </c>
      <c r="O22" s="824">
        <f t="shared" si="46"/>
        <v>440.60199999999998</v>
      </c>
      <c r="P22" s="793">
        <f t="shared" si="47"/>
        <v>441.13600000000002</v>
      </c>
      <c r="Q22" s="794">
        <f t="shared" si="48"/>
        <v>-0.53400000000000003</v>
      </c>
      <c r="R22" s="793">
        <v>-1.86</v>
      </c>
      <c r="S22" s="793">
        <f t="shared" si="49"/>
        <v>440.53</v>
      </c>
      <c r="T22" s="793">
        <f t="shared" si="50"/>
        <v>3.85</v>
      </c>
      <c r="U22" s="825">
        <f t="shared" si="51"/>
        <v>440.93</v>
      </c>
      <c r="V22" s="822">
        <f t="shared" si="52"/>
        <v>4.2</v>
      </c>
      <c r="W22" s="826">
        <f t="shared" si="53"/>
        <v>1</v>
      </c>
      <c r="X22" s="793">
        <f t="shared" si="54"/>
        <v>440.94</v>
      </c>
      <c r="Y22" s="826">
        <f t="shared" si="55"/>
        <v>5.15</v>
      </c>
      <c r="Z22" s="793">
        <f t="shared" si="56"/>
        <v>442.71699999999998</v>
      </c>
      <c r="AA22" s="794">
        <f t="shared" si="57"/>
        <v>6.4329999999999998</v>
      </c>
      <c r="AB22" s="793">
        <f t="shared" si="30"/>
        <v>3.5</v>
      </c>
      <c r="AC22" s="794">
        <f t="shared" si="31"/>
        <v>1.65</v>
      </c>
      <c r="AD22" s="795">
        <f t="shared" si="21"/>
        <v>0.35</v>
      </c>
      <c r="AE22" s="793">
        <f t="shared" si="32"/>
        <v>3.5</v>
      </c>
      <c r="AF22" s="794">
        <f t="shared" si="33"/>
        <v>1.65</v>
      </c>
      <c r="AG22" s="795">
        <f t="shared" si="22"/>
        <v>0.35</v>
      </c>
      <c r="AH22" s="773"/>
      <c r="AI22" s="796"/>
      <c r="AJ22" s="796"/>
      <c r="AK22" s="796"/>
      <c r="AL22" s="796">
        <v>8</v>
      </c>
      <c r="AM22" s="797">
        <v>0</v>
      </c>
      <c r="AN22" s="796"/>
      <c r="AO22" s="796">
        <v>440.952</v>
      </c>
      <c r="AP22" s="796">
        <v>441.13600000000002</v>
      </c>
      <c r="AQ22" s="796">
        <f t="shared" si="26"/>
        <v>-0.184000000000026</v>
      </c>
      <c r="AR22" s="796"/>
      <c r="AS22" s="796"/>
      <c r="AT22" s="796"/>
      <c r="AV22" s="797">
        <v>-5.4589999999999996</v>
      </c>
      <c r="AW22" s="797">
        <v>441.05399999999997</v>
      </c>
      <c r="AX22" s="797">
        <v>6.4329999999999998</v>
      </c>
      <c r="AY22" s="797">
        <v>442.71699999999998</v>
      </c>
      <c r="BA22" s="762">
        <f t="shared" si="58"/>
        <v>160</v>
      </c>
      <c r="BC22" s="798">
        <f t="shared" si="59"/>
        <v>160</v>
      </c>
      <c r="BD22" s="799">
        <f t="shared" si="27"/>
        <v>6980727.6490000002</v>
      </c>
      <c r="BE22" s="799">
        <f t="shared" si="28"/>
        <v>365105.99</v>
      </c>
      <c r="BF22" s="800"/>
      <c r="BJ22" s="801">
        <v>8</v>
      </c>
      <c r="BK22" s="802"/>
      <c r="BL22" s="802"/>
      <c r="BM22" s="803">
        <f t="shared" si="29"/>
        <v>160</v>
      </c>
      <c r="BN22" s="804">
        <v>6980727.6493948</v>
      </c>
      <c r="BO22" s="805">
        <v>365105.99035490002</v>
      </c>
    </row>
    <row r="23" spans="2:67" ht="15.75" x14ac:dyDescent="0.3">
      <c r="B23" s="806">
        <f t="shared" si="34"/>
        <v>180</v>
      </c>
      <c r="C23" s="822">
        <f t="shared" si="35"/>
        <v>6980712.1610000003</v>
      </c>
      <c r="D23" s="823">
        <f t="shared" si="36"/>
        <v>365093.43</v>
      </c>
      <c r="E23" s="824">
        <f t="shared" si="37"/>
        <v>-11.353</v>
      </c>
      <c r="F23" s="793">
        <f t="shared" si="38"/>
        <v>437.31700000000001</v>
      </c>
      <c r="G23" s="825">
        <f t="shared" si="39"/>
        <v>-5.15</v>
      </c>
      <c r="H23" s="793">
        <f t="shared" si="40"/>
        <v>441.47</v>
      </c>
      <c r="I23" s="826">
        <f t="shared" si="41"/>
        <v>1</v>
      </c>
      <c r="J23" s="825">
        <f t="shared" si="42"/>
        <v>-4.2</v>
      </c>
      <c r="K23" s="825">
        <f t="shared" si="43"/>
        <v>441.46</v>
      </c>
      <c r="L23" s="793">
        <f t="shared" si="44"/>
        <v>-3.85</v>
      </c>
      <c r="M23" s="793">
        <f t="shared" si="45"/>
        <v>441.05900000000003</v>
      </c>
      <c r="N23" s="793">
        <v>6.47</v>
      </c>
      <c r="O23" s="824">
        <f t="shared" si="46"/>
        <v>440.81</v>
      </c>
      <c r="P23" s="793">
        <f t="shared" si="47"/>
        <v>440.90600000000001</v>
      </c>
      <c r="Q23" s="794">
        <f t="shared" si="48"/>
        <v>-9.6000000000000002E-2</v>
      </c>
      <c r="R23" s="793">
        <v>-2</v>
      </c>
      <c r="S23" s="793">
        <f t="shared" si="49"/>
        <v>440.733</v>
      </c>
      <c r="T23" s="793">
        <f t="shared" si="50"/>
        <v>3.85</v>
      </c>
      <c r="U23" s="825">
        <f t="shared" si="51"/>
        <v>441.13</v>
      </c>
      <c r="V23" s="822">
        <f t="shared" si="52"/>
        <v>4.2</v>
      </c>
      <c r="W23" s="826">
        <f t="shared" si="53"/>
        <v>1</v>
      </c>
      <c r="X23" s="793">
        <f t="shared" si="54"/>
        <v>441.14</v>
      </c>
      <c r="Y23" s="826">
        <f t="shared" si="55"/>
        <v>5.15</v>
      </c>
      <c r="Z23" s="793">
        <f t="shared" si="56"/>
        <v>440.387</v>
      </c>
      <c r="AA23" s="794">
        <f t="shared" si="57"/>
        <v>6.069</v>
      </c>
      <c r="AB23" s="793">
        <f t="shared" si="30"/>
        <v>3.5</v>
      </c>
      <c r="AC23" s="794">
        <f t="shared" si="31"/>
        <v>1.65</v>
      </c>
      <c r="AD23" s="795">
        <f t="shared" si="21"/>
        <v>0.35</v>
      </c>
      <c r="AE23" s="793">
        <f t="shared" si="32"/>
        <v>3.5</v>
      </c>
      <c r="AF23" s="794">
        <f t="shared" si="33"/>
        <v>1.65</v>
      </c>
      <c r="AG23" s="795">
        <f t="shared" si="22"/>
        <v>0.35</v>
      </c>
      <c r="AH23" s="773"/>
      <c r="AI23" s="796"/>
      <c r="AJ23" s="796"/>
      <c r="AK23" s="796"/>
      <c r="AL23" s="796">
        <v>9</v>
      </c>
      <c r="AM23" s="797">
        <v>0</v>
      </c>
      <c r="AN23" s="796"/>
      <c r="AO23" s="796">
        <v>441.16</v>
      </c>
      <c r="AP23" s="796">
        <v>440.90600000000001</v>
      </c>
      <c r="AQ23" s="796">
        <f t="shared" si="26"/>
        <v>0.25400000000001899</v>
      </c>
      <c r="AR23" s="796"/>
      <c r="AS23" s="796"/>
      <c r="AT23" s="796"/>
      <c r="AV23" s="797">
        <v>-11.353</v>
      </c>
      <c r="AW23" s="797">
        <v>437.31700000000001</v>
      </c>
      <c r="AX23" s="797">
        <v>6.069</v>
      </c>
      <c r="AY23" s="797">
        <v>440.387</v>
      </c>
      <c r="BA23" s="762">
        <f t="shared" si="58"/>
        <v>180</v>
      </c>
      <c r="BC23" s="798">
        <f t="shared" si="59"/>
        <v>180</v>
      </c>
      <c r="BD23" s="799">
        <f t="shared" si="27"/>
        <v>6980712.1610000003</v>
      </c>
      <c r="BE23" s="799">
        <f t="shared" si="28"/>
        <v>365093.43</v>
      </c>
      <c r="BF23" s="800"/>
      <c r="BJ23" s="801">
        <v>9</v>
      </c>
      <c r="BK23" s="802"/>
      <c r="BL23" s="802"/>
      <c r="BM23" s="803">
        <f t="shared" si="29"/>
        <v>180</v>
      </c>
      <c r="BN23" s="804">
        <v>6980712.1613953002</v>
      </c>
      <c r="BO23" s="805">
        <v>365093.42953889997</v>
      </c>
    </row>
    <row r="24" spans="2:67" ht="15.75" x14ac:dyDescent="0.3">
      <c r="B24" s="806">
        <f t="shared" si="34"/>
        <v>200</v>
      </c>
      <c r="C24" s="822">
        <f t="shared" si="35"/>
        <v>6980698.3059999999</v>
      </c>
      <c r="D24" s="823">
        <f t="shared" si="36"/>
        <v>365079.01</v>
      </c>
      <c r="E24" s="824">
        <f t="shared" si="37"/>
        <v>-12.265000000000001</v>
      </c>
      <c r="F24" s="793">
        <f t="shared" si="38"/>
        <v>436.9</v>
      </c>
      <c r="G24" s="825">
        <f t="shared" si="39"/>
        <v>-5.15</v>
      </c>
      <c r="H24" s="793">
        <f t="shared" si="40"/>
        <v>441.66</v>
      </c>
      <c r="I24" s="826">
        <f t="shared" si="41"/>
        <v>1</v>
      </c>
      <c r="J24" s="825">
        <f t="shared" si="42"/>
        <v>-4.2</v>
      </c>
      <c r="K24" s="825">
        <f t="shared" si="43"/>
        <v>441.65</v>
      </c>
      <c r="L24" s="793">
        <f t="shared" si="44"/>
        <v>-3.85</v>
      </c>
      <c r="M24" s="793">
        <f t="shared" si="45"/>
        <v>441.24900000000002</v>
      </c>
      <c r="N24" s="793">
        <v>6</v>
      </c>
      <c r="O24" s="824">
        <f t="shared" si="46"/>
        <v>441.01799999999997</v>
      </c>
      <c r="P24" s="793">
        <f t="shared" si="47"/>
        <v>440.95</v>
      </c>
      <c r="Q24" s="794">
        <f t="shared" si="48"/>
        <v>6.8000000000000005E-2</v>
      </c>
      <c r="R24" s="793">
        <v>-2</v>
      </c>
      <c r="S24" s="793">
        <f t="shared" si="49"/>
        <v>440.94099999999997</v>
      </c>
      <c r="T24" s="793">
        <f t="shared" si="50"/>
        <v>3.85</v>
      </c>
      <c r="U24" s="825">
        <f t="shared" si="51"/>
        <v>441.34</v>
      </c>
      <c r="V24" s="822">
        <f t="shared" si="52"/>
        <v>4.2</v>
      </c>
      <c r="W24" s="826">
        <f t="shared" si="53"/>
        <v>1</v>
      </c>
      <c r="X24" s="793">
        <f t="shared" si="54"/>
        <v>441.35</v>
      </c>
      <c r="Y24" s="826">
        <f t="shared" si="55"/>
        <v>5.15</v>
      </c>
      <c r="Z24" s="793">
        <f t="shared" si="56"/>
        <v>440.58100000000002</v>
      </c>
      <c r="AA24" s="794">
        <f t="shared" si="57"/>
        <v>6.1139999999999999</v>
      </c>
      <c r="AB24" s="793">
        <f t="shared" si="30"/>
        <v>3.5</v>
      </c>
      <c r="AC24" s="794">
        <f t="shared" si="31"/>
        <v>1.65</v>
      </c>
      <c r="AD24" s="795">
        <f t="shared" si="21"/>
        <v>0.35</v>
      </c>
      <c r="AE24" s="793">
        <f t="shared" si="32"/>
        <v>3.5</v>
      </c>
      <c r="AF24" s="794">
        <f t="shared" si="33"/>
        <v>1.65</v>
      </c>
      <c r="AG24" s="795">
        <f t="shared" si="22"/>
        <v>0.35</v>
      </c>
      <c r="AH24" s="773"/>
      <c r="AI24" s="796"/>
      <c r="AJ24" s="796"/>
      <c r="AK24" s="796"/>
      <c r="AL24" s="796">
        <v>9</v>
      </c>
      <c r="AM24" s="797">
        <v>20</v>
      </c>
      <c r="AN24" s="796"/>
      <c r="AO24" s="796">
        <v>441.36799999999999</v>
      </c>
      <c r="AP24" s="796">
        <v>440.95</v>
      </c>
      <c r="AQ24" s="796">
        <f t="shared" si="26"/>
        <v>0.41800000000000598</v>
      </c>
      <c r="AR24" s="796"/>
      <c r="AS24" s="796"/>
      <c r="AT24" s="796"/>
      <c r="AV24" s="797">
        <v>-12.265000000000001</v>
      </c>
      <c r="AW24" s="797">
        <v>436.9</v>
      </c>
      <c r="AX24" s="797">
        <v>6.1139999999999999</v>
      </c>
      <c r="AY24" s="797">
        <v>440.58100000000002</v>
      </c>
      <c r="BA24" s="762">
        <f t="shared" si="58"/>
        <v>200</v>
      </c>
      <c r="BC24" s="798">
        <f t="shared" si="59"/>
        <v>200</v>
      </c>
      <c r="BD24" s="799">
        <f t="shared" si="27"/>
        <v>6980698.3059999999</v>
      </c>
      <c r="BE24" s="799">
        <f t="shared" si="28"/>
        <v>365079.00699999998</v>
      </c>
      <c r="BF24" s="800"/>
      <c r="BJ24" s="801">
        <v>10</v>
      </c>
      <c r="BK24" s="802"/>
      <c r="BL24" s="802"/>
      <c r="BM24" s="803">
        <f t="shared" si="29"/>
        <v>200</v>
      </c>
      <c r="BN24" s="804">
        <v>6980698.3056570999</v>
      </c>
      <c r="BO24" s="805">
        <v>365079.00669180002</v>
      </c>
    </row>
    <row r="25" spans="2:67" ht="15.75" x14ac:dyDescent="0.3">
      <c r="B25" s="806">
        <f t="shared" si="34"/>
        <v>220</v>
      </c>
      <c r="C25" s="822">
        <f t="shared" si="35"/>
        <v>6980684.4500000002</v>
      </c>
      <c r="D25" s="823">
        <f t="shared" si="36"/>
        <v>365064.58</v>
      </c>
      <c r="E25" s="824">
        <f t="shared" si="37"/>
        <v>-5.2789999999999999</v>
      </c>
      <c r="F25" s="793">
        <f t="shared" si="38"/>
        <v>441.74900000000002</v>
      </c>
      <c r="G25" s="825">
        <f t="shared" si="39"/>
        <v>-5.15</v>
      </c>
      <c r="H25" s="793">
        <f t="shared" si="40"/>
        <v>441.85</v>
      </c>
      <c r="I25" s="826">
        <f t="shared" si="41"/>
        <v>1</v>
      </c>
      <c r="J25" s="825">
        <f t="shared" si="42"/>
        <v>-4.2</v>
      </c>
      <c r="K25" s="825">
        <f t="shared" si="43"/>
        <v>441.84</v>
      </c>
      <c r="L25" s="793">
        <f t="shared" si="44"/>
        <v>-3.85</v>
      </c>
      <c r="M25" s="793">
        <f t="shared" si="45"/>
        <v>441.43900000000002</v>
      </c>
      <c r="N25" s="793">
        <v>5.53</v>
      </c>
      <c r="O25" s="824">
        <f t="shared" si="46"/>
        <v>441.226</v>
      </c>
      <c r="P25" s="793">
        <f t="shared" si="47"/>
        <v>441.51799999999997</v>
      </c>
      <c r="Q25" s="794">
        <f t="shared" si="48"/>
        <v>-0.29199999999999998</v>
      </c>
      <c r="R25" s="793">
        <v>-2</v>
      </c>
      <c r="S25" s="793">
        <f t="shared" si="49"/>
        <v>441.149</v>
      </c>
      <c r="T25" s="793">
        <f t="shared" si="50"/>
        <v>3.85</v>
      </c>
      <c r="U25" s="825">
        <f t="shared" si="51"/>
        <v>441.55</v>
      </c>
      <c r="V25" s="822">
        <f t="shared" si="52"/>
        <v>4.2</v>
      </c>
      <c r="W25" s="826">
        <f t="shared" si="53"/>
        <v>1</v>
      </c>
      <c r="X25" s="793">
        <f t="shared" si="54"/>
        <v>441.56</v>
      </c>
      <c r="Y25" s="826">
        <f t="shared" si="55"/>
        <v>5.15</v>
      </c>
      <c r="Z25" s="793">
        <f t="shared" si="56"/>
        <v>443.43099999999998</v>
      </c>
      <c r="AA25" s="794">
        <f t="shared" si="57"/>
        <v>6.46</v>
      </c>
      <c r="AB25" s="793">
        <f t="shared" si="30"/>
        <v>3.5</v>
      </c>
      <c r="AC25" s="794">
        <f t="shared" si="31"/>
        <v>1.65</v>
      </c>
      <c r="AD25" s="795">
        <f t="shared" si="21"/>
        <v>0.35</v>
      </c>
      <c r="AE25" s="793">
        <f t="shared" si="32"/>
        <v>3.5</v>
      </c>
      <c r="AF25" s="794">
        <f t="shared" si="33"/>
        <v>1.65</v>
      </c>
      <c r="AG25" s="795">
        <f t="shared" si="22"/>
        <v>0.35</v>
      </c>
      <c r="AH25" s="773"/>
      <c r="AI25" s="796"/>
      <c r="AJ25" s="796"/>
      <c r="AK25" s="796"/>
      <c r="AL25" s="796">
        <v>11</v>
      </c>
      <c r="AM25" s="797">
        <v>0</v>
      </c>
      <c r="AN25" s="796" t="s">
        <v>4310</v>
      </c>
      <c r="AO25" s="796">
        <v>441.57600000000002</v>
      </c>
      <c r="AP25" s="796">
        <v>441.51799999999997</v>
      </c>
      <c r="AQ25" s="796">
        <f t="shared" si="26"/>
        <v>5.8000000000049602E-2</v>
      </c>
      <c r="AR25" s="796"/>
      <c r="AS25" s="796"/>
      <c r="AT25" s="796"/>
      <c r="AV25" s="797">
        <v>-5.2789999999999999</v>
      </c>
      <c r="AW25" s="797">
        <v>441.74900000000002</v>
      </c>
      <c r="AX25" s="797">
        <v>6.46</v>
      </c>
      <c r="AY25" s="797">
        <v>443.43099999999998</v>
      </c>
      <c r="BA25" s="762">
        <f t="shared" si="58"/>
        <v>220</v>
      </c>
      <c r="BC25" s="798">
        <f t="shared" si="59"/>
        <v>220</v>
      </c>
      <c r="BD25" s="799">
        <f t="shared" si="27"/>
        <v>6980684.4500000002</v>
      </c>
      <c r="BE25" s="799">
        <f t="shared" si="28"/>
        <v>365064.58399999997</v>
      </c>
      <c r="BF25" s="800"/>
      <c r="BJ25" s="801">
        <v>11</v>
      </c>
      <c r="BK25" s="802"/>
      <c r="BL25" s="802"/>
      <c r="BM25" s="803">
        <f t="shared" si="29"/>
        <v>220</v>
      </c>
      <c r="BN25" s="804">
        <v>6980684.4499188997</v>
      </c>
      <c r="BO25" s="805">
        <v>365064.58384470001</v>
      </c>
    </row>
    <row r="26" spans="2:67" ht="15.75" x14ac:dyDescent="0.3">
      <c r="B26" s="806">
        <f t="shared" si="34"/>
        <v>240</v>
      </c>
      <c r="C26" s="822">
        <f t="shared" si="35"/>
        <v>6980671.3559999997</v>
      </c>
      <c r="D26" s="823">
        <f t="shared" si="36"/>
        <v>365049.49</v>
      </c>
      <c r="E26" s="824">
        <f t="shared" si="37"/>
        <v>-5.2060000000000004</v>
      </c>
      <c r="F26" s="793">
        <f t="shared" si="38"/>
        <v>441.98700000000002</v>
      </c>
      <c r="G26" s="825">
        <f t="shared" si="39"/>
        <v>-5.15</v>
      </c>
      <c r="H26" s="793">
        <f t="shared" si="40"/>
        <v>442.04</v>
      </c>
      <c r="I26" s="826">
        <f t="shared" si="41"/>
        <v>1</v>
      </c>
      <c r="J26" s="825">
        <f t="shared" si="42"/>
        <v>-4.2</v>
      </c>
      <c r="K26" s="825">
        <f t="shared" si="43"/>
        <v>442.03</v>
      </c>
      <c r="L26" s="793">
        <f t="shared" si="44"/>
        <v>-3.85</v>
      </c>
      <c r="M26" s="793">
        <f t="shared" si="45"/>
        <v>441.62799999999999</v>
      </c>
      <c r="N26" s="793">
        <v>5.09</v>
      </c>
      <c r="O26" s="824">
        <f t="shared" si="46"/>
        <v>441.43200000000002</v>
      </c>
      <c r="P26" s="793">
        <f t="shared" si="47"/>
        <v>441.96499999999997</v>
      </c>
      <c r="Q26" s="794">
        <f t="shared" si="48"/>
        <v>-0.53300000000000003</v>
      </c>
      <c r="R26" s="793">
        <v>-2</v>
      </c>
      <c r="S26" s="793">
        <f t="shared" si="49"/>
        <v>441.35500000000002</v>
      </c>
      <c r="T26" s="793">
        <f t="shared" si="50"/>
        <v>3.85</v>
      </c>
      <c r="U26" s="825">
        <f t="shared" si="51"/>
        <v>441.76</v>
      </c>
      <c r="V26" s="822">
        <f t="shared" si="52"/>
        <v>4.2</v>
      </c>
      <c r="W26" s="826">
        <f t="shared" si="53"/>
        <v>1</v>
      </c>
      <c r="X26" s="793">
        <f t="shared" si="54"/>
        <v>441.77</v>
      </c>
      <c r="Y26" s="826">
        <f t="shared" si="55"/>
        <v>5.15</v>
      </c>
      <c r="Z26" s="793">
        <f t="shared" si="56"/>
        <v>443.762</v>
      </c>
      <c r="AA26" s="794">
        <f t="shared" si="57"/>
        <v>6.532</v>
      </c>
      <c r="AB26" s="793">
        <f t="shared" si="30"/>
        <v>3.5</v>
      </c>
      <c r="AC26" s="794">
        <f t="shared" si="31"/>
        <v>1.65</v>
      </c>
      <c r="AD26" s="795">
        <f t="shared" si="21"/>
        <v>0.35</v>
      </c>
      <c r="AE26" s="793">
        <f t="shared" si="32"/>
        <v>3.5</v>
      </c>
      <c r="AF26" s="794">
        <f t="shared" si="33"/>
        <v>1.65</v>
      </c>
      <c r="AG26" s="795">
        <f t="shared" si="22"/>
        <v>0.35</v>
      </c>
      <c r="AH26" s="773"/>
      <c r="AI26" s="796"/>
      <c r="AJ26" s="796"/>
      <c r="AK26" s="796"/>
      <c r="AL26" s="796">
        <v>12</v>
      </c>
      <c r="AM26" s="797">
        <v>0</v>
      </c>
      <c r="AN26" s="796"/>
      <c r="AO26" s="796">
        <v>441.78199999999998</v>
      </c>
      <c r="AP26" s="796">
        <v>441.96499999999997</v>
      </c>
      <c r="AQ26" s="796">
        <f t="shared" si="26"/>
        <v>-0.182999999999993</v>
      </c>
      <c r="AR26" s="796"/>
      <c r="AS26" s="796"/>
      <c r="AT26" s="796"/>
      <c r="AV26" s="797">
        <v>-5.2060000000000004</v>
      </c>
      <c r="AW26" s="797">
        <v>441.98700000000002</v>
      </c>
      <c r="AX26" s="797">
        <v>6.532</v>
      </c>
      <c r="AY26" s="797">
        <v>443.762</v>
      </c>
      <c r="BA26" s="762">
        <f t="shared" si="58"/>
        <v>240</v>
      </c>
      <c r="BC26" s="798">
        <f t="shared" si="59"/>
        <v>240</v>
      </c>
      <c r="BD26" s="799">
        <f t="shared" si="27"/>
        <v>6980671.3559999997</v>
      </c>
      <c r="BE26" s="799">
        <f t="shared" si="28"/>
        <v>365049.49</v>
      </c>
      <c r="BF26" s="800"/>
      <c r="BJ26" s="801">
        <v>12</v>
      </c>
      <c r="BK26" s="802"/>
      <c r="BL26" s="802"/>
      <c r="BM26" s="803">
        <f t="shared" si="29"/>
        <v>240</v>
      </c>
      <c r="BN26" s="804">
        <v>6980671.3560135998</v>
      </c>
      <c r="BO26" s="805">
        <v>365049.49014210002</v>
      </c>
    </row>
    <row r="27" spans="2:67" ht="15.75" x14ac:dyDescent="0.3">
      <c r="B27" s="806">
        <f t="shared" si="34"/>
        <v>260</v>
      </c>
      <c r="C27" s="822">
        <f t="shared" si="35"/>
        <v>6980660.8820000002</v>
      </c>
      <c r="D27" s="823">
        <f t="shared" si="36"/>
        <v>365032.48</v>
      </c>
      <c r="E27" s="824">
        <f t="shared" si="37"/>
        <v>-5.718</v>
      </c>
      <c r="F27" s="793">
        <f t="shared" si="38"/>
        <v>442.834</v>
      </c>
      <c r="G27" s="825">
        <f t="shared" si="39"/>
        <v>-5.15</v>
      </c>
      <c r="H27" s="793">
        <f t="shared" si="40"/>
        <v>441.99</v>
      </c>
      <c r="I27" s="826">
        <f t="shared" si="41"/>
        <v>1</v>
      </c>
      <c r="J27" s="825">
        <f t="shared" si="42"/>
        <v>-4.2</v>
      </c>
      <c r="K27" s="825">
        <f t="shared" si="43"/>
        <v>441.98</v>
      </c>
      <c r="L27" s="793">
        <f t="shared" si="44"/>
        <v>-3.85</v>
      </c>
      <c r="M27" s="793">
        <f t="shared" si="45"/>
        <v>441.57600000000002</v>
      </c>
      <c r="N27" s="793">
        <v>4.75</v>
      </c>
      <c r="O27" s="824">
        <f t="shared" si="46"/>
        <v>441.39299999999997</v>
      </c>
      <c r="P27" s="793">
        <f t="shared" si="47"/>
        <v>441.94099999999997</v>
      </c>
      <c r="Q27" s="794">
        <f t="shared" si="48"/>
        <v>-0.54800000000000004</v>
      </c>
      <c r="R27" s="793">
        <v>-2</v>
      </c>
      <c r="S27" s="793">
        <f t="shared" si="49"/>
        <v>441.31599999999997</v>
      </c>
      <c r="T27" s="793">
        <f t="shared" si="50"/>
        <v>3.85</v>
      </c>
      <c r="U27" s="825">
        <f t="shared" si="51"/>
        <v>441.72</v>
      </c>
      <c r="V27" s="822">
        <f t="shared" si="52"/>
        <v>4.2</v>
      </c>
      <c r="W27" s="826">
        <f t="shared" si="53"/>
        <v>1</v>
      </c>
      <c r="X27" s="793">
        <f t="shared" si="54"/>
        <v>441.73</v>
      </c>
      <c r="Y27" s="826">
        <f t="shared" si="55"/>
        <v>5.15</v>
      </c>
      <c r="Z27" s="793">
        <f t="shared" si="56"/>
        <v>445.44900000000001</v>
      </c>
      <c r="AA27" s="794">
        <f t="shared" si="57"/>
        <v>7.6630000000000003</v>
      </c>
      <c r="AB27" s="793">
        <f t="shared" si="30"/>
        <v>3.5</v>
      </c>
      <c r="AC27" s="794">
        <f t="shared" si="31"/>
        <v>1.65</v>
      </c>
      <c r="AD27" s="795">
        <f t="shared" si="21"/>
        <v>0.35</v>
      </c>
      <c r="AE27" s="793">
        <f t="shared" si="32"/>
        <v>3.5</v>
      </c>
      <c r="AF27" s="794">
        <f t="shared" si="33"/>
        <v>1.65</v>
      </c>
      <c r="AG27" s="795">
        <f t="shared" si="22"/>
        <v>0.35</v>
      </c>
      <c r="AH27" s="773"/>
      <c r="AI27" s="796"/>
      <c r="AJ27" s="796"/>
      <c r="AK27" s="796"/>
      <c r="AL27" s="796">
        <v>13</v>
      </c>
      <c r="AM27" s="797">
        <v>0</v>
      </c>
      <c r="AN27" s="796"/>
      <c r="AO27" s="796">
        <v>441.74299999999999</v>
      </c>
      <c r="AP27" s="796">
        <v>441.94099999999997</v>
      </c>
      <c r="AQ27" s="796">
        <f t="shared" si="26"/>
        <v>-0.197999999999979</v>
      </c>
      <c r="AR27" s="796"/>
      <c r="AS27" s="796"/>
      <c r="AT27" s="796"/>
      <c r="AV27" s="797">
        <v>-5.718</v>
      </c>
      <c r="AW27" s="797">
        <v>442.834</v>
      </c>
      <c r="AX27" s="797">
        <v>7.6630000000000003</v>
      </c>
      <c r="AY27" s="797">
        <v>445.44900000000001</v>
      </c>
      <c r="BA27" s="762">
        <f t="shared" si="58"/>
        <v>260</v>
      </c>
      <c r="BC27" s="798">
        <f t="shared" si="59"/>
        <v>260</v>
      </c>
      <c r="BD27" s="799">
        <f t="shared" si="27"/>
        <v>6980660.8820000002</v>
      </c>
      <c r="BE27" s="799">
        <f t="shared" si="28"/>
        <v>365032.47899999999</v>
      </c>
      <c r="BF27" s="800"/>
      <c r="BJ27" s="801">
        <v>13</v>
      </c>
      <c r="BK27" s="802"/>
      <c r="BL27" s="802"/>
      <c r="BM27" s="803">
        <f t="shared" si="29"/>
        <v>260</v>
      </c>
      <c r="BN27" s="804">
        <v>6980660.8818234997</v>
      </c>
      <c r="BO27" s="805">
        <v>365032.47937279998</v>
      </c>
    </row>
    <row r="28" spans="2:67" ht="15.75" x14ac:dyDescent="0.3">
      <c r="B28" s="806">
        <f t="shared" si="34"/>
        <v>280</v>
      </c>
      <c r="C28" s="822">
        <f t="shared" si="35"/>
        <v>6980653.375</v>
      </c>
      <c r="D28" s="823">
        <f t="shared" si="36"/>
        <v>365013.97</v>
      </c>
      <c r="E28" s="824">
        <f t="shared" si="37"/>
        <v>-5.5540000000000003</v>
      </c>
      <c r="F28" s="793">
        <f t="shared" si="38"/>
        <v>442.05200000000002</v>
      </c>
      <c r="G28" s="825">
        <f t="shared" si="39"/>
        <v>-5.15</v>
      </c>
      <c r="H28" s="793">
        <f t="shared" si="40"/>
        <v>441.44</v>
      </c>
      <c r="I28" s="826">
        <f t="shared" si="41"/>
        <v>1</v>
      </c>
      <c r="J28" s="825">
        <f t="shared" si="42"/>
        <v>-4.2</v>
      </c>
      <c r="K28" s="825">
        <f t="shared" si="43"/>
        <v>441.43</v>
      </c>
      <c r="L28" s="793">
        <f t="shared" si="44"/>
        <v>-3.85</v>
      </c>
      <c r="M28" s="793">
        <f t="shared" si="45"/>
        <v>441.03199999999998</v>
      </c>
      <c r="N28" s="793">
        <v>2.0299999999999998</v>
      </c>
      <c r="O28" s="824">
        <f t="shared" si="46"/>
        <v>440.95400000000001</v>
      </c>
      <c r="P28" s="793">
        <f t="shared" si="47"/>
        <v>441.55399999999997</v>
      </c>
      <c r="Q28" s="794">
        <f t="shared" si="48"/>
        <v>-0.6</v>
      </c>
      <c r="R28" s="793">
        <v>-2</v>
      </c>
      <c r="S28" s="793">
        <f t="shared" si="49"/>
        <v>440.87700000000001</v>
      </c>
      <c r="T28" s="793">
        <f t="shared" si="50"/>
        <v>3.85</v>
      </c>
      <c r="U28" s="825">
        <f t="shared" si="51"/>
        <v>441.28</v>
      </c>
      <c r="V28" s="822">
        <f t="shared" si="52"/>
        <v>4.2</v>
      </c>
      <c r="W28" s="826">
        <f t="shared" si="53"/>
        <v>1</v>
      </c>
      <c r="X28" s="793">
        <f t="shared" si="54"/>
        <v>441.29</v>
      </c>
      <c r="Y28" s="826">
        <f t="shared" si="55"/>
        <v>5.15</v>
      </c>
      <c r="Z28" s="793">
        <f t="shared" si="56"/>
        <v>443.35500000000002</v>
      </c>
      <c r="AA28" s="794">
        <f t="shared" si="57"/>
        <v>6.5170000000000003</v>
      </c>
      <c r="AB28" s="793">
        <f t="shared" si="30"/>
        <v>3.5</v>
      </c>
      <c r="AC28" s="794">
        <f t="shared" si="31"/>
        <v>1.65</v>
      </c>
      <c r="AD28" s="795">
        <f t="shared" si="21"/>
        <v>0.35</v>
      </c>
      <c r="AE28" s="793">
        <f t="shared" si="32"/>
        <v>3.5</v>
      </c>
      <c r="AF28" s="794">
        <f t="shared" si="33"/>
        <v>1.65</v>
      </c>
      <c r="AG28" s="795">
        <f t="shared" si="22"/>
        <v>0.35</v>
      </c>
      <c r="AH28" s="773"/>
      <c r="AI28" s="796"/>
      <c r="AJ28" s="796"/>
      <c r="AK28" s="796"/>
      <c r="AL28" s="796">
        <v>14</v>
      </c>
      <c r="AM28" s="797">
        <v>0</v>
      </c>
      <c r="AN28" s="796"/>
      <c r="AO28" s="796">
        <v>441.30399999999997</v>
      </c>
      <c r="AP28" s="796">
        <v>441.55399999999997</v>
      </c>
      <c r="AQ28" s="796">
        <f t="shared" si="26"/>
        <v>-0.25</v>
      </c>
      <c r="AR28" s="796"/>
      <c r="AS28" s="796"/>
      <c r="AT28" s="796"/>
      <c r="AV28" s="797">
        <v>-5.5540000000000003</v>
      </c>
      <c r="AW28" s="797">
        <v>442.05200000000002</v>
      </c>
      <c r="AX28" s="797">
        <v>6.5170000000000003</v>
      </c>
      <c r="AY28" s="797">
        <v>443.35500000000002</v>
      </c>
      <c r="BA28" s="762">
        <f t="shared" si="58"/>
        <v>280</v>
      </c>
      <c r="BC28" s="798">
        <f t="shared" si="59"/>
        <v>280</v>
      </c>
      <c r="BD28" s="799">
        <f t="shared" si="27"/>
        <v>6980653.375</v>
      </c>
      <c r="BE28" s="799">
        <f t="shared" si="28"/>
        <v>365013.967</v>
      </c>
      <c r="BF28" s="800"/>
      <c r="BJ28" s="801">
        <v>14</v>
      </c>
      <c r="BK28" s="802"/>
      <c r="BL28" s="802"/>
      <c r="BM28" s="803">
        <f t="shared" si="29"/>
        <v>280</v>
      </c>
      <c r="BN28" s="804">
        <v>6980653.3747926997</v>
      </c>
      <c r="BO28" s="805">
        <v>365013.96669009997</v>
      </c>
    </row>
    <row r="29" spans="2:67" ht="15.75" x14ac:dyDescent="0.3">
      <c r="B29" s="806">
        <f t="shared" si="34"/>
        <v>300</v>
      </c>
      <c r="C29" s="822">
        <f t="shared" si="35"/>
        <v>6980647.46</v>
      </c>
      <c r="D29" s="823">
        <f t="shared" si="36"/>
        <v>364994.86</v>
      </c>
      <c r="E29" s="824">
        <f t="shared" si="37"/>
        <v>-5.36</v>
      </c>
      <c r="F29" s="793">
        <f t="shared" si="38"/>
        <v>440.80700000000002</v>
      </c>
      <c r="G29" s="825">
        <f t="shared" si="39"/>
        <v>-5.15</v>
      </c>
      <c r="H29" s="793">
        <f t="shared" si="40"/>
        <v>440.48</v>
      </c>
      <c r="I29" s="826">
        <f t="shared" si="41"/>
        <v>1</v>
      </c>
      <c r="J29" s="825">
        <f t="shared" si="42"/>
        <v>-4.2</v>
      </c>
      <c r="K29" s="825">
        <f t="shared" si="43"/>
        <v>440.47</v>
      </c>
      <c r="L29" s="793">
        <f t="shared" si="44"/>
        <v>-3.85</v>
      </c>
      <c r="M29" s="793">
        <f t="shared" si="45"/>
        <v>440.07</v>
      </c>
      <c r="N29" s="793">
        <v>-1.1599999999999999</v>
      </c>
      <c r="O29" s="824">
        <f t="shared" si="46"/>
        <v>440.11500000000001</v>
      </c>
      <c r="P29" s="793">
        <f t="shared" si="47"/>
        <v>440.41199999999998</v>
      </c>
      <c r="Q29" s="794">
        <f t="shared" si="48"/>
        <v>-0.29699999999999999</v>
      </c>
      <c r="R29" s="793">
        <v>-2</v>
      </c>
      <c r="S29" s="793">
        <f t="shared" si="49"/>
        <v>440.03800000000001</v>
      </c>
      <c r="T29" s="793">
        <f t="shared" si="50"/>
        <v>3.85</v>
      </c>
      <c r="U29" s="825">
        <f t="shared" si="51"/>
        <v>440.44</v>
      </c>
      <c r="V29" s="822">
        <f t="shared" si="52"/>
        <v>4.2</v>
      </c>
      <c r="W29" s="826">
        <f t="shared" si="53"/>
        <v>1</v>
      </c>
      <c r="X29" s="793">
        <f t="shared" si="54"/>
        <v>440.45</v>
      </c>
      <c r="Y29" s="826">
        <f t="shared" si="55"/>
        <v>5.15</v>
      </c>
      <c r="Z29" s="793">
        <f t="shared" si="56"/>
        <v>441.791</v>
      </c>
      <c r="AA29" s="794">
        <f t="shared" si="57"/>
        <v>6.0289999999999999</v>
      </c>
      <c r="AB29" s="793">
        <f t="shared" si="30"/>
        <v>3.5</v>
      </c>
      <c r="AC29" s="794">
        <f t="shared" si="31"/>
        <v>1.65</v>
      </c>
      <c r="AD29" s="795">
        <f t="shared" si="21"/>
        <v>0.35</v>
      </c>
      <c r="AE29" s="793">
        <f t="shared" si="32"/>
        <v>3.5</v>
      </c>
      <c r="AF29" s="794">
        <f t="shared" si="33"/>
        <v>1.65</v>
      </c>
      <c r="AG29" s="795">
        <f t="shared" si="22"/>
        <v>0.35</v>
      </c>
      <c r="AH29" s="773"/>
      <c r="AI29" s="796"/>
      <c r="AJ29" s="796"/>
      <c r="AK29" s="796"/>
      <c r="AL29" s="796">
        <v>15</v>
      </c>
      <c r="AM29" s="797">
        <v>0</v>
      </c>
      <c r="AN29" s="796" t="s">
        <v>4311</v>
      </c>
      <c r="AO29" s="796">
        <v>440.46499999999997</v>
      </c>
      <c r="AP29" s="796">
        <v>440.41199999999998</v>
      </c>
      <c r="AQ29" s="796">
        <f t="shared" si="26"/>
        <v>5.2999999999997299E-2</v>
      </c>
      <c r="AR29" s="796"/>
      <c r="AS29" s="796"/>
      <c r="AT29" s="796"/>
      <c r="AV29" s="797">
        <v>-5.36</v>
      </c>
      <c r="AW29" s="797">
        <v>440.80700000000002</v>
      </c>
      <c r="AX29" s="797">
        <v>6.0289999999999999</v>
      </c>
      <c r="AY29" s="797">
        <v>441.791</v>
      </c>
      <c r="BA29" s="762">
        <f t="shared" si="58"/>
        <v>300</v>
      </c>
      <c r="BC29" s="798">
        <f t="shared" si="59"/>
        <v>300</v>
      </c>
      <c r="BD29" s="799">
        <f t="shared" si="27"/>
        <v>6980647.46</v>
      </c>
      <c r="BE29" s="799">
        <f t="shared" si="28"/>
        <v>364994.86099999998</v>
      </c>
      <c r="BF29" s="800"/>
      <c r="BJ29" s="801">
        <v>15</v>
      </c>
      <c r="BK29" s="802"/>
      <c r="BL29" s="802"/>
      <c r="BM29" s="803">
        <f t="shared" si="29"/>
        <v>300</v>
      </c>
      <c r="BN29" s="804">
        <v>6980647.4602301</v>
      </c>
      <c r="BO29" s="805">
        <v>364994.8612473</v>
      </c>
    </row>
    <row r="30" spans="2:67" ht="15.75" x14ac:dyDescent="0.3">
      <c r="B30" s="806">
        <f t="shared" si="34"/>
        <v>320</v>
      </c>
      <c r="C30" s="822">
        <f t="shared" si="35"/>
        <v>6980641.5460000001</v>
      </c>
      <c r="D30" s="823">
        <f t="shared" si="36"/>
        <v>364975.76</v>
      </c>
      <c r="E30" s="824">
        <f t="shared" si="37"/>
        <v>-5.3049999999999997</v>
      </c>
      <c r="F30" s="793">
        <f t="shared" si="38"/>
        <v>439.53399999999999</v>
      </c>
      <c r="G30" s="825">
        <f t="shared" si="39"/>
        <v>-5.15</v>
      </c>
      <c r="H30" s="793">
        <f t="shared" si="40"/>
        <v>439.29</v>
      </c>
      <c r="I30" s="826">
        <f t="shared" si="41"/>
        <v>1</v>
      </c>
      <c r="J30" s="825">
        <f t="shared" si="42"/>
        <v>-4.2</v>
      </c>
      <c r="K30" s="825">
        <f t="shared" si="43"/>
        <v>439.28</v>
      </c>
      <c r="L30" s="793">
        <f t="shared" si="44"/>
        <v>-3.85</v>
      </c>
      <c r="M30" s="793">
        <f t="shared" si="45"/>
        <v>438.87700000000001</v>
      </c>
      <c r="N30" s="793">
        <v>-2</v>
      </c>
      <c r="O30" s="824">
        <f t="shared" si="46"/>
        <v>438.95400000000001</v>
      </c>
      <c r="P30" s="793">
        <f t="shared" si="47"/>
        <v>439.19099999999997</v>
      </c>
      <c r="Q30" s="794">
        <f t="shared" si="48"/>
        <v>-0.23699999999999999</v>
      </c>
      <c r="R30" s="793">
        <v>-0.73</v>
      </c>
      <c r="S30" s="793">
        <f t="shared" si="49"/>
        <v>438.92599999999999</v>
      </c>
      <c r="T30" s="793">
        <f t="shared" si="50"/>
        <v>3.85</v>
      </c>
      <c r="U30" s="825">
        <f t="shared" si="51"/>
        <v>439.33</v>
      </c>
      <c r="V30" s="822">
        <f t="shared" si="52"/>
        <v>4.2</v>
      </c>
      <c r="W30" s="826">
        <f t="shared" si="53"/>
        <v>1</v>
      </c>
      <c r="X30" s="793">
        <f t="shared" si="54"/>
        <v>439.34</v>
      </c>
      <c r="Y30" s="826">
        <f t="shared" si="55"/>
        <v>5.15</v>
      </c>
      <c r="Z30" s="793">
        <f t="shared" si="56"/>
        <v>440.07400000000001</v>
      </c>
      <c r="AA30" s="794">
        <f t="shared" si="57"/>
        <v>5.633</v>
      </c>
      <c r="AB30" s="793">
        <f t="shared" si="30"/>
        <v>3.5</v>
      </c>
      <c r="AC30" s="794">
        <f t="shared" si="31"/>
        <v>1.65</v>
      </c>
      <c r="AD30" s="795">
        <f t="shared" si="21"/>
        <v>0.35</v>
      </c>
      <c r="AE30" s="793">
        <f t="shared" si="32"/>
        <v>3.5</v>
      </c>
      <c r="AF30" s="794">
        <f t="shared" si="33"/>
        <v>1.65</v>
      </c>
      <c r="AG30" s="795">
        <f t="shared" si="22"/>
        <v>0.35</v>
      </c>
      <c r="AH30" s="773"/>
      <c r="AI30" s="796"/>
      <c r="AJ30" s="796"/>
      <c r="AK30" s="796"/>
      <c r="AL30" s="796">
        <v>16</v>
      </c>
      <c r="AM30" s="797">
        <v>0</v>
      </c>
      <c r="AN30" s="796"/>
      <c r="AO30" s="796">
        <v>439.30399999999997</v>
      </c>
      <c r="AP30" s="796">
        <v>439.19099999999997</v>
      </c>
      <c r="AQ30" s="796">
        <f t="shared" si="26"/>
        <v>0.113</v>
      </c>
      <c r="AR30" s="796"/>
      <c r="AS30" s="796"/>
      <c r="AT30" s="796"/>
      <c r="AV30" s="797">
        <v>-5.3049999999999997</v>
      </c>
      <c r="AW30" s="797">
        <v>439.53399999999999</v>
      </c>
      <c r="AX30" s="797">
        <v>5.633</v>
      </c>
      <c r="AY30" s="797">
        <v>440.07400000000001</v>
      </c>
      <c r="BA30" s="762">
        <f t="shared" si="58"/>
        <v>320</v>
      </c>
      <c r="BC30" s="798">
        <f t="shared" si="59"/>
        <v>320</v>
      </c>
      <c r="BD30" s="799">
        <f t="shared" si="27"/>
        <v>6980641.5460000001</v>
      </c>
      <c r="BE30" s="799">
        <f t="shared" si="28"/>
        <v>364975.75599999999</v>
      </c>
      <c r="BF30" s="800"/>
      <c r="BJ30" s="801">
        <v>16</v>
      </c>
      <c r="BK30" s="802"/>
      <c r="BL30" s="802"/>
      <c r="BM30" s="803">
        <f t="shared" si="29"/>
        <v>320</v>
      </c>
      <c r="BN30" s="804">
        <v>6980641.5458337003</v>
      </c>
      <c r="BO30" s="805">
        <v>364975.75575289998</v>
      </c>
    </row>
    <row r="31" spans="2:67" ht="15.75" x14ac:dyDescent="0.3">
      <c r="B31" s="806">
        <f t="shared" si="34"/>
        <v>340</v>
      </c>
      <c r="C31" s="822">
        <f t="shared" si="35"/>
        <v>6980635.6310000001</v>
      </c>
      <c r="D31" s="823">
        <f t="shared" si="36"/>
        <v>364956.65</v>
      </c>
      <c r="E31" s="824">
        <f t="shared" si="37"/>
        <v>-5.4580000000000002</v>
      </c>
      <c r="F31" s="793">
        <f t="shared" si="38"/>
        <v>438.53199999999998</v>
      </c>
      <c r="G31" s="825">
        <f t="shared" si="39"/>
        <v>-5.15</v>
      </c>
      <c r="H31" s="793">
        <f t="shared" si="40"/>
        <v>438.05</v>
      </c>
      <c r="I31" s="826">
        <f t="shared" si="41"/>
        <v>1</v>
      </c>
      <c r="J31" s="825">
        <f t="shared" si="42"/>
        <v>-4.2</v>
      </c>
      <c r="K31" s="825">
        <f t="shared" si="43"/>
        <v>438.04</v>
      </c>
      <c r="L31" s="793">
        <f t="shared" si="44"/>
        <v>-3.85</v>
      </c>
      <c r="M31" s="793">
        <f t="shared" si="45"/>
        <v>437.64</v>
      </c>
      <c r="N31" s="793">
        <v>-3.27</v>
      </c>
      <c r="O31" s="824">
        <f t="shared" si="46"/>
        <v>437.76600000000002</v>
      </c>
      <c r="P31" s="793">
        <f t="shared" si="47"/>
        <v>438.07</v>
      </c>
      <c r="Q31" s="794">
        <f t="shared" si="48"/>
        <v>-0.30399999999999999</v>
      </c>
      <c r="R31" s="793">
        <v>3.18</v>
      </c>
      <c r="S31" s="793">
        <f t="shared" si="49"/>
        <v>437.88799999999998</v>
      </c>
      <c r="T31" s="793">
        <f t="shared" si="50"/>
        <v>3.85</v>
      </c>
      <c r="U31" s="825">
        <f t="shared" si="51"/>
        <v>438.29</v>
      </c>
      <c r="V31" s="822">
        <f t="shared" si="52"/>
        <v>4.2</v>
      </c>
      <c r="W31" s="826">
        <f t="shared" si="53"/>
        <v>1</v>
      </c>
      <c r="X31" s="793">
        <f t="shared" si="54"/>
        <v>438.3</v>
      </c>
      <c r="Y31" s="826">
        <f t="shared" si="55"/>
        <v>5.15</v>
      </c>
      <c r="Z31" s="793">
        <f t="shared" si="56"/>
        <v>439.029</v>
      </c>
      <c r="AA31" s="794">
        <f t="shared" si="57"/>
        <v>5.6369999999999996</v>
      </c>
      <c r="AB31" s="793">
        <f t="shared" si="30"/>
        <v>3.5</v>
      </c>
      <c r="AC31" s="794">
        <f t="shared" si="31"/>
        <v>1.65</v>
      </c>
      <c r="AD31" s="795">
        <f t="shared" si="21"/>
        <v>0.35</v>
      </c>
      <c r="AE31" s="793">
        <f t="shared" si="32"/>
        <v>3.5</v>
      </c>
      <c r="AF31" s="794">
        <f t="shared" si="33"/>
        <v>1.65</v>
      </c>
      <c r="AG31" s="795">
        <f t="shared" si="22"/>
        <v>0.35</v>
      </c>
      <c r="AH31" s="773"/>
      <c r="AI31" s="796"/>
      <c r="AJ31" s="796"/>
      <c r="AK31" s="796"/>
      <c r="AL31" s="796">
        <v>17</v>
      </c>
      <c r="AM31" s="797">
        <v>0</v>
      </c>
      <c r="AN31" s="796"/>
      <c r="AO31" s="796">
        <v>438.11599999999999</v>
      </c>
      <c r="AP31" s="796">
        <v>438.07</v>
      </c>
      <c r="AQ31" s="796">
        <f t="shared" si="26"/>
        <v>4.5999999999992297E-2</v>
      </c>
      <c r="AR31" s="796"/>
      <c r="AS31" s="796"/>
      <c r="AT31" s="796"/>
      <c r="AV31" s="797">
        <v>-5.4580000000000002</v>
      </c>
      <c r="AW31" s="797">
        <v>438.53199999999998</v>
      </c>
      <c r="AX31" s="797">
        <v>5.6369999999999996</v>
      </c>
      <c r="AY31" s="797">
        <v>439.029</v>
      </c>
      <c r="BA31" s="762">
        <f t="shared" si="58"/>
        <v>340</v>
      </c>
      <c r="BC31" s="798">
        <f t="shared" si="59"/>
        <v>340</v>
      </c>
      <c r="BD31" s="799">
        <f t="shared" si="27"/>
        <v>6980635.6310000001</v>
      </c>
      <c r="BE31" s="799">
        <f t="shared" si="28"/>
        <v>364956.65100000001</v>
      </c>
      <c r="BF31" s="800"/>
      <c r="BJ31" s="801">
        <v>17</v>
      </c>
      <c r="BK31" s="802"/>
      <c r="BL31" s="802"/>
      <c r="BM31" s="803">
        <f t="shared" si="29"/>
        <v>340</v>
      </c>
      <c r="BN31" s="804">
        <v>6980635.6306089005</v>
      </c>
      <c r="BO31" s="805">
        <v>364956.6505166</v>
      </c>
    </row>
    <row r="32" spans="2:67" ht="15.75" x14ac:dyDescent="0.3">
      <c r="B32" s="806">
        <f t="shared" si="34"/>
        <v>360</v>
      </c>
      <c r="C32" s="822">
        <f t="shared" si="35"/>
        <v>6980626.5750000002</v>
      </c>
      <c r="D32" s="823">
        <f t="shared" si="36"/>
        <v>364938.92</v>
      </c>
      <c r="E32" s="824">
        <f t="shared" si="37"/>
        <v>-5.5789999999999997</v>
      </c>
      <c r="F32" s="793">
        <f t="shared" si="38"/>
        <v>437.39100000000002</v>
      </c>
      <c r="G32" s="825">
        <f t="shared" si="39"/>
        <v>-5.15</v>
      </c>
      <c r="H32" s="793">
        <f t="shared" si="40"/>
        <v>436.71</v>
      </c>
      <c r="I32" s="826">
        <f t="shared" si="41"/>
        <v>1</v>
      </c>
      <c r="J32" s="825">
        <f t="shared" si="42"/>
        <v>-4.2</v>
      </c>
      <c r="K32" s="825">
        <f t="shared" si="43"/>
        <v>436.7</v>
      </c>
      <c r="L32" s="793">
        <f t="shared" si="44"/>
        <v>-3.85</v>
      </c>
      <c r="M32" s="793">
        <f t="shared" si="45"/>
        <v>436.30200000000002</v>
      </c>
      <c r="N32" s="793">
        <v>-7.18</v>
      </c>
      <c r="O32" s="824">
        <f t="shared" si="46"/>
        <v>436.57799999999997</v>
      </c>
      <c r="P32" s="793">
        <f t="shared" si="47"/>
        <v>437.00400000000002</v>
      </c>
      <c r="Q32" s="794">
        <f t="shared" si="48"/>
        <v>-0.42599999999999999</v>
      </c>
      <c r="R32" s="793">
        <v>7.18</v>
      </c>
      <c r="S32" s="793">
        <f t="shared" si="49"/>
        <v>436.85399999999998</v>
      </c>
      <c r="T32" s="793">
        <f t="shared" si="50"/>
        <v>3.85</v>
      </c>
      <c r="U32" s="825">
        <f t="shared" si="51"/>
        <v>437.25</v>
      </c>
      <c r="V32" s="822">
        <f t="shared" si="52"/>
        <v>4.2</v>
      </c>
      <c r="W32" s="826">
        <f t="shared" si="53"/>
        <v>1</v>
      </c>
      <c r="X32" s="793">
        <f t="shared" si="54"/>
        <v>437.26</v>
      </c>
      <c r="Y32" s="826">
        <f t="shared" si="55"/>
        <v>5.15</v>
      </c>
      <c r="Z32" s="793">
        <f t="shared" si="56"/>
        <v>437.93900000000002</v>
      </c>
      <c r="AA32" s="794">
        <f t="shared" si="57"/>
        <v>5.609</v>
      </c>
      <c r="AB32" s="793">
        <f t="shared" si="30"/>
        <v>3.5</v>
      </c>
      <c r="AC32" s="794">
        <f t="shared" si="31"/>
        <v>1.65</v>
      </c>
      <c r="AD32" s="795">
        <f t="shared" si="21"/>
        <v>0.35</v>
      </c>
      <c r="AE32" s="793">
        <f t="shared" si="32"/>
        <v>3.5</v>
      </c>
      <c r="AF32" s="794">
        <f t="shared" si="33"/>
        <v>1.65</v>
      </c>
      <c r="AG32" s="795">
        <f t="shared" si="22"/>
        <v>0.35</v>
      </c>
      <c r="AH32" s="773"/>
      <c r="AI32" s="796"/>
      <c r="AJ32" s="796"/>
      <c r="AK32" s="796"/>
      <c r="AL32" s="796">
        <v>18</v>
      </c>
      <c r="AM32" s="797">
        <v>0</v>
      </c>
      <c r="AN32" s="796"/>
      <c r="AO32" s="796">
        <v>436.928</v>
      </c>
      <c r="AP32" s="796">
        <v>437.00400000000002</v>
      </c>
      <c r="AQ32" s="796">
        <f t="shared" si="26"/>
        <v>-7.60000000000218E-2</v>
      </c>
      <c r="AR32" s="796"/>
      <c r="AS32" s="796"/>
      <c r="AT32" s="796"/>
      <c r="AV32" s="797">
        <v>-5.5789999999999997</v>
      </c>
      <c r="AW32" s="797">
        <v>437.39100000000002</v>
      </c>
      <c r="AX32" s="797">
        <v>5.609</v>
      </c>
      <c r="AY32" s="797">
        <v>437.93900000000002</v>
      </c>
      <c r="BA32" s="762">
        <f t="shared" si="58"/>
        <v>360</v>
      </c>
      <c r="BC32" s="798">
        <f t="shared" si="59"/>
        <v>360</v>
      </c>
      <c r="BD32" s="799">
        <f t="shared" si="27"/>
        <v>6980626.5750000002</v>
      </c>
      <c r="BE32" s="799">
        <f t="shared" si="28"/>
        <v>364938.92200000002</v>
      </c>
      <c r="BF32" s="800"/>
      <c r="BJ32" s="801">
        <v>18</v>
      </c>
      <c r="BK32" s="802"/>
      <c r="BL32" s="802"/>
      <c r="BM32" s="803">
        <f t="shared" si="29"/>
        <v>360</v>
      </c>
      <c r="BN32" s="804">
        <v>6980626.5747884996</v>
      </c>
      <c r="BO32" s="805">
        <v>364938.92194919998</v>
      </c>
    </row>
    <row r="33" spans="2:67" ht="15.75" x14ac:dyDescent="0.3">
      <c r="B33" s="806">
        <f t="shared" si="34"/>
        <v>380</v>
      </c>
      <c r="C33" s="822">
        <f t="shared" si="35"/>
        <v>6980612.2170000002</v>
      </c>
      <c r="D33" s="823">
        <f t="shared" si="36"/>
        <v>364925.13</v>
      </c>
      <c r="E33" s="824">
        <f t="shared" si="37"/>
        <v>-5.4939999999999998</v>
      </c>
      <c r="F33" s="793">
        <f t="shared" si="38"/>
        <v>436.16800000000001</v>
      </c>
      <c r="G33" s="825">
        <f t="shared" si="39"/>
        <v>-5.15</v>
      </c>
      <c r="H33" s="793">
        <f t="shared" si="40"/>
        <v>435.63</v>
      </c>
      <c r="I33" s="826">
        <f t="shared" si="41"/>
        <v>1</v>
      </c>
      <c r="J33" s="825">
        <f t="shared" si="42"/>
        <v>-4.2</v>
      </c>
      <c r="K33" s="825">
        <f t="shared" si="43"/>
        <v>435.62</v>
      </c>
      <c r="L33" s="793">
        <f t="shared" si="44"/>
        <v>-3.85</v>
      </c>
      <c r="M33" s="793">
        <f t="shared" si="45"/>
        <v>435.21600000000001</v>
      </c>
      <c r="N33" s="793">
        <v>-4.53</v>
      </c>
      <c r="O33" s="824">
        <f t="shared" si="46"/>
        <v>435.39</v>
      </c>
      <c r="P33" s="793">
        <f t="shared" si="47"/>
        <v>435.90800000000002</v>
      </c>
      <c r="Q33" s="794">
        <f t="shared" si="48"/>
        <v>-0.51800000000000002</v>
      </c>
      <c r="R33" s="793">
        <v>4.53</v>
      </c>
      <c r="S33" s="793">
        <f t="shared" si="49"/>
        <v>435.56400000000002</v>
      </c>
      <c r="T33" s="793">
        <f t="shared" si="50"/>
        <v>3.85</v>
      </c>
      <c r="U33" s="825">
        <f t="shared" si="51"/>
        <v>435.96</v>
      </c>
      <c r="V33" s="822">
        <f t="shared" si="52"/>
        <v>4.2</v>
      </c>
      <c r="W33" s="826">
        <f t="shared" si="53"/>
        <v>1</v>
      </c>
      <c r="X33" s="793">
        <f t="shared" si="54"/>
        <v>435.97</v>
      </c>
      <c r="Y33" s="826">
        <f t="shared" si="55"/>
        <v>5.15</v>
      </c>
      <c r="Z33" s="793">
        <f t="shared" si="56"/>
        <v>436.38900000000001</v>
      </c>
      <c r="AA33" s="794">
        <f t="shared" si="57"/>
        <v>5.431</v>
      </c>
      <c r="AB33" s="793">
        <f t="shared" si="30"/>
        <v>3.5</v>
      </c>
      <c r="AC33" s="794">
        <f t="shared" si="31"/>
        <v>1.65</v>
      </c>
      <c r="AD33" s="795">
        <f t="shared" si="21"/>
        <v>0.35</v>
      </c>
      <c r="AE33" s="793">
        <f t="shared" si="32"/>
        <v>3.5</v>
      </c>
      <c r="AF33" s="794">
        <f t="shared" si="33"/>
        <v>1.65</v>
      </c>
      <c r="AG33" s="795">
        <f t="shared" si="22"/>
        <v>0.35</v>
      </c>
      <c r="AH33" s="773"/>
      <c r="AI33" s="796"/>
      <c r="AJ33" s="796"/>
      <c r="AK33" s="796"/>
      <c r="AL33" s="796">
        <v>19</v>
      </c>
      <c r="AM33" s="797">
        <v>0</v>
      </c>
      <c r="AN33" s="796"/>
      <c r="AO33" s="796">
        <v>435.74</v>
      </c>
      <c r="AP33" s="796">
        <v>435.90800000000002</v>
      </c>
      <c r="AQ33" s="796">
        <f t="shared" si="26"/>
        <v>-0.16800000000000601</v>
      </c>
      <c r="AR33" s="796"/>
      <c r="AS33" s="796"/>
      <c r="AT33" s="796"/>
      <c r="AV33" s="797">
        <v>-5.4939999999999998</v>
      </c>
      <c r="AW33" s="797">
        <v>436.16800000000001</v>
      </c>
      <c r="AX33" s="797">
        <v>5.431</v>
      </c>
      <c r="AY33" s="797">
        <v>436.38900000000001</v>
      </c>
      <c r="BA33" s="762">
        <f t="shared" si="58"/>
        <v>380</v>
      </c>
      <c r="BC33" s="798">
        <f t="shared" si="59"/>
        <v>380</v>
      </c>
      <c r="BD33" s="799">
        <f t="shared" si="27"/>
        <v>6980612.2170000002</v>
      </c>
      <c r="BE33" s="799">
        <f t="shared" si="28"/>
        <v>364925.13199999998</v>
      </c>
      <c r="BF33" s="800"/>
      <c r="BJ33" s="801">
        <v>19</v>
      </c>
      <c r="BK33" s="802"/>
      <c r="BL33" s="802"/>
      <c r="BM33" s="803">
        <f t="shared" si="29"/>
        <v>380</v>
      </c>
      <c r="BN33" s="804">
        <v>6980612.2167349001</v>
      </c>
      <c r="BO33" s="805">
        <v>364925.13223270001</v>
      </c>
    </row>
    <row r="34" spans="2:67" ht="15.75" x14ac:dyDescent="0.3">
      <c r="B34" s="806">
        <f t="shared" si="34"/>
        <v>400</v>
      </c>
      <c r="C34" s="822">
        <f t="shared" si="35"/>
        <v>6980594.6940000001</v>
      </c>
      <c r="D34" s="823">
        <f t="shared" si="36"/>
        <v>364915.52</v>
      </c>
      <c r="E34" s="824">
        <f t="shared" si="37"/>
        <v>-5.6829999999999998</v>
      </c>
      <c r="F34" s="793">
        <f t="shared" si="38"/>
        <v>434.19099999999997</v>
      </c>
      <c r="G34" s="825">
        <f t="shared" si="39"/>
        <v>-5.15</v>
      </c>
      <c r="H34" s="793">
        <f t="shared" si="40"/>
        <v>434.53</v>
      </c>
      <c r="I34" s="826">
        <f t="shared" si="41"/>
        <v>1</v>
      </c>
      <c r="J34" s="825">
        <f t="shared" si="42"/>
        <v>-4.2</v>
      </c>
      <c r="K34" s="825">
        <f t="shared" si="43"/>
        <v>434.52</v>
      </c>
      <c r="L34" s="793">
        <f t="shared" si="44"/>
        <v>-3.85</v>
      </c>
      <c r="M34" s="793">
        <f t="shared" si="45"/>
        <v>434.12400000000002</v>
      </c>
      <c r="N34" s="793">
        <v>-2.0299999999999998</v>
      </c>
      <c r="O34" s="824">
        <f t="shared" si="46"/>
        <v>434.202</v>
      </c>
      <c r="P34" s="793">
        <f t="shared" si="47"/>
        <v>434.50799999999998</v>
      </c>
      <c r="Q34" s="794">
        <f t="shared" si="48"/>
        <v>-0.30599999999999999</v>
      </c>
      <c r="R34" s="793">
        <v>0.53</v>
      </c>
      <c r="S34" s="793">
        <f t="shared" si="49"/>
        <v>434.22199999999998</v>
      </c>
      <c r="T34" s="793">
        <f t="shared" si="50"/>
        <v>3.85</v>
      </c>
      <c r="U34" s="825">
        <f t="shared" si="51"/>
        <v>434.62</v>
      </c>
      <c r="V34" s="822">
        <f t="shared" si="52"/>
        <v>4.2</v>
      </c>
      <c r="W34" s="826">
        <f t="shared" si="53"/>
        <v>1</v>
      </c>
      <c r="X34" s="793">
        <f t="shared" si="54"/>
        <v>434.63</v>
      </c>
      <c r="Y34" s="826">
        <f t="shared" si="55"/>
        <v>5.15</v>
      </c>
      <c r="Z34" s="793">
        <f t="shared" si="56"/>
        <v>435.63799999999998</v>
      </c>
      <c r="AA34" s="794">
        <f t="shared" si="57"/>
        <v>5.8120000000000003</v>
      </c>
      <c r="AB34" s="793">
        <f t="shared" si="30"/>
        <v>3.5</v>
      </c>
      <c r="AC34" s="794">
        <f t="shared" si="31"/>
        <v>1.65</v>
      </c>
      <c r="AD34" s="795">
        <f t="shared" si="21"/>
        <v>0.35</v>
      </c>
      <c r="AE34" s="793">
        <f t="shared" si="32"/>
        <v>3.5</v>
      </c>
      <c r="AF34" s="794">
        <f t="shared" si="33"/>
        <v>1.65</v>
      </c>
      <c r="AG34" s="795">
        <f t="shared" si="22"/>
        <v>0.35</v>
      </c>
      <c r="AH34" s="773"/>
      <c r="AI34" s="796"/>
      <c r="AJ34" s="796"/>
      <c r="AK34" s="796"/>
      <c r="AL34" s="796">
        <v>20</v>
      </c>
      <c r="AM34" s="797">
        <v>0</v>
      </c>
      <c r="AN34" s="796" t="s">
        <v>4310</v>
      </c>
      <c r="AO34" s="796">
        <v>434.55200000000002</v>
      </c>
      <c r="AP34" s="796">
        <v>434.50799999999998</v>
      </c>
      <c r="AQ34" s="796">
        <f t="shared" si="26"/>
        <v>4.4000000000039598E-2</v>
      </c>
      <c r="AR34" s="796"/>
      <c r="AS34" s="796"/>
      <c r="AT34" s="796"/>
      <c r="AV34" s="797">
        <v>-5.6829999999999998</v>
      </c>
      <c r="AW34" s="797">
        <v>434.19099999999997</v>
      </c>
      <c r="AX34" s="797">
        <v>5.8120000000000003</v>
      </c>
      <c r="AY34" s="797">
        <v>435.63799999999998</v>
      </c>
      <c r="BA34" s="762">
        <f t="shared" si="58"/>
        <v>400</v>
      </c>
      <c r="BC34" s="798">
        <f t="shared" si="59"/>
        <v>400</v>
      </c>
      <c r="BD34" s="799">
        <f t="shared" si="27"/>
        <v>6980594.6940000001</v>
      </c>
      <c r="BE34" s="799">
        <f t="shared" si="28"/>
        <v>364915.51500000001</v>
      </c>
      <c r="BF34" s="800"/>
      <c r="BJ34" s="801">
        <v>20</v>
      </c>
      <c r="BK34" s="802"/>
      <c r="BL34" s="802"/>
      <c r="BM34" s="803">
        <f t="shared" si="29"/>
        <v>400</v>
      </c>
      <c r="BN34" s="804">
        <v>6980594.6944918996</v>
      </c>
      <c r="BO34" s="805">
        <v>364915.51464870002</v>
      </c>
    </row>
    <row r="35" spans="2:67" ht="15.75" x14ac:dyDescent="0.3">
      <c r="B35" s="806">
        <f t="shared" si="34"/>
        <v>420</v>
      </c>
      <c r="C35" s="822">
        <f t="shared" si="35"/>
        <v>6980576.9680000003</v>
      </c>
      <c r="D35" s="823">
        <f t="shared" si="36"/>
        <v>364906.25</v>
      </c>
      <c r="E35" s="824">
        <f t="shared" si="37"/>
        <v>-6.6559999999999997</v>
      </c>
      <c r="F35" s="793">
        <f t="shared" si="38"/>
        <v>432.36500000000001</v>
      </c>
      <c r="G35" s="825">
        <f t="shared" si="39"/>
        <v>-5.15</v>
      </c>
      <c r="H35" s="793">
        <f t="shared" si="40"/>
        <v>433.36</v>
      </c>
      <c r="I35" s="826">
        <f t="shared" si="41"/>
        <v>1</v>
      </c>
      <c r="J35" s="825">
        <f t="shared" si="42"/>
        <v>-4.2</v>
      </c>
      <c r="K35" s="825">
        <f t="shared" si="43"/>
        <v>433.35</v>
      </c>
      <c r="L35" s="793">
        <f t="shared" si="44"/>
        <v>-3.85</v>
      </c>
      <c r="M35" s="793">
        <f t="shared" si="45"/>
        <v>432.947</v>
      </c>
      <c r="N35" s="793">
        <v>-2</v>
      </c>
      <c r="O35" s="824">
        <f t="shared" si="46"/>
        <v>433.024</v>
      </c>
      <c r="P35" s="793">
        <f t="shared" si="47"/>
        <v>433.29399999999998</v>
      </c>
      <c r="Q35" s="794">
        <f t="shared" si="48"/>
        <v>-0.27</v>
      </c>
      <c r="R35" s="793">
        <v>-1.97</v>
      </c>
      <c r="S35" s="793">
        <f t="shared" si="49"/>
        <v>432.94799999999998</v>
      </c>
      <c r="T35" s="793">
        <f t="shared" si="50"/>
        <v>3.85</v>
      </c>
      <c r="U35" s="825">
        <f t="shared" si="51"/>
        <v>433.35</v>
      </c>
      <c r="V35" s="822">
        <f t="shared" si="52"/>
        <v>4.2</v>
      </c>
      <c r="W35" s="826">
        <f t="shared" si="53"/>
        <v>1</v>
      </c>
      <c r="X35" s="793">
        <f t="shared" si="54"/>
        <v>433.36</v>
      </c>
      <c r="Y35" s="826">
        <f t="shared" si="55"/>
        <v>5.15</v>
      </c>
      <c r="Z35" s="793">
        <f t="shared" si="56"/>
        <v>434.411</v>
      </c>
      <c r="AA35" s="794">
        <f t="shared" si="57"/>
        <v>5.8369999999999997</v>
      </c>
      <c r="AB35" s="793">
        <f t="shared" si="30"/>
        <v>3.5</v>
      </c>
      <c r="AC35" s="794">
        <f t="shared" si="31"/>
        <v>1.65</v>
      </c>
      <c r="AD35" s="795">
        <f t="shared" si="21"/>
        <v>0.35</v>
      </c>
      <c r="AE35" s="793">
        <f t="shared" si="32"/>
        <v>3.5</v>
      </c>
      <c r="AF35" s="794">
        <f t="shared" si="33"/>
        <v>1.65</v>
      </c>
      <c r="AG35" s="795">
        <f t="shared" si="22"/>
        <v>0.35</v>
      </c>
      <c r="AH35" s="773"/>
      <c r="AI35" s="796"/>
      <c r="AJ35" s="796"/>
      <c r="AK35" s="796"/>
      <c r="AL35" s="796">
        <v>21</v>
      </c>
      <c r="AM35" s="797">
        <v>0</v>
      </c>
      <c r="AN35" s="796"/>
      <c r="AO35" s="796">
        <v>433.37400000000002</v>
      </c>
      <c r="AP35" s="796">
        <v>433.29399999999998</v>
      </c>
      <c r="AQ35" s="796">
        <f t="shared" si="26"/>
        <v>8.00000000000409E-2</v>
      </c>
      <c r="AR35" s="796"/>
      <c r="AS35" s="796"/>
      <c r="AT35" s="796"/>
      <c r="AV35" s="797">
        <v>-6.6559999999999997</v>
      </c>
      <c r="AW35" s="797">
        <v>432.36500000000001</v>
      </c>
      <c r="AX35" s="797">
        <v>5.8369999999999997</v>
      </c>
      <c r="AY35" s="797">
        <v>434.411</v>
      </c>
      <c r="BA35" s="762">
        <f t="shared" si="58"/>
        <v>420</v>
      </c>
      <c r="BC35" s="798">
        <f t="shared" si="59"/>
        <v>420</v>
      </c>
      <c r="BD35" s="799">
        <f t="shared" si="27"/>
        <v>6980576.9680000003</v>
      </c>
      <c r="BE35" s="799">
        <f t="shared" si="28"/>
        <v>364906.25400000002</v>
      </c>
      <c r="BF35" s="800"/>
      <c r="BJ35" s="801">
        <v>21</v>
      </c>
      <c r="BK35" s="802"/>
      <c r="BL35" s="802"/>
      <c r="BM35" s="803">
        <f t="shared" si="29"/>
        <v>420</v>
      </c>
      <c r="BN35" s="804">
        <v>6980576.9676548</v>
      </c>
      <c r="BO35" s="805">
        <v>364906.25401979999</v>
      </c>
    </row>
    <row r="36" spans="2:67" ht="15.75" x14ac:dyDescent="0.3">
      <c r="B36" s="806">
        <f t="shared" si="34"/>
        <v>440</v>
      </c>
      <c r="C36" s="822">
        <f t="shared" si="35"/>
        <v>6980559.2410000004</v>
      </c>
      <c r="D36" s="823">
        <f t="shared" si="36"/>
        <v>364896.99</v>
      </c>
      <c r="E36" s="824">
        <f t="shared" si="37"/>
        <v>-5.83</v>
      </c>
      <c r="F36" s="793">
        <f t="shared" si="38"/>
        <v>432.01499999999999</v>
      </c>
      <c r="G36" s="825">
        <f t="shared" si="39"/>
        <v>-5.15</v>
      </c>
      <c r="H36" s="793">
        <f t="shared" si="40"/>
        <v>432.46</v>
      </c>
      <c r="I36" s="826">
        <f t="shared" si="41"/>
        <v>1</v>
      </c>
      <c r="J36" s="825">
        <f t="shared" si="42"/>
        <v>-4.2</v>
      </c>
      <c r="K36" s="825">
        <f t="shared" si="43"/>
        <v>432.45</v>
      </c>
      <c r="L36" s="793">
        <f t="shared" si="44"/>
        <v>-3.85</v>
      </c>
      <c r="M36" s="793">
        <f t="shared" si="45"/>
        <v>432.04700000000003</v>
      </c>
      <c r="N36" s="793">
        <v>-2</v>
      </c>
      <c r="O36" s="824">
        <f t="shared" si="46"/>
        <v>432.12400000000002</v>
      </c>
      <c r="P36" s="793">
        <f t="shared" si="47"/>
        <v>432.09699999999998</v>
      </c>
      <c r="Q36" s="794">
        <f t="shared" si="48"/>
        <v>2.7E-2</v>
      </c>
      <c r="R36" s="793">
        <v>-2</v>
      </c>
      <c r="S36" s="793">
        <f t="shared" si="49"/>
        <v>432.04700000000003</v>
      </c>
      <c r="T36" s="793">
        <f t="shared" si="50"/>
        <v>3.85</v>
      </c>
      <c r="U36" s="825">
        <f t="shared" si="51"/>
        <v>432.45</v>
      </c>
      <c r="V36" s="822">
        <f t="shared" si="52"/>
        <v>4.2</v>
      </c>
      <c r="W36" s="826">
        <f t="shared" si="53"/>
        <v>1</v>
      </c>
      <c r="X36" s="793">
        <f t="shared" si="54"/>
        <v>432.46</v>
      </c>
      <c r="Y36" s="826">
        <f t="shared" si="55"/>
        <v>5.15</v>
      </c>
      <c r="Z36" s="793">
        <f t="shared" si="56"/>
        <v>432.91899999999998</v>
      </c>
      <c r="AA36" s="794">
        <f t="shared" si="57"/>
        <v>5.4480000000000004</v>
      </c>
      <c r="AB36" s="793">
        <f t="shared" si="30"/>
        <v>3.5</v>
      </c>
      <c r="AC36" s="794">
        <f t="shared" si="31"/>
        <v>1.65</v>
      </c>
      <c r="AD36" s="795">
        <f t="shared" si="21"/>
        <v>0.35</v>
      </c>
      <c r="AE36" s="793">
        <f t="shared" si="32"/>
        <v>3.5</v>
      </c>
      <c r="AF36" s="794">
        <f t="shared" si="33"/>
        <v>1.65</v>
      </c>
      <c r="AG36" s="795">
        <f t="shared" si="22"/>
        <v>0.35</v>
      </c>
      <c r="AH36" s="773"/>
      <c r="AI36" s="796"/>
      <c r="AJ36" s="796"/>
      <c r="AK36" s="796"/>
      <c r="AL36" s="796">
        <v>22</v>
      </c>
      <c r="AM36" s="797">
        <v>0</v>
      </c>
      <c r="AN36" s="796"/>
      <c r="AO36" s="796">
        <v>432.47399999999999</v>
      </c>
      <c r="AP36" s="796">
        <v>432.09699999999998</v>
      </c>
      <c r="AQ36" s="796">
        <f t="shared" si="26"/>
        <v>0.37700000000000999</v>
      </c>
      <c r="AR36" s="796"/>
      <c r="AS36" s="796"/>
      <c r="AT36" s="796"/>
      <c r="AV36" s="797">
        <v>-5.83</v>
      </c>
      <c r="AW36" s="797">
        <v>432.01499999999999</v>
      </c>
      <c r="AX36" s="797">
        <v>5.4480000000000004</v>
      </c>
      <c r="AY36" s="797">
        <v>432.91899999999998</v>
      </c>
      <c r="BA36" s="762">
        <f t="shared" si="58"/>
        <v>440</v>
      </c>
      <c r="BC36" s="798">
        <f t="shared" si="59"/>
        <v>440</v>
      </c>
      <c r="BD36" s="799">
        <f t="shared" si="27"/>
        <v>6980559.2410000004</v>
      </c>
      <c r="BE36" s="799">
        <f t="shared" si="28"/>
        <v>364896.99300000002</v>
      </c>
      <c r="BF36" s="800"/>
      <c r="BJ36" s="801">
        <v>22</v>
      </c>
      <c r="BK36" s="802"/>
      <c r="BL36" s="802"/>
      <c r="BM36" s="803">
        <f t="shared" si="29"/>
        <v>440</v>
      </c>
      <c r="BN36" s="804">
        <v>6980559.2408176996</v>
      </c>
      <c r="BO36" s="805">
        <v>364896.99339100003</v>
      </c>
    </row>
    <row r="37" spans="2:67" ht="15.75" x14ac:dyDescent="0.3">
      <c r="B37" s="806">
        <f t="shared" si="34"/>
        <v>460</v>
      </c>
      <c r="C37" s="822">
        <f t="shared" si="35"/>
        <v>6980541.5140000004</v>
      </c>
      <c r="D37" s="823">
        <f t="shared" si="36"/>
        <v>364887.73</v>
      </c>
      <c r="E37" s="824">
        <f t="shared" si="37"/>
        <v>-5.5289999999999999</v>
      </c>
      <c r="F37" s="793">
        <f t="shared" si="38"/>
        <v>431.71699999999998</v>
      </c>
      <c r="G37" s="825">
        <f t="shared" si="39"/>
        <v>-5.15</v>
      </c>
      <c r="H37" s="793">
        <f t="shared" si="40"/>
        <v>431.96</v>
      </c>
      <c r="I37" s="826">
        <f t="shared" si="41"/>
        <v>1</v>
      </c>
      <c r="J37" s="825">
        <f t="shared" si="42"/>
        <v>-4.2</v>
      </c>
      <c r="K37" s="825">
        <f t="shared" si="43"/>
        <v>431.95</v>
      </c>
      <c r="L37" s="793">
        <f t="shared" si="44"/>
        <v>-3.85</v>
      </c>
      <c r="M37" s="793">
        <f t="shared" si="45"/>
        <v>431.54700000000003</v>
      </c>
      <c r="N37" s="793">
        <v>-2</v>
      </c>
      <c r="O37" s="824">
        <f t="shared" si="46"/>
        <v>431.62400000000002</v>
      </c>
      <c r="P37" s="793">
        <f t="shared" si="47"/>
        <v>431.96699999999998</v>
      </c>
      <c r="Q37" s="794">
        <f t="shared" si="48"/>
        <v>-0.34300000000000003</v>
      </c>
      <c r="R37" s="793">
        <v>-1.55</v>
      </c>
      <c r="S37" s="793">
        <f t="shared" si="49"/>
        <v>431.56400000000002</v>
      </c>
      <c r="T37" s="793">
        <f t="shared" si="50"/>
        <v>3.85</v>
      </c>
      <c r="U37" s="825">
        <f t="shared" si="51"/>
        <v>431.96</v>
      </c>
      <c r="V37" s="822">
        <f t="shared" si="52"/>
        <v>4.2</v>
      </c>
      <c r="W37" s="826">
        <f t="shared" si="53"/>
        <v>1</v>
      </c>
      <c r="X37" s="793">
        <f t="shared" si="54"/>
        <v>431.97</v>
      </c>
      <c r="Y37" s="826">
        <f t="shared" si="55"/>
        <v>5.15</v>
      </c>
      <c r="Z37" s="793">
        <f t="shared" si="56"/>
        <v>433.05900000000003</v>
      </c>
      <c r="AA37" s="794">
        <f t="shared" si="57"/>
        <v>5.86</v>
      </c>
      <c r="AB37" s="793">
        <f t="shared" si="30"/>
        <v>3.5</v>
      </c>
      <c r="AC37" s="794">
        <f t="shared" si="31"/>
        <v>1.65</v>
      </c>
      <c r="AD37" s="795">
        <f t="shared" si="21"/>
        <v>0.35</v>
      </c>
      <c r="AE37" s="793">
        <f t="shared" si="32"/>
        <v>3.5</v>
      </c>
      <c r="AF37" s="794">
        <f t="shared" si="33"/>
        <v>1.65</v>
      </c>
      <c r="AG37" s="795">
        <f t="shared" si="22"/>
        <v>0.35</v>
      </c>
      <c r="AH37" s="773"/>
      <c r="AI37" s="796"/>
      <c r="AJ37" s="796"/>
      <c r="AK37" s="796"/>
      <c r="AL37" s="796">
        <v>23</v>
      </c>
      <c r="AM37" s="797">
        <v>0</v>
      </c>
      <c r="AN37" s="796" t="s">
        <v>4311</v>
      </c>
      <c r="AO37" s="796">
        <v>431.97399999999999</v>
      </c>
      <c r="AP37" s="796">
        <v>431.96699999999998</v>
      </c>
      <c r="AQ37" s="796">
        <f t="shared" si="26"/>
        <v>7.0000000000049996E-3</v>
      </c>
      <c r="AR37" s="796"/>
      <c r="AS37" s="796"/>
      <c r="AT37" s="796"/>
      <c r="AV37" s="797">
        <v>-5.5289999999999999</v>
      </c>
      <c r="AW37" s="797">
        <v>431.71699999999998</v>
      </c>
      <c r="AX37" s="797">
        <v>5.86</v>
      </c>
      <c r="AY37" s="797">
        <v>433.05900000000003</v>
      </c>
      <c r="BA37" s="762">
        <f t="shared" si="58"/>
        <v>460</v>
      </c>
      <c r="BC37" s="798">
        <f t="shared" si="59"/>
        <v>460</v>
      </c>
      <c r="BD37" s="799">
        <f t="shared" si="27"/>
        <v>6980541.5140000004</v>
      </c>
      <c r="BE37" s="799">
        <f t="shared" si="28"/>
        <v>364887.73300000001</v>
      </c>
      <c r="BF37" s="800"/>
      <c r="BJ37" s="801">
        <v>23</v>
      </c>
      <c r="BK37" s="802"/>
      <c r="BL37" s="802"/>
      <c r="BM37" s="803">
        <f t="shared" si="29"/>
        <v>460</v>
      </c>
      <c r="BN37" s="804">
        <v>6980541.5139806001</v>
      </c>
      <c r="BO37" s="805">
        <v>364887.7327621</v>
      </c>
    </row>
    <row r="38" spans="2:67" ht="15.75" x14ac:dyDescent="0.3">
      <c r="B38" s="806">
        <f t="shared" si="34"/>
        <v>480</v>
      </c>
      <c r="C38" s="822">
        <f t="shared" si="35"/>
        <v>6980523.7869999995</v>
      </c>
      <c r="D38" s="823">
        <f t="shared" si="36"/>
        <v>364878.47</v>
      </c>
      <c r="E38" s="824">
        <f t="shared" si="37"/>
        <v>-5.66</v>
      </c>
      <c r="F38" s="793">
        <f t="shared" si="38"/>
        <v>431.459</v>
      </c>
      <c r="G38" s="825">
        <f t="shared" si="39"/>
        <v>-5.15</v>
      </c>
      <c r="H38" s="793">
        <f t="shared" si="40"/>
        <v>431.79</v>
      </c>
      <c r="I38" s="826">
        <f t="shared" si="41"/>
        <v>1</v>
      </c>
      <c r="J38" s="825">
        <f t="shared" si="42"/>
        <v>-4.2</v>
      </c>
      <c r="K38" s="825">
        <f t="shared" si="43"/>
        <v>431.78</v>
      </c>
      <c r="L38" s="793">
        <f t="shared" si="44"/>
        <v>-3.85</v>
      </c>
      <c r="M38" s="793">
        <f t="shared" si="45"/>
        <v>431.375</v>
      </c>
      <c r="N38" s="793">
        <v>-2.17</v>
      </c>
      <c r="O38" s="824">
        <f t="shared" si="46"/>
        <v>431.459</v>
      </c>
      <c r="P38" s="793">
        <f t="shared" si="47"/>
        <v>431.82900000000001</v>
      </c>
      <c r="Q38" s="794">
        <f t="shared" si="48"/>
        <v>-0.37</v>
      </c>
      <c r="R38" s="793">
        <v>1.4</v>
      </c>
      <c r="S38" s="793">
        <f t="shared" si="49"/>
        <v>431.51299999999998</v>
      </c>
      <c r="T38" s="793">
        <f t="shared" si="50"/>
        <v>3.85</v>
      </c>
      <c r="U38" s="825">
        <f t="shared" si="51"/>
        <v>431.91</v>
      </c>
      <c r="V38" s="822">
        <f t="shared" si="52"/>
        <v>4.2</v>
      </c>
      <c r="W38" s="826">
        <f t="shared" si="53"/>
        <v>1</v>
      </c>
      <c r="X38" s="793">
        <f t="shared" si="54"/>
        <v>431.92</v>
      </c>
      <c r="Y38" s="826">
        <f t="shared" si="55"/>
        <v>5.15</v>
      </c>
      <c r="Z38" s="793">
        <f t="shared" si="56"/>
        <v>434.34399999999999</v>
      </c>
      <c r="AA38" s="794">
        <f t="shared" si="57"/>
        <v>6.7480000000000002</v>
      </c>
      <c r="AB38" s="793">
        <f t="shared" si="30"/>
        <v>3.5</v>
      </c>
      <c r="AC38" s="794">
        <f t="shared" si="31"/>
        <v>1.65</v>
      </c>
      <c r="AD38" s="795">
        <f t="shared" si="21"/>
        <v>0.35</v>
      </c>
      <c r="AE38" s="793">
        <f t="shared" si="32"/>
        <v>3.5</v>
      </c>
      <c r="AF38" s="794">
        <f t="shared" si="33"/>
        <v>1.65</v>
      </c>
      <c r="AG38" s="795">
        <f t="shared" si="22"/>
        <v>0.35</v>
      </c>
      <c r="AH38" s="773"/>
      <c r="AI38" s="796"/>
      <c r="AJ38" s="796"/>
      <c r="AK38" s="796"/>
      <c r="AL38" s="796">
        <v>24</v>
      </c>
      <c r="AM38" s="797">
        <v>0</v>
      </c>
      <c r="AN38" s="796" t="s">
        <v>4310</v>
      </c>
      <c r="AO38" s="796">
        <v>431.80900000000003</v>
      </c>
      <c r="AP38" s="796">
        <v>431.82900000000001</v>
      </c>
      <c r="AQ38" s="796">
        <f t="shared" si="26"/>
        <v>-1.99999999999818E-2</v>
      </c>
      <c r="AR38" s="796"/>
      <c r="AS38" s="796"/>
      <c r="AT38" s="796"/>
      <c r="AV38" s="797">
        <v>-5.66</v>
      </c>
      <c r="AW38" s="797">
        <v>431.459</v>
      </c>
      <c r="AX38" s="797">
        <v>6.7480000000000002</v>
      </c>
      <c r="AY38" s="797">
        <v>434.34399999999999</v>
      </c>
      <c r="BA38" s="762">
        <f t="shared" si="58"/>
        <v>480</v>
      </c>
      <c r="BC38" s="798">
        <f t="shared" si="59"/>
        <v>480</v>
      </c>
      <c r="BD38" s="799">
        <f t="shared" si="27"/>
        <v>6980523.7869999995</v>
      </c>
      <c r="BE38" s="799">
        <f t="shared" si="28"/>
        <v>364878.47200000001</v>
      </c>
      <c r="BF38" s="800"/>
      <c r="BJ38" s="801">
        <v>24</v>
      </c>
      <c r="BK38" s="802"/>
      <c r="BL38" s="802"/>
      <c r="BM38" s="803">
        <f t="shared" si="29"/>
        <v>480</v>
      </c>
      <c r="BN38" s="804">
        <v>6980523.7871434996</v>
      </c>
      <c r="BO38" s="805">
        <v>364878.47213329998</v>
      </c>
    </row>
    <row r="39" spans="2:67" ht="15.75" x14ac:dyDescent="0.3">
      <c r="B39" s="806">
        <f t="shared" si="34"/>
        <v>500</v>
      </c>
      <c r="C39" s="822">
        <f t="shared" si="35"/>
        <v>6980505.5880000005</v>
      </c>
      <c r="D39" s="823">
        <f t="shared" si="36"/>
        <v>364870.23</v>
      </c>
      <c r="E39" s="824">
        <f t="shared" si="37"/>
        <v>-5.6470000000000002</v>
      </c>
      <c r="F39" s="793">
        <f t="shared" si="38"/>
        <v>432.26799999999997</v>
      </c>
      <c r="G39" s="825">
        <f t="shared" si="39"/>
        <v>-5.15</v>
      </c>
      <c r="H39" s="793">
        <f t="shared" si="40"/>
        <v>431.5</v>
      </c>
      <c r="I39" s="826">
        <f t="shared" si="41"/>
        <v>1</v>
      </c>
      <c r="J39" s="825">
        <f t="shared" si="42"/>
        <v>-4.2</v>
      </c>
      <c r="K39" s="825">
        <f t="shared" si="43"/>
        <v>431.49</v>
      </c>
      <c r="L39" s="793">
        <f t="shared" si="44"/>
        <v>-3.85</v>
      </c>
      <c r="M39" s="793">
        <f t="shared" si="45"/>
        <v>431.08499999999998</v>
      </c>
      <c r="N39" s="793">
        <v>-4.4400000000000004</v>
      </c>
      <c r="O39" s="824">
        <f t="shared" si="46"/>
        <v>431.25599999999997</v>
      </c>
      <c r="P39" s="793">
        <f t="shared" si="47"/>
        <v>431.82499999999999</v>
      </c>
      <c r="Q39" s="794">
        <f t="shared" si="48"/>
        <v>-0.56899999999999995</v>
      </c>
      <c r="R39" s="793">
        <v>4.4400000000000004</v>
      </c>
      <c r="S39" s="793">
        <f t="shared" si="49"/>
        <v>431.42700000000002</v>
      </c>
      <c r="T39" s="793">
        <f t="shared" si="50"/>
        <v>3.85</v>
      </c>
      <c r="U39" s="825">
        <f t="shared" si="51"/>
        <v>431.83</v>
      </c>
      <c r="V39" s="822">
        <f t="shared" si="52"/>
        <v>4.2</v>
      </c>
      <c r="W39" s="826">
        <f t="shared" si="53"/>
        <v>1</v>
      </c>
      <c r="X39" s="793">
        <f t="shared" si="54"/>
        <v>431.84</v>
      </c>
      <c r="Y39" s="826">
        <f t="shared" si="55"/>
        <v>5.15</v>
      </c>
      <c r="Z39" s="793">
        <f t="shared" si="56"/>
        <v>434.93700000000001</v>
      </c>
      <c r="AA39" s="794">
        <f t="shared" si="57"/>
        <v>7.2039999999999997</v>
      </c>
      <c r="AB39" s="793">
        <f t="shared" si="30"/>
        <v>3.5</v>
      </c>
      <c r="AC39" s="794">
        <f t="shared" si="31"/>
        <v>1.65</v>
      </c>
      <c r="AD39" s="795">
        <f t="shared" si="21"/>
        <v>0.35</v>
      </c>
      <c r="AE39" s="793">
        <f t="shared" si="32"/>
        <v>3.5</v>
      </c>
      <c r="AF39" s="794">
        <f t="shared" si="33"/>
        <v>1.65</v>
      </c>
      <c r="AG39" s="795">
        <f t="shared" si="22"/>
        <v>0.35</v>
      </c>
      <c r="AH39" s="773"/>
      <c r="AI39" s="796"/>
      <c r="AJ39" s="796"/>
      <c r="AK39" s="796"/>
      <c r="AL39" s="796">
        <v>25</v>
      </c>
      <c r="AM39" s="797">
        <v>0</v>
      </c>
      <c r="AN39" s="796"/>
      <c r="AO39" s="796">
        <v>431.60599999999999</v>
      </c>
      <c r="AP39" s="796">
        <v>431.82499999999999</v>
      </c>
      <c r="AQ39" s="796">
        <f t="shared" si="26"/>
        <v>-0.21899999999999401</v>
      </c>
      <c r="AR39" s="796"/>
      <c r="AS39" s="796"/>
      <c r="AT39" s="796"/>
      <c r="AV39" s="797">
        <v>-5.6470000000000002</v>
      </c>
      <c r="AW39" s="797">
        <v>432.26799999999997</v>
      </c>
      <c r="AX39" s="797">
        <v>7.2039999999999997</v>
      </c>
      <c r="AY39" s="797">
        <v>434.93700000000001</v>
      </c>
      <c r="BA39" s="762">
        <f t="shared" si="58"/>
        <v>500</v>
      </c>
      <c r="BC39" s="798">
        <f t="shared" si="59"/>
        <v>500</v>
      </c>
      <c r="BD39" s="799">
        <f t="shared" si="27"/>
        <v>6980505.5880000005</v>
      </c>
      <c r="BE39" s="799">
        <f t="shared" si="28"/>
        <v>364870.22600000002</v>
      </c>
      <c r="BF39" s="800"/>
      <c r="BJ39" s="801">
        <v>25</v>
      </c>
      <c r="BK39" s="802"/>
      <c r="BL39" s="802"/>
      <c r="BM39" s="803">
        <f t="shared" si="29"/>
        <v>500</v>
      </c>
      <c r="BN39" s="804">
        <v>6980505.5878830999</v>
      </c>
      <c r="BO39" s="805">
        <v>364870.22580760001</v>
      </c>
    </row>
    <row r="40" spans="2:67" ht="15.75" x14ac:dyDescent="0.3">
      <c r="B40" s="806">
        <f t="shared" si="34"/>
        <v>520</v>
      </c>
      <c r="C40" s="822">
        <f t="shared" si="35"/>
        <v>6980486.29</v>
      </c>
      <c r="D40" s="823">
        <f t="shared" si="36"/>
        <v>364865.06</v>
      </c>
      <c r="E40" s="824">
        <f t="shared" si="37"/>
        <v>-5.7409999999999997</v>
      </c>
      <c r="F40" s="793">
        <f t="shared" si="38"/>
        <v>431.54700000000003</v>
      </c>
      <c r="G40" s="825">
        <f t="shared" si="39"/>
        <v>-5.15</v>
      </c>
      <c r="H40" s="793">
        <f t="shared" si="40"/>
        <v>430.63</v>
      </c>
      <c r="I40" s="826">
        <f t="shared" si="41"/>
        <v>1</v>
      </c>
      <c r="J40" s="825">
        <f t="shared" si="42"/>
        <v>-4.2</v>
      </c>
      <c r="K40" s="825">
        <f t="shared" si="43"/>
        <v>430.62</v>
      </c>
      <c r="L40" s="793">
        <f t="shared" si="44"/>
        <v>-3.85</v>
      </c>
      <c r="M40" s="793">
        <f t="shared" si="45"/>
        <v>430.22399999999999</v>
      </c>
      <c r="N40" s="793">
        <v>-4.09</v>
      </c>
      <c r="O40" s="824">
        <f t="shared" si="46"/>
        <v>430.38099999999997</v>
      </c>
      <c r="P40" s="793">
        <f t="shared" si="47"/>
        <v>431.04700000000003</v>
      </c>
      <c r="Q40" s="794">
        <f t="shared" si="48"/>
        <v>-0.66600000000000004</v>
      </c>
      <c r="R40" s="793">
        <v>4.09</v>
      </c>
      <c r="S40" s="793">
        <f t="shared" si="49"/>
        <v>430.53800000000001</v>
      </c>
      <c r="T40" s="793">
        <f t="shared" si="50"/>
        <v>3.85</v>
      </c>
      <c r="U40" s="825">
        <f t="shared" si="51"/>
        <v>430.94</v>
      </c>
      <c r="V40" s="822">
        <f t="shared" si="52"/>
        <v>4.2</v>
      </c>
      <c r="W40" s="826">
        <f t="shared" si="53"/>
        <v>1</v>
      </c>
      <c r="X40" s="793">
        <f t="shared" si="54"/>
        <v>430.95</v>
      </c>
      <c r="Y40" s="826">
        <f t="shared" si="55"/>
        <v>5.15</v>
      </c>
      <c r="Z40" s="793">
        <f t="shared" si="56"/>
        <v>434.017</v>
      </c>
      <c r="AA40" s="794">
        <f t="shared" si="57"/>
        <v>7.1820000000000004</v>
      </c>
      <c r="AB40" s="793">
        <f t="shared" si="30"/>
        <v>3.5</v>
      </c>
      <c r="AC40" s="794">
        <f t="shared" si="31"/>
        <v>1.65</v>
      </c>
      <c r="AD40" s="795">
        <f t="shared" si="21"/>
        <v>0.35</v>
      </c>
      <c r="AE40" s="793">
        <f t="shared" si="32"/>
        <v>3.5</v>
      </c>
      <c r="AF40" s="794">
        <f t="shared" si="33"/>
        <v>1.65</v>
      </c>
      <c r="AG40" s="795">
        <f t="shared" si="22"/>
        <v>0.35</v>
      </c>
      <c r="AH40" s="773"/>
      <c r="AI40" s="796"/>
      <c r="AJ40" s="796"/>
      <c r="AK40" s="796"/>
      <c r="AL40" s="796">
        <v>26</v>
      </c>
      <c r="AM40" s="797">
        <v>0</v>
      </c>
      <c r="AN40" s="796"/>
      <c r="AO40" s="796">
        <v>430.73099999999999</v>
      </c>
      <c r="AP40" s="796">
        <v>431.04700000000003</v>
      </c>
      <c r="AQ40" s="796">
        <f t="shared" si="26"/>
        <v>-0.31600000000003098</v>
      </c>
      <c r="AR40" s="796"/>
      <c r="AS40" s="796"/>
      <c r="AT40" s="796"/>
      <c r="AV40" s="797">
        <v>-5.7409999999999997</v>
      </c>
      <c r="AW40" s="797">
        <v>431.54700000000003</v>
      </c>
      <c r="AX40" s="797">
        <v>7.1820000000000004</v>
      </c>
      <c r="AY40" s="797">
        <v>434.017</v>
      </c>
      <c r="BA40" s="762">
        <f t="shared" si="58"/>
        <v>520</v>
      </c>
      <c r="BC40" s="798">
        <f t="shared" si="59"/>
        <v>520</v>
      </c>
      <c r="BD40" s="799">
        <f t="shared" si="27"/>
        <v>6980486.29</v>
      </c>
      <c r="BE40" s="799">
        <f t="shared" si="28"/>
        <v>364865.06199999998</v>
      </c>
      <c r="BF40" s="800"/>
      <c r="BJ40" s="801">
        <v>26</v>
      </c>
      <c r="BK40" s="802"/>
      <c r="BL40" s="802"/>
      <c r="BM40" s="803">
        <f t="shared" si="29"/>
        <v>520</v>
      </c>
      <c r="BN40" s="804">
        <v>6980486.2900839997</v>
      </c>
      <c r="BO40" s="805">
        <v>364865.06151869998</v>
      </c>
    </row>
    <row r="41" spans="2:67" ht="15.75" x14ac:dyDescent="0.3">
      <c r="B41" s="806">
        <f t="shared" si="34"/>
        <v>540</v>
      </c>
      <c r="C41" s="822">
        <f t="shared" si="35"/>
        <v>6980466.4119999995</v>
      </c>
      <c r="D41" s="823">
        <f t="shared" si="36"/>
        <v>364862.98</v>
      </c>
      <c r="E41" s="824">
        <f t="shared" si="37"/>
        <v>-6.6929999999999996</v>
      </c>
      <c r="F41" s="793">
        <f t="shared" si="38"/>
        <v>428.01499999999999</v>
      </c>
      <c r="G41" s="825">
        <f t="shared" si="39"/>
        <v>-5.15</v>
      </c>
      <c r="H41" s="793">
        <f t="shared" si="40"/>
        <v>429.03</v>
      </c>
      <c r="I41" s="826">
        <f t="shared" si="41"/>
        <v>1</v>
      </c>
      <c r="J41" s="825">
        <f t="shared" si="42"/>
        <v>-4.2</v>
      </c>
      <c r="K41" s="825">
        <f t="shared" si="43"/>
        <v>429.02</v>
      </c>
      <c r="L41" s="793">
        <f t="shared" si="44"/>
        <v>-3.85</v>
      </c>
      <c r="M41" s="793">
        <f t="shared" si="45"/>
        <v>428.62099999999998</v>
      </c>
      <c r="N41" s="793">
        <v>-2.04</v>
      </c>
      <c r="O41" s="824">
        <f t="shared" si="46"/>
        <v>428.7</v>
      </c>
      <c r="P41" s="793">
        <f t="shared" si="47"/>
        <v>429.04500000000002</v>
      </c>
      <c r="Q41" s="794">
        <f t="shared" si="48"/>
        <v>-0.34499999999999997</v>
      </c>
      <c r="R41" s="793">
        <v>0.87</v>
      </c>
      <c r="S41" s="793">
        <f t="shared" si="49"/>
        <v>428.733</v>
      </c>
      <c r="T41" s="793">
        <f t="shared" si="50"/>
        <v>3.85</v>
      </c>
      <c r="U41" s="825">
        <f t="shared" si="51"/>
        <v>429.13</v>
      </c>
      <c r="V41" s="822">
        <f t="shared" si="52"/>
        <v>4.2</v>
      </c>
      <c r="W41" s="826">
        <f t="shared" si="53"/>
        <v>1</v>
      </c>
      <c r="X41" s="793">
        <f t="shared" si="54"/>
        <v>429.14</v>
      </c>
      <c r="Y41" s="826">
        <f t="shared" si="55"/>
        <v>5.15</v>
      </c>
      <c r="Z41" s="793">
        <f t="shared" si="56"/>
        <v>429.78399999999999</v>
      </c>
      <c r="AA41" s="794">
        <f t="shared" si="57"/>
        <v>5.5720000000000001</v>
      </c>
      <c r="AB41" s="793">
        <f t="shared" si="30"/>
        <v>3.5</v>
      </c>
      <c r="AC41" s="794">
        <f t="shared" si="31"/>
        <v>1.65</v>
      </c>
      <c r="AD41" s="795">
        <f t="shared" si="21"/>
        <v>0.35</v>
      </c>
      <c r="AE41" s="793">
        <f t="shared" si="32"/>
        <v>3.5</v>
      </c>
      <c r="AF41" s="794">
        <f t="shared" si="33"/>
        <v>1.65</v>
      </c>
      <c r="AG41" s="795">
        <f t="shared" si="22"/>
        <v>0.35</v>
      </c>
      <c r="AH41" s="773"/>
      <c r="AI41" s="796"/>
      <c r="AJ41" s="796"/>
      <c r="AK41" s="796"/>
      <c r="AL41" s="796">
        <v>27</v>
      </c>
      <c r="AM41" s="797">
        <v>0</v>
      </c>
      <c r="AN41" s="796" t="s">
        <v>4310</v>
      </c>
      <c r="AO41" s="796">
        <v>429.05</v>
      </c>
      <c r="AP41" s="796">
        <v>429.04500000000002</v>
      </c>
      <c r="AQ41" s="796">
        <f t="shared" si="26"/>
        <v>4.9999999999954499E-3</v>
      </c>
      <c r="AR41" s="796"/>
      <c r="AS41" s="796"/>
      <c r="AT41" s="796"/>
      <c r="AV41" s="797">
        <v>-6.6929999999999996</v>
      </c>
      <c r="AW41" s="797">
        <v>428.01499999999999</v>
      </c>
      <c r="AX41" s="797">
        <v>5.5720000000000001</v>
      </c>
      <c r="AY41" s="797">
        <v>429.78399999999999</v>
      </c>
      <c r="BA41" s="762">
        <f t="shared" si="58"/>
        <v>540</v>
      </c>
      <c r="BC41" s="798">
        <f t="shared" si="59"/>
        <v>540</v>
      </c>
      <c r="BD41" s="799">
        <f t="shared" si="27"/>
        <v>6980466.4119999995</v>
      </c>
      <c r="BE41" s="799">
        <f t="shared" si="28"/>
        <v>364862.978</v>
      </c>
      <c r="BF41" s="800"/>
      <c r="BJ41" s="801">
        <v>27</v>
      </c>
      <c r="BK41" s="802"/>
      <c r="BL41" s="802"/>
      <c r="BM41" s="803">
        <f t="shared" si="29"/>
        <v>540</v>
      </c>
      <c r="BN41" s="804">
        <v>6980466.4124058001</v>
      </c>
      <c r="BO41" s="805">
        <v>364862.97831620002</v>
      </c>
    </row>
    <row r="42" spans="2:67" ht="15.75" x14ac:dyDescent="0.3">
      <c r="B42" s="806">
        <f t="shared" si="34"/>
        <v>560</v>
      </c>
      <c r="C42" s="822">
        <f t="shared" si="35"/>
        <v>6980446.4589999998</v>
      </c>
      <c r="D42" s="823">
        <f t="shared" si="36"/>
        <v>364861.62</v>
      </c>
      <c r="E42" s="824">
        <f t="shared" si="37"/>
        <v>-10.166</v>
      </c>
      <c r="F42" s="793">
        <f t="shared" si="38"/>
        <v>423.65699999999998</v>
      </c>
      <c r="G42" s="825">
        <f t="shared" si="39"/>
        <v>-5.15</v>
      </c>
      <c r="H42" s="793">
        <f t="shared" si="40"/>
        <v>426.99</v>
      </c>
      <c r="I42" s="826">
        <f t="shared" si="41"/>
        <v>1</v>
      </c>
      <c r="J42" s="825">
        <f t="shared" si="42"/>
        <v>-4.2</v>
      </c>
      <c r="K42" s="825">
        <f t="shared" si="43"/>
        <v>426.98</v>
      </c>
      <c r="L42" s="793">
        <f t="shared" si="44"/>
        <v>-3.85</v>
      </c>
      <c r="M42" s="793">
        <f t="shared" si="45"/>
        <v>426.57799999999997</v>
      </c>
      <c r="N42" s="793">
        <v>-2</v>
      </c>
      <c r="O42" s="824">
        <f t="shared" si="46"/>
        <v>426.65499999999997</v>
      </c>
      <c r="P42" s="793">
        <f t="shared" si="47"/>
        <v>426.79199999999997</v>
      </c>
      <c r="Q42" s="794">
        <f t="shared" si="48"/>
        <v>-0.13700000000000001</v>
      </c>
      <c r="R42" s="793">
        <v>-1.78</v>
      </c>
      <c r="S42" s="793">
        <f t="shared" si="49"/>
        <v>426.58600000000001</v>
      </c>
      <c r="T42" s="793">
        <f t="shared" si="50"/>
        <v>3.85</v>
      </c>
      <c r="U42" s="825">
        <f t="shared" si="51"/>
        <v>426.99</v>
      </c>
      <c r="V42" s="822">
        <f t="shared" si="52"/>
        <v>4.2</v>
      </c>
      <c r="W42" s="826">
        <f t="shared" si="53"/>
        <v>1</v>
      </c>
      <c r="X42" s="793">
        <f t="shared" si="54"/>
        <v>427</v>
      </c>
      <c r="Y42" s="826">
        <f t="shared" si="55"/>
        <v>5.15</v>
      </c>
      <c r="Z42" s="793">
        <f t="shared" si="56"/>
        <v>427.48399999999998</v>
      </c>
      <c r="AA42" s="794">
        <f t="shared" si="57"/>
        <v>5.4649999999999999</v>
      </c>
      <c r="AB42" s="793">
        <f t="shared" si="30"/>
        <v>3.5</v>
      </c>
      <c r="AC42" s="794">
        <f t="shared" si="31"/>
        <v>1.65</v>
      </c>
      <c r="AD42" s="795">
        <f t="shared" si="21"/>
        <v>0.35</v>
      </c>
      <c r="AE42" s="793">
        <f t="shared" si="32"/>
        <v>3.5</v>
      </c>
      <c r="AF42" s="794">
        <f t="shared" si="33"/>
        <v>1.65</v>
      </c>
      <c r="AG42" s="795">
        <f t="shared" si="22"/>
        <v>0.35</v>
      </c>
      <c r="AH42" s="773"/>
      <c r="AI42" s="796"/>
      <c r="AJ42" s="796"/>
      <c r="AK42" s="796"/>
      <c r="AL42" s="796">
        <v>28</v>
      </c>
      <c r="AM42" s="797">
        <v>0</v>
      </c>
      <c r="AN42" s="796"/>
      <c r="AO42" s="796">
        <v>427.005</v>
      </c>
      <c r="AP42" s="796">
        <v>426.79199999999997</v>
      </c>
      <c r="AQ42" s="796">
        <f t="shared" si="26"/>
        <v>0.21300000000002201</v>
      </c>
      <c r="AR42" s="796"/>
      <c r="AS42" s="796"/>
      <c r="AT42" s="796"/>
      <c r="AV42" s="797">
        <v>-10.166</v>
      </c>
      <c r="AW42" s="797">
        <v>423.65699999999998</v>
      </c>
      <c r="AX42" s="797">
        <v>5.4649999999999999</v>
      </c>
      <c r="AY42" s="797">
        <v>427.48399999999998</v>
      </c>
      <c r="BA42" s="762">
        <f t="shared" si="58"/>
        <v>560</v>
      </c>
      <c r="BC42" s="798">
        <f t="shared" si="59"/>
        <v>560</v>
      </c>
      <c r="BD42" s="799">
        <f t="shared" si="27"/>
        <v>6980446.4589999998</v>
      </c>
      <c r="BE42" s="799">
        <f t="shared" si="28"/>
        <v>364861.61800000002</v>
      </c>
      <c r="BF42" s="800"/>
      <c r="BJ42" s="801">
        <v>28</v>
      </c>
      <c r="BK42" s="802"/>
      <c r="BL42" s="802"/>
      <c r="BM42" s="803">
        <f t="shared" si="29"/>
        <v>560</v>
      </c>
      <c r="BN42" s="804">
        <v>6980446.4587291004</v>
      </c>
      <c r="BO42" s="805">
        <v>364861.61788119999</v>
      </c>
    </row>
    <row r="43" spans="2:67" ht="15.75" x14ac:dyDescent="0.3">
      <c r="B43" s="806">
        <f t="shared" si="34"/>
        <v>580</v>
      </c>
      <c r="C43" s="822">
        <f t="shared" si="35"/>
        <v>6980426.5049999999</v>
      </c>
      <c r="D43" s="823">
        <f t="shared" si="36"/>
        <v>364860.26</v>
      </c>
      <c r="E43" s="824">
        <f t="shared" si="37"/>
        <v>-7.4390000000000001</v>
      </c>
      <c r="F43" s="793">
        <f t="shared" si="38"/>
        <v>424.47899999999998</v>
      </c>
      <c r="G43" s="825">
        <f t="shared" si="39"/>
        <v>-5.15</v>
      </c>
      <c r="H43" s="793">
        <f t="shared" si="40"/>
        <v>425.99</v>
      </c>
      <c r="I43" s="826">
        <f t="shared" si="41"/>
        <v>1</v>
      </c>
      <c r="J43" s="825">
        <f t="shared" si="42"/>
        <v>-4.2</v>
      </c>
      <c r="K43" s="825">
        <f t="shared" si="43"/>
        <v>425.98</v>
      </c>
      <c r="L43" s="793">
        <f t="shared" si="44"/>
        <v>-3.85</v>
      </c>
      <c r="M43" s="793">
        <f t="shared" si="45"/>
        <v>425.58300000000003</v>
      </c>
      <c r="N43" s="793">
        <v>-2</v>
      </c>
      <c r="O43" s="824">
        <f t="shared" si="46"/>
        <v>425.66</v>
      </c>
      <c r="P43" s="793">
        <f t="shared" si="47"/>
        <v>425.60899999999998</v>
      </c>
      <c r="Q43" s="794">
        <f t="shared" si="48"/>
        <v>5.0999999999999997E-2</v>
      </c>
      <c r="R43" s="793">
        <v>-2</v>
      </c>
      <c r="S43" s="793">
        <f t="shared" si="49"/>
        <v>425.58300000000003</v>
      </c>
      <c r="T43" s="793">
        <f t="shared" si="50"/>
        <v>3.85</v>
      </c>
      <c r="U43" s="825">
        <f t="shared" si="51"/>
        <v>425.98</v>
      </c>
      <c r="V43" s="822">
        <f t="shared" si="52"/>
        <v>4.2</v>
      </c>
      <c r="W43" s="826">
        <f t="shared" si="53"/>
        <v>1</v>
      </c>
      <c r="X43" s="793">
        <f t="shared" si="54"/>
        <v>425.99</v>
      </c>
      <c r="Y43" s="826">
        <f t="shared" si="55"/>
        <v>5.15</v>
      </c>
      <c r="Z43" s="793">
        <f t="shared" si="56"/>
        <v>426.56</v>
      </c>
      <c r="AA43" s="794">
        <f t="shared" si="57"/>
        <v>5.5170000000000003</v>
      </c>
      <c r="AB43" s="793">
        <f t="shared" si="30"/>
        <v>3.5</v>
      </c>
      <c r="AC43" s="794">
        <f t="shared" si="31"/>
        <v>1.65</v>
      </c>
      <c r="AD43" s="795">
        <f t="shared" si="21"/>
        <v>0.35</v>
      </c>
      <c r="AE43" s="793">
        <f t="shared" si="32"/>
        <v>3.5</v>
      </c>
      <c r="AF43" s="794">
        <f t="shared" si="33"/>
        <v>1.65</v>
      </c>
      <c r="AG43" s="795">
        <f t="shared" si="22"/>
        <v>0.35</v>
      </c>
      <c r="AH43" s="773"/>
      <c r="AI43" s="796"/>
      <c r="AJ43" s="796"/>
      <c r="AK43" s="796"/>
      <c r="AL43" s="796">
        <v>29</v>
      </c>
      <c r="AM43" s="797">
        <v>0</v>
      </c>
      <c r="AN43" s="796" t="s">
        <v>4311</v>
      </c>
      <c r="AO43" s="796">
        <v>426.01</v>
      </c>
      <c r="AP43" s="796">
        <v>425.60899999999998</v>
      </c>
      <c r="AQ43" s="796">
        <f t="shared" si="26"/>
        <v>0.40100000000001002</v>
      </c>
      <c r="AR43" s="796"/>
      <c r="AS43" s="796"/>
      <c r="AT43" s="796"/>
      <c r="AV43" s="797">
        <v>-7.4390000000000001</v>
      </c>
      <c r="AW43" s="797">
        <v>424.47899999999998</v>
      </c>
      <c r="AX43" s="797">
        <v>5.5170000000000003</v>
      </c>
      <c r="AY43" s="797">
        <v>426.56</v>
      </c>
      <c r="BA43" s="762">
        <f t="shared" si="58"/>
        <v>580</v>
      </c>
      <c r="BC43" s="798">
        <f t="shared" si="59"/>
        <v>580</v>
      </c>
      <c r="BD43" s="799">
        <f t="shared" si="27"/>
        <v>6980426.5049999999</v>
      </c>
      <c r="BE43" s="799">
        <f t="shared" si="28"/>
        <v>364860.25699999998</v>
      </c>
      <c r="BF43" s="800"/>
      <c r="BJ43" s="801">
        <v>29</v>
      </c>
      <c r="BK43" s="802"/>
      <c r="BL43" s="802"/>
      <c r="BM43" s="803">
        <f t="shared" si="29"/>
        <v>580</v>
      </c>
      <c r="BN43" s="804">
        <v>6980426.5050523002</v>
      </c>
      <c r="BO43" s="805">
        <v>364860.2574462</v>
      </c>
    </row>
    <row r="44" spans="2:67" ht="15.75" x14ac:dyDescent="0.3">
      <c r="B44" s="806">
        <f t="shared" si="34"/>
        <v>600</v>
      </c>
      <c r="C44" s="822">
        <f t="shared" si="35"/>
        <v>6980406.551</v>
      </c>
      <c r="D44" s="823">
        <f t="shared" si="36"/>
        <v>364858.9</v>
      </c>
      <c r="E44" s="824">
        <f t="shared" si="37"/>
        <v>-5.9139999999999997</v>
      </c>
      <c r="F44" s="793">
        <f t="shared" si="38"/>
        <v>425.387</v>
      </c>
      <c r="G44" s="825">
        <f t="shared" si="39"/>
        <v>-5.15</v>
      </c>
      <c r="H44" s="793">
        <f t="shared" si="40"/>
        <v>425.88</v>
      </c>
      <c r="I44" s="826">
        <f t="shared" si="41"/>
        <v>1</v>
      </c>
      <c r="J44" s="825">
        <f t="shared" si="42"/>
        <v>-4.2</v>
      </c>
      <c r="K44" s="825">
        <f t="shared" si="43"/>
        <v>425.87</v>
      </c>
      <c r="L44" s="793">
        <f t="shared" si="44"/>
        <v>-3.85</v>
      </c>
      <c r="M44" s="793">
        <f t="shared" si="45"/>
        <v>425.47399999999999</v>
      </c>
      <c r="N44" s="793">
        <v>-2</v>
      </c>
      <c r="O44" s="824">
        <f t="shared" si="46"/>
        <v>425.55099999999999</v>
      </c>
      <c r="P44" s="793">
        <f t="shared" si="47"/>
        <v>425.6</v>
      </c>
      <c r="Q44" s="794">
        <f t="shared" si="48"/>
        <v>-4.9000000000000002E-2</v>
      </c>
      <c r="R44" s="793">
        <v>-2</v>
      </c>
      <c r="S44" s="793">
        <f t="shared" si="49"/>
        <v>425.47399999999999</v>
      </c>
      <c r="T44" s="793">
        <f t="shared" si="50"/>
        <v>3.85</v>
      </c>
      <c r="U44" s="825">
        <f t="shared" si="51"/>
        <v>425.87</v>
      </c>
      <c r="V44" s="822">
        <f t="shared" si="52"/>
        <v>4.2</v>
      </c>
      <c r="W44" s="826">
        <f t="shared" si="53"/>
        <v>1</v>
      </c>
      <c r="X44" s="793">
        <f t="shared" si="54"/>
        <v>425.88</v>
      </c>
      <c r="Y44" s="826">
        <f t="shared" si="55"/>
        <v>5.15</v>
      </c>
      <c r="Z44" s="793">
        <f t="shared" si="56"/>
        <v>427.185</v>
      </c>
      <c r="AA44" s="794">
        <f t="shared" si="57"/>
        <v>6.0010000000000003</v>
      </c>
      <c r="AB44" s="793">
        <f t="shared" si="30"/>
        <v>3.5</v>
      </c>
      <c r="AC44" s="794">
        <f t="shared" si="31"/>
        <v>1.65</v>
      </c>
      <c r="AD44" s="795">
        <f t="shared" si="21"/>
        <v>0.35</v>
      </c>
      <c r="AE44" s="793">
        <f t="shared" si="32"/>
        <v>3.5</v>
      </c>
      <c r="AF44" s="794">
        <f t="shared" si="33"/>
        <v>1.65</v>
      </c>
      <c r="AG44" s="795">
        <f t="shared" si="22"/>
        <v>0.35</v>
      </c>
      <c r="AH44" s="773"/>
      <c r="AI44" s="796"/>
      <c r="AJ44" s="796"/>
      <c r="AK44" s="796"/>
      <c r="AL44" s="796">
        <v>30</v>
      </c>
      <c r="AM44" s="797">
        <v>0</v>
      </c>
      <c r="AN44" s="796"/>
      <c r="AO44" s="796">
        <v>425.90100000000001</v>
      </c>
      <c r="AP44" s="796">
        <v>425.6</v>
      </c>
      <c r="AQ44" s="796">
        <f t="shared" si="26"/>
        <v>0.300999999999988</v>
      </c>
      <c r="AR44" s="796"/>
      <c r="AS44" s="796"/>
      <c r="AT44" s="796"/>
      <c r="AV44" s="797">
        <v>-5.9139999999999997</v>
      </c>
      <c r="AW44" s="797">
        <v>425.387</v>
      </c>
      <c r="AX44" s="797">
        <v>6.0010000000000003</v>
      </c>
      <c r="AY44" s="797">
        <v>427.185</v>
      </c>
      <c r="BA44" s="762">
        <f t="shared" si="58"/>
        <v>600</v>
      </c>
      <c r="BC44" s="798">
        <f t="shared" si="59"/>
        <v>600</v>
      </c>
      <c r="BD44" s="799">
        <f t="shared" si="27"/>
        <v>6980406.551</v>
      </c>
      <c r="BE44" s="799">
        <f t="shared" si="28"/>
        <v>364858.897</v>
      </c>
      <c r="BF44" s="800"/>
      <c r="BJ44" s="801">
        <v>30</v>
      </c>
      <c r="BK44" s="802"/>
      <c r="BL44" s="802"/>
      <c r="BM44" s="803">
        <f t="shared" si="29"/>
        <v>600</v>
      </c>
      <c r="BN44" s="804">
        <v>6980406.5513754999</v>
      </c>
      <c r="BO44" s="805">
        <v>364858.89701110002</v>
      </c>
    </row>
    <row r="45" spans="2:67" ht="15.75" x14ac:dyDescent="0.3">
      <c r="B45" s="806">
        <f t="shared" si="34"/>
        <v>620</v>
      </c>
      <c r="C45" s="822">
        <f t="shared" si="35"/>
        <v>6980386.5980000002</v>
      </c>
      <c r="D45" s="823">
        <f t="shared" si="36"/>
        <v>364857.54</v>
      </c>
      <c r="E45" s="824">
        <f t="shared" si="37"/>
        <v>-5.266</v>
      </c>
      <c r="F45" s="793">
        <f t="shared" si="38"/>
        <v>425.98200000000003</v>
      </c>
      <c r="G45" s="825">
        <f t="shared" si="39"/>
        <v>-5.15</v>
      </c>
      <c r="H45" s="793">
        <f t="shared" si="40"/>
        <v>425.8</v>
      </c>
      <c r="I45" s="826">
        <f t="shared" si="41"/>
        <v>1</v>
      </c>
      <c r="J45" s="825">
        <f t="shared" si="42"/>
        <v>-4.2</v>
      </c>
      <c r="K45" s="825">
        <f t="shared" si="43"/>
        <v>425.79</v>
      </c>
      <c r="L45" s="793">
        <f t="shared" si="44"/>
        <v>-3.85</v>
      </c>
      <c r="M45" s="793">
        <f t="shared" si="45"/>
        <v>425.38600000000002</v>
      </c>
      <c r="N45" s="793">
        <v>-2</v>
      </c>
      <c r="O45" s="824">
        <f t="shared" si="46"/>
        <v>425.46300000000002</v>
      </c>
      <c r="P45" s="793">
        <f t="shared" si="47"/>
        <v>426.19299999999998</v>
      </c>
      <c r="Q45" s="794">
        <f t="shared" si="48"/>
        <v>-0.73</v>
      </c>
      <c r="R45" s="793">
        <v>-2</v>
      </c>
      <c r="S45" s="793">
        <f t="shared" si="49"/>
        <v>425.38600000000002</v>
      </c>
      <c r="T45" s="793">
        <f t="shared" si="50"/>
        <v>3.85</v>
      </c>
      <c r="U45" s="825">
        <f t="shared" si="51"/>
        <v>425.79</v>
      </c>
      <c r="V45" s="822">
        <f t="shared" si="52"/>
        <v>4.2</v>
      </c>
      <c r="W45" s="826">
        <f t="shared" si="53"/>
        <v>1</v>
      </c>
      <c r="X45" s="793">
        <f t="shared" si="54"/>
        <v>425.8</v>
      </c>
      <c r="Y45" s="826">
        <f t="shared" si="55"/>
        <v>5.15</v>
      </c>
      <c r="Z45" s="793">
        <f t="shared" si="56"/>
        <v>427.11</v>
      </c>
      <c r="AA45" s="794">
        <f t="shared" si="57"/>
        <v>6.01</v>
      </c>
      <c r="AB45" s="793">
        <f t="shared" si="30"/>
        <v>3.5</v>
      </c>
      <c r="AC45" s="794">
        <f t="shared" si="31"/>
        <v>1.65</v>
      </c>
      <c r="AD45" s="795">
        <f t="shared" si="21"/>
        <v>0.35</v>
      </c>
      <c r="AE45" s="793">
        <f t="shared" si="32"/>
        <v>3.5</v>
      </c>
      <c r="AF45" s="794">
        <f t="shared" si="33"/>
        <v>1.65</v>
      </c>
      <c r="AG45" s="795">
        <f t="shared" si="22"/>
        <v>0.35</v>
      </c>
      <c r="AH45" s="773"/>
      <c r="AI45" s="796"/>
      <c r="AJ45" s="796"/>
      <c r="AK45" s="796"/>
      <c r="AL45" s="796">
        <v>31</v>
      </c>
      <c r="AM45" s="797">
        <v>0</v>
      </c>
      <c r="AN45" s="796" t="s">
        <v>4310</v>
      </c>
      <c r="AO45" s="796">
        <v>425.81299999999999</v>
      </c>
      <c r="AP45" s="796">
        <v>426.19299999999998</v>
      </c>
      <c r="AQ45" s="796">
        <f t="shared" si="26"/>
        <v>-0.37999999999999501</v>
      </c>
      <c r="AR45" s="796"/>
      <c r="AS45" s="796"/>
      <c r="AT45" s="796"/>
      <c r="AV45" s="797">
        <v>-5.266</v>
      </c>
      <c r="AW45" s="797">
        <v>425.98200000000003</v>
      </c>
      <c r="AX45" s="797">
        <v>6.01</v>
      </c>
      <c r="AY45" s="797">
        <v>427.11</v>
      </c>
      <c r="BA45" s="762">
        <f t="shared" si="58"/>
        <v>620</v>
      </c>
      <c r="BC45" s="798">
        <f t="shared" si="59"/>
        <v>620</v>
      </c>
      <c r="BD45" s="799">
        <f t="shared" si="27"/>
        <v>6980386.5980000002</v>
      </c>
      <c r="BE45" s="799">
        <f t="shared" si="28"/>
        <v>364857.53700000001</v>
      </c>
      <c r="BF45" s="800"/>
      <c r="BJ45" s="801">
        <v>31</v>
      </c>
      <c r="BK45" s="802"/>
      <c r="BL45" s="802"/>
      <c r="BM45" s="803">
        <f t="shared" si="29"/>
        <v>620</v>
      </c>
      <c r="BN45" s="804">
        <v>6980386.5976988003</v>
      </c>
      <c r="BO45" s="805">
        <v>364857.53657609998</v>
      </c>
    </row>
    <row r="46" spans="2:67" ht="15.75" x14ac:dyDescent="0.3">
      <c r="B46" s="806">
        <f t="shared" si="34"/>
        <v>640</v>
      </c>
      <c r="C46" s="822">
        <f t="shared" si="35"/>
        <v>6980366.6440000003</v>
      </c>
      <c r="D46" s="823">
        <f t="shared" si="36"/>
        <v>364856.18</v>
      </c>
      <c r="E46" s="824">
        <f t="shared" si="37"/>
        <v>-5.4139999999999997</v>
      </c>
      <c r="F46" s="793">
        <f t="shared" si="38"/>
        <v>426.08699999999999</v>
      </c>
      <c r="G46" s="825">
        <f t="shared" si="39"/>
        <v>-5.15</v>
      </c>
      <c r="H46" s="793">
        <f t="shared" si="40"/>
        <v>425.68</v>
      </c>
      <c r="I46" s="826">
        <f t="shared" si="41"/>
        <v>1</v>
      </c>
      <c r="J46" s="825">
        <f t="shared" si="42"/>
        <v>-4.2</v>
      </c>
      <c r="K46" s="825">
        <f t="shared" si="43"/>
        <v>425.67</v>
      </c>
      <c r="L46" s="793">
        <f t="shared" si="44"/>
        <v>-3.85</v>
      </c>
      <c r="M46" s="793">
        <f t="shared" si="45"/>
        <v>425.26499999999999</v>
      </c>
      <c r="N46" s="793">
        <v>-2</v>
      </c>
      <c r="O46" s="824">
        <f t="shared" si="46"/>
        <v>425.34199999999998</v>
      </c>
      <c r="P46" s="793">
        <f t="shared" si="47"/>
        <v>425.90100000000001</v>
      </c>
      <c r="Q46" s="794">
        <f t="shared" si="48"/>
        <v>-0.55900000000000005</v>
      </c>
      <c r="R46" s="793">
        <v>-2</v>
      </c>
      <c r="S46" s="793">
        <f t="shared" si="49"/>
        <v>425.26499999999999</v>
      </c>
      <c r="T46" s="793">
        <f t="shared" si="50"/>
        <v>3.85</v>
      </c>
      <c r="U46" s="825">
        <f t="shared" si="51"/>
        <v>425.67</v>
      </c>
      <c r="V46" s="822">
        <f t="shared" si="52"/>
        <v>4.2</v>
      </c>
      <c r="W46" s="826">
        <f t="shared" si="53"/>
        <v>1</v>
      </c>
      <c r="X46" s="793">
        <f t="shared" si="54"/>
        <v>425.68</v>
      </c>
      <c r="Y46" s="826">
        <f t="shared" si="55"/>
        <v>5.15</v>
      </c>
      <c r="Z46" s="793">
        <f t="shared" si="56"/>
        <v>426.73099999999999</v>
      </c>
      <c r="AA46" s="794">
        <f t="shared" si="57"/>
        <v>5.8390000000000004</v>
      </c>
      <c r="AB46" s="793">
        <f t="shared" si="30"/>
        <v>3.5</v>
      </c>
      <c r="AC46" s="794">
        <f t="shared" si="31"/>
        <v>1.65</v>
      </c>
      <c r="AD46" s="795">
        <f t="shared" si="21"/>
        <v>0.35</v>
      </c>
      <c r="AE46" s="793">
        <f t="shared" si="32"/>
        <v>3.5</v>
      </c>
      <c r="AF46" s="794">
        <f t="shared" si="33"/>
        <v>1.65</v>
      </c>
      <c r="AG46" s="795">
        <f t="shared" si="22"/>
        <v>0.35</v>
      </c>
      <c r="AH46" s="773"/>
      <c r="AI46" s="796"/>
      <c r="AJ46" s="796"/>
      <c r="AK46" s="796"/>
      <c r="AL46" s="796">
        <v>32</v>
      </c>
      <c r="AM46" s="797">
        <v>0</v>
      </c>
      <c r="AN46" s="796"/>
      <c r="AO46" s="796">
        <v>425.69200000000001</v>
      </c>
      <c r="AP46" s="796">
        <v>425.90100000000001</v>
      </c>
      <c r="AQ46" s="796">
        <f t="shared" si="26"/>
        <v>-0.20900000000000299</v>
      </c>
      <c r="AR46" s="796"/>
      <c r="AS46" s="796"/>
      <c r="AT46" s="796"/>
      <c r="AV46" s="797">
        <v>-5.4139999999999997</v>
      </c>
      <c r="AW46" s="797">
        <v>426.08699999999999</v>
      </c>
      <c r="AX46" s="797">
        <v>5.8390000000000004</v>
      </c>
      <c r="AY46" s="797">
        <v>426.73099999999999</v>
      </c>
      <c r="BA46" s="762">
        <f t="shared" si="58"/>
        <v>640</v>
      </c>
      <c r="BC46" s="798">
        <f t="shared" si="59"/>
        <v>640</v>
      </c>
      <c r="BD46" s="799">
        <f t="shared" si="27"/>
        <v>6980366.6440000003</v>
      </c>
      <c r="BE46" s="799">
        <f t="shared" si="28"/>
        <v>364856.17599999998</v>
      </c>
      <c r="BF46" s="800"/>
      <c r="BJ46" s="801">
        <v>32</v>
      </c>
      <c r="BK46" s="802"/>
      <c r="BL46" s="802"/>
      <c r="BM46" s="803">
        <f t="shared" si="29"/>
        <v>640</v>
      </c>
      <c r="BN46" s="804">
        <v>6980366.644022</v>
      </c>
      <c r="BO46" s="805">
        <v>364856.1761411</v>
      </c>
    </row>
    <row r="47" spans="2:67" ht="15.75" x14ac:dyDescent="0.3">
      <c r="B47" s="806">
        <f t="shared" si="34"/>
        <v>660</v>
      </c>
      <c r="C47" s="822">
        <f t="shared" si="35"/>
        <v>6980346.6900000004</v>
      </c>
      <c r="D47" s="823">
        <f t="shared" si="36"/>
        <v>364854.82</v>
      </c>
      <c r="E47" s="824">
        <f t="shared" si="37"/>
        <v>-6.0960000000000001</v>
      </c>
      <c r="F47" s="793">
        <f t="shared" si="38"/>
        <v>426.27600000000001</v>
      </c>
      <c r="G47" s="825">
        <f t="shared" si="39"/>
        <v>-5.15</v>
      </c>
      <c r="H47" s="793">
        <f t="shared" si="40"/>
        <v>424.83</v>
      </c>
      <c r="I47" s="826">
        <f t="shared" si="41"/>
        <v>1</v>
      </c>
      <c r="J47" s="825">
        <f t="shared" si="42"/>
        <v>-4.2</v>
      </c>
      <c r="K47" s="825">
        <f t="shared" si="43"/>
        <v>424.82</v>
      </c>
      <c r="L47" s="793">
        <f t="shared" si="44"/>
        <v>-3.85</v>
      </c>
      <c r="M47" s="793">
        <f t="shared" si="45"/>
        <v>424.42099999999999</v>
      </c>
      <c r="N47" s="793">
        <v>-2</v>
      </c>
      <c r="O47" s="824">
        <f t="shared" si="46"/>
        <v>424.49799999999999</v>
      </c>
      <c r="P47" s="793">
        <f t="shared" si="47"/>
        <v>424.78300000000002</v>
      </c>
      <c r="Q47" s="794">
        <f t="shared" si="48"/>
        <v>-0.28499999999999998</v>
      </c>
      <c r="R47" s="793">
        <v>-2</v>
      </c>
      <c r="S47" s="793">
        <f t="shared" si="49"/>
        <v>424.42099999999999</v>
      </c>
      <c r="T47" s="793">
        <f t="shared" si="50"/>
        <v>3.85</v>
      </c>
      <c r="U47" s="825">
        <f t="shared" si="51"/>
        <v>424.82</v>
      </c>
      <c r="V47" s="822">
        <f t="shared" si="52"/>
        <v>4.2</v>
      </c>
      <c r="W47" s="826">
        <f t="shared" si="53"/>
        <v>1</v>
      </c>
      <c r="X47" s="793">
        <f t="shared" si="54"/>
        <v>424.83</v>
      </c>
      <c r="Y47" s="826">
        <f t="shared" si="55"/>
        <v>5.15</v>
      </c>
      <c r="Z47" s="793">
        <f t="shared" si="56"/>
        <v>426.38499999999999</v>
      </c>
      <c r="AA47" s="794">
        <f t="shared" si="57"/>
        <v>6.1680000000000001</v>
      </c>
      <c r="AB47" s="793">
        <f t="shared" si="30"/>
        <v>3.5</v>
      </c>
      <c r="AC47" s="794">
        <f t="shared" si="31"/>
        <v>1.65</v>
      </c>
      <c r="AD47" s="795">
        <f t="shared" si="21"/>
        <v>0.35</v>
      </c>
      <c r="AE47" s="793">
        <f t="shared" si="32"/>
        <v>3.5</v>
      </c>
      <c r="AF47" s="794">
        <f t="shared" si="33"/>
        <v>1.65</v>
      </c>
      <c r="AG47" s="795">
        <f t="shared" si="22"/>
        <v>0.35</v>
      </c>
      <c r="AH47" s="773"/>
      <c r="AI47" s="796"/>
      <c r="AJ47" s="796"/>
      <c r="AK47" s="796"/>
      <c r="AL47" s="796">
        <v>33</v>
      </c>
      <c r="AM47" s="797">
        <v>0</v>
      </c>
      <c r="AN47" s="796"/>
      <c r="AO47" s="796">
        <v>424.84800000000001</v>
      </c>
      <c r="AP47" s="796">
        <v>424.78300000000002</v>
      </c>
      <c r="AQ47" s="796">
        <f t="shared" si="26"/>
        <v>6.4999999999997699E-2</v>
      </c>
      <c r="AR47" s="796"/>
      <c r="AS47" s="796"/>
      <c r="AT47" s="796"/>
      <c r="AV47" s="797">
        <v>-6.0960000000000001</v>
      </c>
      <c r="AW47" s="797">
        <v>426.27600000000001</v>
      </c>
      <c r="AX47" s="797">
        <v>6.1680000000000001</v>
      </c>
      <c r="AY47" s="797">
        <v>426.38499999999999</v>
      </c>
      <c r="BA47" s="762">
        <f t="shared" si="58"/>
        <v>660</v>
      </c>
      <c r="BC47" s="798">
        <f t="shared" si="59"/>
        <v>660</v>
      </c>
      <c r="BD47" s="799">
        <f t="shared" si="27"/>
        <v>6980346.6900000004</v>
      </c>
      <c r="BE47" s="799">
        <f t="shared" si="28"/>
        <v>364854.81599999999</v>
      </c>
      <c r="BF47" s="800"/>
      <c r="BJ47" s="801">
        <v>33</v>
      </c>
      <c r="BK47" s="802"/>
      <c r="BL47" s="802"/>
      <c r="BM47" s="803">
        <f t="shared" si="29"/>
        <v>660</v>
      </c>
      <c r="BN47" s="804">
        <v>6980346.6903451998</v>
      </c>
      <c r="BO47" s="805">
        <v>364854.81570610002</v>
      </c>
    </row>
    <row r="48" spans="2:67" ht="15.75" x14ac:dyDescent="0.3">
      <c r="B48" s="806">
        <f t="shared" si="34"/>
        <v>680</v>
      </c>
      <c r="C48" s="822">
        <f t="shared" si="35"/>
        <v>6980326.7369999997</v>
      </c>
      <c r="D48" s="823">
        <f t="shared" si="36"/>
        <v>364853.46</v>
      </c>
      <c r="E48" s="824">
        <f t="shared" si="37"/>
        <v>-5.3559999999999999</v>
      </c>
      <c r="F48" s="793">
        <f t="shared" si="38"/>
        <v>423.30200000000002</v>
      </c>
      <c r="G48" s="825">
        <f t="shared" si="39"/>
        <v>-5.15</v>
      </c>
      <c r="H48" s="793">
        <f t="shared" si="40"/>
        <v>422.98</v>
      </c>
      <c r="I48" s="826">
        <f t="shared" si="41"/>
        <v>1</v>
      </c>
      <c r="J48" s="825">
        <f t="shared" si="42"/>
        <v>-4.2</v>
      </c>
      <c r="K48" s="825">
        <f t="shared" si="43"/>
        <v>422.97</v>
      </c>
      <c r="L48" s="793">
        <f t="shared" si="44"/>
        <v>-3.85</v>
      </c>
      <c r="M48" s="793">
        <f t="shared" si="45"/>
        <v>422.56900000000002</v>
      </c>
      <c r="N48" s="793">
        <v>-2</v>
      </c>
      <c r="O48" s="824">
        <f t="shared" si="46"/>
        <v>422.64600000000002</v>
      </c>
      <c r="P48" s="793">
        <f t="shared" si="47"/>
        <v>423.14400000000001</v>
      </c>
      <c r="Q48" s="794">
        <f t="shared" si="48"/>
        <v>-0.498</v>
      </c>
      <c r="R48" s="793">
        <v>-1.43</v>
      </c>
      <c r="S48" s="793">
        <f t="shared" si="49"/>
        <v>422.59100000000001</v>
      </c>
      <c r="T48" s="793">
        <f t="shared" si="50"/>
        <v>3.85</v>
      </c>
      <c r="U48" s="825">
        <f t="shared" si="51"/>
        <v>422.99</v>
      </c>
      <c r="V48" s="822">
        <f t="shared" si="52"/>
        <v>4.2</v>
      </c>
      <c r="W48" s="826">
        <f t="shared" si="53"/>
        <v>1</v>
      </c>
      <c r="X48" s="793">
        <f t="shared" si="54"/>
        <v>423</v>
      </c>
      <c r="Y48" s="826">
        <f t="shared" si="55"/>
        <v>5.15</v>
      </c>
      <c r="Z48" s="793">
        <f t="shared" si="56"/>
        <v>423.68099999999998</v>
      </c>
      <c r="AA48" s="794">
        <f t="shared" si="57"/>
        <v>5.593</v>
      </c>
      <c r="AB48" s="793">
        <f t="shared" si="30"/>
        <v>3.5</v>
      </c>
      <c r="AC48" s="794">
        <f t="shared" si="31"/>
        <v>1.65</v>
      </c>
      <c r="AD48" s="795">
        <f t="shared" si="21"/>
        <v>0.35</v>
      </c>
      <c r="AE48" s="793">
        <f t="shared" si="32"/>
        <v>3.5</v>
      </c>
      <c r="AF48" s="794">
        <f t="shared" si="33"/>
        <v>1.65</v>
      </c>
      <c r="AG48" s="795">
        <f t="shared" si="22"/>
        <v>0.35</v>
      </c>
      <c r="AH48" s="773"/>
      <c r="AI48" s="796"/>
      <c r="AJ48" s="796"/>
      <c r="AK48" s="796"/>
      <c r="AL48" s="796">
        <v>34</v>
      </c>
      <c r="AM48" s="797">
        <v>0</v>
      </c>
      <c r="AN48" s="796" t="s">
        <v>4311</v>
      </c>
      <c r="AO48" s="796">
        <v>422.99599999999998</v>
      </c>
      <c r="AP48" s="796">
        <v>423.14400000000001</v>
      </c>
      <c r="AQ48" s="796">
        <f t="shared" si="26"/>
        <v>-0.148000000000025</v>
      </c>
      <c r="AR48" s="796"/>
      <c r="AS48" s="796"/>
      <c r="AT48" s="796"/>
      <c r="AV48" s="797">
        <v>-5.3559999999999999</v>
      </c>
      <c r="AW48" s="797">
        <v>423.30200000000002</v>
      </c>
      <c r="AX48" s="797">
        <v>5.593</v>
      </c>
      <c r="AY48" s="797">
        <v>423.68099999999998</v>
      </c>
      <c r="BA48" s="762">
        <f t="shared" si="58"/>
        <v>680</v>
      </c>
      <c r="BC48" s="798">
        <f t="shared" si="59"/>
        <v>680</v>
      </c>
      <c r="BD48" s="799">
        <f t="shared" si="27"/>
        <v>6980326.7369999997</v>
      </c>
      <c r="BE48" s="799">
        <f t="shared" si="28"/>
        <v>364853.45500000002</v>
      </c>
      <c r="BF48" s="800"/>
      <c r="BJ48" s="801">
        <v>34</v>
      </c>
      <c r="BK48" s="802"/>
      <c r="BL48" s="802"/>
      <c r="BM48" s="803">
        <f t="shared" si="29"/>
        <v>680</v>
      </c>
      <c r="BN48" s="804">
        <v>6980326.7366685001</v>
      </c>
      <c r="BO48" s="805">
        <v>364853.45527099998</v>
      </c>
    </row>
    <row r="49" spans="2:67" ht="15.75" x14ac:dyDescent="0.3">
      <c r="B49" s="806">
        <f t="shared" si="34"/>
        <v>700</v>
      </c>
      <c r="C49" s="822">
        <f t="shared" si="35"/>
        <v>6980306.7829999998</v>
      </c>
      <c r="D49" s="823">
        <f t="shared" si="36"/>
        <v>364852.1</v>
      </c>
      <c r="E49" s="824">
        <f t="shared" si="37"/>
        <v>-6.7969999999999997</v>
      </c>
      <c r="F49" s="793">
        <f t="shared" si="38"/>
        <v>419.15800000000002</v>
      </c>
      <c r="G49" s="825">
        <f t="shared" si="39"/>
        <v>-5.15</v>
      </c>
      <c r="H49" s="793">
        <f t="shared" si="40"/>
        <v>420.24</v>
      </c>
      <c r="I49" s="826">
        <f t="shared" si="41"/>
        <v>1</v>
      </c>
      <c r="J49" s="825">
        <f t="shared" si="42"/>
        <v>-4.2</v>
      </c>
      <c r="K49" s="825">
        <f t="shared" si="43"/>
        <v>420.23</v>
      </c>
      <c r="L49" s="793">
        <f t="shared" si="44"/>
        <v>-3.85</v>
      </c>
      <c r="M49" s="793">
        <f t="shared" si="45"/>
        <v>419.83199999999999</v>
      </c>
      <c r="N49" s="793">
        <v>-2.54</v>
      </c>
      <c r="O49" s="824">
        <f t="shared" si="46"/>
        <v>419.93</v>
      </c>
      <c r="P49" s="793">
        <f t="shared" si="47"/>
        <v>420.12200000000001</v>
      </c>
      <c r="Q49" s="794">
        <f t="shared" si="48"/>
        <v>-0.192</v>
      </c>
      <c r="R49" s="793">
        <v>2.54</v>
      </c>
      <c r="S49" s="793">
        <f t="shared" si="49"/>
        <v>420.02800000000002</v>
      </c>
      <c r="T49" s="793">
        <f t="shared" si="50"/>
        <v>3.85</v>
      </c>
      <c r="U49" s="825">
        <f t="shared" si="51"/>
        <v>420.43</v>
      </c>
      <c r="V49" s="822">
        <f t="shared" si="52"/>
        <v>4.2</v>
      </c>
      <c r="W49" s="826">
        <f t="shared" si="53"/>
        <v>1</v>
      </c>
      <c r="X49" s="793">
        <f t="shared" si="54"/>
        <v>420.44</v>
      </c>
      <c r="Y49" s="826">
        <f t="shared" si="55"/>
        <v>5.15</v>
      </c>
      <c r="Z49" s="793">
        <f t="shared" si="56"/>
        <v>423.26799999999997</v>
      </c>
      <c r="AA49" s="794">
        <f t="shared" si="57"/>
        <v>7.0209999999999999</v>
      </c>
      <c r="AB49" s="793">
        <f t="shared" si="30"/>
        <v>3.5</v>
      </c>
      <c r="AC49" s="794">
        <f t="shared" si="31"/>
        <v>1.65</v>
      </c>
      <c r="AD49" s="795">
        <f t="shared" si="21"/>
        <v>0.35</v>
      </c>
      <c r="AE49" s="793">
        <f t="shared" si="32"/>
        <v>3.5</v>
      </c>
      <c r="AF49" s="794">
        <f t="shared" si="33"/>
        <v>1.65</v>
      </c>
      <c r="AG49" s="795">
        <f t="shared" si="22"/>
        <v>0.35</v>
      </c>
      <c r="AH49" s="773"/>
      <c r="AI49" s="796"/>
      <c r="AJ49" s="796"/>
      <c r="AK49" s="796"/>
      <c r="AL49" s="796">
        <v>35</v>
      </c>
      <c r="AM49" s="797">
        <v>0</v>
      </c>
      <c r="AN49" s="796"/>
      <c r="AO49" s="796">
        <v>420.28</v>
      </c>
      <c r="AP49" s="796">
        <v>420.12200000000001</v>
      </c>
      <c r="AQ49" s="796">
        <f t="shared" si="26"/>
        <v>0.15799999999995901</v>
      </c>
      <c r="AR49" s="796"/>
      <c r="AS49" s="796"/>
      <c r="AT49" s="796"/>
      <c r="AV49" s="797">
        <v>-6.7969999999999997</v>
      </c>
      <c r="AW49" s="797">
        <v>419.15800000000002</v>
      </c>
      <c r="AX49" s="797">
        <v>7.0209999999999999</v>
      </c>
      <c r="AY49" s="797">
        <v>423.26799999999997</v>
      </c>
      <c r="BA49" s="762">
        <f t="shared" si="58"/>
        <v>700</v>
      </c>
      <c r="BC49" s="798">
        <f t="shared" si="59"/>
        <v>700</v>
      </c>
      <c r="BD49" s="799">
        <f t="shared" si="27"/>
        <v>6980306.7829999998</v>
      </c>
      <c r="BE49" s="799">
        <f t="shared" si="28"/>
        <v>364852.09499999997</v>
      </c>
      <c r="BF49" s="800"/>
      <c r="BJ49" s="801">
        <v>35</v>
      </c>
      <c r="BK49" s="802"/>
      <c r="BL49" s="802"/>
      <c r="BM49" s="803">
        <f t="shared" si="29"/>
        <v>700</v>
      </c>
      <c r="BN49" s="804">
        <v>6980306.7829916999</v>
      </c>
      <c r="BO49" s="805">
        <v>364852.094836</v>
      </c>
    </row>
    <row r="50" spans="2:67" ht="15.75" x14ac:dyDescent="0.3">
      <c r="B50" s="806">
        <f t="shared" si="34"/>
        <v>720</v>
      </c>
      <c r="C50" s="822">
        <f t="shared" si="35"/>
        <v>6980286.8590000002</v>
      </c>
      <c r="D50" s="823">
        <f t="shared" si="36"/>
        <v>364852.63</v>
      </c>
      <c r="E50" s="824">
        <f t="shared" si="37"/>
        <v>-9.1989999999999998</v>
      </c>
      <c r="F50" s="793">
        <f t="shared" si="38"/>
        <v>414.55399999999997</v>
      </c>
      <c r="G50" s="825">
        <f t="shared" si="39"/>
        <v>-5.15</v>
      </c>
      <c r="H50" s="793">
        <f t="shared" si="40"/>
        <v>417.22</v>
      </c>
      <c r="I50" s="826">
        <f t="shared" si="41"/>
        <v>1</v>
      </c>
      <c r="J50" s="825">
        <f t="shared" si="42"/>
        <v>-4.2</v>
      </c>
      <c r="K50" s="825">
        <f t="shared" si="43"/>
        <v>417.21</v>
      </c>
      <c r="L50" s="793">
        <f t="shared" si="44"/>
        <v>-3.85</v>
      </c>
      <c r="M50" s="793">
        <f t="shared" si="45"/>
        <v>416.81</v>
      </c>
      <c r="N50" s="793">
        <v>-7.78</v>
      </c>
      <c r="O50" s="824">
        <f t="shared" si="46"/>
        <v>417.11</v>
      </c>
      <c r="P50" s="793">
        <f t="shared" si="47"/>
        <v>416.99799999999999</v>
      </c>
      <c r="Q50" s="794">
        <f t="shared" si="48"/>
        <v>0.112</v>
      </c>
      <c r="R50" s="793">
        <v>7.78</v>
      </c>
      <c r="S50" s="793">
        <f t="shared" si="49"/>
        <v>417.41</v>
      </c>
      <c r="T50" s="793">
        <f t="shared" si="50"/>
        <v>3.85</v>
      </c>
      <c r="U50" s="825">
        <f t="shared" si="51"/>
        <v>417.81</v>
      </c>
      <c r="V50" s="822">
        <f t="shared" si="52"/>
        <v>4.2</v>
      </c>
      <c r="W50" s="826">
        <f t="shared" si="53"/>
        <v>1</v>
      </c>
      <c r="X50" s="793">
        <f t="shared" si="54"/>
        <v>417.82</v>
      </c>
      <c r="Y50" s="826">
        <f t="shared" si="55"/>
        <v>5.15</v>
      </c>
      <c r="Z50" s="793">
        <f t="shared" si="56"/>
        <v>418.83199999999999</v>
      </c>
      <c r="AA50" s="794">
        <f t="shared" si="57"/>
        <v>5.8339999999999996</v>
      </c>
      <c r="AB50" s="793">
        <f t="shared" si="30"/>
        <v>3.5</v>
      </c>
      <c r="AC50" s="794">
        <f t="shared" si="31"/>
        <v>1.65</v>
      </c>
      <c r="AD50" s="795">
        <f t="shared" si="21"/>
        <v>0.35</v>
      </c>
      <c r="AE50" s="793">
        <f t="shared" si="32"/>
        <v>3.5</v>
      </c>
      <c r="AF50" s="794">
        <f t="shared" si="33"/>
        <v>1.65</v>
      </c>
      <c r="AG50" s="795">
        <f t="shared" si="22"/>
        <v>0.35</v>
      </c>
      <c r="AH50" s="773"/>
      <c r="AI50" s="796"/>
      <c r="AJ50" s="796"/>
      <c r="AK50" s="796"/>
      <c r="AL50" s="796">
        <v>36</v>
      </c>
      <c r="AM50" s="797">
        <v>0</v>
      </c>
      <c r="AN50" s="796" t="s">
        <v>4310</v>
      </c>
      <c r="AO50" s="796">
        <v>417.46</v>
      </c>
      <c r="AP50" s="796">
        <v>416.99799999999999</v>
      </c>
      <c r="AQ50" s="796">
        <f t="shared" si="26"/>
        <v>0.46199999999998898</v>
      </c>
      <c r="AR50" s="796"/>
      <c r="AS50" s="796"/>
      <c r="AT50" s="796"/>
      <c r="AV50" s="797">
        <v>-9.1989999999999998</v>
      </c>
      <c r="AW50" s="797">
        <v>414.55399999999997</v>
      </c>
      <c r="AX50" s="797">
        <v>5.8339999999999996</v>
      </c>
      <c r="AY50" s="797">
        <v>418.83199999999999</v>
      </c>
      <c r="BA50" s="762">
        <f t="shared" si="58"/>
        <v>720</v>
      </c>
      <c r="BC50" s="798">
        <f t="shared" si="59"/>
        <v>720</v>
      </c>
      <c r="BD50" s="799">
        <f t="shared" si="27"/>
        <v>6980286.8590000002</v>
      </c>
      <c r="BE50" s="799">
        <f t="shared" si="28"/>
        <v>364852.63099999999</v>
      </c>
      <c r="BF50" s="800"/>
      <c r="BJ50" s="801">
        <v>36</v>
      </c>
      <c r="BK50" s="802"/>
      <c r="BL50" s="802"/>
      <c r="BM50" s="803">
        <f t="shared" si="29"/>
        <v>720</v>
      </c>
      <c r="BN50" s="804">
        <v>6980286.8592994995</v>
      </c>
      <c r="BO50" s="805">
        <v>364852.63137379999</v>
      </c>
    </row>
    <row r="51" spans="2:67" ht="15.75" x14ac:dyDescent="0.3">
      <c r="B51" s="806">
        <f t="shared" si="34"/>
        <v>740</v>
      </c>
      <c r="C51" s="822">
        <f t="shared" si="35"/>
        <v>6980267.8439999996</v>
      </c>
      <c r="D51" s="823">
        <f t="shared" si="36"/>
        <v>364858.73</v>
      </c>
      <c r="E51" s="824">
        <f t="shared" si="37"/>
        <v>-10.445</v>
      </c>
      <c r="F51" s="793">
        <f t="shared" si="38"/>
        <v>411.029</v>
      </c>
      <c r="G51" s="825">
        <f t="shared" si="39"/>
        <v>-5.15</v>
      </c>
      <c r="H51" s="793">
        <f t="shared" si="40"/>
        <v>414.54</v>
      </c>
      <c r="I51" s="826">
        <f t="shared" si="41"/>
        <v>1</v>
      </c>
      <c r="J51" s="825">
        <f t="shared" si="42"/>
        <v>-4.2</v>
      </c>
      <c r="K51" s="825">
        <f t="shared" si="43"/>
        <v>414.53</v>
      </c>
      <c r="L51" s="793">
        <f t="shared" si="44"/>
        <v>-3.85</v>
      </c>
      <c r="M51" s="793">
        <f t="shared" si="45"/>
        <v>414.12900000000002</v>
      </c>
      <c r="N51" s="793">
        <v>-4.4000000000000004</v>
      </c>
      <c r="O51" s="824">
        <f t="shared" si="46"/>
        <v>414.298</v>
      </c>
      <c r="P51" s="793">
        <f t="shared" si="47"/>
        <v>414.18200000000002</v>
      </c>
      <c r="Q51" s="794">
        <f t="shared" si="48"/>
        <v>0.11600000000000001</v>
      </c>
      <c r="R51" s="793">
        <v>5.24</v>
      </c>
      <c r="S51" s="793">
        <f t="shared" si="49"/>
        <v>414.5</v>
      </c>
      <c r="T51" s="793">
        <f t="shared" si="50"/>
        <v>3.85</v>
      </c>
      <c r="U51" s="825">
        <f t="shared" si="51"/>
        <v>414.9</v>
      </c>
      <c r="V51" s="822">
        <f t="shared" si="52"/>
        <v>4.2</v>
      </c>
      <c r="W51" s="826">
        <f t="shared" si="53"/>
        <v>1</v>
      </c>
      <c r="X51" s="793">
        <f t="shared" si="54"/>
        <v>414.91</v>
      </c>
      <c r="Y51" s="826">
        <f t="shared" si="55"/>
        <v>5.15</v>
      </c>
      <c r="Z51" s="793">
        <f t="shared" si="56"/>
        <v>415.24799999999999</v>
      </c>
      <c r="AA51" s="794">
        <f t="shared" si="57"/>
        <v>5.4020000000000001</v>
      </c>
      <c r="AB51" s="793">
        <f t="shared" si="30"/>
        <v>3.5</v>
      </c>
      <c r="AC51" s="794">
        <f t="shared" si="31"/>
        <v>1.65</v>
      </c>
      <c r="AD51" s="795">
        <f t="shared" si="21"/>
        <v>0.35</v>
      </c>
      <c r="AE51" s="793">
        <f t="shared" si="32"/>
        <v>3.5</v>
      </c>
      <c r="AF51" s="794">
        <f t="shared" si="33"/>
        <v>1.65</v>
      </c>
      <c r="AG51" s="795">
        <f t="shared" si="22"/>
        <v>0.35</v>
      </c>
      <c r="AH51" s="773"/>
      <c r="AI51" s="796"/>
      <c r="AJ51" s="796"/>
      <c r="AK51" s="796"/>
      <c r="AL51" s="796">
        <v>37</v>
      </c>
      <c r="AM51" s="797">
        <v>0</v>
      </c>
      <c r="AN51" s="796"/>
      <c r="AO51" s="796">
        <v>414.64800000000002</v>
      </c>
      <c r="AP51" s="796">
        <v>414.18200000000002</v>
      </c>
      <c r="AQ51" s="796">
        <f t="shared" si="26"/>
        <v>0.46600000000000802</v>
      </c>
      <c r="AR51" s="796"/>
      <c r="AS51" s="796"/>
      <c r="AT51" s="796"/>
      <c r="AV51" s="797">
        <v>-10.445</v>
      </c>
      <c r="AW51" s="797">
        <v>411.029</v>
      </c>
      <c r="AX51" s="797">
        <v>5.4020000000000001</v>
      </c>
      <c r="AY51" s="797">
        <v>415.24799999999999</v>
      </c>
      <c r="BA51" s="762">
        <f t="shared" si="58"/>
        <v>740</v>
      </c>
      <c r="BC51" s="798">
        <f t="shared" si="59"/>
        <v>740</v>
      </c>
      <c r="BD51" s="799">
        <f t="shared" si="27"/>
        <v>6980267.8439999996</v>
      </c>
      <c r="BE51" s="799">
        <f t="shared" si="28"/>
        <v>364858.73</v>
      </c>
      <c r="BF51" s="800"/>
      <c r="BJ51" s="801">
        <v>37</v>
      </c>
      <c r="BK51" s="802"/>
      <c r="BL51" s="802"/>
      <c r="BM51" s="803">
        <f t="shared" si="29"/>
        <v>740</v>
      </c>
      <c r="BN51" s="804">
        <v>6980267.8435926</v>
      </c>
      <c r="BO51" s="805">
        <v>364858.72970620001</v>
      </c>
    </row>
    <row r="52" spans="2:67" ht="15.75" x14ac:dyDescent="0.3">
      <c r="B52" s="806">
        <f t="shared" si="34"/>
        <v>760</v>
      </c>
      <c r="C52" s="822">
        <f t="shared" si="35"/>
        <v>6980249.0710000005</v>
      </c>
      <c r="D52" s="823">
        <f t="shared" si="36"/>
        <v>364865.63</v>
      </c>
      <c r="E52" s="824">
        <f t="shared" si="37"/>
        <v>-10.954000000000001</v>
      </c>
      <c r="F52" s="793">
        <f t="shared" si="38"/>
        <v>408.14</v>
      </c>
      <c r="G52" s="825">
        <f t="shared" si="39"/>
        <v>-5.15</v>
      </c>
      <c r="H52" s="793">
        <f t="shared" si="40"/>
        <v>412.01</v>
      </c>
      <c r="I52" s="826">
        <f t="shared" si="41"/>
        <v>1</v>
      </c>
      <c r="J52" s="825">
        <f t="shared" si="42"/>
        <v>-4.2</v>
      </c>
      <c r="K52" s="825">
        <f t="shared" si="43"/>
        <v>412</v>
      </c>
      <c r="L52" s="793">
        <f t="shared" si="44"/>
        <v>-3.85</v>
      </c>
      <c r="M52" s="793">
        <f t="shared" si="45"/>
        <v>411.59899999999999</v>
      </c>
      <c r="N52" s="793">
        <v>1.4</v>
      </c>
      <c r="O52" s="824">
        <f t="shared" si="46"/>
        <v>411.54500000000002</v>
      </c>
      <c r="P52" s="793">
        <f t="shared" si="47"/>
        <v>411.63200000000001</v>
      </c>
      <c r="Q52" s="794">
        <f t="shared" si="48"/>
        <v>-8.6999999999999994E-2</v>
      </c>
      <c r="R52" s="793">
        <v>0.86</v>
      </c>
      <c r="S52" s="793">
        <f t="shared" si="49"/>
        <v>411.57799999999997</v>
      </c>
      <c r="T52" s="793">
        <f t="shared" si="50"/>
        <v>3.85</v>
      </c>
      <c r="U52" s="825">
        <f t="shared" si="51"/>
        <v>411.98</v>
      </c>
      <c r="V52" s="822">
        <f t="shared" si="52"/>
        <v>4.2</v>
      </c>
      <c r="W52" s="826">
        <f t="shared" si="53"/>
        <v>1</v>
      </c>
      <c r="X52" s="793">
        <f t="shared" si="54"/>
        <v>411.99</v>
      </c>
      <c r="Y52" s="826">
        <f t="shared" si="55"/>
        <v>5.15</v>
      </c>
      <c r="Z52" s="793">
        <f t="shared" si="56"/>
        <v>414.49900000000002</v>
      </c>
      <c r="AA52" s="794">
        <f t="shared" si="57"/>
        <v>6.8579999999999997</v>
      </c>
      <c r="AB52" s="793">
        <f t="shared" si="30"/>
        <v>3.5</v>
      </c>
      <c r="AC52" s="794">
        <f t="shared" si="31"/>
        <v>1.65</v>
      </c>
      <c r="AD52" s="795">
        <f t="shared" si="21"/>
        <v>0.35</v>
      </c>
      <c r="AE52" s="793">
        <f t="shared" si="32"/>
        <v>3.5</v>
      </c>
      <c r="AF52" s="794">
        <f t="shared" si="33"/>
        <v>1.65</v>
      </c>
      <c r="AG52" s="795">
        <f t="shared" si="22"/>
        <v>0.35</v>
      </c>
      <c r="AH52" s="773"/>
      <c r="AI52" s="796"/>
      <c r="AJ52" s="796"/>
      <c r="AK52" s="796"/>
      <c r="AL52" s="796">
        <v>38</v>
      </c>
      <c r="AM52" s="797">
        <v>0</v>
      </c>
      <c r="AN52" s="796"/>
      <c r="AO52" s="796">
        <v>411.89499999999998</v>
      </c>
      <c r="AP52" s="796">
        <v>411.63200000000001</v>
      </c>
      <c r="AQ52" s="796">
        <f t="shared" si="26"/>
        <v>0.26299999999997697</v>
      </c>
      <c r="AR52" s="796"/>
      <c r="AS52" s="796"/>
      <c r="AT52" s="796"/>
      <c r="AV52" s="797">
        <v>-10.954000000000001</v>
      </c>
      <c r="AW52" s="797">
        <v>408.14</v>
      </c>
      <c r="AX52" s="797">
        <v>6.8579999999999997</v>
      </c>
      <c r="AY52" s="797">
        <v>414.49900000000002</v>
      </c>
      <c r="BA52" s="762">
        <f t="shared" si="58"/>
        <v>760</v>
      </c>
      <c r="BC52" s="798">
        <f t="shared" si="59"/>
        <v>760</v>
      </c>
      <c r="BD52" s="799">
        <f t="shared" si="27"/>
        <v>6980249.0710000005</v>
      </c>
      <c r="BE52" s="799">
        <f t="shared" si="28"/>
        <v>364865.62699999998</v>
      </c>
      <c r="BF52" s="800"/>
      <c r="BJ52" s="801">
        <v>38</v>
      </c>
      <c r="BK52" s="802"/>
      <c r="BL52" s="802"/>
      <c r="BM52" s="803">
        <f t="shared" si="29"/>
        <v>760</v>
      </c>
      <c r="BN52" s="804">
        <v>6980249.0706326002</v>
      </c>
      <c r="BO52" s="805">
        <v>364865.62666379998</v>
      </c>
    </row>
    <row r="53" spans="2:67" ht="15.75" x14ac:dyDescent="0.3">
      <c r="B53" s="806">
        <f t="shared" si="34"/>
        <v>780</v>
      </c>
      <c r="C53" s="822">
        <f t="shared" si="35"/>
        <v>6980229.79</v>
      </c>
      <c r="D53" s="823">
        <f t="shared" si="36"/>
        <v>364870.89</v>
      </c>
      <c r="E53" s="824">
        <f t="shared" si="37"/>
        <v>-15.576000000000001</v>
      </c>
      <c r="F53" s="793">
        <f t="shared" si="38"/>
        <v>402.50200000000001</v>
      </c>
      <c r="G53" s="825">
        <f t="shared" si="39"/>
        <v>-5.15</v>
      </c>
      <c r="H53" s="793">
        <f t="shared" si="40"/>
        <v>409.47</v>
      </c>
      <c r="I53" s="826">
        <f t="shared" si="41"/>
        <v>1</v>
      </c>
      <c r="J53" s="825">
        <f t="shared" si="42"/>
        <v>-4.2</v>
      </c>
      <c r="K53" s="825">
        <f t="shared" si="43"/>
        <v>409.46</v>
      </c>
      <c r="L53" s="793">
        <f t="shared" si="44"/>
        <v>-3.85</v>
      </c>
      <c r="M53" s="793">
        <f t="shared" si="45"/>
        <v>409.05599999999998</v>
      </c>
      <c r="N53" s="793">
        <v>5.13</v>
      </c>
      <c r="O53" s="824">
        <f t="shared" si="46"/>
        <v>408.858</v>
      </c>
      <c r="P53" s="793">
        <f t="shared" si="47"/>
        <v>409.10599999999999</v>
      </c>
      <c r="Q53" s="794">
        <f t="shared" si="48"/>
        <v>-0.248</v>
      </c>
      <c r="R53" s="793">
        <v>-1.95</v>
      </c>
      <c r="S53" s="793">
        <f t="shared" si="49"/>
        <v>408.78300000000002</v>
      </c>
      <c r="T53" s="793">
        <f t="shared" si="50"/>
        <v>3.85</v>
      </c>
      <c r="U53" s="825">
        <f t="shared" si="51"/>
        <v>409.18</v>
      </c>
      <c r="V53" s="822">
        <f t="shared" si="52"/>
        <v>4.2</v>
      </c>
      <c r="W53" s="826">
        <f t="shared" si="53"/>
        <v>1</v>
      </c>
      <c r="X53" s="793">
        <f t="shared" si="54"/>
        <v>409.19</v>
      </c>
      <c r="Y53" s="826">
        <f t="shared" si="55"/>
        <v>5.15</v>
      </c>
      <c r="Z53" s="793">
        <f t="shared" si="56"/>
        <v>411.25200000000001</v>
      </c>
      <c r="AA53" s="794">
        <f t="shared" si="57"/>
        <v>6.5750000000000002</v>
      </c>
      <c r="AB53" s="793">
        <f t="shared" si="30"/>
        <v>3.5</v>
      </c>
      <c r="AC53" s="794">
        <f t="shared" si="31"/>
        <v>1.65</v>
      </c>
      <c r="AD53" s="795">
        <f t="shared" si="21"/>
        <v>0.35</v>
      </c>
      <c r="AE53" s="793">
        <f t="shared" si="32"/>
        <v>3.5</v>
      </c>
      <c r="AF53" s="794">
        <f t="shared" si="33"/>
        <v>1.65</v>
      </c>
      <c r="AG53" s="795">
        <f t="shared" si="22"/>
        <v>0.35</v>
      </c>
      <c r="AH53" s="773"/>
      <c r="AI53" s="796"/>
      <c r="AJ53" s="796"/>
      <c r="AK53" s="796"/>
      <c r="AL53" s="796">
        <v>39</v>
      </c>
      <c r="AM53" s="797">
        <v>0</v>
      </c>
      <c r="AN53" s="796"/>
      <c r="AO53" s="796">
        <v>409.20800000000003</v>
      </c>
      <c r="AP53" s="796">
        <v>409.10599999999999</v>
      </c>
      <c r="AQ53" s="796">
        <f t="shared" si="26"/>
        <v>0.102000000000032</v>
      </c>
      <c r="AR53" s="796"/>
      <c r="AS53" s="796"/>
      <c r="AT53" s="796"/>
      <c r="AV53" s="797">
        <v>-15.576000000000001</v>
      </c>
      <c r="AW53" s="797">
        <v>402.50200000000001</v>
      </c>
      <c r="AX53" s="797">
        <v>6.5750000000000002</v>
      </c>
      <c r="AY53" s="797">
        <v>411.25200000000001</v>
      </c>
      <c r="BA53" s="762">
        <f t="shared" si="58"/>
        <v>780</v>
      </c>
      <c r="BC53" s="798">
        <f t="shared" si="59"/>
        <v>780</v>
      </c>
      <c r="BD53" s="799">
        <f t="shared" si="27"/>
        <v>6980229.79</v>
      </c>
      <c r="BE53" s="799">
        <f t="shared" si="28"/>
        <v>364870.88500000001</v>
      </c>
      <c r="BF53" s="800"/>
      <c r="BJ53" s="801">
        <v>39</v>
      </c>
      <c r="BK53" s="802"/>
      <c r="BL53" s="802"/>
      <c r="BM53" s="803">
        <f t="shared" si="29"/>
        <v>780</v>
      </c>
      <c r="BN53" s="804">
        <v>6980229.7895499002</v>
      </c>
      <c r="BO53" s="805">
        <v>364870.88476320001</v>
      </c>
    </row>
    <row r="54" spans="2:67" ht="15.75" x14ac:dyDescent="0.3">
      <c r="B54" s="806">
        <f t="shared" si="34"/>
        <v>800</v>
      </c>
      <c r="C54" s="822">
        <f t="shared" si="35"/>
        <v>6980209.9809999997</v>
      </c>
      <c r="D54" s="823">
        <f t="shared" si="36"/>
        <v>364873.53</v>
      </c>
      <c r="E54" s="824">
        <f t="shared" si="37"/>
        <v>-13.217000000000001</v>
      </c>
      <c r="F54" s="793">
        <f t="shared" si="38"/>
        <v>401.45699999999999</v>
      </c>
      <c r="G54" s="825">
        <f t="shared" si="39"/>
        <v>-5.15</v>
      </c>
      <c r="H54" s="793">
        <f t="shared" si="40"/>
        <v>406.85</v>
      </c>
      <c r="I54" s="826">
        <f t="shared" si="41"/>
        <v>1</v>
      </c>
      <c r="J54" s="825">
        <f t="shared" si="42"/>
        <v>-4.2</v>
      </c>
      <c r="K54" s="825">
        <f t="shared" si="43"/>
        <v>406.84</v>
      </c>
      <c r="L54" s="793">
        <f t="shared" si="44"/>
        <v>-3.85</v>
      </c>
      <c r="M54" s="793">
        <f t="shared" si="45"/>
        <v>406.43799999999999</v>
      </c>
      <c r="N54" s="793">
        <v>5.2</v>
      </c>
      <c r="O54" s="824">
        <f t="shared" si="46"/>
        <v>406.238</v>
      </c>
      <c r="P54" s="793">
        <f t="shared" si="47"/>
        <v>406.55099999999999</v>
      </c>
      <c r="Q54" s="794">
        <f t="shared" si="48"/>
        <v>-0.313</v>
      </c>
      <c r="R54" s="793">
        <v>-2</v>
      </c>
      <c r="S54" s="793">
        <f t="shared" si="49"/>
        <v>406.161</v>
      </c>
      <c r="T54" s="793">
        <f t="shared" si="50"/>
        <v>3.85</v>
      </c>
      <c r="U54" s="825">
        <f t="shared" si="51"/>
        <v>406.56</v>
      </c>
      <c r="V54" s="822">
        <f t="shared" si="52"/>
        <v>4.2</v>
      </c>
      <c r="W54" s="826">
        <f t="shared" si="53"/>
        <v>1</v>
      </c>
      <c r="X54" s="793">
        <f t="shared" si="54"/>
        <v>406.57</v>
      </c>
      <c r="Y54" s="826">
        <f t="shared" si="55"/>
        <v>5.15</v>
      </c>
      <c r="Z54" s="793">
        <f t="shared" si="56"/>
        <v>407.06900000000002</v>
      </c>
      <c r="AA54" s="794">
        <f t="shared" si="57"/>
        <v>5.5460000000000003</v>
      </c>
      <c r="AB54" s="793">
        <f t="shared" si="30"/>
        <v>3.5</v>
      </c>
      <c r="AC54" s="794">
        <f t="shared" si="31"/>
        <v>1.65</v>
      </c>
      <c r="AD54" s="795">
        <f t="shared" si="21"/>
        <v>0.35</v>
      </c>
      <c r="AE54" s="793">
        <f t="shared" si="32"/>
        <v>3.5</v>
      </c>
      <c r="AF54" s="794">
        <f t="shared" si="33"/>
        <v>1.65</v>
      </c>
      <c r="AG54" s="795">
        <f t="shared" si="22"/>
        <v>0.35</v>
      </c>
      <c r="AH54" s="773"/>
      <c r="AI54" s="796"/>
      <c r="AJ54" s="796"/>
      <c r="AK54" s="796"/>
      <c r="AL54" s="796">
        <v>40</v>
      </c>
      <c r="AM54" s="797">
        <v>0</v>
      </c>
      <c r="AN54" s="796"/>
      <c r="AO54" s="796">
        <v>406.58800000000002</v>
      </c>
      <c r="AP54" s="796">
        <v>406.55099999999999</v>
      </c>
      <c r="AQ54" s="796">
        <f t="shared" si="26"/>
        <v>3.7000000000034602E-2</v>
      </c>
      <c r="AR54" s="796"/>
      <c r="AS54" s="796"/>
      <c r="AT54" s="796"/>
      <c r="AV54" s="797">
        <v>-13.217000000000001</v>
      </c>
      <c r="AW54" s="797">
        <v>401.45699999999999</v>
      </c>
      <c r="AX54" s="797">
        <v>5.5460000000000003</v>
      </c>
      <c r="AY54" s="797">
        <v>407.06900000000002</v>
      </c>
      <c r="BA54" s="762">
        <f t="shared" si="58"/>
        <v>800</v>
      </c>
      <c r="BC54" s="798">
        <f t="shared" si="59"/>
        <v>800</v>
      </c>
      <c r="BD54" s="799">
        <f t="shared" si="27"/>
        <v>6980209.9809999997</v>
      </c>
      <c r="BE54" s="799">
        <f t="shared" si="28"/>
        <v>364873.533</v>
      </c>
      <c r="BF54" s="800"/>
      <c r="BJ54" s="801">
        <v>40</v>
      </c>
      <c r="BK54" s="802"/>
      <c r="BL54" s="802"/>
      <c r="BM54" s="803">
        <f t="shared" si="29"/>
        <v>800</v>
      </c>
      <c r="BN54" s="804">
        <v>6980209.9805963999</v>
      </c>
      <c r="BO54" s="805">
        <v>364873.5329925</v>
      </c>
    </row>
    <row r="55" spans="2:67" ht="15.75" x14ac:dyDescent="0.3">
      <c r="B55" s="806">
        <f t="shared" si="34"/>
        <v>820</v>
      </c>
      <c r="C55" s="822">
        <f t="shared" si="35"/>
        <v>6980189.9950000001</v>
      </c>
      <c r="D55" s="823">
        <f t="shared" si="36"/>
        <v>364873.52</v>
      </c>
      <c r="E55" s="824">
        <f t="shared" si="37"/>
        <v>-5.6349999999999998</v>
      </c>
      <c r="F55" s="793">
        <f t="shared" si="38"/>
        <v>403.95800000000003</v>
      </c>
      <c r="G55" s="825">
        <f t="shared" si="39"/>
        <v>-5.15</v>
      </c>
      <c r="H55" s="793">
        <f t="shared" si="40"/>
        <v>404.29</v>
      </c>
      <c r="I55" s="826">
        <f t="shared" si="41"/>
        <v>1</v>
      </c>
      <c r="J55" s="825">
        <f t="shared" si="42"/>
        <v>-4.2</v>
      </c>
      <c r="K55" s="825">
        <f t="shared" si="43"/>
        <v>404.28</v>
      </c>
      <c r="L55" s="793">
        <f t="shared" si="44"/>
        <v>-3.85</v>
      </c>
      <c r="M55" s="793">
        <f t="shared" si="45"/>
        <v>403.88400000000001</v>
      </c>
      <c r="N55" s="793">
        <v>5.2</v>
      </c>
      <c r="O55" s="824">
        <f t="shared" si="46"/>
        <v>403.68400000000003</v>
      </c>
      <c r="P55" s="793">
        <f t="shared" si="47"/>
        <v>404.166</v>
      </c>
      <c r="Q55" s="794">
        <f t="shared" si="48"/>
        <v>-0.48199999999999998</v>
      </c>
      <c r="R55" s="793">
        <v>-2</v>
      </c>
      <c r="S55" s="793">
        <f t="shared" si="49"/>
        <v>403.60700000000003</v>
      </c>
      <c r="T55" s="793">
        <f t="shared" si="50"/>
        <v>3.85</v>
      </c>
      <c r="U55" s="825">
        <f t="shared" si="51"/>
        <v>404.01</v>
      </c>
      <c r="V55" s="822">
        <f t="shared" si="52"/>
        <v>4.2</v>
      </c>
      <c r="W55" s="826">
        <f t="shared" si="53"/>
        <v>1</v>
      </c>
      <c r="X55" s="793">
        <f t="shared" si="54"/>
        <v>404.02</v>
      </c>
      <c r="Y55" s="826">
        <f t="shared" si="55"/>
        <v>5.15</v>
      </c>
      <c r="Z55" s="793">
        <f t="shared" si="56"/>
        <v>403.94299999999998</v>
      </c>
      <c r="AA55" s="794">
        <f t="shared" si="57"/>
        <v>5.1680000000000001</v>
      </c>
      <c r="AB55" s="793">
        <f t="shared" si="30"/>
        <v>3.5</v>
      </c>
      <c r="AC55" s="794">
        <f t="shared" si="31"/>
        <v>1.65</v>
      </c>
      <c r="AD55" s="795">
        <f t="shared" si="21"/>
        <v>0.35</v>
      </c>
      <c r="AE55" s="793">
        <f t="shared" si="32"/>
        <v>3.5</v>
      </c>
      <c r="AF55" s="794">
        <f t="shared" si="33"/>
        <v>1.65</v>
      </c>
      <c r="AG55" s="795">
        <f t="shared" si="22"/>
        <v>0.35</v>
      </c>
      <c r="AH55" s="773"/>
      <c r="AI55" s="796"/>
      <c r="AJ55" s="796"/>
      <c r="AK55" s="796"/>
      <c r="AL55" s="796">
        <v>41</v>
      </c>
      <c r="AM55" s="797">
        <v>0</v>
      </c>
      <c r="AN55" s="796" t="s">
        <v>4311</v>
      </c>
      <c r="AO55" s="796">
        <v>404.03399999999999</v>
      </c>
      <c r="AP55" s="796">
        <v>404.166</v>
      </c>
      <c r="AQ55" s="796">
        <f t="shared" si="26"/>
        <v>-0.132000000000005</v>
      </c>
      <c r="AR55" s="796"/>
      <c r="AS55" s="796"/>
      <c r="AT55" s="796"/>
      <c r="AV55" s="797">
        <v>-5.6349999999999998</v>
      </c>
      <c r="AW55" s="797">
        <v>403.95800000000003</v>
      </c>
      <c r="AX55" s="797">
        <v>5.1680000000000001</v>
      </c>
      <c r="AY55" s="797">
        <v>403.94299999999998</v>
      </c>
      <c r="BA55" s="762">
        <f t="shared" si="58"/>
        <v>820</v>
      </c>
      <c r="BC55" s="798">
        <f t="shared" si="59"/>
        <v>820</v>
      </c>
      <c r="BD55" s="799">
        <f t="shared" si="27"/>
        <v>6980189.9950000001</v>
      </c>
      <c r="BE55" s="799">
        <f t="shared" si="28"/>
        <v>364873.52399999998</v>
      </c>
      <c r="BF55" s="800"/>
      <c r="BJ55" s="801">
        <v>41</v>
      </c>
      <c r="BK55" s="802"/>
      <c r="BL55" s="802"/>
      <c r="BM55" s="803">
        <f t="shared" si="29"/>
        <v>820</v>
      </c>
      <c r="BN55" s="804">
        <v>6980189.9954097997</v>
      </c>
      <c r="BO55" s="805">
        <v>364873.52434190002</v>
      </c>
    </row>
    <row r="56" spans="2:67" ht="15.75" x14ac:dyDescent="0.3">
      <c r="B56" s="806">
        <f t="shared" si="34"/>
        <v>840</v>
      </c>
      <c r="C56" s="822">
        <f t="shared" si="35"/>
        <v>6980170.1890000002</v>
      </c>
      <c r="D56" s="823">
        <f t="shared" si="36"/>
        <v>364870.86</v>
      </c>
      <c r="E56" s="824">
        <f t="shared" si="37"/>
        <v>-5.2770000000000001</v>
      </c>
      <c r="F56" s="793">
        <f t="shared" si="38"/>
        <v>401.97699999999998</v>
      </c>
      <c r="G56" s="825">
        <f t="shared" si="39"/>
        <v>-5.15</v>
      </c>
      <c r="H56" s="793">
        <f t="shared" si="40"/>
        <v>401.8</v>
      </c>
      <c r="I56" s="826">
        <f t="shared" si="41"/>
        <v>1</v>
      </c>
      <c r="J56" s="825">
        <f t="shared" si="42"/>
        <v>-4.2</v>
      </c>
      <c r="K56" s="825">
        <f t="shared" si="43"/>
        <v>401.79</v>
      </c>
      <c r="L56" s="793">
        <f t="shared" si="44"/>
        <v>-3.85</v>
      </c>
      <c r="M56" s="793">
        <f t="shared" si="45"/>
        <v>401.38799999999998</v>
      </c>
      <c r="N56" s="793">
        <v>5.2</v>
      </c>
      <c r="O56" s="824">
        <f t="shared" si="46"/>
        <v>401.18799999999999</v>
      </c>
      <c r="P56" s="793">
        <f t="shared" si="47"/>
        <v>401.50299999999999</v>
      </c>
      <c r="Q56" s="794">
        <f t="shared" si="48"/>
        <v>-0.315</v>
      </c>
      <c r="R56" s="793">
        <v>-2</v>
      </c>
      <c r="S56" s="793">
        <f t="shared" si="49"/>
        <v>401.11099999999999</v>
      </c>
      <c r="T56" s="793">
        <f t="shared" si="50"/>
        <v>3.85</v>
      </c>
      <c r="U56" s="825">
        <f t="shared" si="51"/>
        <v>401.51</v>
      </c>
      <c r="V56" s="822">
        <f t="shared" si="52"/>
        <v>4.2</v>
      </c>
      <c r="W56" s="826">
        <f t="shared" si="53"/>
        <v>1</v>
      </c>
      <c r="X56" s="793">
        <f t="shared" si="54"/>
        <v>401.52</v>
      </c>
      <c r="Y56" s="826">
        <f t="shared" si="55"/>
        <v>5.15</v>
      </c>
      <c r="Z56" s="793">
        <f t="shared" si="56"/>
        <v>401.22699999999998</v>
      </c>
      <c r="AA56" s="794">
        <f t="shared" si="57"/>
        <v>5.4420000000000002</v>
      </c>
      <c r="AB56" s="793">
        <f t="shared" si="30"/>
        <v>3.5</v>
      </c>
      <c r="AC56" s="794">
        <f t="shared" si="31"/>
        <v>1.65</v>
      </c>
      <c r="AD56" s="795">
        <f t="shared" si="21"/>
        <v>0.35</v>
      </c>
      <c r="AE56" s="793">
        <f t="shared" si="32"/>
        <v>3.5</v>
      </c>
      <c r="AF56" s="794">
        <f t="shared" si="33"/>
        <v>1.65</v>
      </c>
      <c r="AG56" s="795">
        <f t="shared" si="22"/>
        <v>0.35</v>
      </c>
      <c r="AH56" s="773"/>
      <c r="AI56" s="796"/>
      <c r="AJ56" s="796"/>
      <c r="AK56" s="796"/>
      <c r="AL56" s="796">
        <v>42</v>
      </c>
      <c r="AM56" s="797">
        <v>0</v>
      </c>
      <c r="AN56" s="796"/>
      <c r="AO56" s="796">
        <v>401.53800000000001</v>
      </c>
      <c r="AP56" s="796">
        <v>401.50299999999999</v>
      </c>
      <c r="AQ56" s="796">
        <f t="shared" si="26"/>
        <v>3.5000000000024997E-2</v>
      </c>
      <c r="AR56" s="796"/>
      <c r="AS56" s="796"/>
      <c r="AT56" s="796"/>
      <c r="AV56" s="797">
        <v>-5.2770000000000001</v>
      </c>
      <c r="AW56" s="797">
        <v>401.97699999999998</v>
      </c>
      <c r="AX56" s="797">
        <v>5.4420000000000002</v>
      </c>
      <c r="AY56" s="797">
        <v>401.22699999999998</v>
      </c>
      <c r="BA56" s="762">
        <f t="shared" si="58"/>
        <v>840</v>
      </c>
      <c r="BC56" s="798">
        <f t="shared" si="59"/>
        <v>840</v>
      </c>
      <c r="BD56" s="799">
        <f t="shared" si="27"/>
        <v>6980170.1890000002</v>
      </c>
      <c r="BE56" s="799">
        <f t="shared" si="28"/>
        <v>364870.859</v>
      </c>
      <c r="BF56" s="800"/>
      <c r="BJ56" s="801">
        <v>42</v>
      </c>
      <c r="BK56" s="802"/>
      <c r="BL56" s="802"/>
      <c r="BM56" s="803">
        <f t="shared" si="29"/>
        <v>840</v>
      </c>
      <c r="BN56" s="804">
        <v>6980170.1887561996</v>
      </c>
      <c r="BO56" s="805">
        <v>364870.85896490002</v>
      </c>
    </row>
    <row r="57" spans="2:67" ht="15.75" x14ac:dyDescent="0.3">
      <c r="B57" s="806">
        <f t="shared" si="34"/>
        <v>860</v>
      </c>
      <c r="C57" s="822">
        <f t="shared" si="35"/>
        <v>6980150.9119999995</v>
      </c>
      <c r="D57" s="823">
        <f t="shared" si="36"/>
        <v>364865.58</v>
      </c>
      <c r="E57" s="824">
        <f t="shared" si="37"/>
        <v>-5.4340000000000002</v>
      </c>
      <c r="F57" s="793">
        <f t="shared" si="38"/>
        <v>399.65499999999997</v>
      </c>
      <c r="G57" s="825">
        <f t="shared" si="39"/>
        <v>-5.15</v>
      </c>
      <c r="H57" s="793">
        <f t="shared" si="40"/>
        <v>399.23</v>
      </c>
      <c r="I57" s="826">
        <f t="shared" si="41"/>
        <v>1</v>
      </c>
      <c r="J57" s="825">
        <f t="shared" si="42"/>
        <v>-4.2</v>
      </c>
      <c r="K57" s="825">
        <f t="shared" si="43"/>
        <v>399.22</v>
      </c>
      <c r="L57" s="793">
        <f t="shared" si="44"/>
        <v>-3.85</v>
      </c>
      <c r="M57" s="793">
        <f t="shared" si="45"/>
        <v>398.82299999999998</v>
      </c>
      <c r="N57" s="793">
        <v>3.16</v>
      </c>
      <c r="O57" s="824">
        <f t="shared" si="46"/>
        <v>398.70100000000002</v>
      </c>
      <c r="P57" s="793">
        <f t="shared" si="47"/>
        <v>399.03300000000002</v>
      </c>
      <c r="Q57" s="794">
        <f t="shared" si="48"/>
        <v>-0.33200000000000002</v>
      </c>
      <c r="R57" s="793">
        <v>-0.54</v>
      </c>
      <c r="S57" s="793">
        <f t="shared" si="49"/>
        <v>398.68</v>
      </c>
      <c r="T57" s="793">
        <f t="shared" si="50"/>
        <v>3.85</v>
      </c>
      <c r="U57" s="825">
        <f t="shared" si="51"/>
        <v>399.08</v>
      </c>
      <c r="V57" s="822">
        <f t="shared" si="52"/>
        <v>4.2</v>
      </c>
      <c r="W57" s="826">
        <f t="shared" si="53"/>
        <v>1</v>
      </c>
      <c r="X57" s="793">
        <f t="shared" si="54"/>
        <v>399.09</v>
      </c>
      <c r="Y57" s="826">
        <f t="shared" si="55"/>
        <v>5.15</v>
      </c>
      <c r="Z57" s="793">
        <f t="shared" si="56"/>
        <v>398.84100000000001</v>
      </c>
      <c r="AA57" s="794">
        <f t="shared" si="57"/>
        <v>5.3979999999999997</v>
      </c>
      <c r="AB57" s="793">
        <f t="shared" si="30"/>
        <v>3.5</v>
      </c>
      <c r="AC57" s="794">
        <f t="shared" si="31"/>
        <v>1.65</v>
      </c>
      <c r="AD57" s="795">
        <f t="shared" si="21"/>
        <v>0.35</v>
      </c>
      <c r="AE57" s="793">
        <f t="shared" si="32"/>
        <v>3.5</v>
      </c>
      <c r="AF57" s="794">
        <f t="shared" si="33"/>
        <v>1.65</v>
      </c>
      <c r="AG57" s="795">
        <f t="shared" si="22"/>
        <v>0.35</v>
      </c>
      <c r="AH57" s="773"/>
      <c r="AI57" s="796"/>
      <c r="AJ57" s="796"/>
      <c r="AK57" s="796"/>
      <c r="AL57" s="796">
        <v>43</v>
      </c>
      <c r="AM57" s="797">
        <v>0</v>
      </c>
      <c r="AN57" s="796"/>
      <c r="AO57" s="796">
        <v>399.05099999999999</v>
      </c>
      <c r="AP57" s="796">
        <v>399.03300000000002</v>
      </c>
      <c r="AQ57" s="796">
        <f t="shared" si="26"/>
        <v>1.7999999999972299E-2</v>
      </c>
      <c r="AR57" s="796"/>
      <c r="AS57" s="796"/>
      <c r="AT57" s="796"/>
      <c r="AV57" s="797">
        <v>-5.4340000000000002</v>
      </c>
      <c r="AW57" s="797">
        <v>399.65499999999997</v>
      </c>
      <c r="AX57" s="797">
        <v>5.3979999999999997</v>
      </c>
      <c r="AY57" s="797">
        <v>398.84100000000001</v>
      </c>
      <c r="BA57" s="762">
        <f t="shared" si="58"/>
        <v>860</v>
      </c>
      <c r="BC57" s="798">
        <f t="shared" si="59"/>
        <v>860</v>
      </c>
      <c r="BD57" s="799">
        <f t="shared" si="27"/>
        <v>6980150.9119999995</v>
      </c>
      <c r="BE57" s="799">
        <f t="shared" si="28"/>
        <v>364865.58399999997</v>
      </c>
      <c r="BF57" s="800"/>
      <c r="BJ57" s="801">
        <v>43</v>
      </c>
      <c r="BK57" s="802"/>
      <c r="BL57" s="802"/>
      <c r="BM57" s="803">
        <f t="shared" si="29"/>
        <v>860</v>
      </c>
      <c r="BN57" s="804">
        <v>6980150.9122326998</v>
      </c>
      <c r="BO57" s="805">
        <v>364865.58417579997</v>
      </c>
    </row>
    <row r="58" spans="2:67" ht="15.75" x14ac:dyDescent="0.3">
      <c r="B58" s="806">
        <f t="shared" si="34"/>
        <v>880</v>
      </c>
      <c r="C58" s="822">
        <f t="shared" si="35"/>
        <v>6980132.2450000001</v>
      </c>
      <c r="D58" s="823">
        <f t="shared" si="36"/>
        <v>364858.41</v>
      </c>
      <c r="E58" s="824">
        <f t="shared" si="37"/>
        <v>-5.2270000000000003</v>
      </c>
      <c r="F58" s="793">
        <f t="shared" si="38"/>
        <v>396.71699999999998</v>
      </c>
      <c r="G58" s="825">
        <f t="shared" si="39"/>
        <v>-5.15</v>
      </c>
      <c r="H58" s="793">
        <f t="shared" si="40"/>
        <v>396.59</v>
      </c>
      <c r="I58" s="826">
        <f t="shared" si="41"/>
        <v>1</v>
      </c>
      <c r="J58" s="825">
        <f t="shared" si="42"/>
        <v>-4.2</v>
      </c>
      <c r="K58" s="825">
        <f t="shared" si="43"/>
        <v>396.58</v>
      </c>
      <c r="L58" s="793">
        <f t="shared" si="44"/>
        <v>-3.85</v>
      </c>
      <c r="M58" s="793">
        <f t="shared" si="45"/>
        <v>396.18400000000003</v>
      </c>
      <c r="N58" s="793">
        <v>-0.78</v>
      </c>
      <c r="O58" s="824">
        <f t="shared" si="46"/>
        <v>396.214</v>
      </c>
      <c r="P58" s="793">
        <f t="shared" si="47"/>
        <v>395.99900000000002</v>
      </c>
      <c r="Q58" s="794">
        <f t="shared" si="48"/>
        <v>0.215</v>
      </c>
      <c r="R58" s="793">
        <v>2.27</v>
      </c>
      <c r="S58" s="793">
        <f t="shared" si="49"/>
        <v>396.30099999999999</v>
      </c>
      <c r="T58" s="793">
        <f t="shared" si="50"/>
        <v>3.85</v>
      </c>
      <c r="U58" s="825">
        <f t="shared" si="51"/>
        <v>396.7</v>
      </c>
      <c r="V58" s="822">
        <f t="shared" si="52"/>
        <v>4.2</v>
      </c>
      <c r="W58" s="826">
        <f t="shared" si="53"/>
        <v>1</v>
      </c>
      <c r="X58" s="793">
        <f t="shared" si="54"/>
        <v>396.71</v>
      </c>
      <c r="Y58" s="826">
        <f t="shared" si="55"/>
        <v>5.15</v>
      </c>
      <c r="Z58" s="793">
        <f t="shared" si="56"/>
        <v>395.75400000000002</v>
      </c>
      <c r="AA58" s="794">
        <f t="shared" si="57"/>
        <v>6.5030000000000001</v>
      </c>
      <c r="AB58" s="793">
        <f t="shared" si="30"/>
        <v>3.5</v>
      </c>
      <c r="AC58" s="794">
        <f t="shared" si="31"/>
        <v>1.65</v>
      </c>
      <c r="AD58" s="795">
        <f t="shared" si="21"/>
        <v>0.35</v>
      </c>
      <c r="AE58" s="793">
        <f t="shared" si="32"/>
        <v>3.5</v>
      </c>
      <c r="AF58" s="794">
        <f t="shared" si="33"/>
        <v>1.65</v>
      </c>
      <c r="AG58" s="795">
        <f t="shared" si="22"/>
        <v>0.35</v>
      </c>
      <c r="AH58" s="773"/>
      <c r="AI58" s="796"/>
      <c r="AJ58" s="796"/>
      <c r="AK58" s="796"/>
      <c r="AL58" s="796">
        <v>44</v>
      </c>
      <c r="AM58" s="797">
        <v>0</v>
      </c>
      <c r="AN58" s="796" t="s">
        <v>4310</v>
      </c>
      <c r="AO58" s="796">
        <v>396.56400000000002</v>
      </c>
      <c r="AP58" s="796">
        <v>395.99900000000002</v>
      </c>
      <c r="AQ58" s="796">
        <f t="shared" si="26"/>
        <v>0.56499999999999795</v>
      </c>
      <c r="AR58" s="796"/>
      <c r="AS58" s="796"/>
      <c r="AT58" s="796"/>
      <c r="AV58" s="797">
        <v>-5.2270000000000003</v>
      </c>
      <c r="AW58" s="797">
        <v>396.71699999999998</v>
      </c>
      <c r="AX58" s="797">
        <v>6.5030000000000001</v>
      </c>
      <c r="AY58" s="797">
        <v>395.75400000000002</v>
      </c>
      <c r="BA58" s="762">
        <f t="shared" si="58"/>
        <v>880</v>
      </c>
      <c r="BC58" s="798">
        <f t="shared" si="59"/>
        <v>880</v>
      </c>
      <c r="BD58" s="799">
        <f t="shared" si="27"/>
        <v>6980132.2450000001</v>
      </c>
      <c r="BE58" s="799">
        <f t="shared" si="28"/>
        <v>364858.41</v>
      </c>
      <c r="BF58" s="800"/>
      <c r="BJ58" s="801">
        <v>44</v>
      </c>
      <c r="BK58" s="802"/>
      <c r="BL58" s="802"/>
      <c r="BM58" s="803">
        <f t="shared" si="29"/>
        <v>880</v>
      </c>
      <c r="BN58" s="804">
        <v>6980132.2446523998</v>
      </c>
      <c r="BO58" s="805">
        <v>364858.40951670002</v>
      </c>
    </row>
    <row r="59" spans="2:67" ht="15.75" x14ac:dyDescent="0.3">
      <c r="B59" s="806">
        <f t="shared" si="34"/>
        <v>900</v>
      </c>
      <c r="C59" s="822">
        <f t="shared" si="35"/>
        <v>6980113.4220000003</v>
      </c>
      <c r="D59" s="823">
        <f t="shared" si="36"/>
        <v>364851.69</v>
      </c>
      <c r="E59" s="824">
        <f t="shared" si="37"/>
        <v>-5.3979999999999997</v>
      </c>
      <c r="F59" s="793">
        <f t="shared" si="38"/>
        <v>394.07299999999998</v>
      </c>
      <c r="G59" s="825">
        <f t="shared" si="39"/>
        <v>-5.15</v>
      </c>
      <c r="H59" s="793">
        <f t="shared" si="40"/>
        <v>394.22</v>
      </c>
      <c r="I59" s="826">
        <f t="shared" si="41"/>
        <v>1</v>
      </c>
      <c r="J59" s="825">
        <f t="shared" si="42"/>
        <v>-4.2</v>
      </c>
      <c r="K59" s="825">
        <f t="shared" si="43"/>
        <v>394.21</v>
      </c>
      <c r="L59" s="793">
        <f t="shared" si="44"/>
        <v>-3.85</v>
      </c>
      <c r="M59" s="793">
        <f t="shared" si="45"/>
        <v>393.80599999999998</v>
      </c>
      <c r="N59" s="793">
        <v>-4.72</v>
      </c>
      <c r="O59" s="824">
        <f t="shared" si="46"/>
        <v>393.988</v>
      </c>
      <c r="P59" s="793">
        <f t="shared" si="47"/>
        <v>393.88200000000001</v>
      </c>
      <c r="Q59" s="794">
        <f t="shared" si="48"/>
        <v>0.106</v>
      </c>
      <c r="R59" s="793">
        <v>5.08</v>
      </c>
      <c r="S59" s="793">
        <f t="shared" si="49"/>
        <v>394.18400000000003</v>
      </c>
      <c r="T59" s="793">
        <f t="shared" si="50"/>
        <v>3.85</v>
      </c>
      <c r="U59" s="825">
        <f t="shared" si="51"/>
        <v>394.58</v>
      </c>
      <c r="V59" s="822">
        <f t="shared" si="52"/>
        <v>4.2</v>
      </c>
      <c r="W59" s="826">
        <f t="shared" si="53"/>
        <v>1</v>
      </c>
      <c r="X59" s="793">
        <f t="shared" si="54"/>
        <v>394.59</v>
      </c>
      <c r="Y59" s="826">
        <f t="shared" si="55"/>
        <v>5.15</v>
      </c>
      <c r="Z59" s="793">
        <f t="shared" si="56"/>
        <v>393.678</v>
      </c>
      <c r="AA59" s="794">
        <f t="shared" si="57"/>
        <v>6.4859999999999998</v>
      </c>
      <c r="AB59" s="793">
        <f t="shared" si="30"/>
        <v>3.5</v>
      </c>
      <c r="AC59" s="794">
        <f t="shared" si="31"/>
        <v>1.65</v>
      </c>
      <c r="AD59" s="795">
        <f t="shared" si="21"/>
        <v>0.35</v>
      </c>
      <c r="AE59" s="793">
        <f t="shared" si="32"/>
        <v>3.5</v>
      </c>
      <c r="AF59" s="794">
        <f t="shared" si="33"/>
        <v>1.65</v>
      </c>
      <c r="AG59" s="795">
        <f t="shared" si="22"/>
        <v>0.35</v>
      </c>
      <c r="AH59" s="773"/>
      <c r="AI59" s="796"/>
      <c r="AJ59" s="796"/>
      <c r="AK59" s="796"/>
      <c r="AL59" s="796">
        <v>45</v>
      </c>
      <c r="AM59" s="797">
        <v>0</v>
      </c>
      <c r="AN59" s="796"/>
      <c r="AO59" s="796">
        <v>394.33800000000002</v>
      </c>
      <c r="AP59" s="796">
        <v>393.88200000000001</v>
      </c>
      <c r="AQ59" s="796">
        <f t="shared" si="26"/>
        <v>0.456000000000017</v>
      </c>
      <c r="AR59" s="796"/>
      <c r="AS59" s="796"/>
      <c r="AT59" s="796"/>
      <c r="AV59" s="797">
        <v>-5.3979999999999997</v>
      </c>
      <c r="AW59" s="797">
        <v>394.07299999999998</v>
      </c>
      <c r="AX59" s="797">
        <v>6.4859999999999998</v>
      </c>
      <c r="AY59" s="797">
        <v>393.678</v>
      </c>
      <c r="BA59" s="762">
        <f t="shared" si="58"/>
        <v>900</v>
      </c>
      <c r="BC59" s="798">
        <f t="shared" si="59"/>
        <v>900</v>
      </c>
      <c r="BD59" s="799">
        <f t="shared" si="27"/>
        <v>6980113.4220000003</v>
      </c>
      <c r="BE59" s="799">
        <f t="shared" si="28"/>
        <v>364851.69400000002</v>
      </c>
      <c r="BF59" s="800"/>
      <c r="BJ59" s="801">
        <v>45</v>
      </c>
      <c r="BK59" s="802"/>
      <c r="BL59" s="802"/>
      <c r="BM59" s="803">
        <f t="shared" si="29"/>
        <v>900</v>
      </c>
      <c r="BN59" s="804">
        <v>6980113.4222267997</v>
      </c>
      <c r="BO59" s="805">
        <v>364851.69386990002</v>
      </c>
    </row>
    <row r="60" spans="2:67" ht="15.75" x14ac:dyDescent="0.3">
      <c r="B60" s="806">
        <f t="shared" si="34"/>
        <v>920</v>
      </c>
      <c r="C60" s="822">
        <f t="shared" si="35"/>
        <v>6980093.6310000001</v>
      </c>
      <c r="D60" s="823">
        <f t="shared" si="36"/>
        <v>364849.2</v>
      </c>
      <c r="E60" s="824">
        <f t="shared" si="37"/>
        <v>-5.52</v>
      </c>
      <c r="F60" s="793">
        <f t="shared" si="38"/>
        <v>392.58100000000002</v>
      </c>
      <c r="G60" s="825">
        <f t="shared" si="39"/>
        <v>-5.15</v>
      </c>
      <c r="H60" s="793">
        <f t="shared" si="40"/>
        <v>392.81</v>
      </c>
      <c r="I60" s="826">
        <f t="shared" si="41"/>
        <v>1</v>
      </c>
      <c r="J60" s="825">
        <f t="shared" si="42"/>
        <v>-4.2</v>
      </c>
      <c r="K60" s="825">
        <f t="shared" si="43"/>
        <v>392.8</v>
      </c>
      <c r="L60" s="793">
        <f t="shared" si="44"/>
        <v>-3.85</v>
      </c>
      <c r="M60" s="793">
        <f t="shared" si="45"/>
        <v>392.399</v>
      </c>
      <c r="N60" s="793">
        <v>-4.1100000000000003</v>
      </c>
      <c r="O60" s="824">
        <f t="shared" si="46"/>
        <v>392.55700000000002</v>
      </c>
      <c r="P60" s="793">
        <f t="shared" si="47"/>
        <v>392.608</v>
      </c>
      <c r="Q60" s="794">
        <f t="shared" si="48"/>
        <v>-5.0999999999999997E-2</v>
      </c>
      <c r="R60" s="793">
        <v>4.1100000000000003</v>
      </c>
      <c r="S60" s="793">
        <f t="shared" si="49"/>
        <v>392.71499999999997</v>
      </c>
      <c r="T60" s="793">
        <f t="shared" si="50"/>
        <v>3.85</v>
      </c>
      <c r="U60" s="825">
        <f t="shared" si="51"/>
        <v>393.12</v>
      </c>
      <c r="V60" s="822">
        <f t="shared" si="52"/>
        <v>4.2</v>
      </c>
      <c r="W60" s="826">
        <f t="shared" si="53"/>
        <v>1</v>
      </c>
      <c r="X60" s="793">
        <f t="shared" si="54"/>
        <v>393.13</v>
      </c>
      <c r="Y60" s="826">
        <f t="shared" si="55"/>
        <v>5.15</v>
      </c>
      <c r="Z60" s="793">
        <f t="shared" si="56"/>
        <v>392.00700000000001</v>
      </c>
      <c r="AA60" s="794">
        <f t="shared" si="57"/>
        <v>6.8129999999999997</v>
      </c>
      <c r="AB60" s="793">
        <f t="shared" si="30"/>
        <v>3.5</v>
      </c>
      <c r="AC60" s="794">
        <f t="shared" si="31"/>
        <v>1.65</v>
      </c>
      <c r="AD60" s="795">
        <f t="shared" si="21"/>
        <v>0.35</v>
      </c>
      <c r="AE60" s="793">
        <f t="shared" si="32"/>
        <v>3.5</v>
      </c>
      <c r="AF60" s="794">
        <f t="shared" si="33"/>
        <v>1.65</v>
      </c>
      <c r="AG60" s="795">
        <f t="shared" si="22"/>
        <v>0.35</v>
      </c>
      <c r="AH60" s="773"/>
      <c r="AI60" s="796"/>
      <c r="AJ60" s="796"/>
      <c r="AK60" s="796"/>
      <c r="AL60" s="796">
        <v>46</v>
      </c>
      <c r="AM60" s="797">
        <v>0</v>
      </c>
      <c r="AN60" s="796"/>
      <c r="AO60" s="796">
        <v>392.90699999999998</v>
      </c>
      <c r="AP60" s="796">
        <v>392.608</v>
      </c>
      <c r="AQ60" s="796">
        <f t="shared" si="26"/>
        <v>0.29899999999997801</v>
      </c>
      <c r="AR60" s="796"/>
      <c r="AS60" s="796"/>
      <c r="AT60" s="796"/>
      <c r="AV60" s="797">
        <v>-5.52</v>
      </c>
      <c r="AW60" s="797">
        <v>392.58100000000002</v>
      </c>
      <c r="AX60" s="797">
        <v>6.8129999999999997</v>
      </c>
      <c r="AY60" s="797">
        <v>392.00700000000001</v>
      </c>
      <c r="BA60" s="762">
        <f t="shared" si="58"/>
        <v>920</v>
      </c>
      <c r="BC60" s="798">
        <f t="shared" si="59"/>
        <v>920</v>
      </c>
      <c r="BD60" s="799">
        <f t="shared" si="27"/>
        <v>6980093.6310000001</v>
      </c>
      <c r="BE60" s="799">
        <f t="shared" si="28"/>
        <v>364849.2</v>
      </c>
      <c r="BF60" s="800"/>
      <c r="BJ60" s="801">
        <v>46</v>
      </c>
      <c r="BK60" s="802"/>
      <c r="BL60" s="802"/>
      <c r="BM60" s="803">
        <f t="shared" si="29"/>
        <v>920</v>
      </c>
      <c r="BN60" s="804">
        <v>6980093.6307838997</v>
      </c>
      <c r="BO60" s="805">
        <v>364849.19991889998</v>
      </c>
    </row>
    <row r="61" spans="2:67" ht="15.75" x14ac:dyDescent="0.3">
      <c r="B61" s="806">
        <f t="shared" si="34"/>
        <v>940</v>
      </c>
      <c r="C61" s="822">
        <f t="shared" si="35"/>
        <v>6980073.6960000005</v>
      </c>
      <c r="D61" s="823">
        <f t="shared" si="36"/>
        <v>364850.72</v>
      </c>
      <c r="E61" s="824">
        <f t="shared" si="37"/>
        <v>-5.4509999999999996</v>
      </c>
      <c r="F61" s="793">
        <f t="shared" si="38"/>
        <v>392.07299999999998</v>
      </c>
      <c r="G61" s="825">
        <f t="shared" si="39"/>
        <v>-5.15</v>
      </c>
      <c r="H61" s="793">
        <f t="shared" si="40"/>
        <v>392.26</v>
      </c>
      <c r="I61" s="826">
        <f t="shared" si="41"/>
        <v>1</v>
      </c>
      <c r="J61" s="825">
        <f t="shared" si="42"/>
        <v>-4.2</v>
      </c>
      <c r="K61" s="825">
        <f t="shared" si="43"/>
        <v>392.25</v>
      </c>
      <c r="L61" s="793">
        <f t="shared" si="44"/>
        <v>-3.85</v>
      </c>
      <c r="M61" s="793">
        <f t="shared" si="45"/>
        <v>391.85199999999998</v>
      </c>
      <c r="N61" s="793">
        <v>-2</v>
      </c>
      <c r="O61" s="824">
        <f t="shared" si="46"/>
        <v>391.92899999999997</v>
      </c>
      <c r="P61" s="793">
        <f t="shared" si="47"/>
        <v>392.02499999999998</v>
      </c>
      <c r="Q61" s="794">
        <f t="shared" si="48"/>
        <v>-9.6000000000000002E-2</v>
      </c>
      <c r="R61" s="793">
        <v>0.26</v>
      </c>
      <c r="S61" s="793">
        <f t="shared" si="49"/>
        <v>391.93900000000002</v>
      </c>
      <c r="T61" s="793">
        <f t="shared" si="50"/>
        <v>3.85</v>
      </c>
      <c r="U61" s="825">
        <f t="shared" si="51"/>
        <v>392.34</v>
      </c>
      <c r="V61" s="822">
        <f t="shared" si="52"/>
        <v>4.2</v>
      </c>
      <c r="W61" s="826">
        <f t="shared" si="53"/>
        <v>1</v>
      </c>
      <c r="X61" s="793">
        <f t="shared" si="54"/>
        <v>392.35</v>
      </c>
      <c r="Y61" s="826">
        <f t="shared" si="55"/>
        <v>5.15</v>
      </c>
      <c r="Z61" s="793">
        <f t="shared" si="56"/>
        <v>391.53500000000003</v>
      </c>
      <c r="AA61" s="794">
        <f t="shared" si="57"/>
        <v>6.3769999999999998</v>
      </c>
      <c r="AB61" s="793">
        <f t="shared" si="30"/>
        <v>3.5</v>
      </c>
      <c r="AC61" s="794">
        <f t="shared" si="31"/>
        <v>1.65</v>
      </c>
      <c r="AD61" s="795">
        <f t="shared" si="21"/>
        <v>0.35</v>
      </c>
      <c r="AE61" s="793">
        <f t="shared" si="32"/>
        <v>3.5</v>
      </c>
      <c r="AF61" s="794">
        <f t="shared" si="33"/>
        <v>1.65</v>
      </c>
      <c r="AG61" s="795">
        <f t="shared" si="22"/>
        <v>0.35</v>
      </c>
      <c r="AH61" s="773"/>
      <c r="AI61" s="796"/>
      <c r="AJ61" s="796"/>
      <c r="AK61" s="796"/>
      <c r="AL61" s="796">
        <v>47</v>
      </c>
      <c r="AM61" s="797">
        <v>0</v>
      </c>
      <c r="AN61" s="796"/>
      <c r="AO61" s="796">
        <v>392.279</v>
      </c>
      <c r="AP61" s="796">
        <v>392.02499999999998</v>
      </c>
      <c r="AQ61" s="796">
        <f t="shared" si="26"/>
        <v>0.25400000000001899</v>
      </c>
      <c r="AR61" s="796"/>
      <c r="AS61" s="796"/>
      <c r="AT61" s="796"/>
      <c r="AV61" s="797">
        <v>-5.4509999999999996</v>
      </c>
      <c r="AW61" s="797">
        <v>392.07299999999998</v>
      </c>
      <c r="AX61" s="797">
        <v>6.3769999999999998</v>
      </c>
      <c r="AY61" s="797">
        <v>391.53500000000003</v>
      </c>
      <c r="BA61" s="762">
        <f t="shared" si="58"/>
        <v>940</v>
      </c>
      <c r="BC61" s="798">
        <f t="shared" si="59"/>
        <v>940</v>
      </c>
      <c r="BD61" s="799">
        <f t="shared" si="27"/>
        <v>6980073.6960000005</v>
      </c>
      <c r="BE61" s="799">
        <f t="shared" si="28"/>
        <v>364850.717</v>
      </c>
      <c r="BF61" s="800"/>
      <c r="BJ61" s="801">
        <v>47</v>
      </c>
      <c r="BK61" s="802"/>
      <c r="BL61" s="802"/>
      <c r="BM61" s="803">
        <f t="shared" si="29"/>
        <v>940</v>
      </c>
      <c r="BN61" s="804">
        <v>6980073.6963262996</v>
      </c>
      <c r="BO61" s="805">
        <v>364850.71654370002</v>
      </c>
    </row>
    <row r="62" spans="2:67" ht="15.75" x14ac:dyDescent="0.3">
      <c r="B62" s="806">
        <f t="shared" si="34"/>
        <v>960</v>
      </c>
      <c r="C62" s="822">
        <f t="shared" si="35"/>
        <v>6980053.784</v>
      </c>
      <c r="D62" s="823">
        <f t="shared" si="36"/>
        <v>364852.59</v>
      </c>
      <c r="E62" s="824">
        <f t="shared" si="37"/>
        <v>-5.359</v>
      </c>
      <c r="F62" s="793">
        <f t="shared" si="38"/>
        <v>392.762</v>
      </c>
      <c r="G62" s="825">
        <f t="shared" si="39"/>
        <v>-5.15</v>
      </c>
      <c r="H62" s="793">
        <f t="shared" si="40"/>
        <v>392.43</v>
      </c>
      <c r="I62" s="826">
        <f t="shared" si="41"/>
        <v>1</v>
      </c>
      <c r="J62" s="825">
        <f t="shared" si="42"/>
        <v>-4.2</v>
      </c>
      <c r="K62" s="825">
        <f t="shared" si="43"/>
        <v>392.42</v>
      </c>
      <c r="L62" s="793">
        <f t="shared" si="44"/>
        <v>-3.85</v>
      </c>
      <c r="M62" s="793">
        <f t="shared" si="45"/>
        <v>392.024</v>
      </c>
      <c r="N62" s="793">
        <v>-2</v>
      </c>
      <c r="O62" s="824">
        <f t="shared" si="46"/>
        <v>392.101</v>
      </c>
      <c r="P62" s="793">
        <f t="shared" si="47"/>
        <v>392.32400000000001</v>
      </c>
      <c r="Q62" s="794">
        <f t="shared" si="48"/>
        <v>-0.223</v>
      </c>
      <c r="R62" s="793">
        <v>-1.96</v>
      </c>
      <c r="S62" s="793">
        <f t="shared" si="49"/>
        <v>392.02600000000001</v>
      </c>
      <c r="T62" s="793">
        <f t="shared" si="50"/>
        <v>3.85</v>
      </c>
      <c r="U62" s="825">
        <f t="shared" si="51"/>
        <v>392.43</v>
      </c>
      <c r="V62" s="822">
        <f t="shared" si="52"/>
        <v>4.2</v>
      </c>
      <c r="W62" s="826">
        <f t="shared" si="53"/>
        <v>1</v>
      </c>
      <c r="X62" s="793">
        <f t="shared" si="54"/>
        <v>392.44</v>
      </c>
      <c r="Y62" s="826">
        <f t="shared" si="55"/>
        <v>5.15</v>
      </c>
      <c r="Z62" s="793">
        <f t="shared" si="56"/>
        <v>391.947</v>
      </c>
      <c r="AA62" s="794">
        <f t="shared" si="57"/>
        <v>5.9020000000000001</v>
      </c>
      <c r="AB62" s="793">
        <f t="shared" si="30"/>
        <v>3.5</v>
      </c>
      <c r="AC62" s="794">
        <f t="shared" si="31"/>
        <v>1.65</v>
      </c>
      <c r="AD62" s="795">
        <f t="shared" si="21"/>
        <v>0.35</v>
      </c>
      <c r="AE62" s="793">
        <f t="shared" si="32"/>
        <v>3.5</v>
      </c>
      <c r="AF62" s="794">
        <f t="shared" si="33"/>
        <v>1.65</v>
      </c>
      <c r="AG62" s="795">
        <f t="shared" si="22"/>
        <v>0.35</v>
      </c>
      <c r="AH62" s="773"/>
      <c r="AI62" s="796"/>
      <c r="AJ62" s="796"/>
      <c r="AK62" s="796"/>
      <c r="AL62" s="796">
        <v>48</v>
      </c>
      <c r="AM62" s="797">
        <v>0</v>
      </c>
      <c r="AN62" s="796"/>
      <c r="AO62" s="796">
        <v>392.45100000000002</v>
      </c>
      <c r="AP62" s="796">
        <v>392.32400000000001</v>
      </c>
      <c r="AQ62" s="796">
        <f t="shared" si="26"/>
        <v>0.12700000000000999</v>
      </c>
      <c r="AR62" s="796"/>
      <c r="AS62" s="796"/>
      <c r="AT62" s="796"/>
      <c r="AV62" s="797">
        <v>-5.359</v>
      </c>
      <c r="AW62" s="797">
        <v>392.762</v>
      </c>
      <c r="AX62" s="797">
        <v>5.9020000000000001</v>
      </c>
      <c r="AY62" s="797">
        <v>391.947</v>
      </c>
      <c r="BA62" s="762">
        <f t="shared" si="58"/>
        <v>960</v>
      </c>
      <c r="BC62" s="798">
        <f t="shared" si="59"/>
        <v>960</v>
      </c>
      <c r="BD62" s="799">
        <f t="shared" si="27"/>
        <v>6980053.784</v>
      </c>
      <c r="BE62" s="799">
        <f t="shared" si="28"/>
        <v>364852.58500000002</v>
      </c>
      <c r="BF62" s="800"/>
      <c r="BJ62" s="801">
        <v>48</v>
      </c>
      <c r="BK62" s="802"/>
      <c r="BL62" s="802"/>
      <c r="BM62" s="803">
        <f t="shared" si="29"/>
        <v>960</v>
      </c>
      <c r="BN62" s="804">
        <v>6980053.7838203004</v>
      </c>
      <c r="BO62" s="805">
        <v>364852.58526159998</v>
      </c>
    </row>
    <row r="63" spans="2:67" ht="15.75" x14ac:dyDescent="0.3">
      <c r="B63" s="806">
        <f t="shared" si="34"/>
        <v>980</v>
      </c>
      <c r="C63" s="822">
        <f t="shared" si="35"/>
        <v>6980033.8710000003</v>
      </c>
      <c r="D63" s="823">
        <f t="shared" si="36"/>
        <v>364854.45</v>
      </c>
      <c r="E63" s="824">
        <f t="shared" si="37"/>
        <v>-5.4290000000000003</v>
      </c>
      <c r="F63" s="793">
        <f t="shared" si="38"/>
        <v>393.84300000000002</v>
      </c>
      <c r="G63" s="825">
        <f t="shared" si="39"/>
        <v>-5.15</v>
      </c>
      <c r="H63" s="793">
        <f t="shared" si="40"/>
        <v>393.41</v>
      </c>
      <c r="I63" s="826">
        <f t="shared" si="41"/>
        <v>1</v>
      </c>
      <c r="J63" s="825">
        <f t="shared" si="42"/>
        <v>-4.2</v>
      </c>
      <c r="K63" s="825">
        <f t="shared" si="43"/>
        <v>393.4</v>
      </c>
      <c r="L63" s="793">
        <f t="shared" si="44"/>
        <v>-3.85</v>
      </c>
      <c r="M63" s="793">
        <f t="shared" si="45"/>
        <v>392.99799999999999</v>
      </c>
      <c r="N63" s="793">
        <v>-2</v>
      </c>
      <c r="O63" s="824">
        <f t="shared" si="46"/>
        <v>393.07499999999999</v>
      </c>
      <c r="P63" s="793">
        <f t="shared" si="47"/>
        <v>393.37599999999998</v>
      </c>
      <c r="Q63" s="794">
        <f t="shared" si="48"/>
        <v>-0.30099999999999999</v>
      </c>
      <c r="R63" s="793">
        <v>-2</v>
      </c>
      <c r="S63" s="793">
        <f t="shared" si="49"/>
        <v>392.99799999999999</v>
      </c>
      <c r="T63" s="793">
        <f t="shared" si="50"/>
        <v>3.85</v>
      </c>
      <c r="U63" s="825">
        <f t="shared" si="51"/>
        <v>393.4</v>
      </c>
      <c r="V63" s="822">
        <f t="shared" si="52"/>
        <v>4.2</v>
      </c>
      <c r="W63" s="826">
        <f t="shared" si="53"/>
        <v>1</v>
      </c>
      <c r="X63" s="793">
        <f t="shared" si="54"/>
        <v>393.41</v>
      </c>
      <c r="Y63" s="826">
        <f t="shared" si="55"/>
        <v>5.15</v>
      </c>
      <c r="Z63" s="793">
        <f t="shared" si="56"/>
        <v>393.43299999999999</v>
      </c>
      <c r="AA63" s="794">
        <f t="shared" si="57"/>
        <v>5.1589999999999998</v>
      </c>
      <c r="AB63" s="793">
        <f t="shared" si="30"/>
        <v>3.5</v>
      </c>
      <c r="AC63" s="794">
        <f t="shared" si="31"/>
        <v>1.65</v>
      </c>
      <c r="AD63" s="795">
        <f t="shared" si="21"/>
        <v>0.35</v>
      </c>
      <c r="AE63" s="793">
        <f t="shared" si="32"/>
        <v>3.5</v>
      </c>
      <c r="AF63" s="794">
        <f t="shared" si="33"/>
        <v>1.65</v>
      </c>
      <c r="AG63" s="795">
        <f t="shared" si="22"/>
        <v>0.35</v>
      </c>
      <c r="AH63" s="773"/>
      <c r="AI63" s="796"/>
      <c r="AJ63" s="796"/>
      <c r="AK63" s="796"/>
      <c r="AL63" s="796">
        <v>49</v>
      </c>
      <c r="AM63" s="797">
        <v>0</v>
      </c>
      <c r="AN63" s="796" t="s">
        <v>4311</v>
      </c>
      <c r="AO63" s="796">
        <v>393.42500000000001</v>
      </c>
      <c r="AP63" s="796">
        <v>393.37599999999998</v>
      </c>
      <c r="AQ63" s="796">
        <f t="shared" si="26"/>
        <v>4.9000000000035002E-2</v>
      </c>
      <c r="AR63" s="796"/>
      <c r="AS63" s="796"/>
      <c r="AT63" s="796"/>
      <c r="AV63" s="797">
        <v>-5.4290000000000003</v>
      </c>
      <c r="AW63" s="797">
        <v>393.84300000000002</v>
      </c>
      <c r="AX63" s="797">
        <v>5.1589999999999998</v>
      </c>
      <c r="AY63" s="797">
        <v>393.43299999999999</v>
      </c>
      <c r="BA63" s="762">
        <f t="shared" si="58"/>
        <v>980</v>
      </c>
      <c r="BC63" s="798">
        <f t="shared" si="59"/>
        <v>980</v>
      </c>
      <c r="BD63" s="799">
        <f t="shared" si="27"/>
        <v>6980033.8710000003</v>
      </c>
      <c r="BE63" s="799">
        <f t="shared" si="28"/>
        <v>364854.45400000003</v>
      </c>
      <c r="BF63" s="800"/>
      <c r="BJ63" s="801">
        <v>49</v>
      </c>
      <c r="BK63" s="802"/>
      <c r="BL63" s="802"/>
      <c r="BM63" s="803">
        <f t="shared" si="29"/>
        <v>980</v>
      </c>
      <c r="BN63" s="804">
        <v>6980033.8713143999</v>
      </c>
      <c r="BO63" s="805">
        <v>364854.45397959999</v>
      </c>
    </row>
    <row r="64" spans="2:67" ht="15.75" x14ac:dyDescent="0.3">
      <c r="B64" s="806">
        <f t="shared" si="34"/>
        <v>1000</v>
      </c>
      <c r="C64" s="822">
        <f t="shared" si="35"/>
        <v>6980013.9589999998</v>
      </c>
      <c r="D64" s="823">
        <f t="shared" si="36"/>
        <v>364856.32000000001</v>
      </c>
      <c r="E64" s="824">
        <f t="shared" si="37"/>
        <v>-5.6829999999999998</v>
      </c>
      <c r="F64" s="793">
        <f t="shared" si="38"/>
        <v>395.99200000000002</v>
      </c>
      <c r="G64" s="825">
        <f t="shared" si="39"/>
        <v>-5.15</v>
      </c>
      <c r="H64" s="793">
        <f t="shared" si="40"/>
        <v>395.17</v>
      </c>
      <c r="I64" s="826">
        <f t="shared" si="41"/>
        <v>1</v>
      </c>
      <c r="J64" s="825">
        <f t="shared" si="42"/>
        <v>-4.2</v>
      </c>
      <c r="K64" s="825">
        <f t="shared" si="43"/>
        <v>395.16</v>
      </c>
      <c r="L64" s="793">
        <f t="shared" si="44"/>
        <v>-3.85</v>
      </c>
      <c r="M64" s="793">
        <f t="shared" si="45"/>
        <v>394.76299999999998</v>
      </c>
      <c r="N64" s="793">
        <v>-2</v>
      </c>
      <c r="O64" s="824">
        <f t="shared" si="46"/>
        <v>394.84</v>
      </c>
      <c r="P64" s="793">
        <f t="shared" si="47"/>
        <v>395.29899999999998</v>
      </c>
      <c r="Q64" s="794">
        <f t="shared" si="48"/>
        <v>-0.45900000000000002</v>
      </c>
      <c r="R64" s="793">
        <v>-2</v>
      </c>
      <c r="S64" s="793">
        <f t="shared" si="49"/>
        <v>394.76299999999998</v>
      </c>
      <c r="T64" s="793">
        <f t="shared" si="50"/>
        <v>3.85</v>
      </c>
      <c r="U64" s="825">
        <f t="shared" si="51"/>
        <v>395.16</v>
      </c>
      <c r="V64" s="822">
        <f t="shared" si="52"/>
        <v>4.2</v>
      </c>
      <c r="W64" s="826">
        <f t="shared" si="53"/>
        <v>1</v>
      </c>
      <c r="X64" s="793">
        <f t="shared" si="54"/>
        <v>395.17</v>
      </c>
      <c r="Y64" s="826">
        <f t="shared" si="55"/>
        <v>5.15</v>
      </c>
      <c r="Z64" s="793">
        <f t="shared" si="56"/>
        <v>395.81400000000002</v>
      </c>
      <c r="AA64" s="794">
        <f t="shared" si="57"/>
        <v>5.5650000000000004</v>
      </c>
      <c r="AB64" s="793">
        <f t="shared" si="30"/>
        <v>3.5</v>
      </c>
      <c r="AC64" s="794">
        <f t="shared" si="31"/>
        <v>1.65</v>
      </c>
      <c r="AD64" s="795">
        <f t="shared" si="21"/>
        <v>0.35</v>
      </c>
      <c r="AE64" s="793">
        <f t="shared" si="32"/>
        <v>3.5</v>
      </c>
      <c r="AF64" s="794">
        <f t="shared" si="33"/>
        <v>1.65</v>
      </c>
      <c r="AG64" s="795">
        <f t="shared" si="22"/>
        <v>0.35</v>
      </c>
      <c r="AH64" s="773"/>
      <c r="AI64" s="796"/>
      <c r="AJ64" s="796"/>
      <c r="AK64" s="796"/>
      <c r="AL64" s="796">
        <v>50</v>
      </c>
      <c r="AM64" s="797">
        <v>0</v>
      </c>
      <c r="AN64" s="796"/>
      <c r="AO64" s="796">
        <v>395.19</v>
      </c>
      <c r="AP64" s="796">
        <v>395.29899999999998</v>
      </c>
      <c r="AQ64" s="796">
        <f t="shared" si="26"/>
        <v>-0.10899999999998</v>
      </c>
      <c r="AR64" s="796"/>
      <c r="AS64" s="796"/>
      <c r="AT64" s="796"/>
      <c r="AV64" s="797">
        <v>-5.6829999999999998</v>
      </c>
      <c r="AW64" s="797">
        <v>395.99200000000002</v>
      </c>
      <c r="AX64" s="797">
        <v>5.5650000000000004</v>
      </c>
      <c r="AY64" s="797">
        <v>395.81400000000002</v>
      </c>
      <c r="BA64" s="762">
        <f t="shared" si="58"/>
        <v>1000</v>
      </c>
      <c r="BC64" s="798">
        <f t="shared" si="59"/>
        <v>1000</v>
      </c>
      <c r="BD64" s="799">
        <f t="shared" si="27"/>
        <v>6980013.9589999998</v>
      </c>
      <c r="BE64" s="799">
        <f t="shared" si="28"/>
        <v>364856.32299999997</v>
      </c>
      <c r="BF64" s="800"/>
      <c r="BJ64" s="801">
        <v>50</v>
      </c>
      <c r="BK64" s="802"/>
      <c r="BL64" s="802"/>
      <c r="BM64" s="803">
        <f t="shared" si="29"/>
        <v>1000</v>
      </c>
      <c r="BN64" s="804">
        <v>6980013.9588083997</v>
      </c>
      <c r="BO64" s="805">
        <v>364856.3226975</v>
      </c>
    </row>
    <row r="65" spans="2:67" ht="15.75" x14ac:dyDescent="0.3">
      <c r="B65" s="806">
        <f t="shared" si="34"/>
        <v>1020</v>
      </c>
      <c r="C65" s="822">
        <f t="shared" si="35"/>
        <v>6979994.0460000001</v>
      </c>
      <c r="D65" s="823">
        <f t="shared" si="36"/>
        <v>364858.19</v>
      </c>
      <c r="E65" s="824">
        <f t="shared" si="37"/>
        <v>-5.8780000000000001</v>
      </c>
      <c r="F65" s="793">
        <f t="shared" si="38"/>
        <v>398.31700000000001</v>
      </c>
      <c r="G65" s="825">
        <f t="shared" si="39"/>
        <v>-5.15</v>
      </c>
      <c r="H65" s="793">
        <f t="shared" si="40"/>
        <v>397.2</v>
      </c>
      <c r="I65" s="826">
        <f t="shared" si="41"/>
        <v>1</v>
      </c>
      <c r="J65" s="825">
        <f t="shared" si="42"/>
        <v>-4.2</v>
      </c>
      <c r="K65" s="825">
        <f t="shared" si="43"/>
        <v>397.19</v>
      </c>
      <c r="L65" s="793">
        <f t="shared" si="44"/>
        <v>-3.85</v>
      </c>
      <c r="M65" s="793">
        <f t="shared" si="45"/>
        <v>396.79300000000001</v>
      </c>
      <c r="N65" s="793">
        <v>-2</v>
      </c>
      <c r="O65" s="824">
        <f t="shared" si="46"/>
        <v>396.87</v>
      </c>
      <c r="P65" s="793">
        <f t="shared" si="47"/>
        <v>397.32600000000002</v>
      </c>
      <c r="Q65" s="794">
        <f t="shared" si="48"/>
        <v>-0.45600000000000002</v>
      </c>
      <c r="R65" s="793">
        <v>-2</v>
      </c>
      <c r="S65" s="793">
        <f t="shared" si="49"/>
        <v>396.79300000000001</v>
      </c>
      <c r="T65" s="793">
        <f t="shared" si="50"/>
        <v>3.85</v>
      </c>
      <c r="U65" s="825">
        <f t="shared" si="51"/>
        <v>397.19</v>
      </c>
      <c r="V65" s="822">
        <f t="shared" si="52"/>
        <v>4.2</v>
      </c>
      <c r="W65" s="826">
        <f t="shared" si="53"/>
        <v>1</v>
      </c>
      <c r="X65" s="793">
        <f t="shared" si="54"/>
        <v>397.2</v>
      </c>
      <c r="Y65" s="826">
        <f t="shared" si="55"/>
        <v>5.15</v>
      </c>
      <c r="Z65" s="793">
        <f t="shared" si="56"/>
        <v>397.73099999999999</v>
      </c>
      <c r="AA65" s="794">
        <f t="shared" si="57"/>
        <v>5.4909999999999997</v>
      </c>
      <c r="AB65" s="793">
        <f t="shared" si="30"/>
        <v>3.5</v>
      </c>
      <c r="AC65" s="794">
        <f t="shared" si="31"/>
        <v>1.65</v>
      </c>
      <c r="AD65" s="795">
        <f t="shared" si="21"/>
        <v>0.35</v>
      </c>
      <c r="AE65" s="793">
        <f t="shared" si="32"/>
        <v>3.5</v>
      </c>
      <c r="AF65" s="794">
        <f t="shared" si="33"/>
        <v>1.65</v>
      </c>
      <c r="AG65" s="795">
        <f t="shared" si="22"/>
        <v>0.35</v>
      </c>
      <c r="AH65" s="773"/>
      <c r="AI65" s="796"/>
      <c r="AJ65" s="796"/>
      <c r="AK65" s="796"/>
      <c r="AL65" s="796">
        <v>51</v>
      </c>
      <c r="AM65" s="797">
        <v>0</v>
      </c>
      <c r="AN65" s="796" t="s">
        <v>4310</v>
      </c>
      <c r="AO65" s="796">
        <v>397.22</v>
      </c>
      <c r="AP65" s="796">
        <v>397.32600000000002</v>
      </c>
      <c r="AQ65" s="796">
        <f t="shared" si="26"/>
        <v>-0.105999999999995</v>
      </c>
      <c r="AR65" s="796"/>
      <c r="AS65" s="796"/>
      <c r="AT65" s="796"/>
      <c r="AV65" s="797">
        <v>-5.8780000000000001</v>
      </c>
      <c r="AW65" s="797">
        <v>398.31700000000001</v>
      </c>
      <c r="AX65" s="797">
        <v>5.4909999999999997</v>
      </c>
      <c r="AY65" s="797">
        <v>397.73099999999999</v>
      </c>
      <c r="BA65" s="762">
        <f t="shared" si="58"/>
        <v>1020</v>
      </c>
      <c r="BC65" s="798">
        <f t="shared" si="59"/>
        <v>1020</v>
      </c>
      <c r="BD65" s="799">
        <f t="shared" si="27"/>
        <v>6979994.0460000001</v>
      </c>
      <c r="BE65" s="799">
        <f t="shared" si="28"/>
        <v>364858.19099999999</v>
      </c>
      <c r="BF65" s="800"/>
      <c r="BJ65" s="801">
        <v>51</v>
      </c>
      <c r="BK65" s="802"/>
      <c r="BL65" s="802"/>
      <c r="BM65" s="803">
        <f t="shared" si="29"/>
        <v>1020</v>
      </c>
      <c r="BN65" s="804">
        <v>6979994.0463025002</v>
      </c>
      <c r="BO65" s="805">
        <v>364858.19141540001</v>
      </c>
    </row>
    <row r="66" spans="2:67" ht="15.75" x14ac:dyDescent="0.3">
      <c r="B66" s="806">
        <f t="shared" si="34"/>
        <v>1040</v>
      </c>
      <c r="C66" s="822">
        <f t="shared" si="35"/>
        <v>6979974.1339999996</v>
      </c>
      <c r="D66" s="823">
        <f t="shared" si="36"/>
        <v>364860.06</v>
      </c>
      <c r="E66" s="824">
        <f t="shared" si="37"/>
        <v>0</v>
      </c>
      <c r="F66" s="793">
        <f t="shared" si="38"/>
        <v>0</v>
      </c>
      <c r="G66" s="825">
        <f t="shared" si="39"/>
        <v>-5.15</v>
      </c>
      <c r="H66" s="793">
        <f t="shared" si="40"/>
        <v>399.09</v>
      </c>
      <c r="I66" s="826">
        <f t="shared" si="41"/>
        <v>1</v>
      </c>
      <c r="J66" s="825">
        <f t="shared" si="42"/>
        <v>-4.2</v>
      </c>
      <c r="K66" s="825">
        <f t="shared" si="43"/>
        <v>399.08</v>
      </c>
      <c r="L66" s="793">
        <f t="shared" si="44"/>
        <v>-3.85</v>
      </c>
      <c r="M66" s="793">
        <f t="shared" si="45"/>
        <v>398.678</v>
      </c>
      <c r="N66" s="793">
        <v>-1.95</v>
      </c>
      <c r="O66" s="824">
        <f t="shared" si="46"/>
        <v>398.75299999999999</v>
      </c>
      <c r="P66" s="793">
        <f t="shared" si="47"/>
        <v>398.94400000000002</v>
      </c>
      <c r="Q66" s="794">
        <f t="shared" si="48"/>
        <v>-0.191</v>
      </c>
      <c r="R66" s="793">
        <v>-2</v>
      </c>
      <c r="S66" s="793">
        <f t="shared" si="49"/>
        <v>398.67599999999999</v>
      </c>
      <c r="T66" s="793">
        <f t="shared" si="50"/>
        <v>3.85</v>
      </c>
      <c r="U66" s="825">
        <f t="shared" si="51"/>
        <v>399.08</v>
      </c>
      <c r="V66" s="822">
        <f t="shared" si="52"/>
        <v>4.2</v>
      </c>
      <c r="W66" s="826">
        <f t="shared" si="53"/>
        <v>1</v>
      </c>
      <c r="X66" s="793">
        <f t="shared" si="54"/>
        <v>399.09</v>
      </c>
      <c r="Y66" s="826">
        <f t="shared" si="55"/>
        <v>5.15</v>
      </c>
      <c r="Z66" s="793">
        <f t="shared" si="56"/>
        <v>400.149</v>
      </c>
      <c r="AA66" s="794">
        <f t="shared" si="57"/>
        <v>5.8440000000000003</v>
      </c>
      <c r="AB66" s="793">
        <f t="shared" si="30"/>
        <v>3.5</v>
      </c>
      <c r="AC66" s="794">
        <f t="shared" si="31"/>
        <v>1.65</v>
      </c>
      <c r="AD66" s="795">
        <f t="shared" si="21"/>
        <v>0.35</v>
      </c>
      <c r="AE66" s="793">
        <f t="shared" si="32"/>
        <v>3.5</v>
      </c>
      <c r="AF66" s="794">
        <f t="shared" si="33"/>
        <v>1.65</v>
      </c>
      <c r="AG66" s="795">
        <f t="shared" si="22"/>
        <v>0.35</v>
      </c>
      <c r="AH66" s="773"/>
      <c r="AI66" s="796"/>
      <c r="AJ66" s="796"/>
      <c r="AK66" s="796"/>
      <c r="AL66" s="796">
        <v>52</v>
      </c>
      <c r="AM66" s="797">
        <v>0</v>
      </c>
      <c r="AN66" s="796"/>
      <c r="AO66" s="796">
        <v>399.10300000000001</v>
      </c>
      <c r="AP66" s="796">
        <v>398.94400000000002</v>
      </c>
      <c r="AQ66" s="796">
        <f t="shared" si="26"/>
        <v>0.15899999999999201</v>
      </c>
      <c r="AR66" s="796"/>
      <c r="AS66" s="796"/>
      <c r="AT66" s="796"/>
      <c r="AV66" s="797">
        <v>0</v>
      </c>
      <c r="AW66" s="797">
        <v>0</v>
      </c>
      <c r="AX66" s="797">
        <v>5.8440000000000003</v>
      </c>
      <c r="AY66" s="797">
        <v>400.149</v>
      </c>
      <c r="BA66" s="762">
        <f t="shared" si="58"/>
        <v>1040</v>
      </c>
      <c r="BC66" s="798">
        <f t="shared" si="59"/>
        <v>1040</v>
      </c>
      <c r="BD66" s="799">
        <f t="shared" si="27"/>
        <v>6979974.1339999996</v>
      </c>
      <c r="BE66" s="799">
        <f t="shared" si="28"/>
        <v>364860.06</v>
      </c>
      <c r="BF66" s="800"/>
      <c r="BJ66" s="801">
        <v>52</v>
      </c>
      <c r="BK66" s="802"/>
      <c r="BL66" s="802"/>
      <c r="BM66" s="803">
        <f t="shared" si="29"/>
        <v>1040</v>
      </c>
      <c r="BN66" s="804">
        <v>6979974.1337965</v>
      </c>
      <c r="BO66" s="805">
        <v>364860.06013340002</v>
      </c>
    </row>
    <row r="67" spans="2:67" ht="15.75" x14ac:dyDescent="0.3">
      <c r="B67" s="806">
        <f t="shared" si="34"/>
        <v>1060</v>
      </c>
      <c r="C67" s="822">
        <f t="shared" si="35"/>
        <v>6979954.2209999999</v>
      </c>
      <c r="D67" s="823">
        <f t="shared" si="36"/>
        <v>364861.93</v>
      </c>
      <c r="E67" s="824">
        <f t="shared" si="37"/>
        <v>-5.1680000000000001</v>
      </c>
      <c r="F67" s="793">
        <f t="shared" si="38"/>
        <v>399.94600000000003</v>
      </c>
      <c r="G67" s="825">
        <f t="shared" si="39"/>
        <v>-5.15</v>
      </c>
      <c r="H67" s="793">
        <f t="shared" si="40"/>
        <v>399.92</v>
      </c>
      <c r="I67" s="826">
        <f t="shared" si="41"/>
        <v>1</v>
      </c>
      <c r="J67" s="825">
        <f t="shared" si="42"/>
        <v>-4.2</v>
      </c>
      <c r="K67" s="825">
        <f t="shared" si="43"/>
        <v>399.91</v>
      </c>
      <c r="L67" s="793">
        <f t="shared" si="44"/>
        <v>-3.85</v>
      </c>
      <c r="M67" s="793">
        <f t="shared" si="45"/>
        <v>399.50700000000001</v>
      </c>
      <c r="N67" s="793">
        <v>0.57999999999999996</v>
      </c>
      <c r="O67" s="824">
        <f t="shared" si="46"/>
        <v>399.48500000000001</v>
      </c>
      <c r="P67" s="793">
        <f t="shared" si="47"/>
        <v>400.05700000000002</v>
      </c>
      <c r="Q67" s="794">
        <f t="shared" si="48"/>
        <v>-0.57199999999999995</v>
      </c>
      <c r="R67" s="793">
        <v>-2</v>
      </c>
      <c r="S67" s="793">
        <f t="shared" si="49"/>
        <v>399.40800000000002</v>
      </c>
      <c r="T67" s="793">
        <f t="shared" si="50"/>
        <v>3.85</v>
      </c>
      <c r="U67" s="825">
        <f t="shared" si="51"/>
        <v>399.81</v>
      </c>
      <c r="V67" s="822">
        <f t="shared" si="52"/>
        <v>4.2</v>
      </c>
      <c r="W67" s="826">
        <f t="shared" si="53"/>
        <v>1</v>
      </c>
      <c r="X67" s="793">
        <f t="shared" si="54"/>
        <v>399.82</v>
      </c>
      <c r="Y67" s="826">
        <f t="shared" si="55"/>
        <v>5.15</v>
      </c>
      <c r="Z67" s="793">
        <f t="shared" si="56"/>
        <v>402.26299999999998</v>
      </c>
      <c r="AA67" s="794">
        <f t="shared" si="57"/>
        <v>6.758</v>
      </c>
      <c r="AB67" s="793">
        <f t="shared" si="30"/>
        <v>3.5</v>
      </c>
      <c r="AC67" s="794">
        <f t="shared" si="31"/>
        <v>1.65</v>
      </c>
      <c r="AD67" s="795">
        <f t="shared" si="21"/>
        <v>0.35</v>
      </c>
      <c r="AE67" s="793">
        <f t="shared" si="32"/>
        <v>3.5</v>
      </c>
      <c r="AF67" s="794">
        <f t="shared" si="33"/>
        <v>1.65</v>
      </c>
      <c r="AG67" s="795">
        <f t="shared" si="22"/>
        <v>0.35</v>
      </c>
      <c r="AH67" s="773"/>
      <c r="AI67" s="796"/>
      <c r="AJ67" s="796"/>
      <c r="AK67" s="796"/>
      <c r="AL67" s="796">
        <v>53</v>
      </c>
      <c r="AM67" s="797">
        <v>0</v>
      </c>
      <c r="AN67" s="796"/>
      <c r="AO67" s="796">
        <v>399.83499999999998</v>
      </c>
      <c r="AP67" s="796">
        <v>400.05700000000002</v>
      </c>
      <c r="AQ67" s="796">
        <f t="shared" si="26"/>
        <v>-0.222000000000037</v>
      </c>
      <c r="AR67" s="796"/>
      <c r="AS67" s="796"/>
      <c r="AT67" s="796"/>
      <c r="AV67" s="797">
        <v>-5.1680000000000001</v>
      </c>
      <c r="AW67" s="797">
        <v>399.94600000000003</v>
      </c>
      <c r="AX67" s="797">
        <v>6.758</v>
      </c>
      <c r="AY67" s="797">
        <v>402.26299999999998</v>
      </c>
      <c r="BA67" s="762">
        <f t="shared" si="58"/>
        <v>1060</v>
      </c>
      <c r="BC67" s="798">
        <f t="shared" si="59"/>
        <v>1060</v>
      </c>
      <c r="BD67" s="799">
        <f t="shared" si="27"/>
        <v>6979954.2209999999</v>
      </c>
      <c r="BE67" s="799">
        <f t="shared" si="28"/>
        <v>364861.929</v>
      </c>
      <c r="BF67" s="800"/>
      <c r="BJ67" s="801">
        <v>53</v>
      </c>
      <c r="BK67" s="802"/>
      <c r="BL67" s="802"/>
      <c r="BM67" s="803">
        <f t="shared" si="29"/>
        <v>1060</v>
      </c>
      <c r="BN67" s="804">
        <v>6979954.2212905996</v>
      </c>
      <c r="BO67" s="805">
        <v>364861.92885129998</v>
      </c>
    </row>
    <row r="68" spans="2:67" ht="15.75" x14ac:dyDescent="0.3">
      <c r="B68" s="806">
        <f t="shared" si="34"/>
        <v>1080</v>
      </c>
      <c r="C68" s="822">
        <f t="shared" si="35"/>
        <v>6979934.2879999997</v>
      </c>
      <c r="D68" s="823">
        <f t="shared" si="36"/>
        <v>364863.27</v>
      </c>
      <c r="E68" s="824">
        <f t="shared" si="37"/>
        <v>-5.9649999999999999</v>
      </c>
      <c r="F68" s="793">
        <f t="shared" si="38"/>
        <v>398.94</v>
      </c>
      <c r="G68" s="825">
        <f t="shared" si="39"/>
        <v>-5.15</v>
      </c>
      <c r="H68" s="793">
        <f t="shared" si="40"/>
        <v>399.5</v>
      </c>
      <c r="I68" s="826">
        <f t="shared" si="41"/>
        <v>1</v>
      </c>
      <c r="J68" s="825">
        <f t="shared" si="42"/>
        <v>-4.2</v>
      </c>
      <c r="K68" s="825">
        <f t="shared" si="43"/>
        <v>399.49</v>
      </c>
      <c r="L68" s="793">
        <f t="shared" si="44"/>
        <v>-3.85</v>
      </c>
      <c r="M68" s="793">
        <f t="shared" si="45"/>
        <v>399.08600000000001</v>
      </c>
      <c r="N68" s="793">
        <v>5.3</v>
      </c>
      <c r="O68" s="824">
        <f t="shared" si="46"/>
        <v>398.88200000000001</v>
      </c>
      <c r="P68" s="793">
        <f t="shared" si="47"/>
        <v>399.40800000000002</v>
      </c>
      <c r="Q68" s="794">
        <f t="shared" si="48"/>
        <v>-0.52600000000000002</v>
      </c>
      <c r="R68" s="793">
        <v>-2</v>
      </c>
      <c r="S68" s="793">
        <f t="shared" si="49"/>
        <v>398.80500000000001</v>
      </c>
      <c r="T68" s="793">
        <f t="shared" si="50"/>
        <v>3.85</v>
      </c>
      <c r="U68" s="825">
        <f t="shared" si="51"/>
        <v>399.21</v>
      </c>
      <c r="V68" s="822">
        <f t="shared" si="52"/>
        <v>4.2</v>
      </c>
      <c r="W68" s="826">
        <f t="shared" si="53"/>
        <v>1</v>
      </c>
      <c r="X68" s="793">
        <f t="shared" si="54"/>
        <v>399.22</v>
      </c>
      <c r="Y68" s="826">
        <f t="shared" si="55"/>
        <v>5.15</v>
      </c>
      <c r="Z68" s="793">
        <f t="shared" si="56"/>
        <v>402.404</v>
      </c>
      <c r="AA68" s="794">
        <f t="shared" si="57"/>
        <v>7.3239999999999998</v>
      </c>
      <c r="AB68" s="793">
        <f t="shared" si="30"/>
        <v>3.5</v>
      </c>
      <c r="AC68" s="794">
        <f t="shared" si="31"/>
        <v>1.65</v>
      </c>
      <c r="AD68" s="795">
        <f t="shared" si="21"/>
        <v>0.35</v>
      </c>
      <c r="AE68" s="793">
        <f t="shared" si="32"/>
        <v>3.5</v>
      </c>
      <c r="AF68" s="794">
        <f t="shared" si="33"/>
        <v>1.65</v>
      </c>
      <c r="AG68" s="795">
        <f t="shared" si="22"/>
        <v>0.35</v>
      </c>
      <c r="AH68" s="773"/>
      <c r="AI68" s="796"/>
      <c r="AJ68" s="796"/>
      <c r="AK68" s="796"/>
      <c r="AL68" s="796">
        <v>54</v>
      </c>
      <c r="AM68" s="797">
        <v>0</v>
      </c>
      <c r="AN68" s="796" t="s">
        <v>4311</v>
      </c>
      <c r="AO68" s="796">
        <v>399.23200000000003</v>
      </c>
      <c r="AP68" s="796">
        <v>399.40800000000002</v>
      </c>
      <c r="AQ68" s="796">
        <f t="shared" si="26"/>
        <v>-0.175999999999988</v>
      </c>
      <c r="AR68" s="796"/>
      <c r="AS68" s="796"/>
      <c r="AT68" s="796"/>
      <c r="AV68" s="797">
        <v>-5.9649999999999999</v>
      </c>
      <c r="AW68" s="797">
        <v>398.94</v>
      </c>
      <c r="AX68" s="797">
        <v>7.3239999999999998</v>
      </c>
      <c r="AY68" s="797">
        <v>402.404</v>
      </c>
      <c r="BA68" s="762">
        <f t="shared" si="58"/>
        <v>1080</v>
      </c>
      <c r="BC68" s="798">
        <f t="shared" si="59"/>
        <v>1080</v>
      </c>
      <c r="BD68" s="799">
        <f t="shared" si="27"/>
        <v>6979934.2879999997</v>
      </c>
      <c r="BE68" s="799">
        <f t="shared" si="28"/>
        <v>364863.26699999999</v>
      </c>
      <c r="BF68" s="800"/>
      <c r="BJ68" s="801">
        <v>54</v>
      </c>
      <c r="BK68" s="802"/>
      <c r="BL68" s="802"/>
      <c r="BM68" s="803">
        <f t="shared" si="29"/>
        <v>1080</v>
      </c>
      <c r="BN68" s="804">
        <v>6979934.2879515002</v>
      </c>
      <c r="BO68" s="805">
        <v>364863.26697639999</v>
      </c>
    </row>
    <row r="69" spans="2:67" ht="15.75" x14ac:dyDescent="0.3">
      <c r="B69" s="806">
        <f t="shared" si="34"/>
        <v>1100</v>
      </c>
      <c r="C69" s="822">
        <f t="shared" si="35"/>
        <v>6979915.4970000004</v>
      </c>
      <c r="D69" s="823">
        <f t="shared" si="36"/>
        <v>364857.05</v>
      </c>
      <c r="E69" s="824">
        <f t="shared" si="37"/>
        <v>-6.3140000000000001</v>
      </c>
      <c r="F69" s="793">
        <f t="shared" si="38"/>
        <v>396.87900000000002</v>
      </c>
      <c r="G69" s="825">
        <f t="shared" si="39"/>
        <v>-5.15</v>
      </c>
      <c r="H69" s="793">
        <f t="shared" si="40"/>
        <v>397.68</v>
      </c>
      <c r="I69" s="826">
        <f t="shared" si="41"/>
        <v>1</v>
      </c>
      <c r="J69" s="825">
        <f t="shared" si="42"/>
        <v>-4.2</v>
      </c>
      <c r="K69" s="825">
        <f t="shared" si="43"/>
        <v>397.67</v>
      </c>
      <c r="L69" s="793">
        <f t="shared" si="44"/>
        <v>-3.85</v>
      </c>
      <c r="M69" s="793">
        <f t="shared" si="45"/>
        <v>397.267</v>
      </c>
      <c r="N69" s="793">
        <v>7.5</v>
      </c>
      <c r="O69" s="824">
        <f t="shared" si="46"/>
        <v>396.97800000000001</v>
      </c>
      <c r="P69" s="793">
        <f t="shared" si="47"/>
        <v>396.61599999999999</v>
      </c>
      <c r="Q69" s="794">
        <f t="shared" si="48"/>
        <v>0.36199999999999999</v>
      </c>
      <c r="R69" s="793">
        <v>-2</v>
      </c>
      <c r="S69" s="793">
        <f t="shared" si="49"/>
        <v>396.90100000000001</v>
      </c>
      <c r="T69" s="793">
        <f t="shared" si="50"/>
        <v>3.85</v>
      </c>
      <c r="U69" s="825">
        <f t="shared" si="51"/>
        <v>397.3</v>
      </c>
      <c r="V69" s="822">
        <f t="shared" si="52"/>
        <v>4.2</v>
      </c>
      <c r="W69" s="826">
        <f t="shared" si="53"/>
        <v>1</v>
      </c>
      <c r="X69" s="793">
        <f t="shared" si="54"/>
        <v>397.31</v>
      </c>
      <c r="Y69" s="826">
        <f t="shared" si="55"/>
        <v>5.15</v>
      </c>
      <c r="Z69" s="793">
        <f t="shared" si="56"/>
        <v>399.14499999999998</v>
      </c>
      <c r="AA69" s="794">
        <f t="shared" si="57"/>
        <v>6.48</v>
      </c>
      <c r="AB69" s="793">
        <f t="shared" si="30"/>
        <v>3.5</v>
      </c>
      <c r="AC69" s="794">
        <f t="shared" si="31"/>
        <v>1.65</v>
      </c>
      <c r="AD69" s="795">
        <f t="shared" si="21"/>
        <v>0.35</v>
      </c>
      <c r="AE69" s="793">
        <f t="shared" si="32"/>
        <v>3.5</v>
      </c>
      <c r="AF69" s="794">
        <f t="shared" si="33"/>
        <v>1.65</v>
      </c>
      <c r="AG69" s="795">
        <f t="shared" si="22"/>
        <v>0.35</v>
      </c>
      <c r="AH69" s="773"/>
      <c r="AI69" s="796"/>
      <c r="AJ69" s="796"/>
      <c r="AK69" s="796"/>
      <c r="AL69" s="796">
        <v>55</v>
      </c>
      <c r="AM69" s="797">
        <v>0</v>
      </c>
      <c r="AN69" s="796" t="s">
        <v>4310</v>
      </c>
      <c r="AO69" s="796">
        <v>397.32799999999997</v>
      </c>
      <c r="AP69" s="796">
        <v>396.61599999999999</v>
      </c>
      <c r="AQ69" s="796">
        <f t="shared" si="26"/>
        <v>0.71199999999998898</v>
      </c>
      <c r="AR69" s="796"/>
      <c r="AS69" s="796"/>
      <c r="AT69" s="796"/>
      <c r="AV69" s="797">
        <v>-6.3140000000000001</v>
      </c>
      <c r="AW69" s="797">
        <v>396.87900000000002</v>
      </c>
      <c r="AX69" s="797">
        <v>6.48</v>
      </c>
      <c r="AY69" s="797">
        <v>399.14499999999998</v>
      </c>
      <c r="BA69" s="762">
        <f t="shared" si="58"/>
        <v>1100</v>
      </c>
      <c r="BC69" s="798">
        <f t="shared" si="59"/>
        <v>1100</v>
      </c>
      <c r="BD69" s="799">
        <f t="shared" si="27"/>
        <v>6979915.4970000004</v>
      </c>
      <c r="BE69" s="799">
        <f t="shared" si="28"/>
        <v>364857.05200000003</v>
      </c>
      <c r="BF69" s="800"/>
      <c r="BJ69" s="801">
        <v>55</v>
      </c>
      <c r="BK69" s="802"/>
      <c r="BL69" s="802"/>
      <c r="BM69" s="803">
        <f t="shared" si="29"/>
        <v>1100</v>
      </c>
      <c r="BN69" s="804">
        <v>6979915.4968360001</v>
      </c>
      <c r="BO69" s="805">
        <v>364857.0516905</v>
      </c>
    </row>
    <row r="70" spans="2:67" ht="15.75" x14ac:dyDescent="0.3">
      <c r="B70" s="806">
        <f t="shared" si="34"/>
        <v>1120</v>
      </c>
      <c r="C70" s="822">
        <f t="shared" si="35"/>
        <v>6979901.7189999996</v>
      </c>
      <c r="D70" s="823">
        <f t="shared" si="36"/>
        <v>364842.77</v>
      </c>
      <c r="E70" s="824">
        <f t="shared" si="37"/>
        <v>-5.9020000000000001</v>
      </c>
      <c r="F70" s="793">
        <f t="shared" si="38"/>
        <v>395.02800000000002</v>
      </c>
      <c r="G70" s="825">
        <f t="shared" si="39"/>
        <v>-5.15</v>
      </c>
      <c r="H70" s="793">
        <f t="shared" si="40"/>
        <v>395.53</v>
      </c>
      <c r="I70" s="826">
        <f t="shared" si="41"/>
        <v>1</v>
      </c>
      <c r="J70" s="825">
        <f t="shared" si="42"/>
        <v>-4.2</v>
      </c>
      <c r="K70" s="825">
        <f t="shared" si="43"/>
        <v>395.52</v>
      </c>
      <c r="L70" s="793">
        <f t="shared" si="44"/>
        <v>-3.85</v>
      </c>
      <c r="M70" s="793">
        <f t="shared" si="45"/>
        <v>395.12299999999999</v>
      </c>
      <c r="N70" s="793">
        <v>2.41</v>
      </c>
      <c r="O70" s="824">
        <f t="shared" si="46"/>
        <v>395.03</v>
      </c>
      <c r="P70" s="793">
        <f t="shared" si="47"/>
        <v>395.28800000000001</v>
      </c>
      <c r="Q70" s="794">
        <f t="shared" si="48"/>
        <v>-0.25800000000000001</v>
      </c>
      <c r="R70" s="793">
        <v>-2</v>
      </c>
      <c r="S70" s="793">
        <f t="shared" si="49"/>
        <v>394.95299999999997</v>
      </c>
      <c r="T70" s="793">
        <f t="shared" si="50"/>
        <v>3.85</v>
      </c>
      <c r="U70" s="825">
        <f t="shared" si="51"/>
        <v>395.35</v>
      </c>
      <c r="V70" s="822">
        <f t="shared" si="52"/>
        <v>4.2</v>
      </c>
      <c r="W70" s="826">
        <f t="shared" si="53"/>
        <v>1</v>
      </c>
      <c r="X70" s="793">
        <f t="shared" si="54"/>
        <v>395.36</v>
      </c>
      <c r="Y70" s="826">
        <f t="shared" si="55"/>
        <v>5.15</v>
      </c>
      <c r="Z70" s="793">
        <f t="shared" si="56"/>
        <v>395.92899999999997</v>
      </c>
      <c r="AA70" s="794">
        <f t="shared" si="57"/>
        <v>5.5350000000000001</v>
      </c>
      <c r="AB70" s="793">
        <f t="shared" si="30"/>
        <v>3.5</v>
      </c>
      <c r="AC70" s="794">
        <f t="shared" si="31"/>
        <v>1.65</v>
      </c>
      <c r="AD70" s="795">
        <f t="shared" si="21"/>
        <v>0.35</v>
      </c>
      <c r="AE70" s="793">
        <f t="shared" si="32"/>
        <v>3.5</v>
      </c>
      <c r="AF70" s="794">
        <f t="shared" si="33"/>
        <v>1.65</v>
      </c>
      <c r="AG70" s="795">
        <f t="shared" si="22"/>
        <v>0.35</v>
      </c>
      <c r="AH70" s="773"/>
      <c r="AI70" s="796"/>
      <c r="AJ70" s="796"/>
      <c r="AK70" s="796"/>
      <c r="AL70" s="796">
        <v>56</v>
      </c>
      <c r="AM70" s="797">
        <v>0</v>
      </c>
      <c r="AN70" s="796" t="s">
        <v>4311</v>
      </c>
      <c r="AO70" s="796">
        <v>395.38</v>
      </c>
      <c r="AP70" s="796">
        <v>395.28800000000001</v>
      </c>
      <c r="AQ70" s="796">
        <f t="shared" si="26"/>
        <v>9.1999999999984497E-2</v>
      </c>
      <c r="AR70" s="796"/>
      <c r="AS70" s="796"/>
      <c r="AT70" s="796"/>
      <c r="AV70" s="797">
        <v>-5.9020000000000001</v>
      </c>
      <c r="AW70" s="797">
        <v>395.02800000000002</v>
      </c>
      <c r="AX70" s="797">
        <v>5.5350000000000001</v>
      </c>
      <c r="AY70" s="797">
        <v>395.92899999999997</v>
      </c>
      <c r="BA70" s="762">
        <f t="shared" si="58"/>
        <v>1120</v>
      </c>
      <c r="BC70" s="798">
        <f t="shared" si="59"/>
        <v>1120</v>
      </c>
      <c r="BD70" s="799">
        <f t="shared" si="27"/>
        <v>6979901.7189999996</v>
      </c>
      <c r="BE70" s="799">
        <f t="shared" si="28"/>
        <v>364842.76500000001</v>
      </c>
      <c r="BF70" s="800"/>
      <c r="BJ70" s="801">
        <v>56</v>
      </c>
      <c r="BK70" s="802"/>
      <c r="BL70" s="802"/>
      <c r="BM70" s="803">
        <f t="shared" si="29"/>
        <v>1120</v>
      </c>
      <c r="BN70" s="804">
        <v>6979901.7192436</v>
      </c>
      <c r="BO70" s="805">
        <v>364842.76517600002</v>
      </c>
    </row>
    <row r="71" spans="2:67" ht="15.75" x14ac:dyDescent="0.3">
      <c r="B71" s="806">
        <f t="shared" si="34"/>
        <v>1140</v>
      </c>
      <c r="C71" s="822">
        <f t="shared" si="35"/>
        <v>6979889.9709999999</v>
      </c>
      <c r="D71" s="823">
        <f t="shared" si="36"/>
        <v>364826.58</v>
      </c>
      <c r="E71" s="824">
        <f t="shared" si="37"/>
        <v>-5.69</v>
      </c>
      <c r="F71" s="793">
        <f t="shared" si="38"/>
        <v>394.35399999999998</v>
      </c>
      <c r="G71" s="825">
        <f t="shared" si="39"/>
        <v>-5.15</v>
      </c>
      <c r="H71" s="793">
        <f t="shared" si="40"/>
        <v>394.7</v>
      </c>
      <c r="I71" s="826">
        <f t="shared" si="41"/>
        <v>1</v>
      </c>
      <c r="J71" s="825">
        <f t="shared" si="42"/>
        <v>-4.2</v>
      </c>
      <c r="K71" s="825">
        <f t="shared" si="43"/>
        <v>394.69</v>
      </c>
      <c r="L71" s="793">
        <f t="shared" si="44"/>
        <v>-3.85</v>
      </c>
      <c r="M71" s="793">
        <f t="shared" si="45"/>
        <v>394.29399999999998</v>
      </c>
      <c r="N71" s="793">
        <v>-1.34</v>
      </c>
      <c r="O71" s="824">
        <f t="shared" si="46"/>
        <v>394.346</v>
      </c>
      <c r="P71" s="793">
        <f t="shared" si="47"/>
        <v>394.56700000000001</v>
      </c>
      <c r="Q71" s="794">
        <f t="shared" si="48"/>
        <v>-0.221</v>
      </c>
      <c r="R71" s="793">
        <v>-1.98</v>
      </c>
      <c r="S71" s="793">
        <f t="shared" si="49"/>
        <v>394.27</v>
      </c>
      <c r="T71" s="793">
        <f t="shared" si="50"/>
        <v>3.85</v>
      </c>
      <c r="U71" s="825">
        <f t="shared" si="51"/>
        <v>394.67</v>
      </c>
      <c r="V71" s="822">
        <f t="shared" si="52"/>
        <v>4.2</v>
      </c>
      <c r="W71" s="826">
        <f t="shared" si="53"/>
        <v>1</v>
      </c>
      <c r="X71" s="793">
        <f t="shared" si="54"/>
        <v>394.68</v>
      </c>
      <c r="Y71" s="826">
        <f t="shared" si="55"/>
        <v>5.15</v>
      </c>
      <c r="Z71" s="793">
        <f t="shared" si="56"/>
        <v>394.79599999999999</v>
      </c>
      <c r="AA71" s="794">
        <f t="shared" si="57"/>
        <v>5.2190000000000003</v>
      </c>
      <c r="AB71" s="793">
        <f t="shared" si="30"/>
        <v>3.5</v>
      </c>
      <c r="AC71" s="794">
        <f t="shared" si="31"/>
        <v>1.65</v>
      </c>
      <c r="AD71" s="795">
        <f t="shared" si="21"/>
        <v>0.35</v>
      </c>
      <c r="AE71" s="793">
        <f t="shared" si="32"/>
        <v>3.5</v>
      </c>
      <c r="AF71" s="794">
        <f t="shared" si="33"/>
        <v>1.65</v>
      </c>
      <c r="AG71" s="795">
        <f t="shared" si="22"/>
        <v>0.35</v>
      </c>
      <c r="AH71" s="773"/>
      <c r="AI71" s="796"/>
      <c r="AJ71" s="796"/>
      <c r="AK71" s="796"/>
      <c r="AL71" s="796">
        <v>57</v>
      </c>
      <c r="AM71" s="797">
        <v>0</v>
      </c>
      <c r="AN71" s="796"/>
      <c r="AO71" s="796">
        <v>394.69600000000003</v>
      </c>
      <c r="AP71" s="796">
        <v>394.56700000000001</v>
      </c>
      <c r="AQ71" s="796">
        <f t="shared" si="26"/>
        <v>0.12900000000001899</v>
      </c>
      <c r="AR71" s="796"/>
      <c r="AS71" s="796"/>
      <c r="AT71" s="796"/>
      <c r="AV71" s="797">
        <v>-5.69</v>
      </c>
      <c r="AW71" s="797">
        <v>394.35399999999998</v>
      </c>
      <c r="AX71" s="797">
        <v>5.2190000000000003</v>
      </c>
      <c r="AY71" s="797">
        <v>394.79599999999999</v>
      </c>
      <c r="BA71" s="762">
        <f t="shared" si="58"/>
        <v>1140</v>
      </c>
      <c r="BC71" s="798">
        <f t="shared" si="59"/>
        <v>1140</v>
      </c>
      <c r="BD71" s="799">
        <f t="shared" si="27"/>
        <v>6979889.9709999999</v>
      </c>
      <c r="BE71" s="799">
        <f t="shared" si="28"/>
        <v>364826.58</v>
      </c>
      <c r="BF71" s="800"/>
      <c r="BJ71" s="801">
        <v>57</v>
      </c>
      <c r="BK71" s="802"/>
      <c r="BL71" s="802"/>
      <c r="BM71" s="803">
        <f t="shared" si="29"/>
        <v>1140</v>
      </c>
      <c r="BN71" s="804">
        <v>6979889.9707683995</v>
      </c>
      <c r="BO71" s="805">
        <v>364826.57958580001</v>
      </c>
    </row>
    <row r="72" spans="2:67" ht="15.75" x14ac:dyDescent="0.3">
      <c r="B72" s="806">
        <f t="shared" si="34"/>
        <v>1160</v>
      </c>
      <c r="C72" s="822">
        <f t="shared" si="35"/>
        <v>6979878.2220000001</v>
      </c>
      <c r="D72" s="823">
        <f t="shared" si="36"/>
        <v>364810.39</v>
      </c>
      <c r="E72" s="824">
        <f t="shared" si="37"/>
        <v>-5.6820000000000004</v>
      </c>
      <c r="F72" s="793">
        <f t="shared" si="38"/>
        <v>394.10399999999998</v>
      </c>
      <c r="G72" s="825">
        <f t="shared" si="39"/>
        <v>-5.15</v>
      </c>
      <c r="H72" s="793">
        <f t="shared" si="40"/>
        <v>394.45</v>
      </c>
      <c r="I72" s="826">
        <f t="shared" si="41"/>
        <v>1</v>
      </c>
      <c r="J72" s="825">
        <f t="shared" si="42"/>
        <v>-4.2</v>
      </c>
      <c r="K72" s="825">
        <f t="shared" si="43"/>
        <v>394.44</v>
      </c>
      <c r="L72" s="793">
        <f t="shared" si="44"/>
        <v>-3.85</v>
      </c>
      <c r="M72" s="793">
        <f t="shared" si="45"/>
        <v>394.03699999999998</v>
      </c>
      <c r="N72" s="793">
        <v>-2.0099999999999998</v>
      </c>
      <c r="O72" s="824">
        <f t="shared" si="46"/>
        <v>394.11399999999998</v>
      </c>
      <c r="P72" s="793">
        <f t="shared" si="47"/>
        <v>394.19799999999998</v>
      </c>
      <c r="Q72" s="794">
        <f t="shared" si="48"/>
        <v>-8.4000000000000005E-2</v>
      </c>
      <c r="R72" s="793">
        <v>0.36</v>
      </c>
      <c r="S72" s="793">
        <f t="shared" si="49"/>
        <v>394.12799999999999</v>
      </c>
      <c r="T72" s="793">
        <f t="shared" si="50"/>
        <v>3.85</v>
      </c>
      <c r="U72" s="825">
        <f t="shared" si="51"/>
        <v>394.53</v>
      </c>
      <c r="V72" s="822">
        <f t="shared" si="52"/>
        <v>4.2</v>
      </c>
      <c r="W72" s="826">
        <f t="shared" si="53"/>
        <v>1</v>
      </c>
      <c r="X72" s="793">
        <f t="shared" si="54"/>
        <v>394.54</v>
      </c>
      <c r="Y72" s="826">
        <f t="shared" si="55"/>
        <v>5.15</v>
      </c>
      <c r="Z72" s="793">
        <f t="shared" si="56"/>
        <v>394.80399999999997</v>
      </c>
      <c r="AA72" s="794">
        <f t="shared" si="57"/>
        <v>5.3239999999999998</v>
      </c>
      <c r="AB72" s="793">
        <f t="shared" si="30"/>
        <v>3.5</v>
      </c>
      <c r="AC72" s="794">
        <f t="shared" si="31"/>
        <v>1.65</v>
      </c>
      <c r="AD72" s="795">
        <f t="shared" si="21"/>
        <v>0.35</v>
      </c>
      <c r="AE72" s="793">
        <f t="shared" si="32"/>
        <v>3.5</v>
      </c>
      <c r="AF72" s="794">
        <f t="shared" si="33"/>
        <v>1.65</v>
      </c>
      <c r="AG72" s="795">
        <f t="shared" si="22"/>
        <v>0.35</v>
      </c>
      <c r="AH72" s="773"/>
      <c r="AI72" s="796"/>
      <c r="AJ72" s="796"/>
      <c r="AK72" s="796"/>
      <c r="AL72" s="796">
        <v>58</v>
      </c>
      <c r="AM72" s="797">
        <v>0</v>
      </c>
      <c r="AN72" s="796"/>
      <c r="AO72" s="796">
        <v>394.464</v>
      </c>
      <c r="AP72" s="796">
        <v>394.19799999999998</v>
      </c>
      <c r="AQ72" s="796">
        <f t="shared" si="26"/>
        <v>0.26600000000002</v>
      </c>
      <c r="AR72" s="796"/>
      <c r="AS72" s="796"/>
      <c r="AT72" s="796"/>
      <c r="AV72" s="797">
        <v>-5.6820000000000004</v>
      </c>
      <c r="AW72" s="797">
        <v>394.10399999999998</v>
      </c>
      <c r="AX72" s="797">
        <v>5.3239999999999998</v>
      </c>
      <c r="AY72" s="797">
        <v>394.80399999999997</v>
      </c>
      <c r="BA72" s="762">
        <f t="shared" si="58"/>
        <v>1160</v>
      </c>
      <c r="BC72" s="798">
        <f t="shared" si="59"/>
        <v>1160</v>
      </c>
      <c r="BD72" s="799">
        <f t="shared" si="27"/>
        <v>6979878.2220000001</v>
      </c>
      <c r="BE72" s="799">
        <f t="shared" si="28"/>
        <v>364810.39399999997</v>
      </c>
      <c r="BF72" s="800"/>
      <c r="BJ72" s="801">
        <v>58</v>
      </c>
      <c r="BK72" s="802"/>
      <c r="BL72" s="802"/>
      <c r="BM72" s="803">
        <f t="shared" si="29"/>
        <v>1160</v>
      </c>
      <c r="BN72" s="804">
        <v>6979878.2222932</v>
      </c>
      <c r="BO72" s="805">
        <v>364810.3939956</v>
      </c>
    </row>
    <row r="73" spans="2:67" ht="15.75" x14ac:dyDescent="0.3">
      <c r="B73" s="806">
        <f t="shared" si="34"/>
        <v>1180</v>
      </c>
      <c r="C73" s="822">
        <f t="shared" si="35"/>
        <v>6979866.1500000004</v>
      </c>
      <c r="D73" s="823">
        <f t="shared" si="36"/>
        <v>364794.46</v>
      </c>
      <c r="E73" s="824">
        <f t="shared" si="37"/>
        <v>-5.1669999999999998</v>
      </c>
      <c r="F73" s="793">
        <f t="shared" si="38"/>
        <v>394.17899999999997</v>
      </c>
      <c r="G73" s="825">
        <f t="shared" si="39"/>
        <v>-5.15</v>
      </c>
      <c r="H73" s="793">
        <f t="shared" si="40"/>
        <v>394.13</v>
      </c>
      <c r="I73" s="826">
        <f t="shared" si="41"/>
        <v>1</v>
      </c>
      <c r="J73" s="825">
        <f t="shared" si="42"/>
        <v>-4.2</v>
      </c>
      <c r="K73" s="825">
        <f t="shared" si="43"/>
        <v>394.12</v>
      </c>
      <c r="L73" s="793">
        <f t="shared" si="44"/>
        <v>-3.85</v>
      </c>
      <c r="M73" s="793">
        <f t="shared" si="45"/>
        <v>393.72399999999999</v>
      </c>
      <c r="N73" s="793">
        <v>-4.0999999999999996</v>
      </c>
      <c r="O73" s="824">
        <f t="shared" si="46"/>
        <v>393.88200000000001</v>
      </c>
      <c r="P73" s="793">
        <f t="shared" si="47"/>
        <v>393.9</v>
      </c>
      <c r="Q73" s="794">
        <f t="shared" si="48"/>
        <v>-1.7999999999999999E-2</v>
      </c>
      <c r="R73" s="793">
        <v>4.0999999999999996</v>
      </c>
      <c r="S73" s="793">
        <f t="shared" si="49"/>
        <v>394.04</v>
      </c>
      <c r="T73" s="793">
        <f t="shared" si="50"/>
        <v>3.85</v>
      </c>
      <c r="U73" s="825">
        <f t="shared" si="51"/>
        <v>394.44</v>
      </c>
      <c r="V73" s="822">
        <f t="shared" si="52"/>
        <v>4.2</v>
      </c>
      <c r="W73" s="826">
        <f t="shared" si="53"/>
        <v>1</v>
      </c>
      <c r="X73" s="793">
        <f t="shared" si="54"/>
        <v>394.45</v>
      </c>
      <c r="Y73" s="826">
        <f t="shared" si="55"/>
        <v>5.15</v>
      </c>
      <c r="Z73" s="793">
        <f t="shared" si="56"/>
        <v>394.95</v>
      </c>
      <c r="AA73" s="794">
        <f t="shared" si="57"/>
        <v>5.4870000000000001</v>
      </c>
      <c r="AB73" s="793">
        <f t="shared" si="30"/>
        <v>3.5</v>
      </c>
      <c r="AC73" s="794">
        <f t="shared" si="31"/>
        <v>1.65</v>
      </c>
      <c r="AD73" s="795">
        <f t="shared" si="21"/>
        <v>0.35</v>
      </c>
      <c r="AE73" s="793">
        <f t="shared" si="32"/>
        <v>3.5</v>
      </c>
      <c r="AF73" s="794">
        <f t="shared" si="33"/>
        <v>1.65</v>
      </c>
      <c r="AG73" s="795">
        <f t="shared" si="22"/>
        <v>0.35</v>
      </c>
      <c r="AH73" s="773"/>
      <c r="AI73" s="796"/>
      <c r="AJ73" s="796"/>
      <c r="AK73" s="796"/>
      <c r="AL73" s="796">
        <v>59</v>
      </c>
      <c r="AM73" s="797">
        <v>0</v>
      </c>
      <c r="AN73" s="796" t="s">
        <v>4310</v>
      </c>
      <c r="AO73" s="796">
        <v>394.23200000000003</v>
      </c>
      <c r="AP73" s="796">
        <v>393.9</v>
      </c>
      <c r="AQ73" s="796">
        <f t="shared" si="26"/>
        <v>0.33200000000004998</v>
      </c>
      <c r="AR73" s="796"/>
      <c r="AS73" s="796"/>
      <c r="AT73" s="796"/>
      <c r="AV73" s="797">
        <v>-5.1669999999999998</v>
      </c>
      <c r="AW73" s="797">
        <v>394.17899999999997</v>
      </c>
      <c r="AX73" s="797">
        <v>5.4870000000000001</v>
      </c>
      <c r="AY73" s="797">
        <v>394.95</v>
      </c>
      <c r="BA73" s="762">
        <f t="shared" si="58"/>
        <v>1180</v>
      </c>
      <c r="BC73" s="798">
        <f t="shared" si="59"/>
        <v>1180</v>
      </c>
      <c r="BD73" s="799">
        <f t="shared" si="27"/>
        <v>6979866.1500000004</v>
      </c>
      <c r="BE73" s="799">
        <f t="shared" si="28"/>
        <v>364794.45600000001</v>
      </c>
      <c r="BF73" s="800"/>
      <c r="BJ73" s="801">
        <v>59</v>
      </c>
      <c r="BK73" s="802"/>
      <c r="BL73" s="802"/>
      <c r="BM73" s="803">
        <f t="shared" si="29"/>
        <v>1180</v>
      </c>
      <c r="BN73" s="804">
        <v>6979866.1502181003</v>
      </c>
      <c r="BO73" s="805">
        <v>364794.45565359999</v>
      </c>
    </row>
    <row r="74" spans="2:67" ht="15.75" x14ac:dyDescent="0.3">
      <c r="B74" s="806">
        <f t="shared" si="34"/>
        <v>1200</v>
      </c>
      <c r="C74" s="822">
        <f t="shared" si="35"/>
        <v>6979852.2630000003</v>
      </c>
      <c r="D74" s="823">
        <f t="shared" si="36"/>
        <v>364780.08</v>
      </c>
      <c r="E74" s="824">
        <f t="shared" si="37"/>
        <v>-6.2210000000000001</v>
      </c>
      <c r="F74" s="793">
        <f t="shared" si="38"/>
        <v>393.50900000000001</v>
      </c>
      <c r="G74" s="825">
        <f t="shared" si="39"/>
        <v>-5.15</v>
      </c>
      <c r="H74" s="793">
        <f t="shared" si="40"/>
        <v>394.2</v>
      </c>
      <c r="I74" s="826">
        <f t="shared" si="41"/>
        <v>1</v>
      </c>
      <c r="J74" s="825">
        <f t="shared" si="42"/>
        <v>-4.2</v>
      </c>
      <c r="K74" s="825">
        <f t="shared" si="43"/>
        <v>394.19</v>
      </c>
      <c r="L74" s="793">
        <f t="shared" si="44"/>
        <v>-3.85</v>
      </c>
      <c r="M74" s="793">
        <f t="shared" si="45"/>
        <v>393.79300000000001</v>
      </c>
      <c r="N74" s="793">
        <v>-4.22</v>
      </c>
      <c r="O74" s="824">
        <f t="shared" si="46"/>
        <v>393.95499999999998</v>
      </c>
      <c r="P74" s="793">
        <f t="shared" si="47"/>
        <v>394.20100000000002</v>
      </c>
      <c r="Q74" s="794">
        <f t="shared" si="48"/>
        <v>-0.246</v>
      </c>
      <c r="R74" s="793">
        <v>4.22</v>
      </c>
      <c r="S74" s="793">
        <f t="shared" si="49"/>
        <v>394.11700000000002</v>
      </c>
      <c r="T74" s="793">
        <f t="shared" si="50"/>
        <v>3.85</v>
      </c>
      <c r="U74" s="825">
        <f t="shared" si="51"/>
        <v>394.52</v>
      </c>
      <c r="V74" s="822">
        <f t="shared" si="52"/>
        <v>4.2</v>
      </c>
      <c r="W74" s="826">
        <f t="shared" si="53"/>
        <v>1</v>
      </c>
      <c r="X74" s="793">
        <f t="shared" si="54"/>
        <v>394.53</v>
      </c>
      <c r="Y74" s="826">
        <f t="shared" si="55"/>
        <v>5.15</v>
      </c>
      <c r="Z74" s="793">
        <f t="shared" si="56"/>
        <v>394.79500000000002</v>
      </c>
      <c r="AA74" s="794">
        <f t="shared" si="57"/>
        <v>5.3330000000000002</v>
      </c>
      <c r="AB74" s="793">
        <f t="shared" si="30"/>
        <v>3.5</v>
      </c>
      <c r="AC74" s="794">
        <f t="shared" si="31"/>
        <v>1.65</v>
      </c>
      <c r="AD74" s="795">
        <f t="shared" si="21"/>
        <v>0.35</v>
      </c>
      <c r="AE74" s="793">
        <f t="shared" si="32"/>
        <v>3.5</v>
      </c>
      <c r="AF74" s="794">
        <f t="shared" si="33"/>
        <v>1.65</v>
      </c>
      <c r="AG74" s="795">
        <f t="shared" si="22"/>
        <v>0.35</v>
      </c>
      <c r="AH74" s="773"/>
      <c r="AI74" s="796"/>
      <c r="AJ74" s="796"/>
      <c r="AK74" s="796"/>
      <c r="AL74" s="796">
        <v>60</v>
      </c>
      <c r="AM74" s="797">
        <v>0</v>
      </c>
      <c r="AN74" s="796"/>
      <c r="AO74" s="796">
        <v>394.30500000000001</v>
      </c>
      <c r="AP74" s="796">
        <v>394.20100000000002</v>
      </c>
      <c r="AQ74" s="796">
        <f t="shared" si="26"/>
        <v>0.10399999999998499</v>
      </c>
      <c r="AR74" s="796"/>
      <c r="AS74" s="796"/>
      <c r="AT74" s="796"/>
      <c r="AV74" s="797">
        <v>-6.2210000000000001</v>
      </c>
      <c r="AW74" s="797">
        <v>393.50900000000001</v>
      </c>
      <c r="AX74" s="797">
        <v>5.3330000000000002</v>
      </c>
      <c r="AY74" s="797">
        <v>394.79500000000002</v>
      </c>
      <c r="BA74" s="762">
        <f t="shared" si="58"/>
        <v>1200</v>
      </c>
      <c r="BC74" s="798">
        <f t="shared" si="59"/>
        <v>1200</v>
      </c>
      <c r="BD74" s="799">
        <f t="shared" si="27"/>
        <v>6979852.2630000003</v>
      </c>
      <c r="BE74" s="799">
        <f t="shared" si="28"/>
        <v>364780.08399999997</v>
      </c>
      <c r="BF74" s="800"/>
      <c r="BJ74" s="801">
        <v>60</v>
      </c>
      <c r="BK74" s="802"/>
      <c r="BL74" s="802"/>
      <c r="BM74" s="803">
        <f t="shared" si="29"/>
        <v>1200</v>
      </c>
      <c r="BN74" s="804">
        <v>6979852.2632111004</v>
      </c>
      <c r="BO74" s="805">
        <v>364780.08350010001</v>
      </c>
    </row>
    <row r="75" spans="2:67" ht="15.75" x14ac:dyDescent="0.3">
      <c r="B75" s="806">
        <f t="shared" si="34"/>
        <v>1220</v>
      </c>
      <c r="C75" s="822">
        <f t="shared" si="35"/>
        <v>6979836.7170000002</v>
      </c>
      <c r="D75" s="823">
        <f t="shared" si="36"/>
        <v>364767.51</v>
      </c>
      <c r="E75" s="824">
        <f t="shared" si="37"/>
        <v>-5.45</v>
      </c>
      <c r="F75" s="793">
        <f t="shared" si="38"/>
        <v>395.43900000000002</v>
      </c>
      <c r="G75" s="825">
        <f t="shared" si="39"/>
        <v>-5.15</v>
      </c>
      <c r="H75" s="793">
        <f t="shared" si="40"/>
        <v>395.63</v>
      </c>
      <c r="I75" s="826">
        <f t="shared" si="41"/>
        <v>1</v>
      </c>
      <c r="J75" s="825">
        <f t="shared" si="42"/>
        <v>-4.2</v>
      </c>
      <c r="K75" s="825">
        <f t="shared" si="43"/>
        <v>395.62</v>
      </c>
      <c r="L75" s="793">
        <f t="shared" si="44"/>
        <v>-3.85</v>
      </c>
      <c r="M75" s="793">
        <f t="shared" si="45"/>
        <v>395.21699999999998</v>
      </c>
      <c r="N75" s="793">
        <v>-2.0299999999999998</v>
      </c>
      <c r="O75" s="824">
        <f t="shared" si="46"/>
        <v>395.29500000000002</v>
      </c>
      <c r="P75" s="793">
        <f t="shared" si="47"/>
        <v>395.67099999999999</v>
      </c>
      <c r="Q75" s="794">
        <f t="shared" si="48"/>
        <v>-0.376</v>
      </c>
      <c r="R75" s="793">
        <v>0.53</v>
      </c>
      <c r="S75" s="793">
        <f t="shared" si="49"/>
        <v>395.315</v>
      </c>
      <c r="T75" s="793">
        <f t="shared" si="50"/>
        <v>3.85</v>
      </c>
      <c r="U75" s="825">
        <f t="shared" si="51"/>
        <v>395.72</v>
      </c>
      <c r="V75" s="822">
        <f t="shared" si="52"/>
        <v>4.2</v>
      </c>
      <c r="W75" s="826">
        <f t="shared" si="53"/>
        <v>1</v>
      </c>
      <c r="X75" s="793">
        <f t="shared" si="54"/>
        <v>395.73</v>
      </c>
      <c r="Y75" s="826">
        <f t="shared" si="55"/>
        <v>5.15</v>
      </c>
      <c r="Z75" s="793">
        <f t="shared" si="56"/>
        <v>396.005</v>
      </c>
      <c r="AA75" s="794">
        <f t="shared" si="57"/>
        <v>5.3330000000000002</v>
      </c>
      <c r="AB75" s="793">
        <f t="shared" si="30"/>
        <v>3.5</v>
      </c>
      <c r="AC75" s="794">
        <f t="shared" si="31"/>
        <v>1.65</v>
      </c>
      <c r="AD75" s="795">
        <f t="shared" si="21"/>
        <v>0.35</v>
      </c>
      <c r="AE75" s="793">
        <f t="shared" si="32"/>
        <v>3.5</v>
      </c>
      <c r="AF75" s="794">
        <f t="shared" si="33"/>
        <v>1.65</v>
      </c>
      <c r="AG75" s="795">
        <f t="shared" si="22"/>
        <v>0.35</v>
      </c>
      <c r="AH75" s="773"/>
      <c r="AI75" s="796"/>
      <c r="AJ75" s="796"/>
      <c r="AK75" s="796"/>
      <c r="AL75" s="796">
        <v>61</v>
      </c>
      <c r="AM75" s="797">
        <v>0</v>
      </c>
      <c r="AN75" s="796" t="s">
        <v>4311</v>
      </c>
      <c r="AO75" s="796">
        <v>395.64499999999998</v>
      </c>
      <c r="AP75" s="796">
        <v>395.67099999999999</v>
      </c>
      <c r="AQ75" s="796">
        <f t="shared" si="26"/>
        <v>-2.6000000000010501E-2</v>
      </c>
      <c r="AR75" s="796"/>
      <c r="AS75" s="796"/>
      <c r="AT75" s="796"/>
      <c r="AV75" s="797">
        <v>-5.45</v>
      </c>
      <c r="AW75" s="797">
        <v>395.43900000000002</v>
      </c>
      <c r="AX75" s="797">
        <v>5.3330000000000002</v>
      </c>
      <c r="AY75" s="797">
        <v>396.005</v>
      </c>
      <c r="BA75" s="762">
        <f t="shared" si="58"/>
        <v>1220</v>
      </c>
      <c r="BC75" s="798">
        <f t="shared" si="59"/>
        <v>1220</v>
      </c>
      <c r="BD75" s="799">
        <f t="shared" si="27"/>
        <v>6979836.7170000002</v>
      </c>
      <c r="BE75" s="799">
        <f t="shared" si="28"/>
        <v>364767.51199999999</v>
      </c>
      <c r="BF75" s="800"/>
      <c r="BJ75" s="801">
        <v>61</v>
      </c>
      <c r="BK75" s="802"/>
      <c r="BL75" s="802"/>
      <c r="BM75" s="803">
        <f t="shared" si="29"/>
        <v>1220</v>
      </c>
      <c r="BN75" s="804">
        <v>6979836.7173261996</v>
      </c>
      <c r="BO75" s="805">
        <v>364767.51185920002</v>
      </c>
    </row>
    <row r="76" spans="2:67" ht="15.75" x14ac:dyDescent="0.3">
      <c r="B76" s="806">
        <f t="shared" si="34"/>
        <v>1240</v>
      </c>
      <c r="C76" s="822">
        <f t="shared" si="35"/>
        <v>6979820.8710000003</v>
      </c>
      <c r="D76" s="823">
        <f t="shared" si="36"/>
        <v>364755.31</v>
      </c>
      <c r="E76" s="824">
        <f t="shared" si="37"/>
        <v>-5.32</v>
      </c>
      <c r="F76" s="793">
        <f t="shared" si="38"/>
        <v>398.51900000000001</v>
      </c>
      <c r="G76" s="825">
        <f t="shared" si="39"/>
        <v>-5.15</v>
      </c>
      <c r="H76" s="793">
        <f t="shared" si="40"/>
        <v>398.25</v>
      </c>
      <c r="I76" s="826">
        <f t="shared" si="41"/>
        <v>1</v>
      </c>
      <c r="J76" s="825">
        <f t="shared" si="42"/>
        <v>-4.2</v>
      </c>
      <c r="K76" s="825">
        <f t="shared" si="43"/>
        <v>398.24</v>
      </c>
      <c r="L76" s="793">
        <f t="shared" si="44"/>
        <v>-3.85</v>
      </c>
      <c r="M76" s="793">
        <f t="shared" si="45"/>
        <v>397.84</v>
      </c>
      <c r="N76" s="793">
        <v>-1.85</v>
      </c>
      <c r="O76" s="824">
        <f t="shared" si="46"/>
        <v>397.911</v>
      </c>
      <c r="P76" s="793">
        <f t="shared" si="47"/>
        <v>398.44099999999997</v>
      </c>
      <c r="Q76" s="794">
        <f t="shared" si="48"/>
        <v>-0.53</v>
      </c>
      <c r="R76" s="793">
        <v>-1.95</v>
      </c>
      <c r="S76" s="793">
        <f t="shared" si="49"/>
        <v>397.83600000000001</v>
      </c>
      <c r="T76" s="793">
        <f t="shared" si="50"/>
        <v>3.85</v>
      </c>
      <c r="U76" s="825">
        <f t="shared" si="51"/>
        <v>398.24</v>
      </c>
      <c r="V76" s="822">
        <f t="shared" si="52"/>
        <v>4.2</v>
      </c>
      <c r="W76" s="826">
        <f t="shared" si="53"/>
        <v>1</v>
      </c>
      <c r="X76" s="793">
        <f t="shared" si="54"/>
        <v>398.25</v>
      </c>
      <c r="Y76" s="826">
        <f t="shared" si="55"/>
        <v>5.15</v>
      </c>
      <c r="Z76" s="793">
        <f t="shared" si="56"/>
        <v>399.09500000000003</v>
      </c>
      <c r="AA76" s="794">
        <f t="shared" si="57"/>
        <v>5.7030000000000003</v>
      </c>
      <c r="AB76" s="793">
        <f t="shared" si="30"/>
        <v>3.5</v>
      </c>
      <c r="AC76" s="794">
        <f t="shared" si="31"/>
        <v>1.65</v>
      </c>
      <c r="AD76" s="795">
        <f t="shared" si="21"/>
        <v>0.35</v>
      </c>
      <c r="AE76" s="793">
        <f t="shared" si="32"/>
        <v>3.5</v>
      </c>
      <c r="AF76" s="794">
        <f t="shared" si="33"/>
        <v>1.65</v>
      </c>
      <c r="AG76" s="795">
        <f t="shared" si="22"/>
        <v>0.35</v>
      </c>
      <c r="AH76" s="773"/>
      <c r="AI76" s="796"/>
      <c r="AJ76" s="796"/>
      <c r="AK76" s="796"/>
      <c r="AL76" s="796">
        <v>62</v>
      </c>
      <c r="AM76" s="797">
        <v>0</v>
      </c>
      <c r="AN76" s="796" t="s">
        <v>4310</v>
      </c>
      <c r="AO76" s="796">
        <v>398.26100000000002</v>
      </c>
      <c r="AP76" s="796">
        <v>398.44099999999997</v>
      </c>
      <c r="AQ76" s="796">
        <f t="shared" si="26"/>
        <v>-0.17999999999995001</v>
      </c>
      <c r="AR76" s="796"/>
      <c r="AS76" s="796"/>
      <c r="AT76" s="796"/>
      <c r="AV76" s="797">
        <v>-5.32</v>
      </c>
      <c r="AW76" s="797">
        <v>398.51900000000001</v>
      </c>
      <c r="AX76" s="797">
        <v>5.7030000000000003</v>
      </c>
      <c r="AY76" s="797">
        <v>399.09500000000003</v>
      </c>
      <c r="BA76" s="762">
        <f t="shared" si="58"/>
        <v>1240</v>
      </c>
      <c r="BC76" s="798">
        <f t="shared" si="59"/>
        <v>1240</v>
      </c>
      <c r="BD76" s="799">
        <f t="shared" si="27"/>
        <v>6979820.8710000003</v>
      </c>
      <c r="BE76" s="799">
        <f t="shared" si="28"/>
        <v>364755.31</v>
      </c>
      <c r="BF76" s="800"/>
      <c r="BJ76" s="801">
        <v>62</v>
      </c>
      <c r="BK76" s="802"/>
      <c r="BL76" s="802"/>
      <c r="BM76" s="803">
        <f t="shared" si="29"/>
        <v>1240</v>
      </c>
      <c r="BN76" s="804">
        <v>6979820.8708233004</v>
      </c>
      <c r="BO76" s="805">
        <v>364755.309878</v>
      </c>
    </row>
    <row r="77" spans="2:67" ht="15.75" x14ac:dyDescent="0.3">
      <c r="B77" s="806">
        <f t="shared" si="34"/>
        <v>1260</v>
      </c>
      <c r="C77" s="822">
        <f t="shared" si="35"/>
        <v>6979805.0240000002</v>
      </c>
      <c r="D77" s="823">
        <f t="shared" si="36"/>
        <v>364743.11</v>
      </c>
      <c r="E77" s="824">
        <f t="shared" si="37"/>
        <v>-5.3049999999999997</v>
      </c>
      <c r="F77" s="793">
        <f t="shared" si="38"/>
        <v>401.44299999999998</v>
      </c>
      <c r="G77" s="825">
        <f t="shared" si="39"/>
        <v>-5.15</v>
      </c>
      <c r="H77" s="793">
        <f t="shared" si="40"/>
        <v>401.21</v>
      </c>
      <c r="I77" s="826">
        <f t="shared" si="41"/>
        <v>1</v>
      </c>
      <c r="J77" s="825">
        <f t="shared" si="42"/>
        <v>-4.2</v>
      </c>
      <c r="K77" s="825">
        <f t="shared" si="43"/>
        <v>401.2</v>
      </c>
      <c r="L77" s="793">
        <f t="shared" si="44"/>
        <v>-3.85</v>
      </c>
      <c r="M77" s="793">
        <f t="shared" si="45"/>
        <v>400.79599999999999</v>
      </c>
      <c r="N77" s="793">
        <v>0.66</v>
      </c>
      <c r="O77" s="824">
        <f t="shared" si="46"/>
        <v>400.77100000000002</v>
      </c>
      <c r="P77" s="793">
        <f t="shared" si="47"/>
        <v>401.23599999999999</v>
      </c>
      <c r="Q77" s="794">
        <f t="shared" si="48"/>
        <v>-0.46500000000000002</v>
      </c>
      <c r="R77" s="793">
        <v>-2</v>
      </c>
      <c r="S77" s="793">
        <f t="shared" si="49"/>
        <v>400.69400000000002</v>
      </c>
      <c r="T77" s="793">
        <f t="shared" si="50"/>
        <v>3.85</v>
      </c>
      <c r="U77" s="825">
        <f t="shared" si="51"/>
        <v>401.09</v>
      </c>
      <c r="V77" s="822">
        <f t="shared" si="52"/>
        <v>4.2</v>
      </c>
      <c r="W77" s="826">
        <f t="shared" si="53"/>
        <v>1</v>
      </c>
      <c r="X77" s="793">
        <f t="shared" si="54"/>
        <v>401.1</v>
      </c>
      <c r="Y77" s="826">
        <f t="shared" si="55"/>
        <v>5.15</v>
      </c>
      <c r="Z77" s="793">
        <f t="shared" si="56"/>
        <v>402.96499999999997</v>
      </c>
      <c r="AA77" s="794">
        <f t="shared" si="57"/>
        <v>6.3710000000000004</v>
      </c>
      <c r="AB77" s="793">
        <f t="shared" si="30"/>
        <v>3.5</v>
      </c>
      <c r="AC77" s="794">
        <f t="shared" si="31"/>
        <v>1.65</v>
      </c>
      <c r="AD77" s="795">
        <f t="shared" si="21"/>
        <v>0.35</v>
      </c>
      <c r="AE77" s="793">
        <f t="shared" si="32"/>
        <v>3.5</v>
      </c>
      <c r="AF77" s="794">
        <f t="shared" si="33"/>
        <v>1.65</v>
      </c>
      <c r="AG77" s="795">
        <f t="shared" si="22"/>
        <v>0.35</v>
      </c>
      <c r="AH77" s="773"/>
      <c r="AI77" s="796"/>
      <c r="AJ77" s="796"/>
      <c r="AK77" s="796"/>
      <c r="AL77" s="796">
        <v>63</v>
      </c>
      <c r="AM77" s="797">
        <v>0</v>
      </c>
      <c r="AN77" s="796"/>
      <c r="AO77" s="796">
        <v>401.12099999999998</v>
      </c>
      <c r="AP77" s="796">
        <v>401.23599999999999</v>
      </c>
      <c r="AQ77" s="796">
        <f t="shared" si="26"/>
        <v>-0.115000000000009</v>
      </c>
      <c r="AR77" s="796"/>
      <c r="AS77" s="796"/>
      <c r="AT77" s="796"/>
      <c r="AV77" s="797">
        <v>-5.3049999999999997</v>
      </c>
      <c r="AW77" s="797">
        <v>401.44299999999998</v>
      </c>
      <c r="AX77" s="797">
        <v>6.3710000000000004</v>
      </c>
      <c r="AY77" s="797">
        <v>402.96499999999997</v>
      </c>
      <c r="BA77" s="762">
        <f t="shared" si="58"/>
        <v>1260</v>
      </c>
      <c r="BC77" s="798">
        <f t="shared" si="59"/>
        <v>1260</v>
      </c>
      <c r="BD77" s="799">
        <f t="shared" si="27"/>
        <v>6979805.0240000002</v>
      </c>
      <c r="BE77" s="799">
        <f t="shared" si="28"/>
        <v>364743.10800000001</v>
      </c>
      <c r="BF77" s="800"/>
      <c r="BJ77" s="801">
        <v>63</v>
      </c>
      <c r="BK77" s="802"/>
      <c r="BL77" s="802"/>
      <c r="BM77" s="803">
        <f t="shared" si="29"/>
        <v>1260</v>
      </c>
      <c r="BN77" s="804">
        <v>6979805.0243204003</v>
      </c>
      <c r="BO77" s="805">
        <v>364743.10789679998</v>
      </c>
    </row>
    <row r="78" spans="2:67" ht="15.75" x14ac:dyDescent="0.3">
      <c r="B78" s="806">
        <f t="shared" si="34"/>
        <v>1280</v>
      </c>
      <c r="C78" s="822">
        <f t="shared" si="35"/>
        <v>6979789.557</v>
      </c>
      <c r="D78" s="823">
        <f t="shared" si="36"/>
        <v>364730.45</v>
      </c>
      <c r="E78" s="824">
        <f t="shared" si="37"/>
        <v>-5.524</v>
      </c>
      <c r="F78" s="793">
        <f t="shared" si="38"/>
        <v>403.85700000000003</v>
      </c>
      <c r="G78" s="825">
        <f t="shared" si="39"/>
        <v>-5.15</v>
      </c>
      <c r="H78" s="793">
        <f t="shared" si="40"/>
        <v>403.3</v>
      </c>
      <c r="I78" s="826">
        <f t="shared" si="41"/>
        <v>1</v>
      </c>
      <c r="J78" s="825">
        <f t="shared" si="42"/>
        <v>-4.2</v>
      </c>
      <c r="K78" s="825">
        <f t="shared" si="43"/>
        <v>403.29</v>
      </c>
      <c r="L78" s="793">
        <f t="shared" si="44"/>
        <v>-3.85</v>
      </c>
      <c r="M78" s="793">
        <f t="shared" si="45"/>
        <v>402.89100000000002</v>
      </c>
      <c r="N78" s="793">
        <v>3.99</v>
      </c>
      <c r="O78" s="824">
        <f t="shared" si="46"/>
        <v>402.73700000000002</v>
      </c>
      <c r="P78" s="793">
        <f t="shared" si="47"/>
        <v>403.113</v>
      </c>
      <c r="Q78" s="794">
        <f t="shared" si="48"/>
        <v>-0.376</v>
      </c>
      <c r="R78" s="793">
        <v>-2</v>
      </c>
      <c r="S78" s="793">
        <f t="shared" si="49"/>
        <v>402.66</v>
      </c>
      <c r="T78" s="793">
        <f t="shared" si="50"/>
        <v>3.85</v>
      </c>
      <c r="U78" s="825">
        <f t="shared" si="51"/>
        <v>403.06</v>
      </c>
      <c r="V78" s="822">
        <f t="shared" si="52"/>
        <v>4.2</v>
      </c>
      <c r="W78" s="826">
        <f t="shared" si="53"/>
        <v>1</v>
      </c>
      <c r="X78" s="793">
        <f t="shared" si="54"/>
        <v>403.07</v>
      </c>
      <c r="Y78" s="826">
        <f t="shared" si="55"/>
        <v>5.15</v>
      </c>
      <c r="Z78" s="793">
        <f t="shared" si="56"/>
        <v>404.89400000000001</v>
      </c>
      <c r="AA78" s="794">
        <f t="shared" si="57"/>
        <v>6.3920000000000003</v>
      </c>
      <c r="AB78" s="793">
        <f t="shared" si="30"/>
        <v>3.5</v>
      </c>
      <c r="AC78" s="794">
        <f t="shared" si="31"/>
        <v>1.65</v>
      </c>
      <c r="AD78" s="795">
        <f t="shared" si="21"/>
        <v>0.35</v>
      </c>
      <c r="AE78" s="793">
        <f t="shared" si="32"/>
        <v>3.5</v>
      </c>
      <c r="AF78" s="794">
        <f t="shared" si="33"/>
        <v>1.65</v>
      </c>
      <c r="AG78" s="795">
        <f t="shared" si="22"/>
        <v>0.35</v>
      </c>
      <c r="AH78" s="773"/>
      <c r="AI78" s="796"/>
      <c r="AJ78" s="796"/>
      <c r="AK78" s="796"/>
      <c r="AL78" s="796">
        <v>64</v>
      </c>
      <c r="AM78" s="797">
        <v>0</v>
      </c>
      <c r="AN78" s="796" t="s">
        <v>4311</v>
      </c>
      <c r="AO78" s="796">
        <v>403.08699999999999</v>
      </c>
      <c r="AP78" s="796">
        <v>403.113</v>
      </c>
      <c r="AQ78" s="796">
        <f t="shared" si="26"/>
        <v>-2.6000000000010501E-2</v>
      </c>
      <c r="AR78" s="796"/>
      <c r="AS78" s="796"/>
      <c r="AT78" s="796"/>
      <c r="AV78" s="797">
        <v>-5.524</v>
      </c>
      <c r="AW78" s="797">
        <v>403.85700000000003</v>
      </c>
      <c r="AX78" s="797">
        <v>6.3920000000000003</v>
      </c>
      <c r="AY78" s="797">
        <v>404.89400000000001</v>
      </c>
      <c r="BA78" s="762">
        <f t="shared" si="58"/>
        <v>1280</v>
      </c>
      <c r="BC78" s="798">
        <f t="shared" si="59"/>
        <v>1280</v>
      </c>
      <c r="BD78" s="799">
        <f t="shared" si="27"/>
        <v>6979789.557</v>
      </c>
      <c r="BE78" s="799">
        <f t="shared" si="28"/>
        <v>364730.446</v>
      </c>
      <c r="BF78" s="800"/>
      <c r="BJ78" s="801">
        <v>64</v>
      </c>
      <c r="BK78" s="802"/>
      <c r="BL78" s="802"/>
      <c r="BM78" s="803">
        <f t="shared" si="29"/>
        <v>1280</v>
      </c>
      <c r="BN78" s="804">
        <v>6979789.5570577299</v>
      </c>
      <c r="BO78" s="805">
        <v>364730.44587136997</v>
      </c>
    </row>
    <row r="79" spans="2:67" ht="15.75" x14ac:dyDescent="0.3">
      <c r="B79" s="806">
        <f t="shared" si="34"/>
        <v>1300</v>
      </c>
      <c r="C79" s="822">
        <f t="shared" si="35"/>
        <v>6979776.2120000003</v>
      </c>
      <c r="D79" s="823">
        <f t="shared" si="36"/>
        <v>364715.58</v>
      </c>
      <c r="E79" s="824">
        <f t="shared" si="37"/>
        <v>-5.2949999999999999</v>
      </c>
      <c r="F79" s="793">
        <f t="shared" si="38"/>
        <v>404.34300000000002</v>
      </c>
      <c r="G79" s="825">
        <f t="shared" si="39"/>
        <v>-5.15</v>
      </c>
      <c r="H79" s="793">
        <f t="shared" si="40"/>
        <v>404.13</v>
      </c>
      <c r="I79" s="826">
        <f t="shared" si="41"/>
        <v>1</v>
      </c>
      <c r="J79" s="825">
        <f t="shared" si="42"/>
        <v>-4.2</v>
      </c>
      <c r="K79" s="825">
        <f t="shared" si="43"/>
        <v>404.12</v>
      </c>
      <c r="L79" s="793">
        <f t="shared" si="44"/>
        <v>-3.85</v>
      </c>
      <c r="M79" s="793">
        <f t="shared" si="45"/>
        <v>403.72399999999999</v>
      </c>
      <c r="N79" s="793">
        <v>4.17</v>
      </c>
      <c r="O79" s="824">
        <f t="shared" si="46"/>
        <v>403.56299999999999</v>
      </c>
      <c r="P79" s="793">
        <f t="shared" si="47"/>
        <v>403.93</v>
      </c>
      <c r="Q79" s="794">
        <f t="shared" si="48"/>
        <v>-0.36699999999999999</v>
      </c>
      <c r="R79" s="793">
        <v>-2</v>
      </c>
      <c r="S79" s="793">
        <f t="shared" si="49"/>
        <v>403.48599999999999</v>
      </c>
      <c r="T79" s="793">
        <f t="shared" si="50"/>
        <v>3.85</v>
      </c>
      <c r="U79" s="825">
        <f t="shared" si="51"/>
        <v>403.89</v>
      </c>
      <c r="V79" s="822">
        <f t="shared" si="52"/>
        <v>4.2</v>
      </c>
      <c r="W79" s="826">
        <f t="shared" si="53"/>
        <v>1</v>
      </c>
      <c r="X79" s="793">
        <f t="shared" si="54"/>
        <v>403.9</v>
      </c>
      <c r="Y79" s="826">
        <f t="shared" si="55"/>
        <v>5.15</v>
      </c>
      <c r="Z79" s="793">
        <f t="shared" si="56"/>
        <v>405.78300000000002</v>
      </c>
      <c r="AA79" s="794">
        <f t="shared" si="57"/>
        <v>6.4379999999999997</v>
      </c>
      <c r="AB79" s="793">
        <f t="shared" si="30"/>
        <v>3.5</v>
      </c>
      <c r="AC79" s="794">
        <f t="shared" si="31"/>
        <v>1.65</v>
      </c>
      <c r="AD79" s="795">
        <f t="shared" si="21"/>
        <v>0.35</v>
      </c>
      <c r="AE79" s="793">
        <f t="shared" si="32"/>
        <v>3.5</v>
      </c>
      <c r="AF79" s="794">
        <f t="shared" si="33"/>
        <v>1.65</v>
      </c>
      <c r="AG79" s="795">
        <f t="shared" si="22"/>
        <v>0.35</v>
      </c>
      <c r="AH79" s="773"/>
      <c r="AI79" s="796"/>
      <c r="AJ79" s="796"/>
      <c r="AK79" s="796"/>
      <c r="AL79" s="796">
        <v>65</v>
      </c>
      <c r="AM79" s="797">
        <v>0</v>
      </c>
      <c r="AN79" s="796"/>
      <c r="AO79" s="796">
        <v>403.91300000000001</v>
      </c>
      <c r="AP79" s="796">
        <v>403.93</v>
      </c>
      <c r="AQ79" s="796">
        <f t="shared" ref="AQ79:AQ100" si="60">AO79-AP79</f>
        <v>-1.69999999999959E-2</v>
      </c>
      <c r="AR79" s="796"/>
      <c r="AS79" s="796"/>
      <c r="AT79" s="796"/>
      <c r="AV79" s="797">
        <v>-5.2949999999999999</v>
      </c>
      <c r="AW79" s="797">
        <v>404.34300000000002</v>
      </c>
      <c r="AX79" s="797">
        <v>6.4379999999999997</v>
      </c>
      <c r="AY79" s="797">
        <v>405.78300000000002</v>
      </c>
      <c r="BA79" s="762">
        <f t="shared" si="58"/>
        <v>1300</v>
      </c>
      <c r="BC79" s="798">
        <f t="shared" si="59"/>
        <v>1300</v>
      </c>
      <c r="BD79" s="799">
        <f t="shared" ref="BD79:BD100" si="61">VLOOKUP($BC79,$BM$14:$BO$100,2)</f>
        <v>6979776.2120000003</v>
      </c>
      <c r="BE79" s="799">
        <f t="shared" ref="BE79:BE100" si="62">VLOOKUP($BC79,$BM$14:$BO$100,3)</f>
        <v>364715.58100000001</v>
      </c>
      <c r="BF79" s="800"/>
      <c r="BJ79" s="801">
        <v>65</v>
      </c>
      <c r="BK79" s="802"/>
      <c r="BL79" s="802"/>
      <c r="BM79" s="803">
        <f t="shared" ref="BM79:BM100" si="63">BJ79*20+BK79</f>
        <v>1300</v>
      </c>
      <c r="BN79" s="804">
        <v>6979776.2115908796</v>
      </c>
      <c r="BO79" s="805">
        <v>364715.58069577499</v>
      </c>
    </row>
    <row r="80" spans="2:67" ht="15.75" x14ac:dyDescent="0.3">
      <c r="B80" s="806">
        <f t="shared" si="34"/>
        <v>1320</v>
      </c>
      <c r="C80" s="822">
        <f t="shared" si="35"/>
        <v>6979765.341</v>
      </c>
      <c r="D80" s="823">
        <f t="shared" si="36"/>
        <v>364698.81</v>
      </c>
      <c r="E80" s="824">
        <f t="shared" si="37"/>
        <v>-6.867</v>
      </c>
      <c r="F80" s="793">
        <f t="shared" si="38"/>
        <v>403.26900000000001</v>
      </c>
      <c r="G80" s="825">
        <f t="shared" si="39"/>
        <v>-5.15</v>
      </c>
      <c r="H80" s="793">
        <f t="shared" si="40"/>
        <v>404.41</v>
      </c>
      <c r="I80" s="826">
        <f t="shared" si="41"/>
        <v>1</v>
      </c>
      <c r="J80" s="825">
        <f t="shared" si="42"/>
        <v>-4.2</v>
      </c>
      <c r="K80" s="825">
        <f t="shared" si="43"/>
        <v>404.4</v>
      </c>
      <c r="L80" s="793">
        <f t="shared" si="44"/>
        <v>-3.85</v>
      </c>
      <c r="M80" s="793">
        <f t="shared" si="45"/>
        <v>404.00099999999998</v>
      </c>
      <c r="N80" s="793">
        <v>0.84</v>
      </c>
      <c r="O80" s="824">
        <f t="shared" si="46"/>
        <v>403.96899999999999</v>
      </c>
      <c r="P80" s="793">
        <f t="shared" si="47"/>
        <v>404.303</v>
      </c>
      <c r="Q80" s="794">
        <f t="shared" si="48"/>
        <v>-0.33400000000000002</v>
      </c>
      <c r="R80" s="793">
        <v>-2</v>
      </c>
      <c r="S80" s="793">
        <f t="shared" si="49"/>
        <v>403.892</v>
      </c>
      <c r="T80" s="793">
        <f t="shared" si="50"/>
        <v>3.85</v>
      </c>
      <c r="U80" s="825">
        <f t="shared" si="51"/>
        <v>404.29</v>
      </c>
      <c r="V80" s="822">
        <f t="shared" si="52"/>
        <v>4.2</v>
      </c>
      <c r="W80" s="826">
        <f t="shared" si="53"/>
        <v>1</v>
      </c>
      <c r="X80" s="793">
        <f t="shared" si="54"/>
        <v>404.3</v>
      </c>
      <c r="Y80" s="826">
        <f t="shared" si="55"/>
        <v>5.15</v>
      </c>
      <c r="Z80" s="793">
        <f t="shared" si="56"/>
        <v>405.69900000000001</v>
      </c>
      <c r="AA80" s="794">
        <f t="shared" si="57"/>
        <v>6.0659999999999998</v>
      </c>
      <c r="AB80" s="793">
        <f t="shared" ref="AB80:AB100" si="64">AB79</f>
        <v>3.5</v>
      </c>
      <c r="AC80" s="794">
        <f t="shared" ref="AC80:AC100" si="65">AC79</f>
        <v>1.65</v>
      </c>
      <c r="AD80" s="795">
        <f t="shared" si="21"/>
        <v>0.35</v>
      </c>
      <c r="AE80" s="793">
        <f t="shared" ref="AE80:AE100" si="66">AE79</f>
        <v>3.5</v>
      </c>
      <c r="AF80" s="794">
        <f t="shared" ref="AF80:AF100" si="67">AF79</f>
        <v>1.65</v>
      </c>
      <c r="AG80" s="795">
        <f t="shared" si="22"/>
        <v>0.35</v>
      </c>
      <c r="AH80" s="773"/>
      <c r="AI80" s="796"/>
      <c r="AJ80" s="796"/>
      <c r="AK80" s="796"/>
      <c r="AL80" s="796">
        <v>66</v>
      </c>
      <c r="AM80" s="797">
        <v>0</v>
      </c>
      <c r="AN80" s="796"/>
      <c r="AO80" s="796">
        <v>404.31900000000002</v>
      </c>
      <c r="AP80" s="796">
        <v>404.303</v>
      </c>
      <c r="AQ80" s="796">
        <f t="shared" si="60"/>
        <v>1.6000000000019599E-2</v>
      </c>
      <c r="AR80" s="796"/>
      <c r="AS80" s="796"/>
      <c r="AT80" s="796"/>
      <c r="AV80" s="797">
        <v>-6.867</v>
      </c>
      <c r="AW80" s="797">
        <v>403.26900000000001</v>
      </c>
      <c r="AX80" s="797">
        <v>6.0659999999999998</v>
      </c>
      <c r="AY80" s="797">
        <v>405.69900000000001</v>
      </c>
      <c r="BA80" s="762">
        <f t="shared" si="58"/>
        <v>1320</v>
      </c>
      <c r="BC80" s="798">
        <f t="shared" si="59"/>
        <v>1320</v>
      </c>
      <c r="BD80" s="799">
        <f t="shared" si="61"/>
        <v>6979765.341</v>
      </c>
      <c r="BE80" s="799">
        <f t="shared" si="62"/>
        <v>364698.80800000002</v>
      </c>
      <c r="BF80" s="800"/>
      <c r="BJ80" s="801">
        <v>66</v>
      </c>
      <c r="BK80" s="802"/>
      <c r="BL80" s="802"/>
      <c r="BM80" s="803">
        <f t="shared" si="63"/>
        <v>1320</v>
      </c>
      <c r="BN80" s="804">
        <v>6979765.3411354301</v>
      </c>
      <c r="BO80" s="805">
        <v>364698.808386994</v>
      </c>
    </row>
    <row r="81" spans="2:67" ht="15.75" x14ac:dyDescent="0.3">
      <c r="B81" s="806">
        <f t="shared" si="34"/>
        <v>1340</v>
      </c>
      <c r="C81" s="822">
        <f t="shared" si="35"/>
        <v>6979755.0630000001</v>
      </c>
      <c r="D81" s="823">
        <f t="shared" si="36"/>
        <v>364681.65</v>
      </c>
      <c r="E81" s="824">
        <f t="shared" si="37"/>
        <v>-10.792999999999999</v>
      </c>
      <c r="F81" s="793">
        <f t="shared" si="38"/>
        <v>400.96499999999997</v>
      </c>
      <c r="G81" s="825">
        <f t="shared" si="39"/>
        <v>-5.15</v>
      </c>
      <c r="H81" s="793">
        <f t="shared" si="40"/>
        <v>404.72</v>
      </c>
      <c r="I81" s="826">
        <f t="shared" si="41"/>
        <v>1</v>
      </c>
      <c r="J81" s="825">
        <f t="shared" si="42"/>
        <v>-4.2</v>
      </c>
      <c r="K81" s="825">
        <f t="shared" si="43"/>
        <v>404.71</v>
      </c>
      <c r="L81" s="793">
        <f t="shared" si="44"/>
        <v>-3.85</v>
      </c>
      <c r="M81" s="793">
        <f t="shared" si="45"/>
        <v>404.30599999999998</v>
      </c>
      <c r="N81" s="793">
        <v>-1.79</v>
      </c>
      <c r="O81" s="824">
        <f t="shared" si="46"/>
        <v>404.375</v>
      </c>
      <c r="P81" s="793">
        <f t="shared" si="47"/>
        <v>404.55399999999997</v>
      </c>
      <c r="Q81" s="794">
        <f t="shared" si="48"/>
        <v>-0.17899999999999999</v>
      </c>
      <c r="R81" s="793">
        <v>-2</v>
      </c>
      <c r="S81" s="793">
        <f t="shared" si="49"/>
        <v>404.298</v>
      </c>
      <c r="T81" s="793">
        <f t="shared" si="50"/>
        <v>3.85</v>
      </c>
      <c r="U81" s="825">
        <f t="shared" si="51"/>
        <v>404.7</v>
      </c>
      <c r="V81" s="822">
        <f t="shared" si="52"/>
        <v>4.2</v>
      </c>
      <c r="W81" s="826">
        <f t="shared" si="53"/>
        <v>1</v>
      </c>
      <c r="X81" s="793">
        <f t="shared" si="54"/>
        <v>404.71</v>
      </c>
      <c r="Y81" s="826">
        <f t="shared" si="55"/>
        <v>5.15</v>
      </c>
      <c r="Z81" s="793">
        <f t="shared" si="56"/>
        <v>404.69600000000003</v>
      </c>
      <c r="AA81" s="794">
        <f t="shared" si="57"/>
        <v>5.1859999999999999</v>
      </c>
      <c r="AB81" s="793">
        <f t="shared" si="64"/>
        <v>3.5</v>
      </c>
      <c r="AC81" s="794">
        <f t="shared" si="65"/>
        <v>1.65</v>
      </c>
      <c r="AD81" s="795">
        <f t="shared" si="21"/>
        <v>0.35</v>
      </c>
      <c r="AE81" s="793">
        <f t="shared" si="66"/>
        <v>3.5</v>
      </c>
      <c r="AF81" s="794">
        <f t="shared" si="67"/>
        <v>1.65</v>
      </c>
      <c r="AG81" s="795">
        <f t="shared" si="22"/>
        <v>0.35</v>
      </c>
      <c r="AH81" s="773"/>
      <c r="AI81" s="796"/>
      <c r="AJ81" s="796"/>
      <c r="AK81" s="796"/>
      <c r="AL81" s="796">
        <v>67</v>
      </c>
      <c r="AM81" s="797">
        <v>0</v>
      </c>
      <c r="AN81" s="796" t="s">
        <v>4310</v>
      </c>
      <c r="AO81" s="796">
        <v>404.72500000000002</v>
      </c>
      <c r="AP81" s="796">
        <v>404.55399999999997</v>
      </c>
      <c r="AQ81" s="796">
        <f t="shared" si="60"/>
        <v>0.171000000000049</v>
      </c>
      <c r="AR81" s="796"/>
      <c r="AS81" s="796"/>
      <c r="AT81" s="796"/>
      <c r="AV81" s="797">
        <v>-10.792999999999999</v>
      </c>
      <c r="AW81" s="797">
        <v>400.96499999999997</v>
      </c>
      <c r="AX81" s="797">
        <v>5.1859999999999999</v>
      </c>
      <c r="AY81" s="797">
        <v>404.69600000000003</v>
      </c>
      <c r="BA81" s="762">
        <f t="shared" si="58"/>
        <v>1340</v>
      </c>
      <c r="BC81" s="798">
        <f t="shared" si="59"/>
        <v>1340</v>
      </c>
      <c r="BD81" s="799">
        <f t="shared" si="61"/>
        <v>6979755.0630000001</v>
      </c>
      <c r="BE81" s="799">
        <f t="shared" si="62"/>
        <v>364681.65100000001</v>
      </c>
      <c r="BF81" s="800"/>
      <c r="BJ81" s="801">
        <v>67</v>
      </c>
      <c r="BK81" s="802"/>
      <c r="BL81" s="802"/>
      <c r="BM81" s="803">
        <f t="shared" si="63"/>
        <v>1340</v>
      </c>
      <c r="BN81" s="804">
        <v>6979755.06312411</v>
      </c>
      <c r="BO81" s="805">
        <v>364681.65139182098</v>
      </c>
    </row>
    <row r="82" spans="2:67" ht="15.75" x14ac:dyDescent="0.3">
      <c r="B82" s="806">
        <f t="shared" ref="B82:B100" si="68">AL82*20+AM82</f>
        <v>1360</v>
      </c>
      <c r="C82" s="822">
        <f t="shared" ref="C82:C100" si="69">BD82</f>
        <v>6979744.7850000001</v>
      </c>
      <c r="D82" s="823">
        <f t="shared" ref="D82:D100" si="70">BE82</f>
        <v>364664.49</v>
      </c>
      <c r="E82" s="824">
        <f t="shared" ref="E82:E100" si="71">IF(AV82="","",AV82)</f>
        <v>-11.012</v>
      </c>
      <c r="F82" s="793">
        <f t="shared" ref="F82:F100" si="72">IF(AW82="","",AW82)</f>
        <v>401.59100000000001</v>
      </c>
      <c r="G82" s="825">
        <f t="shared" ref="G82:G100" si="73">IF(AC82="","",-AB82-AC82)</f>
        <v>-5.15</v>
      </c>
      <c r="H82" s="793">
        <f t="shared" ref="H82:H100" si="74">IF(G82="","",K82+(I82/100)*ABS(G82-J82))</f>
        <v>405.49</v>
      </c>
      <c r="I82" s="826">
        <f t="shared" ref="I82:I100" si="75">IF(G82="","",1)</f>
        <v>1</v>
      </c>
      <c r="J82" s="825">
        <f t="shared" ref="J82:J100" si="76">IF(AC82="","",L82-AD82)</f>
        <v>-4.2</v>
      </c>
      <c r="K82" s="825">
        <f t="shared" ref="K82:K100" si="77">IF(J82="","",M82+$AH$11+0.15-0.1)</f>
        <v>405.48</v>
      </c>
      <c r="L82" s="793">
        <f t="shared" ref="L82:L100" si="78">-AB82-AD82</f>
        <v>-3.85</v>
      </c>
      <c r="M82" s="793">
        <f t="shared" ref="M82:M100" si="79">O82+(N82/100)*ABS(L82)</f>
        <v>405.07900000000001</v>
      </c>
      <c r="N82" s="793">
        <v>-1.24</v>
      </c>
      <c r="O82" s="824">
        <f t="shared" ref="O82:O100" si="80">AO82-$AH$11</f>
        <v>405.12700000000001</v>
      </c>
      <c r="P82" s="793">
        <f t="shared" ref="P82:P100" si="81">AP82</f>
        <v>405.37400000000002</v>
      </c>
      <c r="Q82" s="794">
        <f t="shared" ref="Q82:Q100" si="82">O82-P82</f>
        <v>-0.247</v>
      </c>
      <c r="R82" s="793">
        <v>-2</v>
      </c>
      <c r="S82" s="793">
        <f t="shared" ref="S82:S100" si="83">O82+(R82/100)*T82</f>
        <v>405.05</v>
      </c>
      <c r="T82" s="793">
        <f t="shared" ref="T82:T100" si="84">AE82+AG82</f>
        <v>3.85</v>
      </c>
      <c r="U82" s="825">
        <f t="shared" ref="U82:U100" si="85">IF(V82="","",S82+$AH$11+0.15-0.1)</f>
        <v>405.45</v>
      </c>
      <c r="V82" s="822">
        <f t="shared" ref="V82:V100" si="86">IF(AF82="","",T82+AG82)</f>
        <v>4.2</v>
      </c>
      <c r="W82" s="826">
        <f t="shared" ref="W82:W100" si="87">IF(Y82="","",1)</f>
        <v>1</v>
      </c>
      <c r="X82" s="793">
        <f t="shared" ref="X82:X100" si="88">IF(Y82="","",U82+W82/100*(Y82-V82))</f>
        <v>405.46</v>
      </c>
      <c r="Y82" s="826">
        <f t="shared" ref="Y82:Y100" si="89">IF(AF82="","",AE82+AF82)</f>
        <v>5.15</v>
      </c>
      <c r="Z82" s="793">
        <f t="shared" ref="Z82:Z100" si="90">IF(AY82="","",AY82)</f>
        <v>406.92099999999999</v>
      </c>
      <c r="AA82" s="794">
        <f t="shared" ref="AA82:AA100" si="91">IF(AX82="","",AX82)</f>
        <v>6.1070000000000002</v>
      </c>
      <c r="AB82" s="793">
        <f t="shared" si="64"/>
        <v>3.5</v>
      </c>
      <c r="AC82" s="794">
        <f t="shared" si="65"/>
        <v>1.65</v>
      </c>
      <c r="AD82" s="795">
        <f t="shared" si="21"/>
        <v>0.35</v>
      </c>
      <c r="AE82" s="793">
        <f t="shared" si="66"/>
        <v>3.5</v>
      </c>
      <c r="AF82" s="794">
        <f t="shared" si="67"/>
        <v>1.65</v>
      </c>
      <c r="AG82" s="795">
        <f t="shared" si="22"/>
        <v>0.35</v>
      </c>
      <c r="AH82" s="773"/>
      <c r="AI82" s="796"/>
      <c r="AJ82" s="796"/>
      <c r="AK82" s="796"/>
      <c r="AL82" s="796">
        <v>68</v>
      </c>
      <c r="AM82" s="797">
        <v>0</v>
      </c>
      <c r="AN82" s="796" t="s">
        <v>4311</v>
      </c>
      <c r="AO82" s="796">
        <v>405.47699999999998</v>
      </c>
      <c r="AP82" s="796">
        <v>405.37400000000002</v>
      </c>
      <c r="AQ82" s="796">
        <f t="shared" si="60"/>
        <v>0.102999999999952</v>
      </c>
      <c r="AR82" s="796"/>
      <c r="AS82" s="796"/>
      <c r="AT82" s="796"/>
      <c r="AV82" s="797">
        <v>-11.012</v>
      </c>
      <c r="AW82" s="797">
        <v>401.59100000000001</v>
      </c>
      <c r="AX82" s="797">
        <v>6.1070000000000002</v>
      </c>
      <c r="AY82" s="797">
        <v>406.92099999999999</v>
      </c>
      <c r="BA82" s="762">
        <f t="shared" ref="BA82:BA100" si="92">B82</f>
        <v>1360</v>
      </c>
      <c r="BC82" s="798">
        <f t="shared" ref="BC82:BC100" si="93">BA82</f>
        <v>1360</v>
      </c>
      <c r="BD82" s="799">
        <f t="shared" si="61"/>
        <v>6979744.7850000001</v>
      </c>
      <c r="BE82" s="799">
        <f t="shared" si="62"/>
        <v>364664.49400000001</v>
      </c>
      <c r="BF82" s="800"/>
      <c r="BJ82" s="801">
        <v>68</v>
      </c>
      <c r="BK82" s="802"/>
      <c r="BL82" s="802"/>
      <c r="BM82" s="803">
        <f t="shared" si="63"/>
        <v>1360</v>
      </c>
      <c r="BN82" s="804">
        <v>6979744.7851127898</v>
      </c>
      <c r="BO82" s="805">
        <v>364664.49439664802</v>
      </c>
    </row>
    <row r="83" spans="2:67" ht="15.75" x14ac:dyDescent="0.3">
      <c r="B83" s="806">
        <f t="shared" si="68"/>
        <v>1380</v>
      </c>
      <c r="C83" s="822">
        <f t="shared" si="69"/>
        <v>6979734.5240000002</v>
      </c>
      <c r="D83" s="823">
        <f t="shared" si="70"/>
        <v>364647.33</v>
      </c>
      <c r="E83" s="824">
        <f t="shared" si="71"/>
        <v>-7.0609999999999999</v>
      </c>
      <c r="F83" s="793">
        <f t="shared" si="72"/>
        <v>405.87599999999998</v>
      </c>
      <c r="G83" s="825">
        <f t="shared" si="73"/>
        <v>-5.15</v>
      </c>
      <c r="H83" s="793">
        <f t="shared" si="74"/>
        <v>407.15</v>
      </c>
      <c r="I83" s="826">
        <f t="shared" si="75"/>
        <v>1</v>
      </c>
      <c r="J83" s="825">
        <f t="shared" si="76"/>
        <v>-4.2</v>
      </c>
      <c r="K83" s="825">
        <f t="shared" si="77"/>
        <v>407.14</v>
      </c>
      <c r="L83" s="793">
        <f t="shared" si="78"/>
        <v>-3.85</v>
      </c>
      <c r="M83" s="793">
        <f t="shared" si="79"/>
        <v>406.74299999999999</v>
      </c>
      <c r="N83" s="793">
        <v>2.3199999999999998</v>
      </c>
      <c r="O83" s="824">
        <f t="shared" si="80"/>
        <v>406.654</v>
      </c>
      <c r="P83" s="793">
        <f t="shared" si="81"/>
        <v>407.22800000000001</v>
      </c>
      <c r="Q83" s="794">
        <f t="shared" si="82"/>
        <v>-0.57399999999999995</v>
      </c>
      <c r="R83" s="793">
        <v>-2</v>
      </c>
      <c r="S83" s="793">
        <f t="shared" si="83"/>
        <v>406.577</v>
      </c>
      <c r="T83" s="793">
        <f t="shared" si="84"/>
        <v>3.85</v>
      </c>
      <c r="U83" s="825">
        <f t="shared" si="85"/>
        <v>406.98</v>
      </c>
      <c r="V83" s="822">
        <f t="shared" si="86"/>
        <v>4.2</v>
      </c>
      <c r="W83" s="826">
        <f t="shared" si="87"/>
        <v>1</v>
      </c>
      <c r="X83" s="793">
        <f t="shared" si="88"/>
        <v>406.99</v>
      </c>
      <c r="Y83" s="826">
        <f t="shared" si="89"/>
        <v>5.15</v>
      </c>
      <c r="Z83" s="793">
        <f t="shared" si="90"/>
        <v>409.041</v>
      </c>
      <c r="AA83" s="794">
        <f t="shared" si="91"/>
        <v>6.5129999999999999</v>
      </c>
      <c r="AB83" s="793">
        <f t="shared" si="64"/>
        <v>3.5</v>
      </c>
      <c r="AC83" s="794">
        <f t="shared" si="65"/>
        <v>1.65</v>
      </c>
      <c r="AD83" s="795">
        <f t="shared" si="21"/>
        <v>0.35</v>
      </c>
      <c r="AE83" s="793">
        <f t="shared" si="66"/>
        <v>3.5</v>
      </c>
      <c r="AF83" s="794">
        <f t="shared" si="67"/>
        <v>1.65</v>
      </c>
      <c r="AG83" s="795">
        <f t="shared" si="22"/>
        <v>0.35</v>
      </c>
      <c r="AH83" s="773"/>
      <c r="AI83" s="796"/>
      <c r="AJ83" s="796"/>
      <c r="AK83" s="796"/>
      <c r="AL83" s="796">
        <v>69</v>
      </c>
      <c r="AM83" s="797">
        <v>0</v>
      </c>
      <c r="AN83" s="796" t="s">
        <v>4310</v>
      </c>
      <c r="AO83" s="796">
        <v>407.00400000000002</v>
      </c>
      <c r="AP83" s="796">
        <v>407.22800000000001</v>
      </c>
      <c r="AQ83" s="796">
        <f t="shared" si="60"/>
        <v>-0.22399999999999001</v>
      </c>
      <c r="AR83" s="796"/>
      <c r="AS83" s="796"/>
      <c r="AT83" s="796"/>
      <c r="AV83" s="797">
        <v>-7.0609999999999999</v>
      </c>
      <c r="AW83" s="797">
        <v>405.87599999999998</v>
      </c>
      <c r="AX83" s="797">
        <v>6.5129999999999999</v>
      </c>
      <c r="AY83" s="797">
        <v>409.041</v>
      </c>
      <c r="BA83" s="762">
        <f t="shared" si="92"/>
        <v>1380</v>
      </c>
      <c r="BC83" s="798">
        <f t="shared" si="93"/>
        <v>1380</v>
      </c>
      <c r="BD83" s="799">
        <f t="shared" si="61"/>
        <v>6979734.5240000002</v>
      </c>
      <c r="BE83" s="799">
        <f t="shared" si="62"/>
        <v>364647.32699999999</v>
      </c>
      <c r="BF83" s="800"/>
      <c r="BJ83" s="801">
        <v>69</v>
      </c>
      <c r="BK83" s="802"/>
      <c r="BL83" s="802"/>
      <c r="BM83" s="803">
        <f t="shared" si="63"/>
        <v>1380</v>
      </c>
      <c r="BN83" s="804">
        <v>6979734.5239944002</v>
      </c>
      <c r="BO83" s="805">
        <v>364647.32738362602</v>
      </c>
    </row>
    <row r="84" spans="2:67" ht="15.75" x14ac:dyDescent="0.3">
      <c r="B84" s="806">
        <f t="shared" si="68"/>
        <v>1400</v>
      </c>
      <c r="C84" s="822">
        <f t="shared" si="69"/>
        <v>6979725.2750000004</v>
      </c>
      <c r="D84" s="823">
        <f t="shared" si="70"/>
        <v>364629.6</v>
      </c>
      <c r="E84" s="824">
        <f t="shared" si="71"/>
        <v>-5.3680000000000003</v>
      </c>
      <c r="F84" s="793">
        <f t="shared" si="72"/>
        <v>409.22800000000001</v>
      </c>
      <c r="G84" s="825">
        <f t="shared" si="73"/>
        <v>-5.15</v>
      </c>
      <c r="H84" s="793">
        <f t="shared" si="74"/>
        <v>408.91</v>
      </c>
      <c r="I84" s="826">
        <f t="shared" si="75"/>
        <v>1</v>
      </c>
      <c r="J84" s="825">
        <f t="shared" si="76"/>
        <v>-4.2</v>
      </c>
      <c r="K84" s="825">
        <f t="shared" si="77"/>
        <v>408.9</v>
      </c>
      <c r="L84" s="793">
        <f t="shared" si="78"/>
        <v>-3.85</v>
      </c>
      <c r="M84" s="793">
        <f t="shared" si="79"/>
        <v>408.49799999999999</v>
      </c>
      <c r="N84" s="793">
        <v>4.4000000000000004</v>
      </c>
      <c r="O84" s="824">
        <f t="shared" si="80"/>
        <v>408.32900000000001</v>
      </c>
      <c r="P84" s="793">
        <f t="shared" si="81"/>
        <v>408.834</v>
      </c>
      <c r="Q84" s="794">
        <f t="shared" si="82"/>
        <v>-0.505</v>
      </c>
      <c r="R84" s="793">
        <v>-2</v>
      </c>
      <c r="S84" s="793">
        <f t="shared" si="83"/>
        <v>408.25200000000001</v>
      </c>
      <c r="T84" s="793">
        <f t="shared" si="84"/>
        <v>3.85</v>
      </c>
      <c r="U84" s="825">
        <f t="shared" si="85"/>
        <v>408.65</v>
      </c>
      <c r="V84" s="822">
        <f t="shared" si="86"/>
        <v>4.2</v>
      </c>
      <c r="W84" s="826">
        <f t="shared" si="87"/>
        <v>1</v>
      </c>
      <c r="X84" s="793">
        <f t="shared" si="88"/>
        <v>408.66</v>
      </c>
      <c r="Y84" s="826">
        <f t="shared" si="89"/>
        <v>5.15</v>
      </c>
      <c r="Z84" s="793">
        <f t="shared" si="90"/>
        <v>410.50700000000001</v>
      </c>
      <c r="AA84" s="794">
        <f t="shared" si="91"/>
        <v>6.4160000000000004</v>
      </c>
      <c r="AB84" s="793">
        <f t="shared" si="64"/>
        <v>3.5</v>
      </c>
      <c r="AC84" s="794">
        <f t="shared" si="65"/>
        <v>1.65</v>
      </c>
      <c r="AD84" s="795">
        <f t="shared" si="21"/>
        <v>0.35</v>
      </c>
      <c r="AE84" s="793">
        <f t="shared" si="66"/>
        <v>3.5</v>
      </c>
      <c r="AF84" s="794">
        <f t="shared" si="67"/>
        <v>1.65</v>
      </c>
      <c r="AG84" s="795">
        <f t="shared" si="22"/>
        <v>0.35</v>
      </c>
      <c r="AH84" s="773"/>
      <c r="AI84" s="796"/>
      <c r="AJ84" s="796"/>
      <c r="AK84" s="796"/>
      <c r="AL84" s="796">
        <v>70</v>
      </c>
      <c r="AM84" s="797">
        <v>0</v>
      </c>
      <c r="AN84" s="796"/>
      <c r="AO84" s="796">
        <v>408.67899999999997</v>
      </c>
      <c r="AP84" s="796">
        <v>408.834</v>
      </c>
      <c r="AQ84" s="796">
        <f t="shared" si="60"/>
        <v>-0.15500000000003</v>
      </c>
      <c r="AR84" s="796"/>
      <c r="AS84" s="796"/>
      <c r="AT84" s="796"/>
      <c r="AV84" s="797">
        <v>-5.3680000000000003</v>
      </c>
      <c r="AW84" s="797">
        <v>409.22800000000001</v>
      </c>
      <c r="AX84" s="797">
        <v>6.4160000000000004</v>
      </c>
      <c r="AY84" s="797">
        <v>410.50700000000001</v>
      </c>
      <c r="BA84" s="762">
        <f t="shared" si="92"/>
        <v>1400</v>
      </c>
      <c r="BC84" s="798">
        <f t="shared" si="93"/>
        <v>1400</v>
      </c>
      <c r="BD84" s="799">
        <f t="shared" si="61"/>
        <v>6979725.2750000004</v>
      </c>
      <c r="BE84" s="799">
        <f t="shared" si="62"/>
        <v>364629.60200000001</v>
      </c>
      <c r="BF84" s="800"/>
      <c r="BJ84" s="801">
        <v>70</v>
      </c>
      <c r="BK84" s="802"/>
      <c r="BL84" s="802"/>
      <c r="BM84" s="803">
        <f t="shared" si="63"/>
        <v>1400</v>
      </c>
      <c r="BN84" s="804">
        <v>6979725.27547675</v>
      </c>
      <c r="BO84" s="805">
        <v>364629.60199181101</v>
      </c>
    </row>
    <row r="85" spans="2:67" ht="15.75" x14ac:dyDescent="0.3">
      <c r="B85" s="806">
        <f t="shared" si="68"/>
        <v>1420</v>
      </c>
      <c r="C85" s="822">
        <f t="shared" si="69"/>
        <v>6979717.6739999996</v>
      </c>
      <c r="D85" s="823">
        <f t="shared" si="70"/>
        <v>364611.11</v>
      </c>
      <c r="E85" s="824">
        <f t="shared" si="71"/>
        <v>-5.1689999999999996</v>
      </c>
      <c r="F85" s="793">
        <f t="shared" si="72"/>
        <v>409.09</v>
      </c>
      <c r="G85" s="825">
        <f t="shared" si="73"/>
        <v>-5.15</v>
      </c>
      <c r="H85" s="793">
        <f t="shared" si="74"/>
        <v>409.11</v>
      </c>
      <c r="I85" s="826">
        <f t="shared" si="75"/>
        <v>1</v>
      </c>
      <c r="J85" s="825">
        <f t="shared" si="76"/>
        <v>-4.2</v>
      </c>
      <c r="K85" s="825">
        <f t="shared" si="77"/>
        <v>409.1</v>
      </c>
      <c r="L85" s="793">
        <f t="shared" si="78"/>
        <v>-3.85</v>
      </c>
      <c r="M85" s="793">
        <f t="shared" si="79"/>
        <v>408.702</v>
      </c>
      <c r="N85" s="793">
        <v>4.4000000000000004</v>
      </c>
      <c r="O85" s="824">
        <f t="shared" si="80"/>
        <v>408.53300000000002</v>
      </c>
      <c r="P85" s="793">
        <f t="shared" si="81"/>
        <v>408.84500000000003</v>
      </c>
      <c r="Q85" s="794">
        <f t="shared" si="82"/>
        <v>-0.312</v>
      </c>
      <c r="R85" s="793">
        <v>-2</v>
      </c>
      <c r="S85" s="793">
        <f t="shared" si="83"/>
        <v>408.45600000000002</v>
      </c>
      <c r="T85" s="793">
        <f t="shared" si="84"/>
        <v>3.85</v>
      </c>
      <c r="U85" s="825">
        <f t="shared" si="85"/>
        <v>408.86</v>
      </c>
      <c r="V85" s="822">
        <f t="shared" si="86"/>
        <v>4.2</v>
      </c>
      <c r="W85" s="826">
        <f t="shared" si="87"/>
        <v>1</v>
      </c>
      <c r="X85" s="793">
        <f t="shared" si="88"/>
        <v>408.87</v>
      </c>
      <c r="Y85" s="826">
        <f t="shared" si="89"/>
        <v>5.15</v>
      </c>
      <c r="Z85" s="793">
        <f t="shared" si="90"/>
        <v>409.21899999999999</v>
      </c>
      <c r="AA85" s="794">
        <f t="shared" si="91"/>
        <v>5.431</v>
      </c>
      <c r="AB85" s="793">
        <f t="shared" si="64"/>
        <v>3.5</v>
      </c>
      <c r="AC85" s="794">
        <f t="shared" si="65"/>
        <v>1.65</v>
      </c>
      <c r="AD85" s="795">
        <f t="shared" si="21"/>
        <v>0.35</v>
      </c>
      <c r="AE85" s="793">
        <f t="shared" si="66"/>
        <v>3.5</v>
      </c>
      <c r="AF85" s="794">
        <f t="shared" si="67"/>
        <v>1.65</v>
      </c>
      <c r="AG85" s="795">
        <f t="shared" si="22"/>
        <v>0.35</v>
      </c>
      <c r="AH85" s="773"/>
      <c r="AI85" s="796"/>
      <c r="AJ85" s="796"/>
      <c r="AK85" s="796"/>
      <c r="AL85" s="796">
        <v>71</v>
      </c>
      <c r="AM85" s="797">
        <v>0</v>
      </c>
      <c r="AN85" s="796" t="s">
        <v>4311</v>
      </c>
      <c r="AO85" s="796">
        <v>408.88299999999998</v>
      </c>
      <c r="AP85" s="796">
        <v>408.84500000000003</v>
      </c>
      <c r="AQ85" s="796">
        <f t="shared" si="60"/>
        <v>3.7999999999954098E-2</v>
      </c>
      <c r="AR85" s="796"/>
      <c r="AS85" s="796"/>
      <c r="AT85" s="796"/>
      <c r="AV85" s="797">
        <v>-5.1689999999999996</v>
      </c>
      <c r="AW85" s="797">
        <v>409.09</v>
      </c>
      <c r="AX85" s="797">
        <v>5.431</v>
      </c>
      <c r="AY85" s="797">
        <v>409.21899999999999</v>
      </c>
      <c r="BA85" s="762">
        <f t="shared" si="92"/>
        <v>1420</v>
      </c>
      <c r="BC85" s="798">
        <f t="shared" si="93"/>
        <v>1420</v>
      </c>
      <c r="BD85" s="799">
        <f t="shared" si="61"/>
        <v>6979717.6739999996</v>
      </c>
      <c r="BE85" s="799">
        <f t="shared" si="62"/>
        <v>364611.11</v>
      </c>
      <c r="BF85" s="800"/>
      <c r="BJ85" s="801">
        <v>71</v>
      </c>
      <c r="BK85" s="802"/>
      <c r="BL85" s="802"/>
      <c r="BM85" s="803">
        <f t="shared" si="63"/>
        <v>1420</v>
      </c>
      <c r="BN85" s="804">
        <v>6979717.6743304199</v>
      </c>
      <c r="BO85" s="805">
        <v>364611.110178267</v>
      </c>
    </row>
    <row r="86" spans="2:67" ht="15.75" x14ac:dyDescent="0.3">
      <c r="B86" s="806">
        <f t="shared" si="68"/>
        <v>1440</v>
      </c>
      <c r="C86" s="822">
        <f t="shared" si="69"/>
        <v>6979711.7829999998</v>
      </c>
      <c r="D86" s="823">
        <f t="shared" si="70"/>
        <v>364592.01</v>
      </c>
      <c r="E86" s="824">
        <f t="shared" si="71"/>
        <v>-5.242</v>
      </c>
      <c r="F86" s="793">
        <f t="shared" si="72"/>
        <v>407.53300000000002</v>
      </c>
      <c r="G86" s="825">
        <f t="shared" si="73"/>
        <v>-5.15</v>
      </c>
      <c r="H86" s="793">
        <f t="shared" si="74"/>
        <v>407.41</v>
      </c>
      <c r="I86" s="826">
        <f t="shared" si="75"/>
        <v>1</v>
      </c>
      <c r="J86" s="825">
        <f t="shared" si="76"/>
        <v>-4.2</v>
      </c>
      <c r="K86" s="825">
        <f t="shared" si="77"/>
        <v>407.4</v>
      </c>
      <c r="L86" s="793">
        <f t="shared" si="78"/>
        <v>-3.85</v>
      </c>
      <c r="M86" s="793">
        <f t="shared" si="79"/>
        <v>406.995</v>
      </c>
      <c r="N86" s="793">
        <v>4.4000000000000004</v>
      </c>
      <c r="O86" s="824">
        <f t="shared" si="80"/>
        <v>406.82600000000002</v>
      </c>
      <c r="P86" s="793">
        <f t="shared" si="81"/>
        <v>407.04500000000002</v>
      </c>
      <c r="Q86" s="794">
        <f t="shared" si="82"/>
        <v>-0.219</v>
      </c>
      <c r="R86" s="793">
        <v>-2</v>
      </c>
      <c r="S86" s="793">
        <f t="shared" si="83"/>
        <v>406.74900000000002</v>
      </c>
      <c r="T86" s="793">
        <f t="shared" si="84"/>
        <v>3.85</v>
      </c>
      <c r="U86" s="825">
        <f t="shared" si="85"/>
        <v>407.15</v>
      </c>
      <c r="V86" s="822">
        <f t="shared" si="86"/>
        <v>4.2</v>
      </c>
      <c r="W86" s="826">
        <f t="shared" si="87"/>
        <v>1</v>
      </c>
      <c r="X86" s="793">
        <f t="shared" si="88"/>
        <v>407.16</v>
      </c>
      <c r="Y86" s="826">
        <f t="shared" si="89"/>
        <v>5.15</v>
      </c>
      <c r="Z86" s="793">
        <f t="shared" si="90"/>
        <v>407.15300000000002</v>
      </c>
      <c r="AA86" s="794">
        <f t="shared" si="91"/>
        <v>5.194</v>
      </c>
      <c r="AB86" s="793">
        <f t="shared" si="64"/>
        <v>3.5</v>
      </c>
      <c r="AC86" s="794">
        <f t="shared" si="65"/>
        <v>1.65</v>
      </c>
      <c r="AD86" s="795">
        <f t="shared" si="21"/>
        <v>0.35</v>
      </c>
      <c r="AE86" s="793">
        <f t="shared" si="66"/>
        <v>3.5</v>
      </c>
      <c r="AF86" s="794">
        <f t="shared" si="67"/>
        <v>1.65</v>
      </c>
      <c r="AG86" s="795">
        <f t="shared" si="22"/>
        <v>0.35</v>
      </c>
      <c r="AH86" s="773"/>
      <c r="AI86" s="796"/>
      <c r="AJ86" s="796"/>
      <c r="AK86" s="796"/>
      <c r="AL86" s="796">
        <v>72</v>
      </c>
      <c r="AM86" s="797">
        <v>0</v>
      </c>
      <c r="AN86" s="796"/>
      <c r="AO86" s="796">
        <v>407.17599999999999</v>
      </c>
      <c r="AP86" s="796">
        <v>407.04500000000002</v>
      </c>
      <c r="AQ86" s="796">
        <f t="shared" si="60"/>
        <v>0.130999999999972</v>
      </c>
      <c r="AR86" s="796"/>
      <c r="AS86" s="796"/>
      <c r="AT86" s="796"/>
      <c r="AV86" s="797">
        <v>-5.242</v>
      </c>
      <c r="AW86" s="797">
        <v>407.53300000000002</v>
      </c>
      <c r="AX86" s="797">
        <v>5.194</v>
      </c>
      <c r="AY86" s="797">
        <v>407.15300000000002</v>
      </c>
      <c r="BA86" s="762">
        <f t="shared" si="92"/>
        <v>1440</v>
      </c>
      <c r="BC86" s="798">
        <f t="shared" si="93"/>
        <v>1440</v>
      </c>
      <c r="BD86" s="799">
        <f t="shared" si="61"/>
        <v>6979711.7829999998</v>
      </c>
      <c r="BE86" s="799">
        <f t="shared" si="62"/>
        <v>364592.005</v>
      </c>
      <c r="BF86" s="800"/>
      <c r="BJ86" s="801">
        <v>72</v>
      </c>
      <c r="BK86" s="802"/>
      <c r="BL86" s="802"/>
      <c r="BM86" s="803">
        <f t="shared" si="63"/>
        <v>1440</v>
      </c>
      <c r="BN86" s="804">
        <v>6979711.7833315404</v>
      </c>
      <c r="BO86" s="805">
        <v>364592.00466267602</v>
      </c>
    </row>
    <row r="87" spans="2:67" ht="15.75" x14ac:dyDescent="0.3">
      <c r="B87" s="806">
        <f t="shared" si="68"/>
        <v>1460</v>
      </c>
      <c r="C87" s="822">
        <f t="shared" si="69"/>
        <v>6979707.6509999996</v>
      </c>
      <c r="D87" s="823">
        <f t="shared" si="70"/>
        <v>364572.44</v>
      </c>
      <c r="E87" s="824">
        <f t="shared" si="71"/>
        <v>-5.2359999999999998</v>
      </c>
      <c r="F87" s="793">
        <f t="shared" si="72"/>
        <v>405.334</v>
      </c>
      <c r="G87" s="825">
        <f t="shared" si="73"/>
        <v>-5.15</v>
      </c>
      <c r="H87" s="793">
        <f t="shared" si="74"/>
        <v>405.22</v>
      </c>
      <c r="I87" s="826">
        <f t="shared" si="75"/>
        <v>1</v>
      </c>
      <c r="J87" s="825">
        <f t="shared" si="76"/>
        <v>-4.2</v>
      </c>
      <c r="K87" s="825">
        <f t="shared" si="77"/>
        <v>405.21</v>
      </c>
      <c r="L87" s="793">
        <f t="shared" si="78"/>
        <v>-3.85</v>
      </c>
      <c r="M87" s="793">
        <f t="shared" si="79"/>
        <v>404.80500000000001</v>
      </c>
      <c r="N87" s="793">
        <v>4.4000000000000004</v>
      </c>
      <c r="O87" s="824">
        <f t="shared" si="80"/>
        <v>404.63600000000002</v>
      </c>
      <c r="P87" s="793">
        <f t="shared" si="81"/>
        <v>404.803</v>
      </c>
      <c r="Q87" s="794">
        <f t="shared" si="82"/>
        <v>-0.16700000000000001</v>
      </c>
      <c r="R87" s="793">
        <v>-2</v>
      </c>
      <c r="S87" s="793">
        <f t="shared" si="83"/>
        <v>404.55900000000003</v>
      </c>
      <c r="T87" s="793">
        <f t="shared" si="84"/>
        <v>3.85</v>
      </c>
      <c r="U87" s="825">
        <f t="shared" si="85"/>
        <v>404.96</v>
      </c>
      <c r="V87" s="822">
        <f t="shared" si="86"/>
        <v>4.2</v>
      </c>
      <c r="W87" s="826">
        <f t="shared" si="87"/>
        <v>1</v>
      </c>
      <c r="X87" s="793">
        <f t="shared" si="88"/>
        <v>404.97</v>
      </c>
      <c r="Y87" s="826">
        <f t="shared" si="89"/>
        <v>5.15</v>
      </c>
      <c r="Z87" s="793">
        <f t="shared" si="90"/>
        <v>405.096</v>
      </c>
      <c r="AA87" s="794">
        <f t="shared" si="91"/>
        <v>5.282</v>
      </c>
      <c r="AB87" s="793">
        <f t="shared" si="64"/>
        <v>3.5</v>
      </c>
      <c r="AC87" s="794">
        <f t="shared" si="65"/>
        <v>1.65</v>
      </c>
      <c r="AD87" s="795">
        <f t="shared" si="21"/>
        <v>0.35</v>
      </c>
      <c r="AE87" s="793">
        <f t="shared" si="66"/>
        <v>3.5</v>
      </c>
      <c r="AF87" s="794">
        <f t="shared" si="67"/>
        <v>1.65</v>
      </c>
      <c r="AG87" s="795">
        <f t="shared" si="22"/>
        <v>0.35</v>
      </c>
      <c r="AH87" s="773"/>
      <c r="AI87" s="796"/>
      <c r="AJ87" s="796"/>
      <c r="AK87" s="796"/>
      <c r="AL87" s="796">
        <v>73</v>
      </c>
      <c r="AM87" s="797">
        <v>0</v>
      </c>
      <c r="AN87" s="796"/>
      <c r="AO87" s="796">
        <v>404.98599999999999</v>
      </c>
      <c r="AP87" s="796">
        <v>404.803</v>
      </c>
      <c r="AQ87" s="796">
        <f t="shared" si="60"/>
        <v>0.182999999999993</v>
      </c>
      <c r="AR87" s="796"/>
      <c r="AS87" s="796"/>
      <c r="AT87" s="796"/>
      <c r="AV87" s="797">
        <v>-5.2359999999999998</v>
      </c>
      <c r="AW87" s="797">
        <v>405.334</v>
      </c>
      <c r="AX87" s="797">
        <v>5.282</v>
      </c>
      <c r="AY87" s="797">
        <v>405.096</v>
      </c>
      <c r="BA87" s="762">
        <f t="shared" si="92"/>
        <v>1460</v>
      </c>
      <c r="BC87" s="798">
        <f t="shared" si="93"/>
        <v>1460</v>
      </c>
      <c r="BD87" s="799">
        <f t="shared" si="61"/>
        <v>6979707.6509999996</v>
      </c>
      <c r="BE87" s="799">
        <f t="shared" si="62"/>
        <v>364572.44300000003</v>
      </c>
      <c r="BF87" s="800"/>
      <c r="BJ87" s="801">
        <v>73</v>
      </c>
      <c r="BK87" s="802"/>
      <c r="BL87" s="802"/>
      <c r="BM87" s="803">
        <f t="shared" si="63"/>
        <v>1460</v>
      </c>
      <c r="BN87" s="804">
        <v>6979707.6511325296</v>
      </c>
      <c r="BO87" s="805">
        <v>364572.44323314802</v>
      </c>
    </row>
    <row r="88" spans="2:67" ht="15.75" x14ac:dyDescent="0.3">
      <c r="B88" s="806">
        <f t="shared" si="68"/>
        <v>1480</v>
      </c>
      <c r="C88" s="822">
        <f t="shared" si="69"/>
        <v>6979705.3119999999</v>
      </c>
      <c r="D88" s="823">
        <f t="shared" si="70"/>
        <v>364552.59</v>
      </c>
      <c r="E88" s="824">
        <f t="shared" si="71"/>
        <v>-5.5739999999999998</v>
      </c>
      <c r="F88" s="793">
        <f t="shared" si="72"/>
        <v>402.726</v>
      </c>
      <c r="G88" s="825">
        <f t="shared" si="73"/>
        <v>-5.15</v>
      </c>
      <c r="H88" s="793">
        <f t="shared" si="74"/>
        <v>403.02</v>
      </c>
      <c r="I88" s="826">
        <f t="shared" si="75"/>
        <v>1</v>
      </c>
      <c r="J88" s="825">
        <f t="shared" si="76"/>
        <v>-4.2</v>
      </c>
      <c r="K88" s="825">
        <f t="shared" si="77"/>
        <v>403.01</v>
      </c>
      <c r="L88" s="793">
        <f t="shared" si="78"/>
        <v>-3.85</v>
      </c>
      <c r="M88" s="793">
        <f t="shared" si="79"/>
        <v>402.608</v>
      </c>
      <c r="N88" s="793">
        <v>4.21</v>
      </c>
      <c r="O88" s="824">
        <f t="shared" si="80"/>
        <v>402.44600000000003</v>
      </c>
      <c r="P88" s="793">
        <f t="shared" si="81"/>
        <v>402.65499999999997</v>
      </c>
      <c r="Q88" s="794">
        <f t="shared" si="82"/>
        <v>-0.20899999999999999</v>
      </c>
      <c r="R88" s="793">
        <v>-2</v>
      </c>
      <c r="S88" s="793">
        <f t="shared" si="83"/>
        <v>402.36900000000003</v>
      </c>
      <c r="T88" s="793">
        <f t="shared" si="84"/>
        <v>3.85</v>
      </c>
      <c r="U88" s="825">
        <f t="shared" si="85"/>
        <v>402.77</v>
      </c>
      <c r="V88" s="822">
        <f t="shared" si="86"/>
        <v>4.2</v>
      </c>
      <c r="W88" s="826">
        <f t="shared" si="87"/>
        <v>1</v>
      </c>
      <c r="X88" s="793">
        <f t="shared" si="88"/>
        <v>402.78</v>
      </c>
      <c r="Y88" s="826">
        <f t="shared" si="89"/>
        <v>5.15</v>
      </c>
      <c r="Z88" s="793">
        <f t="shared" si="90"/>
        <v>402.98899999999998</v>
      </c>
      <c r="AA88" s="794">
        <f t="shared" si="91"/>
        <v>5.3330000000000002</v>
      </c>
      <c r="AB88" s="793">
        <f t="shared" si="64"/>
        <v>3.5</v>
      </c>
      <c r="AC88" s="794">
        <f t="shared" si="65"/>
        <v>1.65</v>
      </c>
      <c r="AD88" s="795">
        <f t="shared" si="21"/>
        <v>0.35</v>
      </c>
      <c r="AE88" s="793">
        <f t="shared" si="66"/>
        <v>3.5</v>
      </c>
      <c r="AF88" s="794">
        <f t="shared" si="67"/>
        <v>1.65</v>
      </c>
      <c r="AG88" s="795">
        <f t="shared" si="22"/>
        <v>0.35</v>
      </c>
      <c r="AH88" s="773"/>
      <c r="AI88" s="796"/>
      <c r="AJ88" s="796"/>
      <c r="AK88" s="796"/>
      <c r="AL88" s="796">
        <v>74</v>
      </c>
      <c r="AM88" s="797">
        <v>0</v>
      </c>
      <c r="AN88" s="796" t="s">
        <v>4310</v>
      </c>
      <c r="AO88" s="796">
        <v>402.79599999999999</v>
      </c>
      <c r="AP88" s="796">
        <v>402.65499999999997</v>
      </c>
      <c r="AQ88" s="796">
        <f t="shared" si="60"/>
        <v>0.14100000000002</v>
      </c>
      <c r="AR88" s="796"/>
      <c r="AS88" s="796"/>
      <c r="AT88" s="796"/>
      <c r="AV88" s="797">
        <v>-5.5739999999999998</v>
      </c>
      <c r="AW88" s="797">
        <v>402.726</v>
      </c>
      <c r="AX88" s="797">
        <v>5.3330000000000002</v>
      </c>
      <c r="AY88" s="797">
        <v>402.98899999999998</v>
      </c>
      <c r="BA88" s="762">
        <f t="shared" si="92"/>
        <v>1480</v>
      </c>
      <c r="BC88" s="798">
        <f t="shared" si="93"/>
        <v>1480</v>
      </c>
      <c r="BD88" s="799">
        <f t="shared" si="61"/>
        <v>6979705.3119999999</v>
      </c>
      <c r="BE88" s="799">
        <f t="shared" si="62"/>
        <v>364552.587</v>
      </c>
      <c r="BF88" s="800"/>
      <c r="BJ88" s="801">
        <v>74</v>
      </c>
      <c r="BK88" s="802"/>
      <c r="BL88" s="802"/>
      <c r="BM88" s="803">
        <f t="shared" si="63"/>
        <v>1480</v>
      </c>
      <c r="BN88" s="804">
        <v>6979705.3118602997</v>
      </c>
      <c r="BO88" s="805">
        <v>364552.58744308102</v>
      </c>
    </row>
    <row r="89" spans="2:67" ht="15.75" x14ac:dyDescent="0.3">
      <c r="B89" s="806">
        <f t="shared" si="68"/>
        <v>1500</v>
      </c>
      <c r="C89" s="822">
        <f t="shared" si="69"/>
        <v>6979704.7709999997</v>
      </c>
      <c r="D89" s="823">
        <f t="shared" si="70"/>
        <v>364532.6</v>
      </c>
      <c r="E89" s="824">
        <f t="shared" si="71"/>
        <v>-5.4930000000000003</v>
      </c>
      <c r="F89" s="793">
        <f t="shared" si="72"/>
        <v>400.54899999999998</v>
      </c>
      <c r="G89" s="825">
        <f t="shared" si="73"/>
        <v>-5.15</v>
      </c>
      <c r="H89" s="793">
        <f t="shared" si="74"/>
        <v>400.78</v>
      </c>
      <c r="I89" s="826">
        <f t="shared" si="75"/>
        <v>1</v>
      </c>
      <c r="J89" s="825">
        <f t="shared" si="76"/>
        <v>-4.2</v>
      </c>
      <c r="K89" s="825">
        <f t="shared" si="77"/>
        <v>400.77</v>
      </c>
      <c r="L89" s="793">
        <f t="shared" si="78"/>
        <v>-3.85</v>
      </c>
      <c r="M89" s="793">
        <f t="shared" si="79"/>
        <v>400.36599999999999</v>
      </c>
      <c r="N89" s="793">
        <v>1.28</v>
      </c>
      <c r="O89" s="824">
        <f t="shared" si="80"/>
        <v>400.31700000000001</v>
      </c>
      <c r="P89" s="793">
        <f t="shared" si="81"/>
        <v>400.79700000000003</v>
      </c>
      <c r="Q89" s="794">
        <f t="shared" si="82"/>
        <v>-0.48</v>
      </c>
      <c r="R89" s="793">
        <v>-2</v>
      </c>
      <c r="S89" s="793">
        <f t="shared" si="83"/>
        <v>400.24</v>
      </c>
      <c r="T89" s="793">
        <f t="shared" si="84"/>
        <v>3.85</v>
      </c>
      <c r="U89" s="825">
        <f t="shared" si="85"/>
        <v>400.64</v>
      </c>
      <c r="V89" s="822">
        <f t="shared" si="86"/>
        <v>4.2</v>
      </c>
      <c r="W89" s="826">
        <f t="shared" si="87"/>
        <v>1</v>
      </c>
      <c r="X89" s="793">
        <f t="shared" si="88"/>
        <v>400.65</v>
      </c>
      <c r="Y89" s="826">
        <f t="shared" si="89"/>
        <v>5.15</v>
      </c>
      <c r="Z89" s="793">
        <f t="shared" si="90"/>
        <v>400.88099999999997</v>
      </c>
      <c r="AA89" s="794">
        <f t="shared" si="91"/>
        <v>5.2990000000000004</v>
      </c>
      <c r="AB89" s="793">
        <f t="shared" si="64"/>
        <v>3.5</v>
      </c>
      <c r="AC89" s="794">
        <f t="shared" si="65"/>
        <v>1.65</v>
      </c>
      <c r="AD89" s="795">
        <f t="shared" si="21"/>
        <v>0.35</v>
      </c>
      <c r="AE89" s="793">
        <f t="shared" si="66"/>
        <v>3.5</v>
      </c>
      <c r="AF89" s="794">
        <f t="shared" si="67"/>
        <v>1.65</v>
      </c>
      <c r="AG89" s="795">
        <f t="shared" si="22"/>
        <v>0.35</v>
      </c>
      <c r="AH89" s="773"/>
      <c r="AI89" s="796"/>
      <c r="AJ89" s="796"/>
      <c r="AK89" s="796"/>
      <c r="AL89" s="796">
        <v>75</v>
      </c>
      <c r="AM89" s="797">
        <v>0</v>
      </c>
      <c r="AN89" s="796"/>
      <c r="AO89" s="796">
        <v>400.66699999999997</v>
      </c>
      <c r="AP89" s="796">
        <v>400.79700000000003</v>
      </c>
      <c r="AQ89" s="796">
        <f t="shared" si="60"/>
        <v>-0.13000000000005199</v>
      </c>
      <c r="AR89" s="796"/>
      <c r="AS89" s="796"/>
      <c r="AT89" s="796"/>
      <c r="AV89" s="797">
        <v>-5.4930000000000003</v>
      </c>
      <c r="AW89" s="797">
        <v>400.54899999999998</v>
      </c>
      <c r="AX89" s="797">
        <v>5.2990000000000004</v>
      </c>
      <c r="AY89" s="797">
        <v>400.88099999999997</v>
      </c>
      <c r="BA89" s="762">
        <f t="shared" si="92"/>
        <v>1500</v>
      </c>
      <c r="BC89" s="798">
        <f t="shared" si="93"/>
        <v>1500</v>
      </c>
      <c r="BD89" s="799">
        <f t="shared" si="61"/>
        <v>6979704.7709999997</v>
      </c>
      <c r="BE89" s="799">
        <f t="shared" si="62"/>
        <v>364532.60100000002</v>
      </c>
      <c r="BF89" s="800"/>
      <c r="BJ89" s="801">
        <v>75</v>
      </c>
      <c r="BK89" s="802"/>
      <c r="BL89" s="802"/>
      <c r="BM89" s="803">
        <f t="shared" si="63"/>
        <v>1500</v>
      </c>
      <c r="BN89" s="804">
        <v>6979704.77060421</v>
      </c>
      <c r="BO89" s="805">
        <v>364532.60111315799</v>
      </c>
    </row>
    <row r="90" spans="2:67" ht="15.75" x14ac:dyDescent="0.3">
      <c r="B90" s="806">
        <f t="shared" si="68"/>
        <v>1520</v>
      </c>
      <c r="C90" s="822">
        <f t="shared" si="69"/>
        <v>6979704.9249999998</v>
      </c>
      <c r="D90" s="823">
        <f t="shared" si="70"/>
        <v>364512.6</v>
      </c>
      <c r="E90" s="824">
        <f t="shared" si="71"/>
        <v>-5.1970000000000001</v>
      </c>
      <c r="F90" s="793">
        <f t="shared" si="72"/>
        <v>399.00700000000001</v>
      </c>
      <c r="G90" s="825">
        <f t="shared" si="73"/>
        <v>-5.15</v>
      </c>
      <c r="H90" s="793">
        <f t="shared" si="74"/>
        <v>399.03</v>
      </c>
      <c r="I90" s="826">
        <f t="shared" si="75"/>
        <v>1</v>
      </c>
      <c r="J90" s="825">
        <f t="shared" si="76"/>
        <v>-4.2</v>
      </c>
      <c r="K90" s="825">
        <f t="shared" si="77"/>
        <v>399.02</v>
      </c>
      <c r="L90" s="793">
        <f t="shared" si="78"/>
        <v>-3.85</v>
      </c>
      <c r="M90" s="793">
        <f t="shared" si="79"/>
        <v>398.61599999999999</v>
      </c>
      <c r="N90" s="793">
        <v>-1.76</v>
      </c>
      <c r="O90" s="824">
        <f t="shared" si="80"/>
        <v>398.68400000000003</v>
      </c>
      <c r="P90" s="793">
        <f t="shared" si="81"/>
        <v>399.25299999999999</v>
      </c>
      <c r="Q90" s="794">
        <f t="shared" si="82"/>
        <v>-0.56899999999999995</v>
      </c>
      <c r="R90" s="793">
        <v>-2</v>
      </c>
      <c r="S90" s="793">
        <f t="shared" si="83"/>
        <v>398.60700000000003</v>
      </c>
      <c r="T90" s="793">
        <f t="shared" si="84"/>
        <v>3.85</v>
      </c>
      <c r="U90" s="825">
        <f t="shared" si="85"/>
        <v>399.01</v>
      </c>
      <c r="V90" s="822">
        <f t="shared" si="86"/>
        <v>4.2</v>
      </c>
      <c r="W90" s="826">
        <f t="shared" si="87"/>
        <v>1</v>
      </c>
      <c r="X90" s="793">
        <f t="shared" si="88"/>
        <v>399.02</v>
      </c>
      <c r="Y90" s="826">
        <f t="shared" si="89"/>
        <v>5.15</v>
      </c>
      <c r="Z90" s="793">
        <f t="shared" si="90"/>
        <v>398.79199999999997</v>
      </c>
      <c r="AA90" s="794">
        <f t="shared" si="91"/>
        <v>5.5060000000000002</v>
      </c>
      <c r="AB90" s="793">
        <f t="shared" si="64"/>
        <v>3.5</v>
      </c>
      <c r="AC90" s="794">
        <f t="shared" si="65"/>
        <v>1.65</v>
      </c>
      <c r="AD90" s="795">
        <f t="shared" si="21"/>
        <v>0.35</v>
      </c>
      <c r="AE90" s="793">
        <f t="shared" si="66"/>
        <v>3.5</v>
      </c>
      <c r="AF90" s="794">
        <f t="shared" si="67"/>
        <v>1.65</v>
      </c>
      <c r="AG90" s="795">
        <f t="shared" si="22"/>
        <v>0.35</v>
      </c>
      <c r="AH90" s="773"/>
      <c r="AI90" s="796"/>
      <c r="AJ90" s="796"/>
      <c r="AK90" s="796"/>
      <c r="AL90" s="796">
        <v>76</v>
      </c>
      <c r="AM90" s="797">
        <v>0</v>
      </c>
      <c r="AN90" s="796"/>
      <c r="AO90" s="796">
        <v>399.03399999999999</v>
      </c>
      <c r="AP90" s="796">
        <v>399.25299999999999</v>
      </c>
      <c r="AQ90" s="796">
        <f t="shared" si="60"/>
        <v>-0.21899999999999401</v>
      </c>
      <c r="AR90" s="796"/>
      <c r="AS90" s="796"/>
      <c r="AT90" s="796"/>
      <c r="AV90" s="797">
        <v>-5.1970000000000001</v>
      </c>
      <c r="AW90" s="797">
        <v>399.00700000000001</v>
      </c>
      <c r="AX90" s="797">
        <v>5.5060000000000002</v>
      </c>
      <c r="AY90" s="797">
        <v>398.79199999999997</v>
      </c>
      <c r="BA90" s="762">
        <f t="shared" si="92"/>
        <v>1520</v>
      </c>
      <c r="BC90" s="798">
        <f t="shared" si="93"/>
        <v>1520</v>
      </c>
      <c r="BD90" s="799">
        <f t="shared" si="61"/>
        <v>6979704.9249999998</v>
      </c>
      <c r="BE90" s="799">
        <f t="shared" si="62"/>
        <v>364512.60200000001</v>
      </c>
      <c r="BF90" s="800"/>
      <c r="BJ90" s="801">
        <v>76</v>
      </c>
      <c r="BK90" s="802"/>
      <c r="BL90" s="802"/>
      <c r="BM90" s="803">
        <f t="shared" si="63"/>
        <v>1520</v>
      </c>
      <c r="BN90" s="804">
        <v>6979704.9249397703</v>
      </c>
      <c r="BO90" s="805">
        <v>364512.60170865402</v>
      </c>
    </row>
    <row r="91" spans="2:67" ht="15.75" x14ac:dyDescent="0.3">
      <c r="B91" s="806">
        <f t="shared" si="68"/>
        <v>1540</v>
      </c>
      <c r="C91" s="822">
        <f t="shared" si="69"/>
        <v>6979705.0789999999</v>
      </c>
      <c r="D91" s="823">
        <f t="shared" si="70"/>
        <v>364492.6</v>
      </c>
      <c r="E91" s="824">
        <f t="shared" si="71"/>
        <v>-5.1580000000000004</v>
      </c>
      <c r="F91" s="793">
        <f t="shared" si="72"/>
        <v>397.99</v>
      </c>
      <c r="G91" s="825">
        <f t="shared" si="73"/>
        <v>-5.15</v>
      </c>
      <c r="H91" s="793">
        <f t="shared" si="74"/>
        <v>397.97</v>
      </c>
      <c r="I91" s="826">
        <f t="shared" si="75"/>
        <v>1</v>
      </c>
      <c r="J91" s="825">
        <f t="shared" si="76"/>
        <v>-4.2</v>
      </c>
      <c r="K91" s="825">
        <f t="shared" si="77"/>
        <v>397.96</v>
      </c>
      <c r="L91" s="793">
        <f t="shared" si="78"/>
        <v>-3.85</v>
      </c>
      <c r="M91" s="793">
        <f t="shared" si="79"/>
        <v>397.55700000000002</v>
      </c>
      <c r="N91" s="793">
        <v>-1.79</v>
      </c>
      <c r="O91" s="824">
        <f t="shared" si="80"/>
        <v>397.62599999999998</v>
      </c>
      <c r="P91" s="793">
        <f t="shared" si="81"/>
        <v>398.005</v>
      </c>
      <c r="Q91" s="794">
        <f t="shared" si="82"/>
        <v>-0.379</v>
      </c>
      <c r="R91" s="793">
        <v>-2</v>
      </c>
      <c r="S91" s="793">
        <f t="shared" si="83"/>
        <v>397.54899999999998</v>
      </c>
      <c r="T91" s="793">
        <f t="shared" si="84"/>
        <v>3.85</v>
      </c>
      <c r="U91" s="825">
        <f t="shared" si="85"/>
        <v>397.95</v>
      </c>
      <c r="V91" s="822">
        <f t="shared" si="86"/>
        <v>4.2</v>
      </c>
      <c r="W91" s="826">
        <f t="shared" si="87"/>
        <v>1</v>
      </c>
      <c r="X91" s="793">
        <f t="shared" si="88"/>
        <v>397.96</v>
      </c>
      <c r="Y91" s="826">
        <f t="shared" si="89"/>
        <v>5.15</v>
      </c>
      <c r="Z91" s="793">
        <f t="shared" si="90"/>
        <v>397.46899999999999</v>
      </c>
      <c r="AA91" s="794">
        <f t="shared" si="91"/>
        <v>5.9039999999999999</v>
      </c>
      <c r="AB91" s="793">
        <f t="shared" si="64"/>
        <v>3.5</v>
      </c>
      <c r="AC91" s="794">
        <f t="shared" si="65"/>
        <v>1.65</v>
      </c>
      <c r="AD91" s="795">
        <f t="shared" si="21"/>
        <v>0.35</v>
      </c>
      <c r="AE91" s="793">
        <f t="shared" si="66"/>
        <v>3.5</v>
      </c>
      <c r="AF91" s="794">
        <f t="shared" si="67"/>
        <v>1.65</v>
      </c>
      <c r="AG91" s="795">
        <f t="shared" si="22"/>
        <v>0.35</v>
      </c>
      <c r="AH91" s="773"/>
      <c r="AI91" s="796"/>
      <c r="AJ91" s="796"/>
      <c r="AK91" s="796"/>
      <c r="AL91" s="796">
        <v>77</v>
      </c>
      <c r="AM91" s="797">
        <v>0</v>
      </c>
      <c r="AN91" s="796"/>
      <c r="AO91" s="796">
        <v>397.976</v>
      </c>
      <c r="AP91" s="796">
        <v>398.005</v>
      </c>
      <c r="AQ91" s="796">
        <f t="shared" si="60"/>
        <v>-2.89999999999964E-2</v>
      </c>
      <c r="AR91" s="796"/>
      <c r="AS91" s="796"/>
      <c r="AT91" s="796"/>
      <c r="AV91" s="797">
        <v>-5.1580000000000004</v>
      </c>
      <c r="AW91" s="797">
        <v>397.99</v>
      </c>
      <c r="AX91" s="797">
        <v>5.9039999999999999</v>
      </c>
      <c r="AY91" s="797">
        <v>397.46899999999999</v>
      </c>
      <c r="BA91" s="762">
        <f t="shared" si="92"/>
        <v>1540</v>
      </c>
      <c r="BC91" s="798">
        <f t="shared" si="93"/>
        <v>1540</v>
      </c>
      <c r="BD91" s="799">
        <f t="shared" si="61"/>
        <v>6979705.0789999999</v>
      </c>
      <c r="BE91" s="799">
        <f t="shared" si="62"/>
        <v>364492.60200000001</v>
      </c>
      <c r="BF91" s="800"/>
      <c r="BJ91" s="801">
        <v>77</v>
      </c>
      <c r="BK91" s="802"/>
      <c r="BL91" s="802"/>
      <c r="BM91" s="803">
        <f t="shared" si="63"/>
        <v>1540</v>
      </c>
      <c r="BN91" s="804">
        <v>6979705.0792753203</v>
      </c>
      <c r="BO91" s="805">
        <v>364492.60230414901</v>
      </c>
    </row>
    <row r="92" spans="2:67" ht="15.75" x14ac:dyDescent="0.3">
      <c r="B92" s="806">
        <f t="shared" si="68"/>
        <v>1560</v>
      </c>
      <c r="C92" s="822">
        <f t="shared" si="69"/>
        <v>6979705.2340000002</v>
      </c>
      <c r="D92" s="823">
        <f t="shared" si="70"/>
        <v>364472.6</v>
      </c>
      <c r="E92" s="824">
        <f t="shared" si="71"/>
        <v>-5.2450000000000001</v>
      </c>
      <c r="F92" s="793">
        <f t="shared" si="72"/>
        <v>397.53500000000003</v>
      </c>
      <c r="G92" s="825">
        <f t="shared" si="73"/>
        <v>-5.15</v>
      </c>
      <c r="H92" s="793">
        <f t="shared" si="74"/>
        <v>397.6</v>
      </c>
      <c r="I92" s="826">
        <f t="shared" si="75"/>
        <v>1</v>
      </c>
      <c r="J92" s="825">
        <f t="shared" si="76"/>
        <v>-4.2</v>
      </c>
      <c r="K92" s="825">
        <f t="shared" si="77"/>
        <v>397.59</v>
      </c>
      <c r="L92" s="793">
        <f t="shared" si="78"/>
        <v>-3.85</v>
      </c>
      <c r="M92" s="793">
        <f t="shared" si="79"/>
        <v>397.18700000000001</v>
      </c>
      <c r="N92" s="793">
        <v>1.2</v>
      </c>
      <c r="O92" s="824">
        <f t="shared" si="80"/>
        <v>397.14100000000002</v>
      </c>
      <c r="P92" s="793">
        <f t="shared" si="81"/>
        <v>397.44499999999999</v>
      </c>
      <c r="Q92" s="794">
        <f t="shared" si="82"/>
        <v>-0.30399999999999999</v>
      </c>
      <c r="R92" s="793">
        <v>-2</v>
      </c>
      <c r="S92" s="793">
        <f t="shared" si="83"/>
        <v>397.06400000000002</v>
      </c>
      <c r="T92" s="793">
        <f t="shared" si="84"/>
        <v>3.85</v>
      </c>
      <c r="U92" s="825">
        <f t="shared" si="85"/>
        <v>397.46</v>
      </c>
      <c r="V92" s="822">
        <f t="shared" si="86"/>
        <v>4.2</v>
      </c>
      <c r="W92" s="826">
        <f t="shared" si="87"/>
        <v>1</v>
      </c>
      <c r="X92" s="793">
        <f t="shared" si="88"/>
        <v>397.47</v>
      </c>
      <c r="Y92" s="826">
        <f t="shared" si="89"/>
        <v>5.15</v>
      </c>
      <c r="Z92" s="793">
        <f t="shared" si="90"/>
        <v>396.608</v>
      </c>
      <c r="AA92" s="794">
        <f t="shared" si="91"/>
        <v>6.46</v>
      </c>
      <c r="AB92" s="793">
        <f t="shared" si="64"/>
        <v>3.5</v>
      </c>
      <c r="AC92" s="794">
        <f t="shared" si="65"/>
        <v>1.65</v>
      </c>
      <c r="AD92" s="795">
        <f t="shared" si="21"/>
        <v>0.35</v>
      </c>
      <c r="AE92" s="793">
        <f t="shared" si="66"/>
        <v>3.5</v>
      </c>
      <c r="AF92" s="794">
        <f t="shared" si="67"/>
        <v>1.65</v>
      </c>
      <c r="AG92" s="795">
        <f t="shared" si="22"/>
        <v>0.35</v>
      </c>
      <c r="AH92" s="773"/>
      <c r="AI92" s="796"/>
      <c r="AJ92" s="796"/>
      <c r="AK92" s="796"/>
      <c r="AL92" s="796">
        <v>78</v>
      </c>
      <c r="AM92" s="797">
        <v>0</v>
      </c>
      <c r="AN92" s="796" t="s">
        <v>4311</v>
      </c>
      <c r="AO92" s="796">
        <v>397.49099999999999</v>
      </c>
      <c r="AP92" s="796">
        <v>397.44499999999999</v>
      </c>
      <c r="AQ92" s="796">
        <f t="shared" si="60"/>
        <v>4.5999999999992297E-2</v>
      </c>
      <c r="AR92" s="796"/>
      <c r="AS92" s="796"/>
      <c r="AT92" s="796"/>
      <c r="AV92" s="797">
        <v>-5.2450000000000001</v>
      </c>
      <c r="AW92" s="797">
        <v>397.53500000000003</v>
      </c>
      <c r="AX92" s="797">
        <v>6.46</v>
      </c>
      <c r="AY92" s="797">
        <v>396.608</v>
      </c>
      <c r="BA92" s="762">
        <f t="shared" si="92"/>
        <v>1560</v>
      </c>
      <c r="BC92" s="798">
        <f t="shared" si="93"/>
        <v>1560</v>
      </c>
      <c r="BD92" s="799">
        <f t="shared" si="61"/>
        <v>6979705.2340000002</v>
      </c>
      <c r="BE92" s="799">
        <f t="shared" si="62"/>
        <v>364472.603</v>
      </c>
      <c r="BF92" s="800"/>
      <c r="BJ92" s="801">
        <v>78</v>
      </c>
      <c r="BK92" s="802"/>
      <c r="BL92" s="802"/>
      <c r="BM92" s="803">
        <f t="shared" si="63"/>
        <v>1560</v>
      </c>
      <c r="BN92" s="804">
        <v>6979705.2336108796</v>
      </c>
      <c r="BO92" s="805">
        <v>364472.60289964499</v>
      </c>
    </row>
    <row r="93" spans="2:67" ht="15.75" x14ac:dyDescent="0.3">
      <c r="B93" s="806">
        <f t="shared" si="68"/>
        <v>1580</v>
      </c>
      <c r="C93" s="822">
        <f t="shared" si="69"/>
        <v>6979706.1789999995</v>
      </c>
      <c r="D93" s="823">
        <f t="shared" si="70"/>
        <v>364452.64</v>
      </c>
      <c r="E93" s="824">
        <f t="shared" si="71"/>
        <v>-5.5069999999999997</v>
      </c>
      <c r="F93" s="793">
        <f t="shared" si="72"/>
        <v>397.387</v>
      </c>
      <c r="G93" s="825">
        <f t="shared" si="73"/>
        <v>-5.15</v>
      </c>
      <c r="H93" s="793">
        <f t="shared" si="74"/>
        <v>397.64</v>
      </c>
      <c r="I93" s="826">
        <f t="shared" si="75"/>
        <v>1</v>
      </c>
      <c r="J93" s="825">
        <f t="shared" si="76"/>
        <v>-4.2</v>
      </c>
      <c r="K93" s="825">
        <f t="shared" si="77"/>
        <v>397.63</v>
      </c>
      <c r="L93" s="793">
        <f t="shared" si="78"/>
        <v>-3.85</v>
      </c>
      <c r="M93" s="793">
        <f t="shared" si="79"/>
        <v>397.226</v>
      </c>
      <c r="N93" s="793">
        <v>4.6399999999999997</v>
      </c>
      <c r="O93" s="824">
        <f t="shared" si="80"/>
        <v>397.04700000000003</v>
      </c>
      <c r="P93" s="793">
        <f t="shared" si="81"/>
        <v>396.99400000000003</v>
      </c>
      <c r="Q93" s="794">
        <f t="shared" si="82"/>
        <v>5.2999999999999999E-2</v>
      </c>
      <c r="R93" s="793">
        <v>-2</v>
      </c>
      <c r="S93" s="793">
        <f t="shared" si="83"/>
        <v>396.97</v>
      </c>
      <c r="T93" s="793">
        <f t="shared" si="84"/>
        <v>3.85</v>
      </c>
      <c r="U93" s="825">
        <f t="shared" si="85"/>
        <v>397.37</v>
      </c>
      <c r="V93" s="822">
        <f t="shared" si="86"/>
        <v>4.2</v>
      </c>
      <c r="W93" s="826">
        <f t="shared" si="87"/>
        <v>1</v>
      </c>
      <c r="X93" s="793">
        <f t="shared" si="88"/>
        <v>397.38</v>
      </c>
      <c r="Y93" s="826">
        <f t="shared" si="89"/>
        <v>5.15</v>
      </c>
      <c r="Z93" s="793">
        <f t="shared" si="90"/>
        <v>395.58300000000003</v>
      </c>
      <c r="AA93" s="794">
        <f t="shared" si="91"/>
        <v>7.7270000000000003</v>
      </c>
      <c r="AB93" s="793">
        <f t="shared" si="64"/>
        <v>3.5</v>
      </c>
      <c r="AC93" s="794">
        <f t="shared" si="65"/>
        <v>1.65</v>
      </c>
      <c r="AD93" s="795">
        <f t="shared" si="21"/>
        <v>0.35</v>
      </c>
      <c r="AE93" s="793">
        <f t="shared" si="66"/>
        <v>3.5</v>
      </c>
      <c r="AF93" s="794">
        <f t="shared" si="67"/>
        <v>1.65</v>
      </c>
      <c r="AG93" s="795">
        <f t="shared" si="22"/>
        <v>0.35</v>
      </c>
      <c r="AH93" s="773"/>
      <c r="AI93" s="796"/>
      <c r="AJ93" s="796"/>
      <c r="AK93" s="796"/>
      <c r="AL93" s="796">
        <v>79</v>
      </c>
      <c r="AM93" s="797">
        <v>0</v>
      </c>
      <c r="AN93" s="796"/>
      <c r="AO93" s="796">
        <v>397.39699999999999</v>
      </c>
      <c r="AP93" s="796">
        <v>396.99400000000003</v>
      </c>
      <c r="AQ93" s="796">
        <f t="shared" si="60"/>
        <v>0.402999999999963</v>
      </c>
      <c r="AR93" s="796"/>
      <c r="AS93" s="796"/>
      <c r="AT93" s="796"/>
      <c r="AV93" s="797">
        <v>-5.5069999999999997</v>
      </c>
      <c r="AW93" s="797">
        <v>397.387</v>
      </c>
      <c r="AX93" s="797">
        <v>7.7270000000000003</v>
      </c>
      <c r="AY93" s="797">
        <v>395.58300000000003</v>
      </c>
      <c r="BA93" s="762">
        <f t="shared" si="92"/>
        <v>1580</v>
      </c>
      <c r="BC93" s="798">
        <f t="shared" si="93"/>
        <v>1580</v>
      </c>
      <c r="BD93" s="799">
        <f t="shared" si="61"/>
        <v>6979706.1789999995</v>
      </c>
      <c r="BE93" s="799">
        <f t="shared" si="62"/>
        <v>364452.63699999999</v>
      </c>
      <c r="BF93" s="800"/>
      <c r="BJ93" s="801">
        <v>79</v>
      </c>
      <c r="BK93" s="802"/>
      <c r="BL93" s="802"/>
      <c r="BM93" s="803">
        <f t="shared" si="63"/>
        <v>1580</v>
      </c>
      <c r="BN93" s="804">
        <v>6979706.1786613399</v>
      </c>
      <c r="BO93" s="805">
        <v>364452.63669441798</v>
      </c>
    </row>
    <row r="94" spans="2:67" ht="15.75" x14ac:dyDescent="0.3">
      <c r="B94" s="806">
        <f t="shared" si="68"/>
        <v>1600</v>
      </c>
      <c r="C94" s="822">
        <f t="shared" si="69"/>
        <v>6979709.7000000002</v>
      </c>
      <c r="D94" s="823">
        <f t="shared" si="70"/>
        <v>364432.96</v>
      </c>
      <c r="E94" s="824">
        <f t="shared" si="71"/>
        <v>-5.399</v>
      </c>
      <c r="F94" s="793">
        <f t="shared" si="72"/>
        <v>397.37799999999999</v>
      </c>
      <c r="G94" s="825">
        <f t="shared" si="73"/>
        <v>-5.15</v>
      </c>
      <c r="H94" s="793">
        <f t="shared" si="74"/>
        <v>397.56</v>
      </c>
      <c r="I94" s="826">
        <f t="shared" si="75"/>
        <v>1</v>
      </c>
      <c r="J94" s="825">
        <f t="shared" si="76"/>
        <v>-4.2</v>
      </c>
      <c r="K94" s="825">
        <f t="shared" si="77"/>
        <v>397.55</v>
      </c>
      <c r="L94" s="793">
        <f t="shared" si="78"/>
        <v>-3.85</v>
      </c>
      <c r="M94" s="793">
        <f t="shared" si="79"/>
        <v>397.14499999999998</v>
      </c>
      <c r="N94" s="793">
        <v>4.68</v>
      </c>
      <c r="O94" s="824">
        <f t="shared" si="80"/>
        <v>396.96499999999997</v>
      </c>
      <c r="P94" s="793">
        <f t="shared" si="81"/>
        <v>396.88</v>
      </c>
      <c r="Q94" s="794">
        <f t="shared" si="82"/>
        <v>8.5000000000000006E-2</v>
      </c>
      <c r="R94" s="793">
        <v>-1.69</v>
      </c>
      <c r="S94" s="793">
        <f t="shared" si="83"/>
        <v>396.9</v>
      </c>
      <c r="T94" s="793">
        <f t="shared" si="84"/>
        <v>3.85</v>
      </c>
      <c r="U94" s="825">
        <f t="shared" si="85"/>
        <v>397.3</v>
      </c>
      <c r="V94" s="822">
        <f t="shared" si="86"/>
        <v>4.2</v>
      </c>
      <c r="W94" s="826">
        <f t="shared" si="87"/>
        <v>1</v>
      </c>
      <c r="X94" s="793">
        <f t="shared" si="88"/>
        <v>397.31</v>
      </c>
      <c r="Y94" s="826">
        <f t="shared" si="89"/>
        <v>5.15</v>
      </c>
      <c r="Z94" s="793">
        <f t="shared" si="90"/>
        <v>396.28</v>
      </c>
      <c r="AA94" s="794">
        <f t="shared" si="91"/>
        <v>6.556</v>
      </c>
      <c r="AB94" s="793">
        <f t="shared" si="64"/>
        <v>3.5</v>
      </c>
      <c r="AC94" s="794">
        <f t="shared" si="65"/>
        <v>1.65</v>
      </c>
      <c r="AD94" s="795">
        <f t="shared" si="21"/>
        <v>0.35</v>
      </c>
      <c r="AE94" s="793">
        <f t="shared" si="66"/>
        <v>3.5</v>
      </c>
      <c r="AF94" s="794">
        <f t="shared" si="67"/>
        <v>1.65</v>
      </c>
      <c r="AG94" s="795">
        <f t="shared" si="22"/>
        <v>0.35</v>
      </c>
      <c r="AH94" s="773"/>
      <c r="AI94" s="796"/>
      <c r="AJ94" s="796"/>
      <c r="AK94" s="796"/>
      <c r="AL94" s="796">
        <v>80</v>
      </c>
      <c r="AM94" s="797">
        <v>0</v>
      </c>
      <c r="AN94" s="796"/>
      <c r="AO94" s="796">
        <v>397.315</v>
      </c>
      <c r="AP94" s="796">
        <v>396.88</v>
      </c>
      <c r="AQ94" s="796">
        <f t="shared" si="60"/>
        <v>0.435000000000002</v>
      </c>
      <c r="AR94" s="796"/>
      <c r="AS94" s="796"/>
      <c r="AT94" s="796"/>
      <c r="AV94" s="797">
        <v>-5.399</v>
      </c>
      <c r="AW94" s="797">
        <v>397.37799999999999</v>
      </c>
      <c r="AX94" s="797">
        <v>6.556</v>
      </c>
      <c r="AY94" s="797">
        <v>396.28</v>
      </c>
      <c r="BA94" s="762">
        <f t="shared" si="92"/>
        <v>1600</v>
      </c>
      <c r="BC94" s="798">
        <f t="shared" si="93"/>
        <v>1600</v>
      </c>
      <c r="BD94" s="799">
        <f t="shared" si="61"/>
        <v>6979709.7000000002</v>
      </c>
      <c r="BE94" s="799">
        <f t="shared" si="62"/>
        <v>364432.96399999998</v>
      </c>
      <c r="BF94" s="800"/>
      <c r="BJ94" s="801">
        <v>80</v>
      </c>
      <c r="BK94" s="802"/>
      <c r="BL94" s="802"/>
      <c r="BM94" s="803">
        <f t="shared" si="63"/>
        <v>1600</v>
      </c>
      <c r="BN94" s="804">
        <v>6979709.70000338</v>
      </c>
      <c r="BO94" s="805">
        <v>364432.96417783602</v>
      </c>
    </row>
    <row r="95" spans="2:67" ht="15.75" x14ac:dyDescent="0.3">
      <c r="B95" s="806">
        <f t="shared" si="68"/>
        <v>1620</v>
      </c>
      <c r="C95" s="822">
        <f t="shared" si="69"/>
        <v>6979715.7230000002</v>
      </c>
      <c r="D95" s="823">
        <f t="shared" si="70"/>
        <v>364413.9</v>
      </c>
      <c r="E95" s="824">
        <f t="shared" si="71"/>
        <v>-5.2619999999999996</v>
      </c>
      <c r="F95" s="793">
        <f t="shared" si="72"/>
        <v>397.52699999999999</v>
      </c>
      <c r="G95" s="825">
        <f t="shared" si="73"/>
        <v>-5.15</v>
      </c>
      <c r="H95" s="793">
        <f t="shared" si="74"/>
        <v>397.36</v>
      </c>
      <c r="I95" s="826">
        <f t="shared" si="75"/>
        <v>1</v>
      </c>
      <c r="J95" s="825">
        <f t="shared" si="76"/>
        <v>-4.2</v>
      </c>
      <c r="K95" s="825">
        <f t="shared" si="77"/>
        <v>397.35</v>
      </c>
      <c r="L95" s="793">
        <f t="shared" si="78"/>
        <v>-3.85</v>
      </c>
      <c r="M95" s="793">
        <f t="shared" si="79"/>
        <v>396.94900000000001</v>
      </c>
      <c r="N95" s="793">
        <v>1.71</v>
      </c>
      <c r="O95" s="824">
        <f t="shared" si="80"/>
        <v>396.88299999999998</v>
      </c>
      <c r="P95" s="793">
        <f t="shared" si="81"/>
        <v>396.887</v>
      </c>
      <c r="Q95" s="794">
        <f t="shared" si="82"/>
        <v>-4.0000000000000001E-3</v>
      </c>
      <c r="R95" s="793">
        <v>0.09</v>
      </c>
      <c r="S95" s="793">
        <f t="shared" si="83"/>
        <v>396.88600000000002</v>
      </c>
      <c r="T95" s="793">
        <f t="shared" si="84"/>
        <v>3.85</v>
      </c>
      <c r="U95" s="825">
        <f t="shared" si="85"/>
        <v>397.29</v>
      </c>
      <c r="V95" s="822">
        <f t="shared" si="86"/>
        <v>4.2</v>
      </c>
      <c r="W95" s="826">
        <f t="shared" si="87"/>
        <v>1</v>
      </c>
      <c r="X95" s="793">
        <f t="shared" si="88"/>
        <v>397.3</v>
      </c>
      <c r="Y95" s="826">
        <f t="shared" si="89"/>
        <v>5.15</v>
      </c>
      <c r="Z95" s="793">
        <f t="shared" si="90"/>
        <v>396.23899999999998</v>
      </c>
      <c r="AA95" s="794">
        <f t="shared" si="91"/>
        <v>6.65</v>
      </c>
      <c r="AB95" s="793">
        <f t="shared" si="64"/>
        <v>3.5</v>
      </c>
      <c r="AC95" s="794">
        <f t="shared" si="65"/>
        <v>1.65</v>
      </c>
      <c r="AD95" s="795">
        <f t="shared" si="21"/>
        <v>0.35</v>
      </c>
      <c r="AE95" s="793">
        <f t="shared" si="66"/>
        <v>3.5</v>
      </c>
      <c r="AF95" s="794">
        <f t="shared" si="67"/>
        <v>1.65</v>
      </c>
      <c r="AG95" s="795">
        <f t="shared" si="22"/>
        <v>0.35</v>
      </c>
      <c r="AH95" s="773"/>
      <c r="AI95" s="796"/>
      <c r="AJ95" s="796"/>
      <c r="AK95" s="796"/>
      <c r="AL95" s="796">
        <v>81</v>
      </c>
      <c r="AM95" s="797">
        <v>0</v>
      </c>
      <c r="AN95" s="796" t="s">
        <v>4310</v>
      </c>
      <c r="AO95" s="796">
        <v>397.233</v>
      </c>
      <c r="AP95" s="796">
        <v>396.887</v>
      </c>
      <c r="AQ95" s="796">
        <f t="shared" si="60"/>
        <v>0.34600000000000403</v>
      </c>
      <c r="AR95" s="796"/>
      <c r="AS95" s="796"/>
      <c r="AT95" s="796"/>
      <c r="AV95" s="797">
        <v>-5.2619999999999996</v>
      </c>
      <c r="AW95" s="797">
        <v>397.52699999999999</v>
      </c>
      <c r="AX95" s="797">
        <v>6.65</v>
      </c>
      <c r="AY95" s="797">
        <v>396.23899999999998</v>
      </c>
      <c r="BA95" s="762">
        <f t="shared" si="92"/>
        <v>1620</v>
      </c>
      <c r="BC95" s="798">
        <f t="shared" si="93"/>
        <v>1620</v>
      </c>
      <c r="BD95" s="799">
        <f t="shared" si="61"/>
        <v>6979715.7230000002</v>
      </c>
      <c r="BE95" s="799">
        <f t="shared" si="62"/>
        <v>364413.90399999998</v>
      </c>
      <c r="BF95" s="800"/>
      <c r="BJ95" s="801">
        <v>81</v>
      </c>
      <c r="BK95" s="802"/>
      <c r="BL95" s="802"/>
      <c r="BM95" s="803">
        <f t="shared" si="63"/>
        <v>1620</v>
      </c>
      <c r="BN95" s="804">
        <v>6979715.7231229497</v>
      </c>
      <c r="BO95" s="805">
        <v>364413.903980117</v>
      </c>
    </row>
    <row r="96" spans="2:67" ht="15.75" x14ac:dyDescent="0.3">
      <c r="B96" s="806">
        <f t="shared" si="68"/>
        <v>1640</v>
      </c>
      <c r="C96" s="822">
        <f t="shared" si="69"/>
        <v>6979722.4469999997</v>
      </c>
      <c r="D96" s="823">
        <f t="shared" si="70"/>
        <v>364395.07</v>
      </c>
      <c r="E96" s="824">
        <f t="shared" si="71"/>
        <v>-5.2649999999999997</v>
      </c>
      <c r="F96" s="793">
        <f t="shared" si="72"/>
        <v>397.04899999999998</v>
      </c>
      <c r="G96" s="825">
        <f t="shared" si="73"/>
        <v>-5.15</v>
      </c>
      <c r="H96" s="793">
        <f t="shared" si="74"/>
        <v>397.12</v>
      </c>
      <c r="I96" s="826">
        <f t="shared" si="75"/>
        <v>1</v>
      </c>
      <c r="J96" s="825">
        <f t="shared" si="76"/>
        <v>-4.2</v>
      </c>
      <c r="K96" s="825">
        <f t="shared" si="77"/>
        <v>397.11</v>
      </c>
      <c r="L96" s="793">
        <f t="shared" si="78"/>
        <v>-3.85</v>
      </c>
      <c r="M96" s="793">
        <f t="shared" si="79"/>
        <v>396.70499999999998</v>
      </c>
      <c r="N96" s="793">
        <v>-1.53</v>
      </c>
      <c r="O96" s="824">
        <f t="shared" si="80"/>
        <v>396.76400000000001</v>
      </c>
      <c r="P96" s="793">
        <f t="shared" si="81"/>
        <v>396.661</v>
      </c>
      <c r="Q96" s="794">
        <f t="shared" si="82"/>
        <v>0.10299999999999999</v>
      </c>
      <c r="R96" s="793">
        <v>2.04</v>
      </c>
      <c r="S96" s="793">
        <f t="shared" si="83"/>
        <v>396.84300000000002</v>
      </c>
      <c r="T96" s="793">
        <f t="shared" si="84"/>
        <v>3.85</v>
      </c>
      <c r="U96" s="825">
        <f t="shared" si="85"/>
        <v>397.24</v>
      </c>
      <c r="V96" s="822">
        <f t="shared" si="86"/>
        <v>4.2</v>
      </c>
      <c r="W96" s="826">
        <f t="shared" si="87"/>
        <v>1</v>
      </c>
      <c r="X96" s="793">
        <f t="shared" si="88"/>
        <v>397.25</v>
      </c>
      <c r="Y96" s="826">
        <f t="shared" si="89"/>
        <v>5.15</v>
      </c>
      <c r="Z96" s="793">
        <f t="shared" si="90"/>
        <v>395.36900000000003</v>
      </c>
      <c r="AA96" s="794">
        <f t="shared" si="91"/>
        <v>7.9459999999999997</v>
      </c>
      <c r="AB96" s="793">
        <f t="shared" si="64"/>
        <v>3.5</v>
      </c>
      <c r="AC96" s="794">
        <f t="shared" si="65"/>
        <v>1.65</v>
      </c>
      <c r="AD96" s="795">
        <f t="shared" si="21"/>
        <v>0.35</v>
      </c>
      <c r="AE96" s="793">
        <f t="shared" si="66"/>
        <v>3.5</v>
      </c>
      <c r="AF96" s="794">
        <f t="shared" si="67"/>
        <v>1.65</v>
      </c>
      <c r="AG96" s="795">
        <f t="shared" si="22"/>
        <v>0.35</v>
      </c>
      <c r="AH96" s="773"/>
      <c r="AI96" s="796"/>
      <c r="AJ96" s="796"/>
      <c r="AK96" s="796"/>
      <c r="AL96" s="796">
        <v>82</v>
      </c>
      <c r="AM96" s="797">
        <v>0</v>
      </c>
      <c r="AN96" s="796"/>
      <c r="AO96" s="796">
        <v>397.11399999999998</v>
      </c>
      <c r="AP96" s="796">
        <v>396.661</v>
      </c>
      <c r="AQ96" s="796">
        <f t="shared" si="60"/>
        <v>0.45299999999997498</v>
      </c>
      <c r="AR96" s="796"/>
      <c r="AS96" s="796"/>
      <c r="AT96" s="796"/>
      <c r="AV96" s="797">
        <v>-5.2649999999999997</v>
      </c>
      <c r="AW96" s="797">
        <v>397.04899999999998</v>
      </c>
      <c r="AX96" s="797">
        <v>7.9459999999999997</v>
      </c>
      <c r="AY96" s="797">
        <v>395.36900000000003</v>
      </c>
      <c r="BA96" s="762">
        <f t="shared" si="92"/>
        <v>1640</v>
      </c>
      <c r="BC96" s="798">
        <f t="shared" si="93"/>
        <v>1640</v>
      </c>
      <c r="BD96" s="799">
        <f t="shared" si="61"/>
        <v>6979722.4469999997</v>
      </c>
      <c r="BE96" s="799">
        <f t="shared" si="62"/>
        <v>364395.06800000003</v>
      </c>
      <c r="BF96" s="800"/>
      <c r="BJ96" s="801">
        <v>82</v>
      </c>
      <c r="BK96" s="802"/>
      <c r="BL96" s="802"/>
      <c r="BM96" s="803">
        <f t="shared" si="63"/>
        <v>1640</v>
      </c>
      <c r="BN96" s="804">
        <v>6979722.4474759903</v>
      </c>
      <c r="BO96" s="805">
        <v>364395.06829438801</v>
      </c>
    </row>
    <row r="97" spans="2:67" ht="15.75" x14ac:dyDescent="0.3">
      <c r="B97" s="806">
        <f t="shared" si="68"/>
        <v>1660</v>
      </c>
      <c r="C97" s="822">
        <f t="shared" si="69"/>
        <v>6979728.6619999995</v>
      </c>
      <c r="D97" s="823">
        <f t="shared" si="70"/>
        <v>364376.06</v>
      </c>
      <c r="E97" s="824">
        <f t="shared" si="71"/>
        <v>-6.2009999999999996</v>
      </c>
      <c r="F97" s="793">
        <f t="shared" si="72"/>
        <v>395.74099999999999</v>
      </c>
      <c r="G97" s="825">
        <f t="shared" si="73"/>
        <v>-5.15</v>
      </c>
      <c r="H97" s="793">
        <f t="shared" si="74"/>
        <v>396.43</v>
      </c>
      <c r="I97" s="826">
        <f t="shared" si="75"/>
        <v>1</v>
      </c>
      <c r="J97" s="825">
        <f t="shared" si="76"/>
        <v>-4.2</v>
      </c>
      <c r="K97" s="825">
        <f t="shared" si="77"/>
        <v>396.42</v>
      </c>
      <c r="L97" s="793">
        <f t="shared" si="78"/>
        <v>-3.85</v>
      </c>
      <c r="M97" s="793">
        <f t="shared" si="79"/>
        <v>396.017</v>
      </c>
      <c r="N97" s="793">
        <v>-2.8</v>
      </c>
      <c r="O97" s="824">
        <f t="shared" si="80"/>
        <v>396.125</v>
      </c>
      <c r="P97" s="793">
        <f t="shared" si="81"/>
        <v>396.10500000000002</v>
      </c>
      <c r="Q97" s="794">
        <f t="shared" si="82"/>
        <v>0.02</v>
      </c>
      <c r="R97" s="793">
        <v>2.8</v>
      </c>
      <c r="S97" s="793">
        <f t="shared" si="83"/>
        <v>396.233</v>
      </c>
      <c r="T97" s="793">
        <f t="shared" si="84"/>
        <v>3.85</v>
      </c>
      <c r="U97" s="825">
        <f t="shared" si="85"/>
        <v>396.63</v>
      </c>
      <c r="V97" s="822">
        <f t="shared" si="86"/>
        <v>4.2</v>
      </c>
      <c r="W97" s="826">
        <f t="shared" si="87"/>
        <v>1</v>
      </c>
      <c r="X97" s="793">
        <f t="shared" si="88"/>
        <v>396.64</v>
      </c>
      <c r="Y97" s="826">
        <f t="shared" si="89"/>
        <v>5.15</v>
      </c>
      <c r="Z97" s="793">
        <f t="shared" si="90"/>
        <v>394.18299999999999</v>
      </c>
      <c r="AA97" s="794">
        <f t="shared" si="91"/>
        <v>8.8320000000000007</v>
      </c>
      <c r="AB97" s="793">
        <f t="shared" si="64"/>
        <v>3.5</v>
      </c>
      <c r="AC97" s="794">
        <f t="shared" si="65"/>
        <v>1.65</v>
      </c>
      <c r="AD97" s="795">
        <f t="shared" si="21"/>
        <v>0.35</v>
      </c>
      <c r="AE97" s="793">
        <f t="shared" si="66"/>
        <v>3.5</v>
      </c>
      <c r="AF97" s="794">
        <f t="shared" si="67"/>
        <v>1.65</v>
      </c>
      <c r="AG97" s="795">
        <f t="shared" si="22"/>
        <v>0.35</v>
      </c>
      <c r="AH97" s="773"/>
      <c r="AI97" s="796"/>
      <c r="AJ97" s="796"/>
      <c r="AK97" s="796"/>
      <c r="AL97" s="796">
        <v>83</v>
      </c>
      <c r="AM97" s="797">
        <v>0</v>
      </c>
      <c r="AN97" s="796"/>
      <c r="AO97" s="796">
        <v>396.47500000000002</v>
      </c>
      <c r="AP97" s="796">
        <v>396.10500000000002</v>
      </c>
      <c r="AQ97" s="796">
        <f t="shared" si="60"/>
        <v>0.37000000000000499</v>
      </c>
      <c r="AR97" s="796"/>
      <c r="AS97" s="796"/>
      <c r="AT97" s="796"/>
      <c r="AV97" s="797">
        <v>-6.2009999999999996</v>
      </c>
      <c r="AW97" s="797">
        <v>395.74099999999999</v>
      </c>
      <c r="AX97" s="797">
        <v>8.8320000000000007</v>
      </c>
      <c r="AY97" s="797">
        <v>394.18299999999999</v>
      </c>
      <c r="BA97" s="762">
        <f t="shared" si="92"/>
        <v>1660</v>
      </c>
      <c r="BC97" s="798">
        <f t="shared" si="93"/>
        <v>1660</v>
      </c>
      <c r="BD97" s="799">
        <f t="shared" si="61"/>
        <v>6979728.6619999995</v>
      </c>
      <c r="BE97" s="799">
        <f t="shared" si="62"/>
        <v>364376.06</v>
      </c>
      <c r="BF97" s="800"/>
      <c r="BJ97" s="801">
        <v>83</v>
      </c>
      <c r="BK97" s="802"/>
      <c r="BL97" s="802"/>
      <c r="BM97" s="803">
        <f t="shared" si="63"/>
        <v>1660</v>
      </c>
      <c r="BN97" s="804">
        <v>6979728.6618968798</v>
      </c>
      <c r="BO97" s="805">
        <v>364376.06046319602</v>
      </c>
    </row>
    <row r="98" spans="2:67" ht="15.75" x14ac:dyDescent="0.3">
      <c r="B98" s="806">
        <f t="shared" si="68"/>
        <v>1680</v>
      </c>
      <c r="C98" s="822">
        <f t="shared" si="69"/>
        <v>6979733.9189999998</v>
      </c>
      <c r="D98" s="823">
        <f t="shared" si="70"/>
        <v>364356.77</v>
      </c>
      <c r="E98" s="824">
        <f t="shared" si="71"/>
        <v>-5.8529999999999998</v>
      </c>
      <c r="F98" s="793">
        <f t="shared" si="72"/>
        <v>394.69299999999998</v>
      </c>
      <c r="G98" s="825">
        <f t="shared" si="73"/>
        <v>-5.15</v>
      </c>
      <c r="H98" s="793">
        <f t="shared" si="74"/>
        <v>395.15</v>
      </c>
      <c r="I98" s="826">
        <f t="shared" si="75"/>
        <v>1</v>
      </c>
      <c r="J98" s="825">
        <f t="shared" si="76"/>
        <v>-4.2</v>
      </c>
      <c r="K98" s="825">
        <f t="shared" si="77"/>
        <v>395.14</v>
      </c>
      <c r="L98" s="793">
        <f t="shared" si="78"/>
        <v>-3.85</v>
      </c>
      <c r="M98" s="793">
        <f t="shared" si="79"/>
        <v>394.73899999999998</v>
      </c>
      <c r="N98" s="793">
        <v>-2</v>
      </c>
      <c r="O98" s="824">
        <f t="shared" si="80"/>
        <v>394.81599999999997</v>
      </c>
      <c r="P98" s="793">
        <f t="shared" si="81"/>
        <v>394.84</v>
      </c>
      <c r="Q98" s="794">
        <f t="shared" si="82"/>
        <v>-2.4E-2</v>
      </c>
      <c r="R98" s="793">
        <v>1.54</v>
      </c>
      <c r="S98" s="793">
        <f t="shared" si="83"/>
        <v>394.875</v>
      </c>
      <c r="T98" s="793">
        <f t="shared" si="84"/>
        <v>3.85</v>
      </c>
      <c r="U98" s="825">
        <f t="shared" si="85"/>
        <v>395.28</v>
      </c>
      <c r="V98" s="822">
        <f t="shared" si="86"/>
        <v>4.2</v>
      </c>
      <c r="W98" s="826">
        <f t="shared" si="87"/>
        <v>1</v>
      </c>
      <c r="X98" s="793">
        <f t="shared" si="88"/>
        <v>395.29</v>
      </c>
      <c r="Y98" s="826">
        <f t="shared" si="89"/>
        <v>5.15</v>
      </c>
      <c r="Z98" s="793">
        <f t="shared" si="90"/>
        <v>394.22300000000001</v>
      </c>
      <c r="AA98" s="794">
        <f t="shared" si="91"/>
        <v>6.7439999999999998</v>
      </c>
      <c r="AB98" s="793">
        <f t="shared" si="64"/>
        <v>3.5</v>
      </c>
      <c r="AC98" s="794">
        <f t="shared" si="65"/>
        <v>1.65</v>
      </c>
      <c r="AD98" s="795">
        <f t="shared" si="21"/>
        <v>0.35</v>
      </c>
      <c r="AE98" s="793">
        <f t="shared" si="66"/>
        <v>3.5</v>
      </c>
      <c r="AF98" s="794">
        <f t="shared" si="67"/>
        <v>1.65</v>
      </c>
      <c r="AG98" s="795">
        <f t="shared" si="22"/>
        <v>0.35</v>
      </c>
      <c r="AH98" s="773"/>
      <c r="AI98" s="796"/>
      <c r="AJ98" s="796"/>
      <c r="AK98" s="796"/>
      <c r="AL98" s="796">
        <v>84</v>
      </c>
      <c r="AM98" s="797">
        <v>0</v>
      </c>
      <c r="AN98" s="796" t="s">
        <v>4311</v>
      </c>
      <c r="AO98" s="796">
        <v>395.166</v>
      </c>
      <c r="AP98" s="796">
        <v>394.84</v>
      </c>
      <c r="AQ98" s="796">
        <f t="shared" si="60"/>
        <v>0.32600000000002199</v>
      </c>
      <c r="AR98" s="796"/>
      <c r="AS98" s="796"/>
      <c r="AT98" s="796"/>
      <c r="AV98" s="797">
        <v>-5.8529999999999998</v>
      </c>
      <c r="AW98" s="797">
        <v>394.69299999999998</v>
      </c>
      <c r="AX98" s="797">
        <v>6.7439999999999998</v>
      </c>
      <c r="AY98" s="797">
        <v>394.22300000000001</v>
      </c>
      <c r="BA98" s="762">
        <f t="shared" si="92"/>
        <v>1680</v>
      </c>
      <c r="BC98" s="798">
        <f t="shared" si="93"/>
        <v>1680</v>
      </c>
      <c r="BD98" s="799">
        <f t="shared" si="61"/>
        <v>6979733.9189999998</v>
      </c>
      <c r="BE98" s="799">
        <f t="shared" si="62"/>
        <v>364356.766</v>
      </c>
      <c r="BF98" s="800"/>
      <c r="BJ98" s="801">
        <v>84</v>
      </c>
      <c r="BK98" s="802"/>
      <c r="BL98" s="802"/>
      <c r="BM98" s="803">
        <f t="shared" si="63"/>
        <v>1680</v>
      </c>
      <c r="BN98" s="804">
        <v>6979733.9185557496</v>
      </c>
      <c r="BO98" s="805">
        <v>364356.76579524903</v>
      </c>
    </row>
    <row r="99" spans="2:67" ht="15.75" x14ac:dyDescent="0.3">
      <c r="B99" s="806">
        <f t="shared" si="68"/>
        <v>1700</v>
      </c>
      <c r="C99" s="822">
        <f t="shared" si="69"/>
        <v>6979738.5769999996</v>
      </c>
      <c r="D99" s="823">
        <f t="shared" si="70"/>
        <v>364337.32</v>
      </c>
      <c r="E99" s="824">
        <f t="shared" si="71"/>
        <v>-5.2969999999999997</v>
      </c>
      <c r="F99" s="793">
        <f t="shared" si="72"/>
        <v>393.67599999999999</v>
      </c>
      <c r="G99" s="825">
        <f t="shared" si="73"/>
        <v>-5.15</v>
      </c>
      <c r="H99" s="793">
        <f t="shared" si="74"/>
        <v>393.44</v>
      </c>
      <c r="I99" s="826">
        <f t="shared" si="75"/>
        <v>1</v>
      </c>
      <c r="J99" s="825">
        <f t="shared" si="76"/>
        <v>-4.2</v>
      </c>
      <c r="K99" s="825">
        <f t="shared" si="77"/>
        <v>393.43</v>
      </c>
      <c r="L99" s="793">
        <f t="shared" si="78"/>
        <v>-3.85</v>
      </c>
      <c r="M99" s="793">
        <f t="shared" si="79"/>
        <v>393.03199999999998</v>
      </c>
      <c r="N99" s="793">
        <v>-2</v>
      </c>
      <c r="O99" s="824">
        <f t="shared" si="80"/>
        <v>393.10899999999998</v>
      </c>
      <c r="P99" s="793">
        <f t="shared" si="81"/>
        <v>393.20800000000003</v>
      </c>
      <c r="Q99" s="794">
        <f t="shared" si="82"/>
        <v>-9.9000000000000005E-2</v>
      </c>
      <c r="R99" s="793">
        <v>-2</v>
      </c>
      <c r="S99" s="793">
        <f t="shared" si="83"/>
        <v>393.03199999999998</v>
      </c>
      <c r="T99" s="793">
        <f t="shared" si="84"/>
        <v>3.85</v>
      </c>
      <c r="U99" s="825">
        <f t="shared" si="85"/>
        <v>393.43</v>
      </c>
      <c r="V99" s="822">
        <f t="shared" si="86"/>
        <v>4.2</v>
      </c>
      <c r="W99" s="826">
        <f t="shared" si="87"/>
        <v>1</v>
      </c>
      <c r="X99" s="793">
        <f t="shared" si="88"/>
        <v>393.44</v>
      </c>
      <c r="Y99" s="826">
        <f t="shared" si="89"/>
        <v>5.15</v>
      </c>
      <c r="Z99" s="793">
        <f t="shared" si="90"/>
        <v>392.14</v>
      </c>
      <c r="AA99" s="794">
        <f t="shared" si="91"/>
        <v>7.1210000000000004</v>
      </c>
      <c r="AB99" s="793">
        <f t="shared" si="64"/>
        <v>3.5</v>
      </c>
      <c r="AC99" s="794">
        <f t="shared" si="65"/>
        <v>1.65</v>
      </c>
      <c r="AD99" s="795">
        <f t="shared" si="21"/>
        <v>0.35</v>
      </c>
      <c r="AE99" s="793">
        <f t="shared" si="66"/>
        <v>3.5</v>
      </c>
      <c r="AF99" s="794">
        <f t="shared" si="67"/>
        <v>1.65</v>
      </c>
      <c r="AG99" s="795">
        <f t="shared" si="22"/>
        <v>0.35</v>
      </c>
      <c r="AH99" s="773"/>
      <c r="AI99" s="796"/>
      <c r="AJ99" s="796"/>
      <c r="AK99" s="796"/>
      <c r="AL99" s="796">
        <v>85</v>
      </c>
      <c r="AM99" s="797">
        <v>0</v>
      </c>
      <c r="AN99" s="796"/>
      <c r="AO99" s="796">
        <v>393.459</v>
      </c>
      <c r="AP99" s="796">
        <v>393.20800000000003</v>
      </c>
      <c r="AQ99" s="796">
        <f t="shared" si="60"/>
        <v>0.25099999999997602</v>
      </c>
      <c r="AR99" s="796"/>
      <c r="AS99" s="796"/>
      <c r="AT99" s="796"/>
      <c r="AV99" s="797">
        <v>-5.2969999999999997</v>
      </c>
      <c r="AW99" s="797">
        <v>393.67599999999999</v>
      </c>
      <c r="AX99" s="797">
        <v>7.1210000000000004</v>
      </c>
      <c r="AY99" s="797">
        <v>392.14</v>
      </c>
      <c r="BA99" s="762">
        <f t="shared" si="92"/>
        <v>1700</v>
      </c>
      <c r="BC99" s="798">
        <f t="shared" si="93"/>
        <v>1700</v>
      </c>
      <c r="BD99" s="799">
        <f t="shared" si="61"/>
        <v>6979738.5769999996</v>
      </c>
      <c r="BE99" s="799">
        <f t="shared" si="62"/>
        <v>364337.31599999999</v>
      </c>
      <c r="BF99" s="800"/>
      <c r="BJ99" s="801">
        <v>85</v>
      </c>
      <c r="BK99" s="802"/>
      <c r="BL99" s="802"/>
      <c r="BM99" s="803">
        <f t="shared" si="63"/>
        <v>1700</v>
      </c>
      <c r="BN99" s="804">
        <v>6979738.57650798</v>
      </c>
      <c r="BO99" s="805">
        <v>364337.315785766</v>
      </c>
    </row>
    <row r="100" spans="2:67" ht="16.5" thickBot="1" x14ac:dyDescent="0.35">
      <c r="B100" s="827">
        <f t="shared" si="68"/>
        <v>1703.61</v>
      </c>
      <c r="C100" s="828">
        <f t="shared" si="69"/>
        <v>6979738.5769999996</v>
      </c>
      <c r="D100" s="829">
        <f t="shared" si="70"/>
        <v>364337.32</v>
      </c>
      <c r="E100" s="830">
        <f t="shared" si="71"/>
        <v>-5.2370000000000001</v>
      </c>
      <c r="F100" s="831">
        <f t="shared" si="72"/>
        <v>393.27600000000001</v>
      </c>
      <c r="G100" s="832">
        <f t="shared" si="73"/>
        <v>-5.15</v>
      </c>
      <c r="H100" s="831">
        <f t="shared" si="74"/>
        <v>393.13</v>
      </c>
      <c r="I100" s="833">
        <f t="shared" si="75"/>
        <v>1</v>
      </c>
      <c r="J100" s="832">
        <f t="shared" si="76"/>
        <v>-4.2</v>
      </c>
      <c r="K100" s="832">
        <f t="shared" si="77"/>
        <v>393.12</v>
      </c>
      <c r="L100" s="831">
        <f t="shared" si="78"/>
        <v>-3.85</v>
      </c>
      <c r="M100" s="831">
        <f t="shared" si="79"/>
        <v>392.72300000000001</v>
      </c>
      <c r="N100" s="831">
        <v>-2</v>
      </c>
      <c r="O100" s="830">
        <f t="shared" si="80"/>
        <v>392.8</v>
      </c>
      <c r="P100" s="831">
        <f t="shared" si="81"/>
        <v>393.15</v>
      </c>
      <c r="Q100" s="834">
        <f t="shared" si="82"/>
        <v>-0.35</v>
      </c>
      <c r="R100" s="831">
        <v>-2</v>
      </c>
      <c r="S100" s="831">
        <f t="shared" si="83"/>
        <v>392.72300000000001</v>
      </c>
      <c r="T100" s="831">
        <f t="shared" si="84"/>
        <v>3.85</v>
      </c>
      <c r="U100" s="832">
        <f t="shared" si="85"/>
        <v>393.12</v>
      </c>
      <c r="V100" s="828">
        <f t="shared" si="86"/>
        <v>4.2</v>
      </c>
      <c r="W100" s="833">
        <f t="shared" si="87"/>
        <v>1</v>
      </c>
      <c r="X100" s="831">
        <f t="shared" si="88"/>
        <v>393.13</v>
      </c>
      <c r="Y100" s="833">
        <f t="shared" si="89"/>
        <v>5.15</v>
      </c>
      <c r="Z100" s="831">
        <f t="shared" si="90"/>
        <v>389.37200000000001</v>
      </c>
      <c r="AA100" s="834">
        <f t="shared" si="91"/>
        <v>10.808999999999999</v>
      </c>
      <c r="AB100" s="793">
        <f t="shared" si="64"/>
        <v>3.5</v>
      </c>
      <c r="AC100" s="794">
        <f t="shared" si="65"/>
        <v>1.65</v>
      </c>
      <c r="AD100" s="795">
        <f t="shared" si="21"/>
        <v>0.35</v>
      </c>
      <c r="AE100" s="793">
        <f t="shared" si="66"/>
        <v>3.5</v>
      </c>
      <c r="AF100" s="794">
        <f t="shared" si="67"/>
        <v>1.65</v>
      </c>
      <c r="AG100" s="795">
        <f t="shared" si="22"/>
        <v>0.35</v>
      </c>
      <c r="AH100" s="773"/>
      <c r="AI100" s="796"/>
      <c r="AJ100" s="796"/>
      <c r="AK100" s="796"/>
      <c r="AL100" s="796">
        <v>85</v>
      </c>
      <c r="AM100" s="797">
        <v>3.613</v>
      </c>
      <c r="AN100" s="796"/>
      <c r="AO100" s="796">
        <v>393.15</v>
      </c>
      <c r="AP100" s="796">
        <v>393.15</v>
      </c>
      <c r="AQ100" s="796">
        <f t="shared" si="60"/>
        <v>0</v>
      </c>
      <c r="AR100" s="796"/>
      <c r="AS100" s="796"/>
      <c r="AT100" s="796"/>
      <c r="AV100" s="797">
        <v>-5.2370000000000001</v>
      </c>
      <c r="AW100" s="797">
        <v>393.27600000000001</v>
      </c>
      <c r="AX100" s="797">
        <v>10.808999999999999</v>
      </c>
      <c r="AY100" s="797">
        <v>389.37200000000001</v>
      </c>
      <c r="BA100" s="762">
        <f t="shared" si="92"/>
        <v>1703.61</v>
      </c>
      <c r="BC100" s="798">
        <f t="shared" si="93"/>
        <v>1703.61</v>
      </c>
      <c r="BD100" s="799">
        <f t="shared" si="61"/>
        <v>6979738.5769999996</v>
      </c>
      <c r="BE100" s="799">
        <f t="shared" si="62"/>
        <v>364337.31599999999</v>
      </c>
      <c r="BF100" s="800"/>
      <c r="BJ100" s="801">
        <v>85</v>
      </c>
      <c r="BK100" s="802">
        <v>3.613</v>
      </c>
      <c r="BL100" s="802"/>
      <c r="BM100" s="803">
        <f t="shared" si="63"/>
        <v>1703.6130000000001</v>
      </c>
      <c r="BN100" s="804">
        <v>6979739.4166436</v>
      </c>
      <c r="BO100" s="805">
        <v>364333.80145141802</v>
      </c>
    </row>
    <row r="101" spans="2:67" x14ac:dyDescent="0.25">
      <c r="BG101" s="760"/>
    </row>
  </sheetData>
  <mergeCells count="33">
    <mergeCell ref="B9:AA9"/>
    <mergeCell ref="B11:D11"/>
    <mergeCell ref="E11:N11"/>
    <mergeCell ref="O11:Q11"/>
    <mergeCell ref="R11:AA11"/>
    <mergeCell ref="AL11:AQ11"/>
    <mergeCell ref="AR11:AT11"/>
    <mergeCell ref="AV11:AW11"/>
    <mergeCell ref="AX11:AY11"/>
    <mergeCell ref="B12:B13"/>
    <mergeCell ref="C12:D12"/>
    <mergeCell ref="E12:F12"/>
    <mergeCell ref="G12:I12"/>
    <mergeCell ref="J12:K12"/>
    <mergeCell ref="L12:N12"/>
    <mergeCell ref="AI11:AK11"/>
    <mergeCell ref="AO12:AO13"/>
    <mergeCell ref="O12:Q12"/>
    <mergeCell ref="R12:T12"/>
    <mergeCell ref="U12:V12"/>
    <mergeCell ref="W12:Y12"/>
    <mergeCell ref="Z12:AA12"/>
    <mergeCell ref="AB12:AC12"/>
    <mergeCell ref="AE12:AF12"/>
    <mergeCell ref="AI12:AK12"/>
    <mergeCell ref="AL12:AL13"/>
    <mergeCell ref="AV12:AW12"/>
    <mergeCell ref="AX12:AY12"/>
    <mergeCell ref="AM12:AM13"/>
    <mergeCell ref="AN12:AN13"/>
    <mergeCell ref="AP12:AP13"/>
    <mergeCell ref="AQ12:AQ13"/>
    <mergeCell ref="AR12:AT12"/>
  </mergeCells>
  <printOptions horizontalCentered="1"/>
  <pageMargins left="0.35433070866141736" right="0.47244094488188981" top="1.1417322834645669" bottom="0.78740157480314965" header="0.51181102362204722" footer="0.31496062992125984"/>
  <pageSetup paperSize="8" scale="94" fitToHeight="0" orientation="landscape" r:id="rId1"/>
  <headerFooter>
    <oddHeader>&amp;C&amp;G</oddHead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00B050"/>
    <pageSetUpPr fitToPage="1"/>
  </sheetPr>
  <dimension ref="A1:AJ1277"/>
  <sheetViews>
    <sheetView tabSelected="1" view="pageBreakPreview" zoomScaleNormal="100" zoomScaleSheetLayoutView="100" workbookViewId="0"/>
  </sheetViews>
  <sheetFormatPr defaultRowHeight="12.75" x14ac:dyDescent="0.25"/>
  <cols>
    <col min="1" max="1" width="9.140625" style="329"/>
    <col min="2" max="2" width="9.140625" style="192"/>
    <col min="3" max="3" width="14.42578125" style="192" customWidth="1"/>
    <col min="4" max="4" width="70.7109375" style="192" customWidth="1"/>
    <col min="5" max="5" width="28" style="192" customWidth="1"/>
    <col min="6" max="6" width="12.85546875" style="192" customWidth="1"/>
    <col min="7" max="7" width="9" style="389" bestFit="1" customWidth="1"/>
    <col min="8" max="8" width="9.140625" style="329" bestFit="1" customWidth="1"/>
    <col min="9" max="9" width="5.5703125" style="329" bestFit="1" customWidth="1"/>
    <col min="10" max="10" width="46.28515625" style="329" customWidth="1"/>
    <col min="11" max="11" width="11.28515625" style="194" bestFit="1" customWidth="1"/>
    <col min="12" max="12" width="15.42578125" style="194" bestFit="1" customWidth="1"/>
    <col min="13" max="13" width="15.28515625" style="194" customWidth="1"/>
    <col min="14" max="14" width="15.28515625" style="194" bestFit="1" customWidth="1"/>
    <col min="15" max="17" width="3" style="194" bestFit="1" customWidth="1"/>
    <col min="18" max="20" width="2" style="194" bestFit="1" customWidth="1"/>
    <col min="21" max="21" width="3" style="194" bestFit="1" customWidth="1"/>
    <col min="22" max="22" width="2" style="194" bestFit="1" customWidth="1"/>
    <col min="23" max="23" width="3" style="194" bestFit="1" customWidth="1"/>
    <col min="24" max="24" width="2" style="194" bestFit="1" customWidth="1"/>
    <col min="25" max="25" width="3" style="194" bestFit="1" customWidth="1"/>
    <col min="26" max="27" width="2" style="194" bestFit="1" customWidth="1"/>
    <col min="28" max="30" width="3" style="194" bestFit="1" customWidth="1"/>
    <col min="31" max="31" width="2" style="194" bestFit="1" customWidth="1"/>
    <col min="32" max="33" width="3" style="194" bestFit="1" customWidth="1"/>
    <col min="34" max="35" width="2" style="194" bestFit="1" customWidth="1"/>
    <col min="36" max="37" width="3" style="194" bestFit="1" customWidth="1"/>
    <col min="38" max="256" width="9.140625" style="194"/>
    <col min="257" max="257" width="8.28515625" style="194" customWidth="1"/>
    <col min="258" max="258" width="14.85546875" style="194" customWidth="1"/>
    <col min="259" max="261" width="9.5703125" style="194" customWidth="1"/>
    <col min="262" max="262" width="11" style="194" customWidth="1"/>
    <col min="263" max="264" width="9.85546875" style="194" customWidth="1"/>
    <col min="265" max="265" width="11.7109375" style="194" customWidth="1"/>
    <col min="266" max="267" width="9.28515625" style="194" bestFit="1" customWidth="1"/>
    <col min="268" max="268" width="7.140625" style="194" bestFit="1" customWidth="1"/>
    <col min="269" max="269" width="8.140625" style="194" bestFit="1" customWidth="1"/>
    <col min="270" max="270" width="9.85546875" style="194" bestFit="1" customWidth="1"/>
    <col min="271" max="271" width="10" style="194" bestFit="1" customWidth="1"/>
    <col min="272" max="272" width="15.28515625" style="194" bestFit="1" customWidth="1"/>
    <col min="273" max="273" width="5.7109375" style="194" bestFit="1" customWidth="1"/>
    <col min="274" max="274" width="17.28515625" style="194" bestFit="1" customWidth="1"/>
    <col min="275" max="512" width="9.140625" style="194"/>
    <col min="513" max="513" width="8.28515625" style="194" customWidth="1"/>
    <col min="514" max="514" width="14.85546875" style="194" customWidth="1"/>
    <col min="515" max="517" width="9.5703125" style="194" customWidth="1"/>
    <col min="518" max="518" width="11" style="194" customWidth="1"/>
    <col min="519" max="520" width="9.85546875" style="194" customWidth="1"/>
    <col min="521" max="521" width="11.7109375" style="194" customWidth="1"/>
    <col min="522" max="523" width="9.28515625" style="194" bestFit="1" customWidth="1"/>
    <col min="524" max="524" width="7.140625" style="194" bestFit="1" customWidth="1"/>
    <col min="525" max="525" width="8.140625" style="194" bestFit="1" customWidth="1"/>
    <col min="526" max="526" width="9.85546875" style="194" bestFit="1" customWidth="1"/>
    <col min="527" max="527" width="10" style="194" bestFit="1" customWidth="1"/>
    <col min="528" max="528" width="15.28515625" style="194" bestFit="1" customWidth="1"/>
    <col min="529" max="529" width="5.7109375" style="194" bestFit="1" customWidth="1"/>
    <col min="530" max="530" width="17.28515625" style="194" bestFit="1" customWidth="1"/>
    <col min="531" max="768" width="9.140625" style="194"/>
    <col min="769" max="769" width="8.28515625" style="194" customWidth="1"/>
    <col min="770" max="770" width="14.85546875" style="194" customWidth="1"/>
    <col min="771" max="773" width="9.5703125" style="194" customWidth="1"/>
    <col min="774" max="774" width="11" style="194" customWidth="1"/>
    <col min="775" max="776" width="9.85546875" style="194" customWidth="1"/>
    <col min="777" max="777" width="11.7109375" style="194" customWidth="1"/>
    <col min="778" max="779" width="9.28515625" style="194" bestFit="1" customWidth="1"/>
    <col min="780" max="780" width="7.140625" style="194" bestFit="1" customWidth="1"/>
    <col min="781" max="781" width="8.140625" style="194" bestFit="1" customWidth="1"/>
    <col min="782" max="782" width="9.85546875" style="194" bestFit="1" customWidth="1"/>
    <col min="783" max="783" width="10" style="194" bestFit="1" customWidth="1"/>
    <col min="784" max="784" width="15.28515625" style="194" bestFit="1" customWidth="1"/>
    <col min="785" max="785" width="5.7109375" style="194" bestFit="1" customWidth="1"/>
    <col min="786" max="786" width="17.28515625" style="194" bestFit="1" customWidth="1"/>
    <col min="787" max="1024" width="9.140625" style="194"/>
    <col min="1025" max="1025" width="8.28515625" style="194" customWidth="1"/>
    <col min="1026" max="1026" width="14.85546875" style="194" customWidth="1"/>
    <col min="1027" max="1029" width="9.5703125" style="194" customWidth="1"/>
    <col min="1030" max="1030" width="11" style="194" customWidth="1"/>
    <col min="1031" max="1032" width="9.85546875" style="194" customWidth="1"/>
    <col min="1033" max="1033" width="11.7109375" style="194" customWidth="1"/>
    <col min="1034" max="1035" width="9.28515625" style="194" bestFit="1" customWidth="1"/>
    <col min="1036" max="1036" width="7.140625" style="194" bestFit="1" customWidth="1"/>
    <col min="1037" max="1037" width="8.140625" style="194" bestFit="1" customWidth="1"/>
    <col min="1038" max="1038" width="9.85546875" style="194" bestFit="1" customWidth="1"/>
    <col min="1039" max="1039" width="10" style="194" bestFit="1" customWidth="1"/>
    <col min="1040" max="1040" width="15.28515625" style="194" bestFit="1" customWidth="1"/>
    <col min="1041" max="1041" width="5.7109375" style="194" bestFit="1" customWidth="1"/>
    <col min="1042" max="1042" width="17.28515625" style="194" bestFit="1" customWidth="1"/>
    <col min="1043" max="1280" width="9.140625" style="194"/>
    <col min="1281" max="1281" width="8.28515625" style="194" customWidth="1"/>
    <col min="1282" max="1282" width="14.85546875" style="194" customWidth="1"/>
    <col min="1283" max="1285" width="9.5703125" style="194" customWidth="1"/>
    <col min="1286" max="1286" width="11" style="194" customWidth="1"/>
    <col min="1287" max="1288" width="9.85546875" style="194" customWidth="1"/>
    <col min="1289" max="1289" width="11.7109375" style="194" customWidth="1"/>
    <col min="1290" max="1291" width="9.28515625" style="194" bestFit="1" customWidth="1"/>
    <col min="1292" max="1292" width="7.140625" style="194" bestFit="1" customWidth="1"/>
    <col min="1293" max="1293" width="8.140625" style="194" bestFit="1" customWidth="1"/>
    <col min="1294" max="1294" width="9.85546875" style="194" bestFit="1" customWidth="1"/>
    <col min="1295" max="1295" width="10" style="194" bestFit="1" customWidth="1"/>
    <col min="1296" max="1296" width="15.28515625" style="194" bestFit="1" customWidth="1"/>
    <col min="1297" max="1297" width="5.7109375" style="194" bestFit="1" customWidth="1"/>
    <col min="1298" max="1298" width="17.28515625" style="194" bestFit="1" customWidth="1"/>
    <col min="1299" max="1536" width="9.140625" style="194"/>
    <col min="1537" max="1537" width="8.28515625" style="194" customWidth="1"/>
    <col min="1538" max="1538" width="14.85546875" style="194" customWidth="1"/>
    <col min="1539" max="1541" width="9.5703125" style="194" customWidth="1"/>
    <col min="1542" max="1542" width="11" style="194" customWidth="1"/>
    <col min="1543" max="1544" width="9.85546875" style="194" customWidth="1"/>
    <col min="1545" max="1545" width="11.7109375" style="194" customWidth="1"/>
    <col min="1546" max="1547" width="9.28515625" style="194" bestFit="1" customWidth="1"/>
    <col min="1548" max="1548" width="7.140625" style="194" bestFit="1" customWidth="1"/>
    <col min="1549" max="1549" width="8.140625" style="194" bestFit="1" customWidth="1"/>
    <col min="1550" max="1550" width="9.85546875" style="194" bestFit="1" customWidth="1"/>
    <col min="1551" max="1551" width="10" style="194" bestFit="1" customWidth="1"/>
    <col min="1552" max="1552" width="15.28515625" style="194" bestFit="1" customWidth="1"/>
    <col min="1553" max="1553" width="5.7109375" style="194" bestFit="1" customWidth="1"/>
    <col min="1554" max="1554" width="17.28515625" style="194" bestFit="1" customWidth="1"/>
    <col min="1555" max="1792" width="9.140625" style="194"/>
    <col min="1793" max="1793" width="8.28515625" style="194" customWidth="1"/>
    <col min="1794" max="1794" width="14.85546875" style="194" customWidth="1"/>
    <col min="1795" max="1797" width="9.5703125" style="194" customWidth="1"/>
    <col min="1798" max="1798" width="11" style="194" customWidth="1"/>
    <col min="1799" max="1800" width="9.85546875" style="194" customWidth="1"/>
    <col min="1801" max="1801" width="11.7109375" style="194" customWidth="1"/>
    <col min="1802" max="1803" width="9.28515625" style="194" bestFit="1" customWidth="1"/>
    <col min="1804" max="1804" width="7.140625" style="194" bestFit="1" customWidth="1"/>
    <col min="1805" max="1805" width="8.140625" style="194" bestFit="1" customWidth="1"/>
    <col min="1806" max="1806" width="9.85546875" style="194" bestFit="1" customWidth="1"/>
    <col min="1807" max="1807" width="10" style="194" bestFit="1" customWidth="1"/>
    <col min="1808" max="1808" width="15.28515625" style="194" bestFit="1" customWidth="1"/>
    <col min="1809" max="1809" width="5.7109375" style="194" bestFit="1" customWidth="1"/>
    <col min="1810" max="1810" width="17.28515625" style="194" bestFit="1" customWidth="1"/>
    <col min="1811" max="2048" width="9.140625" style="194"/>
    <col min="2049" max="2049" width="8.28515625" style="194" customWidth="1"/>
    <col min="2050" max="2050" width="14.85546875" style="194" customWidth="1"/>
    <col min="2051" max="2053" width="9.5703125" style="194" customWidth="1"/>
    <col min="2054" max="2054" width="11" style="194" customWidth="1"/>
    <col min="2055" max="2056" width="9.85546875" style="194" customWidth="1"/>
    <col min="2057" max="2057" width="11.7109375" style="194" customWidth="1"/>
    <col min="2058" max="2059" width="9.28515625" style="194" bestFit="1" customWidth="1"/>
    <col min="2060" max="2060" width="7.140625" style="194" bestFit="1" customWidth="1"/>
    <col min="2061" max="2061" width="8.140625" style="194" bestFit="1" customWidth="1"/>
    <col min="2062" max="2062" width="9.85546875" style="194" bestFit="1" customWidth="1"/>
    <col min="2063" max="2063" width="10" style="194" bestFit="1" customWidth="1"/>
    <col min="2064" max="2064" width="15.28515625" style="194" bestFit="1" customWidth="1"/>
    <col min="2065" max="2065" width="5.7109375" style="194" bestFit="1" customWidth="1"/>
    <col min="2066" max="2066" width="17.28515625" style="194" bestFit="1" customWidth="1"/>
    <col min="2067" max="2304" width="9.140625" style="194"/>
    <col min="2305" max="2305" width="8.28515625" style="194" customWidth="1"/>
    <col min="2306" max="2306" width="14.85546875" style="194" customWidth="1"/>
    <col min="2307" max="2309" width="9.5703125" style="194" customWidth="1"/>
    <col min="2310" max="2310" width="11" style="194" customWidth="1"/>
    <col min="2311" max="2312" width="9.85546875" style="194" customWidth="1"/>
    <col min="2313" max="2313" width="11.7109375" style="194" customWidth="1"/>
    <col min="2314" max="2315" width="9.28515625" style="194" bestFit="1" customWidth="1"/>
    <col min="2316" max="2316" width="7.140625" style="194" bestFit="1" customWidth="1"/>
    <col min="2317" max="2317" width="8.140625" style="194" bestFit="1" customWidth="1"/>
    <col min="2318" max="2318" width="9.85546875" style="194" bestFit="1" customWidth="1"/>
    <col min="2319" max="2319" width="10" style="194" bestFit="1" customWidth="1"/>
    <col min="2320" max="2320" width="15.28515625" style="194" bestFit="1" customWidth="1"/>
    <col min="2321" max="2321" width="5.7109375" style="194" bestFit="1" customWidth="1"/>
    <col min="2322" max="2322" width="17.28515625" style="194" bestFit="1" customWidth="1"/>
    <col min="2323" max="2560" width="9.140625" style="194"/>
    <col min="2561" max="2561" width="8.28515625" style="194" customWidth="1"/>
    <col min="2562" max="2562" width="14.85546875" style="194" customWidth="1"/>
    <col min="2563" max="2565" width="9.5703125" style="194" customWidth="1"/>
    <col min="2566" max="2566" width="11" style="194" customWidth="1"/>
    <col min="2567" max="2568" width="9.85546875" style="194" customWidth="1"/>
    <col min="2569" max="2569" width="11.7109375" style="194" customWidth="1"/>
    <col min="2570" max="2571" width="9.28515625" style="194" bestFit="1" customWidth="1"/>
    <col min="2572" max="2572" width="7.140625" style="194" bestFit="1" customWidth="1"/>
    <col min="2573" max="2573" width="8.140625" style="194" bestFit="1" customWidth="1"/>
    <col min="2574" max="2574" width="9.85546875" style="194" bestFit="1" customWidth="1"/>
    <col min="2575" max="2575" width="10" style="194" bestFit="1" customWidth="1"/>
    <col min="2576" max="2576" width="15.28515625" style="194" bestFit="1" customWidth="1"/>
    <col min="2577" max="2577" width="5.7109375" style="194" bestFit="1" customWidth="1"/>
    <col min="2578" max="2578" width="17.28515625" style="194" bestFit="1" customWidth="1"/>
    <col min="2579" max="2816" width="9.140625" style="194"/>
    <col min="2817" max="2817" width="8.28515625" style="194" customWidth="1"/>
    <col min="2818" max="2818" width="14.85546875" style="194" customWidth="1"/>
    <col min="2819" max="2821" width="9.5703125" style="194" customWidth="1"/>
    <col min="2822" max="2822" width="11" style="194" customWidth="1"/>
    <col min="2823" max="2824" width="9.85546875" style="194" customWidth="1"/>
    <col min="2825" max="2825" width="11.7109375" style="194" customWidth="1"/>
    <col min="2826" max="2827" width="9.28515625" style="194" bestFit="1" customWidth="1"/>
    <col min="2828" max="2828" width="7.140625" style="194" bestFit="1" customWidth="1"/>
    <col min="2829" max="2829" width="8.140625" style="194" bestFit="1" customWidth="1"/>
    <col min="2830" max="2830" width="9.85546875" style="194" bestFit="1" customWidth="1"/>
    <col min="2831" max="2831" width="10" style="194" bestFit="1" customWidth="1"/>
    <col min="2832" max="2832" width="15.28515625" style="194" bestFit="1" customWidth="1"/>
    <col min="2833" max="2833" width="5.7109375" style="194" bestFit="1" customWidth="1"/>
    <col min="2834" max="2834" width="17.28515625" style="194" bestFit="1" customWidth="1"/>
    <col min="2835" max="3072" width="9.140625" style="194"/>
    <col min="3073" max="3073" width="8.28515625" style="194" customWidth="1"/>
    <col min="3074" max="3074" width="14.85546875" style="194" customWidth="1"/>
    <col min="3075" max="3077" width="9.5703125" style="194" customWidth="1"/>
    <col min="3078" max="3078" width="11" style="194" customWidth="1"/>
    <col min="3079" max="3080" width="9.85546875" style="194" customWidth="1"/>
    <col min="3081" max="3081" width="11.7109375" style="194" customWidth="1"/>
    <col min="3082" max="3083" width="9.28515625" style="194" bestFit="1" customWidth="1"/>
    <col min="3084" max="3084" width="7.140625" style="194" bestFit="1" customWidth="1"/>
    <col min="3085" max="3085" width="8.140625" style="194" bestFit="1" customWidth="1"/>
    <col min="3086" max="3086" width="9.85546875" style="194" bestFit="1" customWidth="1"/>
    <col min="3087" max="3087" width="10" style="194" bestFit="1" customWidth="1"/>
    <col min="3088" max="3088" width="15.28515625" style="194" bestFit="1" customWidth="1"/>
    <col min="3089" max="3089" width="5.7109375" style="194" bestFit="1" customWidth="1"/>
    <col min="3090" max="3090" width="17.28515625" style="194" bestFit="1" customWidth="1"/>
    <col min="3091" max="3328" width="9.140625" style="194"/>
    <col min="3329" max="3329" width="8.28515625" style="194" customWidth="1"/>
    <col min="3330" max="3330" width="14.85546875" style="194" customWidth="1"/>
    <col min="3331" max="3333" width="9.5703125" style="194" customWidth="1"/>
    <col min="3334" max="3334" width="11" style="194" customWidth="1"/>
    <col min="3335" max="3336" width="9.85546875" style="194" customWidth="1"/>
    <col min="3337" max="3337" width="11.7109375" style="194" customWidth="1"/>
    <col min="3338" max="3339" width="9.28515625" style="194" bestFit="1" customWidth="1"/>
    <col min="3340" max="3340" width="7.140625" style="194" bestFit="1" customWidth="1"/>
    <col min="3341" max="3341" width="8.140625" style="194" bestFit="1" customWidth="1"/>
    <col min="3342" max="3342" width="9.85546875" style="194" bestFit="1" customWidth="1"/>
    <col min="3343" max="3343" width="10" style="194" bestFit="1" customWidth="1"/>
    <col min="3344" max="3344" width="15.28515625" style="194" bestFit="1" customWidth="1"/>
    <col min="3345" max="3345" width="5.7109375" style="194" bestFit="1" customWidth="1"/>
    <col min="3346" max="3346" width="17.28515625" style="194" bestFit="1" customWidth="1"/>
    <col min="3347" max="3584" width="9.140625" style="194"/>
    <col min="3585" max="3585" width="8.28515625" style="194" customWidth="1"/>
    <col min="3586" max="3586" width="14.85546875" style="194" customWidth="1"/>
    <col min="3587" max="3589" width="9.5703125" style="194" customWidth="1"/>
    <col min="3590" max="3590" width="11" style="194" customWidth="1"/>
    <col min="3591" max="3592" width="9.85546875" style="194" customWidth="1"/>
    <col min="3593" max="3593" width="11.7109375" style="194" customWidth="1"/>
    <col min="3594" max="3595" width="9.28515625" style="194" bestFit="1" customWidth="1"/>
    <col min="3596" max="3596" width="7.140625" style="194" bestFit="1" customWidth="1"/>
    <col min="3597" max="3597" width="8.140625" style="194" bestFit="1" customWidth="1"/>
    <col min="3598" max="3598" width="9.85546875" style="194" bestFit="1" customWidth="1"/>
    <col min="3599" max="3599" width="10" style="194" bestFit="1" customWidth="1"/>
    <col min="3600" max="3600" width="15.28515625" style="194" bestFit="1" customWidth="1"/>
    <col min="3601" max="3601" width="5.7109375" style="194" bestFit="1" customWidth="1"/>
    <col min="3602" max="3602" width="17.28515625" style="194" bestFit="1" customWidth="1"/>
    <col min="3603" max="3840" width="9.140625" style="194"/>
    <col min="3841" max="3841" width="8.28515625" style="194" customWidth="1"/>
    <col min="3842" max="3842" width="14.85546875" style="194" customWidth="1"/>
    <col min="3843" max="3845" width="9.5703125" style="194" customWidth="1"/>
    <col min="3846" max="3846" width="11" style="194" customWidth="1"/>
    <col min="3847" max="3848" width="9.85546875" style="194" customWidth="1"/>
    <col min="3849" max="3849" width="11.7109375" style="194" customWidth="1"/>
    <col min="3850" max="3851" width="9.28515625" style="194" bestFit="1" customWidth="1"/>
    <col min="3852" max="3852" width="7.140625" style="194" bestFit="1" customWidth="1"/>
    <col min="3853" max="3853" width="8.140625" style="194" bestFit="1" customWidth="1"/>
    <col min="3854" max="3854" width="9.85546875" style="194" bestFit="1" customWidth="1"/>
    <col min="3855" max="3855" width="10" style="194" bestFit="1" customWidth="1"/>
    <col min="3856" max="3856" width="15.28515625" style="194" bestFit="1" customWidth="1"/>
    <col min="3857" max="3857" width="5.7109375" style="194" bestFit="1" customWidth="1"/>
    <col min="3858" max="3858" width="17.28515625" style="194" bestFit="1" customWidth="1"/>
    <col min="3859" max="4096" width="9.140625" style="194"/>
    <col min="4097" max="4097" width="8.28515625" style="194" customWidth="1"/>
    <col min="4098" max="4098" width="14.85546875" style="194" customWidth="1"/>
    <col min="4099" max="4101" width="9.5703125" style="194" customWidth="1"/>
    <col min="4102" max="4102" width="11" style="194" customWidth="1"/>
    <col min="4103" max="4104" width="9.85546875" style="194" customWidth="1"/>
    <col min="4105" max="4105" width="11.7109375" style="194" customWidth="1"/>
    <col min="4106" max="4107" width="9.28515625" style="194" bestFit="1" customWidth="1"/>
    <col min="4108" max="4108" width="7.140625" style="194" bestFit="1" customWidth="1"/>
    <col min="4109" max="4109" width="8.140625" style="194" bestFit="1" customWidth="1"/>
    <col min="4110" max="4110" width="9.85546875" style="194" bestFit="1" customWidth="1"/>
    <col min="4111" max="4111" width="10" style="194" bestFit="1" customWidth="1"/>
    <col min="4112" max="4112" width="15.28515625" style="194" bestFit="1" customWidth="1"/>
    <col min="4113" max="4113" width="5.7109375" style="194" bestFit="1" customWidth="1"/>
    <col min="4114" max="4114" width="17.28515625" style="194" bestFit="1" customWidth="1"/>
    <col min="4115" max="4352" width="9.140625" style="194"/>
    <col min="4353" max="4353" width="8.28515625" style="194" customWidth="1"/>
    <col min="4354" max="4354" width="14.85546875" style="194" customWidth="1"/>
    <col min="4355" max="4357" width="9.5703125" style="194" customWidth="1"/>
    <col min="4358" max="4358" width="11" style="194" customWidth="1"/>
    <col min="4359" max="4360" width="9.85546875" style="194" customWidth="1"/>
    <col min="4361" max="4361" width="11.7109375" style="194" customWidth="1"/>
    <col min="4362" max="4363" width="9.28515625" style="194" bestFit="1" customWidth="1"/>
    <col min="4364" max="4364" width="7.140625" style="194" bestFit="1" customWidth="1"/>
    <col min="4365" max="4365" width="8.140625" style="194" bestFit="1" customWidth="1"/>
    <col min="4366" max="4366" width="9.85546875" style="194" bestFit="1" customWidth="1"/>
    <col min="4367" max="4367" width="10" style="194" bestFit="1" customWidth="1"/>
    <col min="4368" max="4368" width="15.28515625" style="194" bestFit="1" customWidth="1"/>
    <col min="4369" max="4369" width="5.7109375" style="194" bestFit="1" customWidth="1"/>
    <col min="4370" max="4370" width="17.28515625" style="194" bestFit="1" customWidth="1"/>
    <col min="4371" max="4608" width="9.140625" style="194"/>
    <col min="4609" max="4609" width="8.28515625" style="194" customWidth="1"/>
    <col min="4610" max="4610" width="14.85546875" style="194" customWidth="1"/>
    <col min="4611" max="4613" width="9.5703125" style="194" customWidth="1"/>
    <col min="4614" max="4614" width="11" style="194" customWidth="1"/>
    <col min="4615" max="4616" width="9.85546875" style="194" customWidth="1"/>
    <col min="4617" max="4617" width="11.7109375" style="194" customWidth="1"/>
    <col min="4618" max="4619" width="9.28515625" style="194" bestFit="1" customWidth="1"/>
    <col min="4620" max="4620" width="7.140625" style="194" bestFit="1" customWidth="1"/>
    <col min="4621" max="4621" width="8.140625" style="194" bestFit="1" customWidth="1"/>
    <col min="4622" max="4622" width="9.85546875" style="194" bestFit="1" customWidth="1"/>
    <col min="4623" max="4623" width="10" style="194" bestFit="1" customWidth="1"/>
    <col min="4624" max="4624" width="15.28515625" style="194" bestFit="1" customWidth="1"/>
    <col min="4625" max="4625" width="5.7109375" style="194" bestFit="1" customWidth="1"/>
    <col min="4626" max="4626" width="17.28515625" style="194" bestFit="1" customWidth="1"/>
    <col min="4627" max="4864" width="9.140625" style="194"/>
    <col min="4865" max="4865" width="8.28515625" style="194" customWidth="1"/>
    <col min="4866" max="4866" width="14.85546875" style="194" customWidth="1"/>
    <col min="4867" max="4869" width="9.5703125" style="194" customWidth="1"/>
    <col min="4870" max="4870" width="11" style="194" customWidth="1"/>
    <col min="4871" max="4872" width="9.85546875" style="194" customWidth="1"/>
    <col min="4873" max="4873" width="11.7109375" style="194" customWidth="1"/>
    <col min="4874" max="4875" width="9.28515625" style="194" bestFit="1" customWidth="1"/>
    <col min="4876" max="4876" width="7.140625" style="194" bestFit="1" customWidth="1"/>
    <col min="4877" max="4877" width="8.140625" style="194" bestFit="1" customWidth="1"/>
    <col min="4878" max="4878" width="9.85546875" style="194" bestFit="1" customWidth="1"/>
    <col min="4879" max="4879" width="10" style="194" bestFit="1" customWidth="1"/>
    <col min="4880" max="4880" width="15.28515625" style="194" bestFit="1" customWidth="1"/>
    <col min="4881" max="4881" width="5.7109375" style="194" bestFit="1" customWidth="1"/>
    <col min="4882" max="4882" width="17.28515625" style="194" bestFit="1" customWidth="1"/>
    <col min="4883" max="5120" width="9.140625" style="194"/>
    <col min="5121" max="5121" width="8.28515625" style="194" customWidth="1"/>
    <col min="5122" max="5122" width="14.85546875" style="194" customWidth="1"/>
    <col min="5123" max="5125" width="9.5703125" style="194" customWidth="1"/>
    <col min="5126" max="5126" width="11" style="194" customWidth="1"/>
    <col min="5127" max="5128" width="9.85546875" style="194" customWidth="1"/>
    <col min="5129" max="5129" width="11.7109375" style="194" customWidth="1"/>
    <col min="5130" max="5131" width="9.28515625" style="194" bestFit="1" customWidth="1"/>
    <col min="5132" max="5132" width="7.140625" style="194" bestFit="1" customWidth="1"/>
    <col min="5133" max="5133" width="8.140625" style="194" bestFit="1" customWidth="1"/>
    <col min="5134" max="5134" width="9.85546875" style="194" bestFit="1" customWidth="1"/>
    <col min="5135" max="5135" width="10" style="194" bestFit="1" customWidth="1"/>
    <col min="5136" max="5136" width="15.28515625" style="194" bestFit="1" customWidth="1"/>
    <col min="5137" max="5137" width="5.7109375" style="194" bestFit="1" customWidth="1"/>
    <col min="5138" max="5138" width="17.28515625" style="194" bestFit="1" customWidth="1"/>
    <col min="5139" max="5376" width="9.140625" style="194"/>
    <col min="5377" max="5377" width="8.28515625" style="194" customWidth="1"/>
    <col min="5378" max="5378" width="14.85546875" style="194" customWidth="1"/>
    <col min="5379" max="5381" width="9.5703125" style="194" customWidth="1"/>
    <col min="5382" max="5382" width="11" style="194" customWidth="1"/>
    <col min="5383" max="5384" width="9.85546875" style="194" customWidth="1"/>
    <col min="5385" max="5385" width="11.7109375" style="194" customWidth="1"/>
    <col min="5386" max="5387" width="9.28515625" style="194" bestFit="1" customWidth="1"/>
    <col min="5388" max="5388" width="7.140625" style="194" bestFit="1" customWidth="1"/>
    <col min="5389" max="5389" width="8.140625" style="194" bestFit="1" customWidth="1"/>
    <col min="5390" max="5390" width="9.85546875" style="194" bestFit="1" customWidth="1"/>
    <col min="5391" max="5391" width="10" style="194" bestFit="1" customWidth="1"/>
    <col min="5392" max="5392" width="15.28515625" style="194" bestFit="1" customWidth="1"/>
    <col min="5393" max="5393" width="5.7109375" style="194" bestFit="1" customWidth="1"/>
    <col min="5394" max="5394" width="17.28515625" style="194" bestFit="1" customWidth="1"/>
    <col min="5395" max="5632" width="9.140625" style="194"/>
    <col min="5633" max="5633" width="8.28515625" style="194" customWidth="1"/>
    <col min="5634" max="5634" width="14.85546875" style="194" customWidth="1"/>
    <col min="5635" max="5637" width="9.5703125" style="194" customWidth="1"/>
    <col min="5638" max="5638" width="11" style="194" customWidth="1"/>
    <col min="5639" max="5640" width="9.85546875" style="194" customWidth="1"/>
    <col min="5641" max="5641" width="11.7109375" style="194" customWidth="1"/>
    <col min="5642" max="5643" width="9.28515625" style="194" bestFit="1" customWidth="1"/>
    <col min="5644" max="5644" width="7.140625" style="194" bestFit="1" customWidth="1"/>
    <col min="5645" max="5645" width="8.140625" style="194" bestFit="1" customWidth="1"/>
    <col min="5646" max="5646" width="9.85546875" style="194" bestFit="1" customWidth="1"/>
    <col min="5647" max="5647" width="10" style="194" bestFit="1" customWidth="1"/>
    <col min="5648" max="5648" width="15.28515625" style="194" bestFit="1" customWidth="1"/>
    <col min="5649" max="5649" width="5.7109375" style="194" bestFit="1" customWidth="1"/>
    <col min="5650" max="5650" width="17.28515625" style="194" bestFit="1" customWidth="1"/>
    <col min="5651" max="5888" width="9.140625" style="194"/>
    <col min="5889" max="5889" width="8.28515625" style="194" customWidth="1"/>
    <col min="5890" max="5890" width="14.85546875" style="194" customWidth="1"/>
    <col min="5891" max="5893" width="9.5703125" style="194" customWidth="1"/>
    <col min="5894" max="5894" width="11" style="194" customWidth="1"/>
    <col min="5895" max="5896" width="9.85546875" style="194" customWidth="1"/>
    <col min="5897" max="5897" width="11.7109375" style="194" customWidth="1"/>
    <col min="5898" max="5899" width="9.28515625" style="194" bestFit="1" customWidth="1"/>
    <col min="5900" max="5900" width="7.140625" style="194" bestFit="1" customWidth="1"/>
    <col min="5901" max="5901" width="8.140625" style="194" bestFit="1" customWidth="1"/>
    <col min="5902" max="5902" width="9.85546875" style="194" bestFit="1" customWidth="1"/>
    <col min="5903" max="5903" width="10" style="194" bestFit="1" customWidth="1"/>
    <col min="5904" max="5904" width="15.28515625" style="194" bestFit="1" customWidth="1"/>
    <col min="5905" max="5905" width="5.7109375" style="194" bestFit="1" customWidth="1"/>
    <col min="5906" max="5906" width="17.28515625" style="194" bestFit="1" customWidth="1"/>
    <col min="5907" max="6144" width="9.140625" style="194"/>
    <col min="6145" max="6145" width="8.28515625" style="194" customWidth="1"/>
    <col min="6146" max="6146" width="14.85546875" style="194" customWidth="1"/>
    <col min="6147" max="6149" width="9.5703125" style="194" customWidth="1"/>
    <col min="6150" max="6150" width="11" style="194" customWidth="1"/>
    <col min="6151" max="6152" width="9.85546875" style="194" customWidth="1"/>
    <col min="6153" max="6153" width="11.7109375" style="194" customWidth="1"/>
    <col min="6154" max="6155" width="9.28515625" style="194" bestFit="1" customWidth="1"/>
    <col min="6156" max="6156" width="7.140625" style="194" bestFit="1" customWidth="1"/>
    <col min="6157" max="6157" width="8.140625" style="194" bestFit="1" customWidth="1"/>
    <col min="6158" max="6158" width="9.85546875" style="194" bestFit="1" customWidth="1"/>
    <col min="6159" max="6159" width="10" style="194" bestFit="1" customWidth="1"/>
    <col min="6160" max="6160" width="15.28515625" style="194" bestFit="1" customWidth="1"/>
    <col min="6161" max="6161" width="5.7109375" style="194" bestFit="1" customWidth="1"/>
    <col min="6162" max="6162" width="17.28515625" style="194" bestFit="1" customWidth="1"/>
    <col min="6163" max="6400" width="9.140625" style="194"/>
    <col min="6401" max="6401" width="8.28515625" style="194" customWidth="1"/>
    <col min="6402" max="6402" width="14.85546875" style="194" customWidth="1"/>
    <col min="6403" max="6405" width="9.5703125" style="194" customWidth="1"/>
    <col min="6406" max="6406" width="11" style="194" customWidth="1"/>
    <col min="6407" max="6408" width="9.85546875" style="194" customWidth="1"/>
    <col min="6409" max="6409" width="11.7109375" style="194" customWidth="1"/>
    <col min="6410" max="6411" width="9.28515625" style="194" bestFit="1" customWidth="1"/>
    <col min="6412" max="6412" width="7.140625" style="194" bestFit="1" customWidth="1"/>
    <col min="6413" max="6413" width="8.140625" style="194" bestFit="1" customWidth="1"/>
    <col min="6414" max="6414" width="9.85546875" style="194" bestFit="1" customWidth="1"/>
    <col min="6415" max="6415" width="10" style="194" bestFit="1" customWidth="1"/>
    <col min="6416" max="6416" width="15.28515625" style="194" bestFit="1" customWidth="1"/>
    <col min="6417" max="6417" width="5.7109375" style="194" bestFit="1" customWidth="1"/>
    <col min="6418" max="6418" width="17.28515625" style="194" bestFit="1" customWidth="1"/>
    <col min="6419" max="6656" width="9.140625" style="194"/>
    <col min="6657" max="6657" width="8.28515625" style="194" customWidth="1"/>
    <col min="6658" max="6658" width="14.85546875" style="194" customWidth="1"/>
    <col min="6659" max="6661" width="9.5703125" style="194" customWidth="1"/>
    <col min="6662" max="6662" width="11" style="194" customWidth="1"/>
    <col min="6663" max="6664" width="9.85546875" style="194" customWidth="1"/>
    <col min="6665" max="6665" width="11.7109375" style="194" customWidth="1"/>
    <col min="6666" max="6667" width="9.28515625" style="194" bestFit="1" customWidth="1"/>
    <col min="6668" max="6668" width="7.140625" style="194" bestFit="1" customWidth="1"/>
    <col min="6669" max="6669" width="8.140625" style="194" bestFit="1" customWidth="1"/>
    <col min="6670" max="6670" width="9.85546875" style="194" bestFit="1" customWidth="1"/>
    <col min="6671" max="6671" width="10" style="194" bestFit="1" customWidth="1"/>
    <col min="6672" max="6672" width="15.28515625" style="194" bestFit="1" customWidth="1"/>
    <col min="6673" max="6673" width="5.7109375" style="194" bestFit="1" customWidth="1"/>
    <col min="6674" max="6674" width="17.28515625" style="194" bestFit="1" customWidth="1"/>
    <col min="6675" max="6912" width="9.140625" style="194"/>
    <col min="6913" max="6913" width="8.28515625" style="194" customWidth="1"/>
    <col min="6914" max="6914" width="14.85546875" style="194" customWidth="1"/>
    <col min="6915" max="6917" width="9.5703125" style="194" customWidth="1"/>
    <col min="6918" max="6918" width="11" style="194" customWidth="1"/>
    <col min="6919" max="6920" width="9.85546875" style="194" customWidth="1"/>
    <col min="6921" max="6921" width="11.7109375" style="194" customWidth="1"/>
    <col min="6922" max="6923" width="9.28515625" style="194" bestFit="1" customWidth="1"/>
    <col min="6924" max="6924" width="7.140625" style="194" bestFit="1" customWidth="1"/>
    <col min="6925" max="6925" width="8.140625" style="194" bestFit="1" customWidth="1"/>
    <col min="6926" max="6926" width="9.85546875" style="194" bestFit="1" customWidth="1"/>
    <col min="6927" max="6927" width="10" style="194" bestFit="1" customWidth="1"/>
    <col min="6928" max="6928" width="15.28515625" style="194" bestFit="1" customWidth="1"/>
    <col min="6929" max="6929" width="5.7109375" style="194" bestFit="1" customWidth="1"/>
    <col min="6930" max="6930" width="17.28515625" style="194" bestFit="1" customWidth="1"/>
    <col min="6931" max="7168" width="9.140625" style="194"/>
    <col min="7169" max="7169" width="8.28515625" style="194" customWidth="1"/>
    <col min="7170" max="7170" width="14.85546875" style="194" customWidth="1"/>
    <col min="7171" max="7173" width="9.5703125" style="194" customWidth="1"/>
    <col min="7174" max="7174" width="11" style="194" customWidth="1"/>
    <col min="7175" max="7176" width="9.85546875" style="194" customWidth="1"/>
    <col min="7177" max="7177" width="11.7109375" style="194" customWidth="1"/>
    <col min="7178" max="7179" width="9.28515625" style="194" bestFit="1" customWidth="1"/>
    <col min="7180" max="7180" width="7.140625" style="194" bestFit="1" customWidth="1"/>
    <col min="7181" max="7181" width="8.140625" style="194" bestFit="1" customWidth="1"/>
    <col min="7182" max="7182" width="9.85546875" style="194" bestFit="1" customWidth="1"/>
    <col min="7183" max="7183" width="10" style="194" bestFit="1" customWidth="1"/>
    <col min="7184" max="7184" width="15.28515625" style="194" bestFit="1" customWidth="1"/>
    <col min="7185" max="7185" width="5.7109375" style="194" bestFit="1" customWidth="1"/>
    <col min="7186" max="7186" width="17.28515625" style="194" bestFit="1" customWidth="1"/>
    <col min="7187" max="7424" width="9.140625" style="194"/>
    <col min="7425" max="7425" width="8.28515625" style="194" customWidth="1"/>
    <col min="7426" max="7426" width="14.85546875" style="194" customWidth="1"/>
    <col min="7427" max="7429" width="9.5703125" style="194" customWidth="1"/>
    <col min="7430" max="7430" width="11" style="194" customWidth="1"/>
    <col min="7431" max="7432" width="9.85546875" style="194" customWidth="1"/>
    <col min="7433" max="7433" width="11.7109375" style="194" customWidth="1"/>
    <col min="7434" max="7435" width="9.28515625" style="194" bestFit="1" customWidth="1"/>
    <col min="7436" max="7436" width="7.140625" style="194" bestFit="1" customWidth="1"/>
    <col min="7437" max="7437" width="8.140625" style="194" bestFit="1" customWidth="1"/>
    <col min="7438" max="7438" width="9.85546875" style="194" bestFit="1" customWidth="1"/>
    <col min="7439" max="7439" width="10" style="194" bestFit="1" customWidth="1"/>
    <col min="7440" max="7440" width="15.28515625" style="194" bestFit="1" customWidth="1"/>
    <col min="7441" max="7441" width="5.7109375" style="194" bestFit="1" customWidth="1"/>
    <col min="7442" max="7442" width="17.28515625" style="194" bestFit="1" customWidth="1"/>
    <col min="7443" max="7680" width="9.140625" style="194"/>
    <col min="7681" max="7681" width="8.28515625" style="194" customWidth="1"/>
    <col min="7682" max="7682" width="14.85546875" style="194" customWidth="1"/>
    <col min="7683" max="7685" width="9.5703125" style="194" customWidth="1"/>
    <col min="7686" max="7686" width="11" style="194" customWidth="1"/>
    <col min="7687" max="7688" width="9.85546875" style="194" customWidth="1"/>
    <col min="7689" max="7689" width="11.7109375" style="194" customWidth="1"/>
    <col min="7690" max="7691" width="9.28515625" style="194" bestFit="1" customWidth="1"/>
    <col min="7692" max="7692" width="7.140625" style="194" bestFit="1" customWidth="1"/>
    <col min="7693" max="7693" width="8.140625" style="194" bestFit="1" customWidth="1"/>
    <col min="7694" max="7694" width="9.85546875" style="194" bestFit="1" customWidth="1"/>
    <col min="7695" max="7695" width="10" style="194" bestFit="1" customWidth="1"/>
    <col min="7696" max="7696" width="15.28515625" style="194" bestFit="1" customWidth="1"/>
    <col min="7697" max="7697" width="5.7109375" style="194" bestFit="1" customWidth="1"/>
    <col min="7698" max="7698" width="17.28515625" style="194" bestFit="1" customWidth="1"/>
    <col min="7699" max="7936" width="9.140625" style="194"/>
    <col min="7937" max="7937" width="8.28515625" style="194" customWidth="1"/>
    <col min="7938" max="7938" width="14.85546875" style="194" customWidth="1"/>
    <col min="7939" max="7941" width="9.5703125" style="194" customWidth="1"/>
    <col min="7942" max="7942" width="11" style="194" customWidth="1"/>
    <col min="7943" max="7944" width="9.85546875" style="194" customWidth="1"/>
    <col min="7945" max="7945" width="11.7109375" style="194" customWidth="1"/>
    <col min="7946" max="7947" width="9.28515625" style="194" bestFit="1" customWidth="1"/>
    <col min="7948" max="7948" width="7.140625" style="194" bestFit="1" customWidth="1"/>
    <col min="7949" max="7949" width="8.140625" style="194" bestFit="1" customWidth="1"/>
    <col min="7950" max="7950" width="9.85546875" style="194" bestFit="1" customWidth="1"/>
    <col min="7951" max="7951" width="10" style="194" bestFit="1" customWidth="1"/>
    <col min="7952" max="7952" width="15.28515625" style="194" bestFit="1" customWidth="1"/>
    <col min="7953" max="7953" width="5.7109375" style="194" bestFit="1" customWidth="1"/>
    <col min="7954" max="7954" width="17.28515625" style="194" bestFit="1" customWidth="1"/>
    <col min="7955" max="8192" width="9.140625" style="194"/>
    <col min="8193" max="8193" width="8.28515625" style="194" customWidth="1"/>
    <col min="8194" max="8194" width="14.85546875" style="194" customWidth="1"/>
    <col min="8195" max="8197" width="9.5703125" style="194" customWidth="1"/>
    <col min="8198" max="8198" width="11" style="194" customWidth="1"/>
    <col min="8199" max="8200" width="9.85546875" style="194" customWidth="1"/>
    <col min="8201" max="8201" width="11.7109375" style="194" customWidth="1"/>
    <col min="8202" max="8203" width="9.28515625" style="194" bestFit="1" customWidth="1"/>
    <col min="8204" max="8204" width="7.140625" style="194" bestFit="1" customWidth="1"/>
    <col min="8205" max="8205" width="8.140625" style="194" bestFit="1" customWidth="1"/>
    <col min="8206" max="8206" width="9.85546875" style="194" bestFit="1" customWidth="1"/>
    <col min="8207" max="8207" width="10" style="194" bestFit="1" customWidth="1"/>
    <col min="8208" max="8208" width="15.28515625" style="194" bestFit="1" customWidth="1"/>
    <col min="8209" max="8209" width="5.7109375" style="194" bestFit="1" customWidth="1"/>
    <col min="8210" max="8210" width="17.28515625" style="194" bestFit="1" customWidth="1"/>
    <col min="8211" max="8448" width="9.140625" style="194"/>
    <col min="8449" max="8449" width="8.28515625" style="194" customWidth="1"/>
    <col min="8450" max="8450" width="14.85546875" style="194" customWidth="1"/>
    <col min="8451" max="8453" width="9.5703125" style="194" customWidth="1"/>
    <col min="8454" max="8454" width="11" style="194" customWidth="1"/>
    <col min="8455" max="8456" width="9.85546875" style="194" customWidth="1"/>
    <col min="8457" max="8457" width="11.7109375" style="194" customWidth="1"/>
    <col min="8458" max="8459" width="9.28515625" style="194" bestFit="1" customWidth="1"/>
    <col min="8460" max="8460" width="7.140625" style="194" bestFit="1" customWidth="1"/>
    <col min="8461" max="8461" width="8.140625" style="194" bestFit="1" customWidth="1"/>
    <col min="8462" max="8462" width="9.85546875" style="194" bestFit="1" customWidth="1"/>
    <col min="8463" max="8463" width="10" style="194" bestFit="1" customWidth="1"/>
    <col min="8464" max="8464" width="15.28515625" style="194" bestFit="1" customWidth="1"/>
    <col min="8465" max="8465" width="5.7109375" style="194" bestFit="1" customWidth="1"/>
    <col min="8466" max="8466" width="17.28515625" style="194" bestFit="1" customWidth="1"/>
    <col min="8467" max="8704" width="9.140625" style="194"/>
    <col min="8705" max="8705" width="8.28515625" style="194" customWidth="1"/>
    <col min="8706" max="8706" width="14.85546875" style="194" customWidth="1"/>
    <col min="8707" max="8709" width="9.5703125" style="194" customWidth="1"/>
    <col min="8710" max="8710" width="11" style="194" customWidth="1"/>
    <col min="8711" max="8712" width="9.85546875" style="194" customWidth="1"/>
    <col min="8713" max="8713" width="11.7109375" style="194" customWidth="1"/>
    <col min="8714" max="8715" width="9.28515625" style="194" bestFit="1" customWidth="1"/>
    <col min="8716" max="8716" width="7.140625" style="194" bestFit="1" customWidth="1"/>
    <col min="8717" max="8717" width="8.140625" style="194" bestFit="1" customWidth="1"/>
    <col min="8718" max="8718" width="9.85546875" style="194" bestFit="1" customWidth="1"/>
    <col min="8719" max="8719" width="10" style="194" bestFit="1" customWidth="1"/>
    <col min="8720" max="8720" width="15.28515625" style="194" bestFit="1" customWidth="1"/>
    <col min="8721" max="8721" width="5.7109375" style="194" bestFit="1" customWidth="1"/>
    <col min="8722" max="8722" width="17.28515625" style="194" bestFit="1" customWidth="1"/>
    <col min="8723" max="8960" width="9.140625" style="194"/>
    <col min="8961" max="8961" width="8.28515625" style="194" customWidth="1"/>
    <col min="8962" max="8962" width="14.85546875" style="194" customWidth="1"/>
    <col min="8963" max="8965" width="9.5703125" style="194" customWidth="1"/>
    <col min="8966" max="8966" width="11" style="194" customWidth="1"/>
    <col min="8967" max="8968" width="9.85546875" style="194" customWidth="1"/>
    <col min="8969" max="8969" width="11.7109375" style="194" customWidth="1"/>
    <col min="8970" max="8971" width="9.28515625" style="194" bestFit="1" customWidth="1"/>
    <col min="8972" max="8972" width="7.140625" style="194" bestFit="1" customWidth="1"/>
    <col min="8973" max="8973" width="8.140625" style="194" bestFit="1" customWidth="1"/>
    <col min="8974" max="8974" width="9.85546875" style="194" bestFit="1" customWidth="1"/>
    <col min="8975" max="8975" width="10" style="194" bestFit="1" customWidth="1"/>
    <col min="8976" max="8976" width="15.28515625" style="194" bestFit="1" customWidth="1"/>
    <col min="8977" max="8977" width="5.7109375" style="194" bestFit="1" customWidth="1"/>
    <col min="8978" max="8978" width="17.28515625" style="194" bestFit="1" customWidth="1"/>
    <col min="8979" max="9216" width="9.140625" style="194"/>
    <col min="9217" max="9217" width="8.28515625" style="194" customWidth="1"/>
    <col min="9218" max="9218" width="14.85546875" style="194" customWidth="1"/>
    <col min="9219" max="9221" width="9.5703125" style="194" customWidth="1"/>
    <col min="9222" max="9222" width="11" style="194" customWidth="1"/>
    <col min="9223" max="9224" width="9.85546875" style="194" customWidth="1"/>
    <col min="9225" max="9225" width="11.7109375" style="194" customWidth="1"/>
    <col min="9226" max="9227" width="9.28515625" style="194" bestFit="1" customWidth="1"/>
    <col min="9228" max="9228" width="7.140625" style="194" bestFit="1" customWidth="1"/>
    <col min="9229" max="9229" width="8.140625" style="194" bestFit="1" customWidth="1"/>
    <col min="9230" max="9230" width="9.85546875" style="194" bestFit="1" customWidth="1"/>
    <col min="9231" max="9231" width="10" style="194" bestFit="1" customWidth="1"/>
    <col min="9232" max="9232" width="15.28515625" style="194" bestFit="1" customWidth="1"/>
    <col min="9233" max="9233" width="5.7109375" style="194" bestFit="1" customWidth="1"/>
    <col min="9234" max="9234" width="17.28515625" style="194" bestFit="1" customWidth="1"/>
    <col min="9235" max="9472" width="9.140625" style="194"/>
    <col min="9473" max="9473" width="8.28515625" style="194" customWidth="1"/>
    <col min="9474" max="9474" width="14.85546875" style="194" customWidth="1"/>
    <col min="9475" max="9477" width="9.5703125" style="194" customWidth="1"/>
    <col min="9478" max="9478" width="11" style="194" customWidth="1"/>
    <col min="9479" max="9480" width="9.85546875" style="194" customWidth="1"/>
    <col min="9481" max="9481" width="11.7109375" style="194" customWidth="1"/>
    <col min="9482" max="9483" width="9.28515625" style="194" bestFit="1" customWidth="1"/>
    <col min="9484" max="9484" width="7.140625" style="194" bestFit="1" customWidth="1"/>
    <col min="9485" max="9485" width="8.140625" style="194" bestFit="1" customWidth="1"/>
    <col min="9486" max="9486" width="9.85546875" style="194" bestFit="1" customWidth="1"/>
    <col min="9487" max="9487" width="10" style="194" bestFit="1" customWidth="1"/>
    <col min="9488" max="9488" width="15.28515625" style="194" bestFit="1" customWidth="1"/>
    <col min="9489" max="9489" width="5.7109375" style="194" bestFit="1" customWidth="1"/>
    <col min="9490" max="9490" width="17.28515625" style="194" bestFit="1" customWidth="1"/>
    <col min="9491" max="9728" width="9.140625" style="194"/>
    <col min="9729" max="9729" width="8.28515625" style="194" customWidth="1"/>
    <col min="9730" max="9730" width="14.85546875" style="194" customWidth="1"/>
    <col min="9731" max="9733" width="9.5703125" style="194" customWidth="1"/>
    <col min="9734" max="9734" width="11" style="194" customWidth="1"/>
    <col min="9735" max="9736" width="9.85546875" style="194" customWidth="1"/>
    <col min="9737" max="9737" width="11.7109375" style="194" customWidth="1"/>
    <col min="9738" max="9739" width="9.28515625" style="194" bestFit="1" customWidth="1"/>
    <col min="9740" max="9740" width="7.140625" style="194" bestFit="1" customWidth="1"/>
    <col min="9741" max="9741" width="8.140625" style="194" bestFit="1" customWidth="1"/>
    <col min="9742" max="9742" width="9.85546875" style="194" bestFit="1" customWidth="1"/>
    <col min="9743" max="9743" width="10" style="194" bestFit="1" customWidth="1"/>
    <col min="9744" max="9744" width="15.28515625" style="194" bestFit="1" customWidth="1"/>
    <col min="9745" max="9745" width="5.7109375" style="194" bestFit="1" customWidth="1"/>
    <col min="9746" max="9746" width="17.28515625" style="194" bestFit="1" customWidth="1"/>
    <col min="9747" max="9984" width="9.140625" style="194"/>
    <col min="9985" max="9985" width="8.28515625" style="194" customWidth="1"/>
    <col min="9986" max="9986" width="14.85546875" style="194" customWidth="1"/>
    <col min="9987" max="9989" width="9.5703125" style="194" customWidth="1"/>
    <col min="9990" max="9990" width="11" style="194" customWidth="1"/>
    <col min="9991" max="9992" width="9.85546875" style="194" customWidth="1"/>
    <col min="9993" max="9993" width="11.7109375" style="194" customWidth="1"/>
    <col min="9994" max="9995" width="9.28515625" style="194" bestFit="1" customWidth="1"/>
    <col min="9996" max="9996" width="7.140625" style="194" bestFit="1" customWidth="1"/>
    <col min="9997" max="9997" width="8.140625" style="194" bestFit="1" customWidth="1"/>
    <col min="9998" max="9998" width="9.85546875" style="194" bestFit="1" customWidth="1"/>
    <col min="9999" max="9999" width="10" style="194" bestFit="1" customWidth="1"/>
    <col min="10000" max="10000" width="15.28515625" style="194" bestFit="1" customWidth="1"/>
    <col min="10001" max="10001" width="5.7109375" style="194" bestFit="1" customWidth="1"/>
    <col min="10002" max="10002" width="17.28515625" style="194" bestFit="1" customWidth="1"/>
    <col min="10003" max="10240" width="9.140625" style="194"/>
    <col min="10241" max="10241" width="8.28515625" style="194" customWidth="1"/>
    <col min="10242" max="10242" width="14.85546875" style="194" customWidth="1"/>
    <col min="10243" max="10245" width="9.5703125" style="194" customWidth="1"/>
    <col min="10246" max="10246" width="11" style="194" customWidth="1"/>
    <col min="10247" max="10248" width="9.85546875" style="194" customWidth="1"/>
    <col min="10249" max="10249" width="11.7109375" style="194" customWidth="1"/>
    <col min="10250" max="10251" width="9.28515625" style="194" bestFit="1" customWidth="1"/>
    <col min="10252" max="10252" width="7.140625" style="194" bestFit="1" customWidth="1"/>
    <col min="10253" max="10253" width="8.140625" style="194" bestFit="1" customWidth="1"/>
    <col min="10254" max="10254" width="9.85546875" style="194" bestFit="1" customWidth="1"/>
    <col min="10255" max="10255" width="10" style="194" bestFit="1" customWidth="1"/>
    <col min="10256" max="10256" width="15.28515625" style="194" bestFit="1" customWidth="1"/>
    <col min="10257" max="10257" width="5.7109375" style="194" bestFit="1" customWidth="1"/>
    <col min="10258" max="10258" width="17.28515625" style="194" bestFit="1" customWidth="1"/>
    <col min="10259" max="10496" width="9.140625" style="194"/>
    <col min="10497" max="10497" width="8.28515625" style="194" customWidth="1"/>
    <col min="10498" max="10498" width="14.85546875" style="194" customWidth="1"/>
    <col min="10499" max="10501" width="9.5703125" style="194" customWidth="1"/>
    <col min="10502" max="10502" width="11" style="194" customWidth="1"/>
    <col min="10503" max="10504" width="9.85546875" style="194" customWidth="1"/>
    <col min="10505" max="10505" width="11.7109375" style="194" customWidth="1"/>
    <col min="10506" max="10507" width="9.28515625" style="194" bestFit="1" customWidth="1"/>
    <col min="10508" max="10508" width="7.140625" style="194" bestFit="1" customWidth="1"/>
    <col min="10509" max="10509" width="8.140625" style="194" bestFit="1" customWidth="1"/>
    <col min="10510" max="10510" width="9.85546875" style="194" bestFit="1" customWidth="1"/>
    <col min="10511" max="10511" width="10" style="194" bestFit="1" customWidth="1"/>
    <col min="10512" max="10512" width="15.28515625" style="194" bestFit="1" customWidth="1"/>
    <col min="10513" max="10513" width="5.7109375" style="194" bestFit="1" customWidth="1"/>
    <col min="10514" max="10514" width="17.28515625" style="194" bestFit="1" customWidth="1"/>
    <col min="10515" max="10752" width="9.140625" style="194"/>
    <col min="10753" max="10753" width="8.28515625" style="194" customWidth="1"/>
    <col min="10754" max="10754" width="14.85546875" style="194" customWidth="1"/>
    <col min="10755" max="10757" width="9.5703125" style="194" customWidth="1"/>
    <col min="10758" max="10758" width="11" style="194" customWidth="1"/>
    <col min="10759" max="10760" width="9.85546875" style="194" customWidth="1"/>
    <col min="10761" max="10761" width="11.7109375" style="194" customWidth="1"/>
    <col min="10762" max="10763" width="9.28515625" style="194" bestFit="1" customWidth="1"/>
    <col min="10764" max="10764" width="7.140625" style="194" bestFit="1" customWidth="1"/>
    <col min="10765" max="10765" width="8.140625" style="194" bestFit="1" customWidth="1"/>
    <col min="10766" max="10766" width="9.85546875" style="194" bestFit="1" customWidth="1"/>
    <col min="10767" max="10767" width="10" style="194" bestFit="1" customWidth="1"/>
    <col min="10768" max="10768" width="15.28515625" style="194" bestFit="1" customWidth="1"/>
    <col min="10769" max="10769" width="5.7109375" style="194" bestFit="1" customWidth="1"/>
    <col min="10770" max="10770" width="17.28515625" style="194" bestFit="1" customWidth="1"/>
    <col min="10771" max="11008" width="9.140625" style="194"/>
    <col min="11009" max="11009" width="8.28515625" style="194" customWidth="1"/>
    <col min="11010" max="11010" width="14.85546875" style="194" customWidth="1"/>
    <col min="11011" max="11013" width="9.5703125" style="194" customWidth="1"/>
    <col min="11014" max="11014" width="11" style="194" customWidth="1"/>
    <col min="11015" max="11016" width="9.85546875" style="194" customWidth="1"/>
    <col min="11017" max="11017" width="11.7109375" style="194" customWidth="1"/>
    <col min="11018" max="11019" width="9.28515625" style="194" bestFit="1" customWidth="1"/>
    <col min="11020" max="11020" width="7.140625" style="194" bestFit="1" customWidth="1"/>
    <col min="11021" max="11021" width="8.140625" style="194" bestFit="1" customWidth="1"/>
    <col min="11022" max="11022" width="9.85546875" style="194" bestFit="1" customWidth="1"/>
    <col min="11023" max="11023" width="10" style="194" bestFit="1" customWidth="1"/>
    <col min="11024" max="11024" width="15.28515625" style="194" bestFit="1" customWidth="1"/>
    <col min="11025" max="11025" width="5.7109375" style="194" bestFit="1" customWidth="1"/>
    <col min="11026" max="11026" width="17.28515625" style="194" bestFit="1" customWidth="1"/>
    <col min="11027" max="11264" width="9.140625" style="194"/>
    <col min="11265" max="11265" width="8.28515625" style="194" customWidth="1"/>
    <col min="11266" max="11266" width="14.85546875" style="194" customWidth="1"/>
    <col min="11267" max="11269" width="9.5703125" style="194" customWidth="1"/>
    <col min="11270" max="11270" width="11" style="194" customWidth="1"/>
    <col min="11271" max="11272" width="9.85546875" style="194" customWidth="1"/>
    <col min="11273" max="11273" width="11.7109375" style="194" customWidth="1"/>
    <col min="11274" max="11275" width="9.28515625" style="194" bestFit="1" customWidth="1"/>
    <col min="11276" max="11276" width="7.140625" style="194" bestFit="1" customWidth="1"/>
    <col min="11277" max="11277" width="8.140625" style="194" bestFit="1" customWidth="1"/>
    <col min="11278" max="11278" width="9.85546875" style="194" bestFit="1" customWidth="1"/>
    <col min="11279" max="11279" width="10" style="194" bestFit="1" customWidth="1"/>
    <col min="11280" max="11280" width="15.28515625" style="194" bestFit="1" customWidth="1"/>
    <col min="11281" max="11281" width="5.7109375" style="194" bestFit="1" customWidth="1"/>
    <col min="11282" max="11282" width="17.28515625" style="194" bestFit="1" customWidth="1"/>
    <col min="11283" max="11520" width="9.140625" style="194"/>
    <col min="11521" max="11521" width="8.28515625" style="194" customWidth="1"/>
    <col min="11522" max="11522" width="14.85546875" style="194" customWidth="1"/>
    <col min="11523" max="11525" width="9.5703125" style="194" customWidth="1"/>
    <col min="11526" max="11526" width="11" style="194" customWidth="1"/>
    <col min="11527" max="11528" width="9.85546875" style="194" customWidth="1"/>
    <col min="11529" max="11529" width="11.7109375" style="194" customWidth="1"/>
    <col min="11530" max="11531" width="9.28515625" style="194" bestFit="1" customWidth="1"/>
    <col min="11532" max="11532" width="7.140625" style="194" bestFit="1" customWidth="1"/>
    <col min="11533" max="11533" width="8.140625" style="194" bestFit="1" customWidth="1"/>
    <col min="11534" max="11534" width="9.85546875" style="194" bestFit="1" customWidth="1"/>
    <col min="11535" max="11535" width="10" style="194" bestFit="1" customWidth="1"/>
    <col min="11536" max="11536" width="15.28515625" style="194" bestFit="1" customWidth="1"/>
    <col min="11537" max="11537" width="5.7109375" style="194" bestFit="1" customWidth="1"/>
    <col min="11538" max="11538" width="17.28515625" style="194" bestFit="1" customWidth="1"/>
    <col min="11539" max="11776" width="9.140625" style="194"/>
    <col min="11777" max="11777" width="8.28515625" style="194" customWidth="1"/>
    <col min="11778" max="11778" width="14.85546875" style="194" customWidth="1"/>
    <col min="11779" max="11781" width="9.5703125" style="194" customWidth="1"/>
    <col min="11782" max="11782" width="11" style="194" customWidth="1"/>
    <col min="11783" max="11784" width="9.85546875" style="194" customWidth="1"/>
    <col min="11785" max="11785" width="11.7109375" style="194" customWidth="1"/>
    <col min="11786" max="11787" width="9.28515625" style="194" bestFit="1" customWidth="1"/>
    <col min="11788" max="11788" width="7.140625" style="194" bestFit="1" customWidth="1"/>
    <col min="11789" max="11789" width="8.140625" style="194" bestFit="1" customWidth="1"/>
    <col min="11790" max="11790" width="9.85546875" style="194" bestFit="1" customWidth="1"/>
    <col min="11791" max="11791" width="10" style="194" bestFit="1" customWidth="1"/>
    <col min="11792" max="11792" width="15.28515625" style="194" bestFit="1" customWidth="1"/>
    <col min="11793" max="11793" width="5.7109375" style="194" bestFit="1" customWidth="1"/>
    <col min="11794" max="11794" width="17.28515625" style="194" bestFit="1" customWidth="1"/>
    <col min="11795" max="12032" width="9.140625" style="194"/>
    <col min="12033" max="12033" width="8.28515625" style="194" customWidth="1"/>
    <col min="12034" max="12034" width="14.85546875" style="194" customWidth="1"/>
    <col min="12035" max="12037" width="9.5703125" style="194" customWidth="1"/>
    <col min="12038" max="12038" width="11" style="194" customWidth="1"/>
    <col min="12039" max="12040" width="9.85546875" style="194" customWidth="1"/>
    <col min="12041" max="12041" width="11.7109375" style="194" customWidth="1"/>
    <col min="12042" max="12043" width="9.28515625" style="194" bestFit="1" customWidth="1"/>
    <col min="12044" max="12044" width="7.140625" style="194" bestFit="1" customWidth="1"/>
    <col min="12045" max="12045" width="8.140625" style="194" bestFit="1" customWidth="1"/>
    <col min="12046" max="12046" width="9.85546875" style="194" bestFit="1" customWidth="1"/>
    <col min="12047" max="12047" width="10" style="194" bestFit="1" customWidth="1"/>
    <col min="12048" max="12048" width="15.28515625" style="194" bestFit="1" customWidth="1"/>
    <col min="12049" max="12049" width="5.7109375" style="194" bestFit="1" customWidth="1"/>
    <col min="12050" max="12050" width="17.28515625" style="194" bestFit="1" customWidth="1"/>
    <col min="12051" max="12288" width="9.140625" style="194"/>
    <col min="12289" max="12289" width="8.28515625" style="194" customWidth="1"/>
    <col min="12290" max="12290" width="14.85546875" style="194" customWidth="1"/>
    <col min="12291" max="12293" width="9.5703125" style="194" customWidth="1"/>
    <col min="12294" max="12294" width="11" style="194" customWidth="1"/>
    <col min="12295" max="12296" width="9.85546875" style="194" customWidth="1"/>
    <col min="12297" max="12297" width="11.7109375" style="194" customWidth="1"/>
    <col min="12298" max="12299" width="9.28515625" style="194" bestFit="1" customWidth="1"/>
    <col min="12300" max="12300" width="7.140625" style="194" bestFit="1" customWidth="1"/>
    <col min="12301" max="12301" width="8.140625" style="194" bestFit="1" customWidth="1"/>
    <col min="12302" max="12302" width="9.85546875" style="194" bestFit="1" customWidth="1"/>
    <col min="12303" max="12303" width="10" style="194" bestFit="1" customWidth="1"/>
    <col min="12304" max="12304" width="15.28515625" style="194" bestFit="1" customWidth="1"/>
    <col min="12305" max="12305" width="5.7109375" style="194" bestFit="1" customWidth="1"/>
    <col min="12306" max="12306" width="17.28515625" style="194" bestFit="1" customWidth="1"/>
    <col min="12307" max="12544" width="9.140625" style="194"/>
    <col min="12545" max="12545" width="8.28515625" style="194" customWidth="1"/>
    <col min="12546" max="12546" width="14.85546875" style="194" customWidth="1"/>
    <col min="12547" max="12549" width="9.5703125" style="194" customWidth="1"/>
    <col min="12550" max="12550" width="11" style="194" customWidth="1"/>
    <col min="12551" max="12552" width="9.85546875" style="194" customWidth="1"/>
    <col min="12553" max="12553" width="11.7109375" style="194" customWidth="1"/>
    <col min="12554" max="12555" width="9.28515625" style="194" bestFit="1" customWidth="1"/>
    <col min="12556" max="12556" width="7.140625" style="194" bestFit="1" customWidth="1"/>
    <col min="12557" max="12557" width="8.140625" style="194" bestFit="1" customWidth="1"/>
    <col min="12558" max="12558" width="9.85546875" style="194" bestFit="1" customWidth="1"/>
    <col min="12559" max="12559" width="10" style="194" bestFit="1" customWidth="1"/>
    <col min="12560" max="12560" width="15.28515625" style="194" bestFit="1" customWidth="1"/>
    <col min="12561" max="12561" width="5.7109375" style="194" bestFit="1" customWidth="1"/>
    <col min="12562" max="12562" width="17.28515625" style="194" bestFit="1" customWidth="1"/>
    <col min="12563" max="12800" width="9.140625" style="194"/>
    <col min="12801" max="12801" width="8.28515625" style="194" customWidth="1"/>
    <col min="12802" max="12802" width="14.85546875" style="194" customWidth="1"/>
    <col min="12803" max="12805" width="9.5703125" style="194" customWidth="1"/>
    <col min="12806" max="12806" width="11" style="194" customWidth="1"/>
    <col min="12807" max="12808" width="9.85546875" style="194" customWidth="1"/>
    <col min="12809" max="12809" width="11.7109375" style="194" customWidth="1"/>
    <col min="12810" max="12811" width="9.28515625" style="194" bestFit="1" customWidth="1"/>
    <col min="12812" max="12812" width="7.140625" style="194" bestFit="1" customWidth="1"/>
    <col min="12813" max="12813" width="8.140625" style="194" bestFit="1" customWidth="1"/>
    <col min="12814" max="12814" width="9.85546875" style="194" bestFit="1" customWidth="1"/>
    <col min="12815" max="12815" width="10" style="194" bestFit="1" customWidth="1"/>
    <col min="12816" max="12816" width="15.28515625" style="194" bestFit="1" customWidth="1"/>
    <col min="12817" max="12817" width="5.7109375" style="194" bestFit="1" customWidth="1"/>
    <col min="12818" max="12818" width="17.28515625" style="194" bestFit="1" customWidth="1"/>
    <col min="12819" max="13056" width="9.140625" style="194"/>
    <col min="13057" max="13057" width="8.28515625" style="194" customWidth="1"/>
    <col min="13058" max="13058" width="14.85546875" style="194" customWidth="1"/>
    <col min="13059" max="13061" width="9.5703125" style="194" customWidth="1"/>
    <col min="13062" max="13062" width="11" style="194" customWidth="1"/>
    <col min="13063" max="13064" width="9.85546875" style="194" customWidth="1"/>
    <col min="13065" max="13065" width="11.7109375" style="194" customWidth="1"/>
    <col min="13066" max="13067" width="9.28515625" style="194" bestFit="1" customWidth="1"/>
    <col min="13068" max="13068" width="7.140625" style="194" bestFit="1" customWidth="1"/>
    <col min="13069" max="13069" width="8.140625" style="194" bestFit="1" customWidth="1"/>
    <col min="13070" max="13070" width="9.85546875" style="194" bestFit="1" customWidth="1"/>
    <col min="13071" max="13071" width="10" style="194" bestFit="1" customWidth="1"/>
    <col min="13072" max="13072" width="15.28515625" style="194" bestFit="1" customWidth="1"/>
    <col min="13073" max="13073" width="5.7109375" style="194" bestFit="1" customWidth="1"/>
    <col min="13074" max="13074" width="17.28515625" style="194" bestFit="1" customWidth="1"/>
    <col min="13075" max="13312" width="9.140625" style="194"/>
    <col min="13313" max="13313" width="8.28515625" style="194" customWidth="1"/>
    <col min="13314" max="13314" width="14.85546875" style="194" customWidth="1"/>
    <col min="13315" max="13317" width="9.5703125" style="194" customWidth="1"/>
    <col min="13318" max="13318" width="11" style="194" customWidth="1"/>
    <col min="13319" max="13320" width="9.85546875" style="194" customWidth="1"/>
    <col min="13321" max="13321" width="11.7109375" style="194" customWidth="1"/>
    <col min="13322" max="13323" width="9.28515625" style="194" bestFit="1" customWidth="1"/>
    <col min="13324" max="13324" width="7.140625" style="194" bestFit="1" customWidth="1"/>
    <col min="13325" max="13325" width="8.140625" style="194" bestFit="1" customWidth="1"/>
    <col min="13326" max="13326" width="9.85546875" style="194" bestFit="1" customWidth="1"/>
    <col min="13327" max="13327" width="10" style="194" bestFit="1" customWidth="1"/>
    <col min="13328" max="13328" width="15.28515625" style="194" bestFit="1" customWidth="1"/>
    <col min="13329" max="13329" width="5.7109375" style="194" bestFit="1" customWidth="1"/>
    <col min="13330" max="13330" width="17.28515625" style="194" bestFit="1" customWidth="1"/>
    <col min="13331" max="13568" width="9.140625" style="194"/>
    <col min="13569" max="13569" width="8.28515625" style="194" customWidth="1"/>
    <col min="13570" max="13570" width="14.85546875" style="194" customWidth="1"/>
    <col min="13571" max="13573" width="9.5703125" style="194" customWidth="1"/>
    <col min="13574" max="13574" width="11" style="194" customWidth="1"/>
    <col min="13575" max="13576" width="9.85546875" style="194" customWidth="1"/>
    <col min="13577" max="13577" width="11.7109375" style="194" customWidth="1"/>
    <col min="13578" max="13579" width="9.28515625" style="194" bestFit="1" customWidth="1"/>
    <col min="13580" max="13580" width="7.140625" style="194" bestFit="1" customWidth="1"/>
    <col min="13581" max="13581" width="8.140625" style="194" bestFit="1" customWidth="1"/>
    <col min="13582" max="13582" width="9.85546875" style="194" bestFit="1" customWidth="1"/>
    <col min="13583" max="13583" width="10" style="194" bestFit="1" customWidth="1"/>
    <col min="13584" max="13584" width="15.28515625" style="194" bestFit="1" customWidth="1"/>
    <col min="13585" max="13585" width="5.7109375" style="194" bestFit="1" customWidth="1"/>
    <col min="13586" max="13586" width="17.28515625" style="194" bestFit="1" customWidth="1"/>
    <col min="13587" max="13824" width="9.140625" style="194"/>
    <col min="13825" max="13825" width="8.28515625" style="194" customWidth="1"/>
    <col min="13826" max="13826" width="14.85546875" style="194" customWidth="1"/>
    <col min="13827" max="13829" width="9.5703125" style="194" customWidth="1"/>
    <col min="13830" max="13830" width="11" style="194" customWidth="1"/>
    <col min="13831" max="13832" width="9.85546875" style="194" customWidth="1"/>
    <col min="13833" max="13833" width="11.7109375" style="194" customWidth="1"/>
    <col min="13834" max="13835" width="9.28515625" style="194" bestFit="1" customWidth="1"/>
    <col min="13836" max="13836" width="7.140625" style="194" bestFit="1" customWidth="1"/>
    <col min="13837" max="13837" width="8.140625" style="194" bestFit="1" customWidth="1"/>
    <col min="13838" max="13838" width="9.85546875" style="194" bestFit="1" customWidth="1"/>
    <col min="13839" max="13839" width="10" style="194" bestFit="1" customWidth="1"/>
    <col min="13840" max="13840" width="15.28515625" style="194" bestFit="1" customWidth="1"/>
    <col min="13841" max="13841" width="5.7109375" style="194" bestFit="1" customWidth="1"/>
    <col min="13842" max="13842" width="17.28515625" style="194" bestFit="1" customWidth="1"/>
    <col min="13843" max="14080" width="9.140625" style="194"/>
    <col min="14081" max="14081" width="8.28515625" style="194" customWidth="1"/>
    <col min="14082" max="14082" width="14.85546875" style="194" customWidth="1"/>
    <col min="14083" max="14085" width="9.5703125" style="194" customWidth="1"/>
    <col min="14086" max="14086" width="11" style="194" customWidth="1"/>
    <col min="14087" max="14088" width="9.85546875" style="194" customWidth="1"/>
    <col min="14089" max="14089" width="11.7109375" style="194" customWidth="1"/>
    <col min="14090" max="14091" width="9.28515625" style="194" bestFit="1" customWidth="1"/>
    <col min="14092" max="14092" width="7.140625" style="194" bestFit="1" customWidth="1"/>
    <col min="14093" max="14093" width="8.140625" style="194" bestFit="1" customWidth="1"/>
    <col min="14094" max="14094" width="9.85546875" style="194" bestFit="1" customWidth="1"/>
    <col min="14095" max="14095" width="10" style="194" bestFit="1" customWidth="1"/>
    <col min="14096" max="14096" width="15.28515625" style="194" bestFit="1" customWidth="1"/>
    <col min="14097" max="14097" width="5.7109375" style="194" bestFit="1" customWidth="1"/>
    <col min="14098" max="14098" width="17.28515625" style="194" bestFit="1" customWidth="1"/>
    <col min="14099" max="14336" width="9.140625" style="194"/>
    <col min="14337" max="14337" width="8.28515625" style="194" customWidth="1"/>
    <col min="14338" max="14338" width="14.85546875" style="194" customWidth="1"/>
    <col min="14339" max="14341" width="9.5703125" style="194" customWidth="1"/>
    <col min="14342" max="14342" width="11" style="194" customWidth="1"/>
    <col min="14343" max="14344" width="9.85546875" style="194" customWidth="1"/>
    <col min="14345" max="14345" width="11.7109375" style="194" customWidth="1"/>
    <col min="14346" max="14347" width="9.28515625" style="194" bestFit="1" customWidth="1"/>
    <col min="14348" max="14348" width="7.140625" style="194" bestFit="1" customWidth="1"/>
    <col min="14349" max="14349" width="8.140625" style="194" bestFit="1" customWidth="1"/>
    <col min="14350" max="14350" width="9.85546875" style="194" bestFit="1" customWidth="1"/>
    <col min="14351" max="14351" width="10" style="194" bestFit="1" customWidth="1"/>
    <col min="14352" max="14352" width="15.28515625" style="194" bestFit="1" customWidth="1"/>
    <col min="14353" max="14353" width="5.7109375" style="194" bestFit="1" customWidth="1"/>
    <col min="14354" max="14354" width="17.28515625" style="194" bestFit="1" customWidth="1"/>
    <col min="14355" max="14592" width="9.140625" style="194"/>
    <col min="14593" max="14593" width="8.28515625" style="194" customWidth="1"/>
    <col min="14594" max="14594" width="14.85546875" style="194" customWidth="1"/>
    <col min="14595" max="14597" width="9.5703125" style="194" customWidth="1"/>
    <col min="14598" max="14598" width="11" style="194" customWidth="1"/>
    <col min="14599" max="14600" width="9.85546875" style="194" customWidth="1"/>
    <col min="14601" max="14601" width="11.7109375" style="194" customWidth="1"/>
    <col min="14602" max="14603" width="9.28515625" style="194" bestFit="1" customWidth="1"/>
    <col min="14604" max="14604" width="7.140625" style="194" bestFit="1" customWidth="1"/>
    <col min="14605" max="14605" width="8.140625" style="194" bestFit="1" customWidth="1"/>
    <col min="14606" max="14606" width="9.85546875" style="194" bestFit="1" customWidth="1"/>
    <col min="14607" max="14607" width="10" style="194" bestFit="1" customWidth="1"/>
    <col min="14608" max="14608" width="15.28515625" style="194" bestFit="1" customWidth="1"/>
    <col min="14609" max="14609" width="5.7109375" style="194" bestFit="1" customWidth="1"/>
    <col min="14610" max="14610" width="17.28515625" style="194" bestFit="1" customWidth="1"/>
    <col min="14611" max="14848" width="9.140625" style="194"/>
    <col min="14849" max="14849" width="8.28515625" style="194" customWidth="1"/>
    <col min="14850" max="14850" width="14.85546875" style="194" customWidth="1"/>
    <col min="14851" max="14853" width="9.5703125" style="194" customWidth="1"/>
    <col min="14854" max="14854" width="11" style="194" customWidth="1"/>
    <col min="14855" max="14856" width="9.85546875" style="194" customWidth="1"/>
    <col min="14857" max="14857" width="11.7109375" style="194" customWidth="1"/>
    <col min="14858" max="14859" width="9.28515625" style="194" bestFit="1" customWidth="1"/>
    <col min="14860" max="14860" width="7.140625" style="194" bestFit="1" customWidth="1"/>
    <col min="14861" max="14861" width="8.140625" style="194" bestFit="1" customWidth="1"/>
    <col min="14862" max="14862" width="9.85546875" style="194" bestFit="1" customWidth="1"/>
    <col min="14863" max="14863" width="10" style="194" bestFit="1" customWidth="1"/>
    <col min="14864" max="14864" width="15.28515625" style="194" bestFit="1" customWidth="1"/>
    <col min="14865" max="14865" width="5.7109375" style="194" bestFit="1" customWidth="1"/>
    <col min="14866" max="14866" width="17.28515625" style="194" bestFit="1" customWidth="1"/>
    <col min="14867" max="15104" width="9.140625" style="194"/>
    <col min="15105" max="15105" width="8.28515625" style="194" customWidth="1"/>
    <col min="15106" max="15106" width="14.85546875" style="194" customWidth="1"/>
    <col min="15107" max="15109" width="9.5703125" style="194" customWidth="1"/>
    <col min="15110" max="15110" width="11" style="194" customWidth="1"/>
    <col min="15111" max="15112" width="9.85546875" style="194" customWidth="1"/>
    <col min="15113" max="15113" width="11.7109375" style="194" customWidth="1"/>
    <col min="15114" max="15115" width="9.28515625" style="194" bestFit="1" customWidth="1"/>
    <col min="15116" max="15116" width="7.140625" style="194" bestFit="1" customWidth="1"/>
    <col min="15117" max="15117" width="8.140625" style="194" bestFit="1" customWidth="1"/>
    <col min="15118" max="15118" width="9.85546875" style="194" bestFit="1" customWidth="1"/>
    <col min="15119" max="15119" width="10" style="194" bestFit="1" customWidth="1"/>
    <col min="15120" max="15120" width="15.28515625" style="194" bestFit="1" customWidth="1"/>
    <col min="15121" max="15121" width="5.7109375" style="194" bestFit="1" customWidth="1"/>
    <col min="15122" max="15122" width="17.28515625" style="194" bestFit="1" customWidth="1"/>
    <col min="15123" max="15360" width="9.140625" style="194"/>
    <col min="15361" max="15361" width="8.28515625" style="194" customWidth="1"/>
    <col min="15362" max="15362" width="14.85546875" style="194" customWidth="1"/>
    <col min="15363" max="15365" width="9.5703125" style="194" customWidth="1"/>
    <col min="15366" max="15366" width="11" style="194" customWidth="1"/>
    <col min="15367" max="15368" width="9.85546875" style="194" customWidth="1"/>
    <col min="15369" max="15369" width="11.7109375" style="194" customWidth="1"/>
    <col min="15370" max="15371" width="9.28515625" style="194" bestFit="1" customWidth="1"/>
    <col min="15372" max="15372" width="7.140625" style="194" bestFit="1" customWidth="1"/>
    <col min="15373" max="15373" width="8.140625" style="194" bestFit="1" customWidth="1"/>
    <col min="15374" max="15374" width="9.85546875" style="194" bestFit="1" customWidth="1"/>
    <col min="15375" max="15375" width="10" style="194" bestFit="1" customWidth="1"/>
    <col min="15376" max="15376" width="15.28515625" style="194" bestFit="1" customWidth="1"/>
    <col min="15377" max="15377" width="5.7109375" style="194" bestFit="1" customWidth="1"/>
    <col min="15378" max="15378" width="17.28515625" style="194" bestFit="1" customWidth="1"/>
    <col min="15379" max="15616" width="9.140625" style="194"/>
    <col min="15617" max="15617" width="8.28515625" style="194" customWidth="1"/>
    <col min="15618" max="15618" width="14.85546875" style="194" customWidth="1"/>
    <col min="15619" max="15621" width="9.5703125" style="194" customWidth="1"/>
    <col min="15622" max="15622" width="11" style="194" customWidth="1"/>
    <col min="15623" max="15624" width="9.85546875" style="194" customWidth="1"/>
    <col min="15625" max="15625" width="11.7109375" style="194" customWidth="1"/>
    <col min="15626" max="15627" width="9.28515625" style="194" bestFit="1" customWidth="1"/>
    <col min="15628" max="15628" width="7.140625" style="194" bestFit="1" customWidth="1"/>
    <col min="15629" max="15629" width="8.140625" style="194" bestFit="1" customWidth="1"/>
    <col min="15630" max="15630" width="9.85546875" style="194" bestFit="1" customWidth="1"/>
    <col min="15631" max="15631" width="10" style="194" bestFit="1" customWidth="1"/>
    <col min="15632" max="15632" width="15.28515625" style="194" bestFit="1" customWidth="1"/>
    <col min="15633" max="15633" width="5.7109375" style="194" bestFit="1" customWidth="1"/>
    <col min="15634" max="15634" width="17.28515625" style="194" bestFit="1" customWidth="1"/>
    <col min="15635" max="15872" width="9.140625" style="194"/>
    <col min="15873" max="15873" width="8.28515625" style="194" customWidth="1"/>
    <col min="15874" max="15874" width="14.85546875" style="194" customWidth="1"/>
    <col min="15875" max="15877" width="9.5703125" style="194" customWidth="1"/>
    <col min="15878" max="15878" width="11" style="194" customWidth="1"/>
    <col min="15879" max="15880" width="9.85546875" style="194" customWidth="1"/>
    <col min="15881" max="15881" width="11.7109375" style="194" customWidth="1"/>
    <col min="15882" max="15883" width="9.28515625" style="194" bestFit="1" customWidth="1"/>
    <col min="15884" max="15884" width="7.140625" style="194" bestFit="1" customWidth="1"/>
    <col min="15885" max="15885" width="8.140625" style="194" bestFit="1" customWidth="1"/>
    <col min="15886" max="15886" width="9.85546875" style="194" bestFit="1" customWidth="1"/>
    <col min="15887" max="15887" width="10" style="194" bestFit="1" customWidth="1"/>
    <col min="15888" max="15888" width="15.28515625" style="194" bestFit="1" customWidth="1"/>
    <col min="15889" max="15889" width="5.7109375" style="194" bestFit="1" customWidth="1"/>
    <col min="15890" max="15890" width="17.28515625" style="194" bestFit="1" customWidth="1"/>
    <col min="15891" max="16128" width="9.140625" style="194"/>
    <col min="16129" max="16129" width="8.28515625" style="194" customWidth="1"/>
    <col min="16130" max="16130" width="14.85546875" style="194" customWidth="1"/>
    <col min="16131" max="16133" width="9.5703125" style="194" customWidth="1"/>
    <col min="16134" max="16134" width="11" style="194" customWidth="1"/>
    <col min="16135" max="16136" width="9.85546875" style="194" customWidth="1"/>
    <col min="16137" max="16137" width="11.7109375" style="194" customWidth="1"/>
    <col min="16138" max="16139" width="9.28515625" style="194" bestFit="1" customWidth="1"/>
    <col min="16140" max="16140" width="7.140625" style="194" bestFit="1" customWidth="1"/>
    <col min="16141" max="16141" width="8.140625" style="194" bestFit="1" customWidth="1"/>
    <col min="16142" max="16142" width="9.85546875" style="194" bestFit="1" customWidth="1"/>
    <col min="16143" max="16143" width="10" style="194" bestFit="1" customWidth="1"/>
    <col min="16144" max="16144" width="15.28515625" style="194" bestFit="1" customWidth="1"/>
    <col min="16145" max="16145" width="5.7109375" style="194" bestFit="1" customWidth="1"/>
    <col min="16146" max="16146" width="17.28515625" style="194" bestFit="1" customWidth="1"/>
    <col min="16147" max="16384" width="9.140625" style="194"/>
  </cols>
  <sheetData>
    <row r="1" spans="1:19" x14ac:dyDescent="0.25">
      <c r="B1" s="192" t="s">
        <v>2773</v>
      </c>
      <c r="C1" s="192" t="s">
        <v>42</v>
      </c>
      <c r="E1" s="192">
        <v>1</v>
      </c>
      <c r="F1" s="192">
        <f>E1+1</f>
        <v>2</v>
      </c>
    </row>
    <row r="2" spans="1:19" s="2" customFormat="1" x14ac:dyDescent="0.25">
      <c r="A2" s="660"/>
      <c r="B2" s="1"/>
      <c r="C2" s="2" t="s">
        <v>0</v>
      </c>
      <c r="G2" s="390"/>
      <c r="H2" s="330"/>
      <c r="I2" s="353"/>
      <c r="J2" s="330"/>
    </row>
    <row r="3" spans="1:19" s="2" customFormat="1" ht="13.5" thickBot="1" x14ac:dyDescent="0.3">
      <c r="A3" s="660"/>
      <c r="B3" s="1"/>
      <c r="C3" s="6"/>
      <c r="D3" s="6"/>
      <c r="E3" s="6"/>
      <c r="G3" s="390"/>
      <c r="H3" s="330"/>
      <c r="I3" s="353"/>
      <c r="J3" s="330"/>
    </row>
    <row r="4" spans="1:19" s="2" customFormat="1" ht="15.75" customHeight="1" thickBot="1" x14ac:dyDescent="0.3">
      <c r="A4" s="660"/>
      <c r="B4" s="1"/>
      <c r="C4" s="355" t="s">
        <v>3337</v>
      </c>
      <c r="D4" s="356"/>
      <c r="E4" s="356"/>
      <c r="F4" s="356"/>
      <c r="G4" s="356"/>
      <c r="H4" s="356"/>
      <c r="I4" s="356"/>
      <c r="J4" s="516"/>
      <c r="O4" s="361"/>
    </row>
    <row r="5" spans="1:19" s="2" customFormat="1" ht="13.5" thickBot="1" x14ac:dyDescent="0.3">
      <c r="A5" s="660"/>
      <c r="B5" s="1"/>
      <c r="C5" s="13"/>
      <c r="D5" s="13"/>
      <c r="E5" s="13"/>
      <c r="F5" s="132"/>
      <c r="G5" s="132"/>
      <c r="H5" s="132"/>
      <c r="I5" s="132"/>
      <c r="J5" s="330"/>
      <c r="O5" s="361"/>
    </row>
    <row r="6" spans="1:19" s="2" customFormat="1" x14ac:dyDescent="0.25">
      <c r="A6" s="660"/>
      <c r="B6" s="660"/>
      <c r="C6" s="21" t="str">
        <f>oR!E5</f>
        <v>PROPRIETÁRIO:</v>
      </c>
      <c r="D6" s="23" t="str">
        <f>oR!G5</f>
        <v>MUNICÍPIO DE PRESIDENTE CASTELLO BRANCO</v>
      </c>
      <c r="E6" s="22"/>
      <c r="F6" s="165"/>
      <c r="G6" s="165"/>
      <c r="H6" s="165"/>
      <c r="I6" s="165"/>
      <c r="J6" s="25"/>
      <c r="O6" s="361"/>
    </row>
    <row r="7" spans="1:19" s="2" customFormat="1" x14ac:dyDescent="0.25">
      <c r="A7" s="660"/>
      <c r="B7" s="1"/>
      <c r="C7" s="26" t="str">
        <f>oR!E6</f>
        <v>OBRA:</v>
      </c>
      <c r="D7" s="28" t="str">
        <f>oR!G6</f>
        <v>IMPLANTAÇÃO E PAVIMENTAÇÃO DA ESTRADA DE LINHA TAQUARAL - SEGMENTO 01</v>
      </c>
      <c r="E7" s="27"/>
      <c r="F7" s="13"/>
      <c r="G7" s="13"/>
      <c r="H7" s="13"/>
      <c r="I7" s="13"/>
      <c r="J7" s="669"/>
      <c r="O7" s="361"/>
    </row>
    <row r="8" spans="1:19" s="2" customFormat="1" ht="15" customHeight="1" x14ac:dyDescent="0.25">
      <c r="A8" s="660"/>
      <c r="B8" s="1"/>
      <c r="C8" s="26" t="str">
        <f>oR!E7</f>
        <v>TRECHO:</v>
      </c>
      <c r="D8" s="28" t="str">
        <f>oR!G7</f>
        <v>Av. Dezessete de Fevereiro - Fim da pavimentação (Km 2+200m)</v>
      </c>
      <c r="E8" s="27"/>
      <c r="F8" s="13"/>
      <c r="G8" s="13"/>
      <c r="H8" s="13"/>
      <c r="I8" s="13"/>
      <c r="J8" s="1323"/>
      <c r="O8" s="415"/>
    </row>
    <row r="9" spans="1:19" s="2" customFormat="1" ht="13.5" thickBot="1" x14ac:dyDescent="0.3">
      <c r="A9" s="660"/>
      <c r="B9" s="1"/>
      <c r="C9" s="31"/>
      <c r="D9" s="183"/>
      <c r="E9" s="32"/>
      <c r="F9" s="184"/>
      <c r="G9" s="184"/>
      <c r="H9" s="184"/>
      <c r="I9" s="184"/>
      <c r="J9" s="270"/>
    </row>
    <row r="10" spans="1:19" ht="13.5" thickBot="1" x14ac:dyDescent="0.3"/>
    <row r="11" spans="1:19" s="188" customFormat="1" ht="13.5" thickBot="1" x14ac:dyDescent="0.3">
      <c r="A11" s="185">
        <v>1</v>
      </c>
      <c r="B11" s="185"/>
      <c r="C11" s="691"/>
      <c r="D11" s="692" t="str">
        <f>oR!G14</f>
        <v>SERVIÇOS INICIAIS</v>
      </c>
      <c r="E11" s="692"/>
      <c r="F11" s="692"/>
      <c r="G11" s="693"/>
      <c r="H11" s="694"/>
      <c r="I11" s="694"/>
      <c r="J11" s="695"/>
      <c r="N11" s="201"/>
      <c r="O11" s="194"/>
    </row>
    <row r="12" spans="1:19" x14ac:dyDescent="0.25">
      <c r="A12" s="329">
        <v>1</v>
      </c>
      <c r="B12" s="192">
        <v>0.1</v>
      </c>
      <c r="C12" s="1787" t="s">
        <v>42</v>
      </c>
      <c r="D12" s="1787"/>
      <c r="E12" s="688" t="s">
        <v>7519</v>
      </c>
      <c r="F12" s="689" t="s">
        <v>96</v>
      </c>
      <c r="G12" s="690"/>
      <c r="H12" s="65"/>
      <c r="I12" s="65"/>
      <c r="J12" s="65"/>
      <c r="M12" s="197"/>
    </row>
    <row r="13" spans="1:19" x14ac:dyDescent="0.25">
      <c r="A13" s="329">
        <v>1</v>
      </c>
      <c r="B13" s="329">
        <v>0.3</v>
      </c>
      <c r="C13" s="1774" t="s">
        <v>2778</v>
      </c>
      <c r="D13" s="382" t="s">
        <v>2774</v>
      </c>
      <c r="E13" s="427">
        <v>0</v>
      </c>
      <c r="F13" s="382"/>
      <c r="G13" s="375"/>
      <c r="I13" s="357">
        <v>1</v>
      </c>
      <c r="J13" s="361" t="s">
        <v>2842</v>
      </c>
      <c r="N13" s="197"/>
      <c r="O13" s="197"/>
      <c r="P13" s="197"/>
      <c r="Q13" s="197"/>
      <c r="R13" s="197"/>
    </row>
    <row r="14" spans="1:19" x14ac:dyDescent="0.25">
      <c r="A14" s="329">
        <v>1</v>
      </c>
      <c r="B14" s="329">
        <f t="shared" ref="B14" si="0">B13+0.1</f>
        <v>0.4</v>
      </c>
      <c r="C14" s="1774"/>
      <c r="D14" s="382" t="s">
        <v>2775</v>
      </c>
      <c r="E14" s="427">
        <v>140</v>
      </c>
      <c r="F14" s="382"/>
      <c r="G14" s="375"/>
      <c r="I14" s="357">
        <f>MAX($I$13:I13)+1</f>
        <v>2</v>
      </c>
      <c r="J14" s="361" t="s">
        <v>2842</v>
      </c>
      <c r="N14" s="197"/>
      <c r="O14" s="197"/>
      <c r="P14" s="197"/>
      <c r="Q14" s="197"/>
      <c r="R14" s="197"/>
    </row>
    <row r="15" spans="1:19" x14ac:dyDescent="0.25">
      <c r="A15" s="329">
        <v>1</v>
      </c>
      <c r="C15" s="1774"/>
      <c r="D15" s="381" t="s">
        <v>53</v>
      </c>
      <c r="E15" s="326">
        <f t="shared" ref="E15" si="1">E14-E13</f>
        <v>140</v>
      </c>
      <c r="F15" s="40">
        <f>SUM(E15:E15)</f>
        <v>140</v>
      </c>
      <c r="G15" s="375" t="s">
        <v>2598</v>
      </c>
      <c r="I15" s="357">
        <f>MAX($I$13:I14)+1</f>
        <v>3</v>
      </c>
      <c r="J15" s="361" t="str">
        <f>CONCATENATE("(",I15,")"," = ","(",I14,")-(",I13,")")</f>
        <v>(3) = (2)-(1)</v>
      </c>
      <c r="K15" s="197"/>
      <c r="L15" s="197"/>
      <c r="N15" s="197"/>
      <c r="O15" s="197"/>
      <c r="P15" s="197"/>
      <c r="Q15" s="197"/>
      <c r="R15" s="197"/>
      <c r="S15" s="197"/>
    </row>
    <row r="16" spans="1:19" x14ac:dyDescent="0.25">
      <c r="A16" s="855">
        <v>1</v>
      </c>
      <c r="C16" s="1774"/>
      <c r="D16" s="381" t="s">
        <v>5719</v>
      </c>
      <c r="E16" s="370">
        <v>0</v>
      </c>
      <c r="F16" s="40">
        <f>SUM(E16:E16)</f>
        <v>0</v>
      </c>
      <c r="G16" s="375" t="s">
        <v>2598</v>
      </c>
      <c r="H16" s="361"/>
      <c r="I16" s="357">
        <f>MAX($I$13:I15)+1</f>
        <v>4</v>
      </c>
      <c r="J16" s="361" t="s">
        <v>2842</v>
      </c>
      <c r="K16" s="197"/>
      <c r="L16" s="197"/>
      <c r="N16" s="197"/>
      <c r="O16" s="197"/>
      <c r="P16" s="197"/>
      <c r="Q16" s="197"/>
      <c r="R16" s="197"/>
      <c r="S16" s="197"/>
    </row>
    <row r="17" spans="1:19" x14ac:dyDescent="0.25">
      <c r="A17" s="855">
        <v>1</v>
      </c>
      <c r="B17" s="192">
        <v>0.55000000000000004</v>
      </c>
      <c r="C17" s="1774"/>
      <c r="D17" s="381" t="s">
        <v>2776</v>
      </c>
      <c r="E17" s="326">
        <f>E15+E16</f>
        <v>140</v>
      </c>
      <c r="F17" s="40">
        <f>SUM(E17:E17)</f>
        <v>140</v>
      </c>
      <c r="G17" s="375" t="s">
        <v>2598</v>
      </c>
      <c r="H17" s="361"/>
      <c r="I17" s="357">
        <f>MAX($I$13:I16)+1</f>
        <v>5</v>
      </c>
      <c r="J17" s="361" t="str">
        <f>CONCATENATE("(",I17,")"," = ","(",I16,")+(",I15,")")</f>
        <v>(5) = (4)+(3)</v>
      </c>
      <c r="K17" s="197"/>
      <c r="L17" s="197"/>
      <c r="N17" s="197"/>
      <c r="O17" s="197"/>
      <c r="P17" s="197"/>
      <c r="Q17" s="197"/>
      <c r="R17" s="197"/>
      <c r="S17" s="197"/>
    </row>
    <row r="18" spans="1:19" x14ac:dyDescent="0.25">
      <c r="A18" s="855">
        <v>1</v>
      </c>
      <c r="C18" s="1774"/>
      <c r="D18" s="381" t="s">
        <v>2777</v>
      </c>
      <c r="E18" s="1014">
        <v>7</v>
      </c>
      <c r="F18" s="40"/>
      <c r="G18" s="375" t="s">
        <v>2598</v>
      </c>
      <c r="H18" s="361"/>
      <c r="I18" s="357">
        <f>MAX($I$13:I17)+1</f>
        <v>6</v>
      </c>
      <c r="J18" s="361" t="s">
        <v>2842</v>
      </c>
      <c r="K18" s="197"/>
      <c r="L18" s="197"/>
      <c r="N18" s="197"/>
      <c r="O18" s="197"/>
      <c r="P18" s="197"/>
      <c r="Q18" s="197"/>
      <c r="R18" s="197"/>
      <c r="S18" s="197"/>
    </row>
    <row r="19" spans="1:19" x14ac:dyDescent="0.25">
      <c r="A19" s="855">
        <v>1</v>
      </c>
      <c r="C19" s="1774"/>
      <c r="D19" s="381" t="s">
        <v>2600</v>
      </c>
      <c r="E19" s="326">
        <f>E17*E18</f>
        <v>980</v>
      </c>
      <c r="F19" s="40">
        <f>SUM(E19:E19)</f>
        <v>980</v>
      </c>
      <c r="G19" s="375" t="s">
        <v>2595</v>
      </c>
      <c r="H19" s="361"/>
      <c r="I19" s="357">
        <f>MAX($I$13:I18)+1</f>
        <v>7</v>
      </c>
      <c r="J19" s="361" t="str">
        <f>CONCATENATE("(",I19,")"," = ","(",I18,")*(",I17,")")</f>
        <v>(7) = (6)*(5)</v>
      </c>
      <c r="K19" s="197"/>
      <c r="L19" s="197"/>
      <c r="N19" s="197"/>
      <c r="O19" s="197"/>
      <c r="P19" s="197"/>
      <c r="Q19" s="197"/>
      <c r="R19" s="197"/>
      <c r="S19" s="197"/>
    </row>
    <row r="20" spans="1:19" x14ac:dyDescent="0.25">
      <c r="A20" s="329">
        <v>1</v>
      </c>
      <c r="B20" s="192">
        <f>B14+0.1</f>
        <v>0.5</v>
      </c>
      <c r="C20" s="1774" t="s">
        <v>2779</v>
      </c>
      <c r="D20" s="1774"/>
      <c r="E20" s="370">
        <f>E395+E600+E664+E510</f>
        <v>992.85</v>
      </c>
      <c r="F20" s="40">
        <f>SUM(E20:E20)</f>
        <v>992.85</v>
      </c>
      <c r="G20" s="375" t="s">
        <v>2595</v>
      </c>
      <c r="H20" s="361"/>
      <c r="I20" s="357">
        <f>MAX($I$13:I19)+1</f>
        <v>8</v>
      </c>
      <c r="J20" s="361" t="s">
        <v>2842</v>
      </c>
      <c r="P20" s="197"/>
      <c r="R20" s="197"/>
    </row>
    <row r="21" spans="1:19" x14ac:dyDescent="0.25">
      <c r="A21" s="329">
        <v>1</v>
      </c>
      <c r="B21" s="329"/>
      <c r="C21" s="1774" t="s">
        <v>2905</v>
      </c>
      <c r="D21" s="1774"/>
      <c r="E21" s="425" t="s">
        <v>6738</v>
      </c>
      <c r="F21" s="40"/>
      <c r="G21" s="375"/>
      <c r="H21" s="361"/>
      <c r="I21" s="357"/>
      <c r="J21" s="361"/>
      <c r="P21" s="197"/>
      <c r="R21" s="197"/>
    </row>
    <row r="22" spans="1:19" ht="13.5" thickBot="1" x14ac:dyDescent="0.3">
      <c r="A22" s="329">
        <v>1</v>
      </c>
      <c r="B22" s="329"/>
      <c r="C22" s="329"/>
      <c r="D22" s="329"/>
      <c r="E22" s="329"/>
      <c r="F22" s="329"/>
      <c r="I22" s="357"/>
      <c r="J22" s="329">
        <f>727-440</f>
        <v>287</v>
      </c>
    </row>
    <row r="23" spans="1:19" s="191" customFormat="1" ht="15.75" thickBot="1" x14ac:dyDescent="0.3">
      <c r="A23" s="686">
        <f>IF(E29=0,0,1)</f>
        <v>1</v>
      </c>
      <c r="B23" s="189"/>
      <c r="C23" s="190">
        <f>oR!G15</f>
        <v>4813</v>
      </c>
      <c r="D23" s="324" t="str">
        <f>oR!H15</f>
        <v>Placa de obra padrão</v>
      </c>
      <c r="F23" s="325"/>
      <c r="G23" s="392"/>
      <c r="H23" s="364"/>
      <c r="I23" s="357"/>
      <c r="J23" s="364"/>
    </row>
    <row r="24" spans="1:19" x14ac:dyDescent="0.25">
      <c r="A24" s="329">
        <f>A23</f>
        <v>1</v>
      </c>
      <c r="C24" s="193"/>
      <c r="D24" s="194" t="s">
        <v>4267</v>
      </c>
      <c r="F24" s="328"/>
      <c r="G24" s="393"/>
      <c r="H24" s="365"/>
      <c r="I24" s="357"/>
      <c r="J24" s="365"/>
    </row>
    <row r="25" spans="1:19" x14ac:dyDescent="0.25">
      <c r="A25" s="329">
        <f t="shared" ref="A25:A30" si="2">A24</f>
        <v>1</v>
      </c>
      <c r="B25" s="329"/>
      <c r="C25" s="1777" t="s">
        <v>42</v>
      </c>
      <c r="D25" s="1777"/>
      <c r="E25" s="327" t="str">
        <f>E12</f>
        <v>ESTR. DE LINHA TAQUARAL</v>
      </c>
      <c r="F25" s="327" t="str">
        <f>F12</f>
        <v>Total</v>
      </c>
      <c r="G25" s="376"/>
      <c r="H25" s="65"/>
      <c r="I25" s="357"/>
      <c r="J25" s="65"/>
    </row>
    <row r="26" spans="1:19" x14ac:dyDescent="0.25">
      <c r="A26" s="329">
        <f t="shared" si="2"/>
        <v>1</v>
      </c>
      <c r="C26" s="1774" t="s">
        <v>2786</v>
      </c>
      <c r="D26" s="382" t="s">
        <v>12</v>
      </c>
      <c r="E26" s="527">
        <v>1</v>
      </c>
      <c r="F26" s="40">
        <f>SUM(E26:E26)</f>
        <v>1</v>
      </c>
      <c r="G26" s="375" t="s">
        <v>2599</v>
      </c>
      <c r="H26" s="361"/>
      <c r="I26" s="357">
        <f>MAX($I$13:I25)+1</f>
        <v>9</v>
      </c>
      <c r="J26" s="361" t="s">
        <v>2843</v>
      </c>
      <c r="K26" s="197"/>
      <c r="L26" s="197"/>
      <c r="Q26" s="196"/>
      <c r="R26" s="197"/>
      <c r="S26" s="197"/>
    </row>
    <row r="27" spans="1:19" x14ac:dyDescent="0.25">
      <c r="A27" s="329">
        <f t="shared" si="2"/>
        <v>1</v>
      </c>
      <c r="C27" s="1774"/>
      <c r="D27" s="382" t="s">
        <v>2602</v>
      </c>
      <c r="E27" s="527">
        <v>1.2</v>
      </c>
      <c r="F27" s="40"/>
      <c r="G27" s="375" t="s">
        <v>2598</v>
      </c>
      <c r="H27" s="361"/>
      <c r="I27" s="357">
        <f>MAX($I$13:I26)+1</f>
        <v>10</v>
      </c>
      <c r="J27" s="361" t="s">
        <v>2843</v>
      </c>
      <c r="K27" s="197"/>
      <c r="L27" s="197"/>
      <c r="Q27" s="196"/>
      <c r="R27" s="197"/>
      <c r="S27" s="197"/>
    </row>
    <row r="28" spans="1:19" x14ac:dyDescent="0.25">
      <c r="A28" s="329">
        <f t="shared" si="2"/>
        <v>1</v>
      </c>
      <c r="C28" s="1774"/>
      <c r="D28" s="382" t="s">
        <v>2585</v>
      </c>
      <c r="E28" s="527">
        <v>2.4</v>
      </c>
      <c r="F28" s="40"/>
      <c r="G28" s="375" t="s">
        <v>2598</v>
      </c>
      <c r="H28" s="361"/>
      <c r="I28" s="357">
        <f>MAX($I$13:I27)+1</f>
        <v>11</v>
      </c>
      <c r="J28" s="361" t="s">
        <v>2843</v>
      </c>
      <c r="K28" s="197"/>
      <c r="L28" s="197"/>
      <c r="Q28" s="196"/>
      <c r="R28" s="197"/>
      <c r="S28" s="197"/>
    </row>
    <row r="29" spans="1:19" s="188" customFormat="1" x14ac:dyDescent="0.25">
      <c r="A29" s="329">
        <f t="shared" si="2"/>
        <v>1</v>
      </c>
      <c r="B29" s="198">
        <v>1</v>
      </c>
      <c r="C29" s="1774"/>
      <c r="D29" s="384" t="s">
        <v>2772</v>
      </c>
      <c r="E29" s="438">
        <f>E28*E27*E26</f>
        <v>2.88</v>
      </c>
      <c r="F29" s="199">
        <f>SUM(E29:E29)</f>
        <v>2.88</v>
      </c>
      <c r="G29" s="376" t="s">
        <v>2595</v>
      </c>
      <c r="H29" s="366">
        <f>C23</f>
        <v>4813</v>
      </c>
      <c r="I29" s="369">
        <f>MAX($I$13:I28)+1</f>
        <v>12</v>
      </c>
      <c r="J29" s="65" t="str">
        <f>CONCATENATE("(",I29,")"," = ","(",I28,")*(",I27,")*(",I26,")")</f>
        <v>(12) = (11)*(10)*(9)</v>
      </c>
      <c r="K29" s="201"/>
      <c r="L29" s="201"/>
      <c r="Q29" s="200"/>
      <c r="R29" s="201"/>
      <c r="S29" s="201"/>
    </row>
    <row r="30" spans="1:19" ht="13.5" thickBot="1" x14ac:dyDescent="0.3">
      <c r="A30" s="329">
        <f t="shared" si="2"/>
        <v>1</v>
      </c>
      <c r="B30" s="329"/>
      <c r="C30" s="329"/>
      <c r="D30" s="329"/>
      <c r="E30" s="329"/>
      <c r="F30" s="329"/>
      <c r="I30" s="357"/>
    </row>
    <row r="31" spans="1:19" s="191" customFormat="1" ht="15.75" hidden="1" thickBot="1" x14ac:dyDescent="0.3">
      <c r="A31" s="686">
        <f>IF(E37=0,0,1)</f>
        <v>0</v>
      </c>
      <c r="B31" s="189"/>
      <c r="C31" s="190">
        <f>oR!G16</f>
        <v>4813</v>
      </c>
      <c r="D31" s="324" t="str">
        <f>oR!H16</f>
        <v xml:space="preserve">PLACA DE OBRA (PARA CONSTRUCAO CIVIL) EM CHAPA GALVANIZADA *N. 22*, ADESIVADA, DE *2,4 X 1,2* M (SEM POSTES PARA FIXACAO)                                                                                                                                                                                                                                                                                                                                                                                 </v>
      </c>
      <c r="F31" s="325"/>
      <c r="G31" s="392"/>
      <c r="H31" s="364"/>
      <c r="I31" s="357"/>
      <c r="J31" s="364" t="e">
        <f>DRENAGEM!#REF!</f>
        <v>#REF!</v>
      </c>
    </row>
    <row r="32" spans="1:19" ht="13.5" hidden="1" thickBot="1" x14ac:dyDescent="0.3">
      <c r="A32" s="329">
        <f>A31</f>
        <v>0</v>
      </c>
      <c r="B32" s="329"/>
      <c r="C32" s="193"/>
      <c r="D32" s="194" t="s">
        <v>3168</v>
      </c>
      <c r="E32" s="329"/>
      <c r="F32" s="524"/>
      <c r="G32" s="393"/>
      <c r="H32" s="365"/>
      <c r="I32" s="357"/>
      <c r="J32" s="365"/>
    </row>
    <row r="33" spans="1:19" ht="13.5" hidden="1" thickBot="1" x14ac:dyDescent="0.3">
      <c r="A33" s="329">
        <f t="shared" ref="A33:A38" si="3">A32</f>
        <v>0</v>
      </c>
      <c r="B33" s="329"/>
      <c r="C33" s="1777" t="s">
        <v>42</v>
      </c>
      <c r="D33" s="1777"/>
      <c r="E33" s="327" t="str">
        <f>E25</f>
        <v>ESTR. DE LINHA TAQUARAL</v>
      </c>
      <c r="F33" s="327" t="str">
        <f>F25</f>
        <v>Total</v>
      </c>
      <c r="G33" s="376"/>
      <c r="H33" s="65"/>
      <c r="I33" s="357"/>
      <c r="J33" s="65"/>
    </row>
    <row r="34" spans="1:19" ht="13.5" hidden="1" thickBot="1" x14ac:dyDescent="0.3">
      <c r="A34" s="329">
        <f t="shared" si="3"/>
        <v>0</v>
      </c>
      <c r="B34" s="329"/>
      <c r="C34" s="1774" t="s">
        <v>2786</v>
      </c>
      <c r="D34" s="521" t="s">
        <v>12</v>
      </c>
      <c r="E34" s="527">
        <v>0</v>
      </c>
      <c r="F34" s="40">
        <f>SUM(E34:E34)</f>
        <v>0</v>
      </c>
      <c r="G34" s="375" t="s">
        <v>2599</v>
      </c>
      <c r="H34" s="361"/>
      <c r="I34" s="357">
        <f>MAX($I$13:I33)+1</f>
        <v>13</v>
      </c>
      <c r="J34" s="361" t="s">
        <v>2843</v>
      </c>
      <c r="K34" s="197"/>
      <c r="L34" s="197"/>
      <c r="Q34" s="196"/>
      <c r="R34" s="197"/>
      <c r="S34" s="197"/>
    </row>
    <row r="35" spans="1:19" ht="13.5" hidden="1" thickBot="1" x14ac:dyDescent="0.3">
      <c r="A35" s="329">
        <f t="shared" si="3"/>
        <v>0</v>
      </c>
      <c r="B35" s="329"/>
      <c r="C35" s="1774"/>
      <c r="D35" s="521" t="s">
        <v>2602</v>
      </c>
      <c r="E35" s="527">
        <f>E27</f>
        <v>1.2</v>
      </c>
      <c r="F35" s="40"/>
      <c r="G35" s="375" t="s">
        <v>2598</v>
      </c>
      <c r="H35" s="361"/>
      <c r="I35" s="357">
        <f>MAX($I$13:I34)+1</f>
        <v>14</v>
      </c>
      <c r="J35" s="361" t="s">
        <v>2843</v>
      </c>
      <c r="K35" s="197"/>
      <c r="L35" s="197"/>
      <c r="Q35" s="196"/>
      <c r="R35" s="197"/>
      <c r="S35" s="197"/>
    </row>
    <row r="36" spans="1:19" ht="13.5" hidden="1" thickBot="1" x14ac:dyDescent="0.3">
      <c r="A36" s="329">
        <f t="shared" si="3"/>
        <v>0</v>
      </c>
      <c r="B36" s="329"/>
      <c r="C36" s="1774"/>
      <c r="D36" s="521" t="s">
        <v>2585</v>
      </c>
      <c r="E36" s="527">
        <f>E28</f>
        <v>2.4</v>
      </c>
      <c r="F36" s="40"/>
      <c r="G36" s="375" t="s">
        <v>2598</v>
      </c>
      <c r="H36" s="361"/>
      <c r="I36" s="357">
        <f>MAX($I$13:I35)+1</f>
        <v>15</v>
      </c>
      <c r="J36" s="361" t="s">
        <v>2843</v>
      </c>
      <c r="K36" s="197"/>
      <c r="L36" s="197"/>
      <c r="Q36" s="196"/>
      <c r="R36" s="197"/>
      <c r="S36" s="197"/>
    </row>
    <row r="37" spans="1:19" s="188" customFormat="1" ht="13.5" hidden="1" thickBot="1" x14ac:dyDescent="0.3">
      <c r="A37" s="329">
        <f t="shared" si="3"/>
        <v>0</v>
      </c>
      <c r="B37" s="461">
        <v>1.1000000000000001</v>
      </c>
      <c r="C37" s="1774"/>
      <c r="D37" s="523" t="s">
        <v>2772</v>
      </c>
      <c r="E37" s="438">
        <f>E36*E35*E34</f>
        <v>0</v>
      </c>
      <c r="F37" s="199">
        <f>SUM(E37:E37)</f>
        <v>0</v>
      </c>
      <c r="G37" s="376" t="s">
        <v>2595</v>
      </c>
      <c r="H37" s="366">
        <f>C31</f>
        <v>4813</v>
      </c>
      <c r="I37" s="369">
        <f>MAX($I$13:I36)+1</f>
        <v>16</v>
      </c>
      <c r="J37" s="65" t="str">
        <f>CONCATENATE("(",I37,")"," = ","(",I36,")*(",I35,")*(",I34,")")</f>
        <v>(16) = (15)*(14)*(13)</v>
      </c>
      <c r="K37" s="201"/>
      <c r="L37" s="201"/>
      <c r="Q37" s="200"/>
      <c r="R37" s="201"/>
      <c r="S37" s="201"/>
    </row>
    <row r="38" spans="1:19" ht="13.5" hidden="1" thickBot="1" x14ac:dyDescent="0.3">
      <c r="A38" s="329">
        <f t="shared" si="3"/>
        <v>0</v>
      </c>
      <c r="B38" s="329"/>
      <c r="C38" s="329"/>
      <c r="D38" s="329"/>
      <c r="E38" s="329"/>
      <c r="F38" s="329"/>
      <c r="I38" s="357"/>
    </row>
    <row r="39" spans="1:19" s="191" customFormat="1" ht="15.75" thickBot="1" x14ac:dyDescent="0.3">
      <c r="A39" s="686">
        <f>IF(E43=0,0,1)</f>
        <v>1</v>
      </c>
      <c r="B39" s="189"/>
      <c r="C39" s="190">
        <f>oR!G17</f>
        <v>99064</v>
      </c>
      <c r="D39" s="324" t="str">
        <f>oR!H17</f>
        <v>Serviços de topografia para pavimentação</v>
      </c>
      <c r="F39" s="325"/>
      <c r="G39" s="392"/>
      <c r="H39" s="364"/>
      <c r="I39" s="357"/>
      <c r="J39" s="364"/>
    </row>
    <row r="40" spans="1:19" x14ac:dyDescent="0.25">
      <c r="A40" s="329">
        <f>A39</f>
        <v>1</v>
      </c>
      <c r="B40" s="329"/>
      <c r="C40" s="193"/>
      <c r="D40" s="194" t="s">
        <v>4604</v>
      </c>
      <c r="E40" s="329"/>
      <c r="F40" s="524"/>
      <c r="G40" s="393"/>
      <c r="H40" s="365"/>
      <c r="I40" s="357"/>
      <c r="J40" s="365"/>
    </row>
    <row r="41" spans="1:19" x14ac:dyDescent="0.25">
      <c r="A41" s="329">
        <f t="shared" ref="A41:A44" si="4">A40</f>
        <v>1</v>
      </c>
      <c r="B41" s="329"/>
      <c r="C41" s="1777" t="s">
        <v>42</v>
      </c>
      <c r="D41" s="1777"/>
      <c r="E41" s="327" t="str">
        <f>E33</f>
        <v>ESTR. DE LINHA TAQUARAL</v>
      </c>
      <c r="F41" s="327" t="str">
        <f>F33</f>
        <v>Total</v>
      </c>
      <c r="G41" s="376"/>
      <c r="H41" s="65"/>
      <c r="I41" s="357"/>
      <c r="J41" s="65"/>
    </row>
    <row r="42" spans="1:19" x14ac:dyDescent="0.25">
      <c r="A42" s="329">
        <f t="shared" si="4"/>
        <v>1</v>
      </c>
      <c r="B42" s="329"/>
      <c r="C42" s="1788" t="s">
        <v>3169</v>
      </c>
      <c r="D42" s="522" t="s">
        <v>53</v>
      </c>
      <c r="E42" s="527">
        <f>E17</f>
        <v>140</v>
      </c>
      <c r="F42" s="439">
        <f>SUM(E42:E42)</f>
        <v>140</v>
      </c>
      <c r="G42" s="430" t="s">
        <v>2598</v>
      </c>
      <c r="H42" s="361"/>
      <c r="I42" s="357">
        <f>MAX($I$13:I41)+1</f>
        <v>17</v>
      </c>
      <c r="J42" s="361" t="str">
        <f>CONCATENATE("(",I42,")"," = ","(",I15,")")</f>
        <v>(17) = (3)</v>
      </c>
      <c r="K42" s="197"/>
      <c r="L42" s="197"/>
      <c r="Q42" s="196"/>
      <c r="R42" s="197"/>
      <c r="S42" s="197"/>
    </row>
    <row r="43" spans="1:19" s="188" customFormat="1" x14ac:dyDescent="0.25">
      <c r="A43" s="329">
        <f t="shared" si="4"/>
        <v>1</v>
      </c>
      <c r="B43" s="461">
        <v>1.2</v>
      </c>
      <c r="C43" s="1788"/>
      <c r="D43" s="434" t="s">
        <v>96</v>
      </c>
      <c r="E43" s="438">
        <f>SUM(E42:E42)</f>
        <v>140</v>
      </c>
      <c r="F43" s="438">
        <f>SUM(F42:F42)</f>
        <v>140</v>
      </c>
      <c r="G43" s="435" t="s">
        <v>2598</v>
      </c>
      <c r="H43" s="366">
        <f>C39</f>
        <v>99064</v>
      </c>
      <c r="I43" s="369">
        <f>MAX($I$13:I42)+1</f>
        <v>18</v>
      </c>
      <c r="J43" s="65" t="str">
        <f>CONCATENATE("(",I43,")"," = ","(",I42,")")</f>
        <v>(18) = (17)</v>
      </c>
      <c r="K43" s="201"/>
      <c r="L43" s="201"/>
      <c r="Q43" s="200"/>
      <c r="R43" s="201"/>
      <c r="S43" s="201"/>
    </row>
    <row r="44" spans="1:19" s="188" customFormat="1" x14ac:dyDescent="0.25">
      <c r="A44" s="329">
        <f t="shared" si="4"/>
        <v>1</v>
      </c>
      <c r="B44" s="185"/>
      <c r="C44" s="185"/>
      <c r="D44" s="185"/>
      <c r="E44" s="195"/>
      <c r="F44" s="185"/>
      <c r="G44" s="394"/>
      <c r="H44" s="185"/>
      <c r="I44" s="185"/>
      <c r="J44" s="185"/>
    </row>
    <row r="45" spans="1:19" ht="13.5" thickBot="1" x14ac:dyDescent="0.3">
      <c r="A45" s="329">
        <f>IF(SUM(A23:A44)&gt;0,1,0)</f>
        <v>1</v>
      </c>
    </row>
    <row r="46" spans="1:19" s="188" customFormat="1" ht="13.5" hidden="1" thickBot="1" x14ac:dyDescent="0.3">
      <c r="A46" s="687">
        <f ca="1">IF(SUM(A50:A132)&gt;0,1,0)</f>
        <v>0</v>
      </c>
      <c r="B46" s="185"/>
      <c r="C46" s="691"/>
      <c r="D46" s="692" t="str">
        <f>oR!G19</f>
        <v>DRENAGEM E OAC</v>
      </c>
      <c r="E46" s="692"/>
      <c r="F46" s="692"/>
      <c r="G46" s="693"/>
      <c r="H46" s="694"/>
      <c r="I46" s="694"/>
      <c r="J46" s="695"/>
    </row>
    <row r="47" spans="1:19" s="188" customFormat="1" ht="13.5" hidden="1" thickBot="1" x14ac:dyDescent="0.3">
      <c r="A47" s="687">
        <f ca="1">IF(SUM(A50:A131)&gt;0,1,0)</f>
        <v>0</v>
      </c>
      <c r="B47" s="185"/>
      <c r="C47" s="186"/>
      <c r="D47" s="187" t="str">
        <f>oR!G20</f>
        <v>DRENAGEM TRECHO URBANO</v>
      </c>
      <c r="E47" s="187"/>
      <c r="F47" s="187"/>
      <c r="G47" s="391"/>
      <c r="H47" s="186"/>
      <c r="I47" s="186"/>
      <c r="J47" s="186"/>
    </row>
    <row r="48" spans="1:19" ht="13.5" hidden="1" thickBot="1" x14ac:dyDescent="0.3">
      <c r="A48" s="329">
        <f ca="1">A46</f>
        <v>0</v>
      </c>
      <c r="B48" s="329"/>
      <c r="C48" s="193"/>
      <c r="D48" s="194" t="s">
        <v>5150</v>
      </c>
      <c r="E48" s="329"/>
      <c r="F48" s="328"/>
      <c r="G48" s="393"/>
      <c r="H48" s="365"/>
      <c r="I48" s="365"/>
      <c r="J48" s="365"/>
    </row>
    <row r="49" spans="1:12" ht="13.5" hidden="1" thickBot="1" x14ac:dyDescent="0.3">
      <c r="A49" s="329">
        <f ca="1">IF(SUM(A52:A100)&gt;0,1,0)</f>
        <v>0</v>
      </c>
      <c r="B49" s="329"/>
      <c r="C49" s="1777" t="s">
        <v>42</v>
      </c>
      <c r="D49" s="1777"/>
      <c r="E49" s="327" t="str">
        <f>E12</f>
        <v>ESTR. DE LINHA TAQUARAL</v>
      </c>
      <c r="F49" s="384" t="s">
        <v>96</v>
      </c>
      <c r="G49" s="376"/>
      <c r="H49" s="65"/>
      <c r="I49" s="65"/>
      <c r="J49" s="65"/>
    </row>
    <row r="50" spans="1:12" s="332" customFormat="1" ht="13.5" hidden="1" thickBot="1" x14ac:dyDescent="0.3">
      <c r="A50" s="686">
        <f ca="1">IF(E50=0,0,1)</f>
        <v>0</v>
      </c>
      <c r="B50" s="358">
        <f>B29+1</f>
        <v>2</v>
      </c>
      <c r="C50" s="333">
        <f>oR!G21</f>
        <v>4805762</v>
      </c>
      <c r="D50" s="354" t="str">
        <f>oR!H21</f>
        <v>Escavação mecânica de vala em material de 2ª categoria</v>
      </c>
      <c r="E50" s="326">
        <f ca="1">VLOOKUP(MEMORIA!E$101,DRENAGEM!$AL$12:$BY$13,$K50)+VLOOKUP(MEMORIA!E$101,DRENAGEM!$CB$11:$DS$12,$L50)</f>
        <v>0</v>
      </c>
      <c r="F50" s="326">
        <f ca="1">SUM(E50:E50)</f>
        <v>0</v>
      </c>
      <c r="G50" s="375" t="s">
        <v>2596</v>
      </c>
      <c r="H50" s="361"/>
      <c r="I50" s="357">
        <f>MAX($I$13:I49)+1</f>
        <v>19</v>
      </c>
      <c r="J50" s="361" t="s">
        <v>2844</v>
      </c>
      <c r="K50" s="1320">
        <f>DRENAGEM!BH17</f>
        <v>23</v>
      </c>
      <c r="L50" s="1320">
        <f>DRENAGEM!CO17</f>
        <v>14</v>
      </c>
    </row>
    <row r="51" spans="1:12" ht="13.5" hidden="1" thickBot="1" x14ac:dyDescent="0.3">
      <c r="A51" s="686">
        <f t="shared" ref="A51:A100" ca="1" si="5">IF(E51=0,0,1)</f>
        <v>0</v>
      </c>
      <c r="B51" s="359">
        <f>B50+1</f>
        <v>3</v>
      </c>
      <c r="C51" s="333">
        <f>oR!G22</f>
        <v>4805765</v>
      </c>
      <c r="D51" s="354" t="str">
        <f>oR!H22</f>
        <v>Escavação de vala em material de 3ª categoria</v>
      </c>
      <c r="E51" s="326">
        <f ca="1">VLOOKUP(MEMORIA!E$101,DRENAGEM!$AL$12:$BY$13,$K51)+VLOOKUP(MEMORIA!E$101,DRENAGEM!$CB$11:$DS$12,$L51)</f>
        <v>0</v>
      </c>
      <c r="F51" s="326">
        <f t="shared" ref="F51:F100" ca="1" si="6">SUM(E51:E51)</f>
        <v>0</v>
      </c>
      <c r="G51" s="375" t="s">
        <v>2596</v>
      </c>
      <c r="H51" s="361"/>
      <c r="I51" s="357">
        <f>MAX($I$13:I50)+1</f>
        <v>20</v>
      </c>
      <c r="J51" s="361" t="s">
        <v>2844</v>
      </c>
      <c r="K51" s="197">
        <f>DRENAGEM!BG17</f>
        <v>22</v>
      </c>
      <c r="L51" s="197">
        <f>DRENAGEM!CN17</f>
        <v>13</v>
      </c>
    </row>
    <row r="52" spans="1:12" ht="13.5" hidden="1" thickBot="1" x14ac:dyDescent="0.3">
      <c r="A52" s="686">
        <f t="shared" ca="1" si="5"/>
        <v>0</v>
      </c>
      <c r="B52" s="359">
        <f t="shared" ref="B52:B59" si="7">B51+1</f>
        <v>4</v>
      </c>
      <c r="C52" s="333">
        <f>oR!G23</f>
        <v>5914374</v>
      </c>
      <c r="D52" s="354" t="str">
        <f>oR!H23</f>
        <v>Transporte com caminhão basculante de 10 m³ - rodovia em revestimento primário</v>
      </c>
      <c r="E52" s="326">
        <f ca="1">E53*DMT!J10*1.5</f>
        <v>0</v>
      </c>
      <c r="F52" s="326">
        <f t="shared" ca="1" si="6"/>
        <v>0</v>
      </c>
      <c r="G52" s="375" t="s">
        <v>2784</v>
      </c>
      <c r="H52" s="361"/>
      <c r="I52" s="357">
        <f>MAX($I$13:I51)+1</f>
        <v>21</v>
      </c>
      <c r="J52" s="361" t="str">
        <f>CONCATENATE("(",I52,")"," = ","(",I53,")*DMT*1,5")</f>
        <v>(21) = (22)*DMT*1,5</v>
      </c>
    </row>
    <row r="53" spans="1:12" ht="13.5" hidden="1" thickBot="1" x14ac:dyDescent="0.3">
      <c r="A53" s="686">
        <f t="shared" ca="1" si="5"/>
        <v>0</v>
      </c>
      <c r="B53" s="359">
        <f t="shared" si="7"/>
        <v>5</v>
      </c>
      <c r="C53" s="333">
        <f>oR!G24</f>
        <v>4413942</v>
      </c>
      <c r="D53" s="398" t="str">
        <f>oR!H24</f>
        <v>Espalhamento de material em bota-fora</v>
      </c>
      <c r="E53" s="326">
        <f ca="1">(E50-E56*1.3+E51-E57)</f>
        <v>0</v>
      </c>
      <c r="F53" s="326">
        <f t="shared" ca="1" si="6"/>
        <v>0</v>
      </c>
      <c r="G53" s="375" t="s">
        <v>2596</v>
      </c>
      <c r="H53" s="361"/>
      <c r="I53" s="357">
        <f>MAX($I$13:I52)+1</f>
        <v>22</v>
      </c>
      <c r="J53" s="361" t="str">
        <f>CONCATENATE("(",I53,")"," = ","(",I50,")+(",I51,")-(",I56,")*1,30-(",I57,")")</f>
        <v>(22) = (19)+(20)-(25)*1,30-(26)</v>
      </c>
      <c r="K53" s="194">
        <v>27</v>
      </c>
      <c r="L53" s="194">
        <v>20</v>
      </c>
    </row>
    <row r="54" spans="1:12" ht="13.5" hidden="1" thickBot="1" x14ac:dyDescent="0.3">
      <c r="A54" s="686">
        <f t="shared" si="5"/>
        <v>0</v>
      </c>
      <c r="B54" s="359">
        <f t="shared" si="7"/>
        <v>6</v>
      </c>
      <c r="C54" s="333">
        <f>oR!G25</f>
        <v>4016096</v>
      </c>
      <c r="D54" s="354" t="str">
        <f>oR!H25</f>
        <v>Escavação e carga de material de jazida com escavadeira hidráulica de 1,56 m³</v>
      </c>
      <c r="E54" s="326">
        <f>VLOOKUP(MEMORIA!E$101,DRENAGEM!$AL$12:$BY$13,$K54)+VLOOKUP(MEMORIA!E$101,DRENAGEM!$CB$11:$DS$12,$L54)</f>
        <v>0</v>
      </c>
      <c r="F54" s="326">
        <f t="shared" si="6"/>
        <v>0</v>
      </c>
      <c r="G54" s="375" t="s">
        <v>2596</v>
      </c>
      <c r="H54" s="361"/>
      <c r="I54" s="357">
        <f>MAX($I$13:I53)+1</f>
        <v>23</v>
      </c>
      <c r="J54" s="361" t="s">
        <v>2844</v>
      </c>
      <c r="K54" s="194">
        <f>K53</f>
        <v>27</v>
      </c>
      <c r="L54" s="194">
        <f>L53</f>
        <v>20</v>
      </c>
    </row>
    <row r="55" spans="1:12" ht="13.5" hidden="1" thickBot="1" x14ac:dyDescent="0.3">
      <c r="A55" s="686">
        <f t="shared" si="5"/>
        <v>0</v>
      </c>
      <c r="B55" s="359">
        <f t="shared" si="7"/>
        <v>7</v>
      </c>
      <c r="C55" s="333">
        <f>oR!G26</f>
        <v>5914374</v>
      </c>
      <c r="D55" s="354" t="str">
        <f>oR!H26</f>
        <v>Transporte com caminhão basculante de 10 m³ - rodovia em revestimento primário</v>
      </c>
      <c r="E55" s="326">
        <f>E54*DMT!$I$10*1.5</f>
        <v>0</v>
      </c>
      <c r="F55" s="326">
        <f t="shared" si="6"/>
        <v>0</v>
      </c>
      <c r="G55" s="375" t="s">
        <v>2784</v>
      </c>
      <c r="H55" s="361"/>
      <c r="I55" s="357">
        <f>MAX($I$13:I54)+1</f>
        <v>24</v>
      </c>
      <c r="J55" s="361" t="str">
        <f>CONCATENATE("(",I55,")"," = ","(",I54,")*DMT*1,5")</f>
        <v>(24) = (23)*DMT*1,5</v>
      </c>
    </row>
    <row r="56" spans="1:12" ht="13.5" hidden="1" thickBot="1" x14ac:dyDescent="0.3">
      <c r="A56" s="686">
        <f t="shared" ca="1" si="5"/>
        <v>0</v>
      </c>
      <c r="B56" s="359">
        <f t="shared" si="7"/>
        <v>8</v>
      </c>
      <c r="C56" s="333">
        <f>oR!G27</f>
        <v>4815671</v>
      </c>
      <c r="D56" s="354" t="str">
        <f>oR!H27</f>
        <v>Reaterro e compactação com soquete vibratório</v>
      </c>
      <c r="E56" s="326">
        <f ca="1">VLOOKUP(MEMORIA!E$101,DRENAGEM!$AL$12:$BY$13,$K56)+VLOOKUP(MEMORIA!E$101,DRENAGEM!$CB$11:$DS$12,$L56)</f>
        <v>0</v>
      </c>
      <c r="F56" s="326">
        <f t="shared" ca="1" si="6"/>
        <v>0</v>
      </c>
      <c r="G56" s="375" t="s">
        <v>2596</v>
      </c>
      <c r="H56" s="361"/>
      <c r="I56" s="357">
        <f>MAX($I$13:I55)+1</f>
        <v>25</v>
      </c>
      <c r="J56" s="361" t="s">
        <v>2844</v>
      </c>
      <c r="K56" s="194">
        <v>28</v>
      </c>
      <c r="L56" s="194">
        <v>19</v>
      </c>
    </row>
    <row r="57" spans="1:12" ht="13.5" hidden="1" thickBot="1" x14ac:dyDescent="0.3">
      <c r="A57" s="686">
        <f t="shared" si="5"/>
        <v>0</v>
      </c>
      <c r="B57" s="396">
        <f>B56+0.5</f>
        <v>8.5</v>
      </c>
      <c r="C57" s="333" t="str">
        <f>oR!G28</f>
        <v>COMP 46</v>
      </c>
      <c r="D57" s="354" t="str">
        <f>oR!H28</f>
        <v>Reaterro de vala com brita</v>
      </c>
      <c r="E57" s="326">
        <f>VLOOKUP(MEMORIA!E$101,DRENAGEM!$AL$12:$BY$13,$K57)+VLOOKUP(MEMORIA!E$101,DRENAGEM!$CB$11:$DS$12,$L57)</f>
        <v>0</v>
      </c>
      <c r="F57" s="326">
        <f t="shared" si="6"/>
        <v>0</v>
      </c>
      <c r="G57" s="375" t="s">
        <v>2596</v>
      </c>
      <c r="H57" s="361"/>
      <c r="I57" s="357">
        <f>MAX($I$13:I56)+1</f>
        <v>26</v>
      </c>
      <c r="J57" s="361" t="s">
        <v>2844</v>
      </c>
      <c r="K57" s="194">
        <v>29</v>
      </c>
      <c r="L57" s="194">
        <v>20</v>
      </c>
    </row>
    <row r="58" spans="1:12" ht="26.25" hidden="1" thickBot="1" x14ac:dyDescent="0.3">
      <c r="A58" s="686">
        <f t="shared" ca="1" si="5"/>
        <v>0</v>
      </c>
      <c r="B58" s="359">
        <f>B56+1</f>
        <v>9</v>
      </c>
      <c r="C58" s="333">
        <f>oR!G29</f>
        <v>2003850</v>
      </c>
      <c r="D58" s="354" t="str">
        <f>oR!H29</f>
        <v>Lastro de brita comercial compactado com soquete vibratório - espalhamento manual</v>
      </c>
      <c r="E58" s="326">
        <f ca="1">VLOOKUP(MEMORIA!E$101,DRENAGEM!$AL$12:$BY$13,$K58)</f>
        <v>0</v>
      </c>
      <c r="F58" s="326">
        <f t="shared" ca="1" si="6"/>
        <v>0</v>
      </c>
      <c r="G58" s="375" t="s">
        <v>2596</v>
      </c>
      <c r="H58" s="361"/>
      <c r="I58" s="357">
        <f>MAX($I$13:I57)+1</f>
        <v>27</v>
      </c>
      <c r="J58" s="361" t="s">
        <v>2844</v>
      </c>
      <c r="K58" s="194">
        <f>DRENAGEM!BP17</f>
        <v>31</v>
      </c>
    </row>
    <row r="59" spans="1:12" ht="13.5" hidden="1" thickBot="1" x14ac:dyDescent="0.3">
      <c r="A59" s="686">
        <f t="shared" ca="1" si="5"/>
        <v>0</v>
      </c>
      <c r="B59" s="359">
        <f t="shared" si="7"/>
        <v>10</v>
      </c>
      <c r="C59" s="333">
        <f>oR!G30</f>
        <v>5914389</v>
      </c>
      <c r="D59" s="398" t="str">
        <f>oR!H30</f>
        <v>Transporte com caminhão basculante de 10 m³ - rodovia pavimentada</v>
      </c>
      <c r="E59" s="326">
        <f ca="1">E58*DMT!$H$10*1.5</f>
        <v>0</v>
      </c>
      <c r="F59" s="326">
        <f t="shared" ca="1" si="6"/>
        <v>0</v>
      </c>
      <c r="G59" s="375" t="s">
        <v>2784</v>
      </c>
      <c r="H59" s="361"/>
      <c r="I59" s="357">
        <f>MAX($I$13:I58)+1</f>
        <v>28</v>
      </c>
      <c r="J59" s="361" t="str">
        <f>CONCATENATE("(",I59,")"," = ","(",I58,")*DMT*1,5")</f>
        <v>(28) = (27)*DMT*1,5</v>
      </c>
    </row>
    <row r="60" spans="1:12" ht="15" hidden="1" customHeight="1" thickBot="1" x14ac:dyDescent="0.3">
      <c r="A60" s="686">
        <f t="shared" ca="1" si="5"/>
        <v>0</v>
      </c>
      <c r="B60" s="359">
        <f>oR!D31</f>
        <v>11</v>
      </c>
      <c r="C60" s="333" t="str">
        <f>oR!G31</f>
        <v>COMP 52</v>
      </c>
      <c r="D60" s="354" t="str">
        <f>oR!H31</f>
        <v>Tubo de concreto PA1 comercial para drenagem - D = 0,40 m - fornecimento e instalação</v>
      </c>
      <c r="E60" s="326">
        <f ca="1">VLOOKUP(MEMORIA!E$101,DRENAGEM!$AL$12:$BY$13,$K60)</f>
        <v>0</v>
      </c>
      <c r="F60" s="326">
        <f t="shared" ca="1" si="6"/>
        <v>0</v>
      </c>
      <c r="G60" s="375" t="s">
        <v>2598</v>
      </c>
      <c r="H60" s="361"/>
      <c r="I60" s="357">
        <f>MAX($I$13:I59)+1</f>
        <v>29</v>
      </c>
      <c r="J60" s="361" t="s">
        <v>2844</v>
      </c>
      <c r="K60" s="194">
        <v>9</v>
      </c>
    </row>
    <row r="61" spans="1:12" ht="15" hidden="1" customHeight="1" thickBot="1" x14ac:dyDescent="0.3">
      <c r="A61" s="686">
        <f t="shared" ca="1" si="5"/>
        <v>0</v>
      </c>
      <c r="B61" s="359">
        <f>oR!D32</f>
        <v>12</v>
      </c>
      <c r="C61" s="333">
        <f>oR!G32</f>
        <v>2003822</v>
      </c>
      <c r="D61" s="354" t="str">
        <f>oR!H32</f>
        <v>Tubo de concreto PA1 comercial para drenagem - D = 0,60 m - fornecimento e instalação</v>
      </c>
      <c r="E61" s="326">
        <f ca="1">VLOOKUP(MEMORIA!E$101,DRENAGEM!$AL$12:$BY$13,$K61)</f>
        <v>0</v>
      </c>
      <c r="F61" s="326">
        <f t="shared" ca="1" si="6"/>
        <v>0</v>
      </c>
      <c r="G61" s="375" t="s">
        <v>2598</v>
      </c>
      <c r="H61" s="361"/>
      <c r="I61" s="357">
        <f>MAX($I$13:I60)+1</f>
        <v>30</v>
      </c>
      <c r="J61" s="361" t="s">
        <v>2844</v>
      </c>
      <c r="K61" s="194">
        <f>K60+1</f>
        <v>10</v>
      </c>
    </row>
    <row r="62" spans="1:12" ht="26.25" hidden="1" thickBot="1" x14ac:dyDescent="0.3">
      <c r="A62" s="686">
        <f t="shared" ca="1" si="5"/>
        <v>0</v>
      </c>
      <c r="B62" s="396">
        <f>oR!D33</f>
        <v>13</v>
      </c>
      <c r="C62" s="333">
        <f>oR!G33</f>
        <v>2003826</v>
      </c>
      <c r="D62" s="354" t="str">
        <f>oR!H33</f>
        <v>Tubo de concreto PA1 comercial para drenagem - D = 0,80 m - fornecimento e instalação</v>
      </c>
      <c r="E62" s="326">
        <f ca="1">VLOOKUP(MEMORIA!E$101,DRENAGEM!$AL$12:$BY$13,$K62)</f>
        <v>0</v>
      </c>
      <c r="F62" s="326">
        <f t="shared" ca="1" si="6"/>
        <v>0</v>
      </c>
      <c r="G62" s="375" t="s">
        <v>2598</v>
      </c>
      <c r="H62" s="361"/>
      <c r="I62" s="357">
        <f>MAX($I$13:I61)+1</f>
        <v>31</v>
      </c>
      <c r="J62" s="361" t="s">
        <v>2844</v>
      </c>
      <c r="K62" s="194">
        <f t="shared" ref="K62:K64" si="8">K61+1</f>
        <v>11</v>
      </c>
    </row>
    <row r="63" spans="1:12" ht="26.25" hidden="1" thickBot="1" x14ac:dyDescent="0.3">
      <c r="A63" s="686">
        <f t="shared" ca="1" si="5"/>
        <v>0</v>
      </c>
      <c r="B63" s="396">
        <f>oR!D34</f>
        <v>14</v>
      </c>
      <c r="C63" s="333">
        <f>oR!G34</f>
        <v>2003831</v>
      </c>
      <c r="D63" s="354" t="str">
        <f>oR!H34</f>
        <v>Tubo de concreto PA2 comercial para drenagem - D = 1,00 m - fornecimento e instalação</v>
      </c>
      <c r="E63" s="326">
        <f ca="1">VLOOKUP(MEMORIA!E$101,DRENAGEM!$AL$12:$BY$13,$K63)</f>
        <v>0</v>
      </c>
      <c r="F63" s="326">
        <f t="shared" ca="1" si="6"/>
        <v>0</v>
      </c>
      <c r="G63" s="375" t="s">
        <v>2598</v>
      </c>
      <c r="H63" s="361"/>
      <c r="I63" s="357">
        <f>MAX($I$13:I62)+1</f>
        <v>32</v>
      </c>
      <c r="J63" s="361" t="s">
        <v>2844</v>
      </c>
      <c r="K63" s="194">
        <f t="shared" si="8"/>
        <v>12</v>
      </c>
    </row>
    <row r="64" spans="1:12" ht="26.25" hidden="1" thickBot="1" x14ac:dyDescent="0.3">
      <c r="A64" s="686">
        <f t="shared" ref="A64" ca="1" si="9">IF(E64=0,0,1)</f>
        <v>0</v>
      </c>
      <c r="B64" s="396">
        <f>oR!D35</f>
        <v>15</v>
      </c>
      <c r="C64" s="333">
        <f>oR!G35</f>
        <v>2003835</v>
      </c>
      <c r="D64" s="354" t="str">
        <f>oR!H35</f>
        <v>Tubo de concreto PA2 comercial para drenagem - D = 1,20 m - fornecimento e instalação</v>
      </c>
      <c r="E64" s="326">
        <f ca="1">VLOOKUP(MEMORIA!E$101,DRENAGEM!$AL$12:$BY$13,$K64)</f>
        <v>0</v>
      </c>
      <c r="F64" s="326">
        <f t="shared" ref="F64" ca="1" si="10">SUM(E64:E64)</f>
        <v>0</v>
      </c>
      <c r="G64" s="375" t="s">
        <v>2598</v>
      </c>
      <c r="H64" s="361"/>
      <c r="I64" s="357">
        <f>MAX($I$13:I63)+1</f>
        <v>33</v>
      </c>
      <c r="J64" s="361" t="s">
        <v>2844</v>
      </c>
      <c r="K64" s="194">
        <f t="shared" si="8"/>
        <v>13</v>
      </c>
    </row>
    <row r="65" spans="1:12" ht="26.25" hidden="1" thickBot="1" x14ac:dyDescent="0.3">
      <c r="A65" s="686">
        <f t="shared" si="5"/>
        <v>0</v>
      </c>
      <c r="B65" s="396">
        <f>oR!D36</f>
        <v>16</v>
      </c>
      <c r="C65" s="333">
        <f>oR!G36</f>
        <v>2003835</v>
      </c>
      <c r="D65" s="354" t="str">
        <f>oR!H36</f>
        <v>Tubo de concreto PA2 comercial para drenagem - D = 1,20 m - fornecimento e instalação</v>
      </c>
      <c r="E65" s="1434"/>
      <c r="F65" s="326">
        <f t="shared" si="6"/>
        <v>0</v>
      </c>
      <c r="G65" s="375" t="s">
        <v>2598</v>
      </c>
      <c r="H65" s="361"/>
      <c r="I65" s="357">
        <f>MAX($I$13:I63)+1</f>
        <v>33</v>
      </c>
      <c r="J65" s="361" t="s">
        <v>2844</v>
      </c>
      <c r="K65" s="194">
        <v>14</v>
      </c>
    </row>
    <row r="66" spans="1:12" ht="13.5" hidden="1" thickBot="1" x14ac:dyDescent="0.3">
      <c r="A66" s="686">
        <f t="shared" si="5"/>
        <v>0</v>
      </c>
      <c r="B66" s="396">
        <f>oR!D37</f>
        <v>17</v>
      </c>
      <c r="C66" s="333">
        <f>oR!G37</f>
        <v>2003413</v>
      </c>
      <c r="D66" s="354" t="str">
        <f>oR!H37</f>
        <v>Descida d'água de aterros em degraus - DAD 05 - areia e brita comerciais</v>
      </c>
      <c r="E66" s="1434"/>
      <c r="F66" s="326">
        <f t="shared" si="6"/>
        <v>0</v>
      </c>
      <c r="G66" s="375" t="s">
        <v>2598</v>
      </c>
      <c r="H66" s="361"/>
      <c r="I66" s="357">
        <f>MAX($I$13:I65)+1</f>
        <v>34</v>
      </c>
      <c r="J66" s="361" t="s">
        <v>2844</v>
      </c>
      <c r="K66" s="194">
        <v>15</v>
      </c>
    </row>
    <row r="67" spans="1:12" ht="13.5" hidden="1" thickBot="1" x14ac:dyDescent="0.3">
      <c r="A67" s="686">
        <f t="shared" ca="1" si="5"/>
        <v>0</v>
      </c>
      <c r="B67" s="396">
        <f>oR!D38</f>
        <v>18</v>
      </c>
      <c r="C67" s="333">
        <f>oR!G38</f>
        <v>2003618</v>
      </c>
      <c r="D67" s="354" t="str">
        <f>oR!H38</f>
        <v>Boca de lobo simples - BLS 01 - areia e brita comerciais</v>
      </c>
      <c r="E67" s="326">
        <f ca="1">VLOOKUP(MEMORIA!E$101,DRENAGEM!$CB$11:$DS$12,$L67)</f>
        <v>0</v>
      </c>
      <c r="F67" s="326">
        <f t="shared" ca="1" si="6"/>
        <v>0</v>
      </c>
      <c r="G67" s="375" t="s">
        <v>2599</v>
      </c>
      <c r="H67" s="361"/>
      <c r="I67" s="357">
        <f>MAX($I$13:I66)+1</f>
        <v>35</v>
      </c>
      <c r="J67" s="361" t="s">
        <v>2844</v>
      </c>
      <c r="L67" s="194">
        <v>21</v>
      </c>
    </row>
    <row r="68" spans="1:12" ht="13.5" hidden="1" thickBot="1" x14ac:dyDescent="0.3">
      <c r="A68" s="686">
        <f t="shared" ca="1" si="5"/>
        <v>0</v>
      </c>
      <c r="B68" s="396">
        <f>oR!D39</f>
        <v>19</v>
      </c>
      <c r="C68" s="333">
        <f>oR!G39</f>
        <v>2003630</v>
      </c>
      <c r="D68" s="354" t="str">
        <f>oR!H39</f>
        <v>Boca de lobo simples - grelha de concreto - BLSG 03 - areia e brita comerciais</v>
      </c>
      <c r="E68" s="326">
        <f ca="1">VLOOKUP(MEMORIA!E$101,DRENAGEM!$CB$11:$DS$12,$L68)</f>
        <v>0</v>
      </c>
      <c r="F68" s="326">
        <f t="shared" ca="1" si="6"/>
        <v>0</v>
      </c>
      <c r="G68" s="375" t="s">
        <v>2599</v>
      </c>
      <c r="H68" s="361"/>
      <c r="I68" s="357">
        <f>MAX($I$13:I67)+1</f>
        <v>36</v>
      </c>
      <c r="J68" s="361" t="s">
        <v>2844</v>
      </c>
      <c r="L68" s="194">
        <f>L67+1</f>
        <v>22</v>
      </c>
    </row>
    <row r="69" spans="1:12" ht="13.5" hidden="1" thickBot="1" x14ac:dyDescent="0.3">
      <c r="A69" s="686">
        <f t="shared" ca="1" si="5"/>
        <v>0</v>
      </c>
      <c r="B69" s="396">
        <f>oR!D40</f>
        <v>20</v>
      </c>
      <c r="C69" s="333">
        <f>oR!G40</f>
        <v>2003632</v>
      </c>
      <c r="D69" s="354" t="str">
        <f>oR!H40</f>
        <v>Boca de lobo simples - grelha de concreto - BLSG 04 - areia e brita comerciais</v>
      </c>
      <c r="E69" s="326">
        <f ca="1">VLOOKUP(MEMORIA!E$101,DRENAGEM!$CB$11:$DS$12,$L69)</f>
        <v>0</v>
      </c>
      <c r="F69" s="326">
        <f t="shared" ca="1" si="6"/>
        <v>0</v>
      </c>
      <c r="G69" s="375" t="s">
        <v>2599</v>
      </c>
      <c r="H69" s="361"/>
      <c r="I69" s="357">
        <f>MAX($I$13:I68)+1</f>
        <v>37</v>
      </c>
      <c r="J69" s="361" t="s">
        <v>2844</v>
      </c>
      <c r="L69" s="194">
        <f t="shared" ref="L69:L74" si="11">L68+1</f>
        <v>23</v>
      </c>
    </row>
    <row r="70" spans="1:12" ht="26.25" hidden="1" thickBot="1" x14ac:dyDescent="0.3">
      <c r="A70" s="686">
        <f t="shared" ca="1" si="5"/>
        <v>0</v>
      </c>
      <c r="B70" s="396">
        <f>oR!D41</f>
        <v>21</v>
      </c>
      <c r="C70" s="333">
        <f>oR!G41</f>
        <v>2003477</v>
      </c>
      <c r="D70" s="354" t="str">
        <f>oR!H41</f>
        <v>Caixa coletora de sarjeta - CCS 01 - com grelha de concreto - TCC 01 - areia e brita comerciais</v>
      </c>
      <c r="E70" s="326">
        <f ca="1">VLOOKUP(MEMORIA!E$101,DRENAGEM!$CB$11:$DS$12,$L70)</f>
        <v>0</v>
      </c>
      <c r="F70" s="326">
        <f t="shared" ca="1" si="6"/>
        <v>0</v>
      </c>
      <c r="G70" s="375" t="s">
        <v>2599</v>
      </c>
      <c r="H70" s="361"/>
      <c r="I70" s="357">
        <f>MAX($I$13:I69)+1</f>
        <v>38</v>
      </c>
      <c r="J70" s="361" t="s">
        <v>2844</v>
      </c>
      <c r="L70" s="194">
        <f t="shared" si="11"/>
        <v>24</v>
      </c>
    </row>
    <row r="71" spans="1:12" ht="13.5" hidden="1" thickBot="1" x14ac:dyDescent="0.3">
      <c r="A71" s="686">
        <f t="shared" ca="1" si="5"/>
        <v>0</v>
      </c>
      <c r="B71" s="396">
        <f>oR!D42</f>
        <v>22</v>
      </c>
      <c r="C71" s="333">
        <f>oR!G42</f>
        <v>2003646</v>
      </c>
      <c r="D71" s="354" t="str">
        <f>oR!H42</f>
        <v>Caixa de ligação e passagem - CLP 03 - areia e brita comerciais</v>
      </c>
      <c r="E71" s="326">
        <f ca="1">VLOOKUP(MEMORIA!E$101,DRENAGEM!$CB$11:$DS$12,$L71)</f>
        <v>0</v>
      </c>
      <c r="F71" s="326">
        <f t="shared" ca="1" si="6"/>
        <v>0</v>
      </c>
      <c r="G71" s="375" t="s">
        <v>2599</v>
      </c>
      <c r="H71" s="361"/>
      <c r="I71" s="357">
        <f>MAX($I$13:I70)+1</f>
        <v>39</v>
      </c>
      <c r="J71" s="361" t="s">
        <v>2844</v>
      </c>
      <c r="L71" s="194">
        <f t="shared" si="11"/>
        <v>25</v>
      </c>
    </row>
    <row r="72" spans="1:12" ht="13.5" hidden="1" thickBot="1" x14ac:dyDescent="0.3">
      <c r="A72" s="686">
        <f t="shared" ca="1" si="5"/>
        <v>0</v>
      </c>
      <c r="B72" s="396">
        <f>oR!D43</f>
        <v>23</v>
      </c>
      <c r="C72" s="333">
        <f>oR!G43</f>
        <v>2003648</v>
      </c>
      <c r="D72" s="354" t="str">
        <f>oR!H43</f>
        <v>Caixa de ligação e passagem - CLP 04 - areia e brita comerciais</v>
      </c>
      <c r="E72" s="326">
        <f ca="1">VLOOKUP(MEMORIA!E$101,DRENAGEM!$CB$11:$DS$12,$L72)</f>
        <v>0</v>
      </c>
      <c r="F72" s="326">
        <f t="shared" ca="1" si="6"/>
        <v>0</v>
      </c>
      <c r="G72" s="375" t="s">
        <v>2599</v>
      </c>
      <c r="H72" s="361"/>
      <c r="I72" s="357">
        <f>MAX($I$13:I71)+1</f>
        <v>40</v>
      </c>
      <c r="J72" s="361" t="s">
        <v>2844</v>
      </c>
      <c r="L72" s="194">
        <f t="shared" si="11"/>
        <v>26</v>
      </c>
    </row>
    <row r="73" spans="1:12" ht="13.5" hidden="1" thickBot="1" x14ac:dyDescent="0.3">
      <c r="A73" s="686">
        <f t="shared" ca="1" si="5"/>
        <v>0</v>
      </c>
      <c r="B73" s="396">
        <f>oR!D44</f>
        <v>24</v>
      </c>
      <c r="C73" s="333">
        <f>oR!G44</f>
        <v>2003682</v>
      </c>
      <c r="D73" s="354" t="str">
        <f>oR!H44</f>
        <v>Poço de visita - PVI 03 - areia e brita comerciais</v>
      </c>
      <c r="E73" s="326">
        <f ca="1">VLOOKUP(MEMORIA!E$101,DRENAGEM!$CB$11:$DS$12,$L73)</f>
        <v>0</v>
      </c>
      <c r="F73" s="326">
        <f t="shared" ca="1" si="6"/>
        <v>0</v>
      </c>
      <c r="G73" s="375" t="s">
        <v>2599</v>
      </c>
      <c r="H73" s="361"/>
      <c r="I73" s="357">
        <f>MAX($I$13:I72)+1</f>
        <v>41</v>
      </c>
      <c r="J73" s="361" t="s">
        <v>2844</v>
      </c>
      <c r="L73" s="194">
        <f t="shared" si="11"/>
        <v>27</v>
      </c>
    </row>
    <row r="74" spans="1:12" ht="13.5" hidden="1" thickBot="1" x14ac:dyDescent="0.3">
      <c r="A74" s="686">
        <f t="shared" ca="1" si="5"/>
        <v>0</v>
      </c>
      <c r="B74" s="396">
        <f>oR!D45</f>
        <v>25</v>
      </c>
      <c r="C74" s="333">
        <f>oR!G45</f>
        <v>2003684</v>
      </c>
      <c r="D74" s="354" t="str">
        <f>oR!H45</f>
        <v>Poço de visita - PVI 04 - areia e brita comerciais</v>
      </c>
      <c r="E74" s="326">
        <f ca="1">VLOOKUP(MEMORIA!E$101,DRENAGEM!$CB$11:$DS$12,$L74)</f>
        <v>0</v>
      </c>
      <c r="F74" s="326">
        <f t="shared" ca="1" si="6"/>
        <v>0</v>
      </c>
      <c r="G74" s="375" t="s">
        <v>2599</v>
      </c>
      <c r="H74" s="361"/>
      <c r="I74" s="357">
        <f>MAX($I$13:I73)+1</f>
        <v>42</v>
      </c>
      <c r="J74" s="361" t="s">
        <v>2844</v>
      </c>
      <c r="L74" s="194">
        <f t="shared" si="11"/>
        <v>28</v>
      </c>
    </row>
    <row r="75" spans="1:12" ht="13.5" hidden="1" thickBot="1" x14ac:dyDescent="0.3">
      <c r="A75" s="686">
        <f t="shared" ca="1" si="5"/>
        <v>0</v>
      </c>
      <c r="B75" s="396">
        <f>oR!D46</f>
        <v>26</v>
      </c>
      <c r="C75" s="333">
        <f>oR!G46</f>
        <v>2003714</v>
      </c>
      <c r="D75" s="354" t="str">
        <f>oR!H46</f>
        <v>Chaminé dos poços de visita - CPV 01 - areia e brita comerciais</v>
      </c>
      <c r="E75" s="326">
        <f ca="1">VLOOKUP(MEMORIA!E$101,DRENAGEM!$CB$11:$DS$12,$L75)</f>
        <v>0</v>
      </c>
      <c r="F75" s="326">
        <f t="shared" ca="1" si="6"/>
        <v>0</v>
      </c>
      <c r="G75" s="375" t="s">
        <v>2599</v>
      </c>
      <c r="H75" s="361"/>
      <c r="I75" s="357">
        <f>MAX($I$13:I74)+1</f>
        <v>43</v>
      </c>
      <c r="J75" s="361" t="s">
        <v>2844</v>
      </c>
      <c r="L75" s="194">
        <v>30</v>
      </c>
    </row>
    <row r="76" spans="1:12" ht="13.5" hidden="1" thickBot="1" x14ac:dyDescent="0.3">
      <c r="A76" s="686">
        <f t="shared" ca="1" si="5"/>
        <v>0</v>
      </c>
      <c r="B76" s="396">
        <f>oR!D47</f>
        <v>27</v>
      </c>
      <c r="C76" s="333" t="str">
        <f>oR!G47</f>
        <v>COMP 09</v>
      </c>
      <c r="D76" s="354" t="str">
        <f>oR!H47</f>
        <v>Reforma e limpeza de boca de lobo em alvenaria</v>
      </c>
      <c r="E76" s="326">
        <f ca="1">VLOOKUP(MEMORIA!E$101,DRENAGEM!$CB$11:$DS$12,$L76)</f>
        <v>0</v>
      </c>
      <c r="F76" s="326">
        <f t="shared" ca="1" si="6"/>
        <v>0</v>
      </c>
      <c r="G76" s="375" t="s">
        <v>2599</v>
      </c>
      <c r="H76" s="361"/>
      <c r="I76" s="357">
        <f>MAX($I$13:I75)+1</f>
        <v>44</v>
      </c>
      <c r="J76" s="361" t="s">
        <v>2844</v>
      </c>
      <c r="L76" s="194">
        <v>44</v>
      </c>
    </row>
    <row r="77" spans="1:12" ht="13.5" hidden="1" thickBot="1" x14ac:dyDescent="0.3">
      <c r="A77" s="686">
        <f t="shared" ca="1" si="5"/>
        <v>0</v>
      </c>
      <c r="B77" s="396">
        <f>oR!D48</f>
        <v>27</v>
      </c>
      <c r="C77" s="333" t="str">
        <f>oR!G49</f>
        <v>COMP 10</v>
      </c>
      <c r="D77" s="354" t="str">
        <f>oR!H49</f>
        <v>Mudança de boca de lobo para caixa de ligação</v>
      </c>
      <c r="E77" s="326">
        <f ca="1">VLOOKUP(MEMORIA!E$101,DRENAGEM!$CB$11:$DS$12,$L77)</f>
        <v>0</v>
      </c>
      <c r="F77" s="326">
        <f t="shared" ca="1" si="6"/>
        <v>0</v>
      </c>
      <c r="G77" s="375" t="s">
        <v>2599</v>
      </c>
      <c r="H77" s="361"/>
      <c r="I77" s="357">
        <f>MAX($I$13:I76)+1</f>
        <v>45</v>
      </c>
      <c r="J77" s="361" t="s">
        <v>2844</v>
      </c>
      <c r="L77" s="194">
        <v>42</v>
      </c>
    </row>
    <row r="78" spans="1:12" ht="13.5" hidden="1" thickBot="1" x14ac:dyDescent="0.3">
      <c r="A78" s="686">
        <f t="shared" ref="A78" ca="1" si="12">IF(E78=0,0,1)</f>
        <v>0</v>
      </c>
      <c r="B78" s="396">
        <f>oR!D49</f>
        <v>28</v>
      </c>
      <c r="C78" s="333" t="str">
        <f>oR!G50</f>
        <v>COMP 37</v>
      </c>
      <c r="D78" s="354" t="str">
        <f>oR!H50</f>
        <v>Mudança de boca de lobo para PV</v>
      </c>
      <c r="E78" s="326">
        <f ca="1">VLOOKUP(MEMORIA!E$101,DRENAGEM!$CB$11:$DS$12,$L78)</f>
        <v>0</v>
      </c>
      <c r="F78" s="326">
        <f t="shared" ca="1" si="6"/>
        <v>0</v>
      </c>
      <c r="G78" s="375" t="s">
        <v>2599</v>
      </c>
      <c r="H78" s="361"/>
      <c r="I78" s="357">
        <f>MAX($I$13:I77)+1</f>
        <v>46</v>
      </c>
      <c r="J78" s="361" t="s">
        <v>2844</v>
      </c>
      <c r="L78" s="194">
        <f>DRENAGEM!DF17</f>
        <v>31</v>
      </c>
    </row>
    <row r="79" spans="1:12" ht="13.5" hidden="1" thickBot="1" x14ac:dyDescent="0.3">
      <c r="A79" s="686">
        <f t="shared" ca="1" si="5"/>
        <v>0</v>
      </c>
      <c r="B79" s="396">
        <f>oR!D50</f>
        <v>28.5</v>
      </c>
      <c r="C79" s="333">
        <f>oR!G51</f>
        <v>804061</v>
      </c>
      <c r="D79" s="354" t="str">
        <f>oR!H51</f>
        <v>Boca de BSTC D = 0,40 m - esconsidade 0° - areia e brita comerciais - alas retas</v>
      </c>
      <c r="E79" s="326">
        <f ca="1">VLOOKUP(MEMORIA!E$101,DRENAGEM!$CB$11:$DS$12,$L79)</f>
        <v>0</v>
      </c>
      <c r="F79" s="326">
        <f t="shared" ca="1" si="6"/>
        <v>0</v>
      </c>
      <c r="G79" s="375" t="s">
        <v>2599</v>
      </c>
      <c r="H79" s="361"/>
      <c r="I79" s="357">
        <f>MAX($I$13:I77)+1</f>
        <v>46</v>
      </c>
      <c r="J79" s="361" t="s">
        <v>2844</v>
      </c>
      <c r="L79" s="194">
        <v>32</v>
      </c>
    </row>
    <row r="80" spans="1:12" ht="13.5" hidden="1" thickBot="1" x14ac:dyDescent="0.3">
      <c r="A80" s="686">
        <f t="shared" ca="1" si="5"/>
        <v>0</v>
      </c>
      <c r="B80" s="396">
        <f>oR!D51</f>
        <v>29</v>
      </c>
      <c r="C80" s="333">
        <f>oR!G52</f>
        <v>804081</v>
      </c>
      <c r="D80" s="354" t="str">
        <f>oR!H52</f>
        <v>Boca de BSTC D = 0,60 m - esconsidade 0° - areia e brita comerciais - alas retas</v>
      </c>
      <c r="E80" s="326">
        <f ca="1">VLOOKUP(MEMORIA!E$101,DRENAGEM!$CB$11:$DS$12,$L80)</f>
        <v>0</v>
      </c>
      <c r="F80" s="326">
        <f t="shared" ca="1" si="6"/>
        <v>0</v>
      </c>
      <c r="G80" s="375" t="s">
        <v>2599</v>
      </c>
      <c r="H80" s="361"/>
      <c r="I80" s="357">
        <f>MAX($I$13:I79)+1</f>
        <v>47</v>
      </c>
      <c r="J80" s="361" t="s">
        <v>2844</v>
      </c>
      <c r="L80" s="194">
        <f>L79+1</f>
        <v>33</v>
      </c>
    </row>
    <row r="81" spans="1:12" ht="13.5" hidden="1" thickBot="1" x14ac:dyDescent="0.3">
      <c r="A81" s="686">
        <f t="shared" ca="1" si="5"/>
        <v>0</v>
      </c>
      <c r="B81" s="396">
        <f>oR!D52</f>
        <v>30</v>
      </c>
      <c r="C81" s="333">
        <f>oR!G53</f>
        <v>804101</v>
      </c>
      <c r="D81" s="354" t="str">
        <f>oR!H53</f>
        <v>Boca de BSTC D = 0,80 m - esconsidade 0° - areia e brita comerciais - alas retas</v>
      </c>
      <c r="E81" s="326">
        <f ca="1">VLOOKUP(MEMORIA!E$101,DRENAGEM!$CB$11:$DS$12,$L81)</f>
        <v>0</v>
      </c>
      <c r="F81" s="326">
        <f t="shared" ca="1" si="6"/>
        <v>0</v>
      </c>
      <c r="G81" s="375" t="s">
        <v>2599</v>
      </c>
      <c r="H81" s="361"/>
      <c r="I81" s="357">
        <f>MAX($I$13:I80)+1</f>
        <v>48</v>
      </c>
      <c r="J81" s="361" t="s">
        <v>2844</v>
      </c>
      <c r="L81" s="194">
        <f t="shared" ref="L81:L83" si="13">L80+1</f>
        <v>34</v>
      </c>
    </row>
    <row r="82" spans="1:12" ht="13.5" hidden="1" thickBot="1" x14ac:dyDescent="0.3">
      <c r="A82" s="686">
        <f t="shared" ca="1" si="5"/>
        <v>0</v>
      </c>
      <c r="B82" s="396">
        <f>oR!D53</f>
        <v>31</v>
      </c>
      <c r="C82" s="333">
        <f>oR!G54</f>
        <v>804121</v>
      </c>
      <c r="D82" s="354" t="str">
        <f>oR!H54</f>
        <v>Boca de BSTC D = 1,00 m - esconsidade 0° - areia e brita comerciais - alas retas</v>
      </c>
      <c r="E82" s="326">
        <f ca="1">VLOOKUP(MEMORIA!E$101,DRENAGEM!$CB$11:$DS$12,$L82)</f>
        <v>0</v>
      </c>
      <c r="F82" s="326">
        <f t="shared" ca="1" si="6"/>
        <v>0</v>
      </c>
      <c r="G82" s="375" t="s">
        <v>2599</v>
      </c>
      <c r="H82" s="361"/>
      <c r="I82" s="357">
        <f>MAX($I$13:I81)+1</f>
        <v>49</v>
      </c>
      <c r="J82" s="361" t="s">
        <v>2844</v>
      </c>
      <c r="L82" s="194">
        <f t="shared" si="13"/>
        <v>35</v>
      </c>
    </row>
    <row r="83" spans="1:12" ht="13.5" hidden="1" thickBot="1" x14ac:dyDescent="0.3">
      <c r="A83" s="686">
        <f t="shared" ref="A83" ca="1" si="14">IF(E83=0,0,1)</f>
        <v>0</v>
      </c>
      <c r="B83" s="396">
        <f>oR!D54</f>
        <v>32</v>
      </c>
      <c r="C83" s="333">
        <f>oR!G55</f>
        <v>804141</v>
      </c>
      <c r="D83" s="354" t="str">
        <f>oR!H55</f>
        <v>Boca de BSTC D = 1,20 m - esconsidade 0° - areia e brita comerciais - alas retas</v>
      </c>
      <c r="E83" s="326">
        <f ca="1">VLOOKUP(MEMORIA!E$101,DRENAGEM!$CB$11:$DS$12,$L83)</f>
        <v>0</v>
      </c>
      <c r="F83" s="326">
        <f t="shared" ref="F83" ca="1" si="15">SUM(E83:E83)</f>
        <v>0</v>
      </c>
      <c r="G83" s="375" t="s">
        <v>2599</v>
      </c>
      <c r="H83" s="361"/>
      <c r="I83" s="357">
        <f>MAX($I$13:I82)+1</f>
        <v>50</v>
      </c>
      <c r="J83" s="361" t="s">
        <v>2844</v>
      </c>
      <c r="L83" s="194">
        <f t="shared" si="13"/>
        <v>36</v>
      </c>
    </row>
    <row r="84" spans="1:12" ht="13.5" hidden="1" thickBot="1" x14ac:dyDescent="0.3">
      <c r="A84" s="686">
        <f t="shared" ca="1" si="5"/>
        <v>0</v>
      </c>
      <c r="B84" s="396">
        <f>oR!D55</f>
        <v>33</v>
      </c>
      <c r="C84" s="333">
        <f>oR!G56</f>
        <v>2003451</v>
      </c>
      <c r="D84" s="354" t="str">
        <f>oR!H56</f>
        <v>Dissipador de energia - DEB 02 - areia, brita e pedra de mão comerciais</v>
      </c>
      <c r="E84" s="326">
        <f ca="1">VLOOKUP(MEMORIA!E$101,DRENAGEM!$CB$11:$DS$12,$L84)</f>
        <v>0</v>
      </c>
      <c r="F84" s="326">
        <f t="shared" ca="1" si="6"/>
        <v>0</v>
      </c>
      <c r="G84" s="375" t="s">
        <v>2599</v>
      </c>
      <c r="H84" s="361"/>
      <c r="I84" s="357">
        <f>MAX($I$13:I82)+1</f>
        <v>50</v>
      </c>
      <c r="J84" s="361" t="s">
        <v>2844</v>
      </c>
      <c r="L84" s="194">
        <f>DRENAGEM!DL17</f>
        <v>37</v>
      </c>
    </row>
    <row r="85" spans="1:12" ht="13.5" hidden="1" thickBot="1" x14ac:dyDescent="0.3">
      <c r="A85" s="686">
        <f t="shared" ca="1" si="5"/>
        <v>0</v>
      </c>
      <c r="B85" s="396">
        <f>oR!D56</f>
        <v>34</v>
      </c>
      <c r="C85" s="333">
        <f>oR!G57</f>
        <v>2003453</v>
      </c>
      <c r="D85" s="354" t="str">
        <f>oR!H57</f>
        <v>Dissipador de energia - DEB 03 - areia, brita e pedra de mão comerciais</v>
      </c>
      <c r="E85" s="326">
        <f ca="1">VLOOKUP(MEMORIA!E$101,DRENAGEM!$CB$11:$DS$12,$L85)</f>
        <v>0</v>
      </c>
      <c r="F85" s="326">
        <f t="shared" ca="1" si="6"/>
        <v>0</v>
      </c>
      <c r="G85" s="375" t="s">
        <v>2599</v>
      </c>
      <c r="H85" s="361"/>
      <c r="I85" s="357">
        <f>MAX($I$13:I84)+1</f>
        <v>51</v>
      </c>
      <c r="J85" s="361" t="s">
        <v>2844</v>
      </c>
      <c r="L85" s="194">
        <f>L84+1</f>
        <v>38</v>
      </c>
    </row>
    <row r="86" spans="1:12" ht="13.5" hidden="1" thickBot="1" x14ac:dyDescent="0.3">
      <c r="A86" s="686">
        <f t="shared" ca="1" si="5"/>
        <v>0</v>
      </c>
      <c r="B86" s="396">
        <f>oR!D57</f>
        <v>35</v>
      </c>
      <c r="C86" s="333">
        <f>oR!G58</f>
        <v>2003455</v>
      </c>
      <c r="D86" s="354" t="str">
        <f>oR!H58</f>
        <v>Dissipador de energia - DEB 04 - areia, brita e pedra de mão comerciais</v>
      </c>
      <c r="E86" s="326">
        <f ca="1">VLOOKUP(MEMORIA!E$101,DRENAGEM!$CB$11:$DS$12,$L86)</f>
        <v>0</v>
      </c>
      <c r="F86" s="326">
        <f t="shared" ca="1" si="6"/>
        <v>0</v>
      </c>
      <c r="G86" s="375" t="s">
        <v>2599</v>
      </c>
      <c r="H86" s="361"/>
      <c r="I86" s="357">
        <f>MAX($I$13:I85)+1</f>
        <v>52</v>
      </c>
      <c r="J86" s="361" t="s">
        <v>2844</v>
      </c>
      <c r="L86" s="194">
        <f t="shared" ref="L86:L88" si="16">L85+1</f>
        <v>39</v>
      </c>
    </row>
    <row r="87" spans="1:12" ht="13.5" hidden="1" thickBot="1" x14ac:dyDescent="0.3">
      <c r="A87" s="686">
        <f t="shared" ca="1" si="5"/>
        <v>0</v>
      </c>
      <c r="B87" s="396">
        <f>oR!D58</f>
        <v>36</v>
      </c>
      <c r="C87" s="333">
        <f>oR!G59</f>
        <v>2003457</v>
      </c>
      <c r="D87" s="354" t="str">
        <f>oR!H59</f>
        <v>Dissipador de energia - DEB 05 - areia, brita e pedra de mão comerciais</v>
      </c>
      <c r="E87" s="326">
        <f ca="1">VLOOKUP(MEMORIA!E$101,DRENAGEM!$CB$11:$DS$12,$L87)</f>
        <v>0</v>
      </c>
      <c r="F87" s="326">
        <f t="shared" ca="1" si="6"/>
        <v>0</v>
      </c>
      <c r="G87" s="375" t="s">
        <v>2599</v>
      </c>
      <c r="H87" s="361"/>
      <c r="I87" s="357">
        <f>MAX($I$13:I86)+1</f>
        <v>53</v>
      </c>
      <c r="J87" s="361" t="s">
        <v>2844</v>
      </c>
      <c r="L87" s="194">
        <f t="shared" si="16"/>
        <v>40</v>
      </c>
    </row>
    <row r="88" spans="1:12" ht="13.5" hidden="1" thickBot="1" x14ac:dyDescent="0.3">
      <c r="A88" s="686">
        <f t="shared" ref="A88" ca="1" si="17">IF(E88=0,0,1)</f>
        <v>0</v>
      </c>
      <c r="B88" s="396">
        <f>oR!D59</f>
        <v>37</v>
      </c>
      <c r="C88" s="333">
        <f>oR!G60</f>
        <v>2003459</v>
      </c>
      <c r="D88" s="354" t="str">
        <f>oR!H60</f>
        <v>Dissipador de energia - DEB 06 - areia, brita e pedra de mão comerciais</v>
      </c>
      <c r="E88" s="326">
        <f ca="1">VLOOKUP(MEMORIA!E$101,DRENAGEM!$CB$11:$DS$12,$L88)</f>
        <v>0</v>
      </c>
      <c r="F88" s="326">
        <f t="shared" ref="F88" ca="1" si="18">SUM(E88:E88)</f>
        <v>0</v>
      </c>
      <c r="G88" s="375" t="s">
        <v>2599</v>
      </c>
      <c r="H88" s="361"/>
      <c r="I88" s="357">
        <f>MAX($I$13:I87)+1</f>
        <v>54</v>
      </c>
      <c r="J88" s="361" t="s">
        <v>2844</v>
      </c>
      <c r="L88" s="194">
        <f t="shared" si="16"/>
        <v>41</v>
      </c>
    </row>
    <row r="89" spans="1:12" ht="13.5" hidden="1" thickBot="1" x14ac:dyDescent="0.3">
      <c r="A89" s="686">
        <f t="shared" ca="1" si="5"/>
        <v>0</v>
      </c>
      <c r="B89" s="396">
        <f>oR!D61</f>
        <v>39</v>
      </c>
      <c r="C89" s="333">
        <f>oR!G61</f>
        <v>4011276</v>
      </c>
      <c r="D89" s="354" t="str">
        <f>oR!H61</f>
        <v>Base ou sub-base de brita graduada com brita comercial</v>
      </c>
      <c r="E89" s="326">
        <f ca="1">VLOOKUP(MEMORIA!E$101,DRENAGEM!$AL$12:$BY$13,$K89)</f>
        <v>0</v>
      </c>
      <c r="F89" s="326">
        <f t="shared" ca="1" si="6"/>
        <v>0</v>
      </c>
      <c r="G89" s="375" t="s">
        <v>2596</v>
      </c>
      <c r="H89" s="361"/>
      <c r="I89" s="357">
        <f>MAX($I$13:I87)+1</f>
        <v>54</v>
      </c>
      <c r="J89" s="361" t="s">
        <v>2844</v>
      </c>
      <c r="K89" s="194">
        <f>DRENAGEM!BS17</f>
        <v>34</v>
      </c>
    </row>
    <row r="90" spans="1:12" ht="13.5" hidden="1" thickBot="1" x14ac:dyDescent="0.3">
      <c r="A90" s="686">
        <f t="shared" ca="1" si="5"/>
        <v>0</v>
      </c>
      <c r="B90" s="396">
        <f>oR!D62</f>
        <v>40</v>
      </c>
      <c r="C90" s="333">
        <f>oR!G62</f>
        <v>5914389</v>
      </c>
      <c r="D90" s="354" t="str">
        <f>oR!H62</f>
        <v>Transporte com caminhão basculante de 10 m³ - rodovia pavimentada</v>
      </c>
      <c r="E90" s="326">
        <f ca="1">E89*DMT!$H$10*1.5*1.5</f>
        <v>0</v>
      </c>
      <c r="F90" s="326">
        <f t="shared" ca="1" si="6"/>
        <v>0</v>
      </c>
      <c r="G90" s="375" t="s">
        <v>2784</v>
      </c>
      <c r="H90" s="361"/>
      <c r="I90" s="357">
        <f>MAX($I$13:I89)+1</f>
        <v>55</v>
      </c>
      <c r="J90" s="361" t="str">
        <f>CONCATENATE("(",I90,")"," = ","(",I89,")*DMT*1,5*1,5")</f>
        <v>(55) = (54)*DMT*1,5*1,5</v>
      </c>
    </row>
    <row r="91" spans="1:12" ht="13.5" hidden="1" thickBot="1" x14ac:dyDescent="0.3">
      <c r="A91" s="686">
        <f t="shared" ca="1" si="5"/>
        <v>0</v>
      </c>
      <c r="B91" s="396">
        <f>oR!D63</f>
        <v>41</v>
      </c>
      <c r="C91" s="333">
        <f>oR!G63</f>
        <v>4011352</v>
      </c>
      <c r="D91" s="354" t="str">
        <f>oR!H63</f>
        <v>Imprimação com emulsão asfáltica</v>
      </c>
      <c r="E91" s="326">
        <f ca="1">VLOOKUP(MEMORIA!E$101,DRENAGEM!$AL$12:$BY$13,$K91)</f>
        <v>0</v>
      </c>
      <c r="F91" s="326">
        <f t="shared" ca="1" si="6"/>
        <v>0</v>
      </c>
      <c r="G91" s="375" t="s">
        <v>2595</v>
      </c>
      <c r="H91" s="361"/>
      <c r="I91" s="357">
        <f>MAX($I$13:I90)+1</f>
        <v>56</v>
      </c>
      <c r="J91" s="361" t="s">
        <v>2844</v>
      </c>
      <c r="K91" s="194">
        <f>DRENAGEM!BV17</f>
        <v>37</v>
      </c>
    </row>
    <row r="92" spans="1:12" ht="13.5" hidden="1" thickBot="1" x14ac:dyDescent="0.3">
      <c r="A92" s="686">
        <f ca="1">IF(E92=0,0,1)</f>
        <v>0</v>
      </c>
      <c r="B92" s="396">
        <f>oR!D64</f>
        <v>42</v>
      </c>
      <c r="C92" s="333" t="str">
        <f>oR!G64</f>
        <v>EAI</v>
      </c>
      <c r="D92" s="354" t="str">
        <f>oR!H64</f>
        <v>Emulsão asfáltica para serviço de imprimação</v>
      </c>
      <c r="E92" s="326">
        <f ca="1">E91*1.2/1000</f>
        <v>0</v>
      </c>
      <c r="F92" s="326">
        <f ca="1">SUM(E92:E92)</f>
        <v>0</v>
      </c>
      <c r="G92" s="375" t="s">
        <v>2595</v>
      </c>
      <c r="H92" s="361"/>
      <c r="I92" s="357">
        <f>MAX($I$13:I91)+1</f>
        <v>57</v>
      </c>
      <c r="J92" s="361" t="str">
        <f>CONCATENATE("(",I92,")"," = ","(",I91,")*1,2/1000")</f>
        <v>(57) = (56)*1,2/1000</v>
      </c>
    </row>
    <row r="93" spans="1:12" ht="13.5" hidden="1" thickBot="1" x14ac:dyDescent="0.3">
      <c r="A93" s="686">
        <f t="shared" ref="A93" ca="1" si="19">IF(E93=0,0,1)</f>
        <v>0</v>
      </c>
      <c r="B93" s="396">
        <f>oR!D65</f>
        <v>43</v>
      </c>
      <c r="C93" s="333" t="str">
        <f>oR!G65</f>
        <v>T-EAI</v>
      </c>
      <c r="D93" s="354" t="str">
        <f>oR!H65</f>
        <v>Transporte de Emulsão asfáltica para serviço de imprimação</v>
      </c>
      <c r="E93" s="326">
        <f ca="1">E92</f>
        <v>0</v>
      </c>
      <c r="F93" s="326">
        <f t="shared" ref="F93" ca="1" si="20">SUM(E93:E93)</f>
        <v>0</v>
      </c>
      <c r="G93" s="375" t="s">
        <v>2695</v>
      </c>
      <c r="H93" s="361"/>
      <c r="I93" s="357">
        <f>MAX($I$13:I92)+1</f>
        <v>58</v>
      </c>
      <c r="J93" s="361" t="str">
        <f>CONCATENATE("(",I93,")"," = ","(",I92,")")</f>
        <v>(58) = (57)</v>
      </c>
    </row>
    <row r="94" spans="1:12" ht="15" hidden="1" customHeight="1" thickBot="1" x14ac:dyDescent="0.3">
      <c r="A94" s="686">
        <f t="shared" ca="1" si="5"/>
        <v>0</v>
      </c>
      <c r="B94" s="396">
        <f>oR!D66</f>
        <v>44</v>
      </c>
      <c r="C94" s="333">
        <f>oR!G66</f>
        <v>4011353</v>
      </c>
      <c r="D94" s="354" t="str">
        <f>oR!H66</f>
        <v>Pintura de ligação</v>
      </c>
      <c r="E94" s="326">
        <f ca="1">VLOOKUP(MEMORIA!E$101,DRENAGEM!$AL$12:$BY$13,$K94)</f>
        <v>0</v>
      </c>
      <c r="F94" s="326">
        <f t="shared" ca="1" si="6"/>
        <v>0</v>
      </c>
      <c r="G94" s="375" t="s">
        <v>2595</v>
      </c>
      <c r="H94" s="361"/>
      <c r="I94" s="357">
        <f>MAX($I$13:I91)+1</f>
        <v>57</v>
      </c>
      <c r="J94" s="361" t="s">
        <v>2844</v>
      </c>
      <c r="K94" s="194">
        <f>K91+1</f>
        <v>38</v>
      </c>
    </row>
    <row r="95" spans="1:12" ht="13.5" hidden="1" thickBot="1" x14ac:dyDescent="0.3">
      <c r="A95" s="686">
        <f ca="1">IF(E95=0,0,1)</f>
        <v>0</v>
      </c>
      <c r="B95" s="396">
        <f>oR!D67</f>
        <v>45</v>
      </c>
      <c r="C95" s="333" t="str">
        <f>oR!G67</f>
        <v>RR-1C</v>
      </c>
      <c r="D95" s="354" t="str">
        <f>oR!H67</f>
        <v>Emulsões asfálticas RR-1C</v>
      </c>
      <c r="E95" s="326">
        <f ca="1">E94*0.5/1000</f>
        <v>0</v>
      </c>
      <c r="F95" s="326">
        <f ca="1">SUM(E95:E95)</f>
        <v>0</v>
      </c>
      <c r="G95" s="375" t="s">
        <v>2595</v>
      </c>
      <c r="H95" s="361"/>
      <c r="I95" s="357">
        <f>MAX($I$13:I94)+1</f>
        <v>59</v>
      </c>
      <c r="J95" s="361" t="str">
        <f>CONCATENATE("(",I95,")"," = ","(",I94,")*0,5/1000")</f>
        <v>(59) = (57)*0,5/1000</v>
      </c>
    </row>
    <row r="96" spans="1:12" ht="13.5" hidden="1" thickBot="1" x14ac:dyDescent="0.3">
      <c r="A96" s="686">
        <f t="shared" ref="A96" ca="1" si="21">IF(E96=0,0,1)</f>
        <v>0</v>
      </c>
      <c r="B96" s="396">
        <f>oR!D68</f>
        <v>46</v>
      </c>
      <c r="C96" s="333" t="str">
        <f>oR!G68</f>
        <v>T-RR-1C</v>
      </c>
      <c r="D96" s="354" t="str">
        <f>oR!H68</f>
        <v>Transporte de Emulsões asfálticas RR-1C</v>
      </c>
      <c r="E96" s="326">
        <f ca="1">E95</f>
        <v>0</v>
      </c>
      <c r="F96" s="326">
        <f t="shared" ref="F96" ca="1" si="22">SUM(E96:E96)</f>
        <v>0</v>
      </c>
      <c r="G96" s="375" t="s">
        <v>2695</v>
      </c>
      <c r="H96" s="361"/>
      <c r="I96" s="357">
        <f>MAX($I$13:I95)+1</f>
        <v>60</v>
      </c>
      <c r="J96" s="361" t="str">
        <f>CONCATENATE("(",I96,")"," = ","(",I95,")")</f>
        <v>(60) = (59)</v>
      </c>
    </row>
    <row r="97" spans="1:11" ht="13.5" hidden="1" thickBot="1" x14ac:dyDescent="0.3">
      <c r="A97" s="686">
        <f t="shared" ca="1" si="5"/>
        <v>0</v>
      </c>
      <c r="B97" s="396">
        <f>oR!D69</f>
        <v>47</v>
      </c>
      <c r="C97" s="333">
        <f>oR!G69</f>
        <v>4011459</v>
      </c>
      <c r="D97" s="354" t="str">
        <f>oR!H69</f>
        <v>Concreto asfáltico - faixa B - areia e brita comerciais</v>
      </c>
      <c r="E97" s="326">
        <f ca="1">VLOOKUP(MEMORIA!E$101,DRENAGEM!$AL$12:$BY$13,$K97)</f>
        <v>0</v>
      </c>
      <c r="F97" s="326">
        <f t="shared" ca="1" si="6"/>
        <v>0</v>
      </c>
      <c r="G97" s="375" t="s">
        <v>2695</v>
      </c>
      <c r="H97" s="361"/>
      <c r="I97" s="357">
        <f>MAX($I$13:I94)+1</f>
        <v>59</v>
      </c>
      <c r="J97" s="361" t="s">
        <v>2844</v>
      </c>
      <c r="K97" s="194">
        <f>DRENAGEM!BY17</f>
        <v>40</v>
      </c>
    </row>
    <row r="98" spans="1:11" ht="13.5" hidden="1" thickBot="1" x14ac:dyDescent="0.3">
      <c r="A98" s="686">
        <f t="shared" ca="1" si="5"/>
        <v>0</v>
      </c>
      <c r="B98" s="396">
        <f>oR!D70</f>
        <v>48</v>
      </c>
      <c r="C98" s="333">
        <f>oR!G70</f>
        <v>5914389</v>
      </c>
      <c r="D98" s="354" t="str">
        <f>oR!H70</f>
        <v>Transporte com caminhão basculante de 10 m³ - rodovia pavimentada</v>
      </c>
      <c r="E98" s="326">
        <f ca="1">E97*DMT!$G$10</f>
        <v>0</v>
      </c>
      <c r="F98" s="326">
        <f t="shared" ca="1" si="6"/>
        <v>0</v>
      </c>
      <c r="G98" s="375" t="s">
        <v>2784</v>
      </c>
      <c r="H98" s="361"/>
      <c r="I98" s="357">
        <f>MAX($I$13:I97)+1</f>
        <v>61</v>
      </c>
      <c r="J98" s="361" t="str">
        <f>CONCATENATE("(",I98,")"," = ","(",I97,")*DMT")</f>
        <v>(61) = (59)*DMT</v>
      </c>
    </row>
    <row r="99" spans="1:11" ht="13.5" hidden="1" thickBot="1" x14ac:dyDescent="0.3">
      <c r="A99" s="686">
        <f t="shared" ca="1" si="5"/>
        <v>0</v>
      </c>
      <c r="B99" s="396">
        <f>oR!D71</f>
        <v>49</v>
      </c>
      <c r="C99" s="333" t="str">
        <f>oR!G71</f>
        <v>CAP 50-70</v>
      </c>
      <c r="D99" s="354" t="str">
        <f>oR!H71</f>
        <v>Cimentos asfálticos CAP-50-70</v>
      </c>
      <c r="E99" s="326">
        <f ca="1">E97*E499/100</f>
        <v>0</v>
      </c>
      <c r="F99" s="326">
        <f t="shared" ca="1" si="6"/>
        <v>0</v>
      </c>
      <c r="G99" s="375" t="s">
        <v>2695</v>
      </c>
      <c r="H99" s="361"/>
      <c r="I99" s="357">
        <f>MAX($I$13:I98)+1</f>
        <v>62</v>
      </c>
      <c r="J99" s="361" t="str">
        <f>CONCATENATE("(",I99,")"," = ","(",I97,")*(",I499,")")</f>
        <v>(62) = (59)*(266)</v>
      </c>
    </row>
    <row r="100" spans="1:11" ht="13.5" hidden="1" thickBot="1" x14ac:dyDescent="0.3">
      <c r="A100" s="686">
        <f t="shared" ca="1" si="5"/>
        <v>0</v>
      </c>
      <c r="B100" s="396">
        <f>oR!D72</f>
        <v>50</v>
      </c>
      <c r="C100" s="333" t="str">
        <f>oR!G72</f>
        <v>T-CAP 50-70</v>
      </c>
      <c r="D100" s="354" t="str">
        <f>oR!H72</f>
        <v>Transporte de Cimentos asfálticos CAP-50-70</v>
      </c>
      <c r="E100" s="326">
        <f ca="1">E99</f>
        <v>0</v>
      </c>
      <c r="F100" s="326">
        <f t="shared" ca="1" si="6"/>
        <v>0</v>
      </c>
      <c r="G100" s="375" t="s">
        <v>2695</v>
      </c>
      <c r="H100" s="361"/>
      <c r="I100" s="357">
        <f>MAX($I$13:I99)+1</f>
        <v>63</v>
      </c>
      <c r="J100" s="361" t="str">
        <f>CONCATENATE("(",I100,")"," = ","(",I99,")*DMT")</f>
        <v>(63) = (62)*DMT</v>
      </c>
    </row>
    <row r="101" spans="1:11" ht="15.75" hidden="1" thickBot="1" x14ac:dyDescent="0.3">
      <c r="A101" s="329">
        <f ca="1">A49</f>
        <v>0</v>
      </c>
      <c r="B101" s="329"/>
      <c r="C101" s="329"/>
      <c r="D101" s="329"/>
      <c r="E101" s="126">
        <v>1</v>
      </c>
      <c r="F101" s="126">
        <f>F1</f>
        <v>2</v>
      </c>
    </row>
    <row r="102" spans="1:11" s="191" customFormat="1" ht="15.75" hidden="1" thickBot="1" x14ac:dyDescent="0.3">
      <c r="A102" s="686">
        <f>IF(E114=0,0,1)</f>
        <v>0</v>
      </c>
      <c r="B102" s="189"/>
      <c r="C102" s="190">
        <f>oR!G73</f>
        <v>4805762</v>
      </c>
      <c r="D102" s="324" t="str">
        <f>oR!H73</f>
        <v>Escavação mecânica de vala em material de 2ª categoria</v>
      </c>
      <c r="F102" s="325"/>
      <c r="G102" s="392"/>
      <c r="H102" s="364"/>
      <c r="I102" s="364"/>
      <c r="J102" s="364"/>
    </row>
    <row r="103" spans="1:11" s="191" customFormat="1" ht="15.75" hidden="1" thickBot="1" x14ac:dyDescent="0.3">
      <c r="A103" s="686">
        <f>IF(E116=0,0,1)</f>
        <v>0</v>
      </c>
      <c r="B103" s="189"/>
      <c r="C103" s="190">
        <f>oR!G74</f>
        <v>4805765</v>
      </c>
      <c r="D103" s="324" t="str">
        <f>oR!H74</f>
        <v>Escavação de vala em material de 3ª categoria</v>
      </c>
      <c r="F103" s="325"/>
      <c r="G103" s="392"/>
      <c r="H103" s="364"/>
      <c r="I103" s="364"/>
      <c r="J103" s="364"/>
    </row>
    <row r="104" spans="1:11" s="191" customFormat="1" ht="15.75" hidden="1" thickBot="1" x14ac:dyDescent="0.3">
      <c r="A104" s="686">
        <f>IF(E108=0,0,1)</f>
        <v>0</v>
      </c>
      <c r="B104" s="189"/>
      <c r="C104" s="190">
        <f>oR!G75</f>
        <v>2003579</v>
      </c>
      <c r="D104" s="324" t="str">
        <f>oR!H75</f>
        <v>Dreno longitudinal profundo para corte em solo - DPS 08 - tubo PEAD e brita comercial</v>
      </c>
      <c r="F104" s="325"/>
      <c r="G104" s="392"/>
      <c r="H104" s="364"/>
      <c r="I104" s="364"/>
      <c r="J104" s="364"/>
    </row>
    <row r="105" spans="1:11" s="191" customFormat="1" ht="15.75" hidden="1" thickBot="1" x14ac:dyDescent="0.3">
      <c r="A105" s="686">
        <f>IF(E119=0,0,1)</f>
        <v>0</v>
      </c>
      <c r="B105" s="189"/>
      <c r="C105" s="190">
        <f>oR!G76</f>
        <v>5914389</v>
      </c>
      <c r="D105" s="324" t="str">
        <f>oR!H76</f>
        <v>Transporte com caminhão basculante de 10 m³ - rodovia pavimentada</v>
      </c>
      <c r="F105" s="325"/>
      <c r="G105" s="392"/>
      <c r="H105" s="364"/>
      <c r="I105" s="364"/>
      <c r="J105" s="364"/>
    </row>
    <row r="106" spans="1:11" ht="13.5" hidden="1" thickBot="1" x14ac:dyDescent="0.3">
      <c r="A106" s="329">
        <f>IF(SUM(A102:A104)&gt;0,1,0)</f>
        <v>0</v>
      </c>
      <c r="B106" s="329"/>
      <c r="C106" s="193"/>
      <c r="D106" s="194" t="s">
        <v>4312</v>
      </c>
      <c r="E106" s="329"/>
      <c r="F106" s="328"/>
      <c r="G106" s="393"/>
      <c r="H106" s="365"/>
      <c r="I106" s="365"/>
      <c r="J106" s="365"/>
    </row>
    <row r="107" spans="1:11" ht="13.5" hidden="1" thickBot="1" x14ac:dyDescent="0.3">
      <c r="A107" s="329">
        <f>A106</f>
        <v>0</v>
      </c>
      <c r="B107" s="329"/>
      <c r="C107" s="1784" t="s">
        <v>42</v>
      </c>
      <c r="D107" s="1784"/>
      <c r="E107" s="433" t="str">
        <f>E$12</f>
        <v>ESTR. DE LINHA TAQUARAL</v>
      </c>
      <c r="F107" s="434" t="s">
        <v>96</v>
      </c>
      <c r="G107" s="435"/>
      <c r="H107" s="65"/>
      <c r="I107" s="65"/>
      <c r="J107" s="65"/>
    </row>
    <row r="108" spans="1:11" s="188" customFormat="1" ht="13.5" hidden="1" thickBot="1" x14ac:dyDescent="0.3">
      <c r="A108" s="185">
        <f>A102</f>
        <v>0</v>
      </c>
      <c r="B108" s="185">
        <f>oR!D75</f>
        <v>51</v>
      </c>
      <c r="C108" s="665" t="s">
        <v>5190</v>
      </c>
      <c r="D108" s="437" t="s">
        <v>53</v>
      </c>
      <c r="E108" s="528"/>
      <c r="F108" s="529">
        <f>SUM(E108:E108)</f>
        <v>0</v>
      </c>
      <c r="G108" s="435" t="s">
        <v>2598</v>
      </c>
      <c r="H108" s="198">
        <f>C104</f>
        <v>2003579</v>
      </c>
      <c r="I108" s="369">
        <f>MAX($I$13:I107)+1</f>
        <v>64</v>
      </c>
      <c r="J108" s="65" t="s">
        <v>2842</v>
      </c>
    </row>
    <row r="109" spans="1:11" ht="15.75" hidden="1" thickBot="1" x14ac:dyDescent="0.3">
      <c r="A109" s="329">
        <f>A108</f>
        <v>0</v>
      </c>
      <c r="B109" s="329"/>
      <c r="C109" s="1788" t="s">
        <v>2916</v>
      </c>
      <c r="D109" s="436" t="s">
        <v>2585</v>
      </c>
      <c r="E109" s="528"/>
      <c r="F109" s="440">
        <f>SUM(E109:E109)</f>
        <v>0</v>
      </c>
      <c r="G109" s="430" t="s">
        <v>2598</v>
      </c>
      <c r="I109" s="357">
        <f>MAX($I$13:I108)+1</f>
        <v>65</v>
      </c>
      <c r="J109" s="361" t="s">
        <v>2842</v>
      </c>
    </row>
    <row r="110" spans="1:11" ht="15.75" hidden="1" thickBot="1" x14ac:dyDescent="0.3">
      <c r="A110" s="329">
        <f>A109</f>
        <v>0</v>
      </c>
      <c r="B110" s="329"/>
      <c r="C110" s="1788"/>
      <c r="D110" s="436" t="s">
        <v>77</v>
      </c>
      <c r="E110" s="528"/>
      <c r="F110" s="440">
        <f>SUM(E110:E110)</f>
        <v>0</v>
      </c>
      <c r="G110" s="430" t="s">
        <v>2598</v>
      </c>
      <c r="I110" s="357">
        <f>MAX($I$13:I109)+1</f>
        <v>66</v>
      </c>
      <c r="J110" s="361" t="s">
        <v>2842</v>
      </c>
    </row>
    <row r="111" spans="1:11" ht="15.75" hidden="1" thickBot="1" x14ac:dyDescent="0.3">
      <c r="A111" s="329">
        <f>A110</f>
        <v>0</v>
      </c>
      <c r="B111" s="329"/>
      <c r="C111" s="1788"/>
      <c r="D111" s="436" t="s">
        <v>79</v>
      </c>
      <c r="E111" s="440">
        <f>E110*E109</f>
        <v>0</v>
      </c>
      <c r="F111" s="440"/>
      <c r="G111" s="430" t="s">
        <v>2595</v>
      </c>
      <c r="I111" s="357">
        <f>MAX($I$13:I110)+1</f>
        <v>67</v>
      </c>
      <c r="J111" s="361" t="str">
        <f>CONCATENATE("(",I111,")"," = ","(",I109,")*(",I110,")")</f>
        <v>(67) = (65)*(66)</v>
      </c>
    </row>
    <row r="112" spans="1:11" ht="15.75" hidden="1" thickBot="1" x14ac:dyDescent="0.3">
      <c r="A112" s="329">
        <f>A111</f>
        <v>0</v>
      </c>
      <c r="B112" s="329"/>
      <c r="C112" s="1788"/>
      <c r="D112" s="436" t="s">
        <v>2915</v>
      </c>
      <c r="E112" s="440">
        <f>E111*E108</f>
        <v>0</v>
      </c>
      <c r="F112" s="440">
        <f>SUM(E112:E112)</f>
        <v>0</v>
      </c>
      <c r="G112" s="430" t="s">
        <v>2596</v>
      </c>
      <c r="I112" s="357">
        <f>MAX($I$13:I111)+1</f>
        <v>68</v>
      </c>
      <c r="J112" s="361" t="str">
        <f>CONCATENATE("(",I112,")"," = ","(",I108,")*(",I111,")")</f>
        <v>(68) = (64)*(67)</v>
      </c>
    </row>
    <row r="113" spans="1:10" ht="15.75" hidden="1" thickBot="1" x14ac:dyDescent="0.3">
      <c r="A113" s="329">
        <f>A102</f>
        <v>0</v>
      </c>
      <c r="B113" s="329"/>
      <c r="C113" s="1788" t="s">
        <v>2918</v>
      </c>
      <c r="D113" s="436" t="s">
        <v>2919</v>
      </c>
      <c r="E113" s="370">
        <v>100</v>
      </c>
      <c r="F113" s="440"/>
      <c r="G113" s="430" t="s">
        <v>15</v>
      </c>
      <c r="I113" s="357">
        <f>MAX($I$13:I112)+1</f>
        <v>69</v>
      </c>
      <c r="J113" s="361" t="s">
        <v>2843</v>
      </c>
    </row>
    <row r="114" spans="1:10" ht="13.5" hidden="1" thickBot="1" x14ac:dyDescent="0.3">
      <c r="A114" s="329">
        <f>A113</f>
        <v>0</v>
      </c>
      <c r="B114" s="329">
        <f>oR!D73</f>
        <v>52</v>
      </c>
      <c r="C114" s="1788"/>
      <c r="D114" s="437" t="s">
        <v>100</v>
      </c>
      <c r="E114" s="437">
        <f>E113*E112/100</f>
        <v>0</v>
      </c>
      <c r="F114" s="438">
        <f>SUM(E114:E114)</f>
        <v>0</v>
      </c>
      <c r="G114" s="435" t="s">
        <v>2596</v>
      </c>
      <c r="H114" s="198">
        <f>C102</f>
        <v>4805762</v>
      </c>
      <c r="I114" s="369">
        <f>MAX($I$13:I113)+1</f>
        <v>70</v>
      </c>
      <c r="J114" s="65" t="str">
        <f>CONCATENATE("(",I114,")"," = ","(",I112,")*(",I113,")")</f>
        <v>(70) = (68)*(69)</v>
      </c>
    </row>
    <row r="115" spans="1:10" ht="15.75" hidden="1" thickBot="1" x14ac:dyDescent="0.3">
      <c r="A115" s="329">
        <f>A103</f>
        <v>0</v>
      </c>
      <c r="B115" s="329"/>
      <c r="C115" s="1788" t="s">
        <v>2917</v>
      </c>
      <c r="D115" s="436" t="s">
        <v>2919</v>
      </c>
      <c r="E115" s="370">
        <f>100-E113</f>
        <v>0</v>
      </c>
      <c r="F115" s="440"/>
      <c r="G115" s="430" t="s">
        <v>15</v>
      </c>
      <c r="I115" s="357">
        <f>MAX($I$13:I114)+1</f>
        <v>71</v>
      </c>
      <c r="J115" s="361" t="str">
        <f>CONCATENATE("(",I115,")"," = ","100%-(",I113,")")</f>
        <v>(71) = 100%-(69)</v>
      </c>
    </row>
    <row r="116" spans="1:10" ht="13.5" hidden="1" thickBot="1" x14ac:dyDescent="0.3">
      <c r="A116" s="329">
        <f>A115</f>
        <v>0</v>
      </c>
      <c r="B116" s="329">
        <f>oR!D74</f>
        <v>53</v>
      </c>
      <c r="C116" s="1788"/>
      <c r="D116" s="437" t="s">
        <v>100</v>
      </c>
      <c r="E116" s="437">
        <f>E112-E114</f>
        <v>0</v>
      </c>
      <c r="F116" s="438">
        <f>SUM(E116:E116)</f>
        <v>0</v>
      </c>
      <c r="G116" s="435" t="s">
        <v>2596</v>
      </c>
      <c r="H116" s="198">
        <f>C103</f>
        <v>4805765</v>
      </c>
      <c r="I116" s="369">
        <f>MAX($I$13:I115)+1</f>
        <v>72</v>
      </c>
      <c r="J116" s="65" t="str">
        <f>CONCATENATE("(",I116,")"," = ","(",I112,")-(",I114,")")</f>
        <v>(72) = (68)-(70)</v>
      </c>
    </row>
    <row r="117" spans="1:10" ht="13.5" hidden="1" thickBot="1" x14ac:dyDescent="0.3">
      <c r="A117" s="329">
        <f>A102</f>
        <v>0</v>
      </c>
      <c r="B117" s="329"/>
      <c r="C117" s="1773" t="s">
        <v>6484</v>
      </c>
      <c r="D117" s="1097" t="s">
        <v>2827</v>
      </c>
      <c r="E117" s="40">
        <f>DMT!$H$10</f>
        <v>27.8</v>
      </c>
      <c r="F117" s="1097"/>
      <c r="G117" s="375" t="s">
        <v>2799</v>
      </c>
      <c r="H117" s="361"/>
      <c r="I117" s="357">
        <f>MAX($I$13:I116)+1</f>
        <v>73</v>
      </c>
      <c r="J117" s="361" t="s">
        <v>2843</v>
      </c>
    </row>
    <row r="118" spans="1:10" ht="15.75" hidden="1" thickBot="1" x14ac:dyDescent="0.3">
      <c r="A118" s="329">
        <f>A117</f>
        <v>0</v>
      </c>
      <c r="B118" s="329"/>
      <c r="C118" s="1773"/>
      <c r="D118" s="1097" t="s">
        <v>2831</v>
      </c>
      <c r="E118" s="440">
        <f>E111</f>
        <v>0</v>
      </c>
      <c r="F118" s="1097"/>
      <c r="G118" s="375" t="s">
        <v>2832</v>
      </c>
      <c r="H118" s="361"/>
      <c r="I118" s="357">
        <f>MAX($I$13:I117)+1</f>
        <v>74</v>
      </c>
      <c r="J118" s="361" t="str">
        <f>CONCATENATE("(",I118,")"," = ","(",I111,")")</f>
        <v>(74) = (67)</v>
      </c>
    </row>
    <row r="119" spans="1:10" s="188" customFormat="1" ht="13.5" hidden="1" thickBot="1" x14ac:dyDescent="0.3">
      <c r="A119" s="185">
        <f>A118</f>
        <v>0</v>
      </c>
      <c r="B119" s="461">
        <f>oR!D76</f>
        <v>54</v>
      </c>
      <c r="C119" s="1773"/>
      <c r="D119" s="1102" t="s">
        <v>2828</v>
      </c>
      <c r="E119" s="199">
        <f>E108*E117*E118*1.5</f>
        <v>0</v>
      </c>
      <c r="F119" s="199">
        <f>SUM(E119:E119)</f>
        <v>0</v>
      </c>
      <c r="G119" s="376" t="s">
        <v>2784</v>
      </c>
      <c r="H119" s="366">
        <f>C102</f>
        <v>4805762</v>
      </c>
      <c r="I119" s="369">
        <f>MAX($I$13:I118)+1</f>
        <v>75</v>
      </c>
      <c r="J119" s="65" t="str">
        <f>CONCATENATE("(",I119,")"," = ","(",I118,")*(",I117,")*(",I108,")*1,5")</f>
        <v>(75) = (74)*(73)*(64)*1,5</v>
      </c>
    </row>
    <row r="120" spans="1:10" ht="15.75" hidden="1" thickBot="1" x14ac:dyDescent="0.3">
      <c r="A120" s="329">
        <f>A106</f>
        <v>0</v>
      </c>
      <c r="B120" s="329"/>
      <c r="C120" s="329"/>
      <c r="D120" s="329"/>
      <c r="E120" s="126"/>
      <c r="F120" s="126"/>
    </row>
    <row r="121" spans="1:10" s="191" customFormat="1" ht="15.75" hidden="1" thickBot="1" x14ac:dyDescent="0.3">
      <c r="A121" s="686">
        <f>IF(E125=0,0,1)</f>
        <v>0</v>
      </c>
      <c r="B121" s="189"/>
      <c r="C121" s="190">
        <f>oR!G77</f>
        <v>2003319</v>
      </c>
      <c r="D121" s="324" t="str">
        <f>oR!H77</f>
        <v>Sarjeta triangular de concreto - STC 01 - escavação mecânica - areia e brita comerciais</v>
      </c>
      <c r="F121" s="325"/>
      <c r="G121" s="392"/>
      <c r="H121" s="364"/>
      <c r="I121" s="364"/>
      <c r="J121" s="364"/>
    </row>
    <row r="122" spans="1:10" s="191" customFormat="1" ht="15.75" hidden="1" thickBot="1" x14ac:dyDescent="0.3">
      <c r="A122" s="686">
        <f>IF(E126=0,0,1)</f>
        <v>0</v>
      </c>
      <c r="B122" s="189"/>
      <c r="C122" s="190">
        <f>oR!G78</f>
        <v>2003325</v>
      </c>
      <c r="D122" s="324" t="str">
        <f>oR!H78</f>
        <v>Sarjeta triangular de concreto - STC 04 - escavação mecânica - areia e brita comerciais</v>
      </c>
      <c r="F122" s="325"/>
      <c r="G122" s="392"/>
      <c r="H122" s="364"/>
      <c r="I122" s="364"/>
      <c r="J122" s="364"/>
    </row>
    <row r="123" spans="1:10" ht="13.5" hidden="1" thickBot="1" x14ac:dyDescent="0.3">
      <c r="A123" s="329">
        <f>IF(SUM(A121:A122)=0,0,1)</f>
        <v>0</v>
      </c>
      <c r="B123" s="329"/>
      <c r="C123" s="193"/>
      <c r="D123" s="194" t="s">
        <v>2920</v>
      </c>
      <c r="E123" s="329"/>
      <c r="F123" s="328"/>
      <c r="G123" s="393"/>
      <c r="H123" s="365"/>
      <c r="I123" s="365"/>
      <c r="J123" s="365"/>
    </row>
    <row r="124" spans="1:10" ht="13.5" hidden="1" thickBot="1" x14ac:dyDescent="0.3">
      <c r="A124" s="329">
        <f>A123</f>
        <v>0</v>
      </c>
      <c r="B124" s="329"/>
      <c r="C124" s="1777" t="s">
        <v>42</v>
      </c>
      <c r="D124" s="1777"/>
      <c r="E124" s="327" t="str">
        <f>E$12</f>
        <v>ESTR. DE LINHA TAQUARAL</v>
      </c>
      <c r="F124" s="423" t="s">
        <v>96</v>
      </c>
      <c r="G124" s="376"/>
      <c r="H124" s="65"/>
      <c r="I124" s="65"/>
      <c r="J124" s="65"/>
    </row>
    <row r="125" spans="1:10" s="188" customFormat="1" ht="13.5" hidden="1" thickBot="1" x14ac:dyDescent="0.3">
      <c r="A125" s="329">
        <f>A121</f>
        <v>0</v>
      </c>
      <c r="B125" s="185">
        <f>oR!D77</f>
        <v>55</v>
      </c>
      <c r="C125" s="1785" t="s">
        <v>53</v>
      </c>
      <c r="D125" s="437" t="s">
        <v>5191</v>
      </c>
      <c r="E125" s="528">
        <v>0</v>
      </c>
      <c r="F125" s="438">
        <f>SUM(E125:E125)</f>
        <v>0</v>
      </c>
      <c r="G125" s="435" t="s">
        <v>2598</v>
      </c>
      <c r="H125" s="198">
        <f>C121</f>
        <v>2003319</v>
      </c>
      <c r="I125" s="369">
        <f>MAX($I$13:I124)+1</f>
        <v>76</v>
      </c>
      <c r="J125" s="65" t="s">
        <v>2842</v>
      </c>
    </row>
    <row r="126" spans="1:10" s="188" customFormat="1" ht="13.5" hidden="1" thickBot="1" x14ac:dyDescent="0.3">
      <c r="A126" s="329">
        <f>A122</f>
        <v>0</v>
      </c>
      <c r="B126" s="185">
        <f>oR!D78</f>
        <v>56</v>
      </c>
      <c r="C126" s="1787"/>
      <c r="D126" s="437" t="s">
        <v>5192</v>
      </c>
      <c r="E126" s="528"/>
      <c r="F126" s="438">
        <f>SUM(E126:E126)</f>
        <v>0</v>
      </c>
      <c r="G126" s="435" t="s">
        <v>2598</v>
      </c>
      <c r="H126" s="198">
        <f>C122</f>
        <v>2003325</v>
      </c>
      <c r="I126" s="369">
        <f>MAX($I$13:I125)+1</f>
        <v>77</v>
      </c>
      <c r="J126" s="65" t="s">
        <v>2842</v>
      </c>
    </row>
    <row r="127" spans="1:10" ht="15.75" hidden="1" thickBot="1" x14ac:dyDescent="0.3">
      <c r="A127" s="329">
        <f>A123</f>
        <v>0</v>
      </c>
      <c r="B127" s="329"/>
      <c r="C127" s="329"/>
      <c r="D127" s="329"/>
      <c r="E127" s="126"/>
      <c r="F127" s="126"/>
    </row>
    <row r="128" spans="1:10" s="191" customFormat="1" ht="15.75" hidden="1" thickBot="1" x14ac:dyDescent="0.3">
      <c r="A128" s="686">
        <f>IF(E131=0,0,1)</f>
        <v>0</v>
      </c>
      <c r="B128" s="189"/>
      <c r="C128" s="190">
        <f>oR!G79</f>
        <v>1600404</v>
      </c>
      <c r="D128" s="324" t="str">
        <f>oR!H79</f>
        <v>Remoção de tubos de concreto com diâmetro de 0,40 m a 1,00 m em valas e bueiros</v>
      </c>
      <c r="F128" s="325"/>
      <c r="G128" s="392"/>
      <c r="H128" s="364"/>
      <c r="I128" s="364"/>
      <c r="J128" s="364"/>
    </row>
    <row r="129" spans="1:12" ht="13.5" hidden="1" thickBot="1" x14ac:dyDescent="0.3">
      <c r="A129" s="329">
        <f>A128</f>
        <v>0</v>
      </c>
      <c r="B129" s="329"/>
      <c r="C129" s="193"/>
      <c r="D129" s="194" t="s">
        <v>2921</v>
      </c>
      <c r="E129" s="329"/>
      <c r="F129" s="328"/>
      <c r="G129" s="393"/>
      <c r="H129" s="365"/>
      <c r="I129" s="365"/>
      <c r="J129" s="365"/>
    </row>
    <row r="130" spans="1:12" ht="13.5" hidden="1" thickBot="1" x14ac:dyDescent="0.3">
      <c r="A130" s="329">
        <f t="shared" ref="A130:A132" si="23">A129</f>
        <v>0</v>
      </c>
      <c r="B130" s="329"/>
      <c r="C130" s="1777" t="s">
        <v>42</v>
      </c>
      <c r="D130" s="1777"/>
      <c r="E130" s="327" t="str">
        <f>E$12</f>
        <v>ESTR. DE LINHA TAQUARAL</v>
      </c>
      <c r="F130" s="423" t="s">
        <v>96</v>
      </c>
      <c r="G130" s="376"/>
      <c r="H130" s="65"/>
      <c r="I130" s="65"/>
      <c r="J130" s="65"/>
    </row>
    <row r="131" spans="1:12" s="188" customFormat="1" ht="15.75" hidden="1" thickBot="1" x14ac:dyDescent="0.3">
      <c r="A131" s="329">
        <f t="shared" si="23"/>
        <v>0</v>
      </c>
      <c r="B131" s="198">
        <f>oR!D79</f>
        <v>57</v>
      </c>
      <c r="C131" s="1777" t="s">
        <v>2922</v>
      </c>
      <c r="D131" s="1777"/>
      <c r="E131" s="371"/>
      <c r="F131" s="443">
        <f>SUM(E131:E131)</f>
        <v>0</v>
      </c>
      <c r="G131" s="376" t="s">
        <v>2598</v>
      </c>
      <c r="H131" s="198">
        <f>C128</f>
        <v>1600404</v>
      </c>
      <c r="I131" s="369">
        <f>MAX($I$13:I130)+1</f>
        <v>78</v>
      </c>
      <c r="J131" s="65" t="s">
        <v>2842</v>
      </c>
      <c r="K131" s="188">
        <v>44</v>
      </c>
    </row>
    <row r="132" spans="1:12" s="188" customFormat="1" ht="13.5" hidden="1" thickBot="1" x14ac:dyDescent="0.3">
      <c r="A132" s="329">
        <f t="shared" si="23"/>
        <v>0</v>
      </c>
      <c r="B132" s="198"/>
      <c r="C132" s="385"/>
      <c r="D132" s="385"/>
      <c r="E132" s="368"/>
      <c r="F132" s="368"/>
      <c r="G132" s="386"/>
      <c r="H132" s="198"/>
      <c r="I132" s="369"/>
      <c r="J132" s="65"/>
    </row>
    <row r="133" spans="1:12" s="188" customFormat="1" ht="13.5" thickBot="1" x14ac:dyDescent="0.3">
      <c r="A133" s="687">
        <f>IF(SUM(A136:A303)&gt;0,1,0)</f>
        <v>1</v>
      </c>
      <c r="B133" s="185"/>
      <c r="C133" s="186"/>
      <c r="D133" s="187" t="str">
        <f>oR!G81</f>
        <v>DRENAGEM TRECHO RURAL</v>
      </c>
      <c r="E133" s="187"/>
      <c r="F133" s="187"/>
      <c r="G133" s="391"/>
      <c r="H133" s="186"/>
      <c r="I133" s="186"/>
      <c r="J133" s="186"/>
    </row>
    <row r="134" spans="1:12" hidden="1" x14ac:dyDescent="0.25">
      <c r="A134" s="329">
        <f>A131</f>
        <v>0</v>
      </c>
      <c r="B134" s="329"/>
      <c r="C134" s="193"/>
      <c r="D134" s="194" t="s">
        <v>5154</v>
      </c>
      <c r="E134" s="329"/>
      <c r="F134" s="850"/>
      <c r="G134" s="393"/>
      <c r="H134" s="365"/>
      <c r="I134" s="365"/>
      <c r="J134" s="365"/>
    </row>
    <row r="135" spans="1:12" ht="12.75" customHeight="1" thickBot="1" x14ac:dyDescent="0.3">
      <c r="A135" s="329">
        <f>IF(SUM(A138:A192)&gt;0,1,0)</f>
        <v>1</v>
      </c>
      <c r="B135" s="329"/>
      <c r="C135" s="1784" t="s">
        <v>42</v>
      </c>
      <c r="D135" s="1784"/>
      <c r="E135" s="433" t="str">
        <f>E130</f>
        <v>ESTR. DE LINHA TAQUARAL</v>
      </c>
      <c r="F135" s="434" t="s">
        <v>96</v>
      </c>
      <c r="G135" s="435"/>
      <c r="H135" s="65"/>
      <c r="I135" s="65"/>
      <c r="J135" s="65"/>
    </row>
    <row r="136" spans="1:12" s="332" customFormat="1" ht="13.5" thickBot="1" x14ac:dyDescent="0.3">
      <c r="A136" s="686">
        <f t="shared" ref="A136:A192" si="24">IF(E136=0,0,1)</f>
        <v>1</v>
      </c>
      <c r="B136" s="358">
        <f>oR!D82</f>
        <v>58</v>
      </c>
      <c r="C136" s="987">
        <f>oR!G82</f>
        <v>4805762</v>
      </c>
      <c r="D136" s="988" t="str">
        <f>oR!H82</f>
        <v>Escavação mecânica de vala em material de 2ª categoria</v>
      </c>
      <c r="E136" s="326">
        <f>VLOOKUP(MEMORIA!E$204,OAC!$CM$17:$EF$17,$K136)+VLOOKUP(MEMORIA!E$204,OAC!$EI$17:$GP$17,$L136)</f>
        <v>6.9</v>
      </c>
      <c r="F136" s="530">
        <f>SUM(E136:E136)</f>
        <v>6.9</v>
      </c>
      <c r="G136" s="430" t="str">
        <f>oR!L82</f>
        <v>m³</v>
      </c>
      <c r="H136" s="361"/>
      <c r="I136" s="357">
        <f>MAX($I$13:I135)+1</f>
        <v>79</v>
      </c>
      <c r="J136" s="361" t="s">
        <v>5151</v>
      </c>
      <c r="K136" s="332">
        <v>34</v>
      </c>
      <c r="L136" s="332">
        <v>20</v>
      </c>
    </row>
    <row r="137" spans="1:12" ht="13.5" thickBot="1" x14ac:dyDescent="0.3">
      <c r="A137" s="686">
        <f t="shared" si="24"/>
        <v>1</v>
      </c>
      <c r="B137" s="358">
        <f>oR!D83</f>
        <v>59</v>
      </c>
      <c r="C137" s="987">
        <f>oR!G83</f>
        <v>4805765</v>
      </c>
      <c r="D137" s="988" t="str">
        <f>oR!H83</f>
        <v>Escavação de vala em material de 3ª categoria</v>
      </c>
      <c r="E137" s="326">
        <f>VLOOKUP(MEMORIA!E$204,OAC!$CM$17:$EF$17,$K137)+VLOOKUP(MEMORIA!E$204,OAC!$EI$17:$GP$17,$L137)</f>
        <v>1.72</v>
      </c>
      <c r="F137" s="530">
        <f>SUM(E137:E137)</f>
        <v>1.72</v>
      </c>
      <c r="G137" s="430" t="str">
        <f>oR!L83</f>
        <v>m³</v>
      </c>
      <c r="H137" s="361"/>
      <c r="I137" s="357">
        <f>MAX($I$13:I136)+1</f>
        <v>80</v>
      </c>
      <c r="J137" s="361" t="s">
        <v>5151</v>
      </c>
      <c r="K137" s="194">
        <v>33</v>
      </c>
      <c r="L137" s="194">
        <v>19</v>
      </c>
    </row>
    <row r="138" spans="1:12" ht="13.5" hidden="1" thickBot="1" x14ac:dyDescent="0.3">
      <c r="A138" s="686">
        <f t="shared" si="24"/>
        <v>0</v>
      </c>
      <c r="B138" s="358">
        <f>oR!D84</f>
        <v>60</v>
      </c>
      <c r="C138" s="987">
        <f>oR!G84</f>
        <v>5914374</v>
      </c>
      <c r="D138" s="988" t="str">
        <f>oR!H84</f>
        <v>Transporte com caminhão basculante de 10 m³ - rodovia em revestimento primário</v>
      </c>
      <c r="E138" s="326">
        <f>E140*DMT!$J$10*1.5</f>
        <v>0</v>
      </c>
      <c r="F138" s="530">
        <f t="shared" ref="F138:F192" si="25">SUM(E138:E138)</f>
        <v>0</v>
      </c>
      <c r="G138" s="430" t="str">
        <f>oR!L84</f>
        <v>tkm</v>
      </c>
      <c r="H138" s="361"/>
      <c r="I138" s="357">
        <f>MAX($I$13:I137)+1</f>
        <v>81</v>
      </c>
      <c r="J138" s="361" t="str">
        <f>CONCATENATE("(",I138,")"," = ","(",I139,")*DMT*1,5")</f>
        <v>(81) = (82)*DMT*1,5</v>
      </c>
    </row>
    <row r="139" spans="1:12" ht="13.5" hidden="1" thickBot="1" x14ac:dyDescent="0.3">
      <c r="A139" s="686">
        <f t="shared" si="24"/>
        <v>0</v>
      </c>
      <c r="B139" s="358">
        <f>oR!D85</f>
        <v>61</v>
      </c>
      <c r="C139" s="987">
        <f>oR!G85</f>
        <v>4413942</v>
      </c>
      <c r="D139" s="988" t="str">
        <f>oR!H85</f>
        <v>Espalhamento de material em bota-fora</v>
      </c>
      <c r="E139" s="326">
        <f>VLOOKUP(MEMORIA!E$204,OAC!$CM$17:$EF$17,$K139)+VLOOKUP(MEMORIA!E$204,OAC!$EI$17:$GP$17,$L139)</f>
        <v>0</v>
      </c>
      <c r="F139" s="530">
        <f t="shared" si="25"/>
        <v>0</v>
      </c>
      <c r="G139" s="430" t="str">
        <f>oR!L85</f>
        <v>m³</v>
      </c>
      <c r="H139" s="361"/>
      <c r="I139" s="357">
        <f>MAX($I$13:I138)+1</f>
        <v>82</v>
      </c>
      <c r="J139" s="361" t="s">
        <v>5151</v>
      </c>
      <c r="K139" s="194">
        <v>20</v>
      </c>
      <c r="L139" s="194">
        <v>25</v>
      </c>
    </row>
    <row r="140" spans="1:12" ht="13.5" hidden="1" thickBot="1" x14ac:dyDescent="0.3">
      <c r="A140" s="686">
        <f t="shared" si="24"/>
        <v>0</v>
      </c>
      <c r="B140" s="358">
        <f>oR!D86</f>
        <v>62</v>
      </c>
      <c r="C140" s="987">
        <f>oR!G86</f>
        <v>4016096</v>
      </c>
      <c r="D140" s="988" t="str">
        <f>oR!H86</f>
        <v>Escavação e carga de material de jazida com escavadeira hidráulica de 1,56 m³</v>
      </c>
      <c r="E140" s="326">
        <f>VLOOKUP(MEMORIA!E$204,OAC!$CM$17:$EF$17,$K140)+VLOOKUP(MEMORIA!E$204,OAC!$EI$17:$GP$17,$L140)</f>
        <v>0</v>
      </c>
      <c r="F140" s="530">
        <f t="shared" si="25"/>
        <v>0</v>
      </c>
      <c r="G140" s="430" t="str">
        <f>oR!L86</f>
        <v>m³</v>
      </c>
      <c r="H140" s="361"/>
      <c r="I140" s="357">
        <f>MAX($I$13:I139)+1</f>
        <v>83</v>
      </c>
      <c r="J140" s="361" t="s">
        <v>5151</v>
      </c>
      <c r="K140" s="194">
        <v>20</v>
      </c>
      <c r="L140" s="194">
        <v>25</v>
      </c>
    </row>
    <row r="141" spans="1:12" ht="13.5" hidden="1" thickBot="1" x14ac:dyDescent="0.3">
      <c r="A141" s="686">
        <f t="shared" si="24"/>
        <v>0</v>
      </c>
      <c r="B141" s="358">
        <f>oR!D87</f>
        <v>63</v>
      </c>
      <c r="C141" s="987">
        <f>oR!G87</f>
        <v>5914374</v>
      </c>
      <c r="D141" s="988" t="str">
        <f>oR!H87</f>
        <v>Transporte com caminhão basculante de 10 m³ - rodovia em revestimento primário</v>
      </c>
      <c r="E141" s="326">
        <f>E140*DMT!$J$10*1.5</f>
        <v>0</v>
      </c>
      <c r="F141" s="530">
        <f t="shared" si="25"/>
        <v>0</v>
      </c>
      <c r="G141" s="430" t="str">
        <f>oR!L87</f>
        <v>tkm</v>
      </c>
      <c r="H141" s="361"/>
      <c r="I141" s="357">
        <f>MAX($I$13:I140)+1</f>
        <v>84</v>
      </c>
      <c r="J141" s="361" t="str">
        <f>CONCATENATE("(",I141,")"," = ","(",I140,")*DMT*1,5")</f>
        <v>(84) = (83)*DMT*1,5</v>
      </c>
    </row>
    <row r="142" spans="1:12" ht="13.5" thickBot="1" x14ac:dyDescent="0.3">
      <c r="A142" s="686">
        <f t="shared" si="24"/>
        <v>1</v>
      </c>
      <c r="B142" s="358">
        <f>oR!D88</f>
        <v>64</v>
      </c>
      <c r="C142" s="987">
        <f>oR!G88</f>
        <v>4815671</v>
      </c>
      <c r="D142" s="988" t="str">
        <f>oR!H88</f>
        <v>Reaterro e compactação com soquete vibratório</v>
      </c>
      <c r="E142" s="326">
        <f>VLOOKUP(MEMORIA!E$204,OAC!$CM$17:$EF$17,$K142)+VLOOKUP(MEMORIA!E$204,OAC!$EI$17:$GP$17,$L142)</f>
        <v>3.87</v>
      </c>
      <c r="F142" s="530">
        <f t="shared" si="25"/>
        <v>3.87</v>
      </c>
      <c r="G142" s="430" t="str">
        <f>oR!L88</f>
        <v>m³</v>
      </c>
      <c r="H142" s="361"/>
      <c r="I142" s="357">
        <f>MAX($I$13:I141)+1</f>
        <v>85</v>
      </c>
      <c r="J142" s="361" t="s">
        <v>5151</v>
      </c>
      <c r="K142" s="194">
        <v>37</v>
      </c>
      <c r="L142" s="194">
        <v>22</v>
      </c>
    </row>
    <row r="143" spans="1:12" ht="13.5" hidden="1" thickBot="1" x14ac:dyDescent="0.3">
      <c r="A143" s="686">
        <f t="shared" si="24"/>
        <v>0</v>
      </c>
      <c r="B143" s="358">
        <f>oR!D89</f>
        <v>65</v>
      </c>
      <c r="C143" s="987">
        <f>oR!G89</f>
        <v>804023</v>
      </c>
      <c r="D143" s="988" t="str">
        <f>oR!H89</f>
        <v>Corpo de BSTC D = 0,60 m PA2 - areia, brita e pedra de mão comerciais</v>
      </c>
      <c r="E143" s="326">
        <f>VLOOKUP(MEMORIA!E$204,OAC!$CM$17:$EF$17,$K143)</f>
        <v>0</v>
      </c>
      <c r="F143" s="530">
        <f t="shared" si="25"/>
        <v>0</v>
      </c>
      <c r="G143" s="430" t="str">
        <f>oR!L89</f>
        <v>m</v>
      </c>
      <c r="H143" s="361"/>
      <c r="I143" s="357">
        <f>MAX($I$13:I142)+1</f>
        <v>86</v>
      </c>
      <c r="J143" s="361" t="s">
        <v>5151</v>
      </c>
      <c r="K143" s="194">
        <v>8</v>
      </c>
    </row>
    <row r="144" spans="1:12" ht="13.5" thickBot="1" x14ac:dyDescent="0.3">
      <c r="A144" s="686">
        <f t="shared" si="24"/>
        <v>1</v>
      </c>
      <c r="B144" s="358">
        <f>oR!D90</f>
        <v>66</v>
      </c>
      <c r="C144" s="987">
        <f>oR!G90</f>
        <v>804031</v>
      </c>
      <c r="D144" s="988" t="str">
        <f>oR!H90</f>
        <v>Corpo de BSTC D = 0,80 m PA2 - areia, brita e pedra de mão comerciais</v>
      </c>
      <c r="E144" s="326">
        <f>VLOOKUP(MEMORIA!E$204,OAC!$CM$17:$EF$17,$K144)</f>
        <v>11</v>
      </c>
      <c r="F144" s="530">
        <f t="shared" si="25"/>
        <v>11</v>
      </c>
      <c r="G144" s="430" t="str">
        <f>oR!L90</f>
        <v>m</v>
      </c>
      <c r="H144" s="361"/>
      <c r="I144" s="357">
        <f>MAX($I$13:I143)+1</f>
        <v>87</v>
      </c>
      <c r="J144" s="361" t="s">
        <v>5151</v>
      </c>
      <c r="K144" s="194">
        <v>9</v>
      </c>
    </row>
    <row r="145" spans="1:11" ht="13.5" hidden="1" thickBot="1" x14ac:dyDescent="0.3">
      <c r="A145" s="686">
        <f t="shared" si="24"/>
        <v>0</v>
      </c>
      <c r="B145" s="358">
        <f>oR!D91</f>
        <v>67</v>
      </c>
      <c r="C145" s="987">
        <f>oR!G91</f>
        <v>804039</v>
      </c>
      <c r="D145" s="988" t="str">
        <f>oR!H91</f>
        <v>Corpo de BSTC D = 1,00 m PA2 - areia, brita e pedra de mão comerciais</v>
      </c>
      <c r="E145" s="326">
        <f>VLOOKUP(MEMORIA!E$204,OAC!$CM$17:$EF$17,$K145)</f>
        <v>0</v>
      </c>
      <c r="F145" s="530">
        <f t="shared" si="25"/>
        <v>0</v>
      </c>
      <c r="G145" s="430" t="str">
        <f>oR!L91</f>
        <v>m</v>
      </c>
      <c r="H145" s="361"/>
      <c r="I145" s="357">
        <f>MAX($I$13:I144)+1</f>
        <v>88</v>
      </c>
      <c r="J145" s="361" t="s">
        <v>5151</v>
      </c>
      <c r="K145" s="194">
        <v>10</v>
      </c>
    </row>
    <row r="146" spans="1:11" ht="13.5" hidden="1" thickBot="1" x14ac:dyDescent="0.3">
      <c r="A146" s="686">
        <f t="shared" si="24"/>
        <v>0</v>
      </c>
      <c r="B146" s="358">
        <f>oR!D92</f>
        <v>68</v>
      </c>
      <c r="C146" s="987">
        <f>oR!G92</f>
        <v>804047</v>
      </c>
      <c r="D146" s="988" t="str">
        <f>oR!H92</f>
        <v>Corpo de BSTC D = 1,20 m PA2 - areia, brita e pedra de mão comerciais</v>
      </c>
      <c r="E146" s="326">
        <f>VLOOKUP(MEMORIA!E$204,OAC!$CM$17:$EF$17,$K146)</f>
        <v>0</v>
      </c>
      <c r="F146" s="530">
        <f t="shared" si="25"/>
        <v>0</v>
      </c>
      <c r="G146" s="430" t="str">
        <f>oR!L92</f>
        <v>m</v>
      </c>
      <c r="H146" s="361"/>
      <c r="I146" s="357">
        <f>MAX($I$13:I145)+1</f>
        <v>89</v>
      </c>
      <c r="J146" s="361" t="s">
        <v>5151</v>
      </c>
      <c r="K146" s="194">
        <v>11</v>
      </c>
    </row>
    <row r="147" spans="1:11" ht="13.5" hidden="1" thickBot="1" x14ac:dyDescent="0.3">
      <c r="A147" s="686">
        <f t="shared" si="24"/>
        <v>0</v>
      </c>
      <c r="B147" s="358">
        <f>oR!D93</f>
        <v>69</v>
      </c>
      <c r="C147" s="987">
        <f>oR!G93</f>
        <v>804183</v>
      </c>
      <c r="D147" s="988" t="str">
        <f>oR!H93</f>
        <v>Corpo de BDTC D = 0,80 m PA2 - areia, brita e pedra de mão comerciais</v>
      </c>
      <c r="E147" s="326">
        <f>VLOOKUP(MEMORIA!E$204,OAC!$CM$17:$EF$17,$K147)</f>
        <v>0</v>
      </c>
      <c r="F147" s="530">
        <f t="shared" si="25"/>
        <v>0</v>
      </c>
      <c r="G147" s="430" t="str">
        <f>oR!L93</f>
        <v>m</v>
      </c>
      <c r="H147" s="361"/>
      <c r="I147" s="357">
        <f>MAX($I$13:I146)+1</f>
        <v>90</v>
      </c>
      <c r="J147" s="361" t="s">
        <v>5151</v>
      </c>
      <c r="K147" s="194">
        <v>12</v>
      </c>
    </row>
    <row r="148" spans="1:11" ht="13.5" hidden="1" thickBot="1" x14ac:dyDescent="0.3">
      <c r="A148" s="686">
        <f t="shared" si="24"/>
        <v>0</v>
      </c>
      <c r="B148" s="358">
        <f>oR!D94</f>
        <v>70</v>
      </c>
      <c r="C148" s="987">
        <f>oR!G94</f>
        <v>804191</v>
      </c>
      <c r="D148" s="988" t="str">
        <f>oR!H94</f>
        <v>Corpo de BDTC D = 1,00 m PA2 - areia, brita e pedra de mão comerciais</v>
      </c>
      <c r="E148" s="326">
        <f>VLOOKUP(MEMORIA!E$204,OAC!$CM$17:$EF$17,$K148)</f>
        <v>0</v>
      </c>
      <c r="F148" s="530">
        <f t="shared" si="25"/>
        <v>0</v>
      </c>
      <c r="G148" s="430" t="str">
        <f>oR!L94</f>
        <v>m</v>
      </c>
      <c r="H148" s="361"/>
      <c r="I148" s="357">
        <f>MAX($I$13:I147)+1</f>
        <v>91</v>
      </c>
      <c r="J148" s="361" t="s">
        <v>5151</v>
      </c>
      <c r="K148" s="194">
        <v>13</v>
      </c>
    </row>
    <row r="149" spans="1:11" ht="13.5" hidden="1" thickBot="1" x14ac:dyDescent="0.3">
      <c r="A149" s="686">
        <f t="shared" si="24"/>
        <v>0</v>
      </c>
      <c r="B149" s="358">
        <f>oR!D95</f>
        <v>71</v>
      </c>
      <c r="C149" s="987">
        <f>oR!G95</f>
        <v>804199</v>
      </c>
      <c r="D149" s="988" t="str">
        <f>oR!H95</f>
        <v>Corpo de BDTC D = 1,20 m PA2 - areia, brita e pedra de mão comerciais</v>
      </c>
      <c r="E149" s="326">
        <f>VLOOKUP(MEMORIA!E$204,OAC!$CM$17:$EF$17,$K149)</f>
        <v>0</v>
      </c>
      <c r="F149" s="530">
        <f t="shared" si="25"/>
        <v>0</v>
      </c>
      <c r="G149" s="430" t="str">
        <f>oR!L95</f>
        <v>m</v>
      </c>
      <c r="H149" s="361"/>
      <c r="I149" s="357">
        <f>MAX($I$13:I148)+1</f>
        <v>92</v>
      </c>
      <c r="J149" s="361" t="s">
        <v>5151</v>
      </c>
      <c r="K149" s="194">
        <v>14</v>
      </c>
    </row>
    <row r="150" spans="1:11" ht="13.5" hidden="1" thickBot="1" x14ac:dyDescent="0.3">
      <c r="A150" s="686">
        <f t="shared" si="24"/>
        <v>0</v>
      </c>
      <c r="B150" s="358">
        <f>oR!D96</f>
        <v>72</v>
      </c>
      <c r="C150" s="987">
        <f>oR!G96</f>
        <v>0</v>
      </c>
      <c r="D150" s="988" t="str">
        <f>oR!H96</f>
        <v/>
      </c>
      <c r="E150" s="326">
        <f>VLOOKUP(MEMORIA!E$204,OAC!$CM$17:$EF$17,$K150)</f>
        <v>0</v>
      </c>
      <c r="F150" s="530">
        <f t="shared" si="25"/>
        <v>0</v>
      </c>
      <c r="G150" s="430" t="str">
        <f>oR!L96</f>
        <v/>
      </c>
      <c r="H150" s="361"/>
      <c r="I150" s="357">
        <f>MAX($I$13:I149)+1</f>
        <v>93</v>
      </c>
      <c r="J150" s="361" t="s">
        <v>5151</v>
      </c>
      <c r="K150" s="194">
        <v>15</v>
      </c>
    </row>
    <row r="151" spans="1:11" ht="13.5" hidden="1" thickBot="1" x14ac:dyDescent="0.3">
      <c r="A151" s="686">
        <f t="shared" si="24"/>
        <v>0</v>
      </c>
      <c r="B151" s="358">
        <f>oR!D97</f>
        <v>73</v>
      </c>
      <c r="C151" s="987">
        <f>oR!G97</f>
        <v>804295</v>
      </c>
      <c r="D151" s="988" t="str">
        <f>oR!H97</f>
        <v>Corpo de BTTC D = 1,00 m PA2 - areia, brita e pedra de mão comerciais</v>
      </c>
      <c r="E151" s="326">
        <f>VLOOKUP(MEMORIA!E$204,OAC!$CM$17:$EF$17,$K151)</f>
        <v>0</v>
      </c>
      <c r="F151" s="530">
        <f t="shared" si="25"/>
        <v>0</v>
      </c>
      <c r="G151" s="430" t="str">
        <f>oR!L97</f>
        <v>m</v>
      </c>
      <c r="H151" s="361"/>
      <c r="I151" s="357">
        <f>MAX($I$13:I150)+1</f>
        <v>94</v>
      </c>
      <c r="J151" s="361" t="s">
        <v>5151</v>
      </c>
      <c r="K151" s="194">
        <v>16</v>
      </c>
    </row>
    <row r="152" spans="1:11" ht="13.5" hidden="1" thickBot="1" x14ac:dyDescent="0.3">
      <c r="A152" s="686">
        <f t="shared" si="24"/>
        <v>0</v>
      </c>
      <c r="B152" s="358">
        <f>oR!D98</f>
        <v>74</v>
      </c>
      <c r="C152" s="987">
        <f>oR!G98</f>
        <v>804303</v>
      </c>
      <c r="D152" s="988" t="str">
        <f>oR!H98</f>
        <v>Corpo de BTTC D = 1,20 m PA2 - areia, brita e pedra de mão comerciais</v>
      </c>
      <c r="E152" s="326">
        <f>VLOOKUP(MEMORIA!E$204,OAC!$CM$17:$EF$17,$K152)</f>
        <v>0</v>
      </c>
      <c r="F152" s="530">
        <f t="shared" si="25"/>
        <v>0</v>
      </c>
      <c r="G152" s="430" t="str">
        <f>oR!L98</f>
        <v>m</v>
      </c>
      <c r="H152" s="361"/>
      <c r="I152" s="357">
        <f>MAX($I$13:I151)+1</f>
        <v>95</v>
      </c>
      <c r="J152" s="361" t="s">
        <v>5151</v>
      </c>
      <c r="K152" s="194">
        <v>17</v>
      </c>
    </row>
    <row r="153" spans="1:11" ht="26.25" hidden="1" thickBot="1" x14ac:dyDescent="0.3">
      <c r="A153" s="686">
        <f t="shared" si="24"/>
        <v>0</v>
      </c>
      <c r="B153" s="358">
        <f>oR!D99</f>
        <v>75</v>
      </c>
      <c r="C153" s="987">
        <f>oR!G99</f>
        <v>6817885</v>
      </c>
      <c r="D153" s="988" t="str">
        <f>oR!H99</f>
        <v>Corpo de BSCC - seção canal de 1,5 x 1,5 m - pré-moldado - areia e brita comerciais</v>
      </c>
      <c r="E153" s="326">
        <f>VLOOKUP(MEMORIA!E$204,OAC!$CM$17:$EF$17,$K153)</f>
        <v>0</v>
      </c>
      <c r="F153" s="530">
        <f t="shared" si="25"/>
        <v>0</v>
      </c>
      <c r="G153" s="430" t="str">
        <f>oR!L99</f>
        <v>m</v>
      </c>
      <c r="H153" s="361"/>
      <c r="I153" s="357">
        <f>MAX($I$13:I152)+1</f>
        <v>96</v>
      </c>
      <c r="J153" s="361" t="s">
        <v>5151</v>
      </c>
      <c r="K153" s="194">
        <v>18</v>
      </c>
    </row>
    <row r="154" spans="1:11" ht="26.25" hidden="1" thickBot="1" x14ac:dyDescent="0.3">
      <c r="A154" s="686">
        <f t="shared" si="24"/>
        <v>0</v>
      </c>
      <c r="B154" s="358">
        <f>oR!D100</f>
        <v>76</v>
      </c>
      <c r="C154" s="987">
        <f>oR!G100</f>
        <v>6817889</v>
      </c>
      <c r="D154" s="988" t="str">
        <f>oR!H100</f>
        <v>Corpo de BSCC - seção canal de 2,0 x 2,0 m - pré-moldado - tipo I - areia e brita comerciais</v>
      </c>
      <c r="E154" s="326">
        <f>VLOOKUP(MEMORIA!E$204,OAC!$CM$17:$EF$17,$K154)</f>
        <v>0</v>
      </c>
      <c r="F154" s="530">
        <f t="shared" si="25"/>
        <v>0</v>
      </c>
      <c r="G154" s="430" t="str">
        <f>oR!L100</f>
        <v>m</v>
      </c>
      <c r="H154" s="361"/>
      <c r="I154" s="357">
        <f>MAX($I$13:I153)+1</f>
        <v>97</v>
      </c>
      <c r="J154" s="361" t="s">
        <v>5151</v>
      </c>
      <c r="K154" s="194">
        <v>19</v>
      </c>
    </row>
    <row r="155" spans="1:11" ht="26.25" hidden="1" thickBot="1" x14ac:dyDescent="0.3">
      <c r="A155" s="686">
        <f t="shared" si="24"/>
        <v>0</v>
      </c>
      <c r="B155" s="358">
        <f>oR!D101</f>
        <v>77</v>
      </c>
      <c r="C155" s="987">
        <f>oR!G101</f>
        <v>6817857</v>
      </c>
      <c r="D155" s="988" t="str">
        <f>oR!H101</f>
        <v>Corpo de BSCC - seção fechada de 2,5 x 2,5 m - pré-moldado - altura do aterro de 0,25 a 1,00 m - areia e brita comerciais</v>
      </c>
      <c r="E155" s="326">
        <f>VLOOKUP(MEMORIA!E$204,OAC!$CM$17:$EF$17,$K155)</f>
        <v>0</v>
      </c>
      <c r="F155" s="530">
        <f t="shared" si="25"/>
        <v>0</v>
      </c>
      <c r="G155" s="430" t="str">
        <f>oR!L101</f>
        <v>m</v>
      </c>
      <c r="H155" s="361"/>
      <c r="I155" s="357">
        <f>MAX($I$13:I154)+1</f>
        <v>98</v>
      </c>
      <c r="J155" s="361" t="s">
        <v>5151</v>
      </c>
      <c r="K155" s="194">
        <v>20</v>
      </c>
    </row>
    <row r="156" spans="1:11" ht="26.25" hidden="1" thickBot="1" x14ac:dyDescent="0.3">
      <c r="A156" s="686">
        <f t="shared" si="24"/>
        <v>0</v>
      </c>
      <c r="B156" s="358">
        <f>oR!D102</f>
        <v>78</v>
      </c>
      <c r="C156" s="987">
        <f>oR!G102</f>
        <v>705259</v>
      </c>
      <c r="D156" s="988" t="str">
        <f>oR!H102</f>
        <v>Corpo de BDCC 1,50 x 1,50 m - moldado no local - altura do aterro 1,00 a 2,50 m - areia e brita comerciais</v>
      </c>
      <c r="E156" s="326">
        <f>VLOOKUP(MEMORIA!E$204,OAC!$CM$17:$EF$17,$K156)</f>
        <v>0</v>
      </c>
      <c r="F156" s="530">
        <f t="shared" si="25"/>
        <v>0</v>
      </c>
      <c r="G156" s="430" t="str">
        <f>oR!L102</f>
        <v>m</v>
      </c>
      <c r="H156" s="361"/>
      <c r="I156" s="357">
        <f>MAX($I$13:I155)+1</f>
        <v>99</v>
      </c>
      <c r="J156" s="361" t="s">
        <v>5151</v>
      </c>
      <c r="K156" s="194">
        <v>21</v>
      </c>
    </row>
    <row r="157" spans="1:11" ht="26.25" hidden="1" thickBot="1" x14ac:dyDescent="0.3">
      <c r="A157" s="686">
        <f t="shared" si="24"/>
        <v>0</v>
      </c>
      <c r="B157" s="358">
        <f>oR!D103</f>
        <v>79</v>
      </c>
      <c r="C157" s="987">
        <f>oR!G103</f>
        <v>705273</v>
      </c>
      <c r="D157" s="988" t="str">
        <f>oR!H103</f>
        <v>Corpo de BDCC 2,00 x 2,00 m - moldado no local - altura do aterro 1,00 a 2,50 m - areia e brita comerciais</v>
      </c>
      <c r="E157" s="326">
        <f>VLOOKUP(MEMORIA!E$204,OAC!$CM$17:$EF$17,$K157)</f>
        <v>0</v>
      </c>
      <c r="F157" s="530">
        <f t="shared" si="25"/>
        <v>0</v>
      </c>
      <c r="G157" s="430" t="str">
        <f>oR!L103</f>
        <v>m</v>
      </c>
      <c r="H157" s="361"/>
      <c r="I157" s="357">
        <f>MAX($I$13:I156)+1</f>
        <v>100</v>
      </c>
      <c r="J157" s="361" t="s">
        <v>5151</v>
      </c>
      <c r="K157" s="194">
        <v>22</v>
      </c>
    </row>
    <row r="158" spans="1:11" ht="26.25" hidden="1" thickBot="1" x14ac:dyDescent="0.3">
      <c r="A158" s="686">
        <f t="shared" si="24"/>
        <v>0</v>
      </c>
      <c r="B158" s="358">
        <f>oR!D104</f>
        <v>80</v>
      </c>
      <c r="C158" s="987">
        <f>oR!G104</f>
        <v>705287</v>
      </c>
      <c r="D158" s="988" t="str">
        <f>oR!H104</f>
        <v>Corpo de BDCC 2,50 x 2,50 m - moldado no local - altura do aterro 1,00 a 2,50 m - areia e brita comerciais</v>
      </c>
      <c r="E158" s="326">
        <f>VLOOKUP(MEMORIA!E$204,OAC!$CM$17:$EF$17,$K158)</f>
        <v>0</v>
      </c>
      <c r="F158" s="530">
        <f t="shared" si="25"/>
        <v>0</v>
      </c>
      <c r="G158" s="430" t="str">
        <f>oR!L104</f>
        <v>m</v>
      </c>
      <c r="H158" s="361"/>
      <c r="I158" s="357">
        <f>MAX($I$13:I157)+1</f>
        <v>101</v>
      </c>
      <c r="J158" s="361" t="s">
        <v>5151</v>
      </c>
      <c r="K158" s="194">
        <v>23</v>
      </c>
    </row>
    <row r="159" spans="1:11" ht="26.25" hidden="1" thickBot="1" x14ac:dyDescent="0.3">
      <c r="A159" s="686">
        <f t="shared" si="24"/>
        <v>0</v>
      </c>
      <c r="B159" s="358">
        <f>oR!D105</f>
        <v>81</v>
      </c>
      <c r="C159" s="987">
        <f>oR!G105</f>
        <v>705348</v>
      </c>
      <c r="D159" s="988" t="str">
        <f>oR!H105</f>
        <v>Corpo de BTCC 1,50 x 1,50 m - moldado no local - altura do aterro 1,00 a 2,50 m - areia e brita comerciais</v>
      </c>
      <c r="E159" s="326">
        <f>VLOOKUP(MEMORIA!E$204,OAC!$CM$17:$EF$17,$K159)</f>
        <v>0</v>
      </c>
      <c r="F159" s="530">
        <f t="shared" si="25"/>
        <v>0</v>
      </c>
      <c r="G159" s="430" t="str">
        <f>oR!L105</f>
        <v>m</v>
      </c>
      <c r="H159" s="361"/>
      <c r="I159" s="357">
        <f>MAX($I$13:I158)+1</f>
        <v>102</v>
      </c>
      <c r="J159" s="361" t="s">
        <v>5151</v>
      </c>
      <c r="K159" s="194">
        <v>24</v>
      </c>
    </row>
    <row r="160" spans="1:11" ht="26.25" hidden="1" thickBot="1" x14ac:dyDescent="0.3">
      <c r="A160" s="686">
        <f t="shared" si="24"/>
        <v>0</v>
      </c>
      <c r="B160" s="358">
        <f>oR!D106</f>
        <v>82</v>
      </c>
      <c r="C160" s="987">
        <f>oR!G106</f>
        <v>705362</v>
      </c>
      <c r="D160" s="988" t="str">
        <f>oR!H106</f>
        <v>Corpo de BTCC 2,00 x 2,00 m - moldado no local - altura do aterro 1,00 a 2,50 m - areia e brita comerciais</v>
      </c>
      <c r="E160" s="326">
        <f>VLOOKUP(MEMORIA!E$204,OAC!$CM$17:$EF$17,$K160)</f>
        <v>0</v>
      </c>
      <c r="F160" s="530">
        <f t="shared" si="25"/>
        <v>0</v>
      </c>
      <c r="G160" s="430" t="str">
        <f>oR!L106</f>
        <v>m</v>
      </c>
      <c r="H160" s="361"/>
      <c r="I160" s="357">
        <f>MAX($I$13:I159)+1</f>
        <v>103</v>
      </c>
      <c r="J160" s="361" t="s">
        <v>5151</v>
      </c>
      <c r="K160" s="194">
        <v>25</v>
      </c>
    </row>
    <row r="161" spans="1:12" ht="26.25" hidden="1" thickBot="1" x14ac:dyDescent="0.3">
      <c r="A161" s="686">
        <f t="shared" si="24"/>
        <v>0</v>
      </c>
      <c r="B161" s="358">
        <f>oR!D107</f>
        <v>83</v>
      </c>
      <c r="C161" s="987">
        <f>oR!G107</f>
        <v>705376</v>
      </c>
      <c r="D161" s="988" t="str">
        <f>oR!H107</f>
        <v>Corpo de BTCC 2,50 x 2,50 m - moldado no local - altura do aterro 1,00 a 2,50 m - areia e brita comerciais</v>
      </c>
      <c r="E161" s="326">
        <f>VLOOKUP(MEMORIA!E$204,OAC!$CM$17:$EF$17,$K161)</f>
        <v>0</v>
      </c>
      <c r="F161" s="530">
        <f t="shared" si="25"/>
        <v>0</v>
      </c>
      <c r="G161" s="430" t="str">
        <f>oR!L107</f>
        <v>m</v>
      </c>
      <c r="H161" s="361"/>
      <c r="I161" s="357">
        <f>MAX($I$13:I160)+1</f>
        <v>104</v>
      </c>
      <c r="J161" s="361" t="s">
        <v>5151</v>
      </c>
      <c r="K161" s="194">
        <v>26</v>
      </c>
    </row>
    <row r="162" spans="1:12" ht="26.25" hidden="1" thickBot="1" x14ac:dyDescent="0.3">
      <c r="A162" s="686">
        <f t="shared" si="24"/>
        <v>0</v>
      </c>
      <c r="B162" s="358">
        <f>oR!D108</f>
        <v>84</v>
      </c>
      <c r="C162" s="987">
        <f>oR!G108</f>
        <v>2003477</v>
      </c>
      <c r="D162" s="988" t="str">
        <f>oR!H108</f>
        <v>Caixa coletora de sarjeta - CCS 01 - com grelha de concreto - TCC 01 - areia e brita comerciais</v>
      </c>
      <c r="E162" s="326">
        <f>VLOOKUP(MEMORIA!E$204,OAC!$EI$17:$GP$17,$L162)</f>
        <v>0</v>
      </c>
      <c r="F162" s="530">
        <f t="shared" si="25"/>
        <v>0</v>
      </c>
      <c r="G162" s="430" t="str">
        <f>oR!L108</f>
        <v>un</v>
      </c>
      <c r="H162" s="361"/>
      <c r="I162" s="357">
        <f>MAX($I$13:I161)+1</f>
        <v>105</v>
      </c>
      <c r="J162" s="361" t="s">
        <v>5151</v>
      </c>
      <c r="L162" s="194">
        <f>OAC!GA18</f>
        <v>45</v>
      </c>
    </row>
    <row r="163" spans="1:12" ht="26.25" thickBot="1" x14ac:dyDescent="0.3">
      <c r="A163" s="686">
        <f t="shared" si="24"/>
        <v>1</v>
      </c>
      <c r="B163" s="358">
        <f>oR!D109</f>
        <v>85</v>
      </c>
      <c r="C163" s="987">
        <f>oR!G109</f>
        <v>2003479</v>
      </c>
      <c r="D163" s="988" t="str">
        <f>oR!H109</f>
        <v>Caixa coletora de sarjeta - CCS 02 - com grelha de concreto - TCC 01 - areia e brita comerciais</v>
      </c>
      <c r="E163" s="326">
        <f>VLOOKUP(MEMORIA!E$204,OAC!$EI$17:$GP$17,$L163)</f>
        <v>1</v>
      </c>
      <c r="F163" s="530">
        <f t="shared" si="25"/>
        <v>1</v>
      </c>
      <c r="G163" s="430" t="str">
        <f>oR!L109</f>
        <v>un</v>
      </c>
      <c r="H163" s="361"/>
      <c r="I163" s="357">
        <f>MAX($I$13:I162)+1</f>
        <v>106</v>
      </c>
      <c r="J163" s="361" t="s">
        <v>5151</v>
      </c>
      <c r="L163" s="194">
        <f>L162+1</f>
        <v>46</v>
      </c>
    </row>
    <row r="164" spans="1:12" ht="26.25" hidden="1" thickBot="1" x14ac:dyDescent="0.3">
      <c r="A164" s="686">
        <f t="shared" si="24"/>
        <v>0</v>
      </c>
      <c r="B164" s="358">
        <f>oR!D110</f>
        <v>86</v>
      </c>
      <c r="C164" s="987">
        <f>oR!G110</f>
        <v>2003481</v>
      </c>
      <c r="D164" s="988" t="str">
        <f>oR!H110</f>
        <v>Caixa coletora de sarjeta - CCS 03 - com grelha de concreto - TCC 01 - areia e brita comerciais</v>
      </c>
      <c r="E164" s="326">
        <f>VLOOKUP(MEMORIA!E$204,OAC!$EI$17:$GP$17,$L164)</f>
        <v>0</v>
      </c>
      <c r="F164" s="530">
        <f t="shared" si="25"/>
        <v>0</v>
      </c>
      <c r="G164" s="430" t="str">
        <f>oR!L110</f>
        <v>un</v>
      </c>
      <c r="H164" s="361"/>
      <c r="I164" s="357">
        <f>MAX($I$13:I162)+1</f>
        <v>106</v>
      </c>
      <c r="J164" s="361" t="s">
        <v>5151</v>
      </c>
      <c r="L164" s="194">
        <f t="shared" ref="L164:L169" si="26">L163+1</f>
        <v>47</v>
      </c>
    </row>
    <row r="165" spans="1:12" ht="26.25" hidden="1" thickBot="1" x14ac:dyDescent="0.3">
      <c r="A165" s="686">
        <f t="shared" si="24"/>
        <v>0</v>
      </c>
      <c r="B165" s="358">
        <f>oR!D111</f>
        <v>87</v>
      </c>
      <c r="C165" s="987">
        <f>oR!G111</f>
        <v>2003483</v>
      </c>
      <c r="D165" s="988" t="str">
        <f>oR!H111</f>
        <v>Caixa coletora de sarjeta - CCS 04 - com grelha de concreto - TCC 01 - areia e brita comerciais</v>
      </c>
      <c r="E165" s="326">
        <f>VLOOKUP(MEMORIA!E$204,OAC!$EI$17:$GP$17,$L165)</f>
        <v>0</v>
      </c>
      <c r="F165" s="530">
        <f t="shared" si="25"/>
        <v>0</v>
      </c>
      <c r="G165" s="430" t="str">
        <f>oR!L111</f>
        <v>un</v>
      </c>
      <c r="H165" s="361"/>
      <c r="I165" s="357">
        <f>MAX($I$13:I164)+1</f>
        <v>107</v>
      </c>
      <c r="J165" s="361" t="s">
        <v>5151</v>
      </c>
      <c r="L165" s="194">
        <f t="shared" si="26"/>
        <v>48</v>
      </c>
    </row>
    <row r="166" spans="1:12" ht="13.5" hidden="1" thickBot="1" x14ac:dyDescent="0.3">
      <c r="A166" s="686">
        <f t="shared" si="24"/>
        <v>0</v>
      </c>
      <c r="B166" s="358">
        <f>oR!D112</f>
        <v>88</v>
      </c>
      <c r="C166" s="987">
        <f>oR!G112</f>
        <v>2003728</v>
      </c>
      <c r="D166" s="988" t="str">
        <f>oR!H112</f>
        <v>Caixa coletora de talvegue - CCT 01 - areia e brita comerciais</v>
      </c>
      <c r="E166" s="326">
        <f>VLOOKUP(MEMORIA!E$204,OAC!$EI$17:$GP$17,$L166)</f>
        <v>0</v>
      </c>
      <c r="F166" s="530">
        <f t="shared" si="25"/>
        <v>0</v>
      </c>
      <c r="G166" s="430" t="str">
        <f>oR!L112</f>
        <v>un</v>
      </c>
      <c r="H166" s="361"/>
      <c r="I166" s="357">
        <f>MAX($I$13:I165)+1</f>
        <v>108</v>
      </c>
      <c r="J166" s="361" t="s">
        <v>5151</v>
      </c>
      <c r="L166" s="194">
        <f t="shared" si="26"/>
        <v>49</v>
      </c>
    </row>
    <row r="167" spans="1:12" ht="13.5" hidden="1" thickBot="1" x14ac:dyDescent="0.3">
      <c r="A167" s="686">
        <f t="shared" si="24"/>
        <v>0</v>
      </c>
      <c r="B167" s="358">
        <f>oR!D113</f>
        <v>89</v>
      </c>
      <c r="C167" s="987">
        <f>oR!G113</f>
        <v>2003730</v>
      </c>
      <c r="D167" s="988" t="str">
        <f>oR!H113</f>
        <v>Caixa coletora de talvegue - CCT 02 - areia e brita comerciais</v>
      </c>
      <c r="E167" s="326">
        <f>VLOOKUP(MEMORIA!E$204,OAC!$EI$17:$GP$17,$L167)</f>
        <v>0</v>
      </c>
      <c r="F167" s="530">
        <f t="shared" si="25"/>
        <v>0</v>
      </c>
      <c r="G167" s="430" t="str">
        <f>oR!L113</f>
        <v>un</v>
      </c>
      <c r="H167" s="361"/>
      <c r="I167" s="357">
        <f>MAX($I$13:I166)+1</f>
        <v>109</v>
      </c>
      <c r="J167" s="361" t="s">
        <v>5151</v>
      </c>
      <c r="L167" s="194">
        <f t="shared" si="26"/>
        <v>50</v>
      </c>
    </row>
    <row r="168" spans="1:12" ht="13.5" hidden="1" thickBot="1" x14ac:dyDescent="0.3">
      <c r="A168" s="686">
        <f t="shared" si="24"/>
        <v>0</v>
      </c>
      <c r="B168" s="358">
        <f>oR!D114</f>
        <v>90</v>
      </c>
      <c r="C168" s="987">
        <f>oR!G114</f>
        <v>2003732</v>
      </c>
      <c r="D168" s="988" t="str">
        <f>oR!H114</f>
        <v>Caixa coletora de talvegue - CCT 03 - areia e brita comerciais</v>
      </c>
      <c r="E168" s="326">
        <f>VLOOKUP(MEMORIA!E$204,OAC!$EI$17:$GP$17,$L168)</f>
        <v>0</v>
      </c>
      <c r="F168" s="530">
        <f t="shared" si="25"/>
        <v>0</v>
      </c>
      <c r="G168" s="430" t="str">
        <f>oR!L114</f>
        <v>un</v>
      </c>
      <c r="H168" s="361"/>
      <c r="I168" s="357">
        <f>MAX($I$13:I167)+1</f>
        <v>110</v>
      </c>
      <c r="J168" s="361" t="s">
        <v>5151</v>
      </c>
      <c r="L168" s="194">
        <f t="shared" si="26"/>
        <v>51</v>
      </c>
    </row>
    <row r="169" spans="1:12" ht="13.5" hidden="1" thickBot="1" x14ac:dyDescent="0.3">
      <c r="A169" s="686">
        <f t="shared" si="24"/>
        <v>0</v>
      </c>
      <c r="B169" s="358">
        <f>oR!D115</f>
        <v>91</v>
      </c>
      <c r="C169" s="987">
        <f>oR!G115</f>
        <v>2003734</v>
      </c>
      <c r="D169" s="988" t="str">
        <f>oR!H115</f>
        <v>Caixa coletora de talvegue - CCT 04 - areia e brita comerciais</v>
      </c>
      <c r="E169" s="326">
        <f>VLOOKUP(MEMORIA!E$204,OAC!$EI$17:$GP$17,$L169)</f>
        <v>0</v>
      </c>
      <c r="F169" s="530">
        <f t="shared" si="25"/>
        <v>0</v>
      </c>
      <c r="G169" s="430" t="str">
        <f>oR!L115</f>
        <v>un</v>
      </c>
      <c r="H169" s="361"/>
      <c r="I169" s="357">
        <f>MAX($I$13:I168)+1</f>
        <v>111</v>
      </c>
      <c r="J169" s="361" t="s">
        <v>5151</v>
      </c>
      <c r="L169" s="194">
        <f t="shared" si="26"/>
        <v>52</v>
      </c>
    </row>
    <row r="170" spans="1:12" ht="13.5" hidden="1" thickBot="1" x14ac:dyDescent="0.3">
      <c r="A170" s="686">
        <f t="shared" si="24"/>
        <v>0</v>
      </c>
      <c r="B170" s="358">
        <f>oR!D116</f>
        <v>92</v>
      </c>
      <c r="C170" s="987">
        <f>oR!G116</f>
        <v>804081</v>
      </c>
      <c r="D170" s="988" t="str">
        <f>oR!H116</f>
        <v>Boca de BSTC D = 0,60 m - esconsidade 0° - areia e brita comerciais - alas retas</v>
      </c>
      <c r="E170" s="326">
        <f>VLOOKUP(MEMORIA!E$204,OAC!$EI$17:$GP$17,$L170)</f>
        <v>0</v>
      </c>
      <c r="F170" s="530">
        <f t="shared" si="25"/>
        <v>0</v>
      </c>
      <c r="G170" s="430" t="str">
        <f>oR!L116</f>
        <v>un</v>
      </c>
      <c r="H170" s="361"/>
      <c r="I170" s="357">
        <f>MAX($I$13:I169)+1</f>
        <v>112</v>
      </c>
      <c r="J170" s="361" t="s">
        <v>5151</v>
      </c>
      <c r="L170" s="194">
        <f>OAC!FH18</f>
        <v>26</v>
      </c>
    </row>
    <row r="171" spans="1:12" ht="13.5" thickBot="1" x14ac:dyDescent="0.3">
      <c r="A171" s="686">
        <f t="shared" si="24"/>
        <v>1</v>
      </c>
      <c r="B171" s="358">
        <f>oR!D117</f>
        <v>93</v>
      </c>
      <c r="C171" s="987">
        <f>oR!G117</f>
        <v>804101</v>
      </c>
      <c r="D171" s="988" t="str">
        <f>oR!H117</f>
        <v>Boca de BSTC D = 0,80 m - esconsidade 0° - areia e brita comerciais - alas retas</v>
      </c>
      <c r="E171" s="326">
        <f>VLOOKUP(MEMORIA!E$204,OAC!$EI$17:$GP$17,$L171)</f>
        <v>1</v>
      </c>
      <c r="F171" s="530">
        <f t="shared" si="25"/>
        <v>1</v>
      </c>
      <c r="G171" s="430" t="str">
        <f>oR!L117</f>
        <v>un</v>
      </c>
      <c r="H171" s="361"/>
      <c r="I171" s="357">
        <f>MAX($I$13:I170)+1</f>
        <v>113</v>
      </c>
      <c r="J171" s="361" t="s">
        <v>5151</v>
      </c>
      <c r="L171" s="194">
        <f>L170+1</f>
        <v>27</v>
      </c>
    </row>
    <row r="172" spans="1:12" ht="13.5" hidden="1" thickBot="1" x14ac:dyDescent="0.3">
      <c r="A172" s="686">
        <f t="shared" si="24"/>
        <v>0</v>
      </c>
      <c r="B172" s="358">
        <f>oR!D118</f>
        <v>94</v>
      </c>
      <c r="C172" s="987">
        <f>oR!G118</f>
        <v>804121</v>
      </c>
      <c r="D172" s="988" t="str">
        <f>oR!H118</f>
        <v>Boca de BSTC D = 1,00 m - esconsidade 0° - areia e brita comerciais - alas retas</v>
      </c>
      <c r="E172" s="326">
        <f>VLOOKUP(MEMORIA!E$204,OAC!$EI$17:$GP$17,$L172)</f>
        <v>0</v>
      </c>
      <c r="F172" s="530">
        <f t="shared" si="25"/>
        <v>0</v>
      </c>
      <c r="G172" s="430" t="str">
        <f>oR!L118</f>
        <v>un</v>
      </c>
      <c r="H172" s="361"/>
      <c r="I172" s="357">
        <f>MAX($I$13:I171)+1</f>
        <v>114</v>
      </c>
      <c r="J172" s="361" t="s">
        <v>5151</v>
      </c>
      <c r="L172" s="194">
        <f t="shared" ref="L172:L188" si="27">L171+1</f>
        <v>28</v>
      </c>
    </row>
    <row r="173" spans="1:12" ht="13.5" hidden="1" thickBot="1" x14ac:dyDescent="0.3">
      <c r="A173" s="686">
        <f t="shared" si="24"/>
        <v>0</v>
      </c>
      <c r="B173" s="358">
        <f>oR!D119</f>
        <v>95</v>
      </c>
      <c r="C173" s="987">
        <f>oR!G119</f>
        <v>804141</v>
      </c>
      <c r="D173" s="988" t="str">
        <f>oR!H119</f>
        <v>Boca de BSTC D = 1,20 m - esconsidade 0° - areia e brita comerciais - alas retas</v>
      </c>
      <c r="E173" s="326">
        <f>VLOOKUP(MEMORIA!E$204,OAC!$EI$17:$GP$17,$L173)</f>
        <v>0</v>
      </c>
      <c r="F173" s="530">
        <f t="shared" si="25"/>
        <v>0</v>
      </c>
      <c r="G173" s="430" t="str">
        <f>oR!L119</f>
        <v>un</v>
      </c>
      <c r="H173" s="361"/>
      <c r="I173" s="357">
        <f>MAX($I$13:I172)+1</f>
        <v>115</v>
      </c>
      <c r="J173" s="361" t="s">
        <v>5151</v>
      </c>
      <c r="L173" s="194">
        <f t="shared" si="27"/>
        <v>29</v>
      </c>
    </row>
    <row r="174" spans="1:12" ht="13.5" hidden="1" thickBot="1" x14ac:dyDescent="0.3">
      <c r="A174" s="686">
        <f t="shared" si="24"/>
        <v>0</v>
      </c>
      <c r="B174" s="358">
        <f>oR!D120</f>
        <v>96</v>
      </c>
      <c r="C174" s="987">
        <f>oR!G120</f>
        <v>804213</v>
      </c>
      <c r="D174" s="988" t="str">
        <f>oR!H120</f>
        <v>Boca de BDTC D = 0,80 m - esconsidade 0° - areia e brita comerciais - alas retas</v>
      </c>
      <c r="E174" s="326">
        <f>VLOOKUP(MEMORIA!E$204,OAC!$EI$17:$GP$17,$L174)</f>
        <v>0</v>
      </c>
      <c r="F174" s="530">
        <f t="shared" si="25"/>
        <v>0</v>
      </c>
      <c r="G174" s="430" t="str">
        <f>oR!L120</f>
        <v>un</v>
      </c>
      <c r="H174" s="361"/>
      <c r="I174" s="357">
        <f>MAX($I$13:I173)+1</f>
        <v>116</v>
      </c>
      <c r="J174" s="361" t="s">
        <v>5151</v>
      </c>
      <c r="L174" s="194">
        <f t="shared" si="27"/>
        <v>30</v>
      </c>
    </row>
    <row r="175" spans="1:12" ht="26.25" hidden="1" thickBot="1" x14ac:dyDescent="0.3">
      <c r="A175" s="686">
        <f t="shared" si="24"/>
        <v>0</v>
      </c>
      <c r="B175" s="358">
        <f>oR!D121</f>
        <v>97</v>
      </c>
      <c r="C175" s="987">
        <f>oR!G121</f>
        <v>804417</v>
      </c>
      <c r="D175" s="988" t="str">
        <f>oR!H121</f>
        <v>Boca de BDTC D = 1,00 m - esconsidade 0° - areia e brita comerciais - alas esconsas</v>
      </c>
      <c r="E175" s="326">
        <f>VLOOKUP(MEMORIA!E$204,OAC!$EI$17:$GP$17,$L175)</f>
        <v>0</v>
      </c>
      <c r="F175" s="530">
        <f t="shared" si="25"/>
        <v>0</v>
      </c>
      <c r="G175" s="430" t="str">
        <f>oR!L121</f>
        <v>un</v>
      </c>
      <c r="H175" s="361"/>
      <c r="I175" s="357">
        <f>MAX($I$13:I174)+1</f>
        <v>117</v>
      </c>
      <c r="J175" s="361" t="s">
        <v>5151</v>
      </c>
      <c r="L175" s="194">
        <f t="shared" si="27"/>
        <v>31</v>
      </c>
    </row>
    <row r="176" spans="1:12" ht="13.5" hidden="1" thickBot="1" x14ac:dyDescent="0.3">
      <c r="A176" s="686">
        <f t="shared" si="24"/>
        <v>0</v>
      </c>
      <c r="B176" s="358">
        <f>oR!D122</f>
        <v>98</v>
      </c>
      <c r="C176" s="987">
        <f>oR!G122</f>
        <v>804253</v>
      </c>
      <c r="D176" s="988" t="str">
        <f>oR!H122</f>
        <v>Boca de BDTC D = 1,20 m - esconsidade 0° - areia e brita comerciais - alas retas</v>
      </c>
      <c r="E176" s="326">
        <f>VLOOKUP(MEMORIA!E$204,OAC!$EI$17:$GP$17,$L176)</f>
        <v>0</v>
      </c>
      <c r="F176" s="530">
        <f t="shared" si="25"/>
        <v>0</v>
      </c>
      <c r="G176" s="430" t="str">
        <f>oR!L122</f>
        <v>un</v>
      </c>
      <c r="H176" s="361"/>
      <c r="I176" s="357">
        <f>MAX($I$13:I175)+1</f>
        <v>118</v>
      </c>
      <c r="J176" s="361" t="s">
        <v>5151</v>
      </c>
      <c r="L176" s="194">
        <f t="shared" si="27"/>
        <v>32</v>
      </c>
    </row>
    <row r="177" spans="1:12" ht="13.5" hidden="1" thickBot="1" x14ac:dyDescent="0.3">
      <c r="A177" s="686">
        <f t="shared" si="24"/>
        <v>0</v>
      </c>
      <c r="B177" s="358">
        <f>oR!D123</f>
        <v>99</v>
      </c>
      <c r="C177" s="987">
        <f>oR!G123</f>
        <v>0</v>
      </c>
      <c r="D177" s="988" t="str">
        <f>oR!H123</f>
        <v/>
      </c>
      <c r="E177" s="326">
        <f>VLOOKUP(MEMORIA!E$204,OAC!$EI$17:$GP$17,$L177)</f>
        <v>0</v>
      </c>
      <c r="F177" s="530">
        <f t="shared" si="25"/>
        <v>0</v>
      </c>
      <c r="G177" s="430" t="str">
        <f>oR!L123</f>
        <v/>
      </c>
      <c r="H177" s="361"/>
      <c r="I177" s="357">
        <f>MAX($I$13:I176)+1</f>
        <v>119</v>
      </c>
      <c r="J177" s="361" t="s">
        <v>5151</v>
      </c>
      <c r="L177" s="194">
        <f t="shared" si="27"/>
        <v>33</v>
      </c>
    </row>
    <row r="178" spans="1:12" ht="13.5" hidden="1" thickBot="1" x14ac:dyDescent="0.3">
      <c r="A178" s="686">
        <f t="shared" si="24"/>
        <v>0</v>
      </c>
      <c r="B178" s="358">
        <f>oR!D124</f>
        <v>100</v>
      </c>
      <c r="C178" s="987">
        <f>oR!G124</f>
        <v>804317</v>
      </c>
      <c r="D178" s="988" t="str">
        <f>oR!H124</f>
        <v>Boca de BTTC D = 1,00 m - esconsidade 0° - areia e brita comerciais - alas retas</v>
      </c>
      <c r="E178" s="326">
        <f>VLOOKUP(MEMORIA!E$204,OAC!$EI$17:$GP$17,$L178)</f>
        <v>0</v>
      </c>
      <c r="F178" s="530">
        <f t="shared" si="25"/>
        <v>0</v>
      </c>
      <c r="G178" s="430" t="str">
        <f>oR!L124</f>
        <v>un</v>
      </c>
      <c r="H178" s="361"/>
      <c r="I178" s="357">
        <f>MAX($I$13:I177)+1</f>
        <v>120</v>
      </c>
      <c r="J178" s="361" t="s">
        <v>5151</v>
      </c>
      <c r="L178" s="194">
        <f t="shared" si="27"/>
        <v>34</v>
      </c>
    </row>
    <row r="179" spans="1:12" ht="13.5" hidden="1" thickBot="1" x14ac:dyDescent="0.3">
      <c r="A179" s="686">
        <f t="shared" si="24"/>
        <v>0</v>
      </c>
      <c r="B179" s="358">
        <f>oR!D125</f>
        <v>101</v>
      </c>
      <c r="C179" s="987">
        <f>oR!G125</f>
        <v>804337</v>
      </c>
      <c r="D179" s="988" t="str">
        <f>oR!H125</f>
        <v>Boca de BTTC D = 1,20 m - esconsidade 0° - areia e brita comerciais - alas retas</v>
      </c>
      <c r="E179" s="326">
        <f>VLOOKUP(MEMORIA!E$204,OAC!$EI$17:$GP$17,$L179)</f>
        <v>0</v>
      </c>
      <c r="F179" s="530">
        <f t="shared" si="25"/>
        <v>0</v>
      </c>
      <c r="G179" s="430" t="str">
        <f>oR!L125</f>
        <v>un</v>
      </c>
      <c r="H179" s="361"/>
      <c r="I179" s="357">
        <f>MAX($I$13:I155)+1</f>
        <v>99</v>
      </c>
      <c r="J179" s="361" t="s">
        <v>5151</v>
      </c>
      <c r="L179" s="194">
        <f t="shared" si="27"/>
        <v>35</v>
      </c>
    </row>
    <row r="180" spans="1:12" ht="13.5" hidden="1" thickBot="1" x14ac:dyDescent="0.3">
      <c r="A180" s="686">
        <f t="shared" si="24"/>
        <v>0</v>
      </c>
      <c r="B180" s="358">
        <f>oR!D126</f>
        <v>102</v>
      </c>
      <c r="C180" s="987">
        <f>oR!G126</f>
        <v>705225</v>
      </c>
      <c r="D180" s="988" t="str">
        <f>oR!H126</f>
        <v>Boca de BSCC 1,50 x 1,50 m - esconsidade 0° - areia e brita comerciais</v>
      </c>
      <c r="E180" s="326">
        <f>VLOOKUP(MEMORIA!E$204,OAC!$EI$17:$GP$17,$L180)</f>
        <v>0</v>
      </c>
      <c r="F180" s="530">
        <f t="shared" si="25"/>
        <v>0</v>
      </c>
      <c r="G180" s="430" t="str">
        <f>oR!L126</f>
        <v>un</v>
      </c>
      <c r="H180" s="361"/>
      <c r="I180" s="357">
        <f>MAX($I$13:I156)+1</f>
        <v>100</v>
      </c>
      <c r="J180" s="361" t="s">
        <v>5151</v>
      </c>
      <c r="L180" s="194">
        <f t="shared" si="27"/>
        <v>36</v>
      </c>
    </row>
    <row r="181" spans="1:12" ht="13.5" hidden="1" thickBot="1" x14ac:dyDescent="0.3">
      <c r="A181" s="686">
        <f t="shared" si="24"/>
        <v>0</v>
      </c>
      <c r="B181" s="358">
        <f>oR!D127</f>
        <v>103</v>
      </c>
      <c r="C181" s="987">
        <f>oR!G127</f>
        <v>705233</v>
      </c>
      <c r="D181" s="988" t="str">
        <f>oR!H127</f>
        <v>Boca de BSCC 2,00 x 2,00 m - esconsidade 0° - areia e brita comerciais</v>
      </c>
      <c r="E181" s="326">
        <f>VLOOKUP(MEMORIA!E$204,OAC!$EI$17:$GP$17,$L181)</f>
        <v>0</v>
      </c>
      <c r="F181" s="530">
        <f t="shared" si="25"/>
        <v>0</v>
      </c>
      <c r="G181" s="430" t="str">
        <f>oR!L127</f>
        <v>un</v>
      </c>
      <c r="H181" s="361"/>
      <c r="I181" s="357">
        <f>MAX($I$13:I157)+1</f>
        <v>101</v>
      </c>
      <c r="J181" s="361" t="s">
        <v>5151</v>
      </c>
      <c r="L181" s="194">
        <f t="shared" si="27"/>
        <v>37</v>
      </c>
    </row>
    <row r="182" spans="1:12" ht="13.5" hidden="1" thickBot="1" x14ac:dyDescent="0.3">
      <c r="A182" s="686">
        <f t="shared" si="24"/>
        <v>0</v>
      </c>
      <c r="B182" s="358">
        <f>oR!D128</f>
        <v>104</v>
      </c>
      <c r="C182" s="987">
        <f>oR!G128</f>
        <v>705240</v>
      </c>
      <c r="D182" s="988" t="str">
        <f>oR!H128</f>
        <v>Boca de BSCC 2,50 x 2,50 m - esconsidade 0° - areia extraída e brita produzida</v>
      </c>
      <c r="E182" s="326">
        <f>VLOOKUP(MEMORIA!E$204,OAC!$EI$17:$GP$17,$L182)</f>
        <v>0</v>
      </c>
      <c r="F182" s="530">
        <f t="shared" si="25"/>
        <v>0</v>
      </c>
      <c r="G182" s="430" t="str">
        <f>oR!L128</f>
        <v>un</v>
      </c>
      <c r="H182" s="361"/>
      <c r="I182" s="357">
        <f>MAX($I$13:I158)+1</f>
        <v>102</v>
      </c>
      <c r="J182" s="361" t="s">
        <v>5151</v>
      </c>
      <c r="L182" s="194">
        <f t="shared" si="27"/>
        <v>38</v>
      </c>
    </row>
    <row r="183" spans="1:12" ht="13.5" hidden="1" thickBot="1" x14ac:dyDescent="0.3">
      <c r="A183" s="686">
        <f t="shared" si="24"/>
        <v>0</v>
      </c>
      <c r="B183" s="358">
        <f>oR!D129</f>
        <v>105</v>
      </c>
      <c r="C183" s="987">
        <f>oR!G129</f>
        <v>705314</v>
      </c>
      <c r="D183" s="988" t="str">
        <f>oR!H129</f>
        <v>Boca de BDCC 1,50 x 1,50 m - esconsidade 0° - areia e brita comerciais</v>
      </c>
      <c r="E183" s="326">
        <f>VLOOKUP(MEMORIA!E$204,OAC!$EI$17:$GP$17,$L183)</f>
        <v>0</v>
      </c>
      <c r="F183" s="530">
        <f t="shared" si="25"/>
        <v>0</v>
      </c>
      <c r="G183" s="430" t="str">
        <f>oR!L129</f>
        <v>un</v>
      </c>
      <c r="H183" s="361"/>
      <c r="I183" s="357">
        <f>MAX($I$13:I159)+1</f>
        <v>103</v>
      </c>
      <c r="J183" s="361" t="s">
        <v>5151</v>
      </c>
      <c r="L183" s="194">
        <f t="shared" si="27"/>
        <v>39</v>
      </c>
    </row>
    <row r="184" spans="1:12" ht="13.5" hidden="1" thickBot="1" x14ac:dyDescent="0.3">
      <c r="A184" s="686">
        <f t="shared" si="24"/>
        <v>0</v>
      </c>
      <c r="B184" s="358">
        <f>oR!D130</f>
        <v>106</v>
      </c>
      <c r="C184" s="987">
        <f>oR!G130</f>
        <v>705322</v>
      </c>
      <c r="D184" s="988" t="str">
        <f>oR!H130</f>
        <v>Boca de BDCC 2,00 x 2,00 m - esconsidade 0° - areia e brita comerciais</v>
      </c>
      <c r="E184" s="326">
        <f>VLOOKUP(MEMORIA!E$204,OAC!$EI$17:$GP$17,$L184)</f>
        <v>0</v>
      </c>
      <c r="F184" s="530">
        <f t="shared" si="25"/>
        <v>0</v>
      </c>
      <c r="G184" s="430" t="str">
        <f>oR!L130</f>
        <v>un</v>
      </c>
      <c r="H184" s="361"/>
      <c r="I184" s="357">
        <f>MAX($I$13:I160)+1</f>
        <v>104</v>
      </c>
      <c r="J184" s="361" t="s">
        <v>5151</v>
      </c>
      <c r="L184" s="194">
        <f t="shared" si="27"/>
        <v>40</v>
      </c>
    </row>
    <row r="185" spans="1:12" ht="13.5" hidden="1" thickBot="1" x14ac:dyDescent="0.3">
      <c r="A185" s="686">
        <f t="shared" si="24"/>
        <v>0</v>
      </c>
      <c r="B185" s="358">
        <f>oR!D131</f>
        <v>107</v>
      </c>
      <c r="C185" s="987">
        <f>oR!G131</f>
        <v>705330</v>
      </c>
      <c r="D185" s="988" t="str">
        <f>oR!H131</f>
        <v>Boca de BDCC 2,50 x 2,50 m - esconsidade 0° - areia e brita comerciais</v>
      </c>
      <c r="E185" s="326">
        <f>VLOOKUP(MEMORIA!E$204,OAC!$EI$17:$GP$17,$L185)</f>
        <v>0</v>
      </c>
      <c r="F185" s="530">
        <f t="shared" si="25"/>
        <v>0</v>
      </c>
      <c r="G185" s="430" t="str">
        <f>oR!L131</f>
        <v>un</v>
      </c>
      <c r="H185" s="361"/>
      <c r="I185" s="357">
        <f>MAX($I$13:I161)+1</f>
        <v>105</v>
      </c>
      <c r="J185" s="361" t="s">
        <v>5151</v>
      </c>
      <c r="L185" s="194">
        <f t="shared" si="27"/>
        <v>41</v>
      </c>
    </row>
    <row r="186" spans="1:12" ht="13.5" hidden="1" thickBot="1" x14ac:dyDescent="0.3">
      <c r="A186" s="686">
        <f t="shared" si="24"/>
        <v>0</v>
      </c>
      <c r="B186" s="358">
        <f>oR!D132</f>
        <v>108</v>
      </c>
      <c r="C186" s="987">
        <f>oR!G132</f>
        <v>705403</v>
      </c>
      <c r="D186" s="988" t="str">
        <f>oR!H132</f>
        <v>Boca de BTCC 1,50 x 1,50 m - esconsidade 0° - areia e brita comerciais</v>
      </c>
      <c r="E186" s="326">
        <f>VLOOKUP(MEMORIA!E$204,OAC!$EI$17:$GP$17,$L186)</f>
        <v>0</v>
      </c>
      <c r="F186" s="530">
        <f>SUM(E186:E186)</f>
        <v>0</v>
      </c>
      <c r="G186" s="430" t="str">
        <f>oR!L132</f>
        <v>un</v>
      </c>
      <c r="H186" s="361"/>
      <c r="I186" s="357">
        <f>MAX($I$13:I162)+1</f>
        <v>106</v>
      </c>
      <c r="J186" s="361" t="s">
        <v>5151</v>
      </c>
      <c r="L186" s="194">
        <f t="shared" si="27"/>
        <v>42</v>
      </c>
    </row>
    <row r="187" spans="1:12" ht="13.5" hidden="1" thickBot="1" x14ac:dyDescent="0.3">
      <c r="A187" s="686">
        <f t="shared" si="24"/>
        <v>0</v>
      </c>
      <c r="B187" s="358">
        <f>oR!D133</f>
        <v>109</v>
      </c>
      <c r="C187" s="987">
        <f>oR!G133</f>
        <v>705411</v>
      </c>
      <c r="D187" s="988" t="str">
        <f>oR!H133</f>
        <v>Boca de BTCC 2,00 x 2,00 m - esconsidade 0° - areia e brita comerciais</v>
      </c>
      <c r="E187" s="326">
        <f>VLOOKUP(MEMORIA!E$204,OAC!$EI$17:$GP$17,$L187)</f>
        <v>0</v>
      </c>
      <c r="F187" s="530">
        <f t="shared" si="25"/>
        <v>0</v>
      </c>
      <c r="G187" s="430" t="str">
        <f>oR!L133</f>
        <v>un</v>
      </c>
      <c r="H187" s="361"/>
      <c r="I187" s="357">
        <f>MAX($I$13:I163)+1</f>
        <v>107</v>
      </c>
      <c r="J187" s="361" t="s">
        <v>5151</v>
      </c>
      <c r="L187" s="194">
        <f t="shared" si="27"/>
        <v>43</v>
      </c>
    </row>
    <row r="188" spans="1:12" ht="13.5" hidden="1" thickBot="1" x14ac:dyDescent="0.3">
      <c r="A188" s="686">
        <f t="shared" si="24"/>
        <v>0</v>
      </c>
      <c r="B188" s="358">
        <f>oR!D134</f>
        <v>110</v>
      </c>
      <c r="C188" s="987">
        <f>oR!G134</f>
        <v>705419</v>
      </c>
      <c r="D188" s="988" t="str">
        <f>oR!H134</f>
        <v>Boca de BTCC 2,50 x 2,50 m - esconsidade 0° - areia e brita comerciais</v>
      </c>
      <c r="E188" s="326">
        <f>VLOOKUP(MEMORIA!E$204,OAC!$EI$17:$GP$17,$L188)</f>
        <v>0</v>
      </c>
      <c r="F188" s="530">
        <f>SUM(E188:E188)</f>
        <v>0</v>
      </c>
      <c r="G188" s="430" t="str">
        <f>oR!L134</f>
        <v>un</v>
      </c>
      <c r="H188" s="361"/>
      <c r="I188" s="357">
        <f>MAX($I$13:I164)+1</f>
        <v>107</v>
      </c>
      <c r="J188" s="361" t="s">
        <v>5151</v>
      </c>
      <c r="L188" s="194">
        <f t="shared" si="27"/>
        <v>44</v>
      </c>
    </row>
    <row r="189" spans="1:12" ht="13.5" hidden="1" thickBot="1" x14ac:dyDescent="0.3">
      <c r="A189" s="686">
        <f t="shared" si="24"/>
        <v>0</v>
      </c>
      <c r="B189" s="358">
        <f>oR!D135</f>
        <v>111</v>
      </c>
      <c r="C189" s="987">
        <f>oR!G135</f>
        <v>2003453</v>
      </c>
      <c r="D189" s="988" t="str">
        <f>oR!H135</f>
        <v>Dissipador de energia - DEB 03 - areia, brita e pedra de mão comerciais</v>
      </c>
      <c r="E189" s="326">
        <f>VLOOKUP(MEMORIA!E$204,OAC!$EI$17:$GP$17,$L189)</f>
        <v>0</v>
      </c>
      <c r="F189" s="530">
        <f>SUM(E189:E189)</f>
        <v>0</v>
      </c>
      <c r="G189" s="430" t="str">
        <f>oR!L135</f>
        <v>un</v>
      </c>
      <c r="H189" s="361"/>
      <c r="I189" s="357">
        <f>MAX($I$13:I165)+1</f>
        <v>108</v>
      </c>
      <c r="J189" s="361" t="s">
        <v>5151</v>
      </c>
      <c r="L189" s="194">
        <f>OAC!GK18</f>
        <v>55</v>
      </c>
    </row>
    <row r="190" spans="1:12" ht="13.5" thickBot="1" x14ac:dyDescent="0.3">
      <c r="A190" s="686">
        <f t="shared" si="24"/>
        <v>1</v>
      </c>
      <c r="B190" s="358">
        <f>oR!D136</f>
        <v>112</v>
      </c>
      <c r="C190" s="987">
        <f>oR!G136</f>
        <v>2003455</v>
      </c>
      <c r="D190" s="988" t="str">
        <f>oR!H136</f>
        <v>Dissipador de energia - DEB 04 - areia, brita e pedra de mão comerciais</v>
      </c>
      <c r="E190" s="326">
        <f>VLOOKUP(MEMORIA!E$204,OAC!$EI$17:$GP$17,$L190)</f>
        <v>1</v>
      </c>
      <c r="F190" s="530">
        <f>SUM(E190:E190)</f>
        <v>1</v>
      </c>
      <c r="G190" s="430" t="str">
        <f>oR!L136</f>
        <v>un</v>
      </c>
      <c r="H190" s="361"/>
      <c r="I190" s="357">
        <f>MAX($I$13:I166)+1</f>
        <v>109</v>
      </c>
      <c r="J190" s="361" t="s">
        <v>5151</v>
      </c>
      <c r="L190" s="194">
        <f>L189+1</f>
        <v>56</v>
      </c>
    </row>
    <row r="191" spans="1:12" ht="13.5" hidden="1" thickBot="1" x14ac:dyDescent="0.3">
      <c r="A191" s="686">
        <f t="shared" si="24"/>
        <v>0</v>
      </c>
      <c r="B191" s="358">
        <f>oR!D137</f>
        <v>113</v>
      </c>
      <c r="C191" s="987">
        <f>oR!G137</f>
        <v>2003457</v>
      </c>
      <c r="D191" s="988" t="str">
        <f>oR!H137</f>
        <v>Dissipador de energia - DEB 05 - areia, brita e pedra de mão comerciais</v>
      </c>
      <c r="E191" s="326">
        <f>VLOOKUP(MEMORIA!E$204,OAC!$EI$17:$GP$17,$L191)</f>
        <v>0</v>
      </c>
      <c r="F191" s="530">
        <f>SUM(E191:E191)</f>
        <v>0</v>
      </c>
      <c r="G191" s="430" t="str">
        <f>oR!L137</f>
        <v>un</v>
      </c>
      <c r="H191" s="361"/>
      <c r="I191" s="357">
        <f>MAX($I$13:I167)+1</f>
        <v>110</v>
      </c>
      <c r="J191" s="361" t="s">
        <v>5151</v>
      </c>
      <c r="L191" s="194">
        <f t="shared" ref="L191:L194" si="28">L190+1</f>
        <v>57</v>
      </c>
    </row>
    <row r="192" spans="1:12" ht="13.5" hidden="1" thickBot="1" x14ac:dyDescent="0.3">
      <c r="A192" s="686">
        <f t="shared" si="24"/>
        <v>0</v>
      </c>
      <c r="B192" s="358">
        <f>oR!D138</f>
        <v>114</v>
      </c>
      <c r="C192" s="987">
        <f>oR!G138</f>
        <v>2003459</v>
      </c>
      <c r="D192" s="988" t="str">
        <f>oR!H138</f>
        <v>Dissipador de energia - DEB 06 - areia, brita e pedra de mão comerciais</v>
      </c>
      <c r="E192" s="326">
        <f>VLOOKUP(MEMORIA!E$204,OAC!$EI$17:$GP$17,$L192)</f>
        <v>0</v>
      </c>
      <c r="F192" s="530">
        <f t="shared" si="25"/>
        <v>0</v>
      </c>
      <c r="G192" s="430" t="str">
        <f>oR!L138</f>
        <v>un</v>
      </c>
      <c r="H192" s="361"/>
      <c r="I192" s="357">
        <f>MAX($I$13:I168)+1</f>
        <v>111</v>
      </c>
      <c r="J192" s="361" t="s">
        <v>5151</v>
      </c>
      <c r="L192" s="194">
        <f t="shared" si="28"/>
        <v>58</v>
      </c>
    </row>
    <row r="193" spans="1:12" ht="13.5" hidden="1" thickBot="1" x14ac:dyDescent="0.3">
      <c r="A193" s="686">
        <f t="shared" ref="A193" si="29">IF(E193=0,0,1)</f>
        <v>0</v>
      </c>
      <c r="B193" s="358">
        <f>oR!D139</f>
        <v>115</v>
      </c>
      <c r="C193" s="987">
        <f>oR!G139</f>
        <v>2003463</v>
      </c>
      <c r="D193" s="988" t="str">
        <f>oR!H139</f>
        <v>Dissipador de energia - DEB 08 - areia, brita e pedra de mão comerciais</v>
      </c>
      <c r="E193" s="326">
        <f>VLOOKUP(MEMORIA!E$204,OAC!$EI$17:$GP$17,$L193)</f>
        <v>0</v>
      </c>
      <c r="F193" s="530">
        <f t="shared" ref="F193" si="30">SUM(E193:E193)</f>
        <v>0</v>
      </c>
      <c r="G193" s="430" t="str">
        <f>oR!L139</f>
        <v>un</v>
      </c>
      <c r="H193" s="361"/>
      <c r="I193" s="357">
        <f>MAX($I$13:I169)+1</f>
        <v>112</v>
      </c>
      <c r="J193" s="361" t="s">
        <v>5151</v>
      </c>
      <c r="L193" s="194">
        <f t="shared" si="28"/>
        <v>59</v>
      </c>
    </row>
    <row r="194" spans="1:12" ht="13.5" hidden="1" thickBot="1" x14ac:dyDescent="0.3">
      <c r="A194" s="686">
        <f t="shared" ref="A194" si="31">IF(E194=0,0,1)</f>
        <v>0</v>
      </c>
      <c r="B194" s="358">
        <f>oR!D140</f>
        <v>116</v>
      </c>
      <c r="C194" s="987">
        <f>oR!G140</f>
        <v>2003465</v>
      </c>
      <c r="D194" s="988" t="str">
        <f>oR!H140</f>
        <v>Dissipador de energia - DEB 09 - areia, brita e pedra de mão comerciais</v>
      </c>
      <c r="E194" s="326">
        <f>VLOOKUP(MEMORIA!E$204,OAC!$EI$17:$GP$17,$L194)</f>
        <v>0</v>
      </c>
      <c r="F194" s="530">
        <f t="shared" ref="F194" si="32">SUM(E194:E194)</f>
        <v>0</v>
      </c>
      <c r="G194" s="430" t="str">
        <f>oR!L140</f>
        <v>un</v>
      </c>
      <c r="H194" s="361"/>
      <c r="I194" s="357">
        <f>MAX($I$13:I170)+1</f>
        <v>113</v>
      </c>
      <c r="J194" s="361" t="s">
        <v>5151</v>
      </c>
      <c r="L194" s="194">
        <f t="shared" si="28"/>
        <v>60</v>
      </c>
    </row>
    <row r="195" spans="1:12" ht="13.5" hidden="1" thickBot="1" x14ac:dyDescent="0.3">
      <c r="A195" s="686">
        <f t="shared" ref="A195:A201" si="33">IF(E195=0,0,1)</f>
        <v>0</v>
      </c>
      <c r="B195" s="358">
        <f>oR!D141</f>
        <v>117</v>
      </c>
      <c r="C195" s="987">
        <f>oR!G141</f>
        <v>2003407</v>
      </c>
      <c r="D195" s="988" t="str">
        <f>oR!H141</f>
        <v>Descida d'água de aterros em degraus - DAD 02 - areia e brita comerciais</v>
      </c>
      <c r="E195" s="326">
        <f>VLOOKUP(MEMORIA!E$204,OAC!$CM$17:$EF$17,$K195)</f>
        <v>0</v>
      </c>
      <c r="F195" s="530">
        <f t="shared" ref="F195:F201" si="34">SUM(E195:E195)</f>
        <v>0</v>
      </c>
      <c r="G195" s="430" t="str">
        <f>oR!L141</f>
        <v>m</v>
      </c>
      <c r="H195" s="361"/>
      <c r="I195" s="357">
        <f>MAX($I$13:I171)+1</f>
        <v>114</v>
      </c>
      <c r="J195" s="361" t="s">
        <v>5151</v>
      </c>
      <c r="K195" s="194">
        <f>OAC!DM19</f>
        <v>27</v>
      </c>
    </row>
    <row r="196" spans="1:12" ht="13.5" hidden="1" thickBot="1" x14ac:dyDescent="0.3">
      <c r="A196" s="686">
        <f t="shared" si="33"/>
        <v>0</v>
      </c>
      <c r="B196" s="358">
        <f>oR!D142</f>
        <v>118</v>
      </c>
      <c r="C196" s="987">
        <f>oR!G142</f>
        <v>2003411</v>
      </c>
      <c r="D196" s="988" t="str">
        <f>oR!H142</f>
        <v>Descida d'água de aterros em degraus - DAD 04 - areia e brita comerciais</v>
      </c>
      <c r="E196" s="326">
        <f>VLOOKUP(MEMORIA!E$204,OAC!$CM$17:$EF$17,$K196)</f>
        <v>0</v>
      </c>
      <c r="F196" s="530">
        <f t="shared" si="34"/>
        <v>0</v>
      </c>
      <c r="G196" s="430" t="str">
        <f>oR!L142</f>
        <v>m</v>
      </c>
      <c r="H196" s="361"/>
      <c r="I196" s="357">
        <f>MAX($I$13:I172)+1</f>
        <v>115</v>
      </c>
      <c r="J196" s="361" t="s">
        <v>5151</v>
      </c>
      <c r="K196" s="194">
        <f>K195+1</f>
        <v>28</v>
      </c>
    </row>
    <row r="197" spans="1:12" ht="13.5" hidden="1" thickBot="1" x14ac:dyDescent="0.3">
      <c r="A197" s="686">
        <f t="shared" si="33"/>
        <v>0</v>
      </c>
      <c r="B197" s="358">
        <f>oR!D143</f>
        <v>119</v>
      </c>
      <c r="C197" s="987">
        <f>oR!G143</f>
        <v>2003415</v>
      </c>
      <c r="D197" s="988" t="str">
        <f>oR!H143</f>
        <v>Descida d'água de aterros em degraus - DAD 06 - areia e brita comerciais</v>
      </c>
      <c r="E197" s="326">
        <f>VLOOKUP(MEMORIA!E$204,OAC!$CM$17:$EF$17,$K197)</f>
        <v>0</v>
      </c>
      <c r="F197" s="530">
        <f t="shared" si="34"/>
        <v>0</v>
      </c>
      <c r="G197" s="430" t="str">
        <f>oR!L143</f>
        <v>m</v>
      </c>
      <c r="H197" s="361"/>
      <c r="I197" s="357">
        <f>MAX($I$13:I173)+1</f>
        <v>116</v>
      </c>
      <c r="J197" s="361" t="s">
        <v>5151</v>
      </c>
      <c r="K197" s="194">
        <f t="shared" ref="K197:K201" si="35">K196+1</f>
        <v>29</v>
      </c>
    </row>
    <row r="198" spans="1:12" ht="13.5" hidden="1" thickBot="1" x14ac:dyDescent="0.3">
      <c r="A198" s="686">
        <f t="shared" si="33"/>
        <v>0</v>
      </c>
      <c r="B198" s="358">
        <f>oR!D144</f>
        <v>120</v>
      </c>
      <c r="C198" s="987">
        <f>oR!G144</f>
        <v>2003419</v>
      </c>
      <c r="D198" s="988" t="str">
        <f>oR!H144</f>
        <v>Descida d'água de aterros em degraus - DAD 08 - areia e brita comerciais</v>
      </c>
      <c r="E198" s="326">
        <f>VLOOKUP(MEMORIA!E$204,OAC!$CM$17:$EF$17,$K198)</f>
        <v>0</v>
      </c>
      <c r="F198" s="530">
        <f t="shared" si="34"/>
        <v>0</v>
      </c>
      <c r="G198" s="430" t="str">
        <f>oR!L144</f>
        <v>m</v>
      </c>
      <c r="H198" s="361"/>
      <c r="I198" s="357">
        <f>MAX($I$13:I174)+1</f>
        <v>117</v>
      </c>
      <c r="J198" s="361" t="s">
        <v>5151</v>
      </c>
      <c r="K198" s="194">
        <f t="shared" si="35"/>
        <v>30</v>
      </c>
    </row>
    <row r="199" spans="1:12" ht="13.5" hidden="1" thickBot="1" x14ac:dyDescent="0.3">
      <c r="A199" s="686">
        <f t="shared" si="33"/>
        <v>0</v>
      </c>
      <c r="B199" s="358">
        <f>oR!D145</f>
        <v>121</v>
      </c>
      <c r="C199" s="987">
        <f>oR!G145</f>
        <v>2003423</v>
      </c>
      <c r="D199" s="988" t="str">
        <f>oR!H145</f>
        <v>Descida d'água de aterros em degraus - DAD 10 - areia e brita comerciais</v>
      </c>
      <c r="E199" s="326">
        <f>VLOOKUP(MEMORIA!E$204,OAC!$CM$17:$EF$17,$K199)</f>
        <v>0</v>
      </c>
      <c r="F199" s="530">
        <f t="shared" si="34"/>
        <v>0</v>
      </c>
      <c r="G199" s="430" t="str">
        <f>oR!L145</f>
        <v>m</v>
      </c>
      <c r="H199" s="361"/>
      <c r="I199" s="357">
        <f>MAX($I$13:I175)+1</f>
        <v>118</v>
      </c>
      <c r="J199" s="361" t="s">
        <v>5151</v>
      </c>
      <c r="K199" s="194">
        <f t="shared" si="35"/>
        <v>31</v>
      </c>
    </row>
    <row r="200" spans="1:12" ht="13.5" hidden="1" thickBot="1" x14ac:dyDescent="0.3">
      <c r="A200" s="686">
        <f t="shared" si="33"/>
        <v>0</v>
      </c>
      <c r="B200" s="358">
        <f>oR!D146</f>
        <v>121</v>
      </c>
      <c r="C200" s="987">
        <f>oR!G146</f>
        <v>2003427</v>
      </c>
      <c r="D200" s="988" t="str">
        <f>oR!H146</f>
        <v>Descida d'água de aterros em degraus - DAD 12 - areia e brita comerciais</v>
      </c>
      <c r="E200" s="326">
        <f>VLOOKUP(MEMORIA!E$204,OAC!$CM$17:$EF$17,$K200)</f>
        <v>0</v>
      </c>
      <c r="F200" s="530">
        <f t="shared" si="34"/>
        <v>0</v>
      </c>
      <c r="G200" s="430" t="str">
        <f>oR!L146</f>
        <v>m</v>
      </c>
      <c r="H200" s="361"/>
      <c r="I200" s="357">
        <f>MAX($I$13:I176)+1</f>
        <v>119</v>
      </c>
      <c r="J200" s="361" t="s">
        <v>5151</v>
      </c>
      <c r="K200" s="194">
        <f t="shared" si="35"/>
        <v>32</v>
      </c>
    </row>
    <row r="201" spans="1:12" ht="13.5" hidden="1" thickBot="1" x14ac:dyDescent="0.3">
      <c r="A201" s="686">
        <f t="shared" si="33"/>
        <v>0</v>
      </c>
      <c r="B201" s="358">
        <f>oR!D147</f>
        <v>122</v>
      </c>
      <c r="C201" s="987">
        <f>oR!G147</f>
        <v>2003431</v>
      </c>
      <c r="D201" s="988" t="str">
        <f>oR!H147</f>
        <v>Descida d'água de aterros em degraus - DAD 14 - areia e brita comerciais</v>
      </c>
      <c r="E201" s="326">
        <f>VLOOKUP(MEMORIA!E$204,OAC!$CM$17:$EF$17,$K201)</f>
        <v>0</v>
      </c>
      <c r="F201" s="530">
        <f t="shared" si="34"/>
        <v>0</v>
      </c>
      <c r="G201" s="430" t="str">
        <f>oR!L147</f>
        <v>m</v>
      </c>
      <c r="H201" s="361"/>
      <c r="I201" s="357">
        <f>MAX($I$13:I177)+1</f>
        <v>120</v>
      </c>
      <c r="J201" s="361" t="s">
        <v>5151</v>
      </c>
      <c r="K201" s="194">
        <f t="shared" si="35"/>
        <v>33</v>
      </c>
    </row>
    <row r="202" spans="1:12" ht="13.5" hidden="1" thickBot="1" x14ac:dyDescent="0.3">
      <c r="A202" s="686">
        <f t="shared" ref="A202:A203" si="36">IF(E202=0,0,1)</f>
        <v>0</v>
      </c>
      <c r="B202" s="358">
        <f>oR!D148</f>
        <v>122</v>
      </c>
      <c r="C202" s="987">
        <f>oR!G148</f>
        <v>2003648</v>
      </c>
      <c r="D202" s="988" t="str">
        <f>oR!H148</f>
        <v>Caixa de ligação e passagem - CLP 04 - areia e brita comerciais</v>
      </c>
      <c r="E202" s="326">
        <f>VLOOKUP(MEMORIA!E$204,OAC!$EI$17:$GP$17,$L202)</f>
        <v>0</v>
      </c>
      <c r="F202" s="530">
        <f t="shared" ref="F202:F203" si="37">SUM(E202:E202)</f>
        <v>0</v>
      </c>
      <c r="G202" s="430" t="str">
        <f>oR!L148</f>
        <v>un</v>
      </c>
      <c r="H202" s="361"/>
      <c r="I202" s="357">
        <f>MAX($I$13:I178)+1</f>
        <v>121</v>
      </c>
      <c r="J202" s="361" t="s">
        <v>5151</v>
      </c>
      <c r="L202" s="194">
        <f>OAC!GI18</f>
        <v>53</v>
      </c>
    </row>
    <row r="203" spans="1:12" ht="13.5" hidden="1" thickBot="1" x14ac:dyDescent="0.3">
      <c r="A203" s="686">
        <f t="shared" si="36"/>
        <v>0</v>
      </c>
      <c r="B203" s="358">
        <f>oR!D149</f>
        <v>123</v>
      </c>
      <c r="C203" s="987">
        <f>oR!G149</f>
        <v>2003684</v>
      </c>
      <c r="D203" s="988" t="str">
        <f>oR!H149</f>
        <v>Poço de visita - PVI 04 - areia e brita comerciais</v>
      </c>
      <c r="E203" s="326">
        <f>VLOOKUP(MEMORIA!E$204,OAC!$EI$17:$GP$17,$L203)</f>
        <v>0</v>
      </c>
      <c r="F203" s="530">
        <f t="shared" si="37"/>
        <v>0</v>
      </c>
      <c r="G203" s="430" t="str">
        <f>oR!L149</f>
        <v>un</v>
      </c>
      <c r="H203" s="361"/>
      <c r="I203" s="357">
        <f>MAX($I$13:I179)+1</f>
        <v>121</v>
      </c>
      <c r="J203" s="361" t="s">
        <v>5151</v>
      </c>
      <c r="L203" s="194">
        <f>OAC!GH18</f>
        <v>52</v>
      </c>
    </row>
    <row r="204" spans="1:12" ht="15.75" thickBot="1" x14ac:dyDescent="0.3">
      <c r="A204" s="329">
        <f>A135</f>
        <v>1</v>
      </c>
      <c r="B204" s="329"/>
      <c r="C204" s="329"/>
      <c r="D204" s="329"/>
      <c r="E204" s="848">
        <v>1</v>
      </c>
      <c r="F204" s="848">
        <f ca="1">F79</f>
        <v>0</v>
      </c>
    </row>
    <row r="205" spans="1:12" s="191" customFormat="1" ht="15.75" thickBot="1" x14ac:dyDescent="0.3">
      <c r="A205" s="686">
        <f>IF(E218=0,0,1)</f>
        <v>1</v>
      </c>
      <c r="B205" s="189"/>
      <c r="C205" s="190">
        <f>oR!G150</f>
        <v>4805762</v>
      </c>
      <c r="D205" s="324" t="str">
        <f>oR!H150</f>
        <v>Escavação mecânica de vala em material de 2ª categoria</v>
      </c>
      <c r="F205" s="325"/>
      <c r="G205" s="392"/>
      <c r="H205" s="364"/>
      <c r="I205" s="364"/>
      <c r="J205" s="364"/>
    </row>
    <row r="206" spans="1:12" s="191" customFormat="1" ht="15.75" thickBot="1" x14ac:dyDescent="0.3">
      <c r="A206" s="686">
        <f>IF(E220=0,0,1)</f>
        <v>1</v>
      </c>
      <c r="B206" s="189"/>
      <c r="C206" s="190">
        <f>oR!G151</f>
        <v>4805765</v>
      </c>
      <c r="D206" s="324" t="str">
        <f>oR!H151</f>
        <v>Escavação de vala em material de 3ª categoria</v>
      </c>
      <c r="F206" s="325"/>
      <c r="G206" s="392"/>
      <c r="H206" s="364"/>
      <c r="I206" s="364"/>
      <c r="J206" s="364"/>
    </row>
    <row r="207" spans="1:12" s="191" customFormat="1" ht="15.75" hidden="1" thickBot="1" x14ac:dyDescent="0.3">
      <c r="A207" s="686">
        <f>IF(E213=0,0,1)</f>
        <v>0</v>
      </c>
      <c r="B207" s="189"/>
      <c r="C207" s="190">
        <f>oR!G152</f>
        <v>2003579</v>
      </c>
      <c r="D207" s="324" t="str">
        <f>oR!H152</f>
        <v>Dreno longitudinal profundo para corte em solo - DPS 08 - tubo PEAD e brita comercial</v>
      </c>
      <c r="F207" s="325"/>
      <c r="G207" s="392"/>
      <c r="H207" s="364"/>
      <c r="I207" s="364"/>
      <c r="J207" s="364"/>
    </row>
    <row r="208" spans="1:12" s="191" customFormat="1" ht="15.75" thickBot="1" x14ac:dyDescent="0.3">
      <c r="A208" s="686">
        <f t="shared" ref="A208:A209" si="38">IF(E214=0,0,1)</f>
        <v>1</v>
      </c>
      <c r="B208" s="189"/>
      <c r="C208" s="190" t="str">
        <f>oR!G153</f>
        <v>COMP 29</v>
      </c>
      <c r="D208" s="324" t="str">
        <f>oR!H153</f>
        <v>Dreno tipo 50x80cm</v>
      </c>
      <c r="F208" s="325"/>
      <c r="G208" s="392"/>
      <c r="H208" s="364"/>
      <c r="I208" s="364"/>
      <c r="J208" s="364"/>
    </row>
    <row r="209" spans="1:14" s="191" customFormat="1" ht="15.75" hidden="1" thickBot="1" x14ac:dyDescent="0.3">
      <c r="A209" s="686">
        <f t="shared" si="38"/>
        <v>0</v>
      </c>
      <c r="B209" s="189"/>
      <c r="C209" s="190">
        <f>oR!G154</f>
        <v>2003595</v>
      </c>
      <c r="D209" s="324" t="str">
        <f>oR!H154</f>
        <v>Dreno longitudinal profundo para corte em rocha - DPR 04 - brita comercial</v>
      </c>
      <c r="F209" s="325"/>
      <c r="G209" s="392"/>
      <c r="H209" s="364"/>
      <c r="I209" s="364"/>
      <c r="J209" s="364"/>
    </row>
    <row r="210" spans="1:14" s="191" customFormat="1" ht="15.75" thickBot="1" x14ac:dyDescent="0.3">
      <c r="A210" s="686">
        <f>IF(E222=0,0,1)</f>
        <v>1</v>
      </c>
      <c r="B210" s="189"/>
      <c r="C210" s="190">
        <f>oR!G155</f>
        <v>5914389</v>
      </c>
      <c r="D210" s="324" t="str">
        <f>oR!H155</f>
        <v>Transporte com caminhão basculante de 10 m³ - rodovia pavimentada</v>
      </c>
      <c r="F210" s="325"/>
      <c r="G210" s="392"/>
      <c r="H210" s="364"/>
      <c r="I210" s="364"/>
      <c r="J210" s="364"/>
    </row>
    <row r="211" spans="1:14" x14ac:dyDescent="0.25">
      <c r="A211" s="329">
        <f>IF(SUM(A205:A209)&gt;0,1,0)</f>
        <v>1</v>
      </c>
      <c r="B211" s="329"/>
      <c r="C211" s="193"/>
      <c r="D211" s="194" t="s">
        <v>5152</v>
      </c>
      <c r="E211" s="329"/>
      <c r="F211" s="850"/>
      <c r="G211" s="393"/>
      <c r="H211" s="365"/>
      <c r="I211" s="365"/>
      <c r="J211" s="365"/>
    </row>
    <row r="212" spans="1:14" x14ac:dyDescent="0.25">
      <c r="A212" s="329">
        <f>A211</f>
        <v>1</v>
      </c>
      <c r="B212" s="329"/>
      <c r="C212" s="1784" t="s">
        <v>42</v>
      </c>
      <c r="D212" s="1784"/>
      <c r="E212" s="433" t="str">
        <f>E$12</f>
        <v>ESTR. DE LINHA TAQUARAL</v>
      </c>
      <c r="F212" s="434" t="s">
        <v>96</v>
      </c>
      <c r="G212" s="435"/>
      <c r="H212" s="65"/>
      <c r="I212" s="65"/>
      <c r="J212" s="65"/>
    </row>
    <row r="213" spans="1:14" s="188" customFormat="1" ht="25.5" hidden="1" x14ac:dyDescent="0.25">
      <c r="A213" s="185">
        <f>A207</f>
        <v>0</v>
      </c>
      <c r="B213" s="185">
        <f>oR!D152</f>
        <v>124</v>
      </c>
      <c r="C213" s="1785" t="s">
        <v>5153</v>
      </c>
      <c r="D213" s="437" t="str">
        <f>D207</f>
        <v>Dreno longitudinal profundo para corte em solo - DPS 08 - tubo PEAD e brita comercial</v>
      </c>
      <c r="E213" s="528"/>
      <c r="F213" s="529">
        <f>SUM(E213:E213)</f>
        <v>0</v>
      </c>
      <c r="G213" s="435" t="s">
        <v>2598</v>
      </c>
      <c r="H213" s="198">
        <f>C207</f>
        <v>2003579</v>
      </c>
      <c r="I213" s="369">
        <f>MAX($I$13:I212)+1</f>
        <v>122</v>
      </c>
      <c r="J213" s="65" t="s">
        <v>2842</v>
      </c>
      <c r="K213" s="188">
        <v>0.5</v>
      </c>
      <c r="L213" s="188">
        <v>1.5</v>
      </c>
      <c r="N213" s="201"/>
    </row>
    <row r="214" spans="1:14" s="188" customFormat="1" x14ac:dyDescent="0.25">
      <c r="A214" s="185">
        <f>A208</f>
        <v>1</v>
      </c>
      <c r="B214" s="185">
        <f>oR!D153</f>
        <v>125</v>
      </c>
      <c r="C214" s="1786"/>
      <c r="D214" s="437" t="str">
        <f>D208</f>
        <v>Dreno tipo 50x80cm</v>
      </c>
      <c r="E214" s="528">
        <f>E14</f>
        <v>140</v>
      </c>
      <c r="F214" s="529">
        <f t="shared" ref="F214:F215" si="39">SUM(E214:E214)</f>
        <v>140</v>
      </c>
      <c r="G214" s="435" t="s">
        <v>2598</v>
      </c>
      <c r="H214" s="198" t="str">
        <f>C208</f>
        <v>COMP 29</v>
      </c>
      <c r="I214" s="369">
        <f>MAX($I$13:I213)+1</f>
        <v>123</v>
      </c>
      <c r="J214" s="65" t="s">
        <v>2842</v>
      </c>
      <c r="K214" s="188">
        <v>0.5</v>
      </c>
      <c r="L214" s="188">
        <v>0.8</v>
      </c>
      <c r="N214" s="201"/>
    </row>
    <row r="215" spans="1:14" s="188" customFormat="1" ht="25.5" hidden="1" x14ac:dyDescent="0.25">
      <c r="A215" s="185">
        <f>A209</f>
        <v>0</v>
      </c>
      <c r="B215" s="185">
        <f>oR!D154</f>
        <v>126</v>
      </c>
      <c r="C215" s="1787"/>
      <c r="D215" s="437" t="str">
        <f>D209</f>
        <v>Dreno longitudinal profundo para corte em rocha - DPR 04 - brita comercial</v>
      </c>
      <c r="E215" s="528"/>
      <c r="F215" s="529">
        <f t="shared" si="39"/>
        <v>0</v>
      </c>
      <c r="G215" s="435" t="s">
        <v>2598</v>
      </c>
      <c r="H215" s="198">
        <f>C209</f>
        <v>2003595</v>
      </c>
      <c r="I215" s="369">
        <f>MAX($I$13:I214)+1</f>
        <v>124</v>
      </c>
      <c r="J215" s="65" t="s">
        <v>2842</v>
      </c>
      <c r="K215" s="188">
        <v>0.4</v>
      </c>
      <c r="L215" s="188">
        <v>0.5</v>
      </c>
      <c r="N215" s="201"/>
    </row>
    <row r="216" spans="1:14" ht="15" x14ac:dyDescent="0.25">
      <c r="A216" s="329">
        <f>IF(SUM(A214:A215)&gt;0,1,0)</f>
        <v>1</v>
      </c>
      <c r="B216" s="329"/>
      <c r="C216" s="853" t="s">
        <v>2916</v>
      </c>
      <c r="D216" s="853" t="s">
        <v>2915</v>
      </c>
      <c r="E216" s="440">
        <f>E213*K213*L213+E214*K214*L214+E215*K215*L215</f>
        <v>56</v>
      </c>
      <c r="F216" s="440">
        <f>SUM(E216:E216)</f>
        <v>56</v>
      </c>
      <c r="G216" s="430" t="s">
        <v>2596</v>
      </c>
      <c r="I216" s="357">
        <f>MAX($I$13:I215)+1</f>
        <v>125</v>
      </c>
      <c r="J216" s="361" t="str">
        <f>CONCATENATE("(",I216,")"," = ","(",I214,")*(",I215,")*(",I213,")")</f>
        <v>(125) = (123)*(124)*(122)</v>
      </c>
      <c r="N216" s="197"/>
    </row>
    <row r="217" spans="1:14" ht="15" x14ac:dyDescent="0.25">
      <c r="A217" s="329">
        <f>A205</f>
        <v>1</v>
      </c>
      <c r="B217" s="329"/>
      <c r="C217" s="1788" t="s">
        <v>2918</v>
      </c>
      <c r="D217" s="853" t="s">
        <v>2919</v>
      </c>
      <c r="E217" s="527">
        <v>80</v>
      </c>
      <c r="F217" s="440"/>
      <c r="G217" s="430" t="s">
        <v>15</v>
      </c>
      <c r="I217" s="357">
        <f>MAX($I$13:I216)+1</f>
        <v>126</v>
      </c>
      <c r="J217" s="361" t="s">
        <v>2843</v>
      </c>
    </row>
    <row r="218" spans="1:14" s="188" customFormat="1" x14ac:dyDescent="0.25">
      <c r="A218" s="185">
        <f>A217</f>
        <v>1</v>
      </c>
      <c r="B218" s="185">
        <f>oR!D150</f>
        <v>127</v>
      </c>
      <c r="C218" s="1788"/>
      <c r="D218" s="437" t="s">
        <v>100</v>
      </c>
      <c r="E218" s="437">
        <f>E217*E216/100</f>
        <v>44.8</v>
      </c>
      <c r="F218" s="438">
        <f>SUM(E218:E218)</f>
        <v>44.8</v>
      </c>
      <c r="G218" s="435" t="s">
        <v>2596</v>
      </c>
      <c r="H218" s="198">
        <f>C205</f>
        <v>4805762</v>
      </c>
      <c r="I218" s="369">
        <f>MAX($I$13:I217)+1</f>
        <v>127</v>
      </c>
      <c r="J218" s="65" t="str">
        <f>CONCATENATE("(",I218,")"," = ","(",I216,")*(",I217,")")</f>
        <v>(127) = (125)*(126)</v>
      </c>
    </row>
    <row r="219" spans="1:14" ht="15" x14ac:dyDescent="0.25">
      <c r="A219" s="329">
        <f>A206</f>
        <v>1</v>
      </c>
      <c r="B219" s="329"/>
      <c r="C219" s="1788" t="s">
        <v>2917</v>
      </c>
      <c r="D219" s="853" t="s">
        <v>2919</v>
      </c>
      <c r="E219" s="527">
        <f>100-E217</f>
        <v>20</v>
      </c>
      <c r="F219" s="440"/>
      <c r="G219" s="430" t="s">
        <v>15</v>
      </c>
      <c r="I219" s="357">
        <f>MAX($I$13:I218)+1</f>
        <v>128</v>
      </c>
      <c r="J219" s="361" t="str">
        <f>CONCATENATE("(",I219,")"," = ","100%-(",I217,")")</f>
        <v>(128) = 100%-(126)</v>
      </c>
    </row>
    <row r="220" spans="1:14" s="188" customFormat="1" x14ac:dyDescent="0.25">
      <c r="A220" s="185">
        <f>A219</f>
        <v>1</v>
      </c>
      <c r="B220" s="185">
        <f>oR!D151</f>
        <v>128</v>
      </c>
      <c r="C220" s="1788"/>
      <c r="D220" s="437" t="s">
        <v>100</v>
      </c>
      <c r="E220" s="437">
        <f>E216-E218</f>
        <v>11.2</v>
      </c>
      <c r="F220" s="438">
        <f>SUM(E220:E220)</f>
        <v>11.2</v>
      </c>
      <c r="G220" s="435" t="s">
        <v>2596</v>
      </c>
      <c r="H220" s="198">
        <f>C206</f>
        <v>4805765</v>
      </c>
      <c r="I220" s="369">
        <f>MAX($I$13:I219)+1</f>
        <v>129</v>
      </c>
      <c r="J220" s="65" t="str">
        <f>CONCATENATE("(",I220,")"," = ","(",I216,")-(",I218,")")</f>
        <v>(129) = (125)-(127)</v>
      </c>
    </row>
    <row r="221" spans="1:14" x14ac:dyDescent="0.25">
      <c r="A221" s="329">
        <f>A210</f>
        <v>1</v>
      </c>
      <c r="B221" s="329"/>
      <c r="C221" s="1773" t="s">
        <v>6484</v>
      </c>
      <c r="D221" s="1097" t="s">
        <v>2827</v>
      </c>
      <c r="E221" s="40">
        <f>DMT!$H$10</f>
        <v>27.8</v>
      </c>
      <c r="F221" s="1097"/>
      <c r="G221" s="375" t="s">
        <v>2799</v>
      </c>
      <c r="H221" s="361"/>
      <c r="I221" s="357">
        <f>MAX($I$13:I220)+1</f>
        <v>130</v>
      </c>
      <c r="J221" s="361" t="s">
        <v>2843</v>
      </c>
    </row>
    <row r="222" spans="1:14" s="188" customFormat="1" x14ac:dyDescent="0.25">
      <c r="A222" s="185">
        <f>A221</f>
        <v>1</v>
      </c>
      <c r="B222" s="185">
        <f>oR!D155</f>
        <v>129</v>
      </c>
      <c r="C222" s="1773"/>
      <c r="D222" s="1102" t="s">
        <v>2828</v>
      </c>
      <c r="E222" s="199">
        <f>E216*E221*1.5</f>
        <v>2335.1999999999998</v>
      </c>
      <c r="F222" s="199">
        <f>SUM(E222:E222)</f>
        <v>2335.1999999999998</v>
      </c>
      <c r="G222" s="376" t="s">
        <v>2784</v>
      </c>
      <c r="H222" s="366">
        <f>C205</f>
        <v>4805762</v>
      </c>
      <c r="I222" s="369">
        <f>MAX($I$13:I221)+1</f>
        <v>131</v>
      </c>
      <c r="J222" s="65" t="str">
        <f>CONCATENATE("(",I222,")"," = ","(",I216,")*(",I221,")*1,5")</f>
        <v>(131) = (125)*(130)*1,5</v>
      </c>
    </row>
    <row r="223" spans="1:14" ht="15.75" thickBot="1" x14ac:dyDescent="0.3">
      <c r="A223" s="329">
        <f>A211</f>
        <v>1</v>
      </c>
      <c r="B223" s="329"/>
      <c r="C223" s="329"/>
      <c r="D223" s="329"/>
      <c r="E223" s="848"/>
      <c r="F223" s="848"/>
    </row>
    <row r="224" spans="1:14" s="191" customFormat="1" ht="15.75" hidden="1" thickBot="1" x14ac:dyDescent="0.3">
      <c r="A224" s="686">
        <f>IF(E228=0,0,1)</f>
        <v>0</v>
      </c>
      <c r="B224" s="189"/>
      <c r="C224" s="190">
        <f>oR!G156</f>
        <v>2003319</v>
      </c>
      <c r="D224" s="324" t="str">
        <f>oR!H156</f>
        <v>Sarjeta triangular de concreto - STC 01 - escavação mecânica - areia e brita comerciais</v>
      </c>
      <c r="F224" s="325"/>
      <c r="G224" s="392"/>
      <c r="H224" s="364"/>
      <c r="I224" s="364"/>
      <c r="J224" s="364"/>
    </row>
    <row r="225" spans="1:19" s="191" customFormat="1" ht="15.75" thickBot="1" x14ac:dyDescent="0.3">
      <c r="A225" s="686">
        <f>IF(E229=0,0,1)</f>
        <v>1</v>
      </c>
      <c r="B225" s="189"/>
      <c r="C225" s="190">
        <f>oR!G157</f>
        <v>2003325</v>
      </c>
      <c r="D225" s="324" t="str">
        <f>oR!H157</f>
        <v>Sarjeta triangular de concreto - STC 04 - escavação mecânica - areia e brita comerciais</v>
      </c>
      <c r="F225" s="325"/>
      <c r="G225" s="392"/>
      <c r="H225" s="364"/>
      <c r="I225" s="364"/>
      <c r="J225" s="364"/>
    </row>
    <row r="226" spans="1:19" x14ac:dyDescent="0.25">
      <c r="A226" s="329">
        <f>IF(SUM(A224:A225)=0,0,1)</f>
        <v>1</v>
      </c>
      <c r="B226" s="329"/>
      <c r="C226" s="193"/>
      <c r="D226" s="194" t="s">
        <v>2920</v>
      </c>
      <c r="E226" s="329"/>
      <c r="F226" s="850"/>
      <c r="G226" s="393"/>
      <c r="H226" s="365"/>
      <c r="I226" s="365"/>
      <c r="J226" s="365"/>
    </row>
    <row r="227" spans="1:19" x14ac:dyDescent="0.25">
      <c r="A227" s="329">
        <f>A226</f>
        <v>1</v>
      </c>
      <c r="B227" s="329"/>
      <c r="C227" s="1784" t="s">
        <v>42</v>
      </c>
      <c r="D227" s="1784"/>
      <c r="E227" s="433" t="str">
        <f>E$12</f>
        <v>ESTR. DE LINHA TAQUARAL</v>
      </c>
      <c r="F227" s="434" t="s">
        <v>96</v>
      </c>
      <c r="G227" s="435"/>
      <c r="H227" s="65"/>
      <c r="I227" s="65"/>
      <c r="J227" s="65"/>
    </row>
    <row r="228" spans="1:19" s="188" customFormat="1" hidden="1" x14ac:dyDescent="0.25">
      <c r="A228" s="329">
        <f>A224</f>
        <v>0</v>
      </c>
      <c r="B228" s="185">
        <f>oR!D156</f>
        <v>130</v>
      </c>
      <c r="C228" s="1785" t="s">
        <v>53</v>
      </c>
      <c r="D228" s="437" t="s">
        <v>5191</v>
      </c>
      <c r="E228" s="528"/>
      <c r="F228" s="438">
        <f>SUM(E228:E228)</f>
        <v>0</v>
      </c>
      <c r="G228" s="435" t="s">
        <v>2598</v>
      </c>
      <c r="H228" s="198">
        <f>C224</f>
        <v>2003319</v>
      </c>
      <c r="I228" s="369">
        <f>MAX($I$13:I226)+1</f>
        <v>132</v>
      </c>
      <c r="J228" s="65" t="s">
        <v>2842</v>
      </c>
    </row>
    <row r="229" spans="1:19" s="188" customFormat="1" x14ac:dyDescent="0.25">
      <c r="A229" s="329">
        <f>A225</f>
        <v>1</v>
      </c>
      <c r="B229" s="185">
        <f>oR!D157</f>
        <v>131</v>
      </c>
      <c r="C229" s="1787"/>
      <c r="D229" s="437" t="s">
        <v>5192</v>
      </c>
      <c r="E229" s="528">
        <f>E214-E274-E275</f>
        <v>116</v>
      </c>
      <c r="F229" s="438">
        <f>SUM(E229:E229)</f>
        <v>116</v>
      </c>
      <c r="G229" s="435" t="s">
        <v>2598</v>
      </c>
      <c r="H229" s="198">
        <f>C225</f>
        <v>2003325</v>
      </c>
      <c r="I229" s="369">
        <f>MAX($I$13:I227)+1</f>
        <v>132</v>
      </c>
      <c r="J229" s="65" t="s">
        <v>2842</v>
      </c>
    </row>
    <row r="230" spans="1:19" ht="15.75" thickBot="1" x14ac:dyDescent="0.3">
      <c r="A230" s="329">
        <f>A226</f>
        <v>1</v>
      </c>
      <c r="B230" s="329"/>
      <c r="C230" s="329"/>
      <c r="D230" s="329"/>
      <c r="E230" s="848"/>
      <c r="F230" s="848"/>
    </row>
    <row r="231" spans="1:19" s="191" customFormat="1" ht="15.75" thickBot="1" x14ac:dyDescent="0.3">
      <c r="A231" s="686">
        <f>IF(E240=0,0,1)</f>
        <v>1</v>
      </c>
      <c r="B231" s="189"/>
      <c r="C231" s="190">
        <f>oR!G158</f>
        <v>4805754</v>
      </c>
      <c r="D231" s="324" t="str">
        <f>oR!H158</f>
        <v>Compactação manual com soquete vibratório</v>
      </c>
      <c r="F231" s="325"/>
      <c r="G231" s="392"/>
      <c r="H231" s="364"/>
      <c r="I231" s="364"/>
      <c r="J231" s="364"/>
    </row>
    <row r="232" spans="1:19" s="191" customFormat="1" ht="15.75" thickBot="1" x14ac:dyDescent="0.3">
      <c r="A232" s="686">
        <f>IF(E243=0,0,1)</f>
        <v>1</v>
      </c>
      <c r="B232" s="189"/>
      <c r="C232" s="190">
        <f>oR!G159</f>
        <v>4016096</v>
      </c>
      <c r="D232" s="324" t="str">
        <f>oR!H159</f>
        <v>Escavação e carga de material de jazida com escavadeira hidráulica de 1,56 m³</v>
      </c>
      <c r="F232" s="325"/>
      <c r="G232" s="392"/>
      <c r="H232" s="364"/>
      <c r="I232" s="364"/>
      <c r="J232" s="364"/>
    </row>
    <row r="233" spans="1:19" s="191" customFormat="1" ht="15.75" thickBot="1" x14ac:dyDescent="0.3">
      <c r="A233" s="686">
        <f>IF(E246=0,0,1)</f>
        <v>1</v>
      </c>
      <c r="B233" s="189"/>
      <c r="C233" s="190">
        <f>oR!G160</f>
        <v>5914374</v>
      </c>
      <c r="D233" s="324" t="str">
        <f>oR!H160</f>
        <v>Transporte com caminhão basculante de 10 m³ - rodovia em revestimento primário</v>
      </c>
      <c r="F233" s="325"/>
      <c r="G233" s="392"/>
      <c r="H233" s="364"/>
      <c r="I233" s="364"/>
      <c r="J233" s="364"/>
    </row>
    <row r="234" spans="1:19" x14ac:dyDescent="0.25">
      <c r="A234" s="329">
        <f>A231</f>
        <v>1</v>
      </c>
      <c r="B234" s="329"/>
      <c r="C234" s="193"/>
      <c r="D234" s="194" t="s">
        <v>5705</v>
      </c>
      <c r="E234" s="329"/>
      <c r="F234" s="1001"/>
      <c r="G234" s="393"/>
      <c r="H234" s="365"/>
      <c r="I234" s="365"/>
      <c r="J234" s="365"/>
    </row>
    <row r="235" spans="1:19" x14ac:dyDescent="0.25">
      <c r="A235" s="329">
        <f t="shared" ref="A235:A247" si="40">A232</f>
        <v>1</v>
      </c>
      <c r="B235" s="329"/>
      <c r="C235" s="193"/>
      <c r="D235" s="194" t="s">
        <v>2846</v>
      </c>
      <c r="E235" s="329"/>
      <c r="F235" s="1001"/>
      <c r="G235" s="393"/>
      <c r="H235" s="365"/>
      <c r="I235" s="365"/>
      <c r="J235" s="365"/>
    </row>
    <row r="236" spans="1:19" x14ac:dyDescent="0.25">
      <c r="A236" s="329">
        <f t="shared" si="40"/>
        <v>1</v>
      </c>
      <c r="B236" s="329"/>
      <c r="C236" s="193"/>
      <c r="D236" s="194" t="s">
        <v>2847</v>
      </c>
      <c r="E236" s="329"/>
      <c r="F236" s="1001"/>
      <c r="G236" s="393"/>
      <c r="H236" s="365"/>
      <c r="I236" s="365"/>
      <c r="J236" s="365"/>
    </row>
    <row r="237" spans="1:19" x14ac:dyDescent="0.25">
      <c r="A237" s="329">
        <f t="shared" si="40"/>
        <v>1</v>
      </c>
      <c r="B237" s="329"/>
      <c r="C237" s="1784" t="s">
        <v>42</v>
      </c>
      <c r="D237" s="1784"/>
      <c r="E237" s="433" t="str">
        <f>E$12</f>
        <v>ESTR. DE LINHA TAQUARAL</v>
      </c>
      <c r="F237" s="1002" t="s">
        <v>96</v>
      </c>
      <c r="G237" s="435"/>
      <c r="H237" s="65"/>
      <c r="I237" s="65"/>
      <c r="J237" s="65"/>
    </row>
    <row r="238" spans="1:19" x14ac:dyDescent="0.25">
      <c r="A238" s="329">
        <f>A231</f>
        <v>1</v>
      </c>
      <c r="B238" s="329"/>
      <c r="C238" s="1776" t="s">
        <v>5706</v>
      </c>
      <c r="D238" s="1003" t="s">
        <v>53</v>
      </c>
      <c r="E238" s="439">
        <f>E229+E228</f>
        <v>116</v>
      </c>
      <c r="F238" s="439">
        <f>SUM(E238:E238)</f>
        <v>116</v>
      </c>
      <c r="G238" s="430" t="s">
        <v>2598</v>
      </c>
      <c r="I238" s="357">
        <f>MAX($I$13:I237)+1</f>
        <v>133</v>
      </c>
      <c r="J238" s="361" t="str">
        <f>CONCATENATE("(",I238,")"," = ","(",I228,")+(",I229,")")</f>
        <v>(133) = (132)+(132)</v>
      </c>
    </row>
    <row r="239" spans="1:19" x14ac:dyDescent="0.25">
      <c r="A239" s="329">
        <f>A238</f>
        <v>1</v>
      </c>
      <c r="B239" s="329"/>
      <c r="C239" s="1776"/>
      <c r="D239" s="1003" t="s">
        <v>2605</v>
      </c>
      <c r="E239" s="991">
        <v>0.2</v>
      </c>
      <c r="F239" s="439"/>
      <c r="G239" s="430" t="s">
        <v>5169</v>
      </c>
      <c r="I239" s="357">
        <f>MAX($I$13:I238)+1</f>
        <v>134</v>
      </c>
      <c r="J239" s="329" t="s">
        <v>2842</v>
      </c>
    </row>
    <row r="240" spans="1:19" s="188" customFormat="1" x14ac:dyDescent="0.25">
      <c r="A240" s="329">
        <f>A238</f>
        <v>1</v>
      </c>
      <c r="B240" s="198">
        <f>B229+1</f>
        <v>132</v>
      </c>
      <c r="C240" s="1775" t="s">
        <v>5707</v>
      </c>
      <c r="D240" s="1775"/>
      <c r="E240" s="437">
        <f>E239*E238</f>
        <v>23.2</v>
      </c>
      <c r="F240" s="438">
        <f>SUM(E240:E240)</f>
        <v>23.2</v>
      </c>
      <c r="G240" s="435" t="s">
        <v>2596</v>
      </c>
      <c r="H240" s="366">
        <f>C231</f>
        <v>4805754</v>
      </c>
      <c r="I240" s="369">
        <f>MAX($I$13:I239)+1</f>
        <v>135</v>
      </c>
      <c r="J240" s="361" t="str">
        <f>CONCATENATE("(",I240,")"," = ","(",I239,")+(",I238,")")</f>
        <v>(135) = (134)+(133)</v>
      </c>
      <c r="K240" s="201"/>
      <c r="L240" s="201"/>
      <c r="M240" s="201"/>
      <c r="N240" s="201"/>
      <c r="Q240" s="200"/>
      <c r="R240" s="201"/>
      <c r="S240" s="201"/>
    </row>
    <row r="241" spans="1:10" x14ac:dyDescent="0.25">
      <c r="A241" s="329">
        <f>A232</f>
        <v>1</v>
      </c>
      <c r="B241" s="329"/>
      <c r="C241" s="1776" t="s">
        <v>2813</v>
      </c>
      <c r="D241" s="1788" t="s">
        <v>2797</v>
      </c>
      <c r="E241" s="527">
        <f>E368</f>
        <v>0</v>
      </c>
      <c r="F241" s="439"/>
      <c r="G241" s="430" t="s">
        <v>15</v>
      </c>
      <c r="H241" s="361"/>
      <c r="I241" s="357">
        <f>MAX($I$13:I240)+1</f>
        <v>136</v>
      </c>
      <c r="J241" s="361" t="s">
        <v>2843</v>
      </c>
    </row>
    <row r="242" spans="1:10" x14ac:dyDescent="0.25">
      <c r="A242" s="329">
        <f>A241</f>
        <v>1</v>
      </c>
      <c r="B242" s="329"/>
      <c r="C242" s="1776"/>
      <c r="D242" s="1788"/>
      <c r="E242" s="530">
        <f>E241*E240/100</f>
        <v>0</v>
      </c>
      <c r="F242" s="439">
        <f>SUM(E242:E242)</f>
        <v>0</v>
      </c>
      <c r="G242" s="430" t="s">
        <v>2596</v>
      </c>
      <c r="H242" s="361"/>
      <c r="I242" s="357">
        <f>MAX($I$13:I241)+1</f>
        <v>137</v>
      </c>
      <c r="J242" s="361" t="str">
        <f>CONCATENATE("(",I242,")"," = ","(",I240,")*(",I241,")")</f>
        <v>(137) = (135)*(136)</v>
      </c>
    </row>
    <row r="243" spans="1:10" s="188" customFormat="1" x14ac:dyDescent="0.25">
      <c r="A243" s="329">
        <f>A242</f>
        <v>1</v>
      </c>
      <c r="B243" s="198">
        <f>B240+1</f>
        <v>133</v>
      </c>
      <c r="C243" s="1776"/>
      <c r="D243" s="1002" t="s">
        <v>96</v>
      </c>
      <c r="E243" s="438">
        <f>E242+E240</f>
        <v>23.2</v>
      </c>
      <c r="F243" s="438">
        <f>SUM(E243:E243)</f>
        <v>23.2</v>
      </c>
      <c r="G243" s="435" t="s">
        <v>2596</v>
      </c>
      <c r="H243" s="198">
        <f>C232</f>
        <v>4016096</v>
      </c>
      <c r="I243" s="369">
        <f>MAX($I$13:I242)+1</f>
        <v>138</v>
      </c>
      <c r="J243" s="65" t="str">
        <f>CONCATENATE("(",I243,")"," = ","(",I241,")*(",I242,")")</f>
        <v>(138) = (136)*(137)</v>
      </c>
    </row>
    <row r="244" spans="1:10" x14ac:dyDescent="0.25">
      <c r="A244" s="329">
        <f>A233</f>
        <v>1</v>
      </c>
      <c r="B244" s="329"/>
      <c r="C244" s="1776" t="s">
        <v>2848</v>
      </c>
      <c r="D244" s="1003" t="s">
        <v>2810</v>
      </c>
      <c r="E244" s="991" t="s">
        <v>2778</v>
      </c>
      <c r="F244" s="439"/>
      <c r="G244" s="430"/>
      <c r="H244" s="361"/>
      <c r="I244" s="357">
        <f>MAX($I$13:I243)+1</f>
        <v>139</v>
      </c>
      <c r="J244" s="361" t="s">
        <v>2843</v>
      </c>
    </row>
    <row r="245" spans="1:10" x14ac:dyDescent="0.25">
      <c r="A245" s="329">
        <f>A233</f>
        <v>1</v>
      </c>
      <c r="B245" s="396">
        <f>B243+0.1</f>
        <v>133.1</v>
      </c>
      <c r="C245" s="1776"/>
      <c r="D245" s="1003" t="s">
        <v>2811</v>
      </c>
      <c r="E245" s="991">
        <f>IF(E244="pista",$E$353,DMT!$I$10)</f>
        <v>0.04</v>
      </c>
      <c r="F245" s="1003"/>
      <c r="G245" s="430" t="s">
        <v>2799</v>
      </c>
      <c r="H245" s="361"/>
      <c r="I245" s="357">
        <f>MAX($I$13:I244)+1</f>
        <v>140</v>
      </c>
      <c r="J245" s="361" t="s">
        <v>2843</v>
      </c>
    </row>
    <row r="246" spans="1:10" x14ac:dyDescent="0.25">
      <c r="A246" s="329">
        <f>A233</f>
        <v>1</v>
      </c>
      <c r="B246" s="198">
        <f>B243+1</f>
        <v>134</v>
      </c>
      <c r="C246" s="1776"/>
      <c r="D246" s="1002" t="s">
        <v>2812</v>
      </c>
      <c r="E246" s="438">
        <f>E243*E245</f>
        <v>0.93</v>
      </c>
      <c r="F246" s="438">
        <f>SUM(E246:E246)</f>
        <v>0.93</v>
      </c>
      <c r="G246" s="435" t="s">
        <v>2783</v>
      </c>
      <c r="H246" s="366">
        <f>C233</f>
        <v>5914374</v>
      </c>
      <c r="I246" s="369">
        <f>MAX($I$13:I245)+1</f>
        <v>141</v>
      </c>
      <c r="J246" s="65" t="str">
        <f>CONCATENATE("(",I246,")"," = ","(",I243,")*(",I245,")")</f>
        <v>(141) = (138)*(140)</v>
      </c>
    </row>
    <row r="247" spans="1:10" x14ac:dyDescent="0.25">
      <c r="A247" s="329">
        <f t="shared" si="40"/>
        <v>1</v>
      </c>
      <c r="B247" s="329"/>
      <c r="C247" s="329"/>
      <c r="D247" s="329"/>
      <c r="E247" s="329"/>
      <c r="F247" s="329"/>
    </row>
    <row r="248" spans="1:10" s="191" customFormat="1" ht="15.75" hidden="1" thickBot="1" x14ac:dyDescent="0.3">
      <c r="A248" s="686">
        <f>IF(E251=0,0,1)</f>
        <v>0</v>
      </c>
      <c r="B248" s="189"/>
      <c r="C248" s="190">
        <f>oR!G161</f>
        <v>2003943</v>
      </c>
      <c r="D248" s="324" t="str">
        <f>oR!H161</f>
        <v>Meio-fio de concreto - MFC 03 moldado no local com extrusora e concreto usinado - areia e brita comerciais</v>
      </c>
      <c r="F248" s="325"/>
      <c r="G248" s="392"/>
      <c r="H248" s="364"/>
      <c r="I248" s="364"/>
      <c r="J248" s="364"/>
    </row>
    <row r="249" spans="1:10" hidden="1" x14ac:dyDescent="0.25">
      <c r="A249" s="329">
        <f>A248</f>
        <v>0</v>
      </c>
      <c r="B249" s="329"/>
      <c r="C249" s="193"/>
      <c r="D249" s="194" t="s">
        <v>2920</v>
      </c>
      <c r="E249" s="329"/>
      <c r="F249" s="850"/>
      <c r="G249" s="393"/>
      <c r="H249" s="365"/>
      <c r="I249" s="365"/>
      <c r="J249" s="365"/>
    </row>
    <row r="250" spans="1:10" hidden="1" x14ac:dyDescent="0.25">
      <c r="A250" s="329">
        <f t="shared" ref="A250:A251" si="41">A249</f>
        <v>0</v>
      </c>
      <c r="B250" s="329"/>
      <c r="C250" s="1784" t="s">
        <v>42</v>
      </c>
      <c r="D250" s="1784"/>
      <c r="E250" s="433" t="str">
        <f>E$12</f>
        <v>ESTR. DE LINHA TAQUARAL</v>
      </c>
      <c r="F250" s="434" t="s">
        <v>96</v>
      </c>
      <c r="G250" s="435"/>
      <c r="H250" s="65"/>
      <c r="I250" s="65"/>
      <c r="J250" s="65"/>
    </row>
    <row r="251" spans="1:10" s="188" customFormat="1" hidden="1" x14ac:dyDescent="0.25">
      <c r="A251" s="329">
        <f t="shared" si="41"/>
        <v>0</v>
      </c>
      <c r="B251" s="185">
        <f>oR!D161</f>
        <v>135</v>
      </c>
      <c r="C251" s="852"/>
      <c r="D251" s="437" t="s">
        <v>53</v>
      </c>
      <c r="E251" s="528"/>
      <c r="F251" s="438">
        <f>SUM(E251:E251)</f>
        <v>0</v>
      </c>
      <c r="G251" s="435" t="s">
        <v>2598</v>
      </c>
      <c r="H251" s="198">
        <f>C248</f>
        <v>2003943</v>
      </c>
      <c r="I251" s="369">
        <f>MAX($I$13:I250)+1</f>
        <v>142</v>
      </c>
      <c r="J251" s="65" t="s">
        <v>2842</v>
      </c>
    </row>
    <row r="252" spans="1:10" ht="15.75" thickBot="1" x14ac:dyDescent="0.3">
      <c r="A252" s="329">
        <f>A229</f>
        <v>1</v>
      </c>
      <c r="B252" s="329"/>
      <c r="C252" s="329"/>
      <c r="D252" s="329"/>
      <c r="E252" s="848"/>
      <c r="F252" s="848"/>
    </row>
    <row r="253" spans="1:10" s="191" customFormat="1" ht="15.75" hidden="1" thickBot="1" x14ac:dyDescent="0.3">
      <c r="A253" s="686">
        <f>IF(E262=0,0,1)</f>
        <v>0</v>
      </c>
      <c r="B253" s="189"/>
      <c r="C253" s="190">
        <f>oR!G162</f>
        <v>4805754</v>
      </c>
      <c r="D253" s="324" t="str">
        <f>oR!H162</f>
        <v>Compactação manual com soquete vibratório</v>
      </c>
      <c r="F253" s="325"/>
      <c r="G253" s="392"/>
      <c r="H253" s="364"/>
      <c r="I253" s="364"/>
      <c r="J253" s="364"/>
    </row>
    <row r="254" spans="1:10" s="191" customFormat="1" ht="15.75" hidden="1" thickBot="1" x14ac:dyDescent="0.3">
      <c r="A254" s="686">
        <f>IF(E265=0,0,1)</f>
        <v>0</v>
      </c>
      <c r="B254" s="189"/>
      <c r="C254" s="190">
        <f>oR!G163</f>
        <v>4016096</v>
      </c>
      <c r="D254" s="324" t="str">
        <f>oR!H163</f>
        <v>Escavação e carga de material de jazida com escavadeira hidráulica de 1,56 m³</v>
      </c>
      <c r="F254" s="325"/>
      <c r="G254" s="392"/>
      <c r="H254" s="364"/>
      <c r="I254" s="364"/>
      <c r="J254" s="364"/>
    </row>
    <row r="255" spans="1:10" s="191" customFormat="1" ht="15.75" hidden="1" thickBot="1" x14ac:dyDescent="0.3">
      <c r="A255" s="686">
        <f>IF(E268=0,0,1)</f>
        <v>0</v>
      </c>
      <c r="B255" s="189"/>
      <c r="C255" s="190">
        <f>oR!G164</f>
        <v>5914374</v>
      </c>
      <c r="D255" s="324" t="str">
        <f>oR!H164</f>
        <v>Transporte com caminhão basculante de 10 m³ - rodovia em revestimento primário</v>
      </c>
      <c r="F255" s="325"/>
      <c r="G255" s="392"/>
      <c r="H255" s="364"/>
      <c r="I255" s="364"/>
      <c r="J255" s="364"/>
    </row>
    <row r="256" spans="1:10" ht="13.5" hidden="1" thickBot="1" x14ac:dyDescent="0.3">
      <c r="A256" s="329">
        <f>A253</f>
        <v>0</v>
      </c>
      <c r="B256" s="329"/>
      <c r="C256" s="193"/>
      <c r="D256" s="194" t="s">
        <v>5708</v>
      </c>
      <c r="E256" s="329"/>
      <c r="F256" s="1001"/>
      <c r="G256" s="393"/>
      <c r="H256" s="365"/>
      <c r="I256" s="365"/>
      <c r="J256" s="365"/>
    </row>
    <row r="257" spans="1:19" ht="13.5" hidden="1" thickBot="1" x14ac:dyDescent="0.3">
      <c r="A257" s="329">
        <f t="shared" ref="A257:A269" si="42">A254</f>
        <v>0</v>
      </c>
      <c r="B257" s="329"/>
      <c r="C257" s="193"/>
      <c r="D257" s="194" t="s">
        <v>2846</v>
      </c>
      <c r="E257" s="329"/>
      <c r="F257" s="1001"/>
      <c r="G257" s="393"/>
      <c r="H257" s="365"/>
      <c r="I257" s="365"/>
      <c r="J257" s="365"/>
    </row>
    <row r="258" spans="1:19" ht="13.5" hidden="1" thickBot="1" x14ac:dyDescent="0.3">
      <c r="A258" s="329">
        <f t="shared" si="42"/>
        <v>0</v>
      </c>
      <c r="B258" s="329"/>
      <c r="C258" s="193"/>
      <c r="D258" s="194" t="s">
        <v>2847</v>
      </c>
      <c r="E258" s="329"/>
      <c r="F258" s="1001"/>
      <c r="G258" s="393"/>
      <c r="H258" s="365"/>
      <c r="I258" s="365"/>
      <c r="J258" s="365"/>
    </row>
    <row r="259" spans="1:19" ht="13.5" hidden="1" thickBot="1" x14ac:dyDescent="0.3">
      <c r="A259" s="329">
        <f t="shared" si="42"/>
        <v>0</v>
      </c>
      <c r="B259" s="329"/>
      <c r="C259" s="1784" t="s">
        <v>42</v>
      </c>
      <c r="D259" s="1784"/>
      <c r="E259" s="433" t="str">
        <f>E$12</f>
        <v>ESTR. DE LINHA TAQUARAL</v>
      </c>
      <c r="F259" s="1002" t="s">
        <v>96</v>
      </c>
      <c r="G259" s="435"/>
      <c r="H259" s="65"/>
      <c r="I259" s="65"/>
      <c r="J259" s="65"/>
    </row>
    <row r="260" spans="1:19" ht="13.5" hidden="1" thickBot="1" x14ac:dyDescent="0.3">
      <c r="A260" s="329">
        <f>A253</f>
        <v>0</v>
      </c>
      <c r="B260" s="329"/>
      <c r="C260" s="1776" t="s">
        <v>5709</v>
      </c>
      <c r="D260" s="1003" t="s">
        <v>53</v>
      </c>
      <c r="E260" s="439">
        <f>E251</f>
        <v>0</v>
      </c>
      <c r="F260" s="439">
        <f>SUM(E260:E260)</f>
        <v>0</v>
      </c>
      <c r="G260" s="430" t="s">
        <v>2598</v>
      </c>
      <c r="I260" s="357">
        <f>MAX($I$13:I259)+1</f>
        <v>143</v>
      </c>
      <c r="J260" s="361" t="str">
        <f>CONCATENATE("(",I260,")"," = ","(",I251,")")</f>
        <v>(143) = (142)</v>
      </c>
    </row>
    <row r="261" spans="1:19" ht="13.5" hidden="1" thickBot="1" x14ac:dyDescent="0.3">
      <c r="A261" s="329">
        <f>A260</f>
        <v>0</v>
      </c>
      <c r="B261" s="329"/>
      <c r="C261" s="1776"/>
      <c r="D261" s="1003" t="s">
        <v>2605</v>
      </c>
      <c r="E261" s="991">
        <v>0.2</v>
      </c>
      <c r="F261" s="439"/>
      <c r="G261" s="430" t="s">
        <v>5169</v>
      </c>
      <c r="I261" s="357">
        <f>MAX($I$13:I260)+1</f>
        <v>144</v>
      </c>
      <c r="J261" s="329" t="s">
        <v>2842</v>
      </c>
    </row>
    <row r="262" spans="1:19" s="188" customFormat="1" ht="13.5" hidden="1" thickBot="1" x14ac:dyDescent="0.3">
      <c r="A262" s="329">
        <f>A260</f>
        <v>0</v>
      </c>
      <c r="B262" s="198">
        <f>B251+1</f>
        <v>136</v>
      </c>
      <c r="C262" s="1775" t="s">
        <v>5707</v>
      </c>
      <c r="D262" s="1775"/>
      <c r="E262" s="437">
        <f>E261*E260</f>
        <v>0</v>
      </c>
      <c r="F262" s="438">
        <f>SUM(E262:E262)</f>
        <v>0</v>
      </c>
      <c r="G262" s="435" t="s">
        <v>2596</v>
      </c>
      <c r="H262" s="366">
        <f>C253</f>
        <v>4805754</v>
      </c>
      <c r="I262" s="369">
        <f>MAX($I$13:I261)+1</f>
        <v>145</v>
      </c>
      <c r="J262" s="361" t="str">
        <f>CONCATENATE("(",I262,")"," = ","(",I261,")+(",I260,")")</f>
        <v>(145) = (144)+(143)</v>
      </c>
      <c r="K262" s="201"/>
      <c r="L262" s="201"/>
      <c r="M262" s="201"/>
      <c r="N262" s="201"/>
      <c r="Q262" s="200"/>
      <c r="R262" s="201"/>
      <c r="S262" s="201"/>
    </row>
    <row r="263" spans="1:19" ht="13.5" hidden="1" thickBot="1" x14ac:dyDescent="0.3">
      <c r="A263" s="329">
        <f>A254</f>
        <v>0</v>
      </c>
      <c r="B263" s="329"/>
      <c r="C263" s="1776" t="s">
        <v>2813</v>
      </c>
      <c r="D263" s="1788" t="s">
        <v>2797</v>
      </c>
      <c r="E263" s="527">
        <f>E366</f>
        <v>0</v>
      </c>
      <c r="F263" s="439"/>
      <c r="G263" s="430" t="s">
        <v>15</v>
      </c>
      <c r="H263" s="361"/>
      <c r="I263" s="357">
        <f>MAX($I$13:I262)+1</f>
        <v>146</v>
      </c>
      <c r="J263" s="361" t="s">
        <v>2843</v>
      </c>
    </row>
    <row r="264" spans="1:19" ht="13.5" hidden="1" thickBot="1" x14ac:dyDescent="0.3">
      <c r="A264" s="329">
        <f>A263</f>
        <v>0</v>
      </c>
      <c r="B264" s="329"/>
      <c r="C264" s="1776"/>
      <c r="D264" s="1788"/>
      <c r="E264" s="530">
        <f>E263*E262/100</f>
        <v>0</v>
      </c>
      <c r="F264" s="439">
        <f>SUM(E264:E264)</f>
        <v>0</v>
      </c>
      <c r="G264" s="430" t="s">
        <v>2596</v>
      </c>
      <c r="H264" s="361"/>
      <c r="I264" s="357">
        <f>MAX($I$13:I263)+1</f>
        <v>147</v>
      </c>
      <c r="J264" s="361" t="str">
        <f>CONCATENATE("(",I264,")"," = ","(",I262,")*(",I263,")")</f>
        <v>(147) = (145)*(146)</v>
      </c>
    </row>
    <row r="265" spans="1:19" s="188" customFormat="1" ht="13.5" hidden="1" thickBot="1" x14ac:dyDescent="0.3">
      <c r="A265" s="329">
        <f>A264</f>
        <v>0</v>
      </c>
      <c r="B265" s="198">
        <f>B262+1</f>
        <v>137</v>
      </c>
      <c r="C265" s="1776"/>
      <c r="D265" s="1002" t="s">
        <v>96</v>
      </c>
      <c r="E265" s="438">
        <f>E264+E262</f>
        <v>0</v>
      </c>
      <c r="F265" s="438">
        <f>SUM(E265:E265)</f>
        <v>0</v>
      </c>
      <c r="G265" s="435" t="s">
        <v>2596</v>
      </c>
      <c r="H265" s="198">
        <f>C254</f>
        <v>4016096</v>
      </c>
      <c r="I265" s="369">
        <f>MAX($I$13:I264)+1</f>
        <v>148</v>
      </c>
      <c r="J265" s="65" t="str">
        <f>CONCATENATE("(",I265,")"," = ","(",I263,")*(",I264,")")</f>
        <v>(148) = (146)*(147)</v>
      </c>
    </row>
    <row r="266" spans="1:19" ht="13.5" hidden="1" thickBot="1" x14ac:dyDescent="0.3">
      <c r="A266" s="329">
        <f>A255</f>
        <v>0</v>
      </c>
      <c r="B266" s="329"/>
      <c r="C266" s="1776" t="s">
        <v>2848</v>
      </c>
      <c r="D266" s="1003" t="s">
        <v>2810</v>
      </c>
      <c r="E266" s="991" t="s">
        <v>2778</v>
      </c>
      <c r="F266" s="439"/>
      <c r="G266" s="430"/>
      <c r="H266" s="361"/>
      <c r="I266" s="357">
        <f>MAX($I$13:I265)+1</f>
        <v>149</v>
      </c>
      <c r="J266" s="361" t="s">
        <v>2843</v>
      </c>
    </row>
    <row r="267" spans="1:19" ht="13.5" hidden="1" thickBot="1" x14ac:dyDescent="0.3">
      <c r="A267" s="329">
        <f>A255</f>
        <v>0</v>
      </c>
      <c r="B267" s="396">
        <f>B265+0.1</f>
        <v>137.1</v>
      </c>
      <c r="C267" s="1776"/>
      <c r="D267" s="1003" t="s">
        <v>2811</v>
      </c>
      <c r="E267" s="991">
        <f>IF(E266="pista",$E$353,DMT!$I$10)</f>
        <v>0.04</v>
      </c>
      <c r="F267" s="1003"/>
      <c r="G267" s="430" t="s">
        <v>2799</v>
      </c>
      <c r="H267" s="361"/>
      <c r="I267" s="357">
        <f>MAX($I$13:I266)+1</f>
        <v>150</v>
      </c>
      <c r="J267" s="361" t="s">
        <v>2843</v>
      </c>
    </row>
    <row r="268" spans="1:19" ht="13.5" hidden="1" thickBot="1" x14ac:dyDescent="0.3">
      <c r="A268" s="329">
        <f>A255</f>
        <v>0</v>
      </c>
      <c r="B268" s="198">
        <f>B265+1</f>
        <v>138</v>
      </c>
      <c r="C268" s="1776"/>
      <c r="D268" s="1002" t="s">
        <v>2812</v>
      </c>
      <c r="E268" s="438">
        <f>E265*E267</f>
        <v>0</v>
      </c>
      <c r="F268" s="438">
        <f>SUM(E268:E268)</f>
        <v>0</v>
      </c>
      <c r="G268" s="435" t="s">
        <v>2783</v>
      </c>
      <c r="H268" s="366">
        <f>C255</f>
        <v>5914374</v>
      </c>
      <c r="I268" s="369">
        <f>MAX($I$13:I267)+1</f>
        <v>151</v>
      </c>
      <c r="J268" s="65" t="str">
        <f>CONCATENATE("(",I268,")"," = ","(",I265,")*(",I267,")")</f>
        <v>(151) = (148)*(150)</v>
      </c>
    </row>
    <row r="269" spans="1:19" ht="13.5" hidden="1" thickBot="1" x14ac:dyDescent="0.3">
      <c r="A269" s="329">
        <f t="shared" si="42"/>
        <v>0</v>
      </c>
      <c r="B269" s="329"/>
      <c r="C269" s="329"/>
      <c r="D269" s="329"/>
      <c r="E269" s="329"/>
      <c r="F269" s="329"/>
    </row>
    <row r="270" spans="1:19" s="191" customFormat="1" ht="15.75" thickBot="1" x14ac:dyDescent="0.3">
      <c r="A270" s="686">
        <f>IF(E274=0,0,1)</f>
        <v>1</v>
      </c>
      <c r="B270" s="189"/>
      <c r="C270" s="190">
        <f>oR!G165</f>
        <v>2003357</v>
      </c>
      <c r="D270" s="324" t="str">
        <f>oR!H165</f>
        <v>Transposição de segmentos de sarjeta - TSS 01 - areia e brita comerciais</v>
      </c>
      <c r="F270" s="325"/>
      <c r="G270" s="392"/>
      <c r="H270" s="364"/>
      <c r="I270" s="364"/>
      <c r="J270" s="364"/>
    </row>
    <row r="271" spans="1:19" s="191" customFormat="1" ht="15.75" hidden="1" thickBot="1" x14ac:dyDescent="0.3">
      <c r="A271" s="686">
        <f>IF(E275=0,0,1)</f>
        <v>0</v>
      </c>
      <c r="B271" s="189"/>
      <c r="C271" s="190">
        <f>oR!G166</f>
        <v>2003359</v>
      </c>
      <c r="D271" s="324" t="str">
        <f>oR!H166</f>
        <v>Transposição de segmentos de sarjeta - TSS 02 - areia e brita comerciais</v>
      </c>
      <c r="F271" s="325"/>
      <c r="G271" s="392"/>
      <c r="H271" s="364"/>
      <c r="I271" s="364"/>
      <c r="J271" s="364"/>
    </row>
    <row r="272" spans="1:19" x14ac:dyDescent="0.25">
      <c r="A272" s="329">
        <f>IF(SUM(A270:A271)=0,0,1)</f>
        <v>1</v>
      </c>
      <c r="B272" s="329"/>
      <c r="C272" s="193"/>
      <c r="D272" s="194" t="s">
        <v>5710</v>
      </c>
      <c r="E272" s="329"/>
      <c r="F272" s="1001"/>
      <c r="G272" s="393"/>
      <c r="H272" s="365"/>
      <c r="I272" s="365"/>
      <c r="J272" s="365"/>
    </row>
    <row r="273" spans="1:10" x14ac:dyDescent="0.25">
      <c r="A273" s="329">
        <f>A272</f>
        <v>1</v>
      </c>
      <c r="B273" s="329"/>
      <c r="C273" s="1784" t="s">
        <v>42</v>
      </c>
      <c r="D273" s="1784"/>
      <c r="E273" s="433" t="str">
        <f>E$12</f>
        <v>ESTR. DE LINHA TAQUARAL</v>
      </c>
      <c r="F273" s="1002" t="s">
        <v>96</v>
      </c>
      <c r="G273" s="435"/>
      <c r="H273" s="65"/>
      <c r="I273" s="65"/>
      <c r="J273" s="65"/>
    </row>
    <row r="274" spans="1:10" s="188" customFormat="1" x14ac:dyDescent="0.25">
      <c r="A274" s="329">
        <f>A270</f>
        <v>1</v>
      </c>
      <c r="B274" s="198">
        <f>B268+1</f>
        <v>139</v>
      </c>
      <c r="C274" s="1785" t="s">
        <v>53</v>
      </c>
      <c r="D274" s="437" t="s">
        <v>5711</v>
      </c>
      <c r="E274" s="528">
        <f>16+8</f>
        <v>24</v>
      </c>
      <c r="F274" s="438">
        <f>SUM(E274:E274)</f>
        <v>24</v>
      </c>
      <c r="G274" s="435" t="s">
        <v>2598</v>
      </c>
      <c r="H274" s="198">
        <f>C270</f>
        <v>2003357</v>
      </c>
      <c r="I274" s="369">
        <f>MAX($I$13:I272)+1</f>
        <v>152</v>
      </c>
      <c r="J274" s="65" t="s">
        <v>2842</v>
      </c>
    </row>
    <row r="275" spans="1:10" s="188" customFormat="1" hidden="1" x14ac:dyDescent="0.25">
      <c r="A275" s="329">
        <f>A271</f>
        <v>0</v>
      </c>
      <c r="B275" s="198">
        <f>B274+1</f>
        <v>140</v>
      </c>
      <c r="C275" s="1787"/>
      <c r="D275" s="437" t="s">
        <v>5712</v>
      </c>
      <c r="E275" s="528"/>
      <c r="F275" s="438">
        <f>SUM(E275:E275)</f>
        <v>0</v>
      </c>
      <c r="G275" s="435" t="s">
        <v>2598</v>
      </c>
      <c r="H275" s="198">
        <f>C271</f>
        <v>2003359</v>
      </c>
      <c r="I275" s="369">
        <f>MAX($I$13:I274)+1</f>
        <v>153</v>
      </c>
      <c r="J275" s="65" t="s">
        <v>2842</v>
      </c>
    </row>
    <row r="276" spans="1:10" ht="15" x14ac:dyDescent="0.25">
      <c r="A276" s="329">
        <f>A272</f>
        <v>1</v>
      </c>
      <c r="B276" s="329"/>
      <c r="C276" s="329"/>
      <c r="D276" s="329"/>
      <c r="E276" s="998"/>
      <c r="F276" s="998"/>
    </row>
    <row r="277" spans="1:10" s="191" customFormat="1" ht="15.75" hidden="1" thickBot="1" x14ac:dyDescent="0.3">
      <c r="A277" s="686">
        <f>IF(E280=0,0,1)</f>
        <v>0</v>
      </c>
      <c r="B277" s="189"/>
      <c r="C277" s="190">
        <f>oR!G167</f>
        <v>1600404</v>
      </c>
      <c r="D277" s="324" t="str">
        <f>oR!H167</f>
        <v>Remoção de tubos de concreto com diâmetro de 0,40 m a 1,00 m em valas e bueiros</v>
      </c>
      <c r="F277" s="325"/>
      <c r="G277" s="392"/>
      <c r="H277" s="364"/>
      <c r="I277" s="364"/>
      <c r="J277" s="364"/>
    </row>
    <row r="278" spans="1:10" hidden="1" x14ac:dyDescent="0.25">
      <c r="A278" s="329">
        <f>A277</f>
        <v>0</v>
      </c>
      <c r="B278" s="329"/>
      <c r="C278" s="193"/>
      <c r="D278" s="194" t="s">
        <v>2921</v>
      </c>
      <c r="E278" s="329"/>
      <c r="F278" s="850"/>
      <c r="G278" s="393"/>
      <c r="H278" s="365"/>
      <c r="I278" s="365"/>
      <c r="J278" s="365"/>
    </row>
    <row r="279" spans="1:10" hidden="1" x14ac:dyDescent="0.25">
      <c r="A279" s="329">
        <f t="shared" ref="A279:A280" si="43">A278</f>
        <v>0</v>
      </c>
      <c r="B279" s="329"/>
      <c r="C279" s="1784" t="s">
        <v>42</v>
      </c>
      <c r="D279" s="1784"/>
      <c r="E279" s="433" t="str">
        <f>E$12</f>
        <v>ESTR. DE LINHA TAQUARAL</v>
      </c>
      <c r="F279" s="434" t="s">
        <v>96</v>
      </c>
      <c r="G279" s="435"/>
      <c r="H279" s="65"/>
      <c r="I279" s="65"/>
      <c r="J279" s="65"/>
    </row>
    <row r="280" spans="1:10" s="188" customFormat="1" ht="15" hidden="1" x14ac:dyDescent="0.25">
      <c r="A280" s="329">
        <f t="shared" si="43"/>
        <v>0</v>
      </c>
      <c r="B280" s="198">
        <f>oR!D167</f>
        <v>141</v>
      </c>
      <c r="C280" s="1784" t="s">
        <v>2922</v>
      </c>
      <c r="D280" s="1784"/>
      <c r="E280" s="528"/>
      <c r="F280" s="443">
        <f>SUM(E280:E280)</f>
        <v>0</v>
      </c>
      <c r="G280" s="435" t="s">
        <v>2598</v>
      </c>
      <c r="H280" s="198">
        <f>C277</f>
        <v>1600404</v>
      </c>
      <c r="I280" s="369">
        <f>MAX($I$13:I279)+1</f>
        <v>154</v>
      </c>
      <c r="J280" s="65" t="s">
        <v>2842</v>
      </c>
    </row>
    <row r="281" spans="1:10" ht="15" hidden="1" x14ac:dyDescent="0.25">
      <c r="A281" s="329">
        <f>A277</f>
        <v>0</v>
      </c>
      <c r="B281" s="329"/>
      <c r="C281" s="329"/>
      <c r="D281" s="329"/>
      <c r="E281" s="1018"/>
      <c r="F281" s="1018"/>
    </row>
    <row r="282" spans="1:10" s="191" customFormat="1" ht="15.75" hidden="1" thickBot="1" x14ac:dyDescent="0.3">
      <c r="A282" s="686">
        <f>IF(E288=0,0,1)</f>
        <v>0</v>
      </c>
      <c r="B282" s="189"/>
      <c r="C282" s="190">
        <f>oR!G168</f>
        <v>2003305</v>
      </c>
      <c r="D282" s="324" t="str">
        <f>oR!H168</f>
        <v>Valeta de proteção de cortes com revestimento vegetal - VPC 02 - escavação mecânica</v>
      </c>
      <c r="F282" s="325"/>
      <c r="G282" s="392"/>
      <c r="H282" s="364"/>
      <c r="I282" s="364"/>
      <c r="J282" s="364"/>
    </row>
    <row r="283" spans="1:10" s="191" customFormat="1" ht="15.75" hidden="1" thickBot="1" x14ac:dyDescent="0.3">
      <c r="A283" s="686">
        <f>IF(E289=0,0,1)</f>
        <v>0</v>
      </c>
      <c r="B283" s="189"/>
      <c r="C283" s="190">
        <f>oR!G169</f>
        <v>2003309</v>
      </c>
      <c r="D283" s="324" t="str">
        <f>oR!H169</f>
        <v>Valeta de proteção de cortes com revestimento de concreto - VPC 04 - escavação mecânica - areia e brita comerciais</v>
      </c>
      <c r="F283" s="325"/>
      <c r="G283" s="392"/>
      <c r="H283" s="364"/>
      <c r="I283" s="364"/>
      <c r="J283" s="364"/>
    </row>
    <row r="284" spans="1:10" s="191" customFormat="1" ht="15.75" hidden="1" thickBot="1" x14ac:dyDescent="0.3">
      <c r="A284" s="686">
        <f>IF(E290=0,0,1)</f>
        <v>0</v>
      </c>
      <c r="B284" s="189"/>
      <c r="C284" s="190">
        <f>oR!G170</f>
        <v>2003311</v>
      </c>
      <c r="D284" s="324" t="str">
        <f>oR!H170</f>
        <v>Valeta de proteção de aterros com revestimento vegetal - VPA 02 - escavação mecânica</v>
      </c>
      <c r="F284" s="325"/>
      <c r="G284" s="392"/>
      <c r="H284" s="364"/>
      <c r="I284" s="364"/>
      <c r="J284" s="364"/>
    </row>
    <row r="285" spans="1:10" s="191" customFormat="1" ht="15.75" hidden="1" thickBot="1" x14ac:dyDescent="0.3">
      <c r="A285" s="686">
        <f>IF(E291=0,0,1)</f>
        <v>0</v>
      </c>
      <c r="B285" s="189"/>
      <c r="C285" s="190">
        <f>oR!G171</f>
        <v>2003315</v>
      </c>
      <c r="D285" s="324" t="str">
        <f>oR!H171</f>
        <v>Valeta de proteção de aterros com revestimento de concreto - VPA 04 - escavação mecânica - areia e brita comerciais</v>
      </c>
      <c r="F285" s="325"/>
      <c r="G285" s="392"/>
      <c r="H285" s="364"/>
      <c r="I285" s="364"/>
      <c r="J285" s="364"/>
    </row>
    <row r="286" spans="1:10" hidden="1" x14ac:dyDescent="0.25">
      <c r="A286" s="329">
        <f>IF(SUM(A282:A285)&gt;0,1,0)</f>
        <v>0</v>
      </c>
      <c r="B286" s="329"/>
      <c r="C286" s="193"/>
      <c r="D286" s="194" t="s">
        <v>6197</v>
      </c>
      <c r="E286" s="329"/>
      <c r="F286" s="1020"/>
      <c r="G286" s="393"/>
      <c r="H286" s="365"/>
      <c r="I286" s="365"/>
      <c r="J286" s="365"/>
    </row>
    <row r="287" spans="1:10" hidden="1" x14ac:dyDescent="0.25">
      <c r="A287" s="329">
        <f t="shared" ref="A287" si="44">A286</f>
        <v>0</v>
      </c>
      <c r="B287" s="329"/>
      <c r="C287" s="1784" t="s">
        <v>42</v>
      </c>
      <c r="D287" s="1784"/>
      <c r="E287" s="433" t="str">
        <f>E$12</f>
        <v>ESTR. DE LINHA TAQUARAL</v>
      </c>
      <c r="F287" s="1021" t="s">
        <v>96</v>
      </c>
      <c r="G287" s="435"/>
      <c r="H287" s="65"/>
      <c r="I287" s="65"/>
      <c r="J287" s="65"/>
    </row>
    <row r="288" spans="1:10" s="188" customFormat="1" ht="15" hidden="1" x14ac:dyDescent="0.25">
      <c r="A288" s="329">
        <f>A282</f>
        <v>0</v>
      </c>
      <c r="B288" s="198">
        <f>oR!D168</f>
        <v>142</v>
      </c>
      <c r="C288" s="1785" t="s">
        <v>6446</v>
      </c>
      <c r="D288" s="1117" t="s">
        <v>6443</v>
      </c>
      <c r="E288" s="528"/>
      <c r="F288" s="443">
        <f>SUM(E288:E288)</f>
        <v>0</v>
      </c>
      <c r="G288" s="435" t="s">
        <v>2598</v>
      </c>
      <c r="H288" s="198">
        <f>C282</f>
        <v>2003305</v>
      </c>
      <c r="I288" s="369">
        <f>MAX($I$13:I287)+1</f>
        <v>155</v>
      </c>
      <c r="J288" s="65" t="s">
        <v>2842</v>
      </c>
    </row>
    <row r="289" spans="1:10" s="188" customFormat="1" ht="15" hidden="1" x14ac:dyDescent="0.25">
      <c r="A289" s="329">
        <f t="shared" ref="A289:A291" si="45">A283</f>
        <v>0</v>
      </c>
      <c r="B289" s="198">
        <f>oR!D169</f>
        <v>143</v>
      </c>
      <c r="C289" s="1787"/>
      <c r="D289" s="1117" t="s">
        <v>6444</v>
      </c>
      <c r="E289" s="528"/>
      <c r="F289" s="443">
        <f t="shared" ref="F289:F291" si="46">SUM(E289:E289)</f>
        <v>0</v>
      </c>
      <c r="G289" s="435" t="s">
        <v>2598</v>
      </c>
      <c r="H289" s="198">
        <f t="shared" ref="H289:H291" si="47">C283</f>
        <v>2003309</v>
      </c>
      <c r="I289" s="369">
        <f>MAX($I$13:I288)+1</f>
        <v>156</v>
      </c>
      <c r="J289" s="65" t="s">
        <v>2842</v>
      </c>
    </row>
    <row r="290" spans="1:10" s="188" customFormat="1" ht="15" hidden="1" x14ac:dyDescent="0.25">
      <c r="A290" s="329">
        <f t="shared" si="45"/>
        <v>0</v>
      </c>
      <c r="B290" s="198">
        <f>oR!D170</f>
        <v>144</v>
      </c>
      <c r="C290" s="1785" t="s">
        <v>6447</v>
      </c>
      <c r="D290" s="1117" t="s">
        <v>6445</v>
      </c>
      <c r="E290" s="528"/>
      <c r="F290" s="443">
        <f t="shared" si="46"/>
        <v>0</v>
      </c>
      <c r="G290" s="435" t="s">
        <v>2598</v>
      </c>
      <c r="H290" s="198">
        <f t="shared" si="47"/>
        <v>2003311</v>
      </c>
      <c r="I290" s="369">
        <f>MAX($I$13:I289)+1</f>
        <v>157</v>
      </c>
      <c r="J290" s="65" t="s">
        <v>2842</v>
      </c>
    </row>
    <row r="291" spans="1:10" s="188" customFormat="1" ht="15" hidden="1" x14ac:dyDescent="0.25">
      <c r="A291" s="329">
        <f t="shared" si="45"/>
        <v>0</v>
      </c>
      <c r="B291" s="198">
        <f>oR!D171</f>
        <v>145</v>
      </c>
      <c r="C291" s="1787"/>
      <c r="D291" s="1117" t="s">
        <v>6448</v>
      </c>
      <c r="E291" s="528"/>
      <c r="F291" s="443">
        <f t="shared" si="46"/>
        <v>0</v>
      </c>
      <c r="G291" s="435" t="s">
        <v>2598</v>
      </c>
      <c r="H291" s="198">
        <f t="shared" si="47"/>
        <v>2003315</v>
      </c>
      <c r="I291" s="369">
        <f>MAX($I$13:I290)+1</f>
        <v>158</v>
      </c>
      <c r="J291" s="65" t="s">
        <v>2842</v>
      </c>
    </row>
    <row r="292" spans="1:10" ht="15" hidden="1" x14ac:dyDescent="0.25">
      <c r="A292" s="329">
        <f>A282</f>
        <v>0</v>
      </c>
      <c r="B292" s="329"/>
      <c r="C292" s="329"/>
      <c r="D292" s="329"/>
      <c r="E292" s="1060"/>
      <c r="F292" s="1060"/>
    </row>
    <row r="293" spans="1:10" s="191" customFormat="1" ht="15.75" hidden="1" thickBot="1" x14ac:dyDescent="0.3">
      <c r="A293" s="686">
        <f>IF(E297=0,0,1)</f>
        <v>0</v>
      </c>
      <c r="B293" s="189"/>
      <c r="C293" s="190">
        <f>oR!G172</f>
        <v>2003397</v>
      </c>
      <c r="D293" s="324" t="str">
        <f>oR!H172</f>
        <v>Descida d'água de cortes em degraus - DCD 01 - areia e brita comerciais</v>
      </c>
      <c r="F293" s="325"/>
      <c r="G293" s="392"/>
      <c r="H293" s="364"/>
      <c r="I293" s="364"/>
      <c r="J293" s="364"/>
    </row>
    <row r="294" spans="1:10" s="191" customFormat="1" ht="15.75" hidden="1" thickBot="1" x14ac:dyDescent="0.3">
      <c r="A294" s="686">
        <f>IF(E298=0,0,1)</f>
        <v>0</v>
      </c>
      <c r="B294" s="189"/>
      <c r="C294" s="190">
        <f>oR!G173</f>
        <v>2003391</v>
      </c>
      <c r="D294" s="324" t="str">
        <f>oR!H173</f>
        <v>Descida d'água de aterros tipo rápido - DAR 02 - areia e brita comerciais</v>
      </c>
      <c r="F294" s="325"/>
      <c r="G294" s="392"/>
      <c r="H294" s="364"/>
      <c r="I294" s="364"/>
      <c r="J294" s="364"/>
    </row>
    <row r="295" spans="1:10" hidden="1" x14ac:dyDescent="0.25">
      <c r="A295" s="329">
        <f>IF(SUM(A293:A294)&gt;0,1,0)</f>
        <v>0</v>
      </c>
      <c r="B295" s="329"/>
      <c r="C295" s="193"/>
      <c r="D295" s="194" t="s">
        <v>4313</v>
      </c>
      <c r="E295" s="329"/>
      <c r="F295" s="1064"/>
      <c r="G295" s="393"/>
      <c r="H295" s="365"/>
      <c r="I295" s="365"/>
      <c r="J295" s="365"/>
    </row>
    <row r="296" spans="1:10" hidden="1" x14ac:dyDescent="0.25">
      <c r="A296" s="329">
        <f>A295</f>
        <v>0</v>
      </c>
      <c r="B296" s="329"/>
      <c r="C296" s="1784" t="s">
        <v>42</v>
      </c>
      <c r="D296" s="1784"/>
      <c r="E296" s="433" t="str">
        <f>E$12</f>
        <v>ESTR. DE LINHA TAQUARAL</v>
      </c>
      <c r="F296" s="1065" t="s">
        <v>96</v>
      </c>
      <c r="G296" s="435"/>
      <c r="H296" s="65"/>
      <c r="I296" s="65"/>
      <c r="J296" s="65"/>
    </row>
    <row r="297" spans="1:10" s="188" customFormat="1" ht="15" hidden="1" x14ac:dyDescent="0.25">
      <c r="A297" s="329">
        <f>A293</f>
        <v>0</v>
      </c>
      <c r="B297" s="198">
        <f>oR!D172</f>
        <v>146</v>
      </c>
      <c r="C297" s="1784" t="s">
        <v>6501</v>
      </c>
      <c r="D297" s="1784"/>
      <c r="E297" s="528"/>
      <c r="F297" s="443">
        <f>SUM(E297:E297)</f>
        <v>0</v>
      </c>
      <c r="G297" s="435" t="s">
        <v>2598</v>
      </c>
      <c r="H297" s="198">
        <f>C293</f>
        <v>2003397</v>
      </c>
      <c r="I297" s="369">
        <f>MAX($I$13:I296)+1</f>
        <v>159</v>
      </c>
      <c r="J297" s="65" t="s">
        <v>2842</v>
      </c>
    </row>
    <row r="298" spans="1:10" s="188" customFormat="1" ht="15" hidden="1" x14ac:dyDescent="0.25">
      <c r="A298" s="329">
        <f>A294</f>
        <v>0</v>
      </c>
      <c r="B298" s="198">
        <f>oR!D173</f>
        <v>147</v>
      </c>
      <c r="C298" s="1784" t="s">
        <v>7226</v>
      </c>
      <c r="D298" s="1784"/>
      <c r="E298" s="528"/>
      <c r="F298" s="443">
        <f>SUM(E298:E298)</f>
        <v>0</v>
      </c>
      <c r="G298" s="435" t="s">
        <v>2598</v>
      </c>
      <c r="H298" s="198">
        <f>C294</f>
        <v>2003391</v>
      </c>
      <c r="I298" s="369">
        <f>MAX($I$13:I297)+1</f>
        <v>160</v>
      </c>
      <c r="J298" s="65" t="s">
        <v>2842</v>
      </c>
    </row>
    <row r="299" spans="1:10" ht="15" hidden="1" x14ac:dyDescent="0.25">
      <c r="A299" s="329">
        <f>A295</f>
        <v>0</v>
      </c>
      <c r="B299" s="329"/>
      <c r="C299" s="329"/>
      <c r="D299" s="329"/>
      <c r="E299" s="1375"/>
      <c r="F299" s="1375"/>
    </row>
    <row r="300" spans="1:10" s="191" customFormat="1" ht="15.75" hidden="1" thickBot="1" x14ac:dyDescent="0.3">
      <c r="A300" s="686">
        <f>IF(E303=0,0,1)</f>
        <v>0</v>
      </c>
      <c r="B300" s="189"/>
      <c r="C300" s="190">
        <f>oR!G174</f>
        <v>2003448</v>
      </c>
      <c r="D300" s="324" t="str">
        <f>oR!H174</f>
        <v>Dissipador de energia - DEB 01 - areia extraída e brita e pedra de mão produzidas</v>
      </c>
      <c r="F300" s="325"/>
      <c r="G300" s="392"/>
      <c r="H300" s="364"/>
      <c r="I300" s="364"/>
      <c r="J300" s="364"/>
    </row>
    <row r="301" spans="1:10" hidden="1" x14ac:dyDescent="0.25">
      <c r="A301" s="329">
        <f>A300</f>
        <v>0</v>
      </c>
      <c r="B301" s="329"/>
      <c r="C301" s="193"/>
      <c r="D301" s="194" t="s">
        <v>7225</v>
      </c>
      <c r="E301" s="329"/>
      <c r="F301" s="1377"/>
      <c r="G301" s="393"/>
      <c r="H301" s="365"/>
      <c r="I301" s="365"/>
      <c r="J301" s="365"/>
    </row>
    <row r="302" spans="1:10" hidden="1" x14ac:dyDescent="0.25">
      <c r="A302" s="329">
        <f t="shared" ref="A302:A303" si="48">A301</f>
        <v>0</v>
      </c>
      <c r="B302" s="329"/>
      <c r="C302" s="1784" t="s">
        <v>42</v>
      </c>
      <c r="D302" s="1784"/>
      <c r="E302" s="433" t="str">
        <f>E$12</f>
        <v>ESTR. DE LINHA TAQUARAL</v>
      </c>
      <c r="F302" s="1379" t="s">
        <v>96</v>
      </c>
      <c r="G302" s="435"/>
      <c r="H302" s="65"/>
      <c r="I302" s="65"/>
      <c r="J302" s="65"/>
    </row>
    <row r="303" spans="1:10" s="188" customFormat="1" ht="15" hidden="1" x14ac:dyDescent="0.25">
      <c r="A303" s="329">
        <f t="shared" si="48"/>
        <v>0</v>
      </c>
      <c r="B303" s="198">
        <f>B298+1</f>
        <v>148</v>
      </c>
      <c r="C303" s="1784" t="s">
        <v>6731</v>
      </c>
      <c r="D303" s="1784"/>
      <c r="E303" s="528"/>
      <c r="F303" s="443">
        <f>SUM(E303:E303)</f>
        <v>0</v>
      </c>
      <c r="G303" s="435" t="s">
        <v>2599</v>
      </c>
      <c r="H303" s="198">
        <f>C300</f>
        <v>2003448</v>
      </c>
      <c r="I303" s="369">
        <f>MAX($I$13:I302)+1</f>
        <v>161</v>
      </c>
      <c r="J303" s="65" t="s">
        <v>2842</v>
      </c>
    </row>
    <row r="304" spans="1:10" ht="15" hidden="1" x14ac:dyDescent="0.25">
      <c r="A304" s="329">
        <f>A300</f>
        <v>0</v>
      </c>
      <c r="B304" s="329"/>
      <c r="C304" s="329"/>
      <c r="D304" s="329"/>
      <c r="E304" s="1375"/>
      <c r="F304" s="1375"/>
    </row>
    <row r="305" spans="1:11" s="191" customFormat="1" ht="15.75" hidden="1" thickBot="1" x14ac:dyDescent="0.3">
      <c r="A305" s="686">
        <f>IF(E308=0,0,1)</f>
        <v>0</v>
      </c>
      <c r="B305" s="189"/>
      <c r="C305" s="190">
        <f>oR!G175</f>
        <v>2003441</v>
      </c>
      <c r="D305" s="324" t="str">
        <f>oR!H175</f>
        <v>Dissipador de energia - DES 01 - areia e pedra de mão comerciais</v>
      </c>
      <c r="F305" s="325"/>
      <c r="G305" s="392"/>
      <c r="H305" s="364"/>
      <c r="I305" s="364"/>
      <c r="J305" s="364"/>
    </row>
    <row r="306" spans="1:11" hidden="1" x14ac:dyDescent="0.25">
      <c r="A306" s="329">
        <f>A305</f>
        <v>0</v>
      </c>
      <c r="B306" s="329"/>
      <c r="C306" s="193"/>
      <c r="D306" s="194" t="s">
        <v>7230</v>
      </c>
      <c r="E306" s="329"/>
      <c r="F306" s="1377"/>
      <c r="G306" s="393"/>
      <c r="H306" s="365"/>
      <c r="I306" s="365"/>
      <c r="J306" s="365"/>
    </row>
    <row r="307" spans="1:11" hidden="1" x14ac:dyDescent="0.25">
      <c r="A307" s="329">
        <f t="shared" ref="A307:A308" si="49">A306</f>
        <v>0</v>
      </c>
      <c r="B307" s="329"/>
      <c r="C307" s="1784" t="s">
        <v>42</v>
      </c>
      <c r="D307" s="1784"/>
      <c r="E307" s="433" t="str">
        <f>E$12</f>
        <v>ESTR. DE LINHA TAQUARAL</v>
      </c>
      <c r="F307" s="1379" t="s">
        <v>96</v>
      </c>
      <c r="G307" s="435"/>
      <c r="H307" s="65"/>
      <c r="I307" s="65"/>
      <c r="J307" s="65"/>
    </row>
    <row r="308" spans="1:11" s="188" customFormat="1" ht="15" hidden="1" x14ac:dyDescent="0.25">
      <c r="A308" s="329">
        <f t="shared" si="49"/>
        <v>0</v>
      </c>
      <c r="B308" s="198">
        <f>B303+1</f>
        <v>149</v>
      </c>
      <c r="C308" s="1784" t="s">
        <v>7227</v>
      </c>
      <c r="D308" s="1784"/>
      <c r="E308" s="528"/>
      <c r="F308" s="443">
        <f>SUM(E308:E308)</f>
        <v>0</v>
      </c>
      <c r="G308" s="435" t="s">
        <v>2599</v>
      </c>
      <c r="H308" s="198">
        <f>C305</f>
        <v>2003441</v>
      </c>
      <c r="I308" s="369">
        <f>MAX($I$13:I307)+1</f>
        <v>162</v>
      </c>
      <c r="J308" s="65" t="s">
        <v>2842</v>
      </c>
    </row>
    <row r="309" spans="1:11" ht="15" hidden="1" x14ac:dyDescent="0.25">
      <c r="A309" s="329">
        <f>A305</f>
        <v>0</v>
      </c>
      <c r="B309" s="329"/>
      <c r="C309" s="329"/>
      <c r="D309" s="329"/>
      <c r="E309" s="1375"/>
      <c r="F309" s="1375"/>
    </row>
    <row r="310" spans="1:11" s="191" customFormat="1" ht="15.75" hidden="1" thickBot="1" x14ac:dyDescent="0.3">
      <c r="A310" s="686">
        <f>IF(E313=0,0,1)</f>
        <v>0</v>
      </c>
      <c r="B310" s="189"/>
      <c r="C310" s="190">
        <f>oR!G176</f>
        <v>2003921</v>
      </c>
      <c r="D310" s="324" t="str">
        <f>oR!H176</f>
        <v>Boca de saída para dreno longitudinal profundo - BSD 02 - tubo de PEAD - areia e brita comerciais</v>
      </c>
      <c r="F310" s="325"/>
      <c r="G310" s="392"/>
      <c r="H310" s="364"/>
      <c r="I310" s="364"/>
      <c r="J310" s="364"/>
    </row>
    <row r="311" spans="1:11" hidden="1" x14ac:dyDescent="0.25">
      <c r="A311" s="329">
        <f>A310</f>
        <v>0</v>
      </c>
      <c r="B311" s="329"/>
      <c r="C311" s="193"/>
      <c r="D311" s="194" t="s">
        <v>7229</v>
      </c>
      <c r="E311" s="329"/>
      <c r="F311" s="1377"/>
      <c r="G311" s="393"/>
      <c r="H311" s="365"/>
      <c r="I311" s="365"/>
      <c r="J311" s="365"/>
    </row>
    <row r="312" spans="1:11" hidden="1" x14ac:dyDescent="0.25">
      <c r="A312" s="329">
        <f t="shared" ref="A312:A313" si="50">A311</f>
        <v>0</v>
      </c>
      <c r="B312" s="329"/>
      <c r="C312" s="1784" t="s">
        <v>42</v>
      </c>
      <c r="D312" s="1784"/>
      <c r="E312" s="433" t="str">
        <f>E$12</f>
        <v>ESTR. DE LINHA TAQUARAL</v>
      </c>
      <c r="F312" s="1379" t="s">
        <v>96</v>
      </c>
      <c r="G312" s="435"/>
      <c r="H312" s="65"/>
      <c r="I312" s="65"/>
      <c r="J312" s="65"/>
    </row>
    <row r="313" spans="1:11" s="188" customFormat="1" ht="15" hidden="1" x14ac:dyDescent="0.25">
      <c r="A313" s="329">
        <f t="shared" si="50"/>
        <v>0</v>
      </c>
      <c r="B313" s="198">
        <f>B308+1</f>
        <v>150</v>
      </c>
      <c r="C313" s="1784" t="s">
        <v>7228</v>
      </c>
      <c r="D313" s="1784"/>
      <c r="E313" s="528"/>
      <c r="F313" s="443">
        <f>SUM(E313:E313)</f>
        <v>0</v>
      </c>
      <c r="G313" s="435" t="s">
        <v>2599</v>
      </c>
      <c r="H313" s="198">
        <f>C310</f>
        <v>2003921</v>
      </c>
      <c r="I313" s="369">
        <f>MAX($I$13:I312)+1</f>
        <v>163</v>
      </c>
      <c r="J313" s="65" t="s">
        <v>2842</v>
      </c>
    </row>
    <row r="314" spans="1:11" s="188" customFormat="1" ht="13.5" thickBot="1" x14ac:dyDescent="0.3">
      <c r="A314" s="329">
        <f>A133</f>
        <v>1</v>
      </c>
      <c r="B314" s="198"/>
      <c r="C314" s="385"/>
      <c r="D314" s="385"/>
      <c r="E314" s="368"/>
      <c r="F314" s="368"/>
      <c r="G314" s="386"/>
      <c r="H314" s="198"/>
      <c r="I314" s="369"/>
      <c r="J314" s="65"/>
    </row>
    <row r="315" spans="1:11" s="188" customFormat="1" ht="13.5" thickBot="1" x14ac:dyDescent="0.3">
      <c r="A315" s="687">
        <f>IF(SUM(A318:A384)&gt;0,1,0)</f>
        <v>1</v>
      </c>
      <c r="B315" s="185"/>
      <c r="C315" s="691"/>
      <c r="D315" s="692" t="str">
        <f>oR!G179</f>
        <v>TERRAPLENAGEM</v>
      </c>
      <c r="E315" s="692"/>
      <c r="F315" s="692"/>
      <c r="G315" s="693"/>
      <c r="H315" s="694"/>
      <c r="I315" s="694"/>
      <c r="J315" s="695"/>
    </row>
    <row r="316" spans="1:11" x14ac:dyDescent="0.25">
      <c r="A316" s="329">
        <f>A315</f>
        <v>1</v>
      </c>
      <c r="B316" s="329"/>
      <c r="C316" s="193"/>
      <c r="D316" s="194" t="s">
        <v>2785</v>
      </c>
      <c r="E316" s="329"/>
      <c r="F316" s="328"/>
      <c r="G316" s="393"/>
      <c r="H316" s="365"/>
      <c r="I316" s="365"/>
      <c r="J316" s="365"/>
    </row>
    <row r="317" spans="1:11" ht="13.5" thickBot="1" x14ac:dyDescent="0.3">
      <c r="A317" s="329">
        <f>A316</f>
        <v>1</v>
      </c>
      <c r="B317" s="329"/>
      <c r="C317" s="193"/>
      <c r="D317" s="194"/>
      <c r="E317" s="329"/>
      <c r="F317" s="328"/>
      <c r="G317" s="393"/>
      <c r="H317" s="365"/>
      <c r="I317" s="365"/>
      <c r="J317" s="365"/>
    </row>
    <row r="318" spans="1:11" s="191" customFormat="1" ht="15.75" thickBot="1" x14ac:dyDescent="0.3">
      <c r="A318" s="686">
        <f>IF(E325=0,0,1)</f>
        <v>1</v>
      </c>
      <c r="B318" s="189"/>
      <c r="C318" s="190">
        <f>oR!G180</f>
        <v>5501700</v>
      </c>
      <c r="D318" s="324" t="str">
        <f>oR!H180</f>
        <v>Desmatamento, destocamento, limpeza de área e estocagem do material de limpeza com árvores de diâmetro até 0,15 m</v>
      </c>
      <c r="F318" s="325"/>
      <c r="G318" s="392"/>
      <c r="H318" s="364"/>
      <c r="I318" s="364"/>
      <c r="J318" s="364"/>
    </row>
    <row r="319" spans="1:11" ht="24" customHeight="1" x14ac:dyDescent="0.25">
      <c r="A319" s="329">
        <f>A318</f>
        <v>1</v>
      </c>
      <c r="B319" s="329"/>
      <c r="C319" s="193"/>
      <c r="D319" s="1782" t="s">
        <v>2789</v>
      </c>
      <c r="E319" s="1783"/>
      <c r="F319" s="1783"/>
      <c r="G319" s="1783"/>
      <c r="H319" s="1783"/>
      <c r="I319" s="1783"/>
      <c r="J319" s="1783"/>
    </row>
    <row r="320" spans="1:11" x14ac:dyDescent="0.25">
      <c r="A320" s="329">
        <f>A319</f>
        <v>1</v>
      </c>
      <c r="B320" s="329"/>
      <c r="C320" s="1777" t="s">
        <v>42</v>
      </c>
      <c r="D320" s="1777"/>
      <c r="E320" s="327" t="str">
        <f>E$12</f>
        <v>ESTR. DE LINHA TAQUARAL</v>
      </c>
      <c r="F320" s="384" t="s">
        <v>96</v>
      </c>
      <c r="G320" s="376"/>
      <c r="H320" s="65"/>
      <c r="I320" s="65"/>
      <c r="J320" s="65"/>
      <c r="K320" s="527">
        <v>22582.69</v>
      </c>
    </row>
    <row r="321" spans="1:19" x14ac:dyDescent="0.25">
      <c r="A321" s="329">
        <f t="shared" ref="A321:A325" si="51">A320</f>
        <v>1</v>
      </c>
      <c r="B321" s="329"/>
      <c r="C321" s="1774" t="s">
        <v>2787</v>
      </c>
      <c r="D321" s="1774"/>
      <c r="E321" s="527">
        <f>K320*E322/K321</f>
        <v>1437.08</v>
      </c>
      <c r="F321" s="40">
        <f>SUM(E321:E321)</f>
        <v>1437.08</v>
      </c>
      <c r="G321" s="375" t="s">
        <v>2595</v>
      </c>
      <c r="H321" s="361"/>
      <c r="I321" s="357">
        <f>MAX($I$13:I320)+1</f>
        <v>164</v>
      </c>
      <c r="J321" s="361" t="s">
        <v>2842</v>
      </c>
      <c r="K321" s="527">
        <v>2200</v>
      </c>
      <c r="L321" s="197"/>
      <c r="Q321" s="196"/>
      <c r="R321" s="197"/>
      <c r="S321" s="197"/>
    </row>
    <row r="322" spans="1:19" x14ac:dyDescent="0.25">
      <c r="A322" s="329">
        <f t="shared" si="51"/>
        <v>1</v>
      </c>
      <c r="B322" s="329"/>
      <c r="C322" s="1773" t="s">
        <v>2788</v>
      </c>
      <c r="D322" s="381" t="str">
        <f>D17</f>
        <v>Extensão final</v>
      </c>
      <c r="E322" s="326">
        <f>E17</f>
        <v>140</v>
      </c>
      <c r="F322" s="40">
        <f>SUM(E322:E322)</f>
        <v>140</v>
      </c>
      <c r="G322" s="375" t="s">
        <v>2595</v>
      </c>
      <c r="H322" s="361"/>
      <c r="I322" s="357">
        <f>MAX($I$13:I321)+1</f>
        <v>165</v>
      </c>
      <c r="J322" s="361" t="str">
        <f>CONCATENATE("(",I322,")"," = ","(",I17,")")</f>
        <v>(165) = (5)</v>
      </c>
      <c r="K322" s="197"/>
      <c r="L322" s="197"/>
      <c r="Q322" s="196"/>
      <c r="R322" s="197"/>
      <c r="S322" s="197"/>
    </row>
    <row r="323" spans="1:19" x14ac:dyDescent="0.25">
      <c r="A323" s="329">
        <f t="shared" si="51"/>
        <v>1</v>
      </c>
      <c r="B323" s="329"/>
      <c r="C323" s="1773"/>
      <c r="D323" s="381" t="s">
        <v>2791</v>
      </c>
      <c r="E323" s="370">
        <v>7</v>
      </c>
      <c r="F323" s="326"/>
      <c r="G323" s="375"/>
      <c r="H323" s="361"/>
      <c r="I323" s="357">
        <f>MAX($I$13:I322)+1</f>
        <v>166</v>
      </c>
      <c r="J323" s="361" t="s">
        <v>2842</v>
      </c>
      <c r="K323" s="197"/>
      <c r="L323" s="197"/>
      <c r="Q323" s="196"/>
      <c r="R323" s="197"/>
      <c r="S323" s="197"/>
    </row>
    <row r="324" spans="1:19" x14ac:dyDescent="0.25">
      <c r="A324" s="329">
        <f t="shared" si="51"/>
        <v>1</v>
      </c>
      <c r="B324" s="329"/>
      <c r="C324" s="1773"/>
      <c r="D324" s="381" t="s">
        <v>2792</v>
      </c>
      <c r="E324" s="326">
        <f>E322*E323</f>
        <v>980</v>
      </c>
      <c r="F324" s="40">
        <f>SUM(E324:E324)</f>
        <v>980</v>
      </c>
      <c r="G324" s="375" t="s">
        <v>2595</v>
      </c>
      <c r="H324" s="361"/>
      <c r="I324" s="357">
        <f>MAX($I$13:I323)+1</f>
        <v>167</v>
      </c>
      <c r="J324" s="361" t="str">
        <f>CONCATENATE("(",I324,")"," = ","(",I322,")*(",I323,")")</f>
        <v>(167) = (165)*(166)</v>
      </c>
      <c r="K324" s="197"/>
      <c r="L324" s="197"/>
      <c r="Q324" s="196"/>
      <c r="R324" s="197"/>
      <c r="S324" s="197"/>
    </row>
    <row r="325" spans="1:19" s="188" customFormat="1" x14ac:dyDescent="0.25">
      <c r="A325" s="329">
        <f t="shared" si="51"/>
        <v>1</v>
      </c>
      <c r="B325" s="198">
        <f>oR!D180</f>
        <v>151</v>
      </c>
      <c r="C325" s="1778" t="s">
        <v>2790</v>
      </c>
      <c r="D325" s="1778"/>
      <c r="E325" s="362">
        <f>E321-E324</f>
        <v>457.08</v>
      </c>
      <c r="F325" s="199">
        <f>SUM(E325:E325)</f>
        <v>457.08</v>
      </c>
      <c r="G325" s="376" t="s">
        <v>2595</v>
      </c>
      <c r="H325" s="366">
        <f>C318</f>
        <v>5501700</v>
      </c>
      <c r="I325" s="369">
        <f>MAX($I$13:I324)+1</f>
        <v>168</v>
      </c>
      <c r="J325" s="65" t="str">
        <f>CONCATENATE("(",I325,")"," = ","(",I321,")-(",I324,")")</f>
        <v>(168) = (164)-(167)</v>
      </c>
      <c r="K325" s="201"/>
      <c r="L325" s="201"/>
      <c r="Q325" s="200"/>
      <c r="R325" s="201"/>
      <c r="S325" s="201"/>
    </row>
    <row r="326" spans="1:19" ht="13.5" thickBot="1" x14ac:dyDescent="0.3">
      <c r="A326" s="329">
        <f>A325</f>
        <v>1</v>
      </c>
      <c r="B326" s="329"/>
      <c r="C326" s="193"/>
      <c r="D326" s="194"/>
      <c r="E326" s="329"/>
      <c r="F326" s="457"/>
      <c r="G326" s="393"/>
      <c r="H326" s="365"/>
      <c r="I326" s="365"/>
      <c r="J326" s="365"/>
    </row>
    <row r="327" spans="1:19" s="191" customFormat="1" ht="17.25" hidden="1" customHeight="1" thickBot="1" x14ac:dyDescent="0.3">
      <c r="A327" s="686">
        <f>IF(E330=0,0,1)</f>
        <v>0</v>
      </c>
      <c r="B327" s="189"/>
      <c r="C327" s="190">
        <f>oR!G181</f>
        <v>5501701</v>
      </c>
      <c r="D327" s="324" t="str">
        <f>oR!H181</f>
        <v>Destocamento de árvores com diâmetro de 0,15 a 0,30 m</v>
      </c>
      <c r="F327" s="325"/>
      <c r="G327" s="392"/>
      <c r="H327" s="364"/>
      <c r="I327" s="364"/>
      <c r="J327" s="364"/>
    </row>
    <row r="328" spans="1:19" ht="15.75" hidden="1" thickBot="1" x14ac:dyDescent="0.3">
      <c r="A328" s="329">
        <f>A327</f>
        <v>0</v>
      </c>
      <c r="B328" s="329"/>
      <c r="C328" s="193"/>
      <c r="D328" s="1782" t="s">
        <v>6744</v>
      </c>
      <c r="E328" s="1783"/>
      <c r="F328" s="1783"/>
      <c r="G328" s="1783"/>
      <c r="H328" s="1783"/>
      <c r="I328" s="1783"/>
      <c r="J328" s="1783"/>
    </row>
    <row r="329" spans="1:19" ht="13.5" hidden="1" thickBot="1" x14ac:dyDescent="0.3">
      <c r="A329" s="329">
        <f>A328</f>
        <v>0</v>
      </c>
      <c r="B329" s="329"/>
      <c r="C329" s="1777" t="s">
        <v>42</v>
      </c>
      <c r="D329" s="1777"/>
      <c r="E329" s="327" t="str">
        <f>E$12</f>
        <v>ESTR. DE LINHA TAQUARAL</v>
      </c>
      <c r="F329" s="459" t="s">
        <v>96</v>
      </c>
      <c r="G329" s="376"/>
      <c r="H329" s="65"/>
      <c r="I329" s="65"/>
      <c r="J329" s="65"/>
    </row>
    <row r="330" spans="1:19" s="188" customFormat="1" ht="15.75" hidden="1" thickBot="1" x14ac:dyDescent="0.3">
      <c r="A330" s="329">
        <f t="shared" ref="A330:A331" si="52">A329</f>
        <v>0</v>
      </c>
      <c r="B330" s="461">
        <f>oR!D181</f>
        <v>152</v>
      </c>
      <c r="C330" s="1777" t="s">
        <v>3041</v>
      </c>
      <c r="D330" s="1777"/>
      <c r="E330" s="371">
        <v>0</v>
      </c>
      <c r="F330" s="443">
        <f>SUM(E330:E330)</f>
        <v>0</v>
      </c>
      <c r="G330" s="376" t="s">
        <v>2599</v>
      </c>
      <c r="H330" s="198">
        <f>C327</f>
        <v>5501701</v>
      </c>
      <c r="I330" s="369">
        <f>MAX($I$13:I329)+1</f>
        <v>169</v>
      </c>
      <c r="J330" s="65" t="s">
        <v>2843</v>
      </c>
    </row>
    <row r="331" spans="1:19" s="188" customFormat="1" ht="13.5" hidden="1" thickBot="1" x14ac:dyDescent="0.3">
      <c r="A331" s="329">
        <f t="shared" si="52"/>
        <v>0</v>
      </c>
      <c r="B331" s="198"/>
      <c r="C331" s="385"/>
      <c r="D331" s="385"/>
      <c r="E331" s="368"/>
      <c r="F331" s="368"/>
      <c r="G331" s="386"/>
      <c r="H331" s="198"/>
      <c r="I331" s="369"/>
      <c r="J331" s="65"/>
    </row>
    <row r="332" spans="1:19" s="191" customFormat="1" ht="15.75" thickBot="1" x14ac:dyDescent="0.3">
      <c r="A332" s="686">
        <f>IF(E346=0,0,1)</f>
        <v>1</v>
      </c>
      <c r="B332" s="189"/>
      <c r="C332" s="190">
        <f>oR!G182</f>
        <v>5502613</v>
      </c>
      <c r="D332" s="324" t="str">
        <f>oR!H182</f>
        <v>Escavação, carga e transporte de material de 2ª categoria - DMT de 400 a 600 m - caminho de serviço em revestimento primário - com escavadeira e caminhão basculante de 14 m³</v>
      </c>
      <c r="F332" s="325"/>
      <c r="G332" s="392"/>
      <c r="H332" s="364"/>
      <c r="I332" s="364"/>
      <c r="J332" s="364"/>
    </row>
    <row r="333" spans="1:19" s="191" customFormat="1" ht="15.75" thickBot="1" x14ac:dyDescent="0.3">
      <c r="A333" s="686">
        <f>IF(E348=0,0,1)</f>
        <v>1</v>
      </c>
      <c r="B333" s="189"/>
      <c r="C333" s="190">
        <f>oR!G183</f>
        <v>5502770</v>
      </c>
      <c r="D333" s="324" t="str">
        <f>oR!H183</f>
        <v>Escavação, carga e transporte de material de 3ª categoria - DMT de 400 a 600 m - caminho de serviço em revestimento primário - com caminhão basculante de 12 m³</v>
      </c>
      <c r="F333" s="325"/>
      <c r="G333" s="392"/>
      <c r="H333" s="364"/>
      <c r="I333" s="364"/>
      <c r="J333" s="364"/>
    </row>
    <row r="334" spans="1:19" s="191" customFormat="1" ht="15.75" hidden="1" thickBot="1" x14ac:dyDescent="0.3">
      <c r="A334" s="686">
        <f>IF(E354=0,0,1)</f>
        <v>0</v>
      </c>
      <c r="B334" s="189"/>
      <c r="C334" s="190">
        <f>oR!G184</f>
        <v>5502620</v>
      </c>
      <c r="D334" s="324" t="str">
        <f>oR!H184</f>
        <v>Escavação, carga e transporte de material de 2ª categoria - DMT de 1.800 a 2.000 m - caminho de serviço em revestimento primário - com escavadeira e caminhão basculante de 14 m³</v>
      </c>
      <c r="F334" s="325"/>
      <c r="G334" s="392"/>
      <c r="H334" s="364"/>
      <c r="I334" s="364"/>
      <c r="J334" s="364"/>
    </row>
    <row r="335" spans="1:19" s="191" customFormat="1" ht="15.75" thickBot="1" x14ac:dyDescent="0.3">
      <c r="A335" s="686">
        <f>IF(E359=0,0,1)</f>
        <v>1</v>
      </c>
      <c r="B335" s="189"/>
      <c r="C335" s="190">
        <f>oR!G185</f>
        <v>4413942</v>
      </c>
      <c r="D335" s="324" t="str">
        <f>oR!H185</f>
        <v>Espalhamento de material em bota-fora</v>
      </c>
      <c r="F335" s="325"/>
      <c r="G335" s="392"/>
      <c r="H335" s="364"/>
      <c r="I335" s="364"/>
      <c r="J335" s="364"/>
    </row>
    <row r="336" spans="1:19" s="191" customFormat="1" ht="15.75" thickBot="1" x14ac:dyDescent="0.3">
      <c r="A336" s="686">
        <f>IF(E360=0,0,1)</f>
        <v>1</v>
      </c>
      <c r="B336" s="189"/>
      <c r="C336" s="190">
        <f>oR!G186</f>
        <v>5502620</v>
      </c>
      <c r="D336" s="324" t="str">
        <f>oR!H186</f>
        <v>Escavação, carga e transporte de material de 2ª categoria - DMT de 1.800 a 2.000 m - caminho de serviço em revestimento primário - com escavadeira e caminhão basculante de 14 m³</v>
      </c>
      <c r="F336" s="325"/>
      <c r="G336" s="392"/>
      <c r="H336" s="364"/>
      <c r="I336" s="364"/>
      <c r="J336" s="364"/>
    </row>
    <row r="337" spans="1:19" s="191" customFormat="1" ht="15.75" thickBot="1" x14ac:dyDescent="0.3">
      <c r="A337" s="686">
        <f>IF(E344=0,0,1)</f>
        <v>1</v>
      </c>
      <c r="B337" s="189"/>
      <c r="C337" s="190">
        <f>oR!G187</f>
        <v>5502978</v>
      </c>
      <c r="D337" s="324" t="str">
        <f>oR!H187</f>
        <v>Compactação de aterros a 100% do Proctor normal</v>
      </c>
      <c r="F337" s="325"/>
      <c r="G337" s="392"/>
      <c r="H337" s="364"/>
      <c r="I337" s="364"/>
      <c r="J337" s="364"/>
    </row>
    <row r="338" spans="1:19" ht="24" customHeight="1" x14ac:dyDescent="0.25">
      <c r="A338" s="329">
        <f>IF(SUM(A336:A337)&gt;0,1,0)</f>
        <v>1</v>
      </c>
      <c r="B338" s="329"/>
      <c r="C338" s="193"/>
      <c r="D338" s="1782" t="s">
        <v>6450</v>
      </c>
      <c r="E338" s="1783"/>
      <c r="F338" s="1783"/>
      <c r="G338" s="1783"/>
      <c r="H338" s="1783"/>
      <c r="I338" s="1783"/>
      <c r="J338" s="1783"/>
    </row>
    <row r="339" spans="1:19" ht="24" customHeight="1" x14ac:dyDescent="0.25">
      <c r="A339" s="329">
        <f>A338</f>
        <v>1</v>
      </c>
      <c r="B339" s="329"/>
      <c r="C339" s="193"/>
      <c r="D339" s="1782" t="s">
        <v>2804</v>
      </c>
      <c r="E339" s="1783"/>
      <c r="F339" s="1783"/>
      <c r="G339" s="1783"/>
      <c r="H339" s="1783"/>
      <c r="I339" s="1783"/>
      <c r="J339" s="1783"/>
    </row>
    <row r="340" spans="1:19" x14ac:dyDescent="0.25">
      <c r="A340" s="329">
        <f t="shared" ref="A340:A341" si="53">A339</f>
        <v>1</v>
      </c>
      <c r="B340" s="329"/>
      <c r="C340" s="193"/>
      <c r="D340" s="194" t="s">
        <v>2802</v>
      </c>
      <c r="E340" s="329"/>
      <c r="F340" s="328"/>
      <c r="G340" s="393"/>
      <c r="H340" s="365"/>
      <c r="I340" s="365"/>
      <c r="J340" s="365"/>
    </row>
    <row r="341" spans="1:19" x14ac:dyDescent="0.25">
      <c r="A341" s="329">
        <f t="shared" si="53"/>
        <v>1</v>
      </c>
      <c r="B341" s="329"/>
      <c r="C341" s="1777" t="s">
        <v>42</v>
      </c>
      <c r="D341" s="1777"/>
      <c r="E341" s="327" t="str">
        <f>E$12</f>
        <v>ESTR. DE LINHA TAQUARAL</v>
      </c>
      <c r="F341" s="384" t="s">
        <v>96</v>
      </c>
      <c r="G341" s="376"/>
      <c r="H341" s="65"/>
      <c r="I341" s="65"/>
      <c r="J341" s="65"/>
      <c r="K341" s="327" t="s">
        <v>7231</v>
      </c>
      <c r="L341" s="327" t="s">
        <v>6449</v>
      </c>
      <c r="M341" s="327" t="s">
        <v>6451</v>
      </c>
    </row>
    <row r="342" spans="1:19" ht="38.25" hidden="1" x14ac:dyDescent="0.25">
      <c r="A342" s="329">
        <f>IF(E342=0,0,1)</f>
        <v>0</v>
      </c>
      <c r="B342" s="329"/>
      <c r="C342" s="846" t="s">
        <v>4605</v>
      </c>
      <c r="D342" s="841" t="s">
        <v>2794</v>
      </c>
      <c r="E342" s="371">
        <v>0</v>
      </c>
      <c r="F342" s="40">
        <f>SUM(E342:E342)</f>
        <v>0</v>
      </c>
      <c r="G342" s="375" t="s">
        <v>2596</v>
      </c>
      <c r="H342" s="65"/>
      <c r="I342" s="357">
        <f>MAX($I$13:I340)+1</f>
        <v>170</v>
      </c>
      <c r="J342" s="442" t="s">
        <v>2842</v>
      </c>
    </row>
    <row r="343" spans="1:19" x14ac:dyDescent="0.25">
      <c r="A343" s="329">
        <f t="shared" ref="A343:A344" si="54">IF(E343=0,0,1)</f>
        <v>1</v>
      </c>
      <c r="B343" s="194"/>
      <c r="C343" s="1777" t="s">
        <v>2793</v>
      </c>
      <c r="D343" s="841" t="s">
        <v>2794</v>
      </c>
      <c r="E343" s="527">
        <f>SUM(K343:M343)</f>
        <v>98.51</v>
      </c>
      <c r="F343" s="439">
        <f>SUM(E343:E343)</f>
        <v>98.51</v>
      </c>
      <c r="G343" s="430" t="s">
        <v>2596</v>
      </c>
      <c r="H343" s="366"/>
      <c r="I343" s="357">
        <f>MAX($I$13:I342)+1</f>
        <v>171</v>
      </c>
      <c r="J343" s="442" t="s">
        <v>2842</v>
      </c>
      <c r="K343" s="527">
        <v>89.55</v>
      </c>
      <c r="L343" s="527"/>
      <c r="M343" s="527">
        <f>SUM(K343:L343)*0.1</f>
        <v>8.9600000000000009</v>
      </c>
      <c r="N343" s="197"/>
      <c r="Q343" s="196"/>
      <c r="R343" s="197"/>
      <c r="S343" s="197"/>
    </row>
    <row r="344" spans="1:19" s="188" customFormat="1" x14ac:dyDescent="0.25">
      <c r="A344" s="329">
        <f t="shared" si="54"/>
        <v>1</v>
      </c>
      <c r="B344" s="198">
        <f>oR!D187</f>
        <v>153</v>
      </c>
      <c r="C344" s="1777"/>
      <c r="D344" s="383" t="s">
        <v>2795</v>
      </c>
      <c r="E344" s="528">
        <f>SUM(K344:M344)</f>
        <v>429.24</v>
      </c>
      <c r="F344" s="438">
        <f>SUM(E344:E344)</f>
        <v>429.24</v>
      </c>
      <c r="G344" s="435" t="s">
        <v>2596</v>
      </c>
      <c r="H344" s="366">
        <f>C337</f>
        <v>5502978</v>
      </c>
      <c r="I344" s="369">
        <f>MAX($I$13:I343)+1</f>
        <v>172</v>
      </c>
      <c r="J344" s="366" t="s">
        <v>2842</v>
      </c>
      <c r="K344" s="528">
        <v>390.22</v>
      </c>
      <c r="L344" s="528"/>
      <c r="M344" s="527">
        <f>SUM(K344:L344)*0.1</f>
        <v>39.020000000000003</v>
      </c>
      <c r="N344" s="201"/>
    </row>
    <row r="345" spans="1:19" ht="15" x14ac:dyDescent="0.25">
      <c r="A345" s="329">
        <f>A332</f>
        <v>1</v>
      </c>
      <c r="B345" s="329"/>
      <c r="C345" s="1773" t="s">
        <v>2924</v>
      </c>
      <c r="D345" s="436" t="s">
        <v>2919</v>
      </c>
      <c r="E345" s="370">
        <v>85</v>
      </c>
      <c r="F345" s="440"/>
      <c r="G345" s="430" t="s">
        <v>15</v>
      </c>
      <c r="I345" s="357">
        <f>MAX($I$13:I344)+1</f>
        <v>173</v>
      </c>
      <c r="J345" s="361" t="s">
        <v>2843</v>
      </c>
      <c r="N345" s="197"/>
    </row>
    <row r="346" spans="1:19" x14ac:dyDescent="0.25">
      <c r="A346" s="329">
        <f>A345</f>
        <v>1</v>
      </c>
      <c r="B346" s="359"/>
      <c r="C346" s="1773"/>
      <c r="D346" s="530" t="s">
        <v>100</v>
      </c>
      <c r="E346" s="530">
        <f>E345*(E343+E342)/100</f>
        <v>83.73</v>
      </c>
      <c r="F346" s="439">
        <f>SUM(E346:E346)</f>
        <v>83.73</v>
      </c>
      <c r="G346" s="430" t="s">
        <v>2596</v>
      </c>
      <c r="H346" s="442">
        <f>C332</f>
        <v>5502613</v>
      </c>
      <c r="I346" s="357">
        <f>MAX($I$13:I345)+1</f>
        <v>174</v>
      </c>
      <c r="J346" s="361" t="str">
        <f>CONCATENATE("(",I346,")"," = ","(",I345,")*[(",I343,")+(",I342,")]")</f>
        <v>(174) = (173)*[(171)+(170)]</v>
      </c>
      <c r="N346" s="197"/>
    </row>
    <row r="347" spans="1:19" ht="15" x14ac:dyDescent="0.25">
      <c r="A347" s="329">
        <f>A333</f>
        <v>1</v>
      </c>
      <c r="B347" s="329"/>
      <c r="C347" s="1773" t="s">
        <v>2925</v>
      </c>
      <c r="D347" s="436" t="s">
        <v>2919</v>
      </c>
      <c r="E347" s="370">
        <f>100-E345</f>
        <v>15</v>
      </c>
      <c r="F347" s="440"/>
      <c r="G347" s="430" t="s">
        <v>15</v>
      </c>
      <c r="I347" s="357">
        <f>MAX($I$13:I346)+1</f>
        <v>175</v>
      </c>
      <c r="J347" s="361" t="str">
        <f>CONCATENATE("(",I347,")"," = ","100%-(",I345,")")</f>
        <v>(175) = 100%-(173)</v>
      </c>
    </row>
    <row r="348" spans="1:19" x14ac:dyDescent="0.25">
      <c r="A348" s="329">
        <f>A347</f>
        <v>1</v>
      </c>
      <c r="B348" s="185">
        <f>oR!D183</f>
        <v>155</v>
      </c>
      <c r="C348" s="1773"/>
      <c r="D348" s="437" t="s">
        <v>100</v>
      </c>
      <c r="E348" s="437">
        <f>E342+E343-E346</f>
        <v>14.78</v>
      </c>
      <c r="F348" s="438">
        <f>SUM(E348:E348)</f>
        <v>14.78</v>
      </c>
      <c r="G348" s="435" t="s">
        <v>2596</v>
      </c>
      <c r="H348" s="366">
        <f>C333</f>
        <v>5502770</v>
      </c>
      <c r="I348" s="369">
        <f>MAX($I$13:I347)+1</f>
        <v>176</v>
      </c>
      <c r="J348" s="65" t="str">
        <f>CONCATENATE("(",I348,")"," = ","(",I342,")+(",I343,")-(",I346,")")</f>
        <v>(176) = (170)+(171)-(174)</v>
      </c>
    </row>
    <row r="349" spans="1:19" x14ac:dyDescent="0.25">
      <c r="A349" s="329">
        <f>A337</f>
        <v>1</v>
      </c>
      <c r="C349" s="1773" t="s">
        <v>2796</v>
      </c>
      <c r="D349" s="1774" t="s">
        <v>2797</v>
      </c>
      <c r="E349" s="370">
        <v>30</v>
      </c>
      <c r="F349" s="40"/>
      <c r="G349" s="375" t="s">
        <v>15</v>
      </c>
      <c r="H349" s="361"/>
      <c r="I349" s="357">
        <f>MAX($I$13:I348)+1</f>
        <v>177</v>
      </c>
      <c r="J349" s="361" t="s">
        <v>2843</v>
      </c>
    </row>
    <row r="350" spans="1:19" x14ac:dyDescent="0.25">
      <c r="A350" s="329">
        <f>A349</f>
        <v>1</v>
      </c>
      <c r="C350" s="1773"/>
      <c r="D350" s="1774"/>
      <c r="E350" s="326">
        <f>E349*E344/100</f>
        <v>128.77000000000001</v>
      </c>
      <c r="F350" s="40">
        <f>SUM(E350:E350)</f>
        <v>128.77000000000001</v>
      </c>
      <c r="G350" s="375" t="s">
        <v>2596</v>
      </c>
      <c r="H350" s="361"/>
      <c r="I350" s="357">
        <f>MAX($I$13:I349)+1</f>
        <v>178</v>
      </c>
      <c r="J350" s="361" t="str">
        <f>CONCATENATE("(",I350,")"," = ","(",I344,")*(",I349,")")</f>
        <v>(178) = (172)*(177)</v>
      </c>
    </row>
    <row r="351" spans="1:19" x14ac:dyDescent="0.25">
      <c r="A351" s="329">
        <f t="shared" ref="A351" si="55">A350</f>
        <v>1</v>
      </c>
      <c r="C351" s="1773"/>
      <c r="D351" s="382" t="s">
        <v>96</v>
      </c>
      <c r="E351" s="326">
        <f>E350+E344</f>
        <v>558.01</v>
      </c>
      <c r="F351" s="40">
        <f>SUM(E351:E351)</f>
        <v>558.01</v>
      </c>
      <c r="G351" s="375" t="s">
        <v>2596</v>
      </c>
      <c r="H351" s="361"/>
      <c r="I351" s="357">
        <f>MAX($I$13:I350)+1</f>
        <v>179</v>
      </c>
      <c r="J351" s="361" t="str">
        <f>CONCATENATE("(",I351,")"," = ","(",I344,")+(",I350,")")</f>
        <v>(179) = (172)+(178)</v>
      </c>
    </row>
    <row r="352" spans="1:19" s="188" customFormat="1" x14ac:dyDescent="0.25">
      <c r="A352" s="185">
        <f>A351</f>
        <v>1</v>
      </c>
      <c r="B352" s="185">
        <f>oR!D182</f>
        <v>154</v>
      </c>
      <c r="C352" s="1790" t="s">
        <v>2801</v>
      </c>
      <c r="D352" s="1151" t="s">
        <v>100</v>
      </c>
      <c r="E352" s="199">
        <f>E351</f>
        <v>558.01</v>
      </c>
      <c r="F352" s="199">
        <f>SUM(E352:E352)</f>
        <v>558.01</v>
      </c>
      <c r="G352" s="376" t="s">
        <v>2596</v>
      </c>
      <c r="H352" s="65"/>
      <c r="I352" s="369">
        <f>MAX($I$13:I351)+1</f>
        <v>180</v>
      </c>
      <c r="J352" s="65" t="str">
        <f>CONCATENATE("(",I352,")"," = ","(",I351,")")</f>
        <v>(180) = (179)</v>
      </c>
    </row>
    <row r="353" spans="1:10" x14ac:dyDescent="0.25">
      <c r="A353" s="329">
        <f>A352</f>
        <v>1</v>
      </c>
      <c r="B353" s="396"/>
      <c r="C353" s="1800"/>
      <c r="D353" s="382" t="s">
        <v>2800</v>
      </c>
      <c r="E353" s="372">
        <f>(E15/1000)/4</f>
        <v>3.5000000000000003E-2</v>
      </c>
      <c r="F353" s="372"/>
      <c r="G353" s="375" t="s">
        <v>2799</v>
      </c>
      <c r="H353" s="361"/>
      <c r="I353" s="357">
        <f>MAX($I$13:I352)+1</f>
        <v>181</v>
      </c>
      <c r="J353" s="361" t="s">
        <v>2843</v>
      </c>
    </row>
    <row r="354" spans="1:10" s="188" customFormat="1" x14ac:dyDescent="0.25">
      <c r="A354" s="185">
        <f>A335</f>
        <v>1</v>
      </c>
      <c r="B354" s="185">
        <f>oR!D184</f>
        <v>156</v>
      </c>
      <c r="C354" s="1773" t="s">
        <v>2803</v>
      </c>
      <c r="D354" s="1102" t="s">
        <v>2809</v>
      </c>
      <c r="E354" s="199">
        <f>IF((E343-E352)&gt;0,E343-E352,0)</f>
        <v>0</v>
      </c>
      <c r="F354" s="199">
        <f>SUM(E354:E354)</f>
        <v>0</v>
      </c>
      <c r="G354" s="376" t="s">
        <v>2596</v>
      </c>
      <c r="H354" s="366">
        <f>C334</f>
        <v>5502620</v>
      </c>
      <c r="I354" s="369">
        <f>MAX($I$13:I353)+1</f>
        <v>182</v>
      </c>
      <c r="J354" s="65" t="str">
        <f>CONCATENATE("(",I354,")"," = ","(",I343,")-(",I352,")")</f>
        <v>(182) = (171)-(180)</v>
      </c>
    </row>
    <row r="355" spans="1:10" x14ac:dyDescent="0.25">
      <c r="A355" s="329">
        <f>A354</f>
        <v>1</v>
      </c>
      <c r="C355" s="1773"/>
      <c r="D355" s="382" t="s">
        <v>2798</v>
      </c>
      <c r="E355" s="373" t="s">
        <v>22</v>
      </c>
      <c r="F355" s="40"/>
      <c r="G355" s="375"/>
      <c r="H355" s="361"/>
      <c r="I355" s="357">
        <f>MAX($I$13:I354)+1</f>
        <v>183</v>
      </c>
      <c r="J355" s="361" t="s">
        <v>2843</v>
      </c>
    </row>
    <row r="356" spans="1:10" x14ac:dyDescent="0.25">
      <c r="A356" s="329">
        <f t="shared" ref="A356:A359" si="56">A355</f>
        <v>1</v>
      </c>
      <c r="B356" s="329"/>
      <c r="C356" s="1773" t="s">
        <v>2806</v>
      </c>
      <c r="D356" s="382" t="str">
        <f>C325</f>
        <v>Área de Limpeza do terreno</v>
      </c>
      <c r="E356" s="40">
        <f>E325</f>
        <v>457.08</v>
      </c>
      <c r="F356" s="331">
        <f>SUM(E356:E356)</f>
        <v>457.08</v>
      </c>
      <c r="G356" s="375" t="s">
        <v>2595</v>
      </c>
      <c r="H356" s="361"/>
      <c r="I356" s="357">
        <f>MAX($I$13:I355)+1</f>
        <v>184</v>
      </c>
      <c r="J356" s="361" t="str">
        <f>CONCATENATE("(",I356,")"," = ","(",I325,")")</f>
        <v>(184) = (168)</v>
      </c>
    </row>
    <row r="357" spans="1:10" x14ac:dyDescent="0.25">
      <c r="A357" s="329">
        <f t="shared" si="56"/>
        <v>1</v>
      </c>
      <c r="B357" s="329"/>
      <c r="C357" s="1773"/>
      <c r="D357" s="382" t="s">
        <v>2805</v>
      </c>
      <c r="E357" s="373">
        <v>0.2</v>
      </c>
      <c r="F357" s="382"/>
      <c r="G357" s="375" t="s">
        <v>2598</v>
      </c>
      <c r="H357" s="361"/>
      <c r="I357" s="357">
        <f>MAX($I$13:I356)+1</f>
        <v>185</v>
      </c>
      <c r="J357" s="361" t="s">
        <v>2843</v>
      </c>
    </row>
    <row r="358" spans="1:10" x14ac:dyDescent="0.25">
      <c r="A358" s="329">
        <f t="shared" si="56"/>
        <v>1</v>
      </c>
      <c r="B358" s="329"/>
      <c r="C358" s="1773"/>
      <c r="D358" s="382" t="s">
        <v>100</v>
      </c>
      <c r="E358" s="40">
        <f>E357*E356</f>
        <v>91.42</v>
      </c>
      <c r="F358" s="331">
        <f>SUM(E358:E358)</f>
        <v>91.42</v>
      </c>
      <c r="G358" s="375" t="s">
        <v>2596</v>
      </c>
      <c r="H358" s="361"/>
      <c r="I358" s="357">
        <f>MAX($I$13:I357)+1</f>
        <v>186</v>
      </c>
      <c r="J358" s="361" t="str">
        <f>CONCATENATE("(",I358,")"," = ","(",I356,")*(",I357,")")</f>
        <v>(186) = (184)*(185)</v>
      </c>
    </row>
    <row r="359" spans="1:10" s="188" customFormat="1" x14ac:dyDescent="0.25">
      <c r="A359" s="329">
        <f t="shared" si="56"/>
        <v>1</v>
      </c>
      <c r="B359" s="198">
        <f>oR!D185</f>
        <v>157</v>
      </c>
      <c r="C359" s="1103" t="s">
        <v>22</v>
      </c>
      <c r="D359" s="384" t="s">
        <v>2807</v>
      </c>
      <c r="E359" s="199">
        <f>E358+E354</f>
        <v>91.42</v>
      </c>
      <c r="F359" s="199">
        <f>SUM(E359:E359)</f>
        <v>91.42</v>
      </c>
      <c r="G359" s="376" t="s">
        <v>2596</v>
      </c>
      <c r="H359" s="366">
        <f>C335</f>
        <v>4413942</v>
      </c>
      <c r="I359" s="369">
        <f>MAX($I$13:I358)+1</f>
        <v>187</v>
      </c>
      <c r="J359" s="65" t="str">
        <f>CONCATENATE("(",I359,")"," = ","(",I354,")+(",I358,")")</f>
        <v>(187) = (182)+(186)</v>
      </c>
    </row>
    <row r="360" spans="1:10" s="188" customFormat="1" x14ac:dyDescent="0.25">
      <c r="A360" s="185">
        <f>A336</f>
        <v>1</v>
      </c>
      <c r="B360" s="198">
        <f>oR!D186</f>
        <v>158</v>
      </c>
      <c r="C360" s="1773" t="s">
        <v>2813</v>
      </c>
      <c r="D360" s="384" t="s">
        <v>2808</v>
      </c>
      <c r="E360" s="199">
        <f>IF((E343-E352)&lt;0,E352-E343,0)</f>
        <v>459.5</v>
      </c>
      <c r="F360" s="199">
        <f>SUM(E360:E360)</f>
        <v>459.5</v>
      </c>
      <c r="G360" s="376" t="s">
        <v>2596</v>
      </c>
      <c r="H360" s="366">
        <f>C336</f>
        <v>5502620</v>
      </c>
      <c r="I360" s="369">
        <f>MAX($I$13:I359)+1</f>
        <v>188</v>
      </c>
      <c r="J360" s="65" t="str">
        <f>CONCATENATE("(",I360,")"," = ","(",I343,")-(",I352,")")</f>
        <v>(188) = (171)-(180)</v>
      </c>
    </row>
    <row r="361" spans="1:10" x14ac:dyDescent="0.25">
      <c r="A361" s="329">
        <f>A360</f>
        <v>1</v>
      </c>
      <c r="B361" s="329"/>
      <c r="C361" s="1773"/>
      <c r="D361" s="382" t="s">
        <v>2810</v>
      </c>
      <c r="E361" s="373" t="s">
        <v>2597</v>
      </c>
      <c r="F361" s="40"/>
      <c r="G361" s="375"/>
      <c r="H361" s="361"/>
      <c r="I361" s="357">
        <f>MAX($I$13:I360)+1</f>
        <v>189</v>
      </c>
      <c r="J361" s="361" t="s">
        <v>2843</v>
      </c>
    </row>
    <row r="362" spans="1:10" s="188" customFormat="1" x14ac:dyDescent="0.25">
      <c r="A362" s="185">
        <f>A341</f>
        <v>1</v>
      </c>
      <c r="B362" s="198"/>
      <c r="C362" s="367"/>
      <c r="D362" s="65"/>
      <c r="E362" s="368"/>
      <c r="F362" s="368"/>
      <c r="G362" s="386"/>
      <c r="H362" s="366"/>
      <c r="I362" s="369"/>
      <c r="J362" s="65"/>
    </row>
    <row r="363" spans="1:10" s="191" customFormat="1" ht="15.75" hidden="1" thickBot="1" x14ac:dyDescent="0.3">
      <c r="A363" s="686">
        <f>IF(E366=0,0,1)</f>
        <v>0</v>
      </c>
      <c r="B363" s="189"/>
      <c r="C363" s="190" t="str">
        <f>oR!G188</f>
        <v>COMP 34</v>
      </c>
      <c r="D363" s="324" t="str">
        <f>oR!H188</f>
        <v>Barreira de siltagem</v>
      </c>
      <c r="F363" s="325"/>
      <c r="G363" s="392"/>
      <c r="H363" s="364"/>
      <c r="I363" s="364"/>
      <c r="J363" s="364"/>
    </row>
    <row r="364" spans="1:10" ht="15" hidden="1" x14ac:dyDescent="0.25">
      <c r="A364" s="329">
        <f>A363</f>
        <v>0</v>
      </c>
      <c r="B364" s="329"/>
      <c r="C364" s="193"/>
      <c r="D364" s="1782" t="s">
        <v>3042</v>
      </c>
      <c r="E364" s="1783"/>
      <c r="F364" s="1783"/>
      <c r="G364" s="1783"/>
      <c r="H364" s="1783"/>
      <c r="I364" s="1783"/>
      <c r="J364" s="1783"/>
    </row>
    <row r="365" spans="1:10" hidden="1" x14ac:dyDescent="0.25">
      <c r="A365" s="329">
        <f>A364</f>
        <v>0</v>
      </c>
      <c r="B365" s="329"/>
      <c r="C365" s="1777" t="s">
        <v>42</v>
      </c>
      <c r="D365" s="1777"/>
      <c r="E365" s="327" t="str">
        <f>E$12</f>
        <v>ESTR. DE LINHA TAQUARAL</v>
      </c>
      <c r="F365" s="459" t="s">
        <v>96</v>
      </c>
      <c r="G365" s="376"/>
      <c r="H365" s="65"/>
      <c r="I365" s="65"/>
      <c r="J365" s="65"/>
    </row>
    <row r="366" spans="1:10" s="188" customFormat="1" ht="15" hidden="1" x14ac:dyDescent="0.25">
      <c r="A366" s="329">
        <f t="shared" ref="A366:A367" si="57">A365</f>
        <v>0</v>
      </c>
      <c r="B366" s="461">
        <f>oR!D188</f>
        <v>159</v>
      </c>
      <c r="C366" s="1777" t="s">
        <v>3039</v>
      </c>
      <c r="D366" s="1777"/>
      <c r="E366" s="371">
        <v>0</v>
      </c>
      <c r="F366" s="443">
        <f>SUM(E366:E366)</f>
        <v>0</v>
      </c>
      <c r="G366" s="376" t="s">
        <v>2598</v>
      </c>
      <c r="H366" s="198" t="str">
        <f>C363</f>
        <v>COMP 34</v>
      </c>
      <c r="I366" s="369">
        <f>MAX($I$13:I365)+1</f>
        <v>190</v>
      </c>
      <c r="J366" s="65" t="s">
        <v>2842</v>
      </c>
    </row>
    <row r="367" spans="1:10" s="188" customFormat="1" hidden="1" x14ac:dyDescent="0.25">
      <c r="A367" s="329">
        <f t="shared" si="57"/>
        <v>0</v>
      </c>
      <c r="B367" s="198"/>
      <c r="C367" s="367"/>
      <c r="D367" s="65"/>
      <c r="E367" s="368"/>
      <c r="F367" s="368"/>
      <c r="G367" s="386"/>
      <c r="H367" s="366"/>
      <c r="I367" s="369"/>
      <c r="J367" s="65"/>
    </row>
    <row r="368" spans="1:10" s="191" customFormat="1" ht="15.75" hidden="1" thickBot="1" x14ac:dyDescent="0.3">
      <c r="A368" s="686">
        <f>IF(E384=0,0,1)</f>
        <v>0</v>
      </c>
      <c r="B368" s="189"/>
      <c r="C368" s="190">
        <f>oR!G189</f>
        <v>4413905</v>
      </c>
      <c r="D368" s="324" t="str">
        <f>oR!H189</f>
        <v>Hidrossemeadura</v>
      </c>
      <c r="F368" s="325"/>
      <c r="G368" s="392"/>
      <c r="H368" s="364"/>
      <c r="I368" s="364"/>
      <c r="J368" s="364"/>
    </row>
    <row r="369" spans="1:12" ht="11.25" hidden="1" customHeight="1" x14ac:dyDescent="0.25">
      <c r="A369" s="329">
        <f>A368</f>
        <v>0</v>
      </c>
      <c r="B369" s="329"/>
      <c r="C369" s="193"/>
      <c r="D369" s="1782" t="s">
        <v>4606</v>
      </c>
      <c r="E369" s="1783"/>
      <c r="F369" s="1783"/>
      <c r="G369" s="1783"/>
      <c r="H369" s="1783"/>
      <c r="I369" s="1783"/>
      <c r="J369" s="1783"/>
    </row>
    <row r="370" spans="1:12" ht="15" hidden="1" x14ac:dyDescent="0.25">
      <c r="A370" s="329">
        <f>A378</f>
        <v>0</v>
      </c>
      <c r="B370" s="329"/>
      <c r="C370" s="193"/>
      <c r="D370" s="1782" t="s">
        <v>3050</v>
      </c>
      <c r="E370" s="1783"/>
      <c r="F370" s="1783"/>
      <c r="G370" s="1783"/>
      <c r="H370" s="1783"/>
      <c r="I370" s="1783"/>
      <c r="J370" s="1783"/>
    </row>
    <row r="371" spans="1:12" ht="15" hidden="1" x14ac:dyDescent="0.25">
      <c r="A371" s="329">
        <f>A381</f>
        <v>0</v>
      </c>
      <c r="B371" s="329"/>
      <c r="C371" s="193"/>
      <c r="D371" s="1782" t="s">
        <v>3051</v>
      </c>
      <c r="E371" s="1783"/>
      <c r="F371" s="1783"/>
      <c r="G371" s="1783"/>
      <c r="H371" s="1783"/>
      <c r="I371" s="1783"/>
      <c r="J371" s="1783"/>
    </row>
    <row r="372" spans="1:12" hidden="1" x14ac:dyDescent="0.25">
      <c r="A372" s="329">
        <f>A368</f>
        <v>0</v>
      </c>
      <c r="B372" s="329"/>
      <c r="C372" s="1777" t="s">
        <v>42</v>
      </c>
      <c r="D372" s="1777"/>
      <c r="E372" s="327" t="str">
        <f>E$12</f>
        <v>ESTR. DE LINHA TAQUARAL</v>
      </c>
      <c r="F372" s="459" t="s">
        <v>96</v>
      </c>
      <c r="G372" s="376"/>
      <c r="H372" s="65"/>
      <c r="I372" s="65"/>
      <c r="J372" s="65"/>
    </row>
    <row r="373" spans="1:12" hidden="1" x14ac:dyDescent="0.25">
      <c r="A373" s="329">
        <f>A372</f>
        <v>0</v>
      </c>
      <c r="B373" s="329"/>
      <c r="C373" s="845"/>
      <c r="D373" s="458" t="s">
        <v>6241</v>
      </c>
      <c r="E373" s="445">
        <f>SUM(K373:L373)</f>
        <v>0</v>
      </c>
      <c r="F373" s="439">
        <f t="shared" ref="F373" si="58">SUM(E373:E373)</f>
        <v>0</v>
      </c>
      <c r="G373" s="430" t="s">
        <v>2595</v>
      </c>
      <c r="H373" s="361"/>
      <c r="I373" s="357">
        <f>MAX($I$13:I372)+1</f>
        <v>191</v>
      </c>
      <c r="J373" s="361" t="s">
        <v>2842</v>
      </c>
      <c r="K373" s="1435"/>
      <c r="L373" s="1435"/>
    </row>
    <row r="374" spans="1:12" hidden="1" x14ac:dyDescent="0.25">
      <c r="A374" s="329">
        <f>IF(E377=0,0,1)</f>
        <v>0</v>
      </c>
      <c r="B374" s="329"/>
      <c r="C374" s="1790" t="s">
        <v>3052</v>
      </c>
      <c r="D374" s="458" t="s">
        <v>3053</v>
      </c>
      <c r="E374" s="446">
        <v>1</v>
      </c>
      <c r="F374" s="439"/>
      <c r="G374" s="430" t="s">
        <v>2598</v>
      </c>
      <c r="H374" s="361"/>
      <c r="I374" s="357">
        <f>MAX($I$13:I373)+1</f>
        <v>192</v>
      </c>
      <c r="J374" s="361" t="s">
        <v>2843</v>
      </c>
    </row>
    <row r="375" spans="1:12" hidden="1" x14ac:dyDescent="0.25">
      <c r="A375" s="329">
        <f t="shared" ref="A375:A383" si="59">A374</f>
        <v>0</v>
      </c>
      <c r="B375" s="329"/>
      <c r="C375" s="1791"/>
      <c r="D375" s="458" t="s">
        <v>3054</v>
      </c>
      <c r="E375" s="446">
        <v>1.5</v>
      </c>
      <c r="F375" s="439"/>
      <c r="G375" s="430" t="s">
        <v>2598</v>
      </c>
      <c r="H375" s="361"/>
      <c r="I375" s="357">
        <f>MAX($I$13:I374)+1</f>
        <v>193</v>
      </c>
      <c r="J375" s="361" t="s">
        <v>2843</v>
      </c>
    </row>
    <row r="376" spans="1:12" hidden="1" x14ac:dyDescent="0.25">
      <c r="A376" s="329">
        <f t="shared" si="59"/>
        <v>0</v>
      </c>
      <c r="B376" s="329"/>
      <c r="C376" s="1791"/>
      <c r="D376" s="458" t="s">
        <v>3055</v>
      </c>
      <c r="E376" s="446">
        <f>((E374*E374)+(E375*E375))^0.5</f>
        <v>1.8</v>
      </c>
      <c r="F376" s="439"/>
      <c r="G376" s="430" t="s">
        <v>2598</v>
      </c>
      <c r="H376" s="361"/>
      <c r="I376" s="357">
        <f>MAX($I$13:I375)+1</f>
        <v>194</v>
      </c>
      <c r="J376" s="361" t="str">
        <f>CONCATENATE("(",I376,")"," = ","[(",I374,")^2+(",I375,")^2]^0,5)")</f>
        <v>(194) = [(192)^2+(193)^2]^0,5)</v>
      </c>
    </row>
    <row r="377" spans="1:12" hidden="1" x14ac:dyDescent="0.25">
      <c r="A377" s="329">
        <f t="shared" si="59"/>
        <v>0</v>
      </c>
      <c r="B377" s="329"/>
      <c r="C377" s="1792"/>
      <c r="D377" s="458" t="s">
        <v>3056</v>
      </c>
      <c r="E377" s="446">
        <f>E376*E373</f>
        <v>0</v>
      </c>
      <c r="F377" s="439">
        <f>SUM(E377:E377)</f>
        <v>0</v>
      </c>
      <c r="G377" s="430" t="s">
        <v>2595</v>
      </c>
      <c r="H377" s="361"/>
      <c r="I377" s="357">
        <f>MAX($I$13:I376)+1</f>
        <v>195</v>
      </c>
      <c r="J377" s="361" t="str">
        <f>CONCATENATE("(",I377,")"," = ","(",I375,")*(",I376,")")</f>
        <v>(195) = (193)*(194)</v>
      </c>
    </row>
    <row r="378" spans="1:12" hidden="1" x14ac:dyDescent="0.25">
      <c r="A378" s="329">
        <f>IF(E380=0,0,1)</f>
        <v>0</v>
      </c>
      <c r="B378" s="329"/>
      <c r="C378" s="1790" t="s">
        <v>2597</v>
      </c>
      <c r="D378" s="458" t="s">
        <v>100</v>
      </c>
      <c r="E378" s="446">
        <f>E360</f>
        <v>459.5</v>
      </c>
      <c r="F378" s="439">
        <f>SUM(E378:E378)</f>
        <v>459.5</v>
      </c>
      <c r="G378" s="430" t="s">
        <v>2596</v>
      </c>
      <c r="H378" s="361"/>
      <c r="I378" s="357">
        <f>MAX($I$13:I377)+1</f>
        <v>196</v>
      </c>
      <c r="J378" s="361" t="str">
        <f>CONCATENATE("(",I378,")"," = ","(",I360,")")</f>
        <v>(196) = (188)</v>
      </c>
    </row>
    <row r="379" spans="1:12" hidden="1" x14ac:dyDescent="0.25">
      <c r="A379" s="329">
        <f>A378</f>
        <v>0</v>
      </c>
      <c r="B379" s="329"/>
      <c r="C379" s="1791"/>
      <c r="D379" s="458" t="s">
        <v>2805</v>
      </c>
      <c r="E379" s="445">
        <v>0</v>
      </c>
      <c r="F379" s="439"/>
      <c r="G379" s="430" t="s">
        <v>2598</v>
      </c>
      <c r="H379" s="361"/>
      <c r="I379" s="357">
        <f>MAX($I$13:I378)+1</f>
        <v>197</v>
      </c>
      <c r="J379" s="361" t="s">
        <v>2843</v>
      </c>
    </row>
    <row r="380" spans="1:12" hidden="1" x14ac:dyDescent="0.25">
      <c r="A380" s="329">
        <f t="shared" si="59"/>
        <v>0</v>
      </c>
      <c r="B380" s="329"/>
      <c r="C380" s="1792"/>
      <c r="D380" s="458" t="s">
        <v>2600</v>
      </c>
      <c r="E380" s="446">
        <f>IF(E379=0,0,E378/E379)</f>
        <v>0</v>
      </c>
      <c r="F380" s="439">
        <f>SUM(E380:E380)</f>
        <v>0</v>
      </c>
      <c r="G380" s="430" t="s">
        <v>2595</v>
      </c>
      <c r="H380" s="361"/>
      <c r="I380" s="357">
        <f>MAX($I$13:I379)+1</f>
        <v>198</v>
      </c>
      <c r="J380" s="361" t="str">
        <f>CONCATENATE("(",I380,")"," = ","(",I378,")/(",I379,")")</f>
        <v>(198) = (196)/(197)</v>
      </c>
    </row>
    <row r="381" spans="1:12" hidden="1" x14ac:dyDescent="0.25">
      <c r="A381" s="329">
        <f>IF(E383=0,0,1)</f>
        <v>0</v>
      </c>
      <c r="B381" s="329"/>
      <c r="C381" s="1790" t="s">
        <v>22</v>
      </c>
      <c r="D381" s="458" t="s">
        <v>100</v>
      </c>
      <c r="E381" s="446">
        <f>E359</f>
        <v>91.42</v>
      </c>
      <c r="F381" s="439">
        <f>SUM(E381:E381)</f>
        <v>91.42</v>
      </c>
      <c r="G381" s="430" t="s">
        <v>2596</v>
      </c>
      <c r="H381" s="361"/>
      <c r="I381" s="357">
        <f>MAX($I$13:I380)+1</f>
        <v>199</v>
      </c>
      <c r="J381" s="361" t="str">
        <f>CONCATENATE("(",I381,")"," = ","(",I359,")")</f>
        <v>(199) = (187)</v>
      </c>
    </row>
    <row r="382" spans="1:12" hidden="1" x14ac:dyDescent="0.25">
      <c r="A382" s="329">
        <f t="shared" si="59"/>
        <v>0</v>
      </c>
      <c r="B382" s="329"/>
      <c r="C382" s="1791"/>
      <c r="D382" s="458" t="s">
        <v>2805</v>
      </c>
      <c r="E382" s="445">
        <v>0</v>
      </c>
      <c r="F382" s="439"/>
      <c r="G382" s="430" t="s">
        <v>2598</v>
      </c>
      <c r="H382" s="361"/>
      <c r="I382" s="357">
        <f>MAX($I$13:I381)+1</f>
        <v>200</v>
      </c>
      <c r="J382" s="361" t="s">
        <v>2843</v>
      </c>
    </row>
    <row r="383" spans="1:12" hidden="1" x14ac:dyDescent="0.25">
      <c r="A383" s="329">
        <f t="shared" si="59"/>
        <v>0</v>
      </c>
      <c r="B383" s="329"/>
      <c r="C383" s="1792"/>
      <c r="D383" s="458" t="s">
        <v>2600</v>
      </c>
      <c r="E383" s="446">
        <f>IF(E382=0,0,E381/E382)</f>
        <v>0</v>
      </c>
      <c r="F383" s="439">
        <f>SUM(E383:E383)</f>
        <v>0</v>
      </c>
      <c r="G383" s="430" t="s">
        <v>2595</v>
      </c>
      <c r="H383" s="361"/>
      <c r="I383" s="357">
        <f>MAX($I$13:I382)+1</f>
        <v>201</v>
      </c>
      <c r="J383" s="361" t="str">
        <f>CONCATENATE("(",I383,")"," = ","(",I380,")/(",I381,")")</f>
        <v>(201) = (198)/(199)</v>
      </c>
    </row>
    <row r="384" spans="1:12" s="188" customFormat="1" ht="15" hidden="1" x14ac:dyDescent="0.25">
      <c r="A384" s="185">
        <f>A368</f>
        <v>0</v>
      </c>
      <c r="B384" s="461">
        <f>oR!D189</f>
        <v>160</v>
      </c>
      <c r="C384" s="1777" t="s">
        <v>3043</v>
      </c>
      <c r="D384" s="1777"/>
      <c r="E384" s="362">
        <f>SUM(E383,E380,E377)</f>
        <v>0</v>
      </c>
      <c r="F384" s="443">
        <f>SUM(E384:E384)</f>
        <v>0</v>
      </c>
      <c r="G384" s="376" t="s">
        <v>2595</v>
      </c>
      <c r="H384" s="198">
        <f>C368</f>
        <v>4413905</v>
      </c>
      <c r="I384" s="369">
        <f>MAX($I$13:I383)+1</f>
        <v>202</v>
      </c>
      <c r="J384" s="65" t="str">
        <f>CONCATENATE("(",I384,")"," = ","(",I383,")+(",I381,")+(",I377,")")</f>
        <v>(202) = (201)+(199)+(195)</v>
      </c>
    </row>
    <row r="385" spans="1:12" s="188" customFormat="1" ht="13.5" thickBot="1" x14ac:dyDescent="0.3">
      <c r="A385" s="185">
        <f>A315</f>
        <v>1</v>
      </c>
      <c r="B385" s="198"/>
      <c r="C385" s="367"/>
      <c r="D385" s="65"/>
      <c r="E385" s="368"/>
      <c r="F385" s="368"/>
      <c r="G385" s="386"/>
      <c r="H385" s="366"/>
      <c r="I385" s="366"/>
      <c r="J385" s="366"/>
    </row>
    <row r="386" spans="1:12" s="188" customFormat="1" ht="13.5" thickBot="1" x14ac:dyDescent="0.3">
      <c r="A386" s="687">
        <f>IF(SUM(A389:A869)&gt;0,1,0)</f>
        <v>1</v>
      </c>
      <c r="B386" s="185"/>
      <c r="C386" s="691"/>
      <c r="D386" s="692" t="str">
        <f>oR!G191</f>
        <v>PAVIMENTAÇÃO ASFÁLTICA</v>
      </c>
      <c r="E386" s="692"/>
      <c r="F386" s="692"/>
      <c r="G386" s="693"/>
      <c r="H386" s="694"/>
      <c r="I386" s="694"/>
      <c r="J386" s="695"/>
    </row>
    <row r="387" spans="1:12" x14ac:dyDescent="0.25">
      <c r="A387" s="329">
        <f>A386</f>
        <v>1</v>
      </c>
      <c r="B387" s="329"/>
      <c r="C387" s="193"/>
      <c r="D387" s="194" t="s">
        <v>2814</v>
      </c>
      <c r="E387" s="329"/>
      <c r="F387" s="328"/>
      <c r="G387" s="393"/>
      <c r="H387" s="365"/>
      <c r="I387" s="365"/>
      <c r="J387" s="365"/>
    </row>
    <row r="388" spans="1:12" ht="13.5" thickBot="1" x14ac:dyDescent="0.3">
      <c r="A388" s="329">
        <f>A387</f>
        <v>1</v>
      </c>
      <c r="B388" s="329"/>
      <c r="C388" s="193"/>
      <c r="D388" s="194"/>
      <c r="E388" s="329"/>
      <c r="F388" s="328"/>
      <c r="G388" s="393"/>
      <c r="H388" s="365"/>
      <c r="I388" s="365"/>
      <c r="J388" s="365"/>
    </row>
    <row r="389" spans="1:12" s="188" customFormat="1" ht="13.5" hidden="1" thickBot="1" x14ac:dyDescent="0.3">
      <c r="A389" s="687">
        <f>IF(SUM(A392:A502)&gt;0,1,0)</f>
        <v>0</v>
      </c>
      <c r="B389" s="185"/>
      <c r="C389" s="186"/>
      <c r="D389" s="187" t="str">
        <f>oR!G192</f>
        <v>PAVIMENTO ESTRADA</v>
      </c>
      <c r="E389" s="187"/>
      <c r="F389" s="187"/>
      <c r="G389" s="391"/>
      <c r="H389" s="186"/>
      <c r="I389" s="186"/>
      <c r="J389" s="186"/>
    </row>
    <row r="390" spans="1:12" s="191" customFormat="1" ht="15.75" hidden="1" thickBot="1" x14ac:dyDescent="0.3">
      <c r="A390" s="686">
        <f>IF(E399=0,0,1)</f>
        <v>0</v>
      </c>
      <c r="B390" s="189"/>
      <c r="C390" s="190">
        <f>oR!G193</f>
        <v>4011209</v>
      </c>
      <c r="D390" s="324" t="str">
        <f>oR!H193</f>
        <v>Regularização do subleito</v>
      </c>
      <c r="F390" s="325"/>
      <c r="G390" s="392"/>
      <c r="H390" s="364"/>
      <c r="I390" s="364"/>
      <c r="J390" s="364"/>
    </row>
    <row r="391" spans="1:12" ht="13.5" hidden="1" thickBot="1" x14ac:dyDescent="0.3">
      <c r="A391" s="329">
        <f>A390</f>
        <v>0</v>
      </c>
      <c r="B391" s="329"/>
      <c r="C391" s="193"/>
      <c r="D391" s="194" t="s">
        <v>2926</v>
      </c>
      <c r="E391" s="329"/>
      <c r="F391" s="328"/>
      <c r="G391" s="393"/>
      <c r="H391" s="365"/>
      <c r="I391" s="365"/>
      <c r="J391" s="365"/>
    </row>
    <row r="392" spans="1:12" ht="13.5" hidden="1" thickBot="1" x14ac:dyDescent="0.3">
      <c r="A392" s="329">
        <f>A391</f>
        <v>0</v>
      </c>
      <c r="B392" s="329"/>
      <c r="C392" s="1777" t="s">
        <v>42</v>
      </c>
      <c r="D392" s="1777"/>
      <c r="E392" s="327" t="str">
        <f>E$12</f>
        <v>ESTR. DE LINHA TAQUARAL</v>
      </c>
      <c r="F392" s="384" t="s">
        <v>96</v>
      </c>
      <c r="G392" s="376"/>
      <c r="H392" s="65"/>
      <c r="I392" s="65"/>
      <c r="J392" s="65"/>
      <c r="K392" s="327" t="s">
        <v>6452</v>
      </c>
      <c r="L392" s="1118" t="s">
        <v>6453</v>
      </c>
    </row>
    <row r="393" spans="1:12" ht="13.5" hidden="1" thickBot="1" x14ac:dyDescent="0.3">
      <c r="A393" s="329">
        <f t="shared" ref="A393:A394" si="60">A390</f>
        <v>0</v>
      </c>
      <c r="B393" s="329"/>
      <c r="C393" s="1790" t="s">
        <v>3887</v>
      </c>
      <c r="D393" s="1378" t="s">
        <v>2778</v>
      </c>
      <c r="E393" s="373">
        <f>SUM(K393:L393)</f>
        <v>0</v>
      </c>
      <c r="F393" s="40">
        <f t="shared" ref="F393:F394" si="61">SUM(E393:E393)</f>
        <v>0</v>
      </c>
      <c r="G393" s="375" t="s">
        <v>2595</v>
      </c>
      <c r="I393" s="357">
        <f>MAX($I$13:I390)+1</f>
        <v>203</v>
      </c>
      <c r="J393" s="361" t="s">
        <v>2842</v>
      </c>
      <c r="K393" s="991"/>
      <c r="L393" s="991"/>
    </row>
    <row r="394" spans="1:12" ht="13.5" hidden="1" thickBot="1" x14ac:dyDescent="0.3">
      <c r="A394" s="329">
        <f t="shared" si="60"/>
        <v>0</v>
      </c>
      <c r="B394" s="329"/>
      <c r="C394" s="1791"/>
      <c r="D394" s="1378" t="s">
        <v>7239</v>
      </c>
      <c r="E394" s="373">
        <f>SUM(K394:L394)</f>
        <v>0</v>
      </c>
      <c r="F394" s="40">
        <f t="shared" si="61"/>
        <v>0</v>
      </c>
      <c r="G394" s="375" t="s">
        <v>2595</v>
      </c>
      <c r="I394" s="357">
        <f>MAX($I$13:I391)+1</f>
        <v>203</v>
      </c>
      <c r="J394" s="361" t="s">
        <v>2842</v>
      </c>
      <c r="K394" s="991"/>
      <c r="L394" s="991"/>
    </row>
    <row r="395" spans="1:12" ht="13.5" hidden="1" thickBot="1" x14ac:dyDescent="0.3">
      <c r="A395" s="329">
        <f>A392</f>
        <v>0</v>
      </c>
      <c r="C395" s="1800"/>
      <c r="D395" s="1378" t="s">
        <v>96</v>
      </c>
      <c r="E395" s="40">
        <f>SUM(E393:E394)</f>
        <v>0</v>
      </c>
      <c r="F395" s="40">
        <f>SUM(E395:E395)</f>
        <v>0</v>
      </c>
      <c r="G395" s="375" t="s">
        <v>2595</v>
      </c>
      <c r="I395" s="357">
        <f>MAX($I$13:I392)+1</f>
        <v>203</v>
      </c>
      <c r="J395" s="361" t="str">
        <f>CONCATENATE("(",I395,")"," = ","(",I394,")+(",I393,")")</f>
        <v>(203) = (203)+(203)</v>
      </c>
      <c r="K395" s="991"/>
      <c r="L395" s="991"/>
    </row>
    <row r="396" spans="1:12" ht="13.5" hidden="1" thickBot="1" x14ac:dyDescent="0.3">
      <c r="A396" s="329">
        <f t="shared" ref="A396:A400" si="62">A395</f>
        <v>0</v>
      </c>
      <c r="C396" s="1773" t="s">
        <v>2817</v>
      </c>
      <c r="D396" s="382" t="s">
        <v>2815</v>
      </c>
      <c r="E396" s="373"/>
      <c r="F396" s="40">
        <f>SUM(E396:E396)</f>
        <v>0</v>
      </c>
      <c r="G396" s="375" t="s">
        <v>2598</v>
      </c>
      <c r="I396" s="357">
        <f>MAX($I$13:I395)+1</f>
        <v>204</v>
      </c>
      <c r="J396" s="361" t="s">
        <v>2842</v>
      </c>
    </row>
    <row r="397" spans="1:12" ht="13.5" hidden="1" thickBot="1" x14ac:dyDescent="0.3">
      <c r="A397" s="329">
        <f t="shared" si="62"/>
        <v>0</v>
      </c>
      <c r="C397" s="1773"/>
      <c r="D397" s="382" t="s">
        <v>2816</v>
      </c>
      <c r="E397" s="40">
        <f>E410</f>
        <v>0.47</v>
      </c>
      <c r="F397" s="382"/>
      <c r="G397" s="375"/>
      <c r="I397" s="357">
        <f>MAX($I$13:I396)+1</f>
        <v>205</v>
      </c>
      <c r="J397" s="361" t="str">
        <f>CONCATENATE("(",I397,")"," = ","(",I429,")")</f>
        <v>(205) = (225)</v>
      </c>
    </row>
    <row r="398" spans="1:12" ht="13.5" hidden="1" thickBot="1" x14ac:dyDescent="0.3">
      <c r="A398" s="329">
        <f t="shared" si="62"/>
        <v>0</v>
      </c>
      <c r="C398" s="1773"/>
      <c r="D398" s="382" t="s">
        <v>2600</v>
      </c>
      <c r="E398" s="40">
        <f>E397*E396*2</f>
        <v>0</v>
      </c>
      <c r="F398" s="40">
        <f>SUM(E398:E398)</f>
        <v>0</v>
      </c>
      <c r="G398" s="375" t="s">
        <v>2595</v>
      </c>
      <c r="I398" s="357">
        <f>MAX($I$13:I397)+1</f>
        <v>206</v>
      </c>
      <c r="J398" s="361" t="str">
        <f>CONCATENATE("(",I398,")"," = ","(",I396,")*(",I397,")*2")</f>
        <v>(206) = (204)*(205)*2</v>
      </c>
    </row>
    <row r="399" spans="1:12" s="188" customFormat="1" ht="13.5" hidden="1" thickBot="1" x14ac:dyDescent="0.3">
      <c r="A399" s="329">
        <f>A398</f>
        <v>0</v>
      </c>
      <c r="B399" s="198">
        <f>oR!D193</f>
        <v>161</v>
      </c>
      <c r="C399" s="1778" t="s">
        <v>2818</v>
      </c>
      <c r="D399" s="1778"/>
      <c r="E399" s="363">
        <f>E398+E395</f>
        <v>0</v>
      </c>
      <c r="F399" s="199">
        <f>SUM(E399:E399)</f>
        <v>0</v>
      </c>
      <c r="G399" s="376" t="s">
        <v>2595</v>
      </c>
      <c r="H399" s="198">
        <f>C390</f>
        <v>4011209</v>
      </c>
      <c r="I399" s="369">
        <f>MAX($I$13:I398)+1</f>
        <v>207</v>
      </c>
      <c r="J399" s="65" t="str">
        <f>CONCATENATE("(",I399,")"," = ","(",I398,")+(",I395,")")</f>
        <v>(207) = (206)+(203)</v>
      </c>
    </row>
    <row r="400" spans="1:12" ht="13.5" hidden="1" thickBot="1" x14ac:dyDescent="0.3">
      <c r="A400" s="329">
        <f t="shared" si="62"/>
        <v>0</v>
      </c>
      <c r="D400" s="329"/>
      <c r="E400" s="329"/>
    </row>
    <row r="401" spans="1:10" s="191" customFormat="1" ht="15.75" hidden="1" thickBot="1" x14ac:dyDescent="0.3">
      <c r="A401" s="686">
        <f>IF(E415=0,0,1)</f>
        <v>0</v>
      </c>
      <c r="B401" s="189"/>
      <c r="C401" s="190">
        <f>oR!G194</f>
        <v>5502979</v>
      </c>
      <c r="D401" s="324" t="str">
        <f>oR!H194</f>
        <v>Construção de corpo de aterro com material de 3ª categoria oriundo de corte</v>
      </c>
      <c r="F401" s="325"/>
      <c r="G401" s="392"/>
      <c r="H401" s="364"/>
      <c r="I401" s="364"/>
      <c r="J401" s="364"/>
    </row>
    <row r="402" spans="1:10" s="191" customFormat="1" ht="15.75" hidden="1" thickBot="1" x14ac:dyDescent="0.3">
      <c r="A402" s="686">
        <f>IF(E418=0,0,1)</f>
        <v>0</v>
      </c>
      <c r="B402" s="189"/>
      <c r="C402" s="190">
        <f>oR!G195</f>
        <v>5914374</v>
      </c>
      <c r="D402" s="324" t="str">
        <f>oR!H195</f>
        <v>Transporte com caminhão basculante de 10 m³ - rodovia em revestimento primário</v>
      </c>
      <c r="F402" s="325"/>
      <c r="G402" s="392"/>
      <c r="H402" s="364"/>
      <c r="I402" s="364"/>
      <c r="J402" s="364"/>
    </row>
    <row r="403" spans="1:10" ht="15" hidden="1" customHeight="1" x14ac:dyDescent="0.3">
      <c r="A403" s="329">
        <f>A401</f>
        <v>0</v>
      </c>
      <c r="B403" s="329"/>
      <c r="C403" s="193"/>
      <c r="D403" s="1782" t="s">
        <v>2819</v>
      </c>
      <c r="E403" s="1783"/>
      <c r="F403" s="1783"/>
      <c r="G403" s="1783"/>
      <c r="H403" s="1783"/>
      <c r="I403" s="1783"/>
      <c r="J403" s="1783"/>
    </row>
    <row r="404" spans="1:10" ht="13.5" hidden="1" thickBot="1" x14ac:dyDescent="0.3">
      <c r="A404" s="329">
        <f>A403</f>
        <v>0</v>
      </c>
      <c r="B404" s="329"/>
      <c r="C404" s="193"/>
      <c r="D404" s="194" t="s">
        <v>2830</v>
      </c>
      <c r="E404" s="329"/>
      <c r="F404" s="844"/>
      <c r="G404" s="393"/>
      <c r="H404" s="365"/>
      <c r="I404" s="365"/>
      <c r="J404" s="365"/>
    </row>
    <row r="405" spans="1:10" ht="13.5" hidden="1" thickBot="1" x14ac:dyDescent="0.3">
      <c r="A405" s="329">
        <f>A404</f>
        <v>0</v>
      </c>
      <c r="B405" s="329"/>
      <c r="C405" s="1777" t="s">
        <v>42</v>
      </c>
      <c r="D405" s="1777"/>
      <c r="E405" s="327" t="str">
        <f>E$12</f>
        <v>ESTR. DE LINHA TAQUARAL</v>
      </c>
      <c r="F405" s="840" t="s">
        <v>96</v>
      </c>
      <c r="G405" s="376"/>
      <c r="H405" s="65"/>
      <c r="I405" s="65"/>
      <c r="J405" s="65"/>
    </row>
    <row r="406" spans="1:10" ht="13.5" hidden="1" thickBot="1" x14ac:dyDescent="0.3">
      <c r="A406" s="329">
        <f t="shared" ref="A406:A415" si="63">A405</f>
        <v>0</v>
      </c>
      <c r="B406" s="329"/>
      <c r="C406" s="1773" t="s">
        <v>2820</v>
      </c>
      <c r="D406" s="843" t="str">
        <f>C393</f>
        <v>Área de pavimento novo</v>
      </c>
      <c r="E406" s="40">
        <f>E395</f>
        <v>0</v>
      </c>
      <c r="F406" s="40">
        <f>SUM(E406:E406)</f>
        <v>0</v>
      </c>
      <c r="G406" s="375" t="s">
        <v>2595</v>
      </c>
      <c r="I406" s="357">
        <f>MAX($I$13:I405)+1</f>
        <v>208</v>
      </c>
      <c r="J406" s="361" t="str">
        <f>CONCATENATE("(",I406,")"," = ","(",I395,")")</f>
        <v>(208) = (203)</v>
      </c>
    </row>
    <row r="407" spans="1:10" ht="13.5" hidden="1" thickBot="1" x14ac:dyDescent="0.3">
      <c r="A407" s="329">
        <f>A406</f>
        <v>0</v>
      </c>
      <c r="B407" s="396">
        <f>B378+0.1</f>
        <v>0.1</v>
      </c>
      <c r="C407" s="1773"/>
      <c r="D407" s="843" t="str">
        <f>D426</f>
        <v>Espessura da camada</v>
      </c>
      <c r="E407" s="696">
        <v>0</v>
      </c>
      <c r="F407" s="40"/>
      <c r="G407" s="375" t="s">
        <v>2598</v>
      </c>
      <c r="I407" s="357">
        <f>MAX($I$13:I406)+1</f>
        <v>209</v>
      </c>
      <c r="J407" s="329" t="s">
        <v>2845</v>
      </c>
    </row>
    <row r="408" spans="1:10" ht="13.5" hidden="1" thickBot="1" x14ac:dyDescent="0.3">
      <c r="A408" s="329">
        <f t="shared" si="63"/>
        <v>0</v>
      </c>
      <c r="B408" s="329"/>
      <c r="C408" s="1773"/>
      <c r="D408" s="843" t="s">
        <v>100</v>
      </c>
      <c r="E408" s="331">
        <f>E407*E406</f>
        <v>0</v>
      </c>
      <c r="F408" s="40">
        <f>SUM(E408:E408)</f>
        <v>0</v>
      </c>
      <c r="G408" s="375" t="s">
        <v>2596</v>
      </c>
      <c r="I408" s="357">
        <f>MAX($I$13:I407)+1</f>
        <v>210</v>
      </c>
      <c r="J408" s="361" t="str">
        <f>CONCATENATE("(",I408,")"," = ","(",I406,")*(",I407,")")</f>
        <v>(210) = (208)*(209)</v>
      </c>
    </row>
    <row r="409" spans="1:10" ht="13.5" hidden="1" thickBot="1" x14ac:dyDescent="0.3">
      <c r="A409" s="329">
        <f t="shared" si="63"/>
        <v>0</v>
      </c>
      <c r="B409" s="329"/>
      <c r="C409" s="1773" t="s">
        <v>2822</v>
      </c>
      <c r="D409" s="843" t="str">
        <f>D428</f>
        <v>Extensão de pista</v>
      </c>
      <c r="E409" s="40">
        <f>E17</f>
        <v>140</v>
      </c>
      <c r="F409" s="40">
        <f>SUM(E409:E409)</f>
        <v>140</v>
      </c>
      <c r="G409" s="375" t="s">
        <v>2598</v>
      </c>
      <c r="I409" s="357">
        <f>MAX($I$13:I408)+1</f>
        <v>211</v>
      </c>
      <c r="J409" s="361" t="str">
        <f>CONCATENATE("(",I409,")"," = ","(",I17,")")</f>
        <v>(211) = (5)</v>
      </c>
    </row>
    <row r="410" spans="1:10" ht="13.5" hidden="1" thickBot="1" x14ac:dyDescent="0.3">
      <c r="A410" s="329">
        <f t="shared" si="63"/>
        <v>0</v>
      </c>
      <c r="B410" s="329"/>
      <c r="C410" s="1773"/>
      <c r="D410" s="843" t="s">
        <v>4608</v>
      </c>
      <c r="E410" s="40">
        <f>E411+E413</f>
        <v>0.47</v>
      </c>
      <c r="F410" s="843"/>
      <c r="G410" s="375" t="s">
        <v>2598</v>
      </c>
      <c r="I410" s="357">
        <f>MAX($I$13:I409)+1</f>
        <v>212</v>
      </c>
      <c r="J410" s="361" t="str">
        <f>CONCATENATE("(",I410,")"," = ","(",I411,")+(",I413,")")</f>
        <v>(212) = (213)+(215)</v>
      </c>
    </row>
    <row r="411" spans="1:10" ht="13.5" hidden="1" thickBot="1" x14ac:dyDescent="0.3">
      <c r="A411" s="329">
        <f t="shared" si="63"/>
        <v>0</v>
      </c>
      <c r="B411" s="329"/>
      <c r="C411" s="1773"/>
      <c r="D411" s="843" t="str">
        <f>D429</f>
        <v>Sobre largura sub-base</v>
      </c>
      <c r="E411" s="40">
        <f>E429</f>
        <v>0.47</v>
      </c>
      <c r="F411" s="843"/>
      <c r="G411" s="375" t="s">
        <v>2598</v>
      </c>
      <c r="I411" s="357">
        <f>MAX($I$13:I410)+1</f>
        <v>213</v>
      </c>
      <c r="J411" s="361" t="str">
        <f>CONCATENATE("(",I411,")"," = ","(",I429,")")</f>
        <v>(213) = (225)</v>
      </c>
    </row>
    <row r="412" spans="1:10" ht="13.5" hidden="1" thickBot="1" x14ac:dyDescent="0.3">
      <c r="A412" s="329">
        <f t="shared" si="63"/>
        <v>0</v>
      </c>
      <c r="B412" s="329"/>
      <c r="C412" s="1773"/>
      <c r="D412" s="843" t="s">
        <v>2824</v>
      </c>
      <c r="E412" s="40">
        <f>AVERAGE(E410:E411)</f>
        <v>0.47</v>
      </c>
      <c r="F412" s="843"/>
      <c r="G412" s="375" t="s">
        <v>2598</v>
      </c>
      <c r="I412" s="357">
        <f>MAX($I$13:I411)+1</f>
        <v>214</v>
      </c>
      <c r="J412" s="361" t="str">
        <f>CONCATENATE("(",I412,")"," = ","[(",I410,")+(",I411,")]/2")</f>
        <v>(214) = [(212)+(213)]/2</v>
      </c>
    </row>
    <row r="413" spans="1:10" ht="13.5" hidden="1" thickBot="1" x14ac:dyDescent="0.3">
      <c r="A413" s="329">
        <f t="shared" si="63"/>
        <v>0</v>
      </c>
      <c r="B413" s="329"/>
      <c r="C413" s="1773"/>
      <c r="D413" s="843" t="str">
        <f>D407</f>
        <v>Espessura da camada</v>
      </c>
      <c r="E413" s="40">
        <f>E407</f>
        <v>0</v>
      </c>
      <c r="F413" s="843"/>
      <c r="G413" s="375" t="s">
        <v>2598</v>
      </c>
      <c r="I413" s="357">
        <f>MAX($I$13:I412)+1</f>
        <v>215</v>
      </c>
      <c r="J413" s="361" t="str">
        <f>CONCATENATE("(",I413,")"," = ","(",I407,")")</f>
        <v>(215) = (209)</v>
      </c>
    </row>
    <row r="414" spans="1:10" ht="13.5" hidden="1" thickBot="1" x14ac:dyDescent="0.3">
      <c r="A414" s="329">
        <f t="shared" si="63"/>
        <v>0</v>
      </c>
      <c r="B414" s="329"/>
      <c r="C414" s="1773"/>
      <c r="D414" s="843" t="str">
        <f>D408</f>
        <v>Volume</v>
      </c>
      <c r="E414" s="40">
        <f>E413*E412*E409*2</f>
        <v>0</v>
      </c>
      <c r="F414" s="40">
        <f>SUM(E414:E414)</f>
        <v>0</v>
      </c>
      <c r="G414" s="375" t="s">
        <v>2596</v>
      </c>
      <c r="I414" s="357">
        <f>MAX($I$13:I413)+1</f>
        <v>216</v>
      </c>
      <c r="J414" s="361" t="str">
        <f>CONCATENATE("(",I414,")"," = ","(",I413,")*(",I412,")*(",I409,")*2")</f>
        <v>(216) = (215)*(214)*(211)*2</v>
      </c>
    </row>
    <row r="415" spans="1:10" s="188" customFormat="1" ht="13.5" hidden="1" thickBot="1" x14ac:dyDescent="0.3">
      <c r="A415" s="329">
        <f t="shared" si="63"/>
        <v>0</v>
      </c>
      <c r="B415" s="198">
        <f>oR!D194</f>
        <v>162</v>
      </c>
      <c r="C415" s="1778" t="s">
        <v>2825</v>
      </c>
      <c r="D415" s="1778"/>
      <c r="E415" s="363">
        <f>E414+E408</f>
        <v>0</v>
      </c>
      <c r="F415" s="199">
        <f>SUM(E415:E415)</f>
        <v>0</v>
      </c>
      <c r="G415" s="376" t="s">
        <v>2596</v>
      </c>
      <c r="H415" s="198">
        <f>C401</f>
        <v>5502979</v>
      </c>
      <c r="I415" s="369">
        <f>MAX($I$13:I414)+1</f>
        <v>217</v>
      </c>
      <c r="J415" s="65" t="str">
        <f>CONCATENATE("(",I415,")"," = ","(",I414,")+(",I408,")")</f>
        <v>(217) = (216)+(210)</v>
      </c>
    </row>
    <row r="416" spans="1:10" ht="13.5" hidden="1" thickBot="1" x14ac:dyDescent="0.3">
      <c r="A416" s="329">
        <f>A402</f>
        <v>0</v>
      </c>
      <c r="B416" s="329"/>
      <c r="C416" s="1773" t="s">
        <v>2826</v>
      </c>
      <c r="D416" s="843" t="s">
        <v>2827</v>
      </c>
      <c r="E416" s="40">
        <f>oR!J195</f>
        <v>0.04</v>
      </c>
      <c r="F416" s="843"/>
      <c r="G416" s="375" t="s">
        <v>2799</v>
      </c>
      <c r="H416" s="361"/>
      <c r="I416" s="357">
        <f>MAX($I$13:I415)+1</f>
        <v>218</v>
      </c>
      <c r="J416" s="361" t="s">
        <v>2843</v>
      </c>
    </row>
    <row r="417" spans="1:10" ht="13.5" hidden="1" thickBot="1" x14ac:dyDescent="0.3">
      <c r="A417" s="329">
        <f>A416</f>
        <v>0</v>
      </c>
      <c r="B417" s="329"/>
      <c r="C417" s="1773"/>
      <c r="D417" s="843" t="s">
        <v>2831</v>
      </c>
      <c r="E417" s="373">
        <v>0</v>
      </c>
      <c r="F417" s="843"/>
      <c r="G417" s="375" t="s">
        <v>2832</v>
      </c>
      <c r="H417" s="361"/>
      <c r="I417" s="357">
        <f>MAX($I$13:I416)+1</f>
        <v>219</v>
      </c>
      <c r="J417" s="361" t="s">
        <v>2843</v>
      </c>
    </row>
    <row r="418" spans="1:10" s="188" customFormat="1" ht="13.5" hidden="1" thickBot="1" x14ac:dyDescent="0.3">
      <c r="A418" s="185">
        <f>A417</f>
        <v>0</v>
      </c>
      <c r="B418" s="198">
        <f>oR!D195</f>
        <v>163</v>
      </c>
      <c r="C418" s="1773"/>
      <c r="D418" s="840" t="s">
        <v>2828</v>
      </c>
      <c r="E418" s="199">
        <f>E415*E416*E417*1.5</f>
        <v>0</v>
      </c>
      <c r="F418" s="199">
        <f>SUM(E418:E418)</f>
        <v>0</v>
      </c>
      <c r="G418" s="376" t="s">
        <v>2784</v>
      </c>
      <c r="H418" s="366">
        <f>C402</f>
        <v>5914374</v>
      </c>
      <c r="I418" s="369">
        <f>MAX($I$13:I417)+1</f>
        <v>220</v>
      </c>
      <c r="J418" s="65" t="str">
        <f>CONCATENATE("(",I418,")"," = ","(",I417,")*(",I416,")*(",I415,")*1,5")</f>
        <v>(220) = (219)*(218)*(217)*1,5</v>
      </c>
    </row>
    <row r="419" spans="1:10" ht="13.5" hidden="1" thickBot="1" x14ac:dyDescent="0.3">
      <c r="A419" s="329">
        <f>A403</f>
        <v>0</v>
      </c>
      <c r="B419" s="329"/>
      <c r="C419" s="329"/>
      <c r="D419" s="329"/>
      <c r="E419" s="329"/>
      <c r="F419" s="329"/>
    </row>
    <row r="420" spans="1:10" s="191" customFormat="1" ht="15.75" hidden="1" thickBot="1" x14ac:dyDescent="0.3">
      <c r="A420" s="686">
        <f>IF(E434=0,0,1)</f>
        <v>0</v>
      </c>
      <c r="B420" s="189"/>
      <c r="C420" s="190">
        <f>oR!G196</f>
        <v>4011279</v>
      </c>
      <c r="D420" s="324" t="str">
        <f>oR!H196</f>
        <v>Base ou sub-base de macadame seco com brita comercial</v>
      </c>
      <c r="F420" s="325"/>
      <c r="G420" s="392"/>
      <c r="H420" s="364"/>
      <c r="I420" s="364"/>
      <c r="J420" s="364"/>
    </row>
    <row r="421" spans="1:10" s="191" customFormat="1" ht="15.75" hidden="1" thickBot="1" x14ac:dyDescent="0.3">
      <c r="A421" s="686">
        <f>IF(E437=0,0,1)</f>
        <v>0</v>
      </c>
      <c r="B421" s="189"/>
      <c r="C421" s="190">
        <f>oR!G197</f>
        <v>5914389</v>
      </c>
      <c r="D421" s="324" t="str">
        <f>oR!H197</f>
        <v>Transporte com caminhão basculante de 10 m³ - rodovia pavimentada</v>
      </c>
      <c r="F421" s="325"/>
      <c r="G421" s="392"/>
      <c r="H421" s="364"/>
      <c r="I421" s="364"/>
      <c r="J421" s="364"/>
    </row>
    <row r="422" spans="1:10" ht="24" hidden="1" customHeight="1" x14ac:dyDescent="0.3">
      <c r="A422" s="329">
        <f>A420</f>
        <v>0</v>
      </c>
      <c r="B422" s="329"/>
      <c r="C422" s="193"/>
      <c r="D422" s="1782" t="s">
        <v>4607</v>
      </c>
      <c r="E422" s="1783"/>
      <c r="F422" s="1783"/>
      <c r="G422" s="1783"/>
      <c r="H422" s="1783"/>
      <c r="I422" s="1783"/>
      <c r="J422" s="1783"/>
    </row>
    <row r="423" spans="1:10" ht="13.5" hidden="1" thickBot="1" x14ac:dyDescent="0.3">
      <c r="A423" s="329">
        <f>A422</f>
        <v>0</v>
      </c>
      <c r="B423" s="329"/>
      <c r="C423" s="193"/>
      <c r="D423" s="194" t="s">
        <v>2830</v>
      </c>
      <c r="E423" s="329"/>
      <c r="F423" s="328"/>
      <c r="G423" s="393"/>
      <c r="H423" s="365"/>
      <c r="I423" s="365"/>
      <c r="J423" s="365"/>
    </row>
    <row r="424" spans="1:10" ht="13.5" hidden="1" thickBot="1" x14ac:dyDescent="0.3">
      <c r="A424" s="329">
        <f>A423</f>
        <v>0</v>
      </c>
      <c r="B424" s="329"/>
      <c r="C424" s="1777" t="s">
        <v>42</v>
      </c>
      <c r="D424" s="1777"/>
      <c r="E424" s="327" t="str">
        <f>E$12</f>
        <v>ESTR. DE LINHA TAQUARAL</v>
      </c>
      <c r="F424" s="384" t="s">
        <v>96</v>
      </c>
      <c r="G424" s="376"/>
      <c r="H424" s="65"/>
      <c r="I424" s="65"/>
      <c r="J424" s="65"/>
    </row>
    <row r="425" spans="1:10" ht="13.5" hidden="1" thickBot="1" x14ac:dyDescent="0.3">
      <c r="A425" s="329">
        <f t="shared" ref="A425:A434" si="64">A424</f>
        <v>0</v>
      </c>
      <c r="B425" s="329"/>
      <c r="C425" s="1773" t="s">
        <v>2820</v>
      </c>
      <c r="D425" s="382" t="str">
        <f>D406</f>
        <v>Área de pavimento novo</v>
      </c>
      <c r="E425" s="40">
        <f>E395</f>
        <v>0</v>
      </c>
      <c r="F425" s="40">
        <f>SUM(E425:E425)</f>
        <v>0</v>
      </c>
      <c r="G425" s="375" t="s">
        <v>2595</v>
      </c>
      <c r="I425" s="357">
        <f>MAX($I$13:I424)+1</f>
        <v>221</v>
      </c>
      <c r="J425" s="361" t="str">
        <f>CONCATENATE("(",I425,")"," = ","(",I395,")")</f>
        <v>(221) = (203)</v>
      </c>
    </row>
    <row r="426" spans="1:10" ht="13.5" hidden="1" thickBot="1" x14ac:dyDescent="0.3">
      <c r="A426" s="329">
        <f>A425</f>
        <v>0</v>
      </c>
      <c r="B426" s="396">
        <f>B399+0.1</f>
        <v>161.1</v>
      </c>
      <c r="C426" s="1773"/>
      <c r="D426" s="382" t="s">
        <v>2821</v>
      </c>
      <c r="E426" s="373">
        <v>0.2</v>
      </c>
      <c r="F426" s="40"/>
      <c r="G426" s="375" t="s">
        <v>2598</v>
      </c>
      <c r="I426" s="357">
        <f>MAX($I$13:I425)+1</f>
        <v>222</v>
      </c>
      <c r="J426" s="329" t="s">
        <v>2845</v>
      </c>
    </row>
    <row r="427" spans="1:10" ht="13.5" hidden="1" thickBot="1" x14ac:dyDescent="0.3">
      <c r="A427" s="329">
        <f t="shared" si="64"/>
        <v>0</v>
      </c>
      <c r="C427" s="1773"/>
      <c r="D427" s="382" t="s">
        <v>100</v>
      </c>
      <c r="E427" s="331">
        <f>E426*E425</f>
        <v>0</v>
      </c>
      <c r="F427" s="40">
        <f>SUM(E427:E427)</f>
        <v>0</v>
      </c>
      <c r="G427" s="375" t="s">
        <v>2596</v>
      </c>
      <c r="I427" s="357">
        <f>MAX($I$13:I426)+1</f>
        <v>223</v>
      </c>
      <c r="J427" s="361" t="str">
        <f>CONCATENATE("(",I427,")"," = ","(",I425,")*(",I426,")")</f>
        <v>(223) = (221)*(222)</v>
      </c>
    </row>
    <row r="428" spans="1:10" ht="13.5" hidden="1" thickBot="1" x14ac:dyDescent="0.3">
      <c r="A428" s="329">
        <f t="shared" si="64"/>
        <v>0</v>
      </c>
      <c r="C428" s="1773" t="s">
        <v>2822</v>
      </c>
      <c r="D428" s="382" t="str">
        <f>D396</f>
        <v>Extensão de pista</v>
      </c>
      <c r="E428" s="40">
        <f>E396</f>
        <v>0</v>
      </c>
      <c r="F428" s="40">
        <f>SUM(E428:E428)</f>
        <v>0</v>
      </c>
      <c r="G428" s="375" t="s">
        <v>2598</v>
      </c>
      <c r="I428" s="357">
        <f>MAX($I$13:I427)+1</f>
        <v>224</v>
      </c>
      <c r="J428" s="361" t="str">
        <f>CONCATENATE("(",I428,")"," = ","(",I17,")")</f>
        <v>(224) = (5)</v>
      </c>
    </row>
    <row r="429" spans="1:10" ht="13.5" hidden="1" thickBot="1" x14ac:dyDescent="0.3">
      <c r="A429" s="329">
        <f t="shared" si="64"/>
        <v>0</v>
      </c>
      <c r="C429" s="1773"/>
      <c r="D429" s="382" t="str">
        <f>D397</f>
        <v>Sobre largura sub-base</v>
      </c>
      <c r="E429" s="40">
        <f>E430+E432</f>
        <v>0.47</v>
      </c>
      <c r="F429" s="382"/>
      <c r="G429" s="375" t="s">
        <v>2598</v>
      </c>
      <c r="I429" s="357">
        <f>MAX($I$13:I428)+1</f>
        <v>225</v>
      </c>
      <c r="J429" s="361" t="str">
        <f>CONCATENATE("(",I429,")"," = ","(",I430,")+(",I432,")")</f>
        <v>(225) = (226)+(228)</v>
      </c>
    </row>
    <row r="430" spans="1:10" ht="13.5" hidden="1" thickBot="1" x14ac:dyDescent="0.3">
      <c r="A430" s="329">
        <f t="shared" si="64"/>
        <v>0</v>
      </c>
      <c r="C430" s="1773"/>
      <c r="D430" s="382" t="s">
        <v>2823</v>
      </c>
      <c r="E430" s="40">
        <f>E448</f>
        <v>0.27</v>
      </c>
      <c r="F430" s="382"/>
      <c r="G430" s="375" t="s">
        <v>2598</v>
      </c>
      <c r="I430" s="357">
        <f>MAX($I$13:I429)+1</f>
        <v>226</v>
      </c>
      <c r="J430" s="361" t="str">
        <f>CONCATENATE("(",I430,")"," = ","(",I448,")")</f>
        <v>(226) = (238)</v>
      </c>
    </row>
    <row r="431" spans="1:10" ht="13.5" hidden="1" thickBot="1" x14ac:dyDescent="0.3">
      <c r="A431" s="329">
        <f t="shared" si="64"/>
        <v>0</v>
      </c>
      <c r="C431" s="1773"/>
      <c r="D431" s="382" t="s">
        <v>2824</v>
      </c>
      <c r="E431" s="40">
        <f>AVERAGE(E429:E430)</f>
        <v>0.37</v>
      </c>
      <c r="F431" s="382"/>
      <c r="G431" s="375" t="s">
        <v>2598</v>
      </c>
      <c r="I431" s="357">
        <f>MAX($I$13:I430)+1</f>
        <v>227</v>
      </c>
      <c r="J431" s="361" t="str">
        <f>CONCATENATE("(",I431,")"," = ","[(",I429,")+(",I430,")]/2")</f>
        <v>(227) = [(225)+(226)]/2</v>
      </c>
    </row>
    <row r="432" spans="1:10" ht="13.5" hidden="1" thickBot="1" x14ac:dyDescent="0.3">
      <c r="A432" s="329">
        <f t="shared" si="64"/>
        <v>0</v>
      </c>
      <c r="C432" s="1773"/>
      <c r="D432" s="382" t="str">
        <f>D426</f>
        <v>Espessura da camada</v>
      </c>
      <c r="E432" s="40">
        <f>E426</f>
        <v>0.2</v>
      </c>
      <c r="F432" s="382"/>
      <c r="G432" s="375" t="s">
        <v>2598</v>
      </c>
      <c r="I432" s="357">
        <f>MAX($I$13:I431)+1</f>
        <v>228</v>
      </c>
      <c r="J432" s="361" t="str">
        <f>CONCATENATE("(",I432,")"," = ","(",I426,")")</f>
        <v>(228) = (222)</v>
      </c>
    </row>
    <row r="433" spans="1:10" ht="13.5" hidden="1" thickBot="1" x14ac:dyDescent="0.3">
      <c r="A433" s="329">
        <f t="shared" si="64"/>
        <v>0</v>
      </c>
      <c r="C433" s="1773"/>
      <c r="D433" s="382" t="str">
        <f>D427</f>
        <v>Volume</v>
      </c>
      <c r="E433" s="40">
        <f>E432*E431*E428*2</f>
        <v>0</v>
      </c>
      <c r="F433" s="40">
        <f>SUM(E433:E433)</f>
        <v>0</v>
      </c>
      <c r="G433" s="375" t="s">
        <v>2596</v>
      </c>
      <c r="I433" s="357">
        <f>MAX($I$13:I432)+1</f>
        <v>229</v>
      </c>
      <c r="J433" s="361" t="str">
        <f>CONCATENATE("(",I433,")"," = ","(",I432,")*(",I431,")*(",I428,")*2")</f>
        <v>(229) = (228)*(227)*(224)*2</v>
      </c>
    </row>
    <row r="434" spans="1:10" s="188" customFormat="1" ht="13.5" hidden="1" thickBot="1" x14ac:dyDescent="0.3">
      <c r="A434" s="329">
        <f t="shared" si="64"/>
        <v>0</v>
      </c>
      <c r="B434" s="198">
        <f>oR!D196</f>
        <v>164</v>
      </c>
      <c r="C434" s="1778" t="s">
        <v>2825</v>
      </c>
      <c r="D434" s="1778"/>
      <c r="E434" s="363">
        <f>E433+E427</f>
        <v>0</v>
      </c>
      <c r="F434" s="199">
        <f>SUM(E434:E434)</f>
        <v>0</v>
      </c>
      <c r="G434" s="376" t="s">
        <v>2596</v>
      </c>
      <c r="H434" s="198">
        <f>C420</f>
        <v>4011279</v>
      </c>
      <c r="I434" s="369">
        <f>MAX($I$13:I433)+1</f>
        <v>230</v>
      </c>
      <c r="J434" s="65" t="str">
        <f>CONCATENATE("(",I434,")"," = ","(",I433,")+(",I427,")")</f>
        <v>(230) = (229)+(223)</v>
      </c>
    </row>
    <row r="435" spans="1:10" ht="13.5" hidden="1" thickBot="1" x14ac:dyDescent="0.3">
      <c r="A435" s="329">
        <f>A421</f>
        <v>0</v>
      </c>
      <c r="C435" s="1773" t="s">
        <v>2826</v>
      </c>
      <c r="D435" s="382" t="s">
        <v>2827</v>
      </c>
      <c r="E435" s="40">
        <f>DMT!$H$10</f>
        <v>27.8</v>
      </c>
      <c r="F435" s="382"/>
      <c r="G435" s="375" t="s">
        <v>2799</v>
      </c>
      <c r="H435" s="361"/>
      <c r="I435" s="357">
        <f>MAX($I$13:I434)+1</f>
        <v>231</v>
      </c>
      <c r="J435" s="361" t="s">
        <v>2843</v>
      </c>
    </row>
    <row r="436" spans="1:10" ht="13.5" hidden="1" thickBot="1" x14ac:dyDescent="0.3">
      <c r="A436" s="329">
        <f>A435</f>
        <v>0</v>
      </c>
      <c r="B436" s="329"/>
      <c r="C436" s="1773"/>
      <c r="D436" s="382" t="s">
        <v>2831</v>
      </c>
      <c r="E436" s="373">
        <v>1.5</v>
      </c>
      <c r="F436" s="382"/>
      <c r="G436" s="375" t="s">
        <v>2832</v>
      </c>
      <c r="H436" s="361"/>
      <c r="I436" s="357">
        <f>MAX($I$13:I435)+1</f>
        <v>232</v>
      </c>
      <c r="J436" s="361" t="s">
        <v>2843</v>
      </c>
    </row>
    <row r="437" spans="1:10" s="188" customFormat="1" ht="13.5" hidden="1" thickBot="1" x14ac:dyDescent="0.3">
      <c r="A437" s="185">
        <f>A436</f>
        <v>0</v>
      </c>
      <c r="B437" s="198">
        <f>oR!D197</f>
        <v>165</v>
      </c>
      <c r="C437" s="1773"/>
      <c r="D437" s="384" t="s">
        <v>2828</v>
      </c>
      <c r="E437" s="199">
        <f>E434*E435*E436*1.5</f>
        <v>0</v>
      </c>
      <c r="F437" s="199">
        <f>SUM(E437:E437)</f>
        <v>0</v>
      </c>
      <c r="G437" s="376" t="s">
        <v>2784</v>
      </c>
      <c r="H437" s="366">
        <f>C421</f>
        <v>5914389</v>
      </c>
      <c r="I437" s="369">
        <f>MAX($I$13:I436)+1</f>
        <v>233</v>
      </c>
      <c r="J437" s="65" t="str">
        <f>CONCATENATE("(",I437,")"," = ","(",I436,")*(",I435,")*(",I434,")*1,5")</f>
        <v>(233) = (232)*(231)*(230)*1,5</v>
      </c>
    </row>
    <row r="438" spans="1:10" ht="13.5" hidden="1" thickBot="1" x14ac:dyDescent="0.3">
      <c r="A438" s="329">
        <f>A422</f>
        <v>0</v>
      </c>
      <c r="B438" s="329"/>
      <c r="C438" s="329"/>
      <c r="D438" s="329"/>
      <c r="E438" s="329"/>
      <c r="F438" s="329"/>
    </row>
    <row r="439" spans="1:10" s="191" customFormat="1" ht="15.75" hidden="1" thickBot="1" x14ac:dyDescent="0.3">
      <c r="A439" s="686">
        <f>IF(E453=0,0,1)</f>
        <v>0</v>
      </c>
      <c r="B439" s="189"/>
      <c r="C439" s="190">
        <f>oR!G198</f>
        <v>4011276</v>
      </c>
      <c r="D439" s="324" t="str">
        <f>oR!H198</f>
        <v>Base ou sub-base de brita graduada com brita comercial</v>
      </c>
      <c r="F439" s="325"/>
      <c r="G439" s="392"/>
      <c r="H439" s="364"/>
      <c r="I439" s="364"/>
      <c r="J439" s="364"/>
    </row>
    <row r="440" spans="1:10" s="191" customFormat="1" ht="15.75" hidden="1" thickBot="1" x14ac:dyDescent="0.3">
      <c r="A440" s="686">
        <f>IF(E456=0,0,1)</f>
        <v>0</v>
      </c>
      <c r="B440" s="189"/>
      <c r="C440" s="190">
        <f>oR!G199</f>
        <v>5914389</v>
      </c>
      <c r="D440" s="324" t="str">
        <f>oR!H199</f>
        <v>Transporte com caminhão basculante de 10 m³ - rodovia pavimentada</v>
      </c>
      <c r="F440" s="325"/>
      <c r="G440" s="392"/>
      <c r="H440" s="364"/>
      <c r="I440" s="364"/>
      <c r="J440" s="364"/>
    </row>
    <row r="441" spans="1:10" ht="15" hidden="1" customHeight="1" x14ac:dyDescent="0.3">
      <c r="A441" s="329">
        <f>A439</f>
        <v>0</v>
      </c>
      <c r="B441" s="329"/>
      <c r="C441" s="193"/>
      <c r="D441" s="1782" t="s">
        <v>4607</v>
      </c>
      <c r="E441" s="1783"/>
      <c r="F441" s="1783"/>
      <c r="G441" s="1783"/>
      <c r="H441" s="1783"/>
      <c r="I441" s="1783"/>
      <c r="J441" s="1783"/>
    </row>
    <row r="442" spans="1:10" ht="13.5" hidden="1" thickBot="1" x14ac:dyDescent="0.3">
      <c r="A442" s="329">
        <f>A441</f>
        <v>0</v>
      </c>
      <c r="B442" s="329"/>
      <c r="C442" s="193"/>
      <c r="D442" s="194" t="s">
        <v>2830</v>
      </c>
      <c r="E442" s="329"/>
      <c r="F442" s="328"/>
      <c r="G442" s="393"/>
      <c r="H442" s="365"/>
      <c r="I442" s="365"/>
      <c r="J442" s="365"/>
    </row>
    <row r="443" spans="1:10" ht="13.5" hidden="1" thickBot="1" x14ac:dyDescent="0.3">
      <c r="A443" s="329">
        <f>A442</f>
        <v>0</v>
      </c>
      <c r="B443" s="329"/>
      <c r="C443" s="1777" t="s">
        <v>42</v>
      </c>
      <c r="D443" s="1777"/>
      <c r="E443" s="327" t="str">
        <f>E$12</f>
        <v>ESTR. DE LINHA TAQUARAL</v>
      </c>
      <c r="F443" s="384" t="s">
        <v>96</v>
      </c>
      <c r="G443" s="376"/>
      <c r="H443" s="65"/>
      <c r="I443" s="65"/>
      <c r="J443" s="65"/>
    </row>
    <row r="444" spans="1:10" ht="13.5" hidden="1" thickBot="1" x14ac:dyDescent="0.3">
      <c r="A444" s="329">
        <f>A443</f>
        <v>0</v>
      </c>
      <c r="B444" s="329"/>
      <c r="C444" s="1773" t="s">
        <v>2820</v>
      </c>
      <c r="D444" s="382" t="str">
        <f>D425</f>
        <v>Área de pavimento novo</v>
      </c>
      <c r="E444" s="40">
        <f>E425</f>
        <v>0</v>
      </c>
      <c r="F444" s="40">
        <f>SUM(E444:E444)</f>
        <v>0</v>
      </c>
      <c r="G444" s="375" t="s">
        <v>2595</v>
      </c>
      <c r="I444" s="357">
        <f>MAX($I$13:I443)+1</f>
        <v>234</v>
      </c>
      <c r="J444" s="361" t="str">
        <f>CONCATENATE("(",I444,")"," = ","(",I395,")")</f>
        <v>(234) = (203)</v>
      </c>
    </row>
    <row r="445" spans="1:10" ht="13.5" hidden="1" thickBot="1" x14ac:dyDescent="0.3">
      <c r="A445" s="329">
        <f>A444</f>
        <v>0</v>
      </c>
      <c r="B445" s="396">
        <f>B437+0.1</f>
        <v>165.1</v>
      </c>
      <c r="C445" s="1773"/>
      <c r="D445" s="382" t="s">
        <v>2821</v>
      </c>
      <c r="E445" s="373">
        <v>0.15</v>
      </c>
      <c r="F445" s="40"/>
      <c r="G445" s="375" t="s">
        <v>2598</v>
      </c>
      <c r="I445" s="357">
        <f>MAX($I$13:I444)+1</f>
        <v>235</v>
      </c>
      <c r="J445" s="329" t="s">
        <v>2845</v>
      </c>
    </row>
    <row r="446" spans="1:10" ht="13.5" hidden="1" thickBot="1" x14ac:dyDescent="0.3">
      <c r="A446" s="329">
        <f>A445</f>
        <v>0</v>
      </c>
      <c r="B446" s="329"/>
      <c r="C446" s="1773"/>
      <c r="D446" s="382" t="s">
        <v>100</v>
      </c>
      <c r="E446" s="331">
        <f>E445*E444</f>
        <v>0</v>
      </c>
      <c r="F446" s="40">
        <f>SUM(E446:E446)</f>
        <v>0</v>
      </c>
      <c r="G446" s="375" t="s">
        <v>2596</v>
      </c>
      <c r="I446" s="357">
        <f>MAX($I$13:I445)+1</f>
        <v>236</v>
      </c>
      <c r="J446" s="361" t="str">
        <f>CONCATENATE("(",I446,")"," = ","(",I444,")*(",I445,")")</f>
        <v>(236) = (234)*(235)</v>
      </c>
    </row>
    <row r="447" spans="1:10" ht="13.5" hidden="1" thickBot="1" x14ac:dyDescent="0.3">
      <c r="A447" s="329">
        <f t="shared" ref="A447:A456" si="65">A446</f>
        <v>0</v>
      </c>
      <c r="B447" s="329"/>
      <c r="C447" s="1773" t="s">
        <v>2822</v>
      </c>
      <c r="D447" s="382" t="str">
        <f>D428</f>
        <v>Extensão de pista</v>
      </c>
      <c r="E447" s="40">
        <f>E428</f>
        <v>0</v>
      </c>
      <c r="F447" s="40">
        <f>SUM(E447:E447)</f>
        <v>0</v>
      </c>
      <c r="G447" s="375" t="s">
        <v>2598</v>
      </c>
      <c r="I447" s="357">
        <f>MAX($I$13:I446)+1</f>
        <v>237</v>
      </c>
      <c r="J447" s="361" t="str">
        <f>CONCATENATE("(",I447,")"," = ","(",I17,")")</f>
        <v>(237) = (5)</v>
      </c>
    </row>
    <row r="448" spans="1:10" ht="13.5" hidden="1" thickBot="1" x14ac:dyDescent="0.3">
      <c r="A448" s="329">
        <f t="shared" si="65"/>
        <v>0</v>
      </c>
      <c r="B448" s="329"/>
      <c r="C448" s="1773"/>
      <c r="D448" s="382" t="str">
        <f>D430</f>
        <v>Sobre largura base</v>
      </c>
      <c r="E448" s="40">
        <f>E449+E451</f>
        <v>0.27</v>
      </c>
      <c r="F448" s="382"/>
      <c r="G448" s="375" t="s">
        <v>2598</v>
      </c>
      <c r="I448" s="357">
        <f>MAX($I$13:I447)+1</f>
        <v>238</v>
      </c>
      <c r="J448" s="361" t="str">
        <f>CONCATENATE("(",I448,")"," = ","(",I449,")+(",I451,")")</f>
        <v>(238) = (239)+(241)</v>
      </c>
    </row>
    <row r="449" spans="1:10" ht="13.5" hidden="1" thickBot="1" x14ac:dyDescent="0.3">
      <c r="A449" s="329">
        <f t="shared" si="65"/>
        <v>0</v>
      </c>
      <c r="B449" s="329"/>
      <c r="C449" s="1773"/>
      <c r="D449" s="382" t="s">
        <v>2829</v>
      </c>
      <c r="E449" s="373">
        <f>E492</f>
        <v>0.12</v>
      </c>
      <c r="F449" s="382"/>
      <c r="G449" s="375" t="s">
        <v>2598</v>
      </c>
      <c r="I449" s="357">
        <f>MAX($I$13:I448)+1</f>
        <v>239</v>
      </c>
      <c r="J449" s="329" t="s">
        <v>2842</v>
      </c>
    </row>
    <row r="450" spans="1:10" ht="13.5" hidden="1" thickBot="1" x14ac:dyDescent="0.3">
      <c r="A450" s="329">
        <f t="shared" si="65"/>
        <v>0</v>
      </c>
      <c r="B450" s="329"/>
      <c r="C450" s="1773"/>
      <c r="D450" s="382" t="str">
        <f>D431</f>
        <v>Sobre largura média</v>
      </c>
      <c r="E450" s="40">
        <f>AVERAGE(E448:E449)</f>
        <v>0.2</v>
      </c>
      <c r="F450" s="382"/>
      <c r="G450" s="375" t="s">
        <v>2598</v>
      </c>
      <c r="I450" s="357">
        <f>MAX($I$13:I449)+1</f>
        <v>240</v>
      </c>
      <c r="J450" s="361" t="str">
        <f>CONCATENATE("(",I450,")"," = ","[(",I448,")+(",I449,")]/2")</f>
        <v>(240) = [(238)+(239)]/2</v>
      </c>
    </row>
    <row r="451" spans="1:10" ht="13.5" hidden="1" thickBot="1" x14ac:dyDescent="0.3">
      <c r="A451" s="329">
        <f t="shared" si="65"/>
        <v>0</v>
      </c>
      <c r="B451" s="329"/>
      <c r="C451" s="1773"/>
      <c r="D451" s="382" t="str">
        <f>D445</f>
        <v>Espessura da camada</v>
      </c>
      <c r="E451" s="40">
        <f>E445</f>
        <v>0.15</v>
      </c>
      <c r="F451" s="382"/>
      <c r="G451" s="375" t="s">
        <v>2598</v>
      </c>
      <c r="I451" s="357">
        <f>MAX($I$13:I450)+1</f>
        <v>241</v>
      </c>
      <c r="J451" s="361" t="str">
        <f>CONCATENATE("(",I451,")"," = ","(",I445,")")</f>
        <v>(241) = (235)</v>
      </c>
    </row>
    <row r="452" spans="1:10" ht="13.5" hidden="1" thickBot="1" x14ac:dyDescent="0.3">
      <c r="A452" s="329">
        <f t="shared" si="65"/>
        <v>0</v>
      </c>
      <c r="B452" s="329"/>
      <c r="C452" s="1773"/>
      <c r="D452" s="382" t="str">
        <f>D446</f>
        <v>Volume</v>
      </c>
      <c r="E452" s="40">
        <f>E451*E450*E447*2</f>
        <v>0</v>
      </c>
      <c r="F452" s="40">
        <f>SUM(E452:E452)</f>
        <v>0</v>
      </c>
      <c r="G452" s="375" t="s">
        <v>2596</v>
      </c>
      <c r="I452" s="357">
        <f>MAX($I$13:I451)+1</f>
        <v>242</v>
      </c>
      <c r="J452" s="361" t="str">
        <f>CONCATENATE("(",I452,")"," = ","(",I451,")*(",I450,")*(",I447,")*2")</f>
        <v>(242) = (241)*(240)*(237)*2</v>
      </c>
    </row>
    <row r="453" spans="1:10" s="188" customFormat="1" ht="13.5" hidden="1" thickBot="1" x14ac:dyDescent="0.3">
      <c r="A453" s="329">
        <f t="shared" si="65"/>
        <v>0</v>
      </c>
      <c r="B453" s="198">
        <f>oR!D198</f>
        <v>166</v>
      </c>
      <c r="C453" s="1778" t="s">
        <v>2825</v>
      </c>
      <c r="D453" s="1778"/>
      <c r="E453" s="363">
        <f>E452+E446</f>
        <v>0</v>
      </c>
      <c r="F453" s="199">
        <f>SUM(E453:E453)</f>
        <v>0</v>
      </c>
      <c r="G453" s="376" t="s">
        <v>2596</v>
      </c>
      <c r="H453" s="198">
        <f>C439</f>
        <v>4011276</v>
      </c>
      <c r="I453" s="369">
        <f>MAX($I$13:I452)+1</f>
        <v>243</v>
      </c>
      <c r="J453" s="65" t="str">
        <f>CONCATENATE("(",I453,")"," = ","(",I452,")+(",I446,")")</f>
        <v>(243) = (242)+(236)</v>
      </c>
    </row>
    <row r="454" spans="1:10" ht="13.5" hidden="1" thickBot="1" x14ac:dyDescent="0.3">
      <c r="A454" s="329">
        <f>A440</f>
        <v>0</v>
      </c>
      <c r="B454" s="329"/>
      <c r="C454" s="1773" t="s">
        <v>2826</v>
      </c>
      <c r="D454" s="382" t="s">
        <v>2827</v>
      </c>
      <c r="E454" s="40">
        <f>DMT!$H$10</f>
        <v>27.8</v>
      </c>
      <c r="F454" s="382"/>
      <c r="G454" s="375" t="s">
        <v>2799</v>
      </c>
      <c r="H454" s="361"/>
      <c r="I454" s="357">
        <f>MAX($I$13:I453)+1</f>
        <v>244</v>
      </c>
      <c r="J454" s="361" t="s">
        <v>2843</v>
      </c>
    </row>
    <row r="455" spans="1:10" ht="13.5" hidden="1" thickBot="1" x14ac:dyDescent="0.3">
      <c r="A455" s="329">
        <f t="shared" si="65"/>
        <v>0</v>
      </c>
      <c r="B455" s="329"/>
      <c r="C455" s="1773"/>
      <c r="D455" s="382" t="s">
        <v>2831</v>
      </c>
      <c r="E455" s="373">
        <v>1.5</v>
      </c>
      <c r="F455" s="382"/>
      <c r="G455" s="375" t="s">
        <v>2832</v>
      </c>
      <c r="H455" s="361"/>
      <c r="I455" s="357">
        <f>MAX($I$13:I454)+1</f>
        <v>245</v>
      </c>
      <c r="J455" s="361" t="s">
        <v>2843</v>
      </c>
    </row>
    <row r="456" spans="1:10" s="188" customFormat="1" ht="13.5" hidden="1" thickBot="1" x14ac:dyDescent="0.3">
      <c r="A456" s="329">
        <f t="shared" si="65"/>
        <v>0</v>
      </c>
      <c r="B456" s="198">
        <f>oR!D199</f>
        <v>167</v>
      </c>
      <c r="C456" s="1773"/>
      <c r="D456" s="384" t="s">
        <v>2828</v>
      </c>
      <c r="E456" s="199">
        <f>E453*E454*E455*1.5</f>
        <v>0</v>
      </c>
      <c r="F456" s="199">
        <f>SUM(E456:E456)</f>
        <v>0</v>
      </c>
      <c r="G456" s="376" t="s">
        <v>2784</v>
      </c>
      <c r="H456" s="366">
        <f>C440</f>
        <v>5914389</v>
      </c>
      <c r="I456" s="369">
        <f>MAX($I$13:I455)+1</f>
        <v>246</v>
      </c>
      <c r="J456" s="65" t="str">
        <f>CONCATENATE("(",I456,")"," = ","(",I455,")*(",I454,")*(",I453,")*1,5")</f>
        <v>(246) = (245)*(244)*(243)*1,5</v>
      </c>
    </row>
    <row r="457" spans="1:10" ht="13.5" hidden="1" thickBot="1" x14ac:dyDescent="0.3">
      <c r="A457" s="329">
        <f>A441</f>
        <v>0</v>
      </c>
      <c r="B457" s="329"/>
      <c r="C457" s="329"/>
      <c r="D457" s="329"/>
      <c r="E457" s="329"/>
      <c r="F457" s="329"/>
    </row>
    <row r="458" spans="1:10" s="191" customFormat="1" ht="15.75" hidden="1" thickBot="1" x14ac:dyDescent="0.3">
      <c r="A458" s="686">
        <f>IF(E463=0,0,1)</f>
        <v>0</v>
      </c>
      <c r="B458" s="189"/>
      <c r="C458" s="190">
        <f>oR!G200</f>
        <v>4011352</v>
      </c>
      <c r="D458" s="324" t="str">
        <f>oR!H200</f>
        <v>Imprimação com emulsão asfáltica</v>
      </c>
      <c r="F458" s="325"/>
      <c r="G458" s="392"/>
      <c r="H458" s="364"/>
      <c r="I458" s="364"/>
      <c r="J458" s="364"/>
    </row>
    <row r="459" spans="1:10" s="191" customFormat="1" ht="15.75" hidden="1" thickBot="1" x14ac:dyDescent="0.3">
      <c r="A459" s="686">
        <f>IF(E465=0,0,1)</f>
        <v>0</v>
      </c>
      <c r="B459" s="189"/>
      <c r="C459" s="190" t="str">
        <f>oR!G201</f>
        <v>EAI</v>
      </c>
      <c r="D459" s="324" t="str">
        <f>oR!H201</f>
        <v>Emulsão asfáltica para serviço de imprimação</v>
      </c>
      <c r="F459" s="325"/>
      <c r="G459" s="392"/>
      <c r="H459" s="364"/>
      <c r="I459" s="364"/>
      <c r="J459" s="364"/>
    </row>
    <row r="460" spans="1:10" s="191" customFormat="1" ht="15.75" hidden="1" thickBot="1" x14ac:dyDescent="0.3">
      <c r="A460" s="686">
        <f>IF(E466=0,0,1)</f>
        <v>0</v>
      </c>
      <c r="B460" s="189"/>
      <c r="C460" s="190" t="str">
        <f>oR!G202</f>
        <v>T-EAI</v>
      </c>
      <c r="D460" s="324" t="str">
        <f>oR!H202</f>
        <v>Transporte de Emulsão asfáltica para serviço de imprimação</v>
      </c>
      <c r="F460" s="325"/>
      <c r="G460" s="392"/>
      <c r="H460" s="364"/>
      <c r="I460" s="364"/>
      <c r="J460" s="364"/>
    </row>
    <row r="461" spans="1:10" ht="13.5" hidden="1" thickBot="1" x14ac:dyDescent="0.3">
      <c r="A461" s="329">
        <f>A457</f>
        <v>0</v>
      </c>
      <c r="B461" s="329"/>
      <c r="C461" s="193"/>
      <c r="D461" s="194" t="s">
        <v>3888</v>
      </c>
      <c r="E461" s="329"/>
      <c r="F461" s="328"/>
      <c r="G461" s="393"/>
      <c r="H461" s="365"/>
      <c r="I461" s="365"/>
      <c r="J461" s="365"/>
    </row>
    <row r="462" spans="1:10" ht="13.5" hidden="1" thickBot="1" x14ac:dyDescent="0.3">
      <c r="A462" s="329">
        <f t="shared" ref="A462" si="66">A458</f>
        <v>0</v>
      </c>
      <c r="B462" s="329"/>
      <c r="C462" s="1777" t="s">
        <v>42</v>
      </c>
      <c r="D462" s="1777"/>
      <c r="E462" s="327" t="str">
        <f>E$12</f>
        <v>ESTR. DE LINHA TAQUARAL</v>
      </c>
      <c r="F462" s="384" t="s">
        <v>96</v>
      </c>
      <c r="G462" s="376"/>
      <c r="H462" s="65"/>
      <c r="I462" s="65"/>
      <c r="J462" s="65"/>
    </row>
    <row r="463" spans="1:10" s="188" customFormat="1" ht="13.5" hidden="1" thickBot="1" x14ac:dyDescent="0.3">
      <c r="A463" s="329">
        <f>A462</f>
        <v>0</v>
      </c>
      <c r="B463" s="198">
        <f>B456+1</f>
        <v>168</v>
      </c>
      <c r="C463" s="728"/>
      <c r="D463" s="384" t="s">
        <v>2601</v>
      </c>
      <c r="E463" s="363">
        <f>E395</f>
        <v>0</v>
      </c>
      <c r="F463" s="199">
        <f>SUM(E463:E463)</f>
        <v>0</v>
      </c>
      <c r="G463" s="376" t="s">
        <v>2595</v>
      </c>
      <c r="H463" s="198">
        <f>C458</f>
        <v>4011352</v>
      </c>
      <c r="I463" s="369">
        <f>MAX($I$13:I462)+1</f>
        <v>247</v>
      </c>
      <c r="J463" s="65" t="str">
        <f>CONCATENATE("(",I463,")"," = ","(",I395,")")</f>
        <v>(247) = (203)</v>
      </c>
    </row>
    <row r="464" spans="1:10" ht="13.5" hidden="1" thickBot="1" x14ac:dyDescent="0.3">
      <c r="A464" s="329">
        <f>A459</f>
        <v>0</v>
      </c>
      <c r="B464" s="329"/>
      <c r="C464" s="1773" t="s">
        <v>3176</v>
      </c>
      <c r="D464" s="1097" t="s">
        <v>6485</v>
      </c>
      <c r="E464" s="696">
        <v>1.2</v>
      </c>
      <c r="F464" s="40"/>
      <c r="G464" s="375" t="s">
        <v>15</v>
      </c>
      <c r="I464" s="357">
        <f>MAX($I$13:I463)+1</f>
        <v>248</v>
      </c>
      <c r="J464" s="361" t="s">
        <v>2843</v>
      </c>
    </row>
    <row r="465" spans="1:13" s="188" customFormat="1" ht="13.5" hidden="1" thickBot="1" x14ac:dyDescent="0.3">
      <c r="A465" s="329">
        <f t="shared" ref="A465" si="67">A464</f>
        <v>0</v>
      </c>
      <c r="B465" s="198">
        <f>B463+1</f>
        <v>169</v>
      </c>
      <c r="C465" s="1773"/>
      <c r="D465" s="1102" t="s">
        <v>12</v>
      </c>
      <c r="E465" s="363">
        <f>E463*E464/1000</f>
        <v>0</v>
      </c>
      <c r="F465" s="199">
        <f>SUM(E465:E465)</f>
        <v>0</v>
      </c>
      <c r="G465" s="376" t="s">
        <v>2695</v>
      </c>
      <c r="H465" s="198" t="str">
        <f>C459</f>
        <v>EAI</v>
      </c>
      <c r="I465" s="369">
        <f>MAX($I$13:I464)+1</f>
        <v>249</v>
      </c>
      <c r="J465" s="65" t="str">
        <f>CONCATENATE("(",I465,")"," = ","(",I463,")*(",I464,")/1000")</f>
        <v>(249) = (247)*(248)/1000</v>
      </c>
    </row>
    <row r="466" spans="1:13" s="188" customFormat="1" ht="13.5" hidden="1" thickBot="1" x14ac:dyDescent="0.3">
      <c r="A466" s="329">
        <f>A460</f>
        <v>0</v>
      </c>
      <c r="B466" s="198">
        <f>B465+1</f>
        <v>170</v>
      </c>
      <c r="C466" s="1103"/>
      <c r="D466" s="1102" t="s">
        <v>6488</v>
      </c>
      <c r="E466" s="199">
        <f>E465</f>
        <v>0</v>
      </c>
      <c r="F466" s="199">
        <f>SUM(E466:E466)</f>
        <v>0</v>
      </c>
      <c r="G466" s="376" t="s">
        <v>2695</v>
      </c>
      <c r="H466" s="366" t="str">
        <f>C460</f>
        <v>T-EAI</v>
      </c>
      <c r="I466" s="369">
        <f>MAX($I$13:I465)+1</f>
        <v>250</v>
      </c>
      <c r="J466" s="65" t="str">
        <f>CONCATENATE("(",I466,")"," = ","(",I465,")")</f>
        <v>(250) = (249)</v>
      </c>
    </row>
    <row r="467" spans="1:13" ht="13.5" hidden="1" thickBot="1" x14ac:dyDescent="0.3">
      <c r="A467" s="329">
        <f>A458</f>
        <v>0</v>
      </c>
      <c r="B467" s="329"/>
      <c r="C467" s="329"/>
      <c r="D467" s="329"/>
      <c r="E467" s="329"/>
      <c r="F467" s="329"/>
    </row>
    <row r="468" spans="1:13" s="191" customFormat="1" ht="15.75" hidden="1" thickBot="1" x14ac:dyDescent="0.3">
      <c r="A468" s="686">
        <f>IF(E477=0,0,1)</f>
        <v>0</v>
      </c>
      <c r="B468" s="189"/>
      <c r="C468" s="190">
        <f>oR!G203</f>
        <v>4011353</v>
      </c>
      <c r="D468" s="324" t="str">
        <f>oR!H203</f>
        <v>Pintura de ligação</v>
      </c>
      <c r="F468" s="325"/>
      <c r="G468" s="392"/>
      <c r="H468" s="364"/>
      <c r="I468" s="364"/>
      <c r="J468" s="364"/>
    </row>
    <row r="469" spans="1:13" s="191" customFormat="1" ht="15.75" hidden="1" thickBot="1" x14ac:dyDescent="0.3">
      <c r="A469" s="686">
        <f>IF(E479=0,0,1)</f>
        <v>0</v>
      </c>
      <c r="B469" s="189"/>
      <c r="C469" s="190" t="str">
        <f>oR!G204</f>
        <v>RR-1C</v>
      </c>
      <c r="D469" s="324" t="str">
        <f>oR!H204</f>
        <v>Emulsões asfálticas RR-1C</v>
      </c>
      <c r="F469" s="325"/>
      <c r="G469" s="392"/>
      <c r="H469" s="364"/>
      <c r="I469" s="364"/>
      <c r="J469" s="364"/>
    </row>
    <row r="470" spans="1:13" s="191" customFormat="1" ht="15.75" hidden="1" thickBot="1" x14ac:dyDescent="0.3">
      <c r="A470" s="686">
        <f>IF(E480=0,0,1)</f>
        <v>0</v>
      </c>
      <c r="B470" s="189"/>
      <c r="C470" s="190" t="str">
        <f>oR!G205</f>
        <v>T-RR-1C</v>
      </c>
      <c r="D470" s="324" t="str">
        <f>oR!H205</f>
        <v>Transporte de Emulsões asfálticas RR-1C</v>
      </c>
      <c r="F470" s="325"/>
      <c r="G470" s="392"/>
      <c r="H470" s="364"/>
      <c r="I470" s="364"/>
      <c r="J470" s="364"/>
    </row>
    <row r="471" spans="1:13" ht="13.5" hidden="1" thickBot="1" x14ac:dyDescent="0.3">
      <c r="A471" s="329">
        <f>A468</f>
        <v>0</v>
      </c>
      <c r="B471" s="329"/>
      <c r="C471" s="193"/>
      <c r="D471" s="194" t="s">
        <v>3889</v>
      </c>
      <c r="E471" s="329"/>
      <c r="F471" s="328"/>
      <c r="G471" s="393"/>
      <c r="H471" s="365"/>
      <c r="I471" s="365"/>
      <c r="J471" s="365"/>
    </row>
    <row r="472" spans="1:13" ht="13.5" hidden="1" thickBot="1" x14ac:dyDescent="0.3">
      <c r="A472" s="329">
        <f>A468</f>
        <v>0</v>
      </c>
      <c r="B472" s="329"/>
      <c r="C472" s="1777" t="s">
        <v>42</v>
      </c>
      <c r="D472" s="1777"/>
      <c r="E472" s="327" t="str">
        <f>E$12</f>
        <v>ESTR. DE LINHA TAQUARAL</v>
      </c>
      <c r="F472" s="384" t="s">
        <v>96</v>
      </c>
      <c r="G472" s="376"/>
      <c r="H472" s="65"/>
      <c r="I472" s="357"/>
      <c r="J472" s="65"/>
    </row>
    <row r="473" spans="1:13" ht="13.5" hidden="1" thickBot="1" x14ac:dyDescent="0.3">
      <c r="A473" s="329">
        <f>A472</f>
        <v>0</v>
      </c>
      <c r="B473" s="329"/>
      <c r="C473" s="1790" t="s">
        <v>2778</v>
      </c>
      <c r="D473" s="1418" t="s">
        <v>2600</v>
      </c>
      <c r="E473" s="1419">
        <f>E393</f>
        <v>0</v>
      </c>
      <c r="F473" s="40">
        <f>SUM(E473:E473)</f>
        <v>0</v>
      </c>
      <c r="G473" s="1417" t="s">
        <v>2595</v>
      </c>
      <c r="H473" s="361"/>
      <c r="I473" s="357">
        <f>MAX($I$13:I472)+1</f>
        <v>251</v>
      </c>
      <c r="J473" s="361" t="str">
        <f>CONCATENATE("(",I473,")"," = ","(",I393,")")</f>
        <v>(251) = (203)</v>
      </c>
    </row>
    <row r="474" spans="1:13" ht="13.5" hidden="1" thickBot="1" x14ac:dyDescent="0.3">
      <c r="A474" s="329">
        <f t="shared" ref="A474:A479" si="68">A473</f>
        <v>0</v>
      </c>
      <c r="B474" s="329"/>
      <c r="C474" s="1800"/>
      <c r="D474" s="1378" t="s">
        <v>7238</v>
      </c>
      <c r="E474" s="372">
        <v>3</v>
      </c>
      <c r="F474" s="1416"/>
      <c r="G474" s="1417" t="s">
        <v>2599</v>
      </c>
      <c r="H474" s="361"/>
      <c r="I474" s="357">
        <f>MAX($I$13:I473)+1</f>
        <v>252</v>
      </c>
      <c r="J474" s="361" t="s">
        <v>2843</v>
      </c>
    </row>
    <row r="475" spans="1:13" ht="13.5" hidden="1" thickBot="1" x14ac:dyDescent="0.3">
      <c r="A475" s="329">
        <f t="shared" si="68"/>
        <v>0</v>
      </c>
      <c r="B475" s="329"/>
      <c r="C475" s="1790" t="s">
        <v>7239</v>
      </c>
      <c r="D475" s="1418" t="s">
        <v>2600</v>
      </c>
      <c r="E475" s="1419">
        <f>E394</f>
        <v>0</v>
      </c>
      <c r="F475" s="40">
        <f>SUM(E475:E475)</f>
        <v>0</v>
      </c>
      <c r="G475" s="1417" t="s">
        <v>2595</v>
      </c>
      <c r="H475" s="65"/>
      <c r="I475" s="357">
        <f>MAX($I$13:I474)+1</f>
        <v>253</v>
      </c>
      <c r="J475" s="361" t="str">
        <f>CONCATENATE("(",I475,")"," = ","(",I394,")")</f>
        <v>(253) = (203)</v>
      </c>
    </row>
    <row r="476" spans="1:13" s="188" customFormat="1" ht="13.5" hidden="1" thickBot="1" x14ac:dyDescent="0.3">
      <c r="A476" s="329">
        <f t="shared" si="68"/>
        <v>0</v>
      </c>
      <c r="B476" s="198"/>
      <c r="C476" s="1800"/>
      <c r="D476" s="1378" t="s">
        <v>7238</v>
      </c>
      <c r="E476" s="372">
        <f>E474-1</f>
        <v>2</v>
      </c>
      <c r="F476" s="1416"/>
      <c r="G476" s="1417" t="s">
        <v>2599</v>
      </c>
      <c r="H476" s="359"/>
      <c r="I476" s="357">
        <f>MAX($I$13:I475)+1</f>
        <v>254</v>
      </c>
      <c r="J476" s="361" t="s">
        <v>2843</v>
      </c>
      <c r="M476" s="201"/>
    </row>
    <row r="477" spans="1:13" s="188" customFormat="1" ht="15" hidden="1" customHeight="1" x14ac:dyDescent="0.3">
      <c r="A477" s="329">
        <f t="shared" si="68"/>
        <v>0</v>
      </c>
      <c r="B477" s="198">
        <f>oR!D203</f>
        <v>171</v>
      </c>
      <c r="C477" s="1801" t="s">
        <v>2601</v>
      </c>
      <c r="D477" s="1802"/>
      <c r="E477" s="363">
        <f>E473*E474+E475*E476</f>
        <v>0</v>
      </c>
      <c r="F477" s="199">
        <f>SUM(E477:E477)</f>
        <v>0</v>
      </c>
      <c r="G477" s="376" t="s">
        <v>2595</v>
      </c>
      <c r="H477" s="198">
        <f>C468</f>
        <v>4011353</v>
      </c>
      <c r="I477" s="369">
        <f>MAX($I$13:I476)+1</f>
        <v>255</v>
      </c>
      <c r="J477" s="65" t="str">
        <f>CONCATENATE("(",I477,")"," = ","(",I473,")*(",I474,")+(",I475,")*(",I476,")")</f>
        <v>(255) = (251)*(252)+(253)*(254)</v>
      </c>
      <c r="M477" s="201"/>
    </row>
    <row r="478" spans="1:13" ht="13.5" hidden="1" thickBot="1" x14ac:dyDescent="0.3">
      <c r="A478" s="329">
        <f t="shared" si="68"/>
        <v>0</v>
      </c>
      <c r="B478" s="329"/>
      <c r="C478" s="1773" t="s">
        <v>6486</v>
      </c>
      <c r="D478" s="1097" t="s">
        <v>6485</v>
      </c>
      <c r="E478" s="696">
        <v>0.5</v>
      </c>
      <c r="F478" s="40"/>
      <c r="G478" s="375" t="s">
        <v>15</v>
      </c>
      <c r="I478" s="357">
        <f>MAX($I$13:I477)+1</f>
        <v>256</v>
      </c>
      <c r="J478" s="361" t="s">
        <v>2843</v>
      </c>
    </row>
    <row r="479" spans="1:13" s="188" customFormat="1" ht="13.5" hidden="1" thickBot="1" x14ac:dyDescent="0.3">
      <c r="A479" s="329">
        <f t="shared" si="68"/>
        <v>0</v>
      </c>
      <c r="B479" s="198">
        <f>B477+1</f>
        <v>172</v>
      </c>
      <c r="C479" s="1773"/>
      <c r="D479" s="1102" t="s">
        <v>12</v>
      </c>
      <c r="E479" s="363">
        <f>E477*E478/1000</f>
        <v>0</v>
      </c>
      <c r="F479" s="199">
        <f>SUM(E479:E479)</f>
        <v>0</v>
      </c>
      <c r="G479" s="376" t="s">
        <v>2695</v>
      </c>
      <c r="H479" s="198" t="str">
        <f>C469</f>
        <v>RR-1C</v>
      </c>
      <c r="I479" s="369">
        <f>MAX($I$13:I478)+1</f>
        <v>257</v>
      </c>
      <c r="J479" s="65" t="str">
        <f>CONCATENATE("(",I479,")"," = ","(",I477,")*(",I478,")/1000")</f>
        <v>(257) = (255)*(256)/1000</v>
      </c>
    </row>
    <row r="480" spans="1:13" s="188" customFormat="1" ht="13.5" hidden="1" thickBot="1" x14ac:dyDescent="0.3">
      <c r="A480" s="329">
        <f>A470</f>
        <v>0</v>
      </c>
      <c r="B480" s="198">
        <f>B479+1</f>
        <v>173</v>
      </c>
      <c r="C480" s="1103"/>
      <c r="D480" s="1102" t="s">
        <v>6487</v>
      </c>
      <c r="E480" s="199">
        <f>E479</f>
        <v>0</v>
      </c>
      <c r="F480" s="199">
        <f>SUM(E480:E480)</f>
        <v>0</v>
      </c>
      <c r="G480" s="376" t="s">
        <v>2695</v>
      </c>
      <c r="H480" s="366" t="str">
        <f>C470</f>
        <v>T-RR-1C</v>
      </c>
      <c r="I480" s="369">
        <f>MAX($I$13:I479)+1</f>
        <v>258</v>
      </c>
      <c r="J480" s="65" t="str">
        <f>CONCATENATE("(",I480,")"," = ","(",I479,")")</f>
        <v>(258) = (257)</v>
      </c>
    </row>
    <row r="481" spans="1:13" ht="13.5" hidden="1" thickBot="1" x14ac:dyDescent="0.3">
      <c r="A481" s="329">
        <f>A468</f>
        <v>0</v>
      </c>
      <c r="B481" s="329"/>
      <c r="C481" s="329"/>
      <c r="D481" s="329"/>
      <c r="E481" s="329"/>
      <c r="F481" s="329"/>
      <c r="M481" s="197"/>
    </row>
    <row r="482" spans="1:13" s="191" customFormat="1" ht="15.75" hidden="1" thickBot="1" x14ac:dyDescent="0.3">
      <c r="A482" s="686">
        <f>IF(E496=0,0,1)</f>
        <v>0</v>
      </c>
      <c r="B482" s="189"/>
      <c r="C482" s="190">
        <f>oR!G206</f>
        <v>4011459</v>
      </c>
      <c r="D482" s="324" t="str">
        <f>oR!H206</f>
        <v>Concreto asfáltico - faixa B - areia e brita comerciais</v>
      </c>
      <c r="F482" s="325"/>
      <c r="G482" s="392"/>
      <c r="H482" s="364"/>
      <c r="I482" s="364"/>
      <c r="J482" s="364"/>
      <c r="M482" s="416"/>
    </row>
    <row r="483" spans="1:13" s="191" customFormat="1" ht="15.75" hidden="1" thickBot="1" x14ac:dyDescent="0.3">
      <c r="A483" s="686">
        <f>IF(E498=0,0,1)</f>
        <v>0</v>
      </c>
      <c r="B483" s="189"/>
      <c r="C483" s="190">
        <f>oR!G207</f>
        <v>5914389</v>
      </c>
      <c r="D483" s="324" t="str">
        <f>oR!H207</f>
        <v>Transporte com caminhão basculante de 10 m³ - rodovia pavimentada</v>
      </c>
      <c r="F483" s="325"/>
      <c r="G483" s="392"/>
      <c r="H483" s="364"/>
      <c r="I483" s="364"/>
      <c r="J483" s="364"/>
      <c r="M483" s="416"/>
    </row>
    <row r="484" spans="1:13" s="191" customFormat="1" ht="15.75" hidden="1" thickBot="1" x14ac:dyDescent="0.3">
      <c r="A484" s="686">
        <f>IF(E500=0,0,1)</f>
        <v>0</v>
      </c>
      <c r="B484" s="189"/>
      <c r="C484" s="190" t="str">
        <f>oR!G208</f>
        <v>CAP 50-70</v>
      </c>
      <c r="D484" s="324" t="str">
        <f>oR!H208</f>
        <v>Cimentos asfálticos CAP-50-70</v>
      </c>
      <c r="F484" s="325"/>
      <c r="G484" s="392"/>
      <c r="H484" s="364"/>
      <c r="I484" s="364"/>
      <c r="J484" s="364"/>
      <c r="M484" s="416"/>
    </row>
    <row r="485" spans="1:13" s="191" customFormat="1" ht="15.75" hidden="1" thickBot="1" x14ac:dyDescent="0.3">
      <c r="A485" s="686">
        <f>IF(E501=0,0,1)</f>
        <v>0</v>
      </c>
      <c r="B485" s="189"/>
      <c r="C485" s="190" t="str">
        <f>oR!G209</f>
        <v>T-CAP 50-70</v>
      </c>
      <c r="D485" s="324" t="str">
        <f>oR!H209</f>
        <v>Transporte de Cimentos asfálticos CAP-50-70</v>
      </c>
      <c r="F485" s="325"/>
      <c r="G485" s="392"/>
      <c r="H485" s="364"/>
      <c r="I485" s="364"/>
      <c r="J485" s="364"/>
    </row>
    <row r="486" spans="1:13" ht="13.5" hidden="1" thickBot="1" x14ac:dyDescent="0.3">
      <c r="A486" s="329">
        <f>A482</f>
        <v>0</v>
      </c>
      <c r="B486" s="329"/>
      <c r="C486" s="193"/>
      <c r="D486" s="194" t="s">
        <v>2833</v>
      </c>
      <c r="E486" s="329"/>
      <c r="F486" s="328"/>
      <c r="G486" s="393"/>
      <c r="H486" s="365"/>
      <c r="I486" s="365"/>
      <c r="J486" s="365"/>
    </row>
    <row r="487" spans="1:13" ht="13.5" hidden="1" thickBot="1" x14ac:dyDescent="0.3">
      <c r="A487" s="329">
        <f>A486</f>
        <v>0</v>
      </c>
      <c r="B487" s="329"/>
      <c r="C487" s="193"/>
      <c r="D487" s="194" t="s">
        <v>2836</v>
      </c>
      <c r="E487" s="329"/>
      <c r="F487" s="328"/>
      <c r="G487" s="393"/>
      <c r="H487" s="365"/>
      <c r="I487" s="365"/>
      <c r="J487" s="365"/>
    </row>
    <row r="488" spans="1:13" ht="13.5" hidden="1" thickBot="1" x14ac:dyDescent="0.3">
      <c r="A488" s="329">
        <f t="shared" ref="A488:A500" si="69">A487</f>
        <v>0</v>
      </c>
      <c r="B488" s="329"/>
      <c r="C488" s="193"/>
      <c r="D488" s="194" t="s">
        <v>2834</v>
      </c>
      <c r="E488" s="329"/>
      <c r="F488" s="328"/>
      <c r="G488" s="393"/>
      <c r="H488" s="365"/>
      <c r="I488" s="365"/>
      <c r="J488" s="365"/>
    </row>
    <row r="489" spans="1:13" ht="13.5" hidden="1" thickBot="1" x14ac:dyDescent="0.3">
      <c r="A489" s="329">
        <f t="shared" si="69"/>
        <v>0</v>
      </c>
      <c r="B489" s="329"/>
      <c r="C489" s="193"/>
      <c r="D489" s="194" t="s">
        <v>2835</v>
      </c>
      <c r="E489" s="329"/>
      <c r="F489" s="328"/>
      <c r="G489" s="393"/>
      <c r="H489" s="365"/>
      <c r="I489" s="365"/>
      <c r="J489" s="365"/>
    </row>
    <row r="490" spans="1:13" ht="13.5" hidden="1" thickBot="1" x14ac:dyDescent="0.3">
      <c r="A490" s="329">
        <f t="shared" si="69"/>
        <v>0</v>
      </c>
      <c r="B490" s="329"/>
      <c r="C490" s="1777" t="s">
        <v>42</v>
      </c>
      <c r="D490" s="1777"/>
      <c r="E490" s="327" t="str">
        <f>E$12</f>
        <v>ESTR. DE LINHA TAQUARAL</v>
      </c>
      <c r="F490" s="384" t="s">
        <v>96</v>
      </c>
      <c r="G490" s="376"/>
      <c r="H490" s="65"/>
      <c r="I490" s="65"/>
      <c r="J490" s="65"/>
    </row>
    <row r="491" spans="1:13" ht="13.5" hidden="1" thickBot="1" x14ac:dyDescent="0.3">
      <c r="A491" s="329">
        <f t="shared" si="69"/>
        <v>0</v>
      </c>
      <c r="B491" s="329"/>
      <c r="C491" s="1773" t="s">
        <v>108</v>
      </c>
      <c r="D491" s="382" t="s">
        <v>7240</v>
      </c>
      <c r="E491" s="40">
        <f>E473</f>
        <v>0</v>
      </c>
      <c r="F491" s="40">
        <f>SUM(E491:E491)</f>
        <v>0</v>
      </c>
      <c r="G491" s="375" t="s">
        <v>2595</v>
      </c>
      <c r="I491" s="357">
        <f>MAX($I$13:I490)+1</f>
        <v>259</v>
      </c>
      <c r="J491" s="361" t="str">
        <f>CONCATENATE("(",I491,")"," = ","(",I473,")")</f>
        <v>(259) = (251)</v>
      </c>
    </row>
    <row r="492" spans="1:13" ht="13.5" hidden="1" thickBot="1" x14ac:dyDescent="0.3">
      <c r="A492" s="329">
        <f t="shared" si="69"/>
        <v>0</v>
      </c>
      <c r="B492" s="396"/>
      <c r="C492" s="1773"/>
      <c r="D492" s="382" t="s">
        <v>2821</v>
      </c>
      <c r="E492" s="372">
        <v>0.12</v>
      </c>
      <c r="F492" s="40"/>
      <c r="G492" s="375" t="s">
        <v>2598</v>
      </c>
      <c r="I492" s="357">
        <f>MAX($I$13:I491)+1</f>
        <v>260</v>
      </c>
      <c r="J492" s="329" t="s">
        <v>2845</v>
      </c>
    </row>
    <row r="493" spans="1:13" ht="13.5" hidden="1" thickBot="1" x14ac:dyDescent="0.3">
      <c r="B493" s="396"/>
      <c r="C493" s="1789"/>
      <c r="D493" s="1416" t="s">
        <v>7241</v>
      </c>
      <c r="E493" s="40">
        <f>E475</f>
        <v>0</v>
      </c>
      <c r="F493" s="40">
        <f>SUM(E493:E493)</f>
        <v>0</v>
      </c>
      <c r="G493" s="375" t="s">
        <v>2595</v>
      </c>
      <c r="I493" s="357">
        <f>MAX($I$13:I492)+1</f>
        <v>261</v>
      </c>
      <c r="J493" s="361" t="str">
        <f>CONCATENATE("(",I493,")"," = ","(",I475,")")</f>
        <v>(261) = (253)</v>
      </c>
    </row>
    <row r="494" spans="1:13" ht="13.5" hidden="1" thickBot="1" x14ac:dyDescent="0.3">
      <c r="B494" s="396"/>
      <c r="C494" s="1789"/>
      <c r="D494" s="1416" t="str">
        <f>D492</f>
        <v>Espessura da camada</v>
      </c>
      <c r="E494" s="372">
        <v>0.08</v>
      </c>
      <c r="F494" s="40"/>
      <c r="G494" s="375" t="s">
        <v>2598</v>
      </c>
      <c r="I494" s="357">
        <f>MAX($I$13:I493)+1</f>
        <v>262</v>
      </c>
      <c r="J494" s="329" t="s">
        <v>2845</v>
      </c>
    </row>
    <row r="495" spans="1:13" ht="13.5" hidden="1" thickBot="1" x14ac:dyDescent="0.3">
      <c r="A495" s="329">
        <f>A492</f>
        <v>0</v>
      </c>
      <c r="B495" s="329"/>
      <c r="C495" s="1773"/>
      <c r="D495" s="382" t="s">
        <v>2838</v>
      </c>
      <c r="E495" s="373">
        <v>2.5</v>
      </c>
      <c r="F495" s="40"/>
      <c r="G495" s="375" t="s">
        <v>2837</v>
      </c>
      <c r="I495" s="357">
        <f>MAX($I$13:I492)+1</f>
        <v>261</v>
      </c>
      <c r="J495" s="329" t="s">
        <v>2843</v>
      </c>
    </row>
    <row r="496" spans="1:13" s="188" customFormat="1" ht="13.5" hidden="1" thickBot="1" x14ac:dyDescent="0.3">
      <c r="A496" s="329">
        <f t="shared" si="69"/>
        <v>0</v>
      </c>
      <c r="B496" s="198">
        <f>oR!D206</f>
        <v>174</v>
      </c>
      <c r="C496" s="1773"/>
      <c r="D496" s="384" t="s">
        <v>12</v>
      </c>
      <c r="E496" s="363">
        <f>((E491*E492)+(E493*E494))*E495</f>
        <v>0</v>
      </c>
      <c r="F496" s="199">
        <f>SUM(E496:E496)</f>
        <v>0</v>
      </c>
      <c r="G496" s="376" t="s">
        <v>2695</v>
      </c>
      <c r="H496" s="198">
        <f>C482</f>
        <v>4011459</v>
      </c>
      <c r="I496" s="369">
        <f>MAX($I$13:I495)+1</f>
        <v>263</v>
      </c>
      <c r="J496" s="65" t="str">
        <f>CONCATENATE("(",I496,")"," = ","(",I495,")*[(",I492,")*(",I491,")+(",I493,")*(",I494,")]")</f>
        <v>(263) = (261)*[(260)*(259)+(261)*(262)]</v>
      </c>
    </row>
    <row r="497" spans="1:13" ht="13.5" hidden="1" thickBot="1" x14ac:dyDescent="0.3">
      <c r="A497" s="329">
        <f>A483</f>
        <v>0</v>
      </c>
      <c r="B497" s="329"/>
      <c r="C497" s="1773" t="s">
        <v>2826</v>
      </c>
      <c r="D497" s="382" t="s">
        <v>2827</v>
      </c>
      <c r="E497" s="40">
        <f>DMT!$G$10</f>
        <v>25.9</v>
      </c>
      <c r="F497" s="382"/>
      <c r="G497" s="375" t="s">
        <v>2799</v>
      </c>
      <c r="H497" s="361"/>
      <c r="I497" s="357">
        <f>MAX($I$13:I496)+1</f>
        <v>264</v>
      </c>
      <c r="J497" s="361" t="s">
        <v>2843</v>
      </c>
    </row>
    <row r="498" spans="1:13" s="188" customFormat="1" ht="13.5" hidden="1" thickBot="1" x14ac:dyDescent="0.3">
      <c r="A498" s="329">
        <f t="shared" si="69"/>
        <v>0</v>
      </c>
      <c r="B498" s="198">
        <f>B496+1</f>
        <v>175</v>
      </c>
      <c r="C498" s="1773"/>
      <c r="D498" s="384" t="s">
        <v>2828</v>
      </c>
      <c r="E498" s="199">
        <f>E497*E496</f>
        <v>0</v>
      </c>
      <c r="F498" s="199">
        <f>SUM(E498:E498)</f>
        <v>0</v>
      </c>
      <c r="G498" s="376" t="s">
        <v>2784</v>
      </c>
      <c r="H498" s="366">
        <f>C483</f>
        <v>5914389</v>
      </c>
      <c r="I498" s="369">
        <f>MAX($I$13:I497)+1</f>
        <v>265</v>
      </c>
      <c r="J498" s="65" t="str">
        <f>CONCATENATE("(",I498,")"," = ","(",I496,")*(",I497,")")</f>
        <v>(265) = (263)*(264)</v>
      </c>
    </row>
    <row r="499" spans="1:13" ht="13.5" hidden="1" thickBot="1" x14ac:dyDescent="0.3">
      <c r="A499" s="329">
        <f>A484</f>
        <v>0</v>
      </c>
      <c r="B499" s="329"/>
      <c r="C499" s="1773" t="s">
        <v>2839</v>
      </c>
      <c r="D499" s="382" t="s">
        <v>2840</v>
      </c>
      <c r="E499" s="696">
        <v>6</v>
      </c>
      <c r="F499" s="40"/>
      <c r="G499" s="375" t="s">
        <v>15</v>
      </c>
      <c r="I499" s="357">
        <f>MAX($I$13:I498)+1</f>
        <v>266</v>
      </c>
      <c r="J499" s="361" t="s">
        <v>2843</v>
      </c>
    </row>
    <row r="500" spans="1:13" s="188" customFormat="1" ht="13.5" hidden="1" thickBot="1" x14ac:dyDescent="0.3">
      <c r="A500" s="329">
        <f t="shared" si="69"/>
        <v>0</v>
      </c>
      <c r="B500" s="198">
        <f>B498+1</f>
        <v>176</v>
      </c>
      <c r="C500" s="1773"/>
      <c r="D500" s="384" t="s">
        <v>12</v>
      </c>
      <c r="E500" s="363">
        <f>E496*E499/100</f>
        <v>0</v>
      </c>
      <c r="F500" s="199">
        <f>SUM(E500:E500)</f>
        <v>0</v>
      </c>
      <c r="G500" s="376" t="s">
        <v>2695</v>
      </c>
      <c r="H500" s="198" t="str">
        <f>C484</f>
        <v>CAP 50-70</v>
      </c>
      <c r="I500" s="369">
        <f>MAX($I$13:I499)+1</f>
        <v>267</v>
      </c>
      <c r="J500" s="65" t="str">
        <f>CONCATENATE("(",I500,")"," = ","(",I498,")*(",I499,")")</f>
        <v>(267) = (265)*(266)</v>
      </c>
    </row>
    <row r="501" spans="1:13" s="188" customFormat="1" ht="13.5" hidden="1" thickBot="1" x14ac:dyDescent="0.3">
      <c r="A501" s="329">
        <f>A485</f>
        <v>0</v>
      </c>
      <c r="B501" s="198">
        <f>B500+1</f>
        <v>177</v>
      </c>
      <c r="C501" s="1103"/>
      <c r="D501" s="1102" t="s">
        <v>6489</v>
      </c>
      <c r="E501" s="199">
        <f>E500</f>
        <v>0</v>
      </c>
      <c r="F501" s="199">
        <f>SUM(E501:E501)</f>
        <v>0</v>
      </c>
      <c r="G501" s="376" t="s">
        <v>2695</v>
      </c>
      <c r="H501" s="366" t="str">
        <f>C485</f>
        <v>T-CAP 50-70</v>
      </c>
      <c r="I501" s="369">
        <f>MAX($I$13:I500)+1</f>
        <v>268</v>
      </c>
      <c r="J501" s="65" t="str">
        <f>CONCATENATE("(",I501,")"," = ","(",I500,")")</f>
        <v>(268) = (267)</v>
      </c>
    </row>
    <row r="502" spans="1:13" s="188" customFormat="1" ht="13.5" hidden="1" thickBot="1" x14ac:dyDescent="0.3">
      <c r="A502" s="329">
        <f>A486</f>
        <v>0</v>
      </c>
      <c r="B502" s="198"/>
      <c r="C502" s="367"/>
      <c r="D502" s="65"/>
      <c r="E502" s="368"/>
      <c r="F502" s="368"/>
      <c r="G502" s="386"/>
      <c r="H502" s="366"/>
      <c r="I502" s="366"/>
      <c r="J502" s="366"/>
    </row>
    <row r="503" spans="1:13" s="188" customFormat="1" ht="13.5" hidden="1" thickBot="1" x14ac:dyDescent="0.3">
      <c r="A503" s="185">
        <f>A389</f>
        <v>0</v>
      </c>
      <c r="B503" s="198"/>
      <c r="C503" s="367"/>
      <c r="D503" s="65"/>
      <c r="E503" s="368"/>
      <c r="F503" s="368"/>
      <c r="G503" s="386"/>
      <c r="H503" s="366"/>
      <c r="I503" s="366"/>
      <c r="J503" s="366"/>
    </row>
    <row r="504" spans="1:13" s="188" customFormat="1" ht="13.5" thickBot="1" x14ac:dyDescent="0.3">
      <c r="A504" s="687">
        <f>IF(SUM(A507:A594)&gt;0,1,0)</f>
        <v>1</v>
      </c>
      <c r="B504" s="185"/>
      <c r="C504" s="186"/>
      <c r="D504" s="187" t="str">
        <f>oR!G211</f>
        <v>PAVIMENTO ESTRADA TAQUARAL</v>
      </c>
      <c r="E504" s="187"/>
      <c r="F504" s="187"/>
      <c r="G504" s="391"/>
      <c r="H504" s="186"/>
      <c r="I504" s="186"/>
      <c r="J504" s="186"/>
    </row>
    <row r="505" spans="1:13" s="191" customFormat="1" ht="15.75" thickBot="1" x14ac:dyDescent="0.3">
      <c r="A505" s="686">
        <f>IF(E514=0,0,1)</f>
        <v>1</v>
      </c>
      <c r="B505" s="189"/>
      <c r="C505" s="190">
        <f>oR!G212</f>
        <v>4011209</v>
      </c>
      <c r="D505" s="324" t="str">
        <f>oR!H212</f>
        <v>Regularização do subleito</v>
      </c>
      <c r="F505" s="325"/>
      <c r="G505" s="392"/>
      <c r="H505" s="364"/>
      <c r="I505" s="364"/>
      <c r="J505" s="364"/>
    </row>
    <row r="506" spans="1:13" x14ac:dyDescent="0.25">
      <c r="A506" s="329">
        <f>A505</f>
        <v>1</v>
      </c>
      <c r="B506" s="329"/>
      <c r="C506" s="193"/>
      <c r="D506" s="194" t="s">
        <v>2926</v>
      </c>
      <c r="E506" s="329"/>
      <c r="F506" s="844"/>
      <c r="G506" s="393"/>
      <c r="H506" s="365"/>
      <c r="I506" s="365"/>
      <c r="J506" s="365"/>
    </row>
    <row r="507" spans="1:13" x14ac:dyDescent="0.25">
      <c r="A507" s="329">
        <f>A506</f>
        <v>1</v>
      </c>
      <c r="B507" s="329"/>
      <c r="C507" s="1777" t="s">
        <v>42</v>
      </c>
      <c r="D507" s="1777"/>
      <c r="E507" s="327" t="str">
        <f>E$12</f>
        <v>ESTR. DE LINHA TAQUARAL</v>
      </c>
      <c r="F507" s="840" t="s">
        <v>96</v>
      </c>
      <c r="G507" s="376"/>
      <c r="H507" s="65"/>
      <c r="I507" s="65"/>
      <c r="J507" s="65"/>
      <c r="K507" s="327" t="s">
        <v>6452</v>
      </c>
      <c r="L507" s="1118" t="s">
        <v>6453</v>
      </c>
    </row>
    <row r="508" spans="1:13" hidden="1" x14ac:dyDescent="0.25">
      <c r="B508" s="329"/>
      <c r="C508" s="1790" t="s">
        <v>3887</v>
      </c>
      <c r="D508" s="1378" t="s">
        <v>2778</v>
      </c>
      <c r="E508" s="373">
        <f>SUM(K508:L508)</f>
        <v>992.85</v>
      </c>
      <c r="F508" s="40">
        <f t="shared" ref="F508:F509" si="70">SUM(E508:E508)</f>
        <v>992.85</v>
      </c>
      <c r="G508" s="375" t="s">
        <v>2595</v>
      </c>
      <c r="I508" s="357">
        <f>MAX($I$13:I505)+1</f>
        <v>269</v>
      </c>
      <c r="J508" s="361" t="s">
        <v>2842</v>
      </c>
      <c r="K508" s="1420">
        <f>1132.85-M508*E18</f>
        <v>992.85</v>
      </c>
      <c r="L508" s="991"/>
      <c r="M508" s="194">
        <v>20</v>
      </c>
    </row>
    <row r="509" spans="1:13" hidden="1" x14ac:dyDescent="0.25">
      <c r="B509" s="329"/>
      <c r="C509" s="1791"/>
      <c r="D509" s="1378" t="s">
        <v>7239</v>
      </c>
      <c r="E509" s="373">
        <f>SUM(K509:L509)</f>
        <v>0</v>
      </c>
      <c r="F509" s="40">
        <f t="shared" si="70"/>
        <v>0</v>
      </c>
      <c r="G509" s="375" t="s">
        <v>2595</v>
      </c>
      <c r="I509" s="357">
        <f>MAX($I$13:I506)+1</f>
        <v>269</v>
      </c>
      <c r="J509" s="361" t="s">
        <v>2842</v>
      </c>
      <c r="K509" s="991"/>
      <c r="L509" s="991"/>
    </row>
    <row r="510" spans="1:13" x14ac:dyDescent="0.25">
      <c r="A510" s="329">
        <f>A507</f>
        <v>1</v>
      </c>
      <c r="B510" s="329"/>
      <c r="C510" s="1800"/>
      <c r="D510" s="1378" t="s">
        <v>96</v>
      </c>
      <c r="E510" s="40">
        <f>SUM(E508:E509)</f>
        <v>992.85</v>
      </c>
      <c r="F510" s="40">
        <f>SUM(E510:E510)</f>
        <v>992.85</v>
      </c>
      <c r="G510" s="375" t="s">
        <v>2595</v>
      </c>
      <c r="I510" s="357">
        <f>MAX($I$13:I507)+1</f>
        <v>269</v>
      </c>
      <c r="J510" s="361" t="str">
        <f>CONCATENATE("(",I510,")"," = ","(",I509,")+(",I508,")")</f>
        <v>(269) = (269)+(269)</v>
      </c>
      <c r="K510" s="991"/>
      <c r="L510" s="991"/>
    </row>
    <row r="511" spans="1:13" x14ac:dyDescent="0.25">
      <c r="A511" s="329">
        <f t="shared" ref="A511:A515" si="71">A510</f>
        <v>1</v>
      </c>
      <c r="B511" s="329"/>
      <c r="C511" s="1773" t="s">
        <v>2817</v>
      </c>
      <c r="D511" s="843" t="s">
        <v>2815</v>
      </c>
      <c r="E511" s="373">
        <f>E17</f>
        <v>140</v>
      </c>
      <c r="F511" s="40">
        <f>SUM(E511:E511)</f>
        <v>140</v>
      </c>
      <c r="G511" s="375" t="s">
        <v>2598</v>
      </c>
      <c r="I511" s="357">
        <f>MAX($I$13:I510)+1</f>
        <v>270</v>
      </c>
      <c r="J511" s="361" t="s">
        <v>2842</v>
      </c>
      <c r="K511" s="197"/>
    </row>
    <row r="512" spans="1:13" x14ac:dyDescent="0.25">
      <c r="A512" s="329">
        <f t="shared" si="71"/>
        <v>1</v>
      </c>
      <c r="B512" s="329"/>
      <c r="C512" s="1773"/>
      <c r="D512" s="843" t="s">
        <v>2816</v>
      </c>
      <c r="E512" s="40">
        <f>E525</f>
        <v>0.35</v>
      </c>
      <c r="F512" s="843"/>
      <c r="G512" s="375"/>
      <c r="I512" s="357">
        <f>MAX($I$13:I511)+1</f>
        <v>271</v>
      </c>
      <c r="J512" s="361" t="str">
        <f>CONCATENATE("(",I512,")"," = ","(",I525,")")</f>
        <v>(271) = (278)</v>
      </c>
      <c r="K512" s="1421"/>
    </row>
    <row r="513" spans="1:11" x14ac:dyDescent="0.25">
      <c r="A513" s="329">
        <f t="shared" si="71"/>
        <v>1</v>
      </c>
      <c r="B513" s="329"/>
      <c r="C513" s="1773"/>
      <c r="D513" s="843" t="s">
        <v>2600</v>
      </c>
      <c r="E513" s="40">
        <f>E512*E511*2</f>
        <v>98</v>
      </c>
      <c r="F513" s="40">
        <f>SUM(E513:E513)</f>
        <v>98</v>
      </c>
      <c r="G513" s="375" t="s">
        <v>2595</v>
      </c>
      <c r="I513" s="357">
        <f>MAX($I$13:I512)+1</f>
        <v>272</v>
      </c>
      <c r="J513" s="361" t="str">
        <f>CONCATENATE("(",I513,")"," = ","(",I511,")*(",I512,")*2")</f>
        <v>(272) = (270)*(271)*2</v>
      </c>
      <c r="K513" s="197"/>
    </row>
    <row r="514" spans="1:11" s="188" customFormat="1" x14ac:dyDescent="0.25">
      <c r="A514" s="329">
        <f>A513</f>
        <v>1</v>
      </c>
      <c r="B514" s="198">
        <f>oR!D212</f>
        <v>178</v>
      </c>
      <c r="C514" s="1778" t="s">
        <v>2818</v>
      </c>
      <c r="D514" s="1778"/>
      <c r="E514" s="363">
        <f>E513+E510</f>
        <v>1090.8499999999999</v>
      </c>
      <c r="F514" s="199">
        <f>SUM(E514:E514)</f>
        <v>1090.8499999999999</v>
      </c>
      <c r="G514" s="376" t="s">
        <v>2595</v>
      </c>
      <c r="H514" s="198">
        <f>C505</f>
        <v>4011209</v>
      </c>
      <c r="I514" s="369">
        <f>MAX($I$13:I513)+1</f>
        <v>273</v>
      </c>
      <c r="J514" s="65" t="str">
        <f>CONCATENATE("(",I514,")"," = ","(",I513,")+(",I510,")")</f>
        <v>(273) = (272)+(269)</v>
      </c>
    </row>
    <row r="515" spans="1:11" ht="13.5" thickBot="1" x14ac:dyDescent="0.3">
      <c r="A515" s="329">
        <f t="shared" si="71"/>
        <v>1</v>
      </c>
      <c r="B515" s="329"/>
      <c r="C515" s="329"/>
      <c r="D515" s="329"/>
      <c r="E515" s="329"/>
      <c r="F515" s="329"/>
      <c r="K515" s="197"/>
    </row>
    <row r="516" spans="1:11" s="191" customFormat="1" ht="15.75" thickBot="1" x14ac:dyDescent="0.3">
      <c r="A516" s="686">
        <f>IF(E530=0,0,1)</f>
        <v>1</v>
      </c>
      <c r="B516" s="189"/>
      <c r="C516" s="190">
        <f>oR!G213</f>
        <v>4011279</v>
      </c>
      <c r="D516" s="324" t="str">
        <f>oR!H213</f>
        <v>Base ou sub-base de macadame seco com brita comercial</v>
      </c>
      <c r="F516" s="325"/>
      <c r="G516" s="392"/>
      <c r="H516" s="364"/>
      <c r="I516" s="364"/>
      <c r="J516" s="364"/>
    </row>
    <row r="517" spans="1:11" s="191" customFormat="1" ht="15.75" thickBot="1" x14ac:dyDescent="0.3">
      <c r="A517" s="686">
        <f>IF(E533=0,0,1)</f>
        <v>1</v>
      </c>
      <c r="B517" s="189"/>
      <c r="C517" s="190">
        <f>oR!G214</f>
        <v>5914389</v>
      </c>
      <c r="D517" s="324" t="str">
        <f>oR!H214</f>
        <v>Transporte com caminhão basculante de 10 m³ - rodovia pavimentada</v>
      </c>
      <c r="F517" s="325"/>
      <c r="G517" s="392"/>
      <c r="H517" s="364"/>
      <c r="I517" s="364"/>
      <c r="J517" s="364"/>
    </row>
    <row r="518" spans="1:11" ht="24" customHeight="1" x14ac:dyDescent="0.25">
      <c r="A518" s="329">
        <f>A516</f>
        <v>1</v>
      </c>
      <c r="B518" s="329"/>
      <c r="C518" s="193"/>
      <c r="D518" s="1782" t="s">
        <v>2819</v>
      </c>
      <c r="E518" s="1783"/>
      <c r="F518" s="1783"/>
      <c r="G518" s="1783"/>
      <c r="H518" s="1783"/>
      <c r="I518" s="1783"/>
      <c r="J518" s="1783"/>
    </row>
    <row r="519" spans="1:11" x14ac:dyDescent="0.25">
      <c r="A519" s="329">
        <f>A518</f>
        <v>1</v>
      </c>
      <c r="B519" s="329"/>
      <c r="C519" s="193"/>
      <c r="D519" s="194" t="s">
        <v>2830</v>
      </c>
      <c r="E519" s="329"/>
      <c r="F519" s="844"/>
      <c r="G519" s="393"/>
      <c r="H519" s="365"/>
      <c r="I519" s="365"/>
      <c r="J519" s="365"/>
    </row>
    <row r="520" spans="1:11" x14ac:dyDescent="0.25">
      <c r="A520" s="329">
        <f>A519</f>
        <v>1</v>
      </c>
      <c r="B520" s="329"/>
      <c r="C520" s="1777" t="s">
        <v>42</v>
      </c>
      <c r="D520" s="1777"/>
      <c r="E520" s="327" t="str">
        <f>E$12</f>
        <v>ESTR. DE LINHA TAQUARAL</v>
      </c>
      <c r="F520" s="840" t="s">
        <v>96</v>
      </c>
      <c r="G520" s="376"/>
      <c r="H520" s="65"/>
      <c r="I520" s="65"/>
      <c r="J520" s="65"/>
    </row>
    <row r="521" spans="1:11" x14ac:dyDescent="0.25">
      <c r="A521" s="329">
        <f t="shared" ref="A521:A530" si="72">A520</f>
        <v>1</v>
      </c>
      <c r="B521" s="329"/>
      <c r="C521" s="1773" t="s">
        <v>2820</v>
      </c>
      <c r="D521" s="843" t="str">
        <f>C508</f>
        <v>Área de pavimento novo</v>
      </c>
      <c r="E521" s="40">
        <f>E510</f>
        <v>992.85</v>
      </c>
      <c r="F521" s="40">
        <f>SUM(E521:E521)</f>
        <v>992.85</v>
      </c>
      <c r="G521" s="375" t="s">
        <v>2595</v>
      </c>
      <c r="I521" s="357">
        <f>MAX($I$13:I520)+1</f>
        <v>274</v>
      </c>
      <c r="J521" s="361" t="str">
        <f>CONCATENATE("(",I521,")"," = ","(",I510,")")</f>
        <v>(274) = (269)</v>
      </c>
    </row>
    <row r="522" spans="1:11" x14ac:dyDescent="0.25">
      <c r="A522" s="329">
        <f>A521</f>
        <v>1</v>
      </c>
      <c r="B522" s="396">
        <f>B514+0.1</f>
        <v>178.1</v>
      </c>
      <c r="C522" s="1773"/>
      <c r="D522" s="843" t="s">
        <v>2821</v>
      </c>
      <c r="E522" s="373">
        <f>DimPAV!E39/100</f>
        <v>0.15</v>
      </c>
      <c r="F522" s="40"/>
      <c r="G522" s="375" t="s">
        <v>2598</v>
      </c>
      <c r="I522" s="357">
        <f>MAX($I$13:I521)+1</f>
        <v>275</v>
      </c>
      <c r="J522" s="329" t="s">
        <v>2845</v>
      </c>
    </row>
    <row r="523" spans="1:11" x14ac:dyDescent="0.25">
      <c r="A523" s="329">
        <f t="shared" si="72"/>
        <v>1</v>
      </c>
      <c r="B523" s="329"/>
      <c r="C523" s="1773"/>
      <c r="D523" s="843" t="s">
        <v>100</v>
      </c>
      <c r="E523" s="331">
        <f>E522*E521</f>
        <v>148.93</v>
      </c>
      <c r="F523" s="40">
        <f>SUM(E523:E523)</f>
        <v>148.93</v>
      </c>
      <c r="G523" s="375" t="s">
        <v>2596</v>
      </c>
      <c r="I523" s="357">
        <f>MAX($I$13:I522)+1</f>
        <v>276</v>
      </c>
      <c r="J523" s="361" t="str">
        <f>CONCATENATE("(",I523,")"," = ","(",I521,")*(",I522,")")</f>
        <v>(276) = (274)*(275)</v>
      </c>
    </row>
    <row r="524" spans="1:11" x14ac:dyDescent="0.25">
      <c r="A524" s="329">
        <f t="shared" si="72"/>
        <v>1</v>
      </c>
      <c r="B524" s="329"/>
      <c r="C524" s="1773" t="s">
        <v>2822</v>
      </c>
      <c r="D524" s="843" t="str">
        <f>D511</f>
        <v>Extensão de pista</v>
      </c>
      <c r="E524" s="40">
        <f>E511</f>
        <v>140</v>
      </c>
      <c r="F524" s="40">
        <f>SUM(E524:E524)</f>
        <v>140</v>
      </c>
      <c r="G524" s="375" t="s">
        <v>2598</v>
      </c>
      <c r="I524" s="357">
        <f>MAX($I$13:I523)+1</f>
        <v>277</v>
      </c>
      <c r="J524" s="361" t="str">
        <f>CONCATENATE("(",I524,")"," = ","(",I104,")")</f>
        <v>(277) = ()</v>
      </c>
    </row>
    <row r="525" spans="1:11" x14ac:dyDescent="0.25">
      <c r="A525" s="329">
        <f t="shared" si="72"/>
        <v>1</v>
      </c>
      <c r="B525" s="329"/>
      <c r="C525" s="1773"/>
      <c r="D525" s="843" t="str">
        <f>D512</f>
        <v>Sobre largura sub-base</v>
      </c>
      <c r="E525" s="40">
        <f>E526+E528</f>
        <v>0.35</v>
      </c>
      <c r="F525" s="843"/>
      <c r="G525" s="375" t="s">
        <v>2598</v>
      </c>
      <c r="I525" s="357">
        <f>MAX($I$13:I524)+1</f>
        <v>278</v>
      </c>
      <c r="J525" s="361" t="str">
        <f>CONCATENATE("(",I525,")"," = ","(",I526,")+(",I528,")")</f>
        <v>(278) = (279)+(281)</v>
      </c>
    </row>
    <row r="526" spans="1:11" x14ac:dyDescent="0.25">
      <c r="A526" s="329">
        <f t="shared" si="72"/>
        <v>1</v>
      </c>
      <c r="B526" s="329"/>
      <c r="C526" s="1773"/>
      <c r="D526" s="843" t="s">
        <v>2823</v>
      </c>
      <c r="E526" s="40">
        <f>E544</f>
        <v>0.2</v>
      </c>
      <c r="F526" s="843"/>
      <c r="G526" s="375" t="s">
        <v>2598</v>
      </c>
      <c r="I526" s="357">
        <f>MAX($I$13:I525)+1</f>
        <v>279</v>
      </c>
      <c r="J526" s="361" t="str">
        <f>CONCATENATE("(",I526,")"," = ","(",I544,")")</f>
        <v>(279) = (291)</v>
      </c>
    </row>
    <row r="527" spans="1:11" x14ac:dyDescent="0.25">
      <c r="A527" s="329">
        <f t="shared" si="72"/>
        <v>1</v>
      </c>
      <c r="B527" s="329"/>
      <c r="C527" s="1773"/>
      <c r="D527" s="843" t="s">
        <v>2824</v>
      </c>
      <c r="E527" s="40">
        <f>AVERAGE(E525:E526)</f>
        <v>0.28000000000000003</v>
      </c>
      <c r="F527" s="843"/>
      <c r="G527" s="375" t="s">
        <v>2598</v>
      </c>
      <c r="I527" s="357">
        <f>MAX($I$13:I526)+1</f>
        <v>280</v>
      </c>
      <c r="J527" s="361" t="str">
        <f>CONCATENATE("(",I527,")"," = ","[(",I525,")+(",I526,")]/2")</f>
        <v>(280) = [(278)+(279)]/2</v>
      </c>
    </row>
    <row r="528" spans="1:11" x14ac:dyDescent="0.25">
      <c r="A528" s="329">
        <f t="shared" si="72"/>
        <v>1</v>
      </c>
      <c r="B528" s="329"/>
      <c r="C528" s="1773"/>
      <c r="D528" s="843" t="str">
        <f>D522</f>
        <v>Espessura da camada</v>
      </c>
      <c r="E528" s="40">
        <f>E522</f>
        <v>0.15</v>
      </c>
      <c r="F528" s="843"/>
      <c r="G528" s="375" t="s">
        <v>2598</v>
      </c>
      <c r="I528" s="357">
        <f>MAX($I$13:I527)+1</f>
        <v>281</v>
      </c>
      <c r="J528" s="361" t="str">
        <f>CONCATENATE("(",I528,")"," = ","(",I522,")")</f>
        <v>(281) = (275)</v>
      </c>
    </row>
    <row r="529" spans="1:10" x14ac:dyDescent="0.25">
      <c r="A529" s="329">
        <f t="shared" si="72"/>
        <v>1</v>
      </c>
      <c r="B529" s="329"/>
      <c r="C529" s="1773"/>
      <c r="D529" s="843" t="str">
        <f>D523</f>
        <v>Volume</v>
      </c>
      <c r="E529" s="40">
        <f>E528*E527*E524*2</f>
        <v>11.76</v>
      </c>
      <c r="F529" s="40">
        <f>SUM(E529:E529)</f>
        <v>11.76</v>
      </c>
      <c r="G529" s="375" t="s">
        <v>2596</v>
      </c>
      <c r="I529" s="357">
        <f>MAX($I$13:I528)+1</f>
        <v>282</v>
      </c>
      <c r="J529" s="361" t="str">
        <f>CONCATENATE("(",I529,")"," = ","(",I528,")*(",I527,")*(",I524,")*2")</f>
        <v>(282) = (281)*(280)*(277)*2</v>
      </c>
    </row>
    <row r="530" spans="1:10" s="188" customFormat="1" x14ac:dyDescent="0.25">
      <c r="A530" s="329">
        <f t="shared" si="72"/>
        <v>1</v>
      </c>
      <c r="B530" s="198">
        <f>oR!D213</f>
        <v>179</v>
      </c>
      <c r="C530" s="1778" t="s">
        <v>2825</v>
      </c>
      <c r="D530" s="1778"/>
      <c r="E530" s="363">
        <f>E529+E523</f>
        <v>160.69</v>
      </c>
      <c r="F530" s="199">
        <f>SUM(E530:E530)</f>
        <v>160.69</v>
      </c>
      <c r="G530" s="376" t="s">
        <v>2596</v>
      </c>
      <c r="H530" s="198">
        <f>C516</f>
        <v>4011279</v>
      </c>
      <c r="I530" s="369">
        <f>MAX($I$13:I529)+1</f>
        <v>283</v>
      </c>
      <c r="J530" s="65" t="str">
        <f>CONCATENATE("(",I530,")"," = ","(",I529,")+(",I523,")")</f>
        <v>(283) = (282)+(276)</v>
      </c>
    </row>
    <row r="531" spans="1:10" x14ac:dyDescent="0.25">
      <c r="A531" s="329">
        <f>A517</f>
        <v>1</v>
      </c>
      <c r="B531" s="329"/>
      <c r="C531" s="1773" t="s">
        <v>2826</v>
      </c>
      <c r="D531" s="843" t="s">
        <v>2827</v>
      </c>
      <c r="E531" s="40">
        <f>DMT!$H$10</f>
        <v>27.8</v>
      </c>
      <c r="F531" s="843"/>
      <c r="G531" s="375" t="s">
        <v>2799</v>
      </c>
      <c r="H531" s="361"/>
      <c r="I531" s="357">
        <f>MAX($I$13:I530)+1</f>
        <v>284</v>
      </c>
      <c r="J531" s="361" t="s">
        <v>2843</v>
      </c>
    </row>
    <row r="532" spans="1:10" x14ac:dyDescent="0.25">
      <c r="A532" s="329">
        <f>A531</f>
        <v>1</v>
      </c>
      <c r="B532" s="329"/>
      <c r="C532" s="1773"/>
      <c r="D532" s="843" t="s">
        <v>2831</v>
      </c>
      <c r="E532" s="373">
        <v>1.5</v>
      </c>
      <c r="F532" s="843"/>
      <c r="G532" s="375" t="s">
        <v>2832</v>
      </c>
      <c r="H532" s="361"/>
      <c r="I532" s="357">
        <f>MAX($I$13:I531)+1</f>
        <v>285</v>
      </c>
      <c r="J532" s="361" t="s">
        <v>2843</v>
      </c>
    </row>
    <row r="533" spans="1:10" s="188" customFormat="1" x14ac:dyDescent="0.25">
      <c r="A533" s="185">
        <f>A532</f>
        <v>1</v>
      </c>
      <c r="B533" s="198">
        <f>oR!D214</f>
        <v>180</v>
      </c>
      <c r="C533" s="1773"/>
      <c r="D533" s="840" t="s">
        <v>2828</v>
      </c>
      <c r="E533" s="199">
        <f>E530*E531*E532*1.5</f>
        <v>10051.16</v>
      </c>
      <c r="F533" s="199">
        <f>SUM(E533:E533)</f>
        <v>10051.16</v>
      </c>
      <c r="G533" s="376" t="s">
        <v>2784</v>
      </c>
      <c r="H533" s="366">
        <f>C517</f>
        <v>5914389</v>
      </c>
      <c r="I533" s="369">
        <f>MAX($I$13:I532)+1</f>
        <v>286</v>
      </c>
      <c r="J533" s="65" t="str">
        <f>CONCATENATE("(",I533,")"," = ","(",I532,")*(",I531,")*(",I530,")*1,5")</f>
        <v>(286) = (285)*(284)*(283)*1,5</v>
      </c>
    </row>
    <row r="534" spans="1:10" ht="13.5" thickBot="1" x14ac:dyDescent="0.3">
      <c r="A534" s="329">
        <f>A518</f>
        <v>1</v>
      </c>
      <c r="B534" s="329"/>
      <c r="C534" s="329"/>
      <c r="D534" s="329"/>
      <c r="E534" s="329"/>
      <c r="F534" s="329"/>
    </row>
    <row r="535" spans="1:10" s="191" customFormat="1" ht="15.75" thickBot="1" x14ac:dyDescent="0.3">
      <c r="A535" s="686">
        <f>IF(E549=0,0,1)</f>
        <v>1</v>
      </c>
      <c r="B535" s="189"/>
      <c r="C535" s="190">
        <f>oR!G215</f>
        <v>4011276</v>
      </c>
      <c r="D535" s="324" t="str">
        <f>oR!H215</f>
        <v>Base ou sub-base de brita graduada com brita comercial</v>
      </c>
      <c r="F535" s="325"/>
      <c r="G535" s="392"/>
      <c r="H535" s="364"/>
      <c r="I535" s="364"/>
      <c r="J535" s="364"/>
    </row>
    <row r="536" spans="1:10" s="191" customFormat="1" ht="15.75" thickBot="1" x14ac:dyDescent="0.3">
      <c r="A536" s="686">
        <f>IF(E552=0,0,1)</f>
        <v>1</v>
      </c>
      <c r="B536" s="189"/>
      <c r="C536" s="190">
        <f>oR!G216</f>
        <v>5914389</v>
      </c>
      <c r="D536" s="324" t="str">
        <f>oR!H216</f>
        <v>Transporte com caminhão basculante de 10 m³ - rodovia pavimentada</v>
      </c>
      <c r="F536" s="325"/>
      <c r="G536" s="392"/>
      <c r="H536" s="364"/>
      <c r="I536" s="364"/>
      <c r="J536" s="364"/>
    </row>
    <row r="537" spans="1:10" ht="24" customHeight="1" x14ac:dyDescent="0.25">
      <c r="A537" s="329">
        <f>A535</f>
        <v>1</v>
      </c>
      <c r="B537" s="329"/>
      <c r="C537" s="193"/>
      <c r="D537" s="1782" t="s">
        <v>2819</v>
      </c>
      <c r="E537" s="1783"/>
      <c r="F537" s="1783"/>
      <c r="G537" s="1783"/>
      <c r="H537" s="1783"/>
      <c r="I537" s="1783"/>
      <c r="J537" s="1783"/>
    </row>
    <row r="538" spans="1:10" x14ac:dyDescent="0.25">
      <c r="A538" s="329">
        <f>A537</f>
        <v>1</v>
      </c>
      <c r="B538" s="329"/>
      <c r="C538" s="193"/>
      <c r="D538" s="194" t="s">
        <v>2830</v>
      </c>
      <c r="E538" s="329"/>
      <c r="F538" s="844"/>
      <c r="G538" s="393"/>
      <c r="H538" s="365"/>
      <c r="I538" s="365"/>
      <c r="J538" s="365"/>
    </row>
    <row r="539" spans="1:10" x14ac:dyDescent="0.25">
      <c r="A539" s="329">
        <f>A538</f>
        <v>1</v>
      </c>
      <c r="B539" s="329"/>
      <c r="C539" s="1777" t="s">
        <v>42</v>
      </c>
      <c r="D539" s="1777"/>
      <c r="E539" s="327" t="str">
        <f>E$12</f>
        <v>ESTR. DE LINHA TAQUARAL</v>
      </c>
      <c r="F539" s="840" t="s">
        <v>96</v>
      </c>
      <c r="G539" s="376"/>
      <c r="H539" s="65"/>
      <c r="I539" s="65"/>
      <c r="J539" s="65"/>
    </row>
    <row r="540" spans="1:10" x14ac:dyDescent="0.25">
      <c r="A540" s="329">
        <f>A539</f>
        <v>1</v>
      </c>
      <c r="B540" s="329"/>
      <c r="C540" s="1773" t="s">
        <v>2820</v>
      </c>
      <c r="D540" s="843" t="str">
        <f>D521</f>
        <v>Área de pavimento novo</v>
      </c>
      <c r="E540" s="40">
        <f>E521</f>
        <v>992.85</v>
      </c>
      <c r="F540" s="40">
        <f>SUM(E540:E540)</f>
        <v>992.85</v>
      </c>
      <c r="G540" s="375" t="s">
        <v>2595</v>
      </c>
      <c r="I540" s="357">
        <f>MAX($I$13:I539)+1</f>
        <v>287</v>
      </c>
      <c r="J540" s="361" t="str">
        <f>CONCATENATE("(",I540,")"," = ","(",I510,")")</f>
        <v>(287) = (269)</v>
      </c>
    </row>
    <row r="541" spans="1:10" x14ac:dyDescent="0.25">
      <c r="A541" s="329">
        <f>A540</f>
        <v>1</v>
      </c>
      <c r="B541" s="396"/>
      <c r="C541" s="1773"/>
      <c r="D541" s="843" t="s">
        <v>2821</v>
      </c>
      <c r="E541" s="373">
        <f>DimPAV!E38/100</f>
        <v>0.15</v>
      </c>
      <c r="F541" s="40"/>
      <c r="G541" s="375" t="s">
        <v>2598</v>
      </c>
      <c r="I541" s="357">
        <f>MAX($I$13:I540)+1</f>
        <v>288</v>
      </c>
      <c r="J541" s="329" t="s">
        <v>2845</v>
      </c>
    </row>
    <row r="542" spans="1:10" x14ac:dyDescent="0.25">
      <c r="A542" s="329">
        <f>A541</f>
        <v>1</v>
      </c>
      <c r="B542" s="329"/>
      <c r="C542" s="1773"/>
      <c r="D542" s="843" t="s">
        <v>100</v>
      </c>
      <c r="E542" s="331">
        <f>E541*E540</f>
        <v>148.93</v>
      </c>
      <c r="F542" s="40">
        <f>SUM(E542:E542)</f>
        <v>148.93</v>
      </c>
      <c r="G542" s="375" t="s">
        <v>2596</v>
      </c>
      <c r="I542" s="357">
        <f>MAX($I$13:I541)+1</f>
        <v>289</v>
      </c>
      <c r="J542" s="361" t="str">
        <f>CONCATENATE("(",I542,")"," = ","(",I540,")*(",I541,")")</f>
        <v>(289) = (287)*(288)</v>
      </c>
    </row>
    <row r="543" spans="1:10" x14ac:dyDescent="0.25">
      <c r="A543" s="329">
        <f t="shared" ref="A543:A552" si="73">A542</f>
        <v>1</v>
      </c>
      <c r="B543" s="329"/>
      <c r="C543" s="1773" t="s">
        <v>2822</v>
      </c>
      <c r="D543" s="843" t="str">
        <f>D524</f>
        <v>Extensão de pista</v>
      </c>
      <c r="E543" s="40">
        <f>E524</f>
        <v>140</v>
      </c>
      <c r="F543" s="40">
        <f>SUM(E543:E543)</f>
        <v>140</v>
      </c>
      <c r="G543" s="375" t="s">
        <v>2598</v>
      </c>
      <c r="I543" s="357">
        <f>MAX($I$13:I542)+1</f>
        <v>290</v>
      </c>
      <c r="J543" s="361" t="str">
        <f>CONCATENATE("(",I543,")"," = ","(",I104,")")</f>
        <v>(290) = ()</v>
      </c>
    </row>
    <row r="544" spans="1:10" x14ac:dyDescent="0.25">
      <c r="A544" s="329">
        <f t="shared" si="73"/>
        <v>1</v>
      </c>
      <c r="B544" s="329"/>
      <c r="C544" s="1773"/>
      <c r="D544" s="843" t="str">
        <f>D526</f>
        <v>Sobre largura base</v>
      </c>
      <c r="E544" s="40">
        <f>E545+E547</f>
        <v>0.2</v>
      </c>
      <c r="F544" s="843"/>
      <c r="G544" s="375" t="s">
        <v>2598</v>
      </c>
      <c r="I544" s="357">
        <f>MAX($I$13:I543)+1</f>
        <v>291</v>
      </c>
      <c r="J544" s="361" t="str">
        <f>CONCATENATE("(",I544,")"," = ","(",I545,")+(",I547,")")</f>
        <v>(291) = (292)+(294)</v>
      </c>
    </row>
    <row r="545" spans="1:10" x14ac:dyDescent="0.25">
      <c r="A545" s="329">
        <f t="shared" si="73"/>
        <v>1</v>
      </c>
      <c r="B545" s="329"/>
      <c r="C545" s="1773"/>
      <c r="D545" s="843" t="s">
        <v>2829</v>
      </c>
      <c r="E545" s="373">
        <f>E584</f>
        <v>0.05</v>
      </c>
      <c r="F545" s="843"/>
      <c r="G545" s="375" t="s">
        <v>2598</v>
      </c>
      <c r="I545" s="357">
        <f>MAX($I$13:I544)+1</f>
        <v>292</v>
      </c>
      <c r="J545" s="329" t="s">
        <v>2842</v>
      </c>
    </row>
    <row r="546" spans="1:10" x14ac:dyDescent="0.25">
      <c r="A546" s="329">
        <f t="shared" si="73"/>
        <v>1</v>
      </c>
      <c r="B546" s="329"/>
      <c r="C546" s="1773"/>
      <c r="D546" s="843" t="str">
        <f>D527</f>
        <v>Sobre largura média</v>
      </c>
      <c r="E546" s="40">
        <f>AVERAGE(E544:E545)</f>
        <v>0.13</v>
      </c>
      <c r="F546" s="843"/>
      <c r="G546" s="375" t="s">
        <v>2598</v>
      </c>
      <c r="I546" s="357">
        <f>MAX($I$13:I545)+1</f>
        <v>293</v>
      </c>
      <c r="J546" s="361" t="str">
        <f>CONCATENATE("(",I546,")"," = ","[(",I544,")+(",I545,")]/2")</f>
        <v>(293) = [(291)+(292)]/2</v>
      </c>
    </row>
    <row r="547" spans="1:10" x14ac:dyDescent="0.25">
      <c r="A547" s="329">
        <f t="shared" si="73"/>
        <v>1</v>
      </c>
      <c r="B547" s="329"/>
      <c r="C547" s="1773"/>
      <c r="D547" s="843" t="str">
        <f>D541</f>
        <v>Espessura da camada</v>
      </c>
      <c r="E547" s="40">
        <f>E541</f>
        <v>0.15</v>
      </c>
      <c r="F547" s="843"/>
      <c r="G547" s="375" t="s">
        <v>2598</v>
      </c>
      <c r="I547" s="357">
        <f>MAX($I$13:I546)+1</f>
        <v>294</v>
      </c>
      <c r="J547" s="361" t="str">
        <f>CONCATENATE("(",I547,")"," = ","(",I541,")")</f>
        <v>(294) = (288)</v>
      </c>
    </row>
    <row r="548" spans="1:10" x14ac:dyDescent="0.25">
      <c r="A548" s="329">
        <f t="shared" si="73"/>
        <v>1</v>
      </c>
      <c r="B548" s="329"/>
      <c r="C548" s="1773"/>
      <c r="D548" s="843" t="str">
        <f>D542</f>
        <v>Volume</v>
      </c>
      <c r="E548" s="40">
        <f>E547*E546*E543*2</f>
        <v>5.46</v>
      </c>
      <c r="F548" s="40">
        <f>SUM(E548:E548)</f>
        <v>5.46</v>
      </c>
      <c r="G548" s="375" t="s">
        <v>2596</v>
      </c>
      <c r="I548" s="357">
        <f>MAX($I$13:I547)+1</f>
        <v>295</v>
      </c>
      <c r="J548" s="361" t="str">
        <f>CONCATENATE("(",I548,")"," = ","(",I547,")*(",I546,")*(",I543,")*2")</f>
        <v>(295) = (294)*(293)*(290)*2</v>
      </c>
    </row>
    <row r="549" spans="1:10" s="188" customFormat="1" x14ac:dyDescent="0.25">
      <c r="A549" s="329">
        <f t="shared" si="73"/>
        <v>1</v>
      </c>
      <c r="B549" s="198">
        <f>oR!D215</f>
        <v>181</v>
      </c>
      <c r="C549" s="1778" t="s">
        <v>2825</v>
      </c>
      <c r="D549" s="1778"/>
      <c r="E549" s="363">
        <f>E548+E542</f>
        <v>154.38999999999999</v>
      </c>
      <c r="F549" s="199">
        <f>SUM(E549:E549)</f>
        <v>154.38999999999999</v>
      </c>
      <c r="G549" s="376" t="s">
        <v>2596</v>
      </c>
      <c r="H549" s="198">
        <f>C535</f>
        <v>4011276</v>
      </c>
      <c r="I549" s="369">
        <f>MAX($I$13:I548)+1</f>
        <v>296</v>
      </c>
      <c r="J549" s="65" t="str">
        <f>CONCATENATE("(",I549,")"," = ","(",I548,")+(",I542,")")</f>
        <v>(296) = (295)+(289)</v>
      </c>
    </row>
    <row r="550" spans="1:10" x14ac:dyDescent="0.25">
      <c r="A550" s="329">
        <f>A536</f>
        <v>1</v>
      </c>
      <c r="B550" s="329"/>
      <c r="C550" s="1773" t="s">
        <v>2826</v>
      </c>
      <c r="D550" s="843" t="s">
        <v>2827</v>
      </c>
      <c r="E550" s="40">
        <f>DMT!$H$10</f>
        <v>27.8</v>
      </c>
      <c r="F550" s="843"/>
      <c r="G550" s="375" t="s">
        <v>2799</v>
      </c>
      <c r="H550" s="361"/>
      <c r="I550" s="357">
        <f>MAX($I$13:I549)+1</f>
        <v>297</v>
      </c>
      <c r="J550" s="361" t="s">
        <v>2843</v>
      </c>
    </row>
    <row r="551" spans="1:10" x14ac:dyDescent="0.25">
      <c r="A551" s="329">
        <f t="shared" si="73"/>
        <v>1</v>
      </c>
      <c r="B551" s="329"/>
      <c r="C551" s="1773"/>
      <c r="D551" s="843" t="s">
        <v>2831</v>
      </c>
      <c r="E551" s="373">
        <v>1.5</v>
      </c>
      <c r="F551" s="843"/>
      <c r="G551" s="375" t="s">
        <v>2832</v>
      </c>
      <c r="H551" s="361"/>
      <c r="I551" s="357">
        <f>MAX($I$13:I550)+1</f>
        <v>298</v>
      </c>
      <c r="J551" s="361" t="s">
        <v>2843</v>
      </c>
    </row>
    <row r="552" spans="1:10" s="188" customFormat="1" x14ac:dyDescent="0.25">
      <c r="A552" s="329">
        <f t="shared" si="73"/>
        <v>1</v>
      </c>
      <c r="B552" s="198">
        <f>oR!D216</f>
        <v>182</v>
      </c>
      <c r="C552" s="1773"/>
      <c r="D552" s="840" t="s">
        <v>2828</v>
      </c>
      <c r="E552" s="199">
        <f>E549*E550*E551*1.5</f>
        <v>9657.09</v>
      </c>
      <c r="F552" s="199">
        <f>SUM(E552:E552)</f>
        <v>9657.09</v>
      </c>
      <c r="G552" s="376" t="s">
        <v>2784</v>
      </c>
      <c r="H552" s="366">
        <f>C536</f>
        <v>5914389</v>
      </c>
      <c r="I552" s="369">
        <f>MAX($I$13:I551)+1</f>
        <v>299</v>
      </c>
      <c r="J552" s="65" t="str">
        <f>CONCATENATE("(",I552,")"," = ","(",I551,")*(",I550,")*(",I549,")*1,5")</f>
        <v>(299) = (298)*(297)*(296)*1,5</v>
      </c>
    </row>
    <row r="553" spans="1:10" ht="13.5" thickBot="1" x14ac:dyDescent="0.3">
      <c r="A553" s="329">
        <f>A537</f>
        <v>1</v>
      </c>
      <c r="B553" s="329"/>
      <c r="C553" s="329"/>
      <c r="D553" s="329"/>
      <c r="E553" s="329"/>
      <c r="F553" s="329"/>
    </row>
    <row r="554" spans="1:10" s="191" customFormat="1" ht="15.75" thickBot="1" x14ac:dyDescent="0.3">
      <c r="A554" s="686">
        <f>IF(E559=0,0,1)</f>
        <v>1</v>
      </c>
      <c r="B554" s="189"/>
      <c r="C554" s="190">
        <f>oR!G217</f>
        <v>4011352</v>
      </c>
      <c r="D554" s="324" t="str">
        <f>oR!H217</f>
        <v>Imprimação com emulsão asfáltica</v>
      </c>
      <c r="F554" s="325"/>
      <c r="G554" s="392"/>
      <c r="H554" s="364"/>
      <c r="I554" s="364"/>
      <c r="J554" s="364"/>
    </row>
    <row r="555" spans="1:10" s="191" customFormat="1" ht="15.75" thickBot="1" x14ac:dyDescent="0.3">
      <c r="A555" s="686">
        <f>IF(E561=0,0,1)</f>
        <v>1</v>
      </c>
      <c r="B555" s="189"/>
      <c r="C555" s="190" t="str">
        <f>oR!G218</f>
        <v>EAI</v>
      </c>
      <c r="D555" s="324" t="str">
        <f>oR!H218</f>
        <v>Emulsão asfáltica para serviço de imprimação</v>
      </c>
      <c r="F555" s="325"/>
      <c r="G555" s="392"/>
      <c r="H555" s="364"/>
      <c r="I555" s="364"/>
      <c r="J555" s="364"/>
    </row>
    <row r="556" spans="1:10" s="191" customFormat="1" ht="15.75" thickBot="1" x14ac:dyDescent="0.3">
      <c r="A556" s="686">
        <f>IF(E562=0,0,1)</f>
        <v>1</v>
      </c>
      <c r="B556" s="189"/>
      <c r="C556" s="190" t="str">
        <f>oR!G219</f>
        <v>T-EAI</v>
      </c>
      <c r="D556" s="324" t="str">
        <f>oR!H219</f>
        <v>Transporte de Emulsão asfáltica para serviço de imprimação</v>
      </c>
      <c r="F556" s="325"/>
      <c r="G556" s="392"/>
      <c r="H556" s="364"/>
      <c r="I556" s="364"/>
      <c r="J556" s="364"/>
    </row>
    <row r="557" spans="1:10" x14ac:dyDescent="0.25">
      <c r="A557" s="329">
        <f>A553</f>
        <v>1</v>
      </c>
      <c r="B557" s="329"/>
      <c r="C557" s="193"/>
      <c r="D557" s="194" t="s">
        <v>3888</v>
      </c>
      <c r="E557" s="329"/>
      <c r="F557" s="844"/>
      <c r="G557" s="393"/>
      <c r="H557" s="365"/>
      <c r="I557" s="365"/>
      <c r="J557" s="365"/>
    </row>
    <row r="558" spans="1:10" x14ac:dyDescent="0.25">
      <c r="A558" s="329">
        <f t="shared" ref="A558" si="74">A554</f>
        <v>1</v>
      </c>
      <c r="B558" s="329"/>
      <c r="C558" s="1777" t="s">
        <v>42</v>
      </c>
      <c r="D558" s="1777"/>
      <c r="E558" s="327" t="str">
        <f>E$12</f>
        <v>ESTR. DE LINHA TAQUARAL</v>
      </c>
      <c r="F558" s="840" t="s">
        <v>96</v>
      </c>
      <c r="G558" s="376"/>
      <c r="H558" s="65"/>
      <c r="I558" s="65"/>
      <c r="J558" s="65"/>
    </row>
    <row r="559" spans="1:10" s="188" customFormat="1" x14ac:dyDescent="0.25">
      <c r="A559" s="329">
        <f>A558</f>
        <v>1</v>
      </c>
      <c r="B559" s="198">
        <f>B552+1</f>
        <v>183</v>
      </c>
      <c r="C559" s="841"/>
      <c r="D559" s="840" t="s">
        <v>2601</v>
      </c>
      <c r="E559" s="363">
        <f>E510</f>
        <v>992.85</v>
      </c>
      <c r="F559" s="199">
        <f>SUM(E559:E559)</f>
        <v>992.85</v>
      </c>
      <c r="G559" s="376" t="s">
        <v>2595</v>
      </c>
      <c r="H559" s="198">
        <f>C554</f>
        <v>4011352</v>
      </c>
      <c r="I559" s="369">
        <f>MAX($I$13:I558)+1</f>
        <v>300</v>
      </c>
      <c r="J559" s="65" t="str">
        <f>CONCATENATE("(",I559,")"," = ","(",I510,")")</f>
        <v>(300) = (269)</v>
      </c>
    </row>
    <row r="560" spans="1:10" x14ac:dyDescent="0.25">
      <c r="A560" s="329">
        <f>A555</f>
        <v>1</v>
      </c>
      <c r="B560" s="329"/>
      <c r="C560" s="1773" t="s">
        <v>3176</v>
      </c>
      <c r="D560" s="1097" t="s">
        <v>6485</v>
      </c>
      <c r="E560" s="696">
        <v>1.2</v>
      </c>
      <c r="F560" s="40"/>
      <c r="G560" s="375" t="s">
        <v>15</v>
      </c>
      <c r="I560" s="357">
        <f>MAX($I$13:I559)+1</f>
        <v>301</v>
      </c>
      <c r="J560" s="361" t="s">
        <v>2843</v>
      </c>
    </row>
    <row r="561" spans="1:13" s="188" customFormat="1" x14ac:dyDescent="0.25">
      <c r="A561" s="329">
        <f t="shared" ref="A561" si="75">A560</f>
        <v>1</v>
      </c>
      <c r="B561" s="198">
        <f>B559+1</f>
        <v>184</v>
      </c>
      <c r="C561" s="1773"/>
      <c r="D561" s="1102" t="s">
        <v>12</v>
      </c>
      <c r="E561" s="363">
        <f>E559*E560/1000</f>
        <v>1.19</v>
      </c>
      <c r="F561" s="199">
        <f>SUM(E561:E561)</f>
        <v>1.19</v>
      </c>
      <c r="G561" s="376" t="s">
        <v>2695</v>
      </c>
      <c r="H561" s="198" t="str">
        <f>C555</f>
        <v>EAI</v>
      </c>
      <c r="I561" s="369">
        <f>MAX($I$13:I560)+1</f>
        <v>302</v>
      </c>
      <c r="J561" s="65" t="str">
        <f>CONCATENATE("(",I561,")"," = ","(",I559,")*(",I560,")/1000")</f>
        <v>(302) = (300)*(301)/1000</v>
      </c>
    </row>
    <row r="562" spans="1:13" s="188" customFormat="1" x14ac:dyDescent="0.25">
      <c r="A562" s="329">
        <f>A556</f>
        <v>1</v>
      </c>
      <c r="B562" s="198">
        <f>B561+1</f>
        <v>185</v>
      </c>
      <c r="C562" s="1104"/>
      <c r="D562" s="1102" t="s">
        <v>6488</v>
      </c>
      <c r="E562" s="199">
        <f>E561</f>
        <v>1.19</v>
      </c>
      <c r="F562" s="199">
        <f>SUM(E562:E562)</f>
        <v>1.19</v>
      </c>
      <c r="G562" s="376" t="s">
        <v>2695</v>
      </c>
      <c r="H562" s="366" t="str">
        <f>C556</f>
        <v>T-EAI</v>
      </c>
      <c r="I562" s="369">
        <f>MAX($I$13:I561)+1</f>
        <v>303</v>
      </c>
      <c r="J562" s="65" t="str">
        <f>CONCATENATE("(",I562,")"," = ","(",I561,")")</f>
        <v>(303) = (302)</v>
      </c>
    </row>
    <row r="563" spans="1:13" ht="13.5" thickBot="1" x14ac:dyDescent="0.3">
      <c r="A563" s="329">
        <f>A554</f>
        <v>1</v>
      </c>
      <c r="B563" s="329"/>
      <c r="C563" s="329"/>
      <c r="D563" s="329"/>
      <c r="E563" s="329"/>
      <c r="F563" s="329"/>
    </row>
    <row r="564" spans="1:13" s="191" customFormat="1" ht="15.75" thickBot="1" x14ac:dyDescent="0.3">
      <c r="A564" s="686">
        <f>IF(E569=0,0,1)</f>
        <v>1</v>
      </c>
      <c r="B564" s="189"/>
      <c r="C564" s="190">
        <f>oR!G220</f>
        <v>4011353</v>
      </c>
      <c r="D564" s="324" t="str">
        <f>oR!H220</f>
        <v>Pintura de ligação</v>
      </c>
      <c r="F564" s="325"/>
      <c r="G564" s="392"/>
      <c r="H564" s="364"/>
      <c r="I564" s="364"/>
      <c r="J564" s="364"/>
    </row>
    <row r="565" spans="1:13" s="191" customFormat="1" ht="15.75" thickBot="1" x14ac:dyDescent="0.3">
      <c r="A565" s="686">
        <f>IF(E570=0,0,1)</f>
        <v>1</v>
      </c>
      <c r="B565" s="189"/>
      <c r="C565" s="190" t="str">
        <f>oR!G221</f>
        <v>RR-1C</v>
      </c>
      <c r="D565" s="324" t="str">
        <f>oR!H221</f>
        <v>Emulsões asfálticas RR-1C</v>
      </c>
      <c r="F565" s="325"/>
      <c r="G565" s="392"/>
      <c r="H565" s="364"/>
      <c r="I565" s="364"/>
      <c r="J565" s="364"/>
    </row>
    <row r="566" spans="1:13" s="191" customFormat="1" ht="15.75" thickBot="1" x14ac:dyDescent="0.3">
      <c r="A566" s="686">
        <f>IF(E571=0,0,1)</f>
        <v>1</v>
      </c>
      <c r="B566" s="189"/>
      <c r="C566" s="190" t="str">
        <f>oR!G222</f>
        <v>T-RR-1C</v>
      </c>
      <c r="D566" s="324" t="str">
        <f>oR!H222</f>
        <v>Transporte de Emulsões asfálticas RR-1C</v>
      </c>
      <c r="F566" s="325"/>
      <c r="G566" s="392"/>
      <c r="H566" s="364"/>
      <c r="I566" s="364"/>
      <c r="J566" s="364"/>
    </row>
    <row r="567" spans="1:13" x14ac:dyDescent="0.25">
      <c r="A567" s="329">
        <f>A564</f>
        <v>1</v>
      </c>
      <c r="B567" s="329"/>
      <c r="C567" s="193"/>
      <c r="D567" s="194" t="s">
        <v>3889</v>
      </c>
      <c r="E567" s="329"/>
      <c r="F567" s="844"/>
      <c r="G567" s="393"/>
      <c r="H567" s="365"/>
      <c r="I567" s="365"/>
      <c r="J567" s="365"/>
    </row>
    <row r="568" spans="1:13" x14ac:dyDescent="0.25">
      <c r="A568" s="329">
        <f>A564</f>
        <v>1</v>
      </c>
      <c r="B568" s="329"/>
      <c r="C568" s="1777" t="s">
        <v>42</v>
      </c>
      <c r="D568" s="1777"/>
      <c r="E568" s="327" t="str">
        <f>E$12</f>
        <v>ESTR. DE LINHA TAQUARAL</v>
      </c>
      <c r="F568" s="840" t="s">
        <v>96</v>
      </c>
      <c r="G568" s="376"/>
      <c r="H568" s="65"/>
      <c r="I568" s="65"/>
      <c r="J568" s="65"/>
    </row>
    <row r="569" spans="1:13" s="188" customFormat="1" x14ac:dyDescent="0.25">
      <c r="A569" s="329">
        <f>A568</f>
        <v>1</v>
      </c>
      <c r="B569" s="198">
        <f>oR!D220</f>
        <v>186</v>
      </c>
      <c r="C569" s="841"/>
      <c r="D569" s="840" t="s">
        <v>2601</v>
      </c>
      <c r="E569" s="363">
        <f>E510</f>
        <v>992.85</v>
      </c>
      <c r="F569" s="199">
        <f>SUM(E569:E569)</f>
        <v>992.85</v>
      </c>
      <c r="G569" s="376" t="s">
        <v>2595</v>
      </c>
      <c r="H569" s="198">
        <f>C564</f>
        <v>4011353</v>
      </c>
      <c r="I569" s="369">
        <f>MAX($I$13:I568)+1</f>
        <v>304</v>
      </c>
      <c r="J569" s="65" t="str">
        <f>CONCATENATE("(",I569,")"," = ","(",I510,")")</f>
        <v>(304) = (269)</v>
      </c>
      <c r="M569" s="201"/>
    </row>
    <row r="570" spans="1:13" x14ac:dyDescent="0.25">
      <c r="A570" s="329">
        <f>A565</f>
        <v>1</v>
      </c>
      <c r="B570" s="329"/>
      <c r="C570" s="1773" t="s">
        <v>6486</v>
      </c>
      <c r="D570" s="1097" t="s">
        <v>6485</v>
      </c>
      <c r="E570" s="696">
        <v>0.5</v>
      </c>
      <c r="F570" s="40"/>
      <c r="G570" s="375" t="s">
        <v>15</v>
      </c>
      <c r="I570" s="357">
        <f>MAX($I$13:I569)+1</f>
        <v>305</v>
      </c>
      <c r="J570" s="361" t="s">
        <v>2843</v>
      </c>
    </row>
    <row r="571" spans="1:13" s="188" customFormat="1" x14ac:dyDescent="0.25">
      <c r="A571" s="329">
        <f t="shared" ref="A571" si="76">A570</f>
        <v>1</v>
      </c>
      <c r="B571" s="198">
        <f>B569+1</f>
        <v>187</v>
      </c>
      <c r="C571" s="1773"/>
      <c r="D571" s="1102" t="s">
        <v>12</v>
      </c>
      <c r="E571" s="363">
        <f>E569*E570/1000</f>
        <v>0.5</v>
      </c>
      <c r="F571" s="199">
        <f>SUM(E571:E571)</f>
        <v>0.5</v>
      </c>
      <c r="G571" s="376" t="s">
        <v>2695</v>
      </c>
      <c r="H571" s="198" t="str">
        <f>C565</f>
        <v>RR-1C</v>
      </c>
      <c r="I571" s="369">
        <f>MAX($I$13:I570)+1</f>
        <v>306</v>
      </c>
      <c r="J571" s="65" t="str">
        <f>CONCATENATE("(",I571,")"," = ","(",I569,")*(",I570,")/1000")</f>
        <v>(306) = (304)*(305)/1000</v>
      </c>
    </row>
    <row r="572" spans="1:13" s="188" customFormat="1" x14ac:dyDescent="0.25">
      <c r="A572" s="329">
        <f>A566</f>
        <v>1</v>
      </c>
      <c r="B572" s="198">
        <f>B571+1</f>
        <v>188</v>
      </c>
      <c r="C572" s="1103"/>
      <c r="D572" s="1102" t="s">
        <v>6487</v>
      </c>
      <c r="E572" s="199">
        <f>E571</f>
        <v>0.5</v>
      </c>
      <c r="F572" s="199">
        <f>SUM(E572:E572)</f>
        <v>0.5</v>
      </c>
      <c r="G572" s="376" t="s">
        <v>2695</v>
      </c>
      <c r="H572" s="366" t="str">
        <f>C566</f>
        <v>T-RR-1C</v>
      </c>
      <c r="I572" s="369">
        <f>MAX($I$13:I571)+1</f>
        <v>307</v>
      </c>
      <c r="J572" s="65" t="str">
        <f>CONCATENATE("(",I572,")"," = ","(",I571,")")</f>
        <v>(307) = (306)</v>
      </c>
    </row>
    <row r="573" spans="1:13" ht="13.5" thickBot="1" x14ac:dyDescent="0.3">
      <c r="A573" s="329">
        <f>A564</f>
        <v>1</v>
      </c>
      <c r="B573" s="329"/>
      <c r="C573" s="329"/>
      <c r="D573" s="329"/>
      <c r="E573" s="329"/>
      <c r="F573" s="329"/>
      <c r="M573" s="197"/>
    </row>
    <row r="574" spans="1:13" s="191" customFormat="1" ht="15.75" thickBot="1" x14ac:dyDescent="0.3">
      <c r="A574" s="686">
        <f>IF(E588=0,0,1)</f>
        <v>1</v>
      </c>
      <c r="B574" s="189"/>
      <c r="C574" s="190">
        <f>oR!G223</f>
        <v>4011459</v>
      </c>
      <c r="D574" s="324" t="str">
        <f>oR!H223</f>
        <v>Concreto asfáltico - faixa B - areia e brita comerciais</v>
      </c>
      <c r="F574" s="325"/>
      <c r="G574" s="392"/>
      <c r="H574" s="364"/>
      <c r="I574" s="364"/>
      <c r="J574" s="364"/>
      <c r="M574" s="416"/>
    </row>
    <row r="575" spans="1:13" s="191" customFormat="1" ht="15.75" thickBot="1" x14ac:dyDescent="0.3">
      <c r="A575" s="686">
        <f>IF(E590=0,0,1)</f>
        <v>1</v>
      </c>
      <c r="B575" s="189"/>
      <c r="C575" s="190">
        <f>oR!G224</f>
        <v>5914389</v>
      </c>
      <c r="D575" s="324" t="str">
        <f>oR!H224</f>
        <v>Transporte com caminhão basculante de 10 m³ - rodovia pavimentada</v>
      </c>
      <c r="F575" s="325"/>
      <c r="G575" s="392"/>
      <c r="H575" s="364"/>
      <c r="I575" s="364"/>
      <c r="J575" s="364"/>
      <c r="M575" s="416"/>
    </row>
    <row r="576" spans="1:13" s="191" customFormat="1" ht="15.75" thickBot="1" x14ac:dyDescent="0.3">
      <c r="A576" s="686">
        <f>IF(E592=0,0,1)</f>
        <v>1</v>
      </c>
      <c r="B576" s="189"/>
      <c r="C576" s="190" t="str">
        <f>oR!G225</f>
        <v>CAP 50-70</v>
      </c>
      <c r="D576" s="324" t="str">
        <f>oR!H225</f>
        <v>Cimentos asfálticos CAP-50-70</v>
      </c>
      <c r="F576" s="325"/>
      <c r="G576" s="392"/>
      <c r="H576" s="364"/>
      <c r="I576" s="364"/>
      <c r="J576" s="364"/>
      <c r="M576" s="416"/>
    </row>
    <row r="577" spans="1:11" s="191" customFormat="1" ht="15.75" thickBot="1" x14ac:dyDescent="0.3">
      <c r="A577" s="686">
        <f>IF(E593=0,0,1)</f>
        <v>1</v>
      </c>
      <c r="B577" s="189"/>
      <c r="C577" s="190" t="str">
        <f>oR!G226</f>
        <v>T-CAP 50-70</v>
      </c>
      <c r="D577" s="324" t="str">
        <f>oR!H226</f>
        <v>Transporte de Cimentos asfálticos CAP-50-70</v>
      </c>
      <c r="F577" s="325"/>
      <c r="G577" s="392"/>
      <c r="H577" s="364"/>
      <c r="I577" s="364"/>
      <c r="J577" s="364"/>
    </row>
    <row r="578" spans="1:11" x14ac:dyDescent="0.25">
      <c r="A578" s="329">
        <f>A574</f>
        <v>1</v>
      </c>
      <c r="B578" s="329"/>
      <c r="C578" s="193"/>
      <c r="D578" s="194" t="s">
        <v>2833</v>
      </c>
      <c r="E578" s="329"/>
      <c r="F578" s="844"/>
      <c r="G578" s="393"/>
      <c r="H578" s="365"/>
      <c r="I578" s="365"/>
      <c r="J578" s="365"/>
    </row>
    <row r="579" spans="1:11" x14ac:dyDescent="0.25">
      <c r="A579" s="329">
        <f>A578</f>
        <v>1</v>
      </c>
      <c r="B579" s="329"/>
      <c r="C579" s="193"/>
      <c r="D579" s="194" t="s">
        <v>2836</v>
      </c>
      <c r="E579" s="329"/>
      <c r="F579" s="844"/>
      <c r="G579" s="393"/>
      <c r="H579" s="365"/>
      <c r="I579" s="365"/>
      <c r="J579" s="365"/>
    </row>
    <row r="580" spans="1:11" x14ac:dyDescent="0.25">
      <c r="A580" s="329">
        <f t="shared" ref="A580:A592" si="77">A579</f>
        <v>1</v>
      </c>
      <c r="B580" s="329"/>
      <c r="C580" s="193"/>
      <c r="D580" s="194" t="s">
        <v>2834</v>
      </c>
      <c r="E580" s="329"/>
      <c r="F580" s="844"/>
      <c r="G580" s="393"/>
      <c r="H580" s="365"/>
      <c r="I580" s="365"/>
      <c r="J580" s="365"/>
    </row>
    <row r="581" spans="1:11" x14ac:dyDescent="0.25">
      <c r="A581" s="329">
        <f t="shared" si="77"/>
        <v>1</v>
      </c>
      <c r="B581" s="329"/>
      <c r="C581" s="193"/>
      <c r="D581" s="194" t="s">
        <v>2835</v>
      </c>
      <c r="E581" s="329"/>
      <c r="F581" s="844"/>
      <c r="G581" s="393"/>
      <c r="H581" s="365"/>
      <c r="I581" s="365"/>
      <c r="J581" s="365"/>
    </row>
    <row r="582" spans="1:11" x14ac:dyDescent="0.25">
      <c r="A582" s="329">
        <f t="shared" si="77"/>
        <v>1</v>
      </c>
      <c r="B582" s="329"/>
      <c r="C582" s="1777" t="s">
        <v>42</v>
      </c>
      <c r="D582" s="1777"/>
      <c r="E582" s="327" t="str">
        <f>E$12</f>
        <v>ESTR. DE LINHA TAQUARAL</v>
      </c>
      <c r="F582" s="840" t="s">
        <v>96</v>
      </c>
      <c r="G582" s="376"/>
      <c r="H582" s="65"/>
      <c r="I582" s="65"/>
      <c r="J582" s="65"/>
    </row>
    <row r="583" spans="1:11" x14ac:dyDescent="0.25">
      <c r="A583" s="329">
        <f t="shared" si="77"/>
        <v>1</v>
      </c>
      <c r="B583" s="329"/>
      <c r="C583" s="1773" t="s">
        <v>108</v>
      </c>
      <c r="D583" s="843" t="s">
        <v>7242</v>
      </c>
      <c r="E583" s="40">
        <f>E508</f>
        <v>992.85</v>
      </c>
      <c r="F583" s="40">
        <f>SUM(E583:E583)</f>
        <v>992.85</v>
      </c>
      <c r="G583" s="375" t="s">
        <v>2595</v>
      </c>
      <c r="I583" s="357">
        <f>MAX($I$13:I582)+1</f>
        <v>308</v>
      </c>
      <c r="J583" s="361" t="str">
        <f>CONCATENATE("(",I583,")"," = ","(",I565,")")</f>
        <v>(308) = ()</v>
      </c>
      <c r="K583" s="197"/>
    </row>
    <row r="584" spans="1:11" x14ac:dyDescent="0.25">
      <c r="A584" s="329">
        <f t="shared" si="77"/>
        <v>1</v>
      </c>
      <c r="B584" s="396"/>
      <c r="C584" s="1773"/>
      <c r="D584" s="843" t="s">
        <v>2821</v>
      </c>
      <c r="E584" s="372">
        <f>DimPAV!E37/100</f>
        <v>0.05</v>
      </c>
      <c r="F584" s="40"/>
      <c r="G584" s="375" t="s">
        <v>2598</v>
      </c>
      <c r="I584" s="357">
        <f>MAX($I$13:I583)+1</f>
        <v>309</v>
      </c>
      <c r="J584" s="329" t="s">
        <v>2845</v>
      </c>
    </row>
    <row r="585" spans="1:11" hidden="1" x14ac:dyDescent="0.25">
      <c r="B585" s="396"/>
      <c r="C585" s="1789"/>
      <c r="D585" s="1378" t="s">
        <v>7243</v>
      </c>
      <c r="E585" s="40">
        <f>E509</f>
        <v>0</v>
      </c>
      <c r="F585" s="40">
        <f>SUM(E585:E585)</f>
        <v>0</v>
      </c>
      <c r="G585" s="375" t="s">
        <v>2595</v>
      </c>
      <c r="I585" s="357">
        <f>MAX($I$13:I584)+1</f>
        <v>310</v>
      </c>
      <c r="J585" s="361" t="str">
        <f>CONCATENATE("(",I585,")"," = ","(",I567,")")</f>
        <v>(310) = ()</v>
      </c>
    </row>
    <row r="586" spans="1:11" hidden="1" x14ac:dyDescent="0.25">
      <c r="B586" s="396"/>
      <c r="C586" s="1789"/>
      <c r="D586" s="1378" t="s">
        <v>2821</v>
      </c>
      <c r="E586" s="372">
        <f>E584/2</f>
        <v>2.5000000000000001E-2</v>
      </c>
      <c r="F586" s="40"/>
      <c r="G586" s="375" t="s">
        <v>2598</v>
      </c>
      <c r="I586" s="357">
        <f>MAX($I$13:I585)+1</f>
        <v>311</v>
      </c>
      <c r="J586" s="329" t="s">
        <v>2845</v>
      </c>
      <c r="K586" s="197"/>
    </row>
    <row r="587" spans="1:11" x14ac:dyDescent="0.25">
      <c r="A587" s="329">
        <f>A584</f>
        <v>1</v>
      </c>
      <c r="B587" s="329"/>
      <c r="C587" s="1773"/>
      <c r="D587" s="843" t="s">
        <v>2838</v>
      </c>
      <c r="E587" s="373">
        <v>2.5</v>
      </c>
      <c r="F587" s="40"/>
      <c r="G587" s="375" t="s">
        <v>2837</v>
      </c>
      <c r="I587" s="357">
        <f>MAX($I$13:I584)+1</f>
        <v>310</v>
      </c>
      <c r="J587" s="329" t="s">
        <v>2843</v>
      </c>
      <c r="K587" s="197"/>
    </row>
    <row r="588" spans="1:11" s="188" customFormat="1" x14ac:dyDescent="0.25">
      <c r="A588" s="329">
        <f t="shared" si="77"/>
        <v>1</v>
      </c>
      <c r="B588" s="198">
        <f>oR!D223</f>
        <v>189</v>
      </c>
      <c r="C588" s="1773"/>
      <c r="D588" s="840" t="s">
        <v>12</v>
      </c>
      <c r="E588" s="363">
        <f>((E583*E584)+(E585*E586))*E587</f>
        <v>124.11</v>
      </c>
      <c r="F588" s="199">
        <f>SUM(E588:E588)</f>
        <v>124.11</v>
      </c>
      <c r="G588" s="376" t="s">
        <v>2695</v>
      </c>
      <c r="H588" s="198">
        <f>C574</f>
        <v>4011459</v>
      </c>
      <c r="I588" s="369">
        <f>MAX($I$13:I587)+1</f>
        <v>312</v>
      </c>
      <c r="J588" s="65" t="str">
        <f>CONCATENATE("(",I588,")"," = ","(",I587,")*[(",I584,")*(",I583,")+(",I585,")*(",I586,")]")</f>
        <v>(312) = (310)*[(309)*(308)+(310)*(311)]</v>
      </c>
      <c r="K588" s="201"/>
    </row>
    <row r="589" spans="1:11" x14ac:dyDescent="0.25">
      <c r="A589" s="329">
        <f>A575</f>
        <v>1</v>
      </c>
      <c r="B589" s="329"/>
      <c r="C589" s="1773" t="s">
        <v>2826</v>
      </c>
      <c r="D589" s="843" t="s">
        <v>2827</v>
      </c>
      <c r="E589" s="40">
        <f>DMT!$G$10</f>
        <v>25.9</v>
      </c>
      <c r="F589" s="843"/>
      <c r="G589" s="375" t="s">
        <v>2799</v>
      </c>
      <c r="H589" s="361"/>
      <c r="I589" s="357">
        <f>MAX($I$13:I588)+1</f>
        <v>313</v>
      </c>
      <c r="J589" s="361" t="s">
        <v>2843</v>
      </c>
      <c r="K589" s="197"/>
    </row>
    <row r="590" spans="1:11" s="188" customFormat="1" x14ac:dyDescent="0.25">
      <c r="A590" s="329">
        <f t="shared" si="77"/>
        <v>1</v>
      </c>
      <c r="B590" s="198">
        <f>B588+1</f>
        <v>190</v>
      </c>
      <c r="C590" s="1773"/>
      <c r="D590" s="840" t="s">
        <v>2828</v>
      </c>
      <c r="E590" s="199">
        <f>E589*E588</f>
        <v>3214.45</v>
      </c>
      <c r="F590" s="199">
        <f>SUM(E590:E590)</f>
        <v>3214.45</v>
      </c>
      <c r="G590" s="376" t="s">
        <v>2784</v>
      </c>
      <c r="H590" s="366">
        <f>C575</f>
        <v>5914389</v>
      </c>
      <c r="I590" s="369">
        <f>MAX($I$13:I589)+1</f>
        <v>314</v>
      </c>
      <c r="J590" s="65" t="str">
        <f>CONCATENATE("(",I590,")"," = ","(",I588,")*(",I589,")")</f>
        <v>(314) = (312)*(313)</v>
      </c>
    </row>
    <row r="591" spans="1:11" x14ac:dyDescent="0.25">
      <c r="A591" s="329">
        <f>A576</f>
        <v>1</v>
      </c>
      <c r="B591" s="329"/>
      <c r="C591" s="1773" t="s">
        <v>2839</v>
      </c>
      <c r="D591" s="843" t="s">
        <v>2840</v>
      </c>
      <c r="E591" s="696">
        <v>6</v>
      </c>
      <c r="F591" s="40"/>
      <c r="G591" s="375" t="s">
        <v>15</v>
      </c>
      <c r="I591" s="357">
        <f>MAX($I$13:I590)+1</f>
        <v>315</v>
      </c>
      <c r="J591" s="361" t="s">
        <v>2843</v>
      </c>
    </row>
    <row r="592" spans="1:11" s="188" customFormat="1" x14ac:dyDescent="0.25">
      <c r="A592" s="329">
        <f t="shared" si="77"/>
        <v>1</v>
      </c>
      <c r="B592" s="198">
        <f>B590+1</f>
        <v>191</v>
      </c>
      <c r="C592" s="1773"/>
      <c r="D592" s="840" t="s">
        <v>12</v>
      </c>
      <c r="E592" s="363">
        <f>E588*E591/100</f>
        <v>7.45</v>
      </c>
      <c r="F592" s="199">
        <f>SUM(E592:E592)</f>
        <v>7.45</v>
      </c>
      <c r="G592" s="376" t="s">
        <v>2695</v>
      </c>
      <c r="H592" s="198" t="str">
        <f>C576</f>
        <v>CAP 50-70</v>
      </c>
      <c r="I592" s="369">
        <f>MAX($I$13:I591)+1</f>
        <v>316</v>
      </c>
      <c r="J592" s="65" t="str">
        <f>CONCATENATE("(",I592,")"," = ","(",I590,")*(",I591,")")</f>
        <v>(316) = (314)*(315)</v>
      </c>
    </row>
    <row r="593" spans="1:13" s="188" customFormat="1" x14ac:dyDescent="0.25">
      <c r="A593" s="329">
        <f>A577</f>
        <v>1</v>
      </c>
      <c r="B593" s="198">
        <f>B592+1</f>
        <v>192</v>
      </c>
      <c r="C593" s="1103"/>
      <c r="D593" s="840" t="s">
        <v>6489</v>
      </c>
      <c r="E593" s="199">
        <f>E592</f>
        <v>7.45</v>
      </c>
      <c r="F593" s="199">
        <f>SUM(E593:E593)</f>
        <v>7.45</v>
      </c>
      <c r="G593" s="376" t="s">
        <v>2695</v>
      </c>
      <c r="H593" s="366" t="str">
        <f>C577</f>
        <v>T-CAP 50-70</v>
      </c>
      <c r="I593" s="369">
        <f>MAX($I$13:I592)+1</f>
        <v>317</v>
      </c>
      <c r="J593" s="65" t="str">
        <f>CONCATENATE("(",I593,")"," = ","(",I592,")")</f>
        <v>(317) = (316)</v>
      </c>
    </row>
    <row r="594" spans="1:13" s="188" customFormat="1" x14ac:dyDescent="0.25">
      <c r="A594" s="329">
        <f>A578</f>
        <v>1</v>
      </c>
      <c r="B594" s="198"/>
      <c r="C594" s="367"/>
      <c r="D594" s="65"/>
      <c r="E594" s="368"/>
      <c r="F594" s="368"/>
      <c r="G594" s="386"/>
      <c r="H594" s="366"/>
      <c r="I594" s="366"/>
      <c r="J594" s="366"/>
    </row>
    <row r="595" spans="1:13" s="188" customFormat="1" x14ac:dyDescent="0.25">
      <c r="A595" s="185">
        <f>A504</f>
        <v>1</v>
      </c>
      <c r="B595" s="198"/>
      <c r="C595" s="367"/>
      <c r="D595" s="65"/>
      <c r="E595" s="368"/>
      <c r="F595" s="368"/>
      <c r="G595" s="386"/>
      <c r="H595" s="366"/>
      <c r="I595" s="366"/>
      <c r="J595" s="366"/>
    </row>
    <row r="596" spans="1:13" s="188" customFormat="1" ht="13.5" hidden="1" thickBot="1" x14ac:dyDescent="0.3">
      <c r="A596" s="687">
        <f>IF(SUM(A599:A658)&gt;0,1,0)</f>
        <v>0</v>
      </c>
      <c r="B596" s="185"/>
      <c r="C596" s="186"/>
      <c r="D596" s="187" t="str">
        <f>oR!G228</f>
        <v>RECAPEAMENTO - DUAS CAMADAS</v>
      </c>
      <c r="E596" s="187"/>
      <c r="F596" s="187"/>
      <c r="G596" s="391"/>
      <c r="H596" s="186"/>
      <c r="I596" s="186"/>
      <c r="J596" s="186"/>
    </row>
    <row r="597" spans="1:13" s="191" customFormat="1" ht="15.75" hidden="1" thickBot="1" x14ac:dyDescent="0.3">
      <c r="A597" s="686">
        <f>IF(E600=0,0,1)</f>
        <v>0</v>
      </c>
      <c r="B597" s="189"/>
      <c r="C597" s="190">
        <f>oR!G229</f>
        <v>3806402</v>
      </c>
      <c r="D597" s="324" t="str">
        <f>oR!H229</f>
        <v>Limpeza em superfície de concreto com jateamento d'água sob pressão</v>
      </c>
      <c r="F597" s="325"/>
      <c r="G597" s="392"/>
      <c r="H597" s="364"/>
      <c r="I597" s="364"/>
      <c r="J597" s="364"/>
    </row>
    <row r="598" spans="1:13" hidden="1" x14ac:dyDescent="0.25">
      <c r="A598" s="329">
        <f>A597</f>
        <v>0</v>
      </c>
      <c r="B598" s="329"/>
      <c r="C598" s="193"/>
      <c r="D598" s="194" t="s">
        <v>3902</v>
      </c>
      <c r="E598" s="329"/>
      <c r="F598" s="328"/>
      <c r="G598" s="393"/>
      <c r="H598" s="365"/>
      <c r="I598" s="365"/>
      <c r="J598" s="365"/>
    </row>
    <row r="599" spans="1:13" hidden="1" x14ac:dyDescent="0.25">
      <c r="A599" s="329">
        <f t="shared" ref="A599:A601" si="78">A598</f>
        <v>0</v>
      </c>
      <c r="B599" s="329"/>
      <c r="C599" s="1777" t="s">
        <v>42</v>
      </c>
      <c r="D599" s="1777"/>
      <c r="E599" s="327" t="str">
        <f>E$12</f>
        <v>ESTR. DE LINHA TAQUARAL</v>
      </c>
      <c r="F599" s="419" t="s">
        <v>96</v>
      </c>
      <c r="G599" s="376"/>
      <c r="H599" s="65"/>
      <c r="I599" s="65"/>
      <c r="J599" s="65"/>
    </row>
    <row r="600" spans="1:13" s="188" customFormat="1" hidden="1" x14ac:dyDescent="0.25">
      <c r="A600" s="329">
        <f>A597</f>
        <v>0</v>
      </c>
      <c r="B600" s="198">
        <f>oR!D229</f>
        <v>193</v>
      </c>
      <c r="C600" s="1778" t="s">
        <v>2906</v>
      </c>
      <c r="D600" s="1778"/>
      <c r="E600" s="395"/>
      <c r="F600" s="199">
        <f>SUM(E600:E600)</f>
        <v>0</v>
      </c>
      <c r="G600" s="376" t="s">
        <v>2595</v>
      </c>
      <c r="H600" s="198">
        <f>C597</f>
        <v>3806402</v>
      </c>
      <c r="I600" s="369">
        <f>MAX($I$13:I599)+1</f>
        <v>318</v>
      </c>
      <c r="J600" s="65" t="s">
        <v>2842</v>
      </c>
    </row>
    <row r="601" spans="1:13" s="188" customFormat="1" hidden="1" x14ac:dyDescent="0.25">
      <c r="A601" s="329">
        <f t="shared" si="78"/>
        <v>0</v>
      </c>
      <c r="B601" s="198"/>
      <c r="C601" s="65"/>
      <c r="D601" s="65"/>
      <c r="E601" s="426"/>
      <c r="F601" s="368"/>
      <c r="G601" s="386"/>
      <c r="H601" s="198"/>
      <c r="I601" s="369"/>
      <c r="J601" s="65"/>
    </row>
    <row r="602" spans="1:13" s="191" customFormat="1" ht="15.75" hidden="1" thickBot="1" x14ac:dyDescent="0.3">
      <c r="A602" s="686">
        <f>IF(E607=0,0,1)</f>
        <v>0</v>
      </c>
      <c r="B602" s="189"/>
      <c r="C602" s="190">
        <f>oR!G230</f>
        <v>4011353</v>
      </c>
      <c r="D602" s="324" t="str">
        <f>oR!H230</f>
        <v>Pintura de ligação</v>
      </c>
      <c r="F602" s="325"/>
      <c r="G602" s="392"/>
      <c r="H602" s="364"/>
      <c r="I602" s="364"/>
      <c r="J602" s="364"/>
    </row>
    <row r="603" spans="1:13" s="191" customFormat="1" ht="15.75" hidden="1" thickBot="1" x14ac:dyDescent="0.3">
      <c r="A603" s="686">
        <f>IF(E609=0,0,1)</f>
        <v>0</v>
      </c>
      <c r="B603" s="189"/>
      <c r="C603" s="190" t="str">
        <f>oR!G231</f>
        <v>RR-1C</v>
      </c>
      <c r="D603" s="324" t="str">
        <f>oR!H231</f>
        <v>Emulsões asfálticas RR-1C</v>
      </c>
      <c r="F603" s="325"/>
      <c r="G603" s="392"/>
      <c r="H603" s="364"/>
      <c r="I603" s="364"/>
      <c r="J603" s="364"/>
    </row>
    <row r="604" spans="1:13" s="191" customFormat="1" ht="15.75" hidden="1" thickBot="1" x14ac:dyDescent="0.3">
      <c r="A604" s="686">
        <f>IF(E610=0,0,1)</f>
        <v>0</v>
      </c>
      <c r="B604" s="189"/>
      <c r="C604" s="190" t="str">
        <f>oR!G232</f>
        <v>T-RR-1C</v>
      </c>
      <c r="D604" s="324" t="str">
        <f>oR!H232</f>
        <v>Transporte de Emulsões asfálticas RR-1C</v>
      </c>
      <c r="F604" s="325"/>
      <c r="G604" s="392"/>
      <c r="H604" s="364"/>
      <c r="I604" s="364"/>
      <c r="J604" s="364"/>
    </row>
    <row r="605" spans="1:13" hidden="1" x14ac:dyDescent="0.25">
      <c r="A605" s="329">
        <f>A602</f>
        <v>0</v>
      </c>
      <c r="B605" s="329"/>
      <c r="C605" s="193"/>
      <c r="D605" s="194" t="s">
        <v>2907</v>
      </c>
      <c r="E605" s="329"/>
      <c r="F605" s="328"/>
      <c r="G605" s="393"/>
      <c r="H605" s="365"/>
      <c r="I605" s="365"/>
      <c r="J605" s="365"/>
    </row>
    <row r="606" spans="1:13" hidden="1" x14ac:dyDescent="0.25">
      <c r="A606" s="329">
        <f t="shared" ref="A606:A607" si="79">A605</f>
        <v>0</v>
      </c>
      <c r="B606" s="329"/>
      <c r="C606" s="1777" t="s">
        <v>42</v>
      </c>
      <c r="D606" s="1777"/>
      <c r="E606" s="327" t="str">
        <f>E$12</f>
        <v>ESTR. DE LINHA TAQUARAL</v>
      </c>
      <c r="F606" s="419" t="s">
        <v>96</v>
      </c>
      <c r="G606" s="376"/>
      <c r="H606" s="65"/>
      <c r="I606" s="65"/>
      <c r="J606" s="65"/>
    </row>
    <row r="607" spans="1:13" s="188" customFormat="1" hidden="1" x14ac:dyDescent="0.25">
      <c r="A607" s="329">
        <f t="shared" si="79"/>
        <v>0</v>
      </c>
      <c r="B607" s="198">
        <f>B600+1</f>
        <v>194</v>
      </c>
      <c r="C607" s="1778" t="s">
        <v>2908</v>
      </c>
      <c r="D607" s="1778"/>
      <c r="E607" s="363">
        <f>E600</f>
        <v>0</v>
      </c>
      <c r="F607" s="199">
        <f>SUM(E607:E607)</f>
        <v>0</v>
      </c>
      <c r="G607" s="376" t="s">
        <v>2595</v>
      </c>
      <c r="H607" s="198">
        <f>C602</f>
        <v>4011353</v>
      </c>
      <c r="I607" s="369">
        <f>MAX($I$13:I606)+1</f>
        <v>319</v>
      </c>
      <c r="J607" s="65" t="str">
        <f>CONCATENATE("(",I607,")"," = ","(",I600,")")</f>
        <v>(319) = (318)</v>
      </c>
      <c r="M607" s="201"/>
    </row>
    <row r="608" spans="1:13" hidden="1" x14ac:dyDescent="0.25">
      <c r="A608" s="329">
        <f>A603</f>
        <v>0</v>
      </c>
      <c r="B608" s="329"/>
      <c r="C608" s="1773" t="s">
        <v>6486</v>
      </c>
      <c r="D608" s="1097" t="s">
        <v>6485</v>
      </c>
      <c r="E608" s="696">
        <v>0.5</v>
      </c>
      <c r="F608" s="40"/>
      <c r="G608" s="375" t="s">
        <v>15</v>
      </c>
      <c r="I608" s="357">
        <f>MAX($I$13:I607)+1</f>
        <v>320</v>
      </c>
      <c r="J608" s="361" t="s">
        <v>2843</v>
      </c>
    </row>
    <row r="609" spans="1:13" s="188" customFormat="1" hidden="1" x14ac:dyDescent="0.25">
      <c r="A609" s="329">
        <f t="shared" ref="A609" si="80">A608</f>
        <v>0</v>
      </c>
      <c r="B609" s="198">
        <f>B607+1</f>
        <v>195</v>
      </c>
      <c r="C609" s="1773"/>
      <c r="D609" s="1102" t="s">
        <v>12</v>
      </c>
      <c r="E609" s="363">
        <f>E607*E608/1000</f>
        <v>0</v>
      </c>
      <c r="F609" s="199">
        <f>SUM(E609:E609)</f>
        <v>0</v>
      </c>
      <c r="G609" s="376" t="s">
        <v>2695</v>
      </c>
      <c r="H609" s="198" t="str">
        <f>C603</f>
        <v>RR-1C</v>
      </c>
      <c r="I609" s="369">
        <f>MAX($I$13:I608)+1</f>
        <v>321</v>
      </c>
      <c r="J609" s="65" t="str">
        <f>CONCATENATE("(",I609,")"," = ","(",I607,")*(",I608,")/1000")</f>
        <v>(321) = (319)*(320)/1000</v>
      </c>
    </row>
    <row r="610" spans="1:13" s="188" customFormat="1" hidden="1" x14ac:dyDescent="0.25">
      <c r="A610" s="329">
        <f>A604</f>
        <v>0</v>
      </c>
      <c r="B610" s="198">
        <f>B609+1</f>
        <v>196</v>
      </c>
      <c r="C610" s="1103"/>
      <c r="D610" s="1102" t="s">
        <v>6487</v>
      </c>
      <c r="E610" s="199">
        <f>E609</f>
        <v>0</v>
      </c>
      <c r="F610" s="199">
        <f>SUM(E610:E610)</f>
        <v>0</v>
      </c>
      <c r="G610" s="376" t="s">
        <v>2695</v>
      </c>
      <c r="H610" s="366" t="str">
        <f>C604</f>
        <v>T-RR-1C</v>
      </c>
      <c r="I610" s="369">
        <f>MAX($I$13:I609)+1</f>
        <v>322</v>
      </c>
      <c r="J610" s="65" t="str">
        <f>CONCATENATE("(",I610,")"," = ","(",I609,")")</f>
        <v>(322) = (321)</v>
      </c>
    </row>
    <row r="611" spans="1:13" hidden="1" x14ac:dyDescent="0.25">
      <c r="A611" s="329">
        <f>A607</f>
        <v>0</v>
      </c>
      <c r="B611" s="329"/>
      <c r="C611" s="329"/>
      <c r="D611" s="329"/>
      <c r="E611" s="329"/>
      <c r="F611" s="329"/>
      <c r="M611" s="197"/>
    </row>
    <row r="612" spans="1:13" s="191" customFormat="1" ht="15.75" hidden="1" thickBot="1" x14ac:dyDescent="0.3">
      <c r="A612" s="686">
        <f>IF(E624=0,0,1)</f>
        <v>0</v>
      </c>
      <c r="B612" s="189"/>
      <c r="C612" s="190">
        <f>oR!G233</f>
        <v>4011459</v>
      </c>
      <c r="D612" s="324" t="str">
        <f>oR!H233</f>
        <v>Concreto asfáltico - faixa B - areia e brita comerciais</v>
      </c>
      <c r="F612" s="325"/>
      <c r="G612" s="392"/>
      <c r="H612" s="364"/>
      <c r="I612" s="364"/>
      <c r="J612" s="364"/>
      <c r="M612" s="416"/>
    </row>
    <row r="613" spans="1:13" s="191" customFormat="1" ht="15.75" hidden="1" thickBot="1" x14ac:dyDescent="0.3">
      <c r="A613" s="686">
        <f>IF(E626=0,0,1)</f>
        <v>0</v>
      </c>
      <c r="B613" s="189"/>
      <c r="C613" s="190">
        <f>oR!G234</f>
        <v>5914389</v>
      </c>
      <c r="D613" s="324" t="str">
        <f>oR!H234</f>
        <v>Transporte com caminhão basculante de 10 m³ - rodovia pavimentada</v>
      </c>
      <c r="F613" s="325"/>
      <c r="G613" s="392"/>
      <c r="H613" s="364"/>
      <c r="I613" s="364"/>
      <c r="J613" s="364"/>
      <c r="M613" s="416"/>
    </row>
    <row r="614" spans="1:13" s="191" customFormat="1" ht="15.75" hidden="1" thickBot="1" x14ac:dyDescent="0.3">
      <c r="A614" s="686">
        <f>IF(E628=0,0,1)</f>
        <v>0</v>
      </c>
      <c r="B614" s="189"/>
      <c r="C614" s="190" t="str">
        <f>oR!G235</f>
        <v>CAP 50-70</v>
      </c>
      <c r="D614" s="324" t="str">
        <f>oR!H235</f>
        <v>Cimentos asfálticos CAP-50-70</v>
      </c>
      <c r="F614" s="325"/>
      <c r="G614" s="392"/>
      <c r="H614" s="364"/>
      <c r="I614" s="364"/>
      <c r="J614" s="364"/>
      <c r="M614" s="416"/>
    </row>
    <row r="615" spans="1:13" s="191" customFormat="1" ht="15.75" hidden="1" thickBot="1" x14ac:dyDescent="0.3">
      <c r="A615" s="686">
        <f>IF(E629=0,0,1)</f>
        <v>0</v>
      </c>
      <c r="B615" s="189"/>
      <c r="C615" s="190" t="str">
        <f>oR!G236</f>
        <v>T-CAP 50-70</v>
      </c>
      <c r="D615" s="324" t="str">
        <f>oR!H236</f>
        <v>Transporte de Cimentos asfálticos CAP-50-70</v>
      </c>
      <c r="F615" s="325"/>
      <c r="G615" s="392"/>
      <c r="H615" s="364"/>
      <c r="I615" s="364"/>
      <c r="J615" s="364"/>
    </row>
    <row r="616" spans="1:13" hidden="1" x14ac:dyDescent="0.25">
      <c r="A616" s="329">
        <f>A612</f>
        <v>0</v>
      </c>
      <c r="B616" s="329"/>
      <c r="C616" s="193"/>
      <c r="D616" s="194" t="s">
        <v>2833</v>
      </c>
      <c r="E616" s="329"/>
      <c r="F616" s="328"/>
      <c r="G616" s="393"/>
      <c r="H616" s="365"/>
      <c r="I616" s="365"/>
      <c r="J616" s="365"/>
    </row>
    <row r="617" spans="1:13" hidden="1" x14ac:dyDescent="0.25">
      <c r="A617" s="329">
        <f>A616</f>
        <v>0</v>
      </c>
      <c r="B617" s="329"/>
      <c r="C617" s="193"/>
      <c r="D617" s="194" t="s">
        <v>2836</v>
      </c>
      <c r="E617" s="329"/>
      <c r="F617" s="328"/>
      <c r="G617" s="393"/>
      <c r="H617" s="365"/>
      <c r="I617" s="365"/>
      <c r="J617" s="365"/>
    </row>
    <row r="618" spans="1:13" hidden="1" x14ac:dyDescent="0.25">
      <c r="A618" s="329">
        <f t="shared" ref="A618:A630" si="81">A617</f>
        <v>0</v>
      </c>
      <c r="B618" s="329"/>
      <c r="C618" s="193"/>
      <c r="D618" s="194" t="s">
        <v>2834</v>
      </c>
      <c r="E618" s="329"/>
      <c r="F618" s="328"/>
      <c r="G618" s="393"/>
      <c r="H618" s="365"/>
      <c r="I618" s="365"/>
      <c r="J618" s="365"/>
    </row>
    <row r="619" spans="1:13" hidden="1" x14ac:dyDescent="0.25">
      <c r="A619" s="329">
        <f t="shared" si="81"/>
        <v>0</v>
      </c>
      <c r="B619" s="329"/>
      <c r="C619" s="193"/>
      <c r="D619" s="194" t="s">
        <v>2835</v>
      </c>
      <c r="E619" s="329"/>
      <c r="F619" s="328"/>
      <c r="G619" s="393"/>
      <c r="H619" s="365"/>
      <c r="I619" s="365"/>
      <c r="J619" s="365"/>
    </row>
    <row r="620" spans="1:13" hidden="1" x14ac:dyDescent="0.25">
      <c r="A620" s="329">
        <f t="shared" si="81"/>
        <v>0</v>
      </c>
      <c r="B620" s="329"/>
      <c r="C620" s="1777" t="s">
        <v>42</v>
      </c>
      <c r="D620" s="1777"/>
      <c r="E620" s="327" t="str">
        <f>E$12</f>
        <v>ESTR. DE LINHA TAQUARAL</v>
      </c>
      <c r="F620" s="419" t="s">
        <v>96</v>
      </c>
      <c r="G620" s="376"/>
      <c r="H620" s="65"/>
      <c r="I620" s="65"/>
      <c r="J620" s="65"/>
    </row>
    <row r="621" spans="1:13" hidden="1" x14ac:dyDescent="0.25">
      <c r="A621" s="329">
        <f t="shared" si="81"/>
        <v>0</v>
      </c>
      <c r="B621" s="329"/>
      <c r="C621" s="1773" t="s">
        <v>108</v>
      </c>
      <c r="D621" s="418" t="s">
        <v>2909</v>
      </c>
      <c r="E621" s="40">
        <f>E607</f>
        <v>0</v>
      </c>
      <c r="F621" s="40">
        <f>SUM(E621:E621)</f>
        <v>0</v>
      </c>
      <c r="G621" s="375" t="s">
        <v>2595</v>
      </c>
      <c r="I621" s="357">
        <f>MAX($I$13:I620)+1</f>
        <v>323</v>
      </c>
      <c r="J621" s="361" t="str">
        <f>CONCATENATE("(",I621,")"," = ","(",I607,")")</f>
        <v>(323) = (319)</v>
      </c>
    </row>
    <row r="622" spans="1:13" hidden="1" x14ac:dyDescent="0.25">
      <c r="A622" s="329">
        <f t="shared" si="81"/>
        <v>0</v>
      </c>
      <c r="B622" s="396">
        <f>B607+0.1</f>
        <v>194.1</v>
      </c>
      <c r="C622" s="1773"/>
      <c r="D622" s="418" t="s">
        <v>2910</v>
      </c>
      <c r="E622" s="374">
        <v>0.03</v>
      </c>
      <c r="F622" s="40"/>
      <c r="G622" s="375" t="s">
        <v>2598</v>
      </c>
      <c r="I622" s="357">
        <f>MAX($I$13:I621)+1</f>
        <v>324</v>
      </c>
      <c r="J622" s="329" t="s">
        <v>2845</v>
      </c>
    </row>
    <row r="623" spans="1:13" hidden="1" x14ac:dyDescent="0.25">
      <c r="A623" s="329">
        <f t="shared" si="81"/>
        <v>0</v>
      </c>
      <c r="B623" s="329"/>
      <c r="C623" s="1773"/>
      <c r="D623" s="418" t="s">
        <v>2838</v>
      </c>
      <c r="E623" s="373">
        <f>E495</f>
        <v>2.5</v>
      </c>
      <c r="F623" s="40"/>
      <c r="G623" s="375" t="s">
        <v>2837</v>
      </c>
      <c r="I623" s="357">
        <f>MAX($I$13:I622)+1</f>
        <v>325</v>
      </c>
      <c r="J623" s="329" t="s">
        <v>2843</v>
      </c>
    </row>
    <row r="624" spans="1:13" s="188" customFormat="1" hidden="1" x14ac:dyDescent="0.25">
      <c r="A624" s="329">
        <f t="shared" si="81"/>
        <v>0</v>
      </c>
      <c r="B624" s="198">
        <f>B607+1</f>
        <v>195</v>
      </c>
      <c r="C624" s="1773"/>
      <c r="D624" s="419" t="s">
        <v>12</v>
      </c>
      <c r="E624" s="363">
        <f>E621*E622*E623</f>
        <v>0</v>
      </c>
      <c r="F624" s="199">
        <f>SUM(E624:E624)</f>
        <v>0</v>
      </c>
      <c r="G624" s="376" t="s">
        <v>2695</v>
      </c>
      <c r="H624" s="198">
        <f>C612</f>
        <v>4011459</v>
      </c>
      <c r="I624" s="369">
        <f>MAX($I$13:I623)+1</f>
        <v>326</v>
      </c>
      <c r="J624" s="65" t="str">
        <f>CONCATENATE("(",I624,")"," = ","(",I623,")*(",I622,")*(",I621,")")</f>
        <v>(326) = (325)*(324)*(323)</v>
      </c>
    </row>
    <row r="625" spans="1:13" hidden="1" x14ac:dyDescent="0.25">
      <c r="A625" s="329">
        <f>A613</f>
        <v>0</v>
      </c>
      <c r="B625" s="329"/>
      <c r="C625" s="1773" t="s">
        <v>2826</v>
      </c>
      <c r="D625" s="418" t="s">
        <v>2827</v>
      </c>
      <c r="E625" s="40">
        <f>DMT!$G$10</f>
        <v>25.9</v>
      </c>
      <c r="F625" s="418"/>
      <c r="G625" s="375" t="s">
        <v>2799</v>
      </c>
      <c r="H625" s="361"/>
      <c r="I625" s="357">
        <f>MAX($I$13:I624)+1</f>
        <v>327</v>
      </c>
      <c r="J625" s="361" t="s">
        <v>2843</v>
      </c>
    </row>
    <row r="626" spans="1:13" s="188" customFormat="1" hidden="1" x14ac:dyDescent="0.25">
      <c r="A626" s="329">
        <f t="shared" si="81"/>
        <v>0</v>
      </c>
      <c r="B626" s="198">
        <f>B624+1</f>
        <v>196</v>
      </c>
      <c r="C626" s="1773"/>
      <c r="D626" s="419" t="s">
        <v>2828</v>
      </c>
      <c r="E626" s="199">
        <f>E625*E624</f>
        <v>0</v>
      </c>
      <c r="F626" s="199">
        <f>SUM(E626:E626)</f>
        <v>0</v>
      </c>
      <c r="G626" s="376" t="s">
        <v>2784</v>
      </c>
      <c r="H626" s="366">
        <f>C613</f>
        <v>5914389</v>
      </c>
      <c r="I626" s="369">
        <f>MAX($I$13:I625)+1</f>
        <v>328</v>
      </c>
      <c r="J626" s="65" t="str">
        <f>CONCATENATE("(",I626,")"," = ","(",I624,")*(",I625,")")</f>
        <v>(328) = (326)*(327)</v>
      </c>
    </row>
    <row r="627" spans="1:13" hidden="1" x14ac:dyDescent="0.25">
      <c r="A627" s="329">
        <f>A614</f>
        <v>0</v>
      </c>
      <c r="B627" s="329"/>
      <c r="C627" s="1773" t="s">
        <v>2839</v>
      </c>
      <c r="D627" s="418" t="s">
        <v>2840</v>
      </c>
      <c r="E627" s="373">
        <f>E499</f>
        <v>6</v>
      </c>
      <c r="F627" s="40"/>
      <c r="G627" s="375" t="s">
        <v>15</v>
      </c>
      <c r="I627" s="357">
        <f>MAX($I$13:I626)+1</f>
        <v>329</v>
      </c>
      <c r="J627" s="361" t="s">
        <v>2843</v>
      </c>
    </row>
    <row r="628" spans="1:13" s="188" customFormat="1" hidden="1" x14ac:dyDescent="0.25">
      <c r="A628" s="329">
        <f t="shared" si="81"/>
        <v>0</v>
      </c>
      <c r="B628" s="198">
        <f>B626+1</f>
        <v>197</v>
      </c>
      <c r="C628" s="1773"/>
      <c r="D628" s="419" t="s">
        <v>12</v>
      </c>
      <c r="E628" s="363">
        <f>E624*E627/100</f>
        <v>0</v>
      </c>
      <c r="F628" s="199">
        <f>SUM(E628:E628)</f>
        <v>0</v>
      </c>
      <c r="G628" s="376" t="s">
        <v>2695</v>
      </c>
      <c r="H628" s="198" t="str">
        <f>C614</f>
        <v>CAP 50-70</v>
      </c>
      <c r="I628" s="369">
        <f>MAX($I$13:I627)+1</f>
        <v>330</v>
      </c>
      <c r="J628" s="65" t="str">
        <f>CONCATENATE("(",I628,")"," = ","(",I626,")*(",I627,")")</f>
        <v>(330) = (328)*(329)</v>
      </c>
    </row>
    <row r="629" spans="1:13" s="188" customFormat="1" hidden="1" x14ac:dyDescent="0.25">
      <c r="A629" s="329">
        <f>A615</f>
        <v>0</v>
      </c>
      <c r="B629" s="198">
        <f>B628+1</f>
        <v>198</v>
      </c>
      <c r="C629" s="1103"/>
      <c r="D629" s="1102" t="s">
        <v>6489</v>
      </c>
      <c r="E629" s="199">
        <f>E628</f>
        <v>0</v>
      </c>
      <c r="F629" s="199">
        <f>SUM(E629:E629)</f>
        <v>0</v>
      </c>
      <c r="G629" s="376" t="s">
        <v>2695</v>
      </c>
      <c r="H629" s="366" t="str">
        <f>C615</f>
        <v>T-CAP 50-70</v>
      </c>
      <c r="I629" s="369">
        <f>MAX($I$13:I628)+1</f>
        <v>331</v>
      </c>
      <c r="J629" s="65" t="str">
        <f>CONCATENATE("(",I629,")"," = ","(",I628,")")</f>
        <v>(331) = (330)</v>
      </c>
    </row>
    <row r="630" spans="1:13" s="188" customFormat="1" hidden="1" x14ac:dyDescent="0.25">
      <c r="A630" s="329">
        <f t="shared" si="81"/>
        <v>0</v>
      </c>
      <c r="B630" s="198"/>
      <c r="C630" s="65"/>
      <c r="D630" s="65"/>
      <c r="E630" s="426"/>
      <c r="F630" s="368"/>
      <c r="G630" s="386"/>
      <c r="H630" s="198"/>
      <c r="I630" s="369"/>
      <c r="J630" s="65"/>
    </row>
    <row r="631" spans="1:13" s="191" customFormat="1" ht="15.75" hidden="1" thickBot="1" x14ac:dyDescent="0.3">
      <c r="A631" s="686">
        <f>IF(E636=0,0,1)</f>
        <v>0</v>
      </c>
      <c r="B631" s="189"/>
      <c r="C631" s="190">
        <f>oR!G237</f>
        <v>4011353</v>
      </c>
      <c r="D631" s="324" t="str">
        <f>oR!H237</f>
        <v>Pintura de ligação</v>
      </c>
      <c r="F631" s="325"/>
      <c r="G631" s="392"/>
      <c r="H631" s="364"/>
      <c r="I631" s="364"/>
      <c r="J631" s="364"/>
    </row>
    <row r="632" spans="1:13" s="191" customFormat="1" ht="15.75" hidden="1" thickBot="1" x14ac:dyDescent="0.3">
      <c r="A632" s="686">
        <f>IF(E638=0,0,1)</f>
        <v>0</v>
      </c>
      <c r="B632" s="189"/>
      <c r="C632" s="190" t="str">
        <f>oR!G238</f>
        <v>RR-1C</v>
      </c>
      <c r="D632" s="324" t="str">
        <f>oR!H238</f>
        <v>Emulsões asfálticas RR-1C</v>
      </c>
      <c r="F632" s="325"/>
      <c r="G632" s="392"/>
      <c r="H632" s="364"/>
      <c r="I632" s="364"/>
      <c r="J632" s="364"/>
    </row>
    <row r="633" spans="1:13" s="191" customFormat="1" ht="15.75" hidden="1" thickBot="1" x14ac:dyDescent="0.3">
      <c r="A633" s="686">
        <f>IF(E639=0,0,1)</f>
        <v>0</v>
      </c>
      <c r="B633" s="189"/>
      <c r="C633" s="190" t="str">
        <f>oR!G239</f>
        <v>T-RR-1C</v>
      </c>
      <c r="D633" s="324" t="str">
        <f>oR!H239</f>
        <v>Transporte de Emulsões asfálticas RR-1C</v>
      </c>
      <c r="F633" s="325"/>
      <c r="G633" s="392"/>
      <c r="H633" s="364"/>
      <c r="I633" s="364"/>
      <c r="J633" s="364"/>
    </row>
    <row r="634" spans="1:13" hidden="1" x14ac:dyDescent="0.25">
      <c r="A634" s="329">
        <f>A631</f>
        <v>0</v>
      </c>
      <c r="B634" s="329"/>
      <c r="C634" s="193"/>
      <c r="D634" s="194" t="s">
        <v>2907</v>
      </c>
      <c r="E634" s="329"/>
      <c r="F634" s="328"/>
      <c r="G634" s="393"/>
      <c r="H634" s="365"/>
      <c r="I634" s="365"/>
      <c r="J634" s="365"/>
    </row>
    <row r="635" spans="1:13" hidden="1" x14ac:dyDescent="0.25">
      <c r="A635" s="329">
        <f t="shared" ref="A635:A636" si="82">A634</f>
        <v>0</v>
      </c>
      <c r="B635" s="329"/>
      <c r="C635" s="1777" t="s">
        <v>42</v>
      </c>
      <c r="D635" s="1777"/>
      <c r="E635" s="327" t="str">
        <f>E$12</f>
        <v>ESTR. DE LINHA TAQUARAL</v>
      </c>
      <c r="F635" s="419" t="s">
        <v>96</v>
      </c>
      <c r="G635" s="376"/>
      <c r="H635" s="65"/>
      <c r="I635" s="65"/>
      <c r="J635" s="65"/>
    </row>
    <row r="636" spans="1:13" s="188" customFormat="1" hidden="1" x14ac:dyDescent="0.25">
      <c r="A636" s="329">
        <f t="shared" si="82"/>
        <v>0</v>
      </c>
      <c r="B636" s="198">
        <f>B629+1</f>
        <v>199</v>
      </c>
      <c r="C636" s="1778" t="s">
        <v>2908</v>
      </c>
      <c r="D636" s="1778"/>
      <c r="E636" s="363">
        <f>E600</f>
        <v>0</v>
      </c>
      <c r="F636" s="199">
        <f>SUM(E636:E636)</f>
        <v>0</v>
      </c>
      <c r="G636" s="376" t="s">
        <v>2595</v>
      </c>
      <c r="H636" s="198">
        <f>C631</f>
        <v>4011353</v>
      </c>
      <c r="I636" s="369">
        <f>MAX($I$13:I635)+1</f>
        <v>332</v>
      </c>
      <c r="J636" s="65" t="str">
        <f>CONCATENATE("(",I636,")"," = ","(",I600,")")</f>
        <v>(332) = (318)</v>
      </c>
      <c r="M636" s="201"/>
    </row>
    <row r="637" spans="1:13" hidden="1" x14ac:dyDescent="0.25">
      <c r="A637" s="329">
        <f>A632</f>
        <v>0</v>
      </c>
      <c r="B637" s="329"/>
      <c r="C637" s="1773" t="s">
        <v>6486</v>
      </c>
      <c r="D637" s="1097" t="s">
        <v>6485</v>
      </c>
      <c r="E637" s="696">
        <v>0.5</v>
      </c>
      <c r="F637" s="40"/>
      <c r="G637" s="375" t="s">
        <v>15</v>
      </c>
      <c r="I637" s="357">
        <f>MAX($I$13:I636)+1</f>
        <v>333</v>
      </c>
      <c r="J637" s="361" t="s">
        <v>2843</v>
      </c>
    </row>
    <row r="638" spans="1:13" s="188" customFormat="1" hidden="1" x14ac:dyDescent="0.25">
      <c r="A638" s="329">
        <f t="shared" ref="A638" si="83">A637</f>
        <v>0</v>
      </c>
      <c r="B638" s="198">
        <f>B636+1</f>
        <v>200</v>
      </c>
      <c r="C638" s="1773"/>
      <c r="D638" s="1102" t="s">
        <v>12</v>
      </c>
      <c r="E638" s="363">
        <f>E636*E637/1000</f>
        <v>0</v>
      </c>
      <c r="F638" s="199">
        <f>SUM(E638:E638)</f>
        <v>0</v>
      </c>
      <c r="G638" s="376" t="s">
        <v>2695</v>
      </c>
      <c r="H638" s="198" t="str">
        <f>C632</f>
        <v>RR-1C</v>
      </c>
      <c r="I638" s="369">
        <f>MAX($I$13:I637)+1</f>
        <v>334</v>
      </c>
      <c r="J638" s="65" t="str">
        <f>CONCATENATE("(",I638,")"," = ","(",I636,")*(",I637,")/1000")</f>
        <v>(334) = (332)*(333)/1000</v>
      </c>
    </row>
    <row r="639" spans="1:13" s="188" customFormat="1" hidden="1" x14ac:dyDescent="0.25">
      <c r="A639" s="329">
        <f>A633</f>
        <v>0</v>
      </c>
      <c r="B639" s="198">
        <f>B638+1</f>
        <v>201</v>
      </c>
      <c r="C639" s="1103"/>
      <c r="D639" s="1102" t="s">
        <v>6487</v>
      </c>
      <c r="E639" s="199">
        <f>E638</f>
        <v>0</v>
      </c>
      <c r="F639" s="199">
        <f>SUM(E639:E639)</f>
        <v>0</v>
      </c>
      <c r="G639" s="376" t="s">
        <v>2695</v>
      </c>
      <c r="H639" s="366" t="str">
        <f>C633</f>
        <v>T-RR-1C</v>
      </c>
      <c r="I639" s="369">
        <f>MAX($I$13:I638)+1</f>
        <v>335</v>
      </c>
      <c r="J639" s="65" t="str">
        <f>CONCATENATE("(",I639,")"," = ","(",I638,")")</f>
        <v>(335) = (334)</v>
      </c>
    </row>
    <row r="640" spans="1:13" hidden="1" x14ac:dyDescent="0.25">
      <c r="A640" s="329">
        <f>A636</f>
        <v>0</v>
      </c>
      <c r="B640" s="329"/>
      <c r="C640" s="329"/>
      <c r="D640" s="329"/>
      <c r="E640" s="329"/>
      <c r="F640" s="329"/>
      <c r="M640" s="197"/>
    </row>
    <row r="641" spans="1:13" s="191" customFormat="1" ht="15.75" hidden="1" thickBot="1" x14ac:dyDescent="0.3">
      <c r="A641" s="686">
        <f>IF(E653=0,0,1)</f>
        <v>0</v>
      </c>
      <c r="B641" s="189"/>
      <c r="C641" s="190">
        <f>oR!G240</f>
        <v>4011459</v>
      </c>
      <c r="D641" s="324" t="str">
        <f>oR!H240</f>
        <v>Concreto asfáltico - faixa B - areia e brita comerciais</v>
      </c>
      <c r="F641" s="325"/>
      <c r="G641" s="392"/>
      <c r="H641" s="364"/>
      <c r="I641" s="364"/>
      <c r="J641" s="364"/>
      <c r="M641" s="416"/>
    </row>
    <row r="642" spans="1:13" s="191" customFormat="1" ht="15.75" hidden="1" thickBot="1" x14ac:dyDescent="0.3">
      <c r="A642" s="686">
        <f>IF(E655=0,0,1)</f>
        <v>0</v>
      </c>
      <c r="B642" s="189"/>
      <c r="C642" s="190">
        <f>oR!G241</f>
        <v>5914389</v>
      </c>
      <c r="D642" s="324" t="str">
        <f>oR!H241</f>
        <v>Transporte com caminhão basculante de 10 m³ - rodovia pavimentada</v>
      </c>
      <c r="F642" s="325"/>
      <c r="G642" s="392"/>
      <c r="H642" s="364"/>
      <c r="I642" s="364"/>
      <c r="J642" s="364"/>
      <c r="M642" s="416"/>
    </row>
    <row r="643" spans="1:13" s="191" customFormat="1" ht="15.75" hidden="1" thickBot="1" x14ac:dyDescent="0.3">
      <c r="A643" s="686">
        <f>IF(E657=0,0,1)</f>
        <v>0</v>
      </c>
      <c r="B643" s="189"/>
      <c r="C643" s="190" t="str">
        <f>oR!G242</f>
        <v>CAP 50-70</v>
      </c>
      <c r="D643" s="324" t="str">
        <f>oR!H242</f>
        <v>Cimentos asfálticos CAP-50-70</v>
      </c>
      <c r="F643" s="325"/>
      <c r="G643" s="392"/>
      <c r="H643" s="364"/>
      <c r="I643" s="364"/>
      <c r="J643" s="364"/>
      <c r="M643" s="416"/>
    </row>
    <row r="644" spans="1:13" s="191" customFormat="1" ht="15.75" hidden="1" thickBot="1" x14ac:dyDescent="0.3">
      <c r="A644" s="686">
        <f>IF(E658=0,0,1)</f>
        <v>0</v>
      </c>
      <c r="B644" s="189"/>
      <c r="C644" s="190" t="str">
        <f>oR!G243</f>
        <v>T-CAP 50-70</v>
      </c>
      <c r="D644" s="324" t="str">
        <f>oR!H243</f>
        <v>Transporte de Cimentos asfálticos CAP-50-70</v>
      </c>
      <c r="F644" s="325"/>
      <c r="G644" s="392"/>
      <c r="H644" s="364"/>
      <c r="I644" s="364"/>
      <c r="J644" s="364"/>
    </row>
    <row r="645" spans="1:13" hidden="1" x14ac:dyDescent="0.25">
      <c r="A645" s="329">
        <f>A641</f>
        <v>0</v>
      </c>
      <c r="B645" s="329"/>
      <c r="C645" s="193"/>
      <c r="D645" s="194" t="s">
        <v>2833</v>
      </c>
      <c r="E645" s="329"/>
      <c r="F645" s="328"/>
      <c r="G645" s="393"/>
      <c r="H645" s="365"/>
      <c r="I645" s="365"/>
      <c r="J645" s="365"/>
    </row>
    <row r="646" spans="1:13" hidden="1" x14ac:dyDescent="0.25">
      <c r="A646" s="329">
        <f>A645</f>
        <v>0</v>
      </c>
      <c r="B646" s="329"/>
      <c r="C646" s="193"/>
      <c r="D646" s="194" t="s">
        <v>2836</v>
      </c>
      <c r="E646" s="329"/>
      <c r="F646" s="328"/>
      <c r="G646" s="393"/>
      <c r="H646" s="365"/>
      <c r="I646" s="365"/>
      <c r="J646" s="365"/>
    </row>
    <row r="647" spans="1:13" hidden="1" x14ac:dyDescent="0.25">
      <c r="A647" s="329">
        <f t="shared" ref="A647:A657" si="84">A646</f>
        <v>0</v>
      </c>
      <c r="B647" s="329"/>
      <c r="C647" s="193"/>
      <c r="D647" s="194" t="s">
        <v>2834</v>
      </c>
      <c r="E647" s="329"/>
      <c r="F647" s="328"/>
      <c r="G647" s="393"/>
      <c r="H647" s="365"/>
      <c r="I647" s="365"/>
      <c r="J647" s="365"/>
    </row>
    <row r="648" spans="1:13" hidden="1" x14ac:dyDescent="0.25">
      <c r="A648" s="329">
        <f t="shared" si="84"/>
        <v>0</v>
      </c>
      <c r="B648" s="329"/>
      <c r="C648" s="193"/>
      <c r="D648" s="194" t="s">
        <v>2835</v>
      </c>
      <c r="E648" s="329"/>
      <c r="F648" s="328"/>
      <c r="G648" s="393"/>
      <c r="H648" s="365"/>
      <c r="I648" s="365"/>
      <c r="J648" s="365"/>
    </row>
    <row r="649" spans="1:13" hidden="1" x14ac:dyDescent="0.25">
      <c r="A649" s="329">
        <f t="shared" si="84"/>
        <v>0</v>
      </c>
      <c r="B649" s="329"/>
      <c r="C649" s="1777" t="s">
        <v>42</v>
      </c>
      <c r="D649" s="1777"/>
      <c r="E649" s="327" t="str">
        <f>E$12</f>
        <v>ESTR. DE LINHA TAQUARAL</v>
      </c>
      <c r="F649" s="419" t="s">
        <v>96</v>
      </c>
      <c r="G649" s="376"/>
      <c r="H649" s="65"/>
      <c r="I649" s="65"/>
      <c r="J649" s="65"/>
    </row>
    <row r="650" spans="1:13" hidden="1" x14ac:dyDescent="0.25">
      <c r="A650" s="329">
        <f t="shared" si="84"/>
        <v>0</v>
      </c>
      <c r="B650" s="329"/>
      <c r="C650" s="1773" t="s">
        <v>108</v>
      </c>
      <c r="D650" s="418" t="s">
        <v>2909</v>
      </c>
      <c r="E650" s="40">
        <f>E636</f>
        <v>0</v>
      </c>
      <c r="F650" s="40">
        <f>SUM(E650:E650)</f>
        <v>0</v>
      </c>
      <c r="G650" s="375" t="s">
        <v>2595</v>
      </c>
      <c r="I650" s="357">
        <f>MAX($I$13:I649)+1</f>
        <v>336</v>
      </c>
      <c r="J650" s="361" t="str">
        <f>CONCATENATE("(",I650,")"," = ","(",I636,")")</f>
        <v>(336) = (332)</v>
      </c>
    </row>
    <row r="651" spans="1:13" hidden="1" x14ac:dyDescent="0.25">
      <c r="A651" s="329">
        <f t="shared" si="84"/>
        <v>0</v>
      </c>
      <c r="B651" s="396"/>
      <c r="C651" s="1773"/>
      <c r="D651" s="418" t="s">
        <v>2910</v>
      </c>
      <c r="E651" s="374">
        <v>0.05</v>
      </c>
      <c r="F651" s="40"/>
      <c r="G651" s="375" t="s">
        <v>2598</v>
      </c>
      <c r="I651" s="357">
        <f>MAX($I$13:I650)+1</f>
        <v>337</v>
      </c>
      <c r="J651" s="329" t="s">
        <v>2845</v>
      </c>
    </row>
    <row r="652" spans="1:13" hidden="1" x14ac:dyDescent="0.25">
      <c r="A652" s="329">
        <f t="shared" si="84"/>
        <v>0</v>
      </c>
      <c r="B652" s="329"/>
      <c r="C652" s="1773"/>
      <c r="D652" s="418" t="s">
        <v>2838</v>
      </c>
      <c r="E652" s="373">
        <f>E623</f>
        <v>2.5</v>
      </c>
      <c r="F652" s="40"/>
      <c r="G652" s="375" t="s">
        <v>2837</v>
      </c>
      <c r="I652" s="357">
        <f>MAX($I$13:I651)+1</f>
        <v>338</v>
      </c>
      <c r="J652" s="329" t="s">
        <v>2843</v>
      </c>
    </row>
    <row r="653" spans="1:13" s="188" customFormat="1" hidden="1" x14ac:dyDescent="0.25">
      <c r="A653" s="329">
        <f t="shared" si="84"/>
        <v>0</v>
      </c>
      <c r="B653" s="198">
        <f>oR!D240</f>
        <v>204</v>
      </c>
      <c r="C653" s="1773"/>
      <c r="D653" s="419" t="s">
        <v>12</v>
      </c>
      <c r="E653" s="363">
        <f>E650*E651*E652</f>
        <v>0</v>
      </c>
      <c r="F653" s="199">
        <f>SUM(E653:E653)</f>
        <v>0</v>
      </c>
      <c r="G653" s="376" t="s">
        <v>2695</v>
      </c>
      <c r="H653" s="198">
        <f>C641</f>
        <v>4011459</v>
      </c>
      <c r="I653" s="369">
        <f>MAX($I$13:I652)+1</f>
        <v>339</v>
      </c>
      <c r="J653" s="65" t="str">
        <f>CONCATENATE("(",I653,")"," = ","(",I652,")*(",I651,")*(",I650,")")</f>
        <v>(339) = (338)*(337)*(336)</v>
      </c>
    </row>
    <row r="654" spans="1:13" hidden="1" x14ac:dyDescent="0.25">
      <c r="A654" s="329">
        <f>A642</f>
        <v>0</v>
      </c>
      <c r="B654" s="329"/>
      <c r="C654" s="1773" t="s">
        <v>2826</v>
      </c>
      <c r="D654" s="418" t="s">
        <v>2827</v>
      </c>
      <c r="E654" s="40">
        <f>DMT!$G$10</f>
        <v>25.9</v>
      </c>
      <c r="F654" s="418"/>
      <c r="G654" s="375" t="s">
        <v>2799</v>
      </c>
      <c r="H654" s="361"/>
      <c r="I654" s="357">
        <f>MAX($I$13:I653)+1</f>
        <v>340</v>
      </c>
      <c r="J654" s="361" t="s">
        <v>2843</v>
      </c>
    </row>
    <row r="655" spans="1:13" s="188" customFormat="1" hidden="1" x14ac:dyDescent="0.25">
      <c r="A655" s="329">
        <f t="shared" si="84"/>
        <v>0</v>
      </c>
      <c r="B655" s="198">
        <f>B653+1</f>
        <v>205</v>
      </c>
      <c r="C655" s="1773"/>
      <c r="D655" s="419" t="s">
        <v>2828</v>
      </c>
      <c r="E655" s="199">
        <f>E654*E653</f>
        <v>0</v>
      </c>
      <c r="F655" s="199">
        <f>SUM(E655:E655)</f>
        <v>0</v>
      </c>
      <c r="G655" s="376" t="s">
        <v>2784</v>
      </c>
      <c r="H655" s="366">
        <f>C642</f>
        <v>5914389</v>
      </c>
      <c r="I655" s="369">
        <f>MAX($I$13:I654)+1</f>
        <v>341</v>
      </c>
      <c r="J655" s="65" t="str">
        <f>CONCATENATE("(",I655,")"," = ","(",I653,")*(",I654,")")</f>
        <v>(341) = (339)*(340)</v>
      </c>
    </row>
    <row r="656" spans="1:13" hidden="1" x14ac:dyDescent="0.25">
      <c r="A656" s="329">
        <f>A643</f>
        <v>0</v>
      </c>
      <c r="B656" s="329"/>
      <c r="C656" s="1773" t="s">
        <v>2839</v>
      </c>
      <c r="D656" s="418" t="s">
        <v>2840</v>
      </c>
      <c r="E656" s="373">
        <f>E627</f>
        <v>6</v>
      </c>
      <c r="F656" s="40"/>
      <c r="G656" s="375" t="s">
        <v>15</v>
      </c>
      <c r="I656" s="357">
        <f>MAX($I$13:I655)+1</f>
        <v>342</v>
      </c>
      <c r="J656" s="361" t="s">
        <v>2843</v>
      </c>
    </row>
    <row r="657" spans="1:13" s="188" customFormat="1" hidden="1" x14ac:dyDescent="0.25">
      <c r="A657" s="329">
        <f t="shared" si="84"/>
        <v>0</v>
      </c>
      <c r="B657" s="198">
        <f>B655+1</f>
        <v>206</v>
      </c>
      <c r="C657" s="1773"/>
      <c r="D657" s="419" t="s">
        <v>12</v>
      </c>
      <c r="E657" s="363">
        <f>E653*E656/100</f>
        <v>0</v>
      </c>
      <c r="F657" s="199">
        <f>SUM(E657:E657)</f>
        <v>0</v>
      </c>
      <c r="G657" s="376" t="s">
        <v>2695</v>
      </c>
      <c r="H657" s="198" t="str">
        <f>C643</f>
        <v>CAP 50-70</v>
      </c>
      <c r="I657" s="369">
        <f>MAX($I$13:I656)+1</f>
        <v>343</v>
      </c>
      <c r="J657" s="65" t="str">
        <f>CONCATENATE("(",I657,")"," = ","(",I655,")*(",I656,")")</f>
        <v>(343) = (341)*(342)</v>
      </c>
    </row>
    <row r="658" spans="1:13" s="188" customFormat="1" hidden="1" x14ac:dyDescent="0.25">
      <c r="A658" s="329">
        <f>A644</f>
        <v>0</v>
      </c>
      <c r="B658" s="198">
        <f>B657+1</f>
        <v>207</v>
      </c>
      <c r="C658" s="1103"/>
      <c r="D658" s="1102" t="s">
        <v>6489</v>
      </c>
      <c r="E658" s="199">
        <f>E657</f>
        <v>0</v>
      </c>
      <c r="F658" s="199">
        <f>SUM(E658:E658)</f>
        <v>0</v>
      </c>
      <c r="G658" s="376" t="s">
        <v>2695</v>
      </c>
      <c r="H658" s="366" t="str">
        <f>C644</f>
        <v>T-CAP 50-70</v>
      </c>
      <c r="I658" s="369">
        <f>MAX($I$13:I657)+1</f>
        <v>344</v>
      </c>
      <c r="J658" s="65" t="str">
        <f>CONCATENATE("(",I658,")"," = ","(",I657,")")</f>
        <v>(344) = (343)</v>
      </c>
    </row>
    <row r="659" spans="1:13" s="188" customFormat="1" hidden="1" x14ac:dyDescent="0.25">
      <c r="A659" s="329">
        <f>A596</f>
        <v>0</v>
      </c>
      <c r="B659" s="198"/>
      <c r="C659" s="367"/>
      <c r="D659" s="65"/>
      <c r="E659" s="592"/>
      <c r="F659" s="368"/>
      <c r="G659" s="386"/>
      <c r="H659" s="366"/>
      <c r="I659" s="369"/>
      <c r="J659" s="65"/>
    </row>
    <row r="660" spans="1:13" s="188" customFormat="1" ht="13.5" hidden="1" thickBot="1" x14ac:dyDescent="0.3">
      <c r="A660" s="687">
        <f>IF(SUM(A663:A693)&gt;0,1,0)</f>
        <v>0</v>
      </c>
      <c r="B660" s="185"/>
      <c r="C660" s="186"/>
      <c r="D660" s="187" t="str">
        <f>oR!G245</f>
        <v>RECAPEAMENTO - UMA CAMADA</v>
      </c>
      <c r="E660" s="187"/>
      <c r="F660" s="187"/>
      <c r="G660" s="391"/>
      <c r="H660" s="186"/>
      <c r="I660" s="186"/>
      <c r="J660" s="186"/>
    </row>
    <row r="661" spans="1:13" s="191" customFormat="1" ht="15.75" hidden="1" thickBot="1" x14ac:dyDescent="0.3">
      <c r="A661" s="686">
        <f>IF(E664=0,0,1)</f>
        <v>0</v>
      </c>
      <c r="B661" s="189"/>
      <c r="C661" s="190">
        <f>oR!G246</f>
        <v>3806402</v>
      </c>
      <c r="D661" s="324" t="str">
        <f>oR!H246</f>
        <v>Limpeza em superfície de concreto com jateamento d'água sob pressão</v>
      </c>
      <c r="F661" s="325"/>
      <c r="G661" s="392"/>
      <c r="H661" s="364"/>
      <c r="I661" s="364"/>
      <c r="J661" s="364"/>
    </row>
    <row r="662" spans="1:13" hidden="1" x14ac:dyDescent="0.25">
      <c r="A662" s="329">
        <f>A661</f>
        <v>0</v>
      </c>
      <c r="B662" s="329"/>
      <c r="C662" s="193"/>
      <c r="D662" s="194" t="s">
        <v>3902</v>
      </c>
      <c r="E662" s="329"/>
      <c r="F662" s="729"/>
      <c r="G662" s="393"/>
      <c r="H662" s="365"/>
      <c r="I662" s="365"/>
      <c r="J662" s="365"/>
    </row>
    <row r="663" spans="1:13" hidden="1" x14ac:dyDescent="0.25">
      <c r="A663" s="329">
        <f t="shared" ref="A663:A665" si="85">A662</f>
        <v>0</v>
      </c>
      <c r="B663" s="329"/>
      <c r="C663" s="1777" t="s">
        <v>42</v>
      </c>
      <c r="D663" s="1777"/>
      <c r="E663" s="327" t="str">
        <f>E$12</f>
        <v>ESTR. DE LINHA TAQUARAL</v>
      </c>
      <c r="F663" s="730" t="s">
        <v>96</v>
      </c>
      <c r="G663" s="376"/>
      <c r="H663" s="65"/>
      <c r="I663" s="65"/>
      <c r="J663" s="65"/>
    </row>
    <row r="664" spans="1:13" s="188" customFormat="1" hidden="1" x14ac:dyDescent="0.25">
      <c r="A664" s="329">
        <f>A661</f>
        <v>0</v>
      </c>
      <c r="B664" s="198">
        <f>oR!D246</f>
        <v>208</v>
      </c>
      <c r="C664" s="1778" t="s">
        <v>2906</v>
      </c>
      <c r="D664" s="1778"/>
      <c r="E664" s="395">
        <v>0</v>
      </c>
      <c r="F664" s="199">
        <f>SUM(E664:E664)</f>
        <v>0</v>
      </c>
      <c r="G664" s="376" t="s">
        <v>2595</v>
      </c>
      <c r="H664" s="198">
        <f>C661</f>
        <v>3806402</v>
      </c>
      <c r="I664" s="369">
        <f>MAX($I$13:I663)+1</f>
        <v>345</v>
      </c>
      <c r="J664" s="65" t="s">
        <v>2842</v>
      </c>
    </row>
    <row r="665" spans="1:13" s="188" customFormat="1" hidden="1" x14ac:dyDescent="0.25">
      <c r="A665" s="329">
        <f t="shared" si="85"/>
        <v>0</v>
      </c>
      <c r="B665" s="198"/>
      <c r="C665" s="65"/>
      <c r="D665" s="65"/>
      <c r="E665" s="426"/>
      <c r="F665" s="368"/>
      <c r="G665" s="386"/>
      <c r="H665" s="198"/>
      <c r="I665" s="369"/>
      <c r="J665" s="65"/>
    </row>
    <row r="666" spans="1:13" s="191" customFormat="1" ht="15.75" hidden="1" thickBot="1" x14ac:dyDescent="0.3">
      <c r="A666" s="686">
        <f>IF(E671=0,0,1)</f>
        <v>0</v>
      </c>
      <c r="B666" s="189"/>
      <c r="C666" s="190">
        <f>oR!G247</f>
        <v>4011353</v>
      </c>
      <c r="D666" s="324" t="str">
        <f>oR!H247</f>
        <v>Pintura de ligação</v>
      </c>
      <c r="F666" s="325"/>
      <c r="G666" s="392"/>
      <c r="H666" s="364"/>
      <c r="I666" s="364"/>
      <c r="J666" s="364"/>
    </row>
    <row r="667" spans="1:13" s="191" customFormat="1" ht="15.75" hidden="1" thickBot="1" x14ac:dyDescent="0.3">
      <c r="A667" s="686">
        <f>IF(E673=0,0,1)</f>
        <v>0</v>
      </c>
      <c r="B667" s="189"/>
      <c r="C667" s="190" t="str">
        <f>oR!G248</f>
        <v>RR-1C</v>
      </c>
      <c r="D667" s="324" t="str">
        <f>oR!H248</f>
        <v>Emulsões asfálticas RR-1C</v>
      </c>
      <c r="F667" s="325"/>
      <c r="G667" s="392"/>
      <c r="H667" s="364"/>
      <c r="I667" s="364"/>
      <c r="J667" s="364"/>
    </row>
    <row r="668" spans="1:13" s="191" customFormat="1" ht="15.75" hidden="1" thickBot="1" x14ac:dyDescent="0.3">
      <c r="A668" s="686">
        <f>IF(E674=0,0,1)</f>
        <v>0</v>
      </c>
      <c r="B668" s="189"/>
      <c r="C668" s="190" t="str">
        <f>oR!G249</f>
        <v>T-RR-1C</v>
      </c>
      <c r="D668" s="324" t="str">
        <f>oR!H249</f>
        <v>Transporte de Emulsões asfálticas RR-1C</v>
      </c>
      <c r="F668" s="325"/>
      <c r="G668" s="392"/>
      <c r="H668" s="364"/>
      <c r="I668" s="364"/>
      <c r="J668" s="364"/>
    </row>
    <row r="669" spans="1:13" hidden="1" x14ac:dyDescent="0.25">
      <c r="A669" s="329">
        <f>A666</f>
        <v>0</v>
      </c>
      <c r="B669" s="329"/>
      <c r="C669" s="193"/>
      <c r="D669" s="194" t="s">
        <v>2907</v>
      </c>
      <c r="E669" s="329"/>
      <c r="F669" s="729"/>
      <c r="G669" s="393"/>
      <c r="H669" s="365"/>
      <c r="I669" s="365"/>
      <c r="J669" s="365"/>
    </row>
    <row r="670" spans="1:13" hidden="1" x14ac:dyDescent="0.25">
      <c r="A670" s="329">
        <f t="shared" ref="A670:A671" si="86">A669</f>
        <v>0</v>
      </c>
      <c r="B670" s="329"/>
      <c r="C670" s="1777" t="s">
        <v>42</v>
      </c>
      <c r="D670" s="1777"/>
      <c r="E670" s="327" t="str">
        <f>E$12</f>
        <v>ESTR. DE LINHA TAQUARAL</v>
      </c>
      <c r="F670" s="730" t="s">
        <v>96</v>
      </c>
      <c r="G670" s="376"/>
      <c r="H670" s="65"/>
      <c r="I670" s="65"/>
      <c r="J670" s="65"/>
    </row>
    <row r="671" spans="1:13" s="188" customFormat="1" hidden="1" x14ac:dyDescent="0.25">
      <c r="A671" s="329">
        <f t="shared" si="86"/>
        <v>0</v>
      </c>
      <c r="B671" s="198">
        <f>B664+1</f>
        <v>209</v>
      </c>
      <c r="C671" s="1778" t="s">
        <v>2908</v>
      </c>
      <c r="D671" s="1778"/>
      <c r="E671" s="363">
        <f>E664</f>
        <v>0</v>
      </c>
      <c r="F671" s="199">
        <f>SUM(E671:E671)</f>
        <v>0</v>
      </c>
      <c r="G671" s="376" t="s">
        <v>2595</v>
      </c>
      <c r="H671" s="198">
        <f>C666</f>
        <v>4011353</v>
      </c>
      <c r="I671" s="369">
        <f>MAX($I$13:I670)+1</f>
        <v>346</v>
      </c>
      <c r="J671" s="65" t="str">
        <f>CONCATENATE("(",I671,")"," = ","(",I664,")")</f>
        <v>(346) = (345)</v>
      </c>
      <c r="M671" s="201"/>
    </row>
    <row r="672" spans="1:13" hidden="1" x14ac:dyDescent="0.25">
      <c r="A672" s="329">
        <f>A667</f>
        <v>0</v>
      </c>
      <c r="B672" s="329"/>
      <c r="C672" s="1773" t="s">
        <v>6486</v>
      </c>
      <c r="D672" s="1097" t="s">
        <v>6485</v>
      </c>
      <c r="E672" s="696">
        <v>0.5</v>
      </c>
      <c r="F672" s="40"/>
      <c r="G672" s="375" t="s">
        <v>15</v>
      </c>
      <c r="I672" s="357">
        <f>MAX($I$13:I671)+1</f>
        <v>347</v>
      </c>
      <c r="J672" s="361" t="s">
        <v>2843</v>
      </c>
    </row>
    <row r="673" spans="1:13" s="188" customFormat="1" hidden="1" x14ac:dyDescent="0.25">
      <c r="A673" s="329">
        <f t="shared" ref="A673" si="87">A672</f>
        <v>0</v>
      </c>
      <c r="B673" s="198">
        <f>B671+1</f>
        <v>210</v>
      </c>
      <c r="C673" s="1773"/>
      <c r="D673" s="1102" t="s">
        <v>12</v>
      </c>
      <c r="E673" s="363">
        <f>E671*E672/1000</f>
        <v>0</v>
      </c>
      <c r="F673" s="199">
        <f>SUM(E673:E673)</f>
        <v>0</v>
      </c>
      <c r="G673" s="376" t="s">
        <v>2695</v>
      </c>
      <c r="H673" s="198" t="str">
        <f>C667</f>
        <v>RR-1C</v>
      </c>
      <c r="I673" s="369">
        <f>MAX($I$13:I672)+1</f>
        <v>348</v>
      </c>
      <c r="J673" s="65" t="str">
        <f>CONCATENATE("(",I673,")"," = ","(",I671,")*(",I672,")/1000")</f>
        <v>(348) = (346)*(347)/1000</v>
      </c>
    </row>
    <row r="674" spans="1:13" s="188" customFormat="1" hidden="1" x14ac:dyDescent="0.25">
      <c r="A674" s="329">
        <f>A668</f>
        <v>0</v>
      </c>
      <c r="B674" s="198">
        <f>B673+1</f>
        <v>211</v>
      </c>
      <c r="C674" s="1103"/>
      <c r="D674" s="1102" t="s">
        <v>6487</v>
      </c>
      <c r="E674" s="199">
        <f>E673</f>
        <v>0</v>
      </c>
      <c r="F674" s="199">
        <f>SUM(E674:E674)</f>
        <v>0</v>
      </c>
      <c r="G674" s="376" t="s">
        <v>2695</v>
      </c>
      <c r="H674" s="366" t="str">
        <f>C668</f>
        <v>T-RR-1C</v>
      </c>
      <c r="I674" s="369">
        <f>MAX($I$13:I673)+1</f>
        <v>349</v>
      </c>
      <c r="J674" s="65" t="str">
        <f>CONCATENATE("(",I674,")"," = ","(",I673,")")</f>
        <v>(349) = (348)</v>
      </c>
    </row>
    <row r="675" spans="1:13" hidden="1" x14ac:dyDescent="0.25">
      <c r="A675" s="329">
        <f>A671</f>
        <v>0</v>
      </c>
      <c r="B675" s="329"/>
      <c r="C675" s="329"/>
      <c r="D675" s="329"/>
      <c r="E675" s="329"/>
      <c r="F675" s="329"/>
      <c r="M675" s="197"/>
    </row>
    <row r="676" spans="1:13" s="191" customFormat="1" ht="15.75" hidden="1" thickBot="1" x14ac:dyDescent="0.3">
      <c r="A676" s="686">
        <f>IF(E688=0,0,1)</f>
        <v>0</v>
      </c>
      <c r="B676" s="189"/>
      <c r="C676" s="190">
        <f>oR!G250</f>
        <v>4011459</v>
      </c>
      <c r="D676" s="324" t="str">
        <f>oR!H250</f>
        <v>Concreto asfáltico - faixa B - areia e brita comerciais</v>
      </c>
      <c r="F676" s="325"/>
      <c r="G676" s="392"/>
      <c r="H676" s="364"/>
      <c r="I676" s="364"/>
      <c r="J676" s="364"/>
      <c r="M676" s="416"/>
    </row>
    <row r="677" spans="1:13" s="191" customFormat="1" ht="15.75" hidden="1" thickBot="1" x14ac:dyDescent="0.3">
      <c r="A677" s="686">
        <f>IF(E690=0,0,1)</f>
        <v>0</v>
      </c>
      <c r="B677" s="189"/>
      <c r="C677" s="190">
        <f>oR!G251</f>
        <v>5914389</v>
      </c>
      <c r="D677" s="324" t="str">
        <f>oR!H251</f>
        <v>Transporte com caminhão basculante de 10 m³ - rodovia pavimentada</v>
      </c>
      <c r="F677" s="325"/>
      <c r="G677" s="392"/>
      <c r="H677" s="364"/>
      <c r="I677" s="364"/>
      <c r="J677" s="364"/>
      <c r="M677" s="416"/>
    </row>
    <row r="678" spans="1:13" s="191" customFormat="1" ht="15.75" hidden="1" thickBot="1" x14ac:dyDescent="0.3">
      <c r="A678" s="686">
        <f>IF(E692=0,0,1)</f>
        <v>0</v>
      </c>
      <c r="B678" s="189"/>
      <c r="C678" s="190" t="str">
        <f>oR!G252</f>
        <v>CAP 50-70</v>
      </c>
      <c r="D678" s="324" t="str">
        <f>oR!H252</f>
        <v>Cimentos asfálticos CAP-50-70</v>
      </c>
      <c r="F678" s="325"/>
      <c r="G678" s="392"/>
      <c r="H678" s="364"/>
      <c r="I678" s="364"/>
      <c r="J678" s="364"/>
      <c r="M678" s="416"/>
    </row>
    <row r="679" spans="1:13" s="191" customFormat="1" ht="15.75" hidden="1" thickBot="1" x14ac:dyDescent="0.3">
      <c r="A679" s="686">
        <f>IF(E693=0,0,1)</f>
        <v>0</v>
      </c>
      <c r="B679" s="189"/>
      <c r="C679" s="190" t="str">
        <f>oR!G253</f>
        <v>T-CAP 50-70</v>
      </c>
      <c r="D679" s="324" t="str">
        <f>oR!H253</f>
        <v>Transporte de Cimentos asfálticos CAP-50-70</v>
      </c>
      <c r="F679" s="325"/>
      <c r="G679" s="392"/>
      <c r="H679" s="364"/>
      <c r="I679" s="364"/>
      <c r="J679" s="364"/>
    </row>
    <row r="680" spans="1:13" hidden="1" x14ac:dyDescent="0.25">
      <c r="A680" s="329">
        <f>A676</f>
        <v>0</v>
      </c>
      <c r="B680" s="329"/>
      <c r="C680" s="193"/>
      <c r="D680" s="194" t="s">
        <v>2833</v>
      </c>
      <c r="E680" s="329"/>
      <c r="F680" s="729"/>
      <c r="G680" s="393"/>
      <c r="H680" s="365"/>
      <c r="I680" s="365"/>
      <c r="J680" s="365"/>
    </row>
    <row r="681" spans="1:13" hidden="1" x14ac:dyDescent="0.25">
      <c r="A681" s="329">
        <f>A680</f>
        <v>0</v>
      </c>
      <c r="B681" s="329"/>
      <c r="C681" s="193"/>
      <c r="D681" s="194" t="s">
        <v>2836</v>
      </c>
      <c r="E681" s="329"/>
      <c r="F681" s="729"/>
      <c r="G681" s="393"/>
      <c r="H681" s="365"/>
      <c r="I681" s="365"/>
      <c r="J681" s="365"/>
    </row>
    <row r="682" spans="1:13" hidden="1" x14ac:dyDescent="0.25">
      <c r="A682" s="329">
        <f t="shared" ref="A682:A692" si="88">A681</f>
        <v>0</v>
      </c>
      <c r="B682" s="329"/>
      <c r="C682" s="193"/>
      <c r="D682" s="194" t="s">
        <v>2834</v>
      </c>
      <c r="E682" s="329"/>
      <c r="F682" s="729"/>
      <c r="G682" s="393"/>
      <c r="H682" s="365"/>
      <c r="I682" s="365"/>
      <c r="J682" s="365"/>
    </row>
    <row r="683" spans="1:13" hidden="1" x14ac:dyDescent="0.25">
      <c r="A683" s="329">
        <f t="shared" si="88"/>
        <v>0</v>
      </c>
      <c r="B683" s="329"/>
      <c r="C683" s="193"/>
      <c r="D683" s="194" t="s">
        <v>2835</v>
      </c>
      <c r="E683" s="329"/>
      <c r="F683" s="729"/>
      <c r="G683" s="393"/>
      <c r="H683" s="365"/>
      <c r="I683" s="365"/>
      <c r="J683" s="365"/>
    </row>
    <row r="684" spans="1:13" hidden="1" x14ac:dyDescent="0.25">
      <c r="A684" s="329">
        <f t="shared" si="88"/>
        <v>0</v>
      </c>
      <c r="B684" s="329"/>
      <c r="C684" s="1777" t="s">
        <v>42</v>
      </c>
      <c r="D684" s="1777"/>
      <c r="E684" s="327" t="str">
        <f>E$12</f>
        <v>ESTR. DE LINHA TAQUARAL</v>
      </c>
      <c r="F684" s="730" t="s">
        <v>96</v>
      </c>
      <c r="G684" s="376"/>
      <c r="H684" s="65"/>
      <c r="I684" s="65"/>
      <c r="J684" s="65"/>
    </row>
    <row r="685" spans="1:13" hidden="1" x14ac:dyDescent="0.25">
      <c r="A685" s="329">
        <f t="shared" si="88"/>
        <v>0</v>
      </c>
      <c r="B685" s="329"/>
      <c r="C685" s="1773" t="s">
        <v>108</v>
      </c>
      <c r="D685" s="731" t="s">
        <v>2909</v>
      </c>
      <c r="E685" s="40">
        <f>E671</f>
        <v>0</v>
      </c>
      <c r="F685" s="40">
        <f>SUM(E685:E685)</f>
        <v>0</v>
      </c>
      <c r="G685" s="375" t="s">
        <v>2595</v>
      </c>
      <c r="I685" s="357">
        <f>MAX($I$13:I684)+1</f>
        <v>350</v>
      </c>
      <c r="J685" s="361" t="str">
        <f>CONCATENATE("(",I685,")"," = ","(",I671,")")</f>
        <v>(350) = (346)</v>
      </c>
    </row>
    <row r="686" spans="1:13" hidden="1" x14ac:dyDescent="0.25">
      <c r="A686" s="329">
        <f t="shared" si="88"/>
        <v>0</v>
      </c>
      <c r="B686" s="396">
        <f>B671+0.1</f>
        <v>209.1</v>
      </c>
      <c r="C686" s="1773"/>
      <c r="D686" s="731" t="s">
        <v>2910</v>
      </c>
      <c r="E686" s="374">
        <f>E651</f>
        <v>0.05</v>
      </c>
      <c r="F686" s="40"/>
      <c r="G686" s="375" t="s">
        <v>2598</v>
      </c>
      <c r="I686" s="357">
        <f>MAX($I$13:I685)+1</f>
        <v>351</v>
      </c>
      <c r="J686" s="329" t="s">
        <v>2845</v>
      </c>
    </row>
    <row r="687" spans="1:13" hidden="1" x14ac:dyDescent="0.25">
      <c r="A687" s="329">
        <f t="shared" si="88"/>
        <v>0</v>
      </c>
      <c r="B687" s="329"/>
      <c r="C687" s="1773"/>
      <c r="D687" s="731" t="s">
        <v>2838</v>
      </c>
      <c r="E687" s="373">
        <f>E652</f>
        <v>2.5</v>
      </c>
      <c r="F687" s="40"/>
      <c r="G687" s="375" t="s">
        <v>2837</v>
      </c>
      <c r="I687" s="357">
        <f>MAX($I$13:I686)+1</f>
        <v>352</v>
      </c>
      <c r="J687" s="329" t="s">
        <v>2843</v>
      </c>
    </row>
    <row r="688" spans="1:13" s="188" customFormat="1" hidden="1" x14ac:dyDescent="0.25">
      <c r="A688" s="329">
        <f t="shared" si="88"/>
        <v>0</v>
      </c>
      <c r="B688" s="198">
        <f>B671+1</f>
        <v>210</v>
      </c>
      <c r="C688" s="1773"/>
      <c r="D688" s="730" t="s">
        <v>12</v>
      </c>
      <c r="E688" s="363">
        <f>E685*E686*E687</f>
        <v>0</v>
      </c>
      <c r="F688" s="199">
        <f>SUM(E688:E688)</f>
        <v>0</v>
      </c>
      <c r="G688" s="376" t="s">
        <v>2695</v>
      </c>
      <c r="H688" s="198">
        <f>C676</f>
        <v>4011459</v>
      </c>
      <c r="I688" s="369">
        <f>MAX($I$13:I687)+1</f>
        <v>353</v>
      </c>
      <c r="J688" s="65" t="str">
        <f>CONCATENATE("(",I688,")"," = ","(",I687,")*(",I686,")*(",I685,")")</f>
        <v>(353) = (352)*(351)*(350)</v>
      </c>
    </row>
    <row r="689" spans="1:13" hidden="1" x14ac:dyDescent="0.25">
      <c r="A689" s="329">
        <f>A677</f>
        <v>0</v>
      </c>
      <c r="B689" s="329"/>
      <c r="C689" s="1773" t="s">
        <v>2826</v>
      </c>
      <c r="D689" s="731" t="s">
        <v>2827</v>
      </c>
      <c r="E689" s="40">
        <f>DMT!$G$10</f>
        <v>25.9</v>
      </c>
      <c r="F689" s="731"/>
      <c r="G689" s="375" t="s">
        <v>2799</v>
      </c>
      <c r="H689" s="361"/>
      <c r="I689" s="357">
        <f>MAX($I$13:I688)+1</f>
        <v>354</v>
      </c>
      <c r="J689" s="361" t="s">
        <v>2843</v>
      </c>
    </row>
    <row r="690" spans="1:13" s="188" customFormat="1" hidden="1" x14ac:dyDescent="0.25">
      <c r="A690" s="329">
        <f t="shared" si="88"/>
        <v>0</v>
      </c>
      <c r="B690" s="198">
        <f>B688+1</f>
        <v>211</v>
      </c>
      <c r="C690" s="1773"/>
      <c r="D690" s="730" t="s">
        <v>2828</v>
      </c>
      <c r="E690" s="199">
        <f>E689*E688</f>
        <v>0</v>
      </c>
      <c r="F690" s="199">
        <f>SUM(E690:E690)</f>
        <v>0</v>
      </c>
      <c r="G690" s="376" t="s">
        <v>2784</v>
      </c>
      <c r="H690" s="366">
        <f>C677</f>
        <v>5914389</v>
      </c>
      <c r="I690" s="369">
        <f>MAX($I$13:I689)+1</f>
        <v>355</v>
      </c>
      <c r="J690" s="65" t="str">
        <f>CONCATENATE("(",I690,")"," = ","(",I688,")*(",I689,")")</f>
        <v>(355) = (353)*(354)</v>
      </c>
    </row>
    <row r="691" spans="1:13" hidden="1" x14ac:dyDescent="0.25">
      <c r="A691" s="329">
        <f>A678</f>
        <v>0</v>
      </c>
      <c r="B691" s="329"/>
      <c r="C691" s="1773" t="s">
        <v>2839</v>
      </c>
      <c r="D691" s="731" t="s">
        <v>2840</v>
      </c>
      <c r="E691" s="373">
        <f>E656</f>
        <v>6</v>
      </c>
      <c r="F691" s="40"/>
      <c r="G691" s="375" t="s">
        <v>15</v>
      </c>
      <c r="I691" s="357">
        <f>MAX($I$13:I690)+1</f>
        <v>356</v>
      </c>
      <c r="J691" s="361" t="s">
        <v>2843</v>
      </c>
    </row>
    <row r="692" spans="1:13" s="188" customFormat="1" hidden="1" x14ac:dyDescent="0.25">
      <c r="A692" s="329">
        <f t="shared" si="88"/>
        <v>0</v>
      </c>
      <c r="B692" s="198">
        <f>B690+1</f>
        <v>212</v>
      </c>
      <c r="C692" s="1773"/>
      <c r="D692" s="730" t="s">
        <v>12</v>
      </c>
      <c r="E692" s="363">
        <f>E688*E691/100</f>
        <v>0</v>
      </c>
      <c r="F692" s="199">
        <f>SUM(E692:E692)</f>
        <v>0</v>
      </c>
      <c r="G692" s="376" t="s">
        <v>2695</v>
      </c>
      <c r="H692" s="198" t="str">
        <f>C678</f>
        <v>CAP 50-70</v>
      </c>
      <c r="I692" s="369">
        <f>MAX($I$13:I691)+1</f>
        <v>357</v>
      </c>
      <c r="J692" s="65" t="str">
        <f>CONCATENATE("(",I692,")"," = ","(",I690,")*(",I691,")")</f>
        <v>(357) = (355)*(356)</v>
      </c>
    </row>
    <row r="693" spans="1:13" s="188" customFormat="1" hidden="1" x14ac:dyDescent="0.25">
      <c r="A693" s="329">
        <f>A679</f>
        <v>0</v>
      </c>
      <c r="B693" s="198">
        <f>B692+1</f>
        <v>213</v>
      </c>
      <c r="C693" s="1103"/>
      <c r="D693" s="1102" t="s">
        <v>6489</v>
      </c>
      <c r="E693" s="199">
        <f>E692</f>
        <v>0</v>
      </c>
      <c r="F693" s="199">
        <f>SUM(E693:E693)</f>
        <v>0</v>
      </c>
      <c r="G693" s="376" t="s">
        <v>2695</v>
      </c>
      <c r="H693" s="366" t="str">
        <f>C679</f>
        <v>T-CAP 50-70</v>
      </c>
      <c r="I693" s="369">
        <f>MAX($I$13:I692)+1</f>
        <v>358</v>
      </c>
      <c r="J693" s="65" t="str">
        <f>CONCATENATE("(",I693,")"," = ","(",I692,")")</f>
        <v>(358) = (357)</v>
      </c>
    </row>
    <row r="694" spans="1:13" s="188" customFormat="1" hidden="1" x14ac:dyDescent="0.25">
      <c r="A694" s="329">
        <f>A660</f>
        <v>0</v>
      </c>
      <c r="B694" s="198"/>
      <c r="C694" s="65"/>
      <c r="D694" s="65"/>
      <c r="E694" s="426"/>
      <c r="F694" s="368"/>
      <c r="G694" s="386"/>
      <c r="H694" s="198"/>
      <c r="I694" s="369"/>
      <c r="J694" s="65"/>
    </row>
    <row r="695" spans="1:13" s="188" customFormat="1" ht="13.5" hidden="1" thickBot="1" x14ac:dyDescent="0.3">
      <c r="A695" s="687">
        <f>IF(SUM(A696:A739)&gt;0,1,0)</f>
        <v>0</v>
      </c>
      <c r="B695" s="185"/>
      <c r="C695" s="186"/>
      <c r="D695" s="187" t="str">
        <f>oR!G255</f>
        <v>REMENDO SUPERFICIAL</v>
      </c>
      <c r="E695" s="187"/>
      <c r="F695" s="187"/>
      <c r="G695" s="391"/>
      <c r="H695" s="186"/>
      <c r="I695" s="186"/>
      <c r="J695" s="186"/>
    </row>
    <row r="696" spans="1:13" s="191" customFormat="1" ht="15.75" hidden="1" thickBot="1" x14ac:dyDescent="0.3">
      <c r="A696" s="686">
        <f>IF(E703=0,0,1)</f>
        <v>0</v>
      </c>
      <c r="B696" s="189"/>
      <c r="C696" s="190">
        <f>oR!G256</f>
        <v>4011480</v>
      </c>
      <c r="D696" s="324" t="str">
        <f>oR!H256</f>
        <v>Fresagem descontínua de revestimento asfáltico</v>
      </c>
      <c r="F696" s="325"/>
      <c r="G696" s="392"/>
      <c r="H696" s="364"/>
      <c r="I696" s="364"/>
      <c r="J696" s="364"/>
      <c r="M696" s="416"/>
    </row>
    <row r="697" spans="1:13" s="191" customFormat="1" ht="15.75" hidden="1" thickBot="1" x14ac:dyDescent="0.3">
      <c r="A697" s="686">
        <f>IF(E705=0,0,1)</f>
        <v>0</v>
      </c>
      <c r="B697" s="189"/>
      <c r="C697" s="190">
        <f>oR!G257</f>
        <v>5914389</v>
      </c>
      <c r="D697" s="324" t="str">
        <f>oR!H257</f>
        <v>Transporte com caminhão basculante de 10 m³ - rodovia pavimentada</v>
      </c>
      <c r="F697" s="325"/>
      <c r="G697" s="392"/>
      <c r="H697" s="364"/>
      <c r="I697" s="364"/>
      <c r="J697" s="364"/>
      <c r="M697" s="416"/>
    </row>
    <row r="698" spans="1:13" hidden="1" x14ac:dyDescent="0.25">
      <c r="A698" s="329">
        <f>A696</f>
        <v>0</v>
      </c>
      <c r="B698" s="329"/>
      <c r="C698" s="193"/>
      <c r="D698" s="194" t="s">
        <v>3896</v>
      </c>
      <c r="E698" s="329"/>
      <c r="F698" s="729"/>
      <c r="G698" s="393"/>
      <c r="H698" s="365"/>
      <c r="I698" s="365"/>
      <c r="J698" s="365"/>
    </row>
    <row r="699" spans="1:13" hidden="1" x14ac:dyDescent="0.25">
      <c r="A699" s="329">
        <f>A697</f>
        <v>0</v>
      </c>
      <c r="B699" s="329"/>
      <c r="C699" s="193"/>
      <c r="D699" s="194" t="s">
        <v>3897</v>
      </c>
      <c r="E699" s="329"/>
      <c r="F699" s="729"/>
      <c r="G699" s="393"/>
      <c r="H699" s="365"/>
      <c r="I699" s="365"/>
      <c r="J699" s="365"/>
    </row>
    <row r="700" spans="1:13" hidden="1" x14ac:dyDescent="0.25">
      <c r="A700" s="329">
        <f t="shared" ref="A700:A705" si="89">A699</f>
        <v>0</v>
      </c>
      <c r="B700" s="329"/>
      <c r="C700" s="1777" t="s">
        <v>42</v>
      </c>
      <c r="D700" s="1777"/>
      <c r="E700" s="327" t="str">
        <f>E$12</f>
        <v>ESTR. DE LINHA TAQUARAL</v>
      </c>
      <c r="F700" s="730" t="s">
        <v>96</v>
      </c>
      <c r="G700" s="376"/>
      <c r="H700" s="65"/>
      <c r="I700" s="65"/>
      <c r="J700" s="65"/>
    </row>
    <row r="701" spans="1:13" hidden="1" x14ac:dyDescent="0.25">
      <c r="A701" s="329">
        <f t="shared" si="89"/>
        <v>0</v>
      </c>
      <c r="B701" s="329"/>
      <c r="C701" s="1773" t="s">
        <v>3898</v>
      </c>
      <c r="D701" s="731" t="s">
        <v>3899</v>
      </c>
      <c r="E701" s="40">
        <f>E710</f>
        <v>0</v>
      </c>
      <c r="F701" s="40">
        <f>SUM(E701:E701)</f>
        <v>0</v>
      </c>
      <c r="G701" s="375" t="s">
        <v>2595</v>
      </c>
      <c r="I701" s="357">
        <f>MAX($I$13:I700)+1</f>
        <v>359</v>
      </c>
      <c r="J701" s="361" t="str">
        <f>CONCATENATE("(",I701,")"," = ","(",I710,")")</f>
        <v>(359) = (364)</v>
      </c>
    </row>
    <row r="702" spans="1:13" hidden="1" x14ac:dyDescent="0.25">
      <c r="A702" s="329">
        <f t="shared" si="89"/>
        <v>0</v>
      </c>
      <c r="B702" s="396"/>
      <c r="C702" s="1773"/>
      <c r="D702" s="731" t="s">
        <v>2910</v>
      </c>
      <c r="E702" s="374">
        <f>E732</f>
        <v>0.05</v>
      </c>
      <c r="F702" s="40"/>
      <c r="G702" s="375" t="s">
        <v>2598</v>
      </c>
      <c r="I702" s="357">
        <f>MAX($I$13:I701)+1</f>
        <v>360</v>
      </c>
      <c r="J702" s="329" t="s">
        <v>2843</v>
      </c>
    </row>
    <row r="703" spans="1:13" s="188" customFormat="1" hidden="1" x14ac:dyDescent="0.25">
      <c r="A703" s="329">
        <f>A702</f>
        <v>0</v>
      </c>
      <c r="B703" s="198">
        <f>oR!D256</f>
        <v>216</v>
      </c>
      <c r="C703" s="1773"/>
      <c r="D703" s="730" t="s">
        <v>100</v>
      </c>
      <c r="E703" s="363">
        <f>E701*E702</f>
        <v>0</v>
      </c>
      <c r="F703" s="199">
        <f>SUM(E703:E703)</f>
        <v>0</v>
      </c>
      <c r="G703" s="376" t="s">
        <v>2596</v>
      </c>
      <c r="H703" s="198">
        <f>C696</f>
        <v>4011480</v>
      </c>
      <c r="I703" s="369">
        <f>MAX($I$13:I702)+1</f>
        <v>361</v>
      </c>
      <c r="J703" s="65" t="str">
        <f>CONCATENATE("(",I703,")"," = ","(",I701,")*(",I702,")")</f>
        <v>(361) = (359)*(360)</v>
      </c>
    </row>
    <row r="704" spans="1:13" hidden="1" x14ac:dyDescent="0.25">
      <c r="A704" s="329">
        <f>A697</f>
        <v>0</v>
      </c>
      <c r="B704" s="329"/>
      <c r="C704" s="1773" t="s">
        <v>2826</v>
      </c>
      <c r="D704" s="731" t="s">
        <v>2827</v>
      </c>
      <c r="E704" s="40">
        <f>DMT!J10</f>
        <v>1</v>
      </c>
      <c r="F704" s="731"/>
      <c r="G704" s="375" t="s">
        <v>2799</v>
      </c>
      <c r="H704" s="361"/>
      <c r="I704" s="357">
        <f>MAX($I$13:I703)+1</f>
        <v>362</v>
      </c>
      <c r="J704" s="361" t="s">
        <v>2843</v>
      </c>
    </row>
    <row r="705" spans="1:13" s="188" customFormat="1" hidden="1" x14ac:dyDescent="0.25">
      <c r="A705" s="329">
        <f t="shared" si="89"/>
        <v>0</v>
      </c>
      <c r="B705" s="198">
        <f>B703+1</f>
        <v>217</v>
      </c>
      <c r="C705" s="1773"/>
      <c r="D705" s="730" t="s">
        <v>2828</v>
      </c>
      <c r="E705" s="199">
        <f>E704*E703*1.5</f>
        <v>0</v>
      </c>
      <c r="F705" s="199">
        <f>SUM(E705:E705)</f>
        <v>0</v>
      </c>
      <c r="G705" s="376" t="s">
        <v>2784</v>
      </c>
      <c r="H705" s="366">
        <f>C697</f>
        <v>5914389</v>
      </c>
      <c r="I705" s="369">
        <f>MAX($I$13:I704)+1</f>
        <v>363</v>
      </c>
      <c r="J705" s="65" t="str">
        <f>CONCATENATE("(",I705,")"," = ","(",I703,")*(",I704,")*1,5")</f>
        <v>(363) = (361)*(362)*1,5</v>
      </c>
    </row>
    <row r="706" spans="1:13" hidden="1" x14ac:dyDescent="0.25">
      <c r="A706" s="329">
        <f>A705</f>
        <v>0</v>
      </c>
      <c r="B706" s="329"/>
      <c r="C706" s="329"/>
      <c r="D706" s="329"/>
      <c r="E706" s="329"/>
      <c r="F706" s="329"/>
      <c r="M706" s="197"/>
    </row>
    <row r="707" spans="1:13" s="191" customFormat="1" ht="15.75" hidden="1" thickBot="1" x14ac:dyDescent="0.3">
      <c r="A707" s="686">
        <f>IF(E710=0,0,1)</f>
        <v>0</v>
      </c>
      <c r="B707" s="189"/>
      <c r="C707" s="190">
        <f>oR!G258</f>
        <v>3806402</v>
      </c>
      <c r="D707" s="324" t="str">
        <f>oR!H258</f>
        <v>Limpeza em superfície de concreto com jateamento d'água sob pressão</v>
      </c>
      <c r="F707" s="325"/>
      <c r="G707" s="392"/>
      <c r="H707" s="364"/>
      <c r="I707" s="364"/>
      <c r="J707" s="364"/>
    </row>
    <row r="708" spans="1:13" hidden="1" x14ac:dyDescent="0.25">
      <c r="A708" s="329">
        <f>A707</f>
        <v>0</v>
      </c>
      <c r="B708" s="329"/>
      <c r="C708" s="193"/>
      <c r="D708" s="194" t="s">
        <v>3902</v>
      </c>
      <c r="E708" s="329"/>
      <c r="F708" s="729"/>
      <c r="G708" s="393"/>
      <c r="H708" s="365"/>
      <c r="I708" s="365"/>
      <c r="J708" s="365"/>
    </row>
    <row r="709" spans="1:13" hidden="1" x14ac:dyDescent="0.25">
      <c r="A709" s="329">
        <f t="shared" ref="A709:A711" si="90">A708</f>
        <v>0</v>
      </c>
      <c r="B709" s="329"/>
      <c r="C709" s="1777" t="s">
        <v>42</v>
      </c>
      <c r="D709" s="1777"/>
      <c r="E709" s="327" t="str">
        <f>E$12</f>
        <v>ESTR. DE LINHA TAQUARAL</v>
      </c>
      <c r="F709" s="730" t="s">
        <v>96</v>
      </c>
      <c r="G709" s="376"/>
      <c r="H709" s="65"/>
      <c r="I709" s="65"/>
      <c r="J709" s="65"/>
    </row>
    <row r="710" spans="1:13" s="188" customFormat="1" hidden="1" x14ac:dyDescent="0.25">
      <c r="A710" s="329">
        <f>A707</f>
        <v>0</v>
      </c>
      <c r="B710" s="198">
        <f>B705+1</f>
        <v>218</v>
      </c>
      <c r="C710" s="1778" t="s">
        <v>2906</v>
      </c>
      <c r="D710" s="1778"/>
      <c r="E710" s="395"/>
      <c r="F710" s="199">
        <f>SUM(E710:E710)</f>
        <v>0</v>
      </c>
      <c r="G710" s="376" t="s">
        <v>2595</v>
      </c>
      <c r="H710" s="198">
        <f>C707</f>
        <v>3806402</v>
      </c>
      <c r="I710" s="369">
        <f>MAX($I$13:I709)+1</f>
        <v>364</v>
      </c>
      <c r="J710" s="65" t="s">
        <v>2842</v>
      </c>
    </row>
    <row r="711" spans="1:13" s="188" customFormat="1" hidden="1" x14ac:dyDescent="0.25">
      <c r="A711" s="329">
        <f t="shared" si="90"/>
        <v>0</v>
      </c>
      <c r="B711" s="198"/>
      <c r="C711" s="65"/>
      <c r="D711" s="65"/>
      <c r="E711" s="426"/>
      <c r="F711" s="368"/>
      <c r="G711" s="386"/>
      <c r="H711" s="198"/>
      <c r="I711" s="369"/>
      <c r="J711" s="65"/>
    </row>
    <row r="712" spans="1:13" s="191" customFormat="1" ht="15.75" hidden="1" thickBot="1" x14ac:dyDescent="0.3">
      <c r="A712" s="686">
        <f>IF(E717=0,0,1)</f>
        <v>0</v>
      </c>
      <c r="B712" s="189"/>
      <c r="C712" s="190">
        <f>oR!G259</f>
        <v>4011353</v>
      </c>
      <c r="D712" s="324" t="str">
        <f>oR!H259</f>
        <v>Pintura de ligação</v>
      </c>
      <c r="F712" s="325"/>
      <c r="G712" s="392"/>
      <c r="H712" s="364"/>
      <c r="I712" s="364"/>
      <c r="J712" s="364"/>
    </row>
    <row r="713" spans="1:13" s="191" customFormat="1" ht="15.75" hidden="1" thickBot="1" x14ac:dyDescent="0.3">
      <c r="A713" s="686">
        <f>IF(E719=0,0,1)</f>
        <v>0</v>
      </c>
      <c r="B713" s="189"/>
      <c r="C713" s="190" t="str">
        <f>oR!G260</f>
        <v>RR-1C</v>
      </c>
      <c r="D713" s="324" t="str">
        <f>oR!H260</f>
        <v>Emulsões asfálticas RR-1C</v>
      </c>
      <c r="F713" s="325"/>
      <c r="G713" s="392"/>
      <c r="H713" s="364"/>
      <c r="I713" s="364"/>
      <c r="J713" s="364"/>
    </row>
    <row r="714" spans="1:13" s="191" customFormat="1" ht="15.75" hidden="1" thickBot="1" x14ac:dyDescent="0.3">
      <c r="A714" s="686">
        <f>IF(E720=0,0,1)</f>
        <v>0</v>
      </c>
      <c r="B714" s="189"/>
      <c r="C714" s="190" t="str">
        <f>oR!G261</f>
        <v>T-RR-1C</v>
      </c>
      <c r="D714" s="324" t="str">
        <f>oR!H261</f>
        <v>Transporte de Emulsões asfálticas RR-1C</v>
      </c>
      <c r="F714" s="325"/>
      <c r="G714" s="392"/>
      <c r="H714" s="364"/>
      <c r="I714" s="364"/>
      <c r="J714" s="364"/>
    </row>
    <row r="715" spans="1:13" hidden="1" x14ac:dyDescent="0.25">
      <c r="A715" s="329">
        <f>A712</f>
        <v>0</v>
      </c>
      <c r="B715" s="329"/>
      <c r="C715" s="193"/>
      <c r="D715" s="194" t="s">
        <v>2907</v>
      </c>
      <c r="E715" s="329"/>
      <c r="F715" s="729"/>
      <c r="G715" s="393"/>
      <c r="H715" s="365"/>
      <c r="I715" s="365"/>
      <c r="J715" s="365"/>
    </row>
    <row r="716" spans="1:13" hidden="1" x14ac:dyDescent="0.25">
      <c r="A716" s="329">
        <f t="shared" ref="A716:A717" si="91">A715</f>
        <v>0</v>
      </c>
      <c r="B716" s="329"/>
      <c r="C716" s="1777" t="s">
        <v>42</v>
      </c>
      <c r="D716" s="1777"/>
      <c r="E716" s="327" t="str">
        <f>E$12</f>
        <v>ESTR. DE LINHA TAQUARAL</v>
      </c>
      <c r="F716" s="730" t="s">
        <v>96</v>
      </c>
      <c r="G716" s="376"/>
      <c r="H716" s="65"/>
      <c r="I716" s="65"/>
      <c r="J716" s="65"/>
    </row>
    <row r="717" spans="1:13" s="188" customFormat="1" hidden="1" x14ac:dyDescent="0.25">
      <c r="A717" s="329">
        <f t="shared" si="91"/>
        <v>0</v>
      </c>
      <c r="B717" s="198">
        <f>B710+1</f>
        <v>219</v>
      </c>
      <c r="C717" s="1778" t="s">
        <v>2908</v>
      </c>
      <c r="D717" s="1778"/>
      <c r="E717" s="363">
        <f>E710</f>
        <v>0</v>
      </c>
      <c r="F717" s="199">
        <f>SUM(E717:E717)</f>
        <v>0</v>
      </c>
      <c r="G717" s="376" t="s">
        <v>2595</v>
      </c>
      <c r="H717" s="198">
        <f>C712</f>
        <v>4011353</v>
      </c>
      <c r="I717" s="369">
        <f>MAX($I$13:I716)+1</f>
        <v>365</v>
      </c>
      <c r="J717" s="65" t="str">
        <f>CONCATENATE("(",I717,")"," = ","(",I710,")")</f>
        <v>(365) = (364)</v>
      </c>
      <c r="M717" s="201"/>
    </row>
    <row r="718" spans="1:13" hidden="1" x14ac:dyDescent="0.25">
      <c r="A718" s="329">
        <f>A713</f>
        <v>0</v>
      </c>
      <c r="B718" s="329"/>
      <c r="C718" s="1773" t="s">
        <v>6486</v>
      </c>
      <c r="D718" s="1097" t="s">
        <v>6485</v>
      </c>
      <c r="E718" s="696">
        <v>0.5</v>
      </c>
      <c r="F718" s="40"/>
      <c r="G718" s="375" t="s">
        <v>15</v>
      </c>
      <c r="I718" s="357">
        <f>MAX($I$13:I717)+1</f>
        <v>366</v>
      </c>
      <c r="J718" s="361" t="s">
        <v>2843</v>
      </c>
    </row>
    <row r="719" spans="1:13" s="188" customFormat="1" hidden="1" x14ac:dyDescent="0.25">
      <c r="A719" s="329">
        <f t="shared" ref="A719" si="92">A718</f>
        <v>0</v>
      </c>
      <c r="B719" s="198">
        <f>B717+1</f>
        <v>220</v>
      </c>
      <c r="C719" s="1773"/>
      <c r="D719" s="1102" t="s">
        <v>12</v>
      </c>
      <c r="E719" s="363">
        <f>E717*E718/1000</f>
        <v>0</v>
      </c>
      <c r="F719" s="199">
        <f>SUM(E719:E719)</f>
        <v>0</v>
      </c>
      <c r="G719" s="376" t="s">
        <v>2695</v>
      </c>
      <c r="H719" s="198" t="str">
        <f>C713</f>
        <v>RR-1C</v>
      </c>
      <c r="I719" s="369">
        <f>MAX($I$13:I718)+1</f>
        <v>367</v>
      </c>
      <c r="J719" s="65" t="str">
        <f>CONCATENATE("(",I719,")"," = ","(",I717,")*(",I718,")/1000")</f>
        <v>(367) = (365)*(366)/1000</v>
      </c>
    </row>
    <row r="720" spans="1:13" s="188" customFormat="1" hidden="1" x14ac:dyDescent="0.25">
      <c r="A720" s="329">
        <f>A714</f>
        <v>0</v>
      </c>
      <c r="B720" s="198">
        <f>B719+1</f>
        <v>221</v>
      </c>
      <c r="C720" s="1103"/>
      <c r="D720" s="1102" t="s">
        <v>6487</v>
      </c>
      <c r="E720" s="199">
        <f>E719</f>
        <v>0</v>
      </c>
      <c r="F720" s="199">
        <f>SUM(E720:E720)</f>
        <v>0</v>
      </c>
      <c r="G720" s="376" t="s">
        <v>2695</v>
      </c>
      <c r="H720" s="366" t="str">
        <f>C714</f>
        <v>T-RR-1C</v>
      </c>
      <c r="I720" s="369">
        <f>MAX($I$13:I719)+1</f>
        <v>368</v>
      </c>
      <c r="J720" s="65" t="str">
        <f>CONCATENATE("(",I720,")"," = ","(",I719,")")</f>
        <v>(368) = (367)</v>
      </c>
    </row>
    <row r="721" spans="1:13" hidden="1" x14ac:dyDescent="0.25">
      <c r="A721" s="329">
        <f>A717</f>
        <v>0</v>
      </c>
      <c r="B721" s="329"/>
      <c r="C721" s="329"/>
      <c r="D721" s="329"/>
      <c r="E721" s="329"/>
      <c r="F721" s="329"/>
      <c r="M721" s="197"/>
    </row>
    <row r="722" spans="1:13" s="191" customFormat="1" ht="15.75" hidden="1" thickBot="1" x14ac:dyDescent="0.3">
      <c r="A722" s="686">
        <f>IF(E734=0,0,1)</f>
        <v>0</v>
      </c>
      <c r="B722" s="189"/>
      <c r="C722" s="190">
        <f>oR!G262</f>
        <v>4011459</v>
      </c>
      <c r="D722" s="324" t="str">
        <f>oR!H262</f>
        <v>Concreto asfáltico - faixa B - areia e brita comerciais</v>
      </c>
      <c r="F722" s="325"/>
      <c r="G722" s="392"/>
      <c r="H722" s="364"/>
      <c r="I722" s="364"/>
      <c r="J722" s="364"/>
      <c r="M722" s="416"/>
    </row>
    <row r="723" spans="1:13" s="191" customFormat="1" ht="15.75" hidden="1" thickBot="1" x14ac:dyDescent="0.3">
      <c r="A723" s="686">
        <f>IF(E736=0,0,1)</f>
        <v>0</v>
      </c>
      <c r="B723" s="189"/>
      <c r="C723" s="190">
        <f>oR!G263</f>
        <v>5914389</v>
      </c>
      <c r="D723" s="324" t="str">
        <f>oR!H263</f>
        <v>Transporte com caminhão basculante de 10 m³ - rodovia pavimentada</v>
      </c>
      <c r="F723" s="325"/>
      <c r="G723" s="392"/>
      <c r="H723" s="364"/>
      <c r="I723" s="364"/>
      <c r="J723" s="364"/>
      <c r="M723" s="416"/>
    </row>
    <row r="724" spans="1:13" s="191" customFormat="1" ht="15.75" hidden="1" thickBot="1" x14ac:dyDescent="0.3">
      <c r="A724" s="686">
        <f>IF(E738=0,0,1)</f>
        <v>0</v>
      </c>
      <c r="B724" s="189"/>
      <c r="C724" s="190" t="str">
        <f>oR!G264</f>
        <v>CAP 50-70</v>
      </c>
      <c r="D724" s="324" t="str">
        <f>oR!H264</f>
        <v>Cimentos asfálticos CAP-50-70</v>
      </c>
      <c r="F724" s="325"/>
      <c r="G724" s="392"/>
      <c r="H724" s="364"/>
      <c r="I724" s="364"/>
      <c r="J724" s="364"/>
      <c r="M724" s="416"/>
    </row>
    <row r="725" spans="1:13" s="191" customFormat="1" ht="15.75" hidden="1" thickBot="1" x14ac:dyDescent="0.3">
      <c r="A725" s="686">
        <f>IF(E739=0,0,1)</f>
        <v>0</v>
      </c>
      <c r="B725" s="189"/>
      <c r="C725" s="190" t="str">
        <f>oR!G265</f>
        <v>T-CAP 50-70</v>
      </c>
      <c r="D725" s="324" t="str">
        <f>oR!H265</f>
        <v>Transporte de Cimentos asfálticos CAP-50-70</v>
      </c>
      <c r="F725" s="325"/>
      <c r="G725" s="392"/>
      <c r="H725" s="364"/>
      <c r="I725" s="364"/>
      <c r="J725" s="364"/>
    </row>
    <row r="726" spans="1:13" hidden="1" x14ac:dyDescent="0.25">
      <c r="A726" s="329">
        <f>A722</f>
        <v>0</v>
      </c>
      <c r="B726" s="329"/>
      <c r="C726" s="193"/>
      <c r="D726" s="194" t="s">
        <v>2833</v>
      </c>
      <c r="E726" s="329"/>
      <c r="F726" s="729"/>
      <c r="G726" s="393"/>
      <c r="H726" s="365"/>
      <c r="I726" s="365"/>
      <c r="J726" s="365"/>
    </row>
    <row r="727" spans="1:13" hidden="1" x14ac:dyDescent="0.25">
      <c r="A727" s="329">
        <f>A726</f>
        <v>0</v>
      </c>
      <c r="B727" s="329"/>
      <c r="C727" s="193"/>
      <c r="D727" s="194" t="s">
        <v>2836</v>
      </c>
      <c r="E727" s="329"/>
      <c r="F727" s="729"/>
      <c r="G727" s="393"/>
      <c r="H727" s="365"/>
      <c r="I727" s="365"/>
      <c r="J727" s="365"/>
    </row>
    <row r="728" spans="1:13" hidden="1" x14ac:dyDescent="0.25">
      <c r="A728" s="329">
        <f t="shared" ref="A728:A738" si="93">A727</f>
        <v>0</v>
      </c>
      <c r="B728" s="329"/>
      <c r="C728" s="193"/>
      <c r="D728" s="194" t="s">
        <v>2834</v>
      </c>
      <c r="E728" s="329"/>
      <c r="F728" s="729"/>
      <c r="G728" s="393"/>
      <c r="H728" s="365"/>
      <c r="I728" s="365"/>
      <c r="J728" s="365"/>
    </row>
    <row r="729" spans="1:13" hidden="1" x14ac:dyDescent="0.25">
      <c r="A729" s="329">
        <f t="shared" si="93"/>
        <v>0</v>
      </c>
      <c r="B729" s="329"/>
      <c r="C729" s="193"/>
      <c r="D729" s="194" t="s">
        <v>2835</v>
      </c>
      <c r="E729" s="329"/>
      <c r="F729" s="729"/>
      <c r="G729" s="393"/>
      <c r="H729" s="365"/>
      <c r="I729" s="365"/>
      <c r="J729" s="365"/>
    </row>
    <row r="730" spans="1:13" hidden="1" x14ac:dyDescent="0.25">
      <c r="A730" s="329">
        <f t="shared" si="93"/>
        <v>0</v>
      </c>
      <c r="B730" s="329"/>
      <c r="C730" s="1777" t="s">
        <v>42</v>
      </c>
      <c r="D730" s="1777"/>
      <c r="E730" s="327" t="str">
        <f>E$12</f>
        <v>ESTR. DE LINHA TAQUARAL</v>
      </c>
      <c r="F730" s="730" t="s">
        <v>96</v>
      </c>
      <c r="G730" s="376"/>
      <c r="H730" s="65"/>
      <c r="I730" s="65"/>
      <c r="J730" s="65"/>
    </row>
    <row r="731" spans="1:13" hidden="1" x14ac:dyDescent="0.25">
      <c r="A731" s="329">
        <f t="shared" si="93"/>
        <v>0</v>
      </c>
      <c r="B731" s="329"/>
      <c r="C731" s="1773" t="s">
        <v>108</v>
      </c>
      <c r="D731" s="731" t="s">
        <v>2909</v>
      </c>
      <c r="E731" s="40">
        <f>E717</f>
        <v>0</v>
      </c>
      <c r="F731" s="40">
        <f>SUM(E731:E731)</f>
        <v>0</v>
      </c>
      <c r="G731" s="375" t="s">
        <v>2595</v>
      </c>
      <c r="I731" s="357">
        <f>MAX($I$13:I730)+1</f>
        <v>369</v>
      </c>
      <c r="J731" s="361" t="str">
        <f>CONCATENATE("(",I731,")"," = ","(",I717,")")</f>
        <v>(369) = (365)</v>
      </c>
    </row>
    <row r="732" spans="1:13" hidden="1" x14ac:dyDescent="0.25">
      <c r="A732" s="329">
        <f t="shared" si="93"/>
        <v>0</v>
      </c>
      <c r="B732" s="396"/>
      <c r="C732" s="1773"/>
      <c r="D732" s="731" t="s">
        <v>2910</v>
      </c>
      <c r="E732" s="374">
        <f>E686</f>
        <v>0.05</v>
      </c>
      <c r="F732" s="40"/>
      <c r="G732" s="375" t="s">
        <v>2598</v>
      </c>
      <c r="I732" s="357">
        <f>MAX($I$13:I731)+1</f>
        <v>370</v>
      </c>
      <c r="J732" s="329" t="s">
        <v>2845</v>
      </c>
    </row>
    <row r="733" spans="1:13" hidden="1" x14ac:dyDescent="0.25">
      <c r="A733" s="329">
        <f t="shared" si="93"/>
        <v>0</v>
      </c>
      <c r="B733" s="329"/>
      <c r="C733" s="1773"/>
      <c r="D733" s="731" t="s">
        <v>2838</v>
      </c>
      <c r="E733" s="373">
        <f>E687</f>
        <v>2.5</v>
      </c>
      <c r="F733" s="40"/>
      <c r="G733" s="375" t="s">
        <v>2837</v>
      </c>
      <c r="I733" s="357">
        <f>MAX($I$13:I732)+1</f>
        <v>371</v>
      </c>
      <c r="J733" s="329" t="s">
        <v>2843</v>
      </c>
    </row>
    <row r="734" spans="1:13" s="188" customFormat="1" hidden="1" x14ac:dyDescent="0.25">
      <c r="A734" s="329">
        <f t="shared" si="93"/>
        <v>0</v>
      </c>
      <c r="B734" s="198">
        <f>B720+1</f>
        <v>222</v>
      </c>
      <c r="C734" s="1773"/>
      <c r="D734" s="730" t="s">
        <v>12</v>
      </c>
      <c r="E734" s="363">
        <f>E731*E732*E733</f>
        <v>0</v>
      </c>
      <c r="F734" s="199">
        <f>SUM(E734:E734)</f>
        <v>0</v>
      </c>
      <c r="G734" s="376" t="s">
        <v>2695</v>
      </c>
      <c r="H734" s="198">
        <f>C722</f>
        <v>4011459</v>
      </c>
      <c r="I734" s="369">
        <f>MAX($I$13:I733)+1</f>
        <v>372</v>
      </c>
      <c r="J734" s="65" t="str">
        <f>CONCATENATE("(",I734,")"," = ","(",I733,")*(",I732,")*(",I731,")")</f>
        <v>(372) = (371)*(370)*(369)</v>
      </c>
    </row>
    <row r="735" spans="1:13" hidden="1" x14ac:dyDescent="0.25">
      <c r="A735" s="329">
        <f>A723</f>
        <v>0</v>
      </c>
      <c r="B735" s="329"/>
      <c r="C735" s="1773" t="s">
        <v>2826</v>
      </c>
      <c r="D735" s="731" t="s">
        <v>2827</v>
      </c>
      <c r="E735" s="40">
        <f>DMT!$G$10</f>
        <v>25.9</v>
      </c>
      <c r="F735" s="731"/>
      <c r="G735" s="375" t="s">
        <v>2799</v>
      </c>
      <c r="H735" s="361"/>
      <c r="I735" s="357">
        <f>MAX($I$13:I734)+1</f>
        <v>373</v>
      </c>
      <c r="J735" s="361" t="s">
        <v>2843</v>
      </c>
    </row>
    <row r="736" spans="1:13" s="188" customFormat="1" hidden="1" x14ac:dyDescent="0.25">
      <c r="A736" s="329">
        <f t="shared" si="93"/>
        <v>0</v>
      </c>
      <c r="B736" s="198">
        <f>B734+1</f>
        <v>223</v>
      </c>
      <c r="C736" s="1773"/>
      <c r="D736" s="730" t="s">
        <v>2828</v>
      </c>
      <c r="E736" s="199">
        <f>E735*E734</f>
        <v>0</v>
      </c>
      <c r="F736" s="199">
        <f>SUM(E736:E736)</f>
        <v>0</v>
      </c>
      <c r="G736" s="376" t="s">
        <v>2784</v>
      </c>
      <c r="H736" s="366">
        <f>C723</f>
        <v>5914389</v>
      </c>
      <c r="I736" s="369">
        <f>MAX($I$13:I735)+1</f>
        <v>374</v>
      </c>
      <c r="J736" s="65" t="str">
        <f>CONCATENATE("(",I736,")"," = ","(",I734,")*(",I735,")")</f>
        <v>(374) = (372)*(373)</v>
      </c>
    </row>
    <row r="737" spans="1:13" hidden="1" x14ac:dyDescent="0.25">
      <c r="A737" s="329">
        <f>A724</f>
        <v>0</v>
      </c>
      <c r="B737" s="329"/>
      <c r="C737" s="1773" t="s">
        <v>2839</v>
      </c>
      <c r="D737" s="731" t="s">
        <v>2840</v>
      </c>
      <c r="E737" s="373">
        <f>E691</f>
        <v>6</v>
      </c>
      <c r="F737" s="40"/>
      <c r="G737" s="375" t="s">
        <v>15</v>
      </c>
      <c r="I737" s="357">
        <f>MAX($I$13:I736)+1</f>
        <v>375</v>
      </c>
      <c r="J737" s="361" t="s">
        <v>2843</v>
      </c>
    </row>
    <row r="738" spans="1:13" s="188" customFormat="1" hidden="1" x14ac:dyDescent="0.25">
      <c r="A738" s="329">
        <f t="shared" si="93"/>
        <v>0</v>
      </c>
      <c r="B738" s="198">
        <f>B736+1</f>
        <v>224</v>
      </c>
      <c r="C738" s="1773"/>
      <c r="D738" s="730" t="s">
        <v>12</v>
      </c>
      <c r="E738" s="363">
        <f>E734*E737/100</f>
        <v>0</v>
      </c>
      <c r="F738" s="199">
        <f>SUM(E738:E738)</f>
        <v>0</v>
      </c>
      <c r="G738" s="376" t="s">
        <v>2695</v>
      </c>
      <c r="H738" s="198" t="str">
        <f>C724</f>
        <v>CAP 50-70</v>
      </c>
      <c r="I738" s="369">
        <f>MAX($I$13:I737)+1</f>
        <v>376</v>
      </c>
      <c r="J738" s="65" t="str">
        <f>CONCATENATE("(",I738,")"," = ","(",I736,")*(",I737,")")</f>
        <v>(376) = (374)*(375)</v>
      </c>
    </row>
    <row r="739" spans="1:13" s="188" customFormat="1" hidden="1" x14ac:dyDescent="0.25">
      <c r="A739" s="329">
        <f>A725</f>
        <v>0</v>
      </c>
      <c r="B739" s="198">
        <f>B738+1</f>
        <v>225</v>
      </c>
      <c r="C739" s="1103"/>
      <c r="D739" s="1102" t="s">
        <v>6489</v>
      </c>
      <c r="E739" s="199">
        <f>E738</f>
        <v>0</v>
      </c>
      <c r="F739" s="199">
        <f>SUM(E739:E739)</f>
        <v>0</v>
      </c>
      <c r="G739" s="376" t="s">
        <v>2695</v>
      </c>
      <c r="H739" s="366" t="str">
        <f>C725</f>
        <v>T-CAP 50-70</v>
      </c>
      <c r="I739" s="369">
        <f>MAX($I$13:I738)+1</f>
        <v>377</v>
      </c>
      <c r="J739" s="65" t="str">
        <f>CONCATENATE("(",I739,")"," = ","(",I738,")")</f>
        <v>(377) = (376)</v>
      </c>
    </row>
    <row r="740" spans="1:13" s="188" customFormat="1" hidden="1" x14ac:dyDescent="0.25">
      <c r="A740" s="329">
        <f>A739</f>
        <v>0</v>
      </c>
      <c r="B740" s="198"/>
      <c r="C740" s="65"/>
      <c r="D740" s="65"/>
      <c r="E740" s="426"/>
      <c r="F740" s="368"/>
      <c r="G740" s="386"/>
      <c r="H740" s="198"/>
      <c r="I740" s="369"/>
      <c r="J740" s="65"/>
    </row>
    <row r="741" spans="1:13" s="188" customFormat="1" ht="13.5" hidden="1" thickBot="1" x14ac:dyDescent="0.3">
      <c r="A741" s="687">
        <f>IF(SUM(A742:A817)&gt;0,1,0)</f>
        <v>0</v>
      </c>
      <c r="B741" s="185"/>
      <c r="C741" s="186"/>
      <c r="D741" s="187" t="str">
        <f>oR!G267</f>
        <v>REMENDO PROFUNDO</v>
      </c>
      <c r="E741" s="187"/>
      <c r="F741" s="187"/>
      <c r="G741" s="391"/>
      <c r="H741" s="186"/>
      <c r="I741" s="186"/>
      <c r="J741" s="186"/>
    </row>
    <row r="742" spans="1:13" s="191" customFormat="1" ht="15.75" hidden="1" thickBot="1" x14ac:dyDescent="0.3">
      <c r="A742" s="686">
        <f>IF(E749=0,0,1)</f>
        <v>0</v>
      </c>
      <c r="B742" s="189"/>
      <c r="C742" s="190">
        <f>oR!G268</f>
        <v>4805762</v>
      </c>
      <c r="D742" s="324" t="str">
        <f>oR!H268</f>
        <v>Escavação mecânica de vala em material de 2ª categoria</v>
      </c>
      <c r="F742" s="325"/>
      <c r="G742" s="392"/>
      <c r="H742" s="364"/>
      <c r="I742" s="364"/>
      <c r="J742" s="364"/>
      <c r="M742" s="416"/>
    </row>
    <row r="743" spans="1:13" s="191" customFormat="1" ht="15.75" hidden="1" thickBot="1" x14ac:dyDescent="0.3">
      <c r="A743" s="686">
        <f>IF(E751=0,0,1)</f>
        <v>0</v>
      </c>
      <c r="B743" s="189"/>
      <c r="C743" s="190">
        <f>oR!G269</f>
        <v>5914389</v>
      </c>
      <c r="D743" s="324" t="str">
        <f>oR!H269</f>
        <v>Transporte com caminhão basculante de 10 m³ - rodovia pavimentada</v>
      </c>
      <c r="F743" s="325"/>
      <c r="G743" s="392"/>
      <c r="H743" s="364"/>
      <c r="I743" s="364"/>
      <c r="J743" s="364"/>
      <c r="M743" s="416"/>
    </row>
    <row r="744" spans="1:13" hidden="1" x14ac:dyDescent="0.25">
      <c r="A744" s="329">
        <f>A742</f>
        <v>0</v>
      </c>
      <c r="B744" s="329"/>
      <c r="C744" s="193"/>
      <c r="D744" s="194" t="s">
        <v>3900</v>
      </c>
      <c r="E744" s="329"/>
      <c r="F744" s="729"/>
      <c r="G744" s="393"/>
      <c r="H744" s="365"/>
      <c r="I744" s="365"/>
      <c r="J744" s="365"/>
    </row>
    <row r="745" spans="1:13" hidden="1" x14ac:dyDescent="0.25">
      <c r="A745" s="329">
        <f>A743</f>
        <v>0</v>
      </c>
      <c r="B745" s="329"/>
      <c r="C745" s="193"/>
      <c r="D745" s="194" t="s">
        <v>3907</v>
      </c>
      <c r="E745" s="329"/>
      <c r="F745" s="729"/>
      <c r="G745" s="393"/>
      <c r="H745" s="365"/>
      <c r="I745" s="365"/>
      <c r="J745" s="365"/>
    </row>
    <row r="746" spans="1:13" hidden="1" x14ac:dyDescent="0.25">
      <c r="A746" s="329">
        <f t="shared" ref="A746:A751" si="94">A745</f>
        <v>0</v>
      </c>
      <c r="B746" s="329"/>
      <c r="C746" s="1777" t="s">
        <v>42</v>
      </c>
      <c r="D746" s="1777"/>
      <c r="E746" s="327" t="str">
        <f>E$12</f>
        <v>ESTR. DE LINHA TAQUARAL</v>
      </c>
      <c r="F746" s="730" t="s">
        <v>96</v>
      </c>
      <c r="G746" s="376"/>
      <c r="H746" s="65"/>
      <c r="I746" s="65"/>
      <c r="J746" s="65"/>
    </row>
    <row r="747" spans="1:13" hidden="1" x14ac:dyDescent="0.25">
      <c r="A747" s="329">
        <f t="shared" si="94"/>
        <v>0</v>
      </c>
      <c r="B747" s="329"/>
      <c r="C747" s="1773" t="s">
        <v>3898</v>
      </c>
      <c r="D747" s="731" t="s">
        <v>3899</v>
      </c>
      <c r="E747" s="40">
        <f>E785</f>
        <v>0</v>
      </c>
      <c r="F747" s="40">
        <f>SUM(E747:E747)</f>
        <v>0</v>
      </c>
      <c r="G747" s="375" t="s">
        <v>2595</v>
      </c>
      <c r="I747" s="357">
        <f>MAX($I$13:I746)+1</f>
        <v>378</v>
      </c>
      <c r="J747" s="361" t="str">
        <f>CONCATENATE("(",I747,")"," = ","(",I785,")")</f>
        <v>(378) = (394)</v>
      </c>
    </row>
    <row r="748" spans="1:13" hidden="1" x14ac:dyDescent="0.25">
      <c r="A748" s="329">
        <f t="shared" si="94"/>
        <v>0</v>
      </c>
      <c r="B748" s="396"/>
      <c r="C748" s="1773"/>
      <c r="D748" s="731" t="s">
        <v>2910</v>
      </c>
      <c r="E748" s="374">
        <f>E810</f>
        <v>0.05</v>
      </c>
      <c r="F748" s="40"/>
      <c r="G748" s="375" t="s">
        <v>2598</v>
      </c>
      <c r="I748" s="357">
        <f>MAX($I$13:I747)+1</f>
        <v>379</v>
      </c>
      <c r="J748" s="329" t="s">
        <v>2843</v>
      </c>
    </row>
    <row r="749" spans="1:13" s="188" customFormat="1" hidden="1" x14ac:dyDescent="0.25">
      <c r="A749" s="329">
        <f>A748</f>
        <v>0</v>
      </c>
      <c r="B749" s="198">
        <f>oR!D268</f>
        <v>226</v>
      </c>
      <c r="C749" s="1773"/>
      <c r="D749" s="730" t="s">
        <v>100</v>
      </c>
      <c r="E749" s="363">
        <f>E747*E748</f>
        <v>0</v>
      </c>
      <c r="F749" s="199">
        <f>SUM(E749:E749)</f>
        <v>0</v>
      </c>
      <c r="G749" s="376" t="s">
        <v>2596</v>
      </c>
      <c r="H749" s="198">
        <f>C742</f>
        <v>4805762</v>
      </c>
      <c r="I749" s="369">
        <f>MAX($I$13:I748)+1</f>
        <v>380</v>
      </c>
      <c r="J749" s="65" t="str">
        <f>CONCATENATE("(",I749,")"," = ","(",I747,")*(",I748,")")</f>
        <v>(380) = (378)*(379)</v>
      </c>
    </row>
    <row r="750" spans="1:13" hidden="1" x14ac:dyDescent="0.25">
      <c r="A750" s="329">
        <f>A743</f>
        <v>0</v>
      </c>
      <c r="B750" s="329"/>
      <c r="C750" s="1773" t="s">
        <v>2826</v>
      </c>
      <c r="D750" s="731" t="s">
        <v>2827</v>
      </c>
      <c r="E750" s="40">
        <f>DMT!J10</f>
        <v>1</v>
      </c>
      <c r="F750" s="731"/>
      <c r="G750" s="375" t="s">
        <v>2799</v>
      </c>
      <c r="H750" s="361"/>
      <c r="I750" s="357">
        <f>MAX($I$13:I749)+1</f>
        <v>381</v>
      </c>
      <c r="J750" s="361" t="s">
        <v>2843</v>
      </c>
    </row>
    <row r="751" spans="1:13" s="188" customFormat="1" hidden="1" x14ac:dyDescent="0.25">
      <c r="A751" s="329">
        <f t="shared" si="94"/>
        <v>0</v>
      </c>
      <c r="B751" s="198">
        <f>B749+1</f>
        <v>227</v>
      </c>
      <c r="C751" s="1773"/>
      <c r="D751" s="730" t="s">
        <v>2828</v>
      </c>
      <c r="E751" s="199">
        <f>E750*E749*1.5</f>
        <v>0</v>
      </c>
      <c r="F751" s="199">
        <f>SUM(E751:E751)</f>
        <v>0</v>
      </c>
      <c r="G751" s="376" t="s">
        <v>6257</v>
      </c>
      <c r="H751" s="366">
        <f>C743</f>
        <v>5914389</v>
      </c>
      <c r="I751" s="369">
        <f>MAX($I$13:I750)+1</f>
        <v>382</v>
      </c>
      <c r="J751" s="65" t="str">
        <f>CONCATENATE("(",I751,")"," = ","(",I749,")*(",I750,")*1,5")</f>
        <v>(382) = (380)*(381)*1,5</v>
      </c>
    </row>
    <row r="752" spans="1:13" hidden="1" x14ac:dyDescent="0.25">
      <c r="A752" s="329">
        <f>A751</f>
        <v>0</v>
      </c>
      <c r="B752" s="329"/>
      <c r="C752" s="329"/>
      <c r="D752" s="329"/>
      <c r="E752" s="329"/>
      <c r="F752" s="329"/>
      <c r="M752" s="197"/>
    </row>
    <row r="753" spans="1:13" s="191" customFormat="1" ht="15.75" hidden="1" thickBot="1" x14ac:dyDescent="0.3">
      <c r="A753" s="686">
        <f>IF(E756=0,0,1)</f>
        <v>0</v>
      </c>
      <c r="B753" s="189"/>
      <c r="C753" s="190">
        <f>oR!G270</f>
        <v>4011209</v>
      </c>
      <c r="D753" s="324" t="str">
        <f>oR!H270</f>
        <v>Regularização do subleito</v>
      </c>
      <c r="F753" s="325"/>
      <c r="G753" s="392"/>
      <c r="H753" s="364"/>
      <c r="I753" s="364"/>
      <c r="J753" s="364"/>
    </row>
    <row r="754" spans="1:13" hidden="1" x14ac:dyDescent="0.25">
      <c r="A754" s="329">
        <f>A753</f>
        <v>0</v>
      </c>
      <c r="B754" s="329"/>
      <c r="C754" s="193"/>
      <c r="D754" s="194" t="s">
        <v>3904</v>
      </c>
      <c r="E754" s="329"/>
      <c r="F754" s="729"/>
      <c r="G754" s="393"/>
      <c r="H754" s="365"/>
      <c r="I754" s="365"/>
      <c r="J754" s="365"/>
    </row>
    <row r="755" spans="1:13" hidden="1" x14ac:dyDescent="0.25">
      <c r="A755" s="329">
        <f t="shared" ref="A755:A757" si="95">A754</f>
        <v>0</v>
      </c>
      <c r="B755" s="329"/>
      <c r="C755" s="1777" t="s">
        <v>42</v>
      </c>
      <c r="D755" s="1777"/>
      <c r="E755" s="327" t="str">
        <f>E$12</f>
        <v>ESTR. DE LINHA TAQUARAL</v>
      </c>
      <c r="F755" s="730" t="s">
        <v>96</v>
      </c>
      <c r="G755" s="376"/>
      <c r="H755" s="65"/>
      <c r="I755" s="65"/>
      <c r="J755" s="65"/>
    </row>
    <row r="756" spans="1:13" s="188" customFormat="1" hidden="1" x14ac:dyDescent="0.25">
      <c r="A756" s="329">
        <f>A753</f>
        <v>0</v>
      </c>
      <c r="B756" s="198">
        <f>B751+1</f>
        <v>228</v>
      </c>
      <c r="C756" s="1778" t="s">
        <v>3903</v>
      </c>
      <c r="D756" s="1778"/>
      <c r="E756" s="363">
        <f>E785</f>
        <v>0</v>
      </c>
      <c r="F756" s="199">
        <f>SUM(E756:E756)</f>
        <v>0</v>
      </c>
      <c r="G756" s="376" t="s">
        <v>2595</v>
      </c>
      <c r="H756" s="198">
        <f>C753</f>
        <v>4011209</v>
      </c>
      <c r="I756" s="369">
        <f>MAX($I$13:I755)+1</f>
        <v>383</v>
      </c>
      <c r="J756" s="65" t="str">
        <f>CONCATENATE("(",I756,")"," = ","(",I785,")")</f>
        <v>(383) = (394)</v>
      </c>
    </row>
    <row r="757" spans="1:13" s="188" customFormat="1" hidden="1" x14ac:dyDescent="0.25">
      <c r="A757" s="329">
        <f t="shared" si="95"/>
        <v>0</v>
      </c>
      <c r="B757" s="198"/>
      <c r="C757" s="65"/>
      <c r="D757" s="65"/>
      <c r="E757" s="426"/>
      <c r="F757" s="368"/>
      <c r="G757" s="386"/>
      <c r="H757" s="198"/>
      <c r="I757" s="369"/>
      <c r="J757" s="65"/>
    </row>
    <row r="758" spans="1:13" s="191" customFormat="1" ht="15.75" hidden="1" thickBot="1" x14ac:dyDescent="0.3">
      <c r="A758" s="686">
        <f>IF(E765=0,0,1)</f>
        <v>0</v>
      </c>
      <c r="B758" s="189"/>
      <c r="C758" s="190">
        <f>oR!G271</f>
        <v>4011279</v>
      </c>
      <c r="D758" s="324" t="str">
        <f>oR!H271</f>
        <v>Base ou sub-base de macadame seco com brita comercial</v>
      </c>
      <c r="F758" s="325"/>
      <c r="G758" s="392"/>
      <c r="H758" s="364"/>
      <c r="I758" s="364"/>
      <c r="J758" s="364"/>
      <c r="M758" s="416"/>
    </row>
    <row r="759" spans="1:13" s="191" customFormat="1" ht="15.75" hidden="1" thickBot="1" x14ac:dyDescent="0.3">
      <c r="A759" s="686">
        <f>IF(E767=0,0,1)</f>
        <v>0</v>
      </c>
      <c r="B759" s="189"/>
      <c r="C759" s="190">
        <f>oR!G272</f>
        <v>5914389</v>
      </c>
      <c r="D759" s="324" t="str">
        <f>oR!H272</f>
        <v>Transporte com caminhão basculante de 10 m³ - rodovia pavimentada</v>
      </c>
      <c r="F759" s="325"/>
      <c r="G759" s="392"/>
      <c r="H759" s="364"/>
      <c r="I759" s="364"/>
      <c r="J759" s="364"/>
      <c r="M759" s="416"/>
    </row>
    <row r="760" spans="1:13" hidden="1" x14ac:dyDescent="0.25">
      <c r="A760" s="329">
        <f>A758</f>
        <v>0</v>
      </c>
      <c r="B760" s="329"/>
      <c r="C760" s="193"/>
      <c r="D760" s="194" t="s">
        <v>3905</v>
      </c>
      <c r="E760" s="329"/>
      <c r="F760" s="729"/>
      <c r="G760" s="393"/>
      <c r="H760" s="365"/>
      <c r="I760" s="365"/>
      <c r="J760" s="365"/>
    </row>
    <row r="761" spans="1:13" hidden="1" x14ac:dyDescent="0.25">
      <c r="A761" s="329">
        <f>A759</f>
        <v>0</v>
      </c>
      <c r="B761" s="329"/>
      <c r="C761" s="193"/>
      <c r="D761" s="194" t="s">
        <v>3906</v>
      </c>
      <c r="E761" s="329"/>
      <c r="F761" s="729"/>
      <c r="G761" s="393"/>
      <c r="H761" s="365"/>
      <c r="I761" s="365"/>
      <c r="J761" s="365"/>
    </row>
    <row r="762" spans="1:13" hidden="1" x14ac:dyDescent="0.25">
      <c r="A762" s="329">
        <f t="shared" ref="A762:A767" si="96">A761</f>
        <v>0</v>
      </c>
      <c r="B762" s="329"/>
      <c r="C762" s="1777" t="s">
        <v>42</v>
      </c>
      <c r="D762" s="1777"/>
      <c r="E762" s="327" t="str">
        <f>E$12</f>
        <v>ESTR. DE LINHA TAQUARAL</v>
      </c>
      <c r="F762" s="730" t="s">
        <v>96</v>
      </c>
      <c r="G762" s="376"/>
      <c r="H762" s="65"/>
      <c r="I762" s="65"/>
      <c r="J762" s="65"/>
    </row>
    <row r="763" spans="1:13" hidden="1" x14ac:dyDescent="0.25">
      <c r="A763" s="329">
        <f t="shared" si="96"/>
        <v>0</v>
      </c>
      <c r="B763" s="329"/>
      <c r="C763" s="1773" t="s">
        <v>3898</v>
      </c>
      <c r="D763" s="731" t="s">
        <v>3899</v>
      </c>
      <c r="E763" s="40">
        <f>E785</f>
        <v>0</v>
      </c>
      <c r="F763" s="40">
        <f>SUM(E763:E763)</f>
        <v>0</v>
      </c>
      <c r="G763" s="375" t="s">
        <v>2595</v>
      </c>
      <c r="I763" s="357">
        <f>MAX($I$13:I762)+1</f>
        <v>384</v>
      </c>
      <c r="J763" s="361" t="str">
        <f>CONCATENATE("(",I763,")"," = ","(",I785,")")</f>
        <v>(384) = (394)</v>
      </c>
    </row>
    <row r="764" spans="1:13" hidden="1" x14ac:dyDescent="0.25">
      <c r="A764" s="329">
        <f t="shared" si="96"/>
        <v>0</v>
      </c>
      <c r="B764" s="396"/>
      <c r="C764" s="1773"/>
      <c r="D764" s="731" t="s">
        <v>2821</v>
      </c>
      <c r="E764" s="374">
        <v>0.2</v>
      </c>
      <c r="F764" s="40"/>
      <c r="G764" s="375" t="s">
        <v>2598</v>
      </c>
      <c r="I764" s="357">
        <f>MAX($I$13:I763)+1</f>
        <v>385</v>
      </c>
      <c r="J764" s="329" t="s">
        <v>2843</v>
      </c>
    </row>
    <row r="765" spans="1:13" s="188" customFormat="1" hidden="1" x14ac:dyDescent="0.25">
      <c r="A765" s="329">
        <f>A764</f>
        <v>0</v>
      </c>
      <c r="B765" s="198">
        <f>B756+1</f>
        <v>229</v>
      </c>
      <c r="C765" s="1773"/>
      <c r="D765" s="730" t="s">
        <v>100</v>
      </c>
      <c r="E765" s="363">
        <f>E763*E764</f>
        <v>0</v>
      </c>
      <c r="F765" s="199">
        <f>SUM(E765:E765)</f>
        <v>0</v>
      </c>
      <c r="G765" s="376" t="s">
        <v>2596</v>
      </c>
      <c r="H765" s="198">
        <f>C758</f>
        <v>4011279</v>
      </c>
      <c r="I765" s="369">
        <f>MAX($I$13:I764)+1</f>
        <v>386</v>
      </c>
      <c r="J765" s="65" t="str">
        <f>CONCATENATE("(",I765,")"," = ","(",I763,")*(",I764,")")</f>
        <v>(386) = (384)*(385)</v>
      </c>
    </row>
    <row r="766" spans="1:13" hidden="1" x14ac:dyDescent="0.25">
      <c r="A766" s="329">
        <f>A754</f>
        <v>0</v>
      </c>
      <c r="B766" s="329"/>
      <c r="C766" s="1773" t="s">
        <v>2826</v>
      </c>
      <c r="D766" s="731" t="s">
        <v>2827</v>
      </c>
      <c r="E766" s="40">
        <f>DMT!H10</f>
        <v>27.8</v>
      </c>
      <c r="F766" s="731"/>
      <c r="G766" s="375" t="s">
        <v>2799</v>
      </c>
      <c r="H766" s="361"/>
      <c r="I766" s="357">
        <f>MAX($I$13:I765)+1</f>
        <v>387</v>
      </c>
      <c r="J766" s="361" t="s">
        <v>2843</v>
      </c>
    </row>
    <row r="767" spans="1:13" s="188" customFormat="1" hidden="1" x14ac:dyDescent="0.25">
      <c r="A767" s="329">
        <f t="shared" si="96"/>
        <v>0</v>
      </c>
      <c r="B767" s="198">
        <f>B765+1</f>
        <v>230</v>
      </c>
      <c r="C767" s="1773"/>
      <c r="D767" s="730" t="s">
        <v>2828</v>
      </c>
      <c r="E767" s="199">
        <f>E766*E765*1.5</f>
        <v>0</v>
      </c>
      <c r="F767" s="199">
        <f>SUM(E767:E767)</f>
        <v>0</v>
      </c>
      <c r="G767" s="376" t="s">
        <v>6257</v>
      </c>
      <c r="H767" s="366">
        <f>C759</f>
        <v>5914389</v>
      </c>
      <c r="I767" s="369">
        <f>MAX($I$13:I766)+1</f>
        <v>388</v>
      </c>
      <c r="J767" s="65" t="str">
        <f>CONCATENATE("(",I767,")"," = ","(",I765,")*(",I766,")*1,5")</f>
        <v>(388) = (386)*(387)*1,5</v>
      </c>
    </row>
    <row r="768" spans="1:13" hidden="1" x14ac:dyDescent="0.25">
      <c r="A768" s="329">
        <f>A767</f>
        <v>0</v>
      </c>
      <c r="B768" s="329"/>
      <c r="C768" s="329"/>
      <c r="D768" s="329"/>
      <c r="E768" s="329"/>
      <c r="F768" s="329"/>
      <c r="M768" s="197"/>
    </row>
    <row r="769" spans="1:13" s="191" customFormat="1" ht="15.75" hidden="1" thickBot="1" x14ac:dyDescent="0.3">
      <c r="A769" s="686">
        <f>IF(E776=0,0,1)</f>
        <v>0</v>
      </c>
      <c r="B769" s="189"/>
      <c r="C769" s="190">
        <f>oR!G273</f>
        <v>4011276</v>
      </c>
      <c r="D769" s="324" t="str">
        <f>oR!H273</f>
        <v>Base ou sub-base de brita graduada com brita comercial</v>
      </c>
      <c r="F769" s="325"/>
      <c r="G769" s="392"/>
      <c r="H769" s="364"/>
      <c r="I769" s="364"/>
      <c r="J769" s="364"/>
      <c r="M769" s="416"/>
    </row>
    <row r="770" spans="1:13" s="191" customFormat="1" ht="15.75" hidden="1" thickBot="1" x14ac:dyDescent="0.3">
      <c r="A770" s="686">
        <f>IF(E778=0,0,1)</f>
        <v>0</v>
      </c>
      <c r="B770" s="189"/>
      <c r="C770" s="190">
        <f>oR!G274</f>
        <v>5914389</v>
      </c>
      <c r="D770" s="324" t="str">
        <f>oR!H274</f>
        <v>Transporte com caminhão basculante de 10 m³ - rodovia pavimentada</v>
      </c>
      <c r="F770" s="325"/>
      <c r="G770" s="392"/>
      <c r="H770" s="364"/>
      <c r="I770" s="364"/>
      <c r="J770" s="364"/>
      <c r="M770" s="416"/>
    </row>
    <row r="771" spans="1:13" hidden="1" x14ac:dyDescent="0.25">
      <c r="A771" s="329">
        <f>A769</f>
        <v>0</v>
      </c>
      <c r="B771" s="329"/>
      <c r="C771" s="193"/>
      <c r="D771" s="194" t="s">
        <v>3905</v>
      </c>
      <c r="E771" s="329"/>
      <c r="F771" s="729"/>
      <c r="G771" s="393"/>
      <c r="H771" s="365"/>
      <c r="I771" s="365"/>
      <c r="J771" s="365"/>
    </row>
    <row r="772" spans="1:13" hidden="1" x14ac:dyDescent="0.25">
      <c r="A772" s="329">
        <f>A770</f>
        <v>0</v>
      </c>
      <c r="B772" s="329"/>
      <c r="C772" s="193"/>
      <c r="D772" s="194" t="s">
        <v>3906</v>
      </c>
      <c r="E772" s="329"/>
      <c r="F772" s="729"/>
      <c r="G772" s="393"/>
      <c r="H772" s="365"/>
      <c r="I772" s="365"/>
      <c r="J772" s="365"/>
    </row>
    <row r="773" spans="1:13" hidden="1" x14ac:dyDescent="0.25">
      <c r="A773" s="329">
        <f t="shared" ref="A773:A778" si="97">A772</f>
        <v>0</v>
      </c>
      <c r="B773" s="329"/>
      <c r="C773" s="1777" t="s">
        <v>42</v>
      </c>
      <c r="D773" s="1777"/>
      <c r="E773" s="327" t="str">
        <f>E$12</f>
        <v>ESTR. DE LINHA TAQUARAL</v>
      </c>
      <c r="F773" s="730" t="s">
        <v>96</v>
      </c>
      <c r="G773" s="376"/>
      <c r="H773" s="65"/>
      <c r="I773" s="65"/>
      <c r="J773" s="65"/>
    </row>
    <row r="774" spans="1:13" hidden="1" x14ac:dyDescent="0.25">
      <c r="A774" s="329">
        <f t="shared" si="97"/>
        <v>0</v>
      </c>
      <c r="B774" s="329"/>
      <c r="C774" s="1773" t="s">
        <v>3898</v>
      </c>
      <c r="D774" s="731" t="s">
        <v>3899</v>
      </c>
      <c r="E774" s="40">
        <f>E785</f>
        <v>0</v>
      </c>
      <c r="F774" s="40">
        <f>SUM(E774:E774)</f>
        <v>0</v>
      </c>
      <c r="G774" s="375" t="s">
        <v>2595</v>
      </c>
      <c r="I774" s="357">
        <f>MAX($I$13:I773)+1</f>
        <v>389</v>
      </c>
      <c r="J774" s="361" t="str">
        <f>CONCATENATE("(",I774,")"," = ","(",I785,")")</f>
        <v>(389) = (394)</v>
      </c>
    </row>
    <row r="775" spans="1:13" hidden="1" x14ac:dyDescent="0.25">
      <c r="A775" s="329">
        <f t="shared" si="97"/>
        <v>0</v>
      </c>
      <c r="B775" s="396"/>
      <c r="C775" s="1773"/>
      <c r="D775" s="731" t="s">
        <v>2821</v>
      </c>
      <c r="E775" s="374">
        <v>0.2</v>
      </c>
      <c r="F775" s="40"/>
      <c r="G775" s="375" t="s">
        <v>2598</v>
      </c>
      <c r="I775" s="357">
        <f>MAX($I$13:I774)+1</f>
        <v>390</v>
      </c>
      <c r="J775" s="329" t="s">
        <v>2843</v>
      </c>
    </row>
    <row r="776" spans="1:13" s="188" customFormat="1" hidden="1" x14ac:dyDescent="0.25">
      <c r="A776" s="329">
        <f>A775</f>
        <v>0</v>
      </c>
      <c r="B776" s="198">
        <f>B767+1</f>
        <v>231</v>
      </c>
      <c r="C776" s="1773"/>
      <c r="D776" s="730" t="s">
        <v>100</v>
      </c>
      <c r="E776" s="363">
        <f>E774*E775</f>
        <v>0</v>
      </c>
      <c r="F776" s="199">
        <f>SUM(E776:E776)</f>
        <v>0</v>
      </c>
      <c r="G776" s="376" t="s">
        <v>2596</v>
      </c>
      <c r="H776" s="198">
        <f>C769</f>
        <v>4011276</v>
      </c>
      <c r="I776" s="369">
        <f>MAX($I$13:I775)+1</f>
        <v>391</v>
      </c>
      <c r="J776" s="65" t="str">
        <f>CONCATENATE("(",I776,")"," = ","(",I774,")*(",I775,")")</f>
        <v>(391) = (389)*(390)</v>
      </c>
    </row>
    <row r="777" spans="1:13" hidden="1" x14ac:dyDescent="0.25">
      <c r="A777" s="329">
        <f>A765</f>
        <v>0</v>
      </c>
      <c r="B777" s="329"/>
      <c r="C777" s="1773" t="s">
        <v>2826</v>
      </c>
      <c r="D777" s="731" t="s">
        <v>2827</v>
      </c>
      <c r="E777" s="40">
        <f>DMT!H10</f>
        <v>27.8</v>
      </c>
      <c r="F777" s="731"/>
      <c r="G777" s="375" t="s">
        <v>2799</v>
      </c>
      <c r="H777" s="361"/>
      <c r="I777" s="357">
        <f>MAX($I$13:I776)+1</f>
        <v>392</v>
      </c>
      <c r="J777" s="361" t="s">
        <v>2843</v>
      </c>
    </row>
    <row r="778" spans="1:13" s="188" customFormat="1" hidden="1" x14ac:dyDescent="0.25">
      <c r="A778" s="329">
        <f t="shared" si="97"/>
        <v>0</v>
      </c>
      <c r="B778" s="198">
        <f>B776+1</f>
        <v>232</v>
      </c>
      <c r="C778" s="1773"/>
      <c r="D778" s="730" t="s">
        <v>2828</v>
      </c>
      <c r="E778" s="199">
        <f>E777*E776*1.5</f>
        <v>0</v>
      </c>
      <c r="F778" s="199">
        <f>SUM(E778:E778)</f>
        <v>0</v>
      </c>
      <c r="G778" s="376" t="s">
        <v>6257</v>
      </c>
      <c r="H778" s="366">
        <f>C770</f>
        <v>5914389</v>
      </c>
      <c r="I778" s="369">
        <f>MAX($I$13:I777)+1</f>
        <v>393</v>
      </c>
      <c r="J778" s="65" t="str">
        <f>CONCATENATE("(",I778,")"," = ","(",I776,")*(",I777,")*1,5")</f>
        <v>(393) = (391)*(392)*1,5</v>
      </c>
    </row>
    <row r="779" spans="1:13" hidden="1" x14ac:dyDescent="0.25">
      <c r="A779" s="329">
        <f>A778</f>
        <v>0</v>
      </c>
      <c r="B779" s="329"/>
      <c r="C779" s="329"/>
      <c r="D779" s="329"/>
      <c r="E779" s="329"/>
      <c r="F779" s="329"/>
      <c r="M779" s="197"/>
    </row>
    <row r="780" spans="1:13" s="191" customFormat="1" ht="15.75" hidden="1" thickBot="1" x14ac:dyDescent="0.3">
      <c r="A780" s="686">
        <f>IF(E785=0,0,1)</f>
        <v>0</v>
      </c>
      <c r="B780" s="189"/>
      <c r="C780" s="190">
        <f>oR!G275</f>
        <v>4011352</v>
      </c>
      <c r="D780" s="324" t="str">
        <f>oR!H275</f>
        <v>Imprimação com emulsão asfáltica</v>
      </c>
      <c r="F780" s="325"/>
      <c r="G780" s="392"/>
      <c r="H780" s="364"/>
      <c r="I780" s="364"/>
      <c r="J780" s="364"/>
    </row>
    <row r="781" spans="1:13" s="191" customFormat="1" ht="15.75" hidden="1" thickBot="1" x14ac:dyDescent="0.3">
      <c r="A781" s="686">
        <f>IF(E787=0,0,1)</f>
        <v>0</v>
      </c>
      <c r="B781" s="189"/>
      <c r="C781" s="190" t="str">
        <f>oR!G276</f>
        <v>EAI</v>
      </c>
      <c r="D781" s="324" t="str">
        <f>oR!H276</f>
        <v>Emulsão asfáltica para serviço de imprimação</v>
      </c>
      <c r="F781" s="325"/>
      <c r="G781" s="392"/>
      <c r="H781" s="364"/>
      <c r="I781" s="364"/>
      <c r="J781" s="364"/>
    </row>
    <row r="782" spans="1:13" s="191" customFormat="1" ht="15.75" hidden="1" thickBot="1" x14ac:dyDescent="0.3">
      <c r="A782" s="686">
        <f>IF(E788=0,0,1)</f>
        <v>0</v>
      </c>
      <c r="B782" s="189"/>
      <c r="C782" s="190" t="str">
        <f>oR!G277</f>
        <v>T-EAI</v>
      </c>
      <c r="D782" s="324" t="str">
        <f>oR!H277</f>
        <v>Transporte de Emulsão asfáltica para serviço de imprimação</v>
      </c>
      <c r="F782" s="325"/>
      <c r="G782" s="392"/>
      <c r="H782" s="364"/>
      <c r="I782" s="364"/>
      <c r="J782" s="364"/>
    </row>
    <row r="783" spans="1:13" hidden="1" x14ac:dyDescent="0.25">
      <c r="A783" s="329">
        <f>A780</f>
        <v>0</v>
      </c>
      <c r="B783" s="329"/>
      <c r="C783" s="193"/>
      <c r="D783" s="194" t="s">
        <v>3901</v>
      </c>
      <c r="E783" s="329"/>
      <c r="F783" s="729"/>
      <c r="G783" s="393"/>
      <c r="H783" s="365"/>
      <c r="I783" s="365"/>
      <c r="J783" s="365"/>
    </row>
    <row r="784" spans="1:13" hidden="1" x14ac:dyDescent="0.25">
      <c r="A784" s="329">
        <f t="shared" ref="A784" si="98">A783</f>
        <v>0</v>
      </c>
      <c r="B784" s="329"/>
      <c r="C784" s="1777" t="s">
        <v>42</v>
      </c>
      <c r="D784" s="1777"/>
      <c r="E784" s="327" t="str">
        <f>E$12</f>
        <v>ESTR. DE LINHA TAQUARAL</v>
      </c>
      <c r="F784" s="730" t="s">
        <v>96</v>
      </c>
      <c r="G784" s="376"/>
      <c r="H784" s="65"/>
      <c r="I784" s="65"/>
      <c r="J784" s="65"/>
    </row>
    <row r="785" spans="1:13" s="188" customFormat="1" hidden="1" x14ac:dyDescent="0.25">
      <c r="A785" s="329">
        <f>A780</f>
        <v>0</v>
      </c>
      <c r="B785" s="198">
        <f>B778+1</f>
        <v>233</v>
      </c>
      <c r="C785" s="1778" t="s">
        <v>3903</v>
      </c>
      <c r="D785" s="1778"/>
      <c r="E785" s="395"/>
      <c r="F785" s="199">
        <f>SUM(E785:E785)</f>
        <v>0</v>
      </c>
      <c r="G785" s="376" t="s">
        <v>2595</v>
      </c>
      <c r="H785" s="198">
        <f>C780</f>
        <v>4011352</v>
      </c>
      <c r="I785" s="369">
        <f>MAX($I$13:I784)+1</f>
        <v>394</v>
      </c>
      <c r="J785" s="65" t="s">
        <v>2842</v>
      </c>
    </row>
    <row r="786" spans="1:13" hidden="1" x14ac:dyDescent="0.25">
      <c r="A786" s="329">
        <f>A781</f>
        <v>0</v>
      </c>
      <c r="B786" s="329"/>
      <c r="C786" s="1773" t="s">
        <v>3176</v>
      </c>
      <c r="D786" s="1097" t="s">
        <v>6485</v>
      </c>
      <c r="E786" s="696">
        <v>1.2</v>
      </c>
      <c r="F786" s="40"/>
      <c r="G786" s="375" t="s">
        <v>15</v>
      </c>
      <c r="I786" s="357">
        <f>MAX($I$13:I785)+1</f>
        <v>395</v>
      </c>
      <c r="J786" s="361" t="s">
        <v>2843</v>
      </c>
    </row>
    <row r="787" spans="1:13" s="188" customFormat="1" hidden="1" x14ac:dyDescent="0.25">
      <c r="A787" s="329">
        <f t="shared" ref="A787" si="99">A786</f>
        <v>0</v>
      </c>
      <c r="B787" s="198">
        <f>B785+1</f>
        <v>234</v>
      </c>
      <c r="C787" s="1773"/>
      <c r="D787" s="1102" t="s">
        <v>12</v>
      </c>
      <c r="E787" s="363">
        <f>E785*E786/1000</f>
        <v>0</v>
      </c>
      <c r="F787" s="199">
        <f>SUM(E787:E787)</f>
        <v>0</v>
      </c>
      <c r="G787" s="376" t="s">
        <v>2695</v>
      </c>
      <c r="H787" s="198" t="str">
        <f>C781</f>
        <v>EAI</v>
      </c>
      <c r="I787" s="369">
        <f>MAX($I$13:I786)+1</f>
        <v>396</v>
      </c>
      <c r="J787" s="65" t="str">
        <f>CONCATENATE("(",I787,")"," = ","(",I785,")*(",I786,")/1000")</f>
        <v>(396) = (394)*(395)/1000</v>
      </c>
    </row>
    <row r="788" spans="1:13" s="188" customFormat="1" hidden="1" x14ac:dyDescent="0.25">
      <c r="A788" s="329">
        <f>A782</f>
        <v>0</v>
      </c>
      <c r="B788" s="198">
        <f>B787+1</f>
        <v>235</v>
      </c>
      <c r="C788" s="1103"/>
      <c r="D788" s="1102" t="s">
        <v>6488</v>
      </c>
      <c r="E788" s="199">
        <f>E787</f>
        <v>0</v>
      </c>
      <c r="F788" s="199">
        <f>SUM(E788:E788)</f>
        <v>0</v>
      </c>
      <c r="G788" s="376" t="s">
        <v>2695</v>
      </c>
      <c r="H788" s="366" t="str">
        <f>C782</f>
        <v>T-EAI</v>
      </c>
      <c r="I788" s="369">
        <f>MAX($I$13:I787)+1</f>
        <v>397</v>
      </c>
      <c r="J788" s="65" t="str">
        <f>CONCATENATE("(",I788,")"," = ","(",I787,")")</f>
        <v>(397) = (396)</v>
      </c>
    </row>
    <row r="789" spans="1:13" s="188" customFormat="1" hidden="1" x14ac:dyDescent="0.25">
      <c r="A789" s="329">
        <f>A785</f>
        <v>0</v>
      </c>
      <c r="B789" s="198"/>
      <c r="C789" s="65"/>
      <c r="D789" s="65"/>
      <c r="E789" s="426"/>
      <c r="F789" s="368"/>
      <c r="G789" s="386"/>
      <c r="H789" s="198"/>
      <c r="I789" s="369"/>
      <c r="J789" s="65"/>
    </row>
    <row r="790" spans="1:13" s="191" customFormat="1" ht="15.75" hidden="1" thickBot="1" x14ac:dyDescent="0.3">
      <c r="A790" s="686">
        <f>IF(E795=0,0,1)</f>
        <v>0</v>
      </c>
      <c r="B790" s="189"/>
      <c r="C790" s="190">
        <f>oR!G278</f>
        <v>4011353</v>
      </c>
      <c r="D790" s="324" t="str">
        <f>oR!H278</f>
        <v>Pintura de ligação</v>
      </c>
      <c r="F790" s="325"/>
      <c r="G790" s="392"/>
      <c r="H790" s="364"/>
      <c r="I790" s="364"/>
      <c r="J790" s="364"/>
    </row>
    <row r="791" spans="1:13" s="191" customFormat="1" ht="15.75" hidden="1" thickBot="1" x14ac:dyDescent="0.3">
      <c r="A791" s="686">
        <f>IF(E797=0,0,1)</f>
        <v>0</v>
      </c>
      <c r="B791" s="189"/>
      <c r="C791" s="190" t="str">
        <f>oR!G279</f>
        <v>RR-1C</v>
      </c>
      <c r="D791" s="324" t="str">
        <f>oR!H279</f>
        <v>Emulsões asfálticas RR-1C</v>
      </c>
      <c r="F791" s="325"/>
      <c r="G791" s="392"/>
      <c r="H791" s="364"/>
      <c r="I791" s="364"/>
      <c r="J791" s="364"/>
    </row>
    <row r="792" spans="1:13" s="191" customFormat="1" ht="15.75" hidden="1" thickBot="1" x14ac:dyDescent="0.3">
      <c r="A792" s="686">
        <f>IF(E798=0,0,1)</f>
        <v>0</v>
      </c>
      <c r="B792" s="189"/>
      <c r="C792" s="190" t="str">
        <f>oR!G280</f>
        <v>T-RR-1C</v>
      </c>
      <c r="D792" s="324" t="str">
        <f>oR!H280</f>
        <v>Transporte de Emulsões asfálticas RR-1C</v>
      </c>
      <c r="F792" s="325"/>
      <c r="G792" s="392"/>
      <c r="H792" s="364"/>
      <c r="I792" s="364"/>
      <c r="J792" s="364"/>
    </row>
    <row r="793" spans="1:13" hidden="1" x14ac:dyDescent="0.25">
      <c r="A793" s="329">
        <f>A790</f>
        <v>0</v>
      </c>
      <c r="B793" s="329"/>
      <c r="C793" s="193"/>
      <c r="D793" s="194" t="s">
        <v>2907</v>
      </c>
      <c r="E793" s="329"/>
      <c r="F793" s="729"/>
      <c r="G793" s="393"/>
      <c r="H793" s="365"/>
      <c r="I793" s="365"/>
      <c r="J793" s="365"/>
    </row>
    <row r="794" spans="1:13" hidden="1" x14ac:dyDescent="0.25">
      <c r="A794" s="329">
        <f t="shared" ref="A794:A795" si="100">A793</f>
        <v>0</v>
      </c>
      <c r="B794" s="329"/>
      <c r="C794" s="1777" t="s">
        <v>42</v>
      </c>
      <c r="D794" s="1777"/>
      <c r="E794" s="327" t="str">
        <f>E$12</f>
        <v>ESTR. DE LINHA TAQUARAL</v>
      </c>
      <c r="F794" s="730" t="s">
        <v>96</v>
      </c>
      <c r="G794" s="376"/>
      <c r="H794" s="65"/>
      <c r="I794" s="65"/>
      <c r="J794" s="65"/>
    </row>
    <row r="795" spans="1:13" s="188" customFormat="1" hidden="1" x14ac:dyDescent="0.25">
      <c r="A795" s="329">
        <f t="shared" si="100"/>
        <v>0</v>
      </c>
      <c r="B795" s="198">
        <f>B788+1</f>
        <v>236</v>
      </c>
      <c r="C795" s="1778" t="s">
        <v>2908</v>
      </c>
      <c r="D795" s="1778"/>
      <c r="E795" s="363">
        <f>E785</f>
        <v>0</v>
      </c>
      <c r="F795" s="199">
        <f>SUM(E795:E795)</f>
        <v>0</v>
      </c>
      <c r="G795" s="376" t="s">
        <v>2595</v>
      </c>
      <c r="H795" s="198">
        <f>C790</f>
        <v>4011353</v>
      </c>
      <c r="I795" s="369">
        <f>MAX($I$13:I794)+1</f>
        <v>398</v>
      </c>
      <c r="J795" s="65" t="str">
        <f>CONCATENATE("(",I795,")"," = ","(",I785,")")</f>
        <v>(398) = (394)</v>
      </c>
      <c r="M795" s="201"/>
    </row>
    <row r="796" spans="1:13" hidden="1" x14ac:dyDescent="0.25">
      <c r="A796" s="329">
        <f>A791</f>
        <v>0</v>
      </c>
      <c r="B796" s="329"/>
      <c r="C796" s="1773" t="s">
        <v>6486</v>
      </c>
      <c r="D796" s="1097" t="s">
        <v>6485</v>
      </c>
      <c r="E796" s="696">
        <v>0.5</v>
      </c>
      <c r="F796" s="40"/>
      <c r="G796" s="375" t="s">
        <v>15</v>
      </c>
      <c r="I796" s="357">
        <f>MAX($I$13:I795)+1</f>
        <v>399</v>
      </c>
      <c r="J796" s="361" t="s">
        <v>2843</v>
      </c>
    </row>
    <row r="797" spans="1:13" s="188" customFormat="1" hidden="1" x14ac:dyDescent="0.25">
      <c r="A797" s="329">
        <f t="shared" ref="A797" si="101">A796</f>
        <v>0</v>
      </c>
      <c r="B797" s="198">
        <f>B795+1</f>
        <v>237</v>
      </c>
      <c r="C797" s="1773"/>
      <c r="D797" s="1102" t="s">
        <v>12</v>
      </c>
      <c r="E797" s="363">
        <f>E795*E796/1000</f>
        <v>0</v>
      </c>
      <c r="F797" s="199">
        <f>SUM(E797:E797)</f>
        <v>0</v>
      </c>
      <c r="G797" s="376" t="s">
        <v>2695</v>
      </c>
      <c r="H797" s="198" t="str">
        <f>C791</f>
        <v>RR-1C</v>
      </c>
      <c r="I797" s="369">
        <f>MAX($I$13:I796)+1</f>
        <v>400</v>
      </c>
      <c r="J797" s="65" t="str">
        <f>CONCATENATE("(",I797,")"," = ","(",I795,")*(",I796,")/1000")</f>
        <v>(400) = (398)*(399)/1000</v>
      </c>
    </row>
    <row r="798" spans="1:13" s="188" customFormat="1" hidden="1" x14ac:dyDescent="0.25">
      <c r="A798" s="329">
        <f>A792</f>
        <v>0</v>
      </c>
      <c r="B798" s="198">
        <f>B797+1</f>
        <v>238</v>
      </c>
      <c r="C798" s="1103"/>
      <c r="D798" s="1102" t="s">
        <v>6487</v>
      </c>
      <c r="E798" s="199">
        <f>E797</f>
        <v>0</v>
      </c>
      <c r="F798" s="199">
        <f>SUM(E798:E798)</f>
        <v>0</v>
      </c>
      <c r="G798" s="376" t="s">
        <v>2695</v>
      </c>
      <c r="H798" s="366" t="str">
        <f>C792</f>
        <v>T-RR-1C</v>
      </c>
      <c r="I798" s="369">
        <f>MAX($I$13:I797)+1</f>
        <v>401</v>
      </c>
      <c r="J798" s="65" t="str">
        <f>CONCATENATE("(",I798,")"," = ","(",I797,")")</f>
        <v>(401) = (400)</v>
      </c>
    </row>
    <row r="799" spans="1:13" hidden="1" x14ac:dyDescent="0.25">
      <c r="A799" s="329">
        <f>A795</f>
        <v>0</v>
      </c>
      <c r="B799" s="329"/>
      <c r="C799" s="329"/>
      <c r="D799" s="329"/>
      <c r="E799" s="329"/>
      <c r="F799" s="329"/>
      <c r="M799" s="197"/>
    </row>
    <row r="800" spans="1:13" s="191" customFormat="1" ht="15.75" hidden="1" thickBot="1" x14ac:dyDescent="0.3">
      <c r="A800" s="686">
        <f>IF(E812=0,0,1)</f>
        <v>0</v>
      </c>
      <c r="B800" s="189"/>
      <c r="C800" s="190">
        <f>oR!G281</f>
        <v>4011459</v>
      </c>
      <c r="D800" s="324" t="str">
        <f>oR!H281</f>
        <v>Concreto asfáltico - faixa B - areia e brita comerciais</v>
      </c>
      <c r="F800" s="325"/>
      <c r="G800" s="392"/>
      <c r="H800" s="364"/>
      <c r="I800" s="364"/>
      <c r="J800" s="364"/>
      <c r="M800" s="416"/>
    </row>
    <row r="801" spans="1:13" s="191" customFormat="1" ht="15.75" hidden="1" thickBot="1" x14ac:dyDescent="0.3">
      <c r="A801" s="686">
        <f>IF(E814=0,0,1)</f>
        <v>0</v>
      </c>
      <c r="B801" s="189"/>
      <c r="C801" s="190">
        <f>oR!G282</f>
        <v>5914389</v>
      </c>
      <c r="D801" s="324" t="str">
        <f>oR!H282</f>
        <v>Transporte com caminhão basculante de 10 m³ - rodovia pavimentada</v>
      </c>
      <c r="F801" s="325"/>
      <c r="G801" s="392"/>
      <c r="H801" s="364"/>
      <c r="I801" s="364"/>
      <c r="J801" s="364"/>
      <c r="M801" s="416"/>
    </row>
    <row r="802" spans="1:13" s="191" customFormat="1" ht="15.75" hidden="1" thickBot="1" x14ac:dyDescent="0.3">
      <c r="A802" s="686">
        <f>IF(E816=0,0,1)</f>
        <v>0</v>
      </c>
      <c r="B802" s="189"/>
      <c r="C802" s="190" t="str">
        <f>oR!G283</f>
        <v>CAP 50-70</v>
      </c>
      <c r="D802" s="324" t="str">
        <f>oR!H283</f>
        <v>Cimentos asfálticos CAP-50-70</v>
      </c>
      <c r="F802" s="325"/>
      <c r="G802" s="392"/>
      <c r="H802" s="364"/>
      <c r="I802" s="364"/>
      <c r="J802" s="364"/>
      <c r="M802" s="416"/>
    </row>
    <row r="803" spans="1:13" s="191" customFormat="1" ht="15.75" hidden="1" thickBot="1" x14ac:dyDescent="0.3">
      <c r="A803" s="686">
        <f>IF(E817=0,0,1)</f>
        <v>0</v>
      </c>
      <c r="B803" s="189"/>
      <c r="C803" s="190" t="str">
        <f>oR!G284</f>
        <v>T-CAP 50-70</v>
      </c>
      <c r="D803" s="324" t="str">
        <f>oR!H284</f>
        <v>Transporte de Cimentos asfálticos CAP-50-70</v>
      </c>
      <c r="F803" s="325"/>
      <c r="G803" s="392"/>
      <c r="H803" s="364"/>
      <c r="I803" s="364"/>
      <c r="J803" s="364"/>
    </row>
    <row r="804" spans="1:13" hidden="1" x14ac:dyDescent="0.25">
      <c r="A804" s="329">
        <f>A800</f>
        <v>0</v>
      </c>
      <c r="B804" s="329"/>
      <c r="C804" s="193"/>
      <c r="D804" s="194" t="s">
        <v>2833</v>
      </c>
      <c r="E804" s="329"/>
      <c r="F804" s="729"/>
      <c r="G804" s="393"/>
      <c r="H804" s="365"/>
      <c r="I804" s="365"/>
      <c r="J804" s="365"/>
    </row>
    <row r="805" spans="1:13" hidden="1" x14ac:dyDescent="0.25">
      <c r="A805" s="329">
        <f>A804</f>
        <v>0</v>
      </c>
      <c r="B805" s="329"/>
      <c r="C805" s="193"/>
      <c r="D805" s="194" t="s">
        <v>2836</v>
      </c>
      <c r="E805" s="329"/>
      <c r="F805" s="729"/>
      <c r="G805" s="393"/>
      <c r="H805" s="365"/>
      <c r="I805" s="365"/>
      <c r="J805" s="365"/>
    </row>
    <row r="806" spans="1:13" hidden="1" x14ac:dyDescent="0.25">
      <c r="A806" s="329">
        <f t="shared" ref="A806:A816" si="102">A805</f>
        <v>0</v>
      </c>
      <c r="B806" s="329"/>
      <c r="C806" s="193"/>
      <c r="D806" s="194" t="s">
        <v>2834</v>
      </c>
      <c r="E806" s="329"/>
      <c r="F806" s="729"/>
      <c r="G806" s="393"/>
      <c r="H806" s="365"/>
      <c r="I806" s="365"/>
      <c r="J806" s="365"/>
    </row>
    <row r="807" spans="1:13" hidden="1" x14ac:dyDescent="0.25">
      <c r="A807" s="329">
        <f t="shared" si="102"/>
        <v>0</v>
      </c>
      <c r="B807" s="329"/>
      <c r="C807" s="193"/>
      <c r="D807" s="194" t="s">
        <v>2835</v>
      </c>
      <c r="E807" s="329"/>
      <c r="F807" s="729"/>
      <c r="G807" s="393"/>
      <c r="H807" s="365"/>
      <c r="I807" s="365"/>
      <c r="J807" s="365"/>
    </row>
    <row r="808" spans="1:13" hidden="1" x14ac:dyDescent="0.25">
      <c r="A808" s="329">
        <f t="shared" si="102"/>
        <v>0</v>
      </c>
      <c r="B808" s="329"/>
      <c r="C808" s="1777" t="s">
        <v>42</v>
      </c>
      <c r="D808" s="1777"/>
      <c r="E808" s="327" t="str">
        <f>E$12</f>
        <v>ESTR. DE LINHA TAQUARAL</v>
      </c>
      <c r="F808" s="730" t="s">
        <v>96</v>
      </c>
      <c r="G808" s="376"/>
      <c r="H808" s="65"/>
      <c r="I808" s="65"/>
      <c r="J808" s="65"/>
    </row>
    <row r="809" spans="1:13" hidden="1" x14ac:dyDescent="0.25">
      <c r="A809" s="329">
        <f t="shared" si="102"/>
        <v>0</v>
      </c>
      <c r="B809" s="329"/>
      <c r="C809" s="1773" t="s">
        <v>108</v>
      </c>
      <c r="D809" s="731" t="s">
        <v>2909</v>
      </c>
      <c r="E809" s="40">
        <f>E795</f>
        <v>0</v>
      </c>
      <c r="F809" s="40">
        <f>SUM(E809:E809)</f>
        <v>0</v>
      </c>
      <c r="G809" s="375" t="s">
        <v>2595</v>
      </c>
      <c r="I809" s="357">
        <f>MAX($I$13:I808)+1</f>
        <v>402</v>
      </c>
      <c r="J809" s="361" t="str">
        <f>CONCATENATE("(",I809,")"," = ","(",I795,")")</f>
        <v>(402) = (398)</v>
      </c>
    </row>
    <row r="810" spans="1:13" hidden="1" x14ac:dyDescent="0.25">
      <c r="A810" s="329">
        <f t="shared" si="102"/>
        <v>0</v>
      </c>
      <c r="B810" s="396"/>
      <c r="C810" s="1773"/>
      <c r="D810" s="731" t="s">
        <v>2910</v>
      </c>
      <c r="E810" s="374">
        <f>E732</f>
        <v>0.05</v>
      </c>
      <c r="F810" s="40"/>
      <c r="G810" s="375" t="s">
        <v>2598</v>
      </c>
      <c r="I810" s="357">
        <f>MAX($I$13:I809)+1</f>
        <v>403</v>
      </c>
      <c r="J810" s="329" t="s">
        <v>2845</v>
      </c>
    </row>
    <row r="811" spans="1:13" hidden="1" x14ac:dyDescent="0.25">
      <c r="A811" s="329">
        <f t="shared" si="102"/>
        <v>0</v>
      </c>
      <c r="B811" s="329"/>
      <c r="C811" s="1773"/>
      <c r="D811" s="731" t="s">
        <v>2838</v>
      </c>
      <c r="E811" s="373">
        <f>E733</f>
        <v>2.5</v>
      </c>
      <c r="F811" s="40"/>
      <c r="G811" s="375" t="s">
        <v>2837</v>
      </c>
      <c r="I811" s="357">
        <f>MAX($I$13:I810)+1</f>
        <v>404</v>
      </c>
      <c r="J811" s="329" t="s">
        <v>2843</v>
      </c>
    </row>
    <row r="812" spans="1:13" s="188" customFormat="1" hidden="1" x14ac:dyDescent="0.25">
      <c r="A812" s="329">
        <f t="shared" si="102"/>
        <v>0</v>
      </c>
      <c r="B812" s="198">
        <f>B798+1</f>
        <v>239</v>
      </c>
      <c r="C812" s="1773"/>
      <c r="D812" s="730" t="s">
        <v>12</v>
      </c>
      <c r="E812" s="363">
        <f>E809*E810*E811</f>
        <v>0</v>
      </c>
      <c r="F812" s="199">
        <f>SUM(E812:E812)</f>
        <v>0</v>
      </c>
      <c r="G812" s="376" t="s">
        <v>2695</v>
      </c>
      <c r="H812" s="198">
        <f>C800</f>
        <v>4011459</v>
      </c>
      <c r="I812" s="369">
        <f>MAX($I$13:I811)+1</f>
        <v>405</v>
      </c>
      <c r="J812" s="65" t="str">
        <f>CONCATENATE("(",I812,")"," = ","(",I811,")*(",I810,")*(",I809,")")</f>
        <v>(405) = (404)*(403)*(402)</v>
      </c>
    </row>
    <row r="813" spans="1:13" hidden="1" x14ac:dyDescent="0.25">
      <c r="A813" s="329">
        <f>A801</f>
        <v>0</v>
      </c>
      <c r="B813" s="329"/>
      <c r="C813" s="1773" t="s">
        <v>2826</v>
      </c>
      <c r="D813" s="731" t="s">
        <v>2827</v>
      </c>
      <c r="E813" s="40">
        <f>DMT!$G$10</f>
        <v>25.9</v>
      </c>
      <c r="F813" s="731"/>
      <c r="G813" s="375" t="s">
        <v>2799</v>
      </c>
      <c r="H813" s="361"/>
      <c r="I813" s="357">
        <f>MAX($I$13:I812)+1</f>
        <v>406</v>
      </c>
      <c r="J813" s="361" t="s">
        <v>2843</v>
      </c>
    </row>
    <row r="814" spans="1:13" s="188" customFormat="1" hidden="1" x14ac:dyDescent="0.25">
      <c r="A814" s="329">
        <f t="shared" si="102"/>
        <v>0</v>
      </c>
      <c r="B814" s="198">
        <f>B812+1</f>
        <v>240</v>
      </c>
      <c r="C814" s="1773"/>
      <c r="D814" s="730" t="s">
        <v>2828</v>
      </c>
      <c r="E814" s="199">
        <f>E813*E812</f>
        <v>0</v>
      </c>
      <c r="F814" s="199">
        <f>SUM(E814:E814)</f>
        <v>0</v>
      </c>
      <c r="G814" s="376" t="s">
        <v>2784</v>
      </c>
      <c r="H814" s="366">
        <f>C801</f>
        <v>5914389</v>
      </c>
      <c r="I814" s="369">
        <f>MAX($I$13:I813)+1</f>
        <v>407</v>
      </c>
      <c r="J814" s="65" t="str">
        <f>CONCATENATE("(",I814,")"," = ","(",I812,")*(",I813,")")</f>
        <v>(407) = (405)*(406)</v>
      </c>
    </row>
    <row r="815" spans="1:13" hidden="1" x14ac:dyDescent="0.25">
      <c r="A815" s="329">
        <f>A802</f>
        <v>0</v>
      </c>
      <c r="B815" s="329"/>
      <c r="C815" s="1773" t="s">
        <v>2839</v>
      </c>
      <c r="D815" s="731" t="s">
        <v>2840</v>
      </c>
      <c r="E815" s="373">
        <f>E737</f>
        <v>6</v>
      </c>
      <c r="F815" s="40"/>
      <c r="G815" s="375" t="s">
        <v>15</v>
      </c>
      <c r="I815" s="357">
        <f>MAX($I$13:I814)+1</f>
        <v>408</v>
      </c>
      <c r="J815" s="361" t="s">
        <v>2843</v>
      </c>
    </row>
    <row r="816" spans="1:13" s="188" customFormat="1" hidden="1" x14ac:dyDescent="0.25">
      <c r="A816" s="329">
        <f t="shared" si="102"/>
        <v>0</v>
      </c>
      <c r="B816" s="198">
        <f>B814+1</f>
        <v>241</v>
      </c>
      <c r="C816" s="1773"/>
      <c r="D816" s="730" t="s">
        <v>12</v>
      </c>
      <c r="E816" s="363">
        <f>E812*E815/100</f>
        <v>0</v>
      </c>
      <c r="F816" s="199">
        <f>SUM(E816:E816)</f>
        <v>0</v>
      </c>
      <c r="G816" s="376" t="s">
        <v>2695</v>
      </c>
      <c r="H816" s="198" t="str">
        <f>C802</f>
        <v>CAP 50-70</v>
      </c>
      <c r="I816" s="369">
        <f>MAX($I$13:I815)+1</f>
        <v>409</v>
      </c>
      <c r="J816" s="65" t="str">
        <f>CONCATENATE("(",I816,")"," = ","(",I814,")*(",I815,")")</f>
        <v>(409) = (407)*(408)</v>
      </c>
    </row>
    <row r="817" spans="1:13" s="188" customFormat="1" hidden="1" x14ac:dyDescent="0.25">
      <c r="A817" s="329">
        <f>A803</f>
        <v>0</v>
      </c>
      <c r="B817" s="198">
        <f>B816+1</f>
        <v>242</v>
      </c>
      <c r="C817" s="1103"/>
      <c r="D817" s="1102" t="s">
        <v>6489</v>
      </c>
      <c r="E817" s="199">
        <f>E816</f>
        <v>0</v>
      </c>
      <c r="F817" s="199">
        <f>SUM(E817:E817)</f>
        <v>0</v>
      </c>
      <c r="G817" s="376" t="s">
        <v>2695</v>
      </c>
      <c r="H817" s="366" t="str">
        <f>C803</f>
        <v>T-CAP 50-70</v>
      </c>
      <c r="I817" s="369">
        <f>MAX($I$13:I816)+1</f>
        <v>410</v>
      </c>
      <c r="J817" s="65" t="str">
        <f>CONCATENATE("(",I817,")"," = ","(",I816,")")</f>
        <v>(410) = (409)</v>
      </c>
    </row>
    <row r="818" spans="1:13" s="188" customFormat="1" hidden="1" x14ac:dyDescent="0.25">
      <c r="A818" s="329">
        <f>A817</f>
        <v>0</v>
      </c>
      <c r="B818" s="198"/>
      <c r="C818" s="65"/>
      <c r="D818" s="65"/>
      <c r="E818" s="426"/>
      <c r="F818" s="368"/>
      <c r="G818" s="386"/>
      <c r="H818" s="198"/>
      <c r="I818" s="369"/>
      <c r="J818" s="65"/>
    </row>
    <row r="819" spans="1:13" s="188" customFormat="1" ht="13.5" hidden="1" thickBot="1" x14ac:dyDescent="0.3">
      <c r="A819" s="687">
        <f>IF(SUM(A820:A829)&gt;0,1,0)</f>
        <v>0</v>
      </c>
      <c r="B819" s="185"/>
      <c r="C819" s="186"/>
      <c r="D819" s="187" t="str">
        <f>oR!G286</f>
        <v>FRESAGEM</v>
      </c>
      <c r="E819" s="187"/>
      <c r="F819" s="187"/>
      <c r="G819" s="391"/>
      <c r="H819" s="186"/>
      <c r="I819" s="186"/>
      <c r="J819" s="186"/>
    </row>
    <row r="820" spans="1:13" s="191" customFormat="1" ht="15.75" hidden="1" thickBot="1" x14ac:dyDescent="0.3">
      <c r="A820" s="686">
        <f>IF(E827=0,0,1)</f>
        <v>0</v>
      </c>
      <c r="B820" s="189"/>
      <c r="C820" s="190">
        <f>oR!G287</f>
        <v>4011480</v>
      </c>
      <c r="D820" s="324" t="str">
        <f>oR!H287</f>
        <v>Fresagem descontínua de revestimento asfáltico</v>
      </c>
      <c r="F820" s="325"/>
      <c r="G820" s="392"/>
      <c r="H820" s="364"/>
      <c r="I820" s="364"/>
      <c r="J820" s="364"/>
      <c r="M820" s="416"/>
    </row>
    <row r="821" spans="1:13" s="191" customFormat="1" ht="15.75" hidden="1" thickBot="1" x14ac:dyDescent="0.3">
      <c r="A821" s="686">
        <f>IF(E829=0,0,1)</f>
        <v>0</v>
      </c>
      <c r="B821" s="189"/>
      <c r="C821" s="190">
        <f>oR!G288</f>
        <v>5914389</v>
      </c>
      <c r="D821" s="324" t="str">
        <f>oR!H288</f>
        <v>Transporte com caminhão basculante de 10 m³ - rodovia pavimentada</v>
      </c>
      <c r="F821" s="325"/>
      <c r="G821" s="392"/>
      <c r="H821" s="364"/>
      <c r="I821" s="364"/>
      <c r="J821" s="364"/>
      <c r="M821" s="416"/>
    </row>
    <row r="822" spans="1:13" hidden="1" x14ac:dyDescent="0.25">
      <c r="A822" s="329">
        <f>A820</f>
        <v>0</v>
      </c>
      <c r="B822" s="329"/>
      <c r="C822" s="193"/>
      <c r="D822" s="194" t="s">
        <v>3896</v>
      </c>
      <c r="E822" s="329"/>
      <c r="F822" s="729"/>
      <c r="G822" s="393"/>
      <c r="H822" s="365"/>
      <c r="I822" s="365"/>
      <c r="J822" s="365"/>
    </row>
    <row r="823" spans="1:13" hidden="1" x14ac:dyDescent="0.25">
      <c r="A823" s="329">
        <f>A821</f>
        <v>0</v>
      </c>
      <c r="B823" s="329"/>
      <c r="C823" s="193"/>
      <c r="D823" s="194" t="s">
        <v>3897</v>
      </c>
      <c r="E823" s="329"/>
      <c r="F823" s="729"/>
      <c r="G823" s="393"/>
      <c r="H823" s="365"/>
      <c r="I823" s="365"/>
      <c r="J823" s="365"/>
    </row>
    <row r="824" spans="1:13" hidden="1" x14ac:dyDescent="0.25">
      <c r="A824" s="329">
        <f t="shared" ref="A824:A829" si="103">A823</f>
        <v>0</v>
      </c>
      <c r="B824" s="329"/>
      <c r="C824" s="1777" t="s">
        <v>42</v>
      </c>
      <c r="D824" s="1777"/>
      <c r="E824" s="327" t="str">
        <f>E$12</f>
        <v>ESTR. DE LINHA TAQUARAL</v>
      </c>
      <c r="F824" s="730" t="s">
        <v>96</v>
      </c>
      <c r="G824" s="376"/>
      <c r="H824" s="65"/>
      <c r="I824" s="65"/>
      <c r="J824" s="65"/>
    </row>
    <row r="825" spans="1:13" hidden="1" x14ac:dyDescent="0.25">
      <c r="A825" s="329">
        <f t="shared" si="103"/>
        <v>0</v>
      </c>
      <c r="B825" s="329"/>
      <c r="C825" s="1773" t="s">
        <v>3898</v>
      </c>
      <c r="D825" s="731" t="s">
        <v>3899</v>
      </c>
      <c r="E825" s="373">
        <v>0</v>
      </c>
      <c r="F825" s="40">
        <f>SUM(E825:E825)</f>
        <v>0</v>
      </c>
      <c r="G825" s="375" t="s">
        <v>2595</v>
      </c>
      <c r="I825" s="357">
        <f>MAX($I$13:I824)+1</f>
        <v>411</v>
      </c>
      <c r="J825" s="65" t="s">
        <v>2842</v>
      </c>
    </row>
    <row r="826" spans="1:13" hidden="1" x14ac:dyDescent="0.25">
      <c r="A826" s="329">
        <f t="shared" si="103"/>
        <v>0</v>
      </c>
      <c r="B826" s="396"/>
      <c r="C826" s="1773"/>
      <c r="D826" s="731" t="s">
        <v>2910</v>
      </c>
      <c r="E826" s="374">
        <v>0.1</v>
      </c>
      <c r="F826" s="40"/>
      <c r="G826" s="375" t="s">
        <v>2598</v>
      </c>
      <c r="I826" s="357">
        <f>MAX($I$13:I825)+1</f>
        <v>412</v>
      </c>
      <c r="J826" s="329" t="s">
        <v>2843</v>
      </c>
    </row>
    <row r="827" spans="1:13" s="188" customFormat="1" hidden="1" x14ac:dyDescent="0.25">
      <c r="A827" s="329">
        <f>A826</f>
        <v>0</v>
      </c>
      <c r="B827" s="198">
        <f>oR!D287</f>
        <v>243</v>
      </c>
      <c r="C827" s="1773"/>
      <c r="D827" s="730" t="s">
        <v>100</v>
      </c>
      <c r="E827" s="363">
        <f>E825*E826</f>
        <v>0</v>
      </c>
      <c r="F827" s="199">
        <f>SUM(E827:E827)</f>
        <v>0</v>
      </c>
      <c r="G827" s="376" t="s">
        <v>2596</v>
      </c>
      <c r="H827" s="198">
        <f>C820</f>
        <v>4011480</v>
      </c>
      <c r="I827" s="369">
        <f>MAX($I$13:I826)+1</f>
        <v>413</v>
      </c>
      <c r="J827" s="65" t="str">
        <f>CONCATENATE("(",I827,")"," = ","(",I825,")*(",I826,")")</f>
        <v>(413) = (411)*(412)</v>
      </c>
    </row>
    <row r="828" spans="1:13" hidden="1" x14ac:dyDescent="0.25">
      <c r="A828" s="329">
        <f>A821</f>
        <v>0</v>
      </c>
      <c r="B828" s="329"/>
      <c r="C828" s="1773" t="s">
        <v>2826</v>
      </c>
      <c r="D828" s="731" t="s">
        <v>2827</v>
      </c>
      <c r="E828" s="40">
        <f>DMT!J10</f>
        <v>1</v>
      </c>
      <c r="F828" s="731"/>
      <c r="G828" s="375" t="s">
        <v>2799</v>
      </c>
      <c r="H828" s="361"/>
      <c r="I828" s="357">
        <f>MAX($I$13:I827)+1</f>
        <v>414</v>
      </c>
      <c r="J828" s="361" t="s">
        <v>2843</v>
      </c>
    </row>
    <row r="829" spans="1:13" s="188" customFormat="1" hidden="1" x14ac:dyDescent="0.25">
      <c r="A829" s="329">
        <f t="shared" si="103"/>
        <v>0</v>
      </c>
      <c r="B829" s="198">
        <f>B827+1</f>
        <v>244</v>
      </c>
      <c r="C829" s="1773"/>
      <c r="D829" s="730" t="s">
        <v>2828</v>
      </c>
      <c r="E829" s="199">
        <f>E828*E827*1.5</f>
        <v>0</v>
      </c>
      <c r="F829" s="199">
        <f>SUM(E829:E829)</f>
        <v>0</v>
      </c>
      <c r="G829" s="376" t="s">
        <v>6257</v>
      </c>
      <c r="H829" s="366">
        <f>C821</f>
        <v>5914389</v>
      </c>
      <c r="I829" s="369">
        <f>MAX($I$13:I828)+1</f>
        <v>415</v>
      </c>
      <c r="J829" s="65" t="str">
        <f>CONCATENATE("(",I829,")"," = ","(",I827,")*(",I828,")*1,5")</f>
        <v>(415) = (413)*(414)*1,5</v>
      </c>
    </row>
    <row r="830" spans="1:13" hidden="1" x14ac:dyDescent="0.25">
      <c r="A830" s="329">
        <f>A829</f>
        <v>0</v>
      </c>
      <c r="B830" s="329"/>
      <c r="C830" s="329"/>
      <c r="D830" s="329"/>
      <c r="E830" s="329"/>
      <c r="F830" s="329"/>
      <c r="M830" s="197"/>
    </row>
    <row r="831" spans="1:13" s="188" customFormat="1" ht="13.5" hidden="1" thickBot="1" x14ac:dyDescent="0.3">
      <c r="A831" s="687">
        <f>IF(SUM(A834:A868)&gt;0,1,0)</f>
        <v>0</v>
      </c>
      <c r="B831" s="185"/>
      <c r="C831" s="186"/>
      <c r="D831" s="187" t="str">
        <f>oR!G290</f>
        <v>LOMBADA</v>
      </c>
      <c r="E831" s="187"/>
      <c r="F831" s="187"/>
      <c r="G831" s="391"/>
      <c r="H831" s="186"/>
      <c r="I831" s="186"/>
      <c r="J831" s="186"/>
    </row>
    <row r="832" spans="1:13" s="191" customFormat="1" ht="15.75" hidden="1" thickBot="1" x14ac:dyDescent="0.3">
      <c r="A832" s="686">
        <f>IF(E835=0,0,1)</f>
        <v>0</v>
      </c>
      <c r="B832" s="189"/>
      <c r="C832" s="190">
        <f>oR!G291</f>
        <v>3806402</v>
      </c>
      <c r="D832" s="324" t="str">
        <f>oR!H291</f>
        <v>Limpeza em superfície de concreto com jateamento d'água sob pressão</v>
      </c>
      <c r="F832" s="325"/>
      <c r="G832" s="392"/>
      <c r="H832" s="364"/>
      <c r="I832" s="364"/>
      <c r="J832" s="364"/>
    </row>
    <row r="833" spans="1:13" hidden="1" x14ac:dyDescent="0.25">
      <c r="A833" s="329">
        <f>A832</f>
        <v>0</v>
      </c>
      <c r="B833" s="329"/>
      <c r="C833" s="193"/>
      <c r="D833" s="194" t="s">
        <v>3928</v>
      </c>
      <c r="E833" s="329"/>
      <c r="F833" s="748"/>
      <c r="G833" s="393"/>
      <c r="H833" s="365"/>
      <c r="I833" s="365"/>
      <c r="J833" s="365"/>
    </row>
    <row r="834" spans="1:13" hidden="1" x14ac:dyDescent="0.25">
      <c r="A834" s="329">
        <f t="shared" ref="A834:A836" si="104">A833</f>
        <v>0</v>
      </c>
      <c r="B834" s="329"/>
      <c r="C834" s="1777" t="s">
        <v>42</v>
      </c>
      <c r="D834" s="1777"/>
      <c r="E834" s="327" t="str">
        <f>E$12</f>
        <v>ESTR. DE LINHA TAQUARAL</v>
      </c>
      <c r="F834" s="746" t="s">
        <v>96</v>
      </c>
      <c r="G834" s="376"/>
      <c r="H834" s="65"/>
      <c r="I834" s="65"/>
      <c r="J834" s="65"/>
    </row>
    <row r="835" spans="1:13" s="188" customFormat="1" hidden="1" x14ac:dyDescent="0.25">
      <c r="A835" s="329">
        <f>A832</f>
        <v>0</v>
      </c>
      <c r="B835" s="198">
        <f>oR!D291</f>
        <v>245</v>
      </c>
      <c r="C835" s="1778" t="s">
        <v>2906</v>
      </c>
      <c r="D835" s="1778"/>
      <c r="E835" s="363">
        <f>E845</f>
        <v>0</v>
      </c>
      <c r="F835" s="199">
        <f>SUM(E835:E835)</f>
        <v>0</v>
      </c>
      <c r="G835" s="376" t="s">
        <v>2595</v>
      </c>
      <c r="H835" s="198">
        <f>C832</f>
        <v>3806402</v>
      </c>
      <c r="I835" s="369">
        <f>MAX($I$13:I834)+1</f>
        <v>416</v>
      </c>
      <c r="J835" s="65" t="str">
        <f>CONCATENATE("(",I835,")"," = ","(",I845,")")</f>
        <v>(416) = (420)</v>
      </c>
    </row>
    <row r="836" spans="1:13" s="188" customFormat="1" hidden="1" x14ac:dyDescent="0.25">
      <c r="A836" s="329">
        <f t="shared" si="104"/>
        <v>0</v>
      </c>
      <c r="B836" s="198"/>
      <c r="C836" s="65"/>
      <c r="D836" s="65"/>
      <c r="E836" s="426"/>
      <c r="F836" s="368"/>
      <c r="G836" s="386"/>
      <c r="H836" s="198"/>
      <c r="I836" s="369"/>
      <c r="J836" s="65"/>
    </row>
    <row r="837" spans="1:13" s="191" customFormat="1" ht="15.75" hidden="1" thickBot="1" x14ac:dyDescent="0.3">
      <c r="A837" s="686">
        <f>IF(E845=0,0,1)</f>
        <v>0</v>
      </c>
      <c r="B837" s="189"/>
      <c r="C837" s="190">
        <f>oR!G292</f>
        <v>4011353</v>
      </c>
      <c r="D837" s="324" t="str">
        <f>oR!H292</f>
        <v>Pintura de ligação</v>
      </c>
      <c r="F837" s="325"/>
      <c r="G837" s="392"/>
      <c r="H837" s="364"/>
      <c r="I837" s="364"/>
      <c r="J837" s="364"/>
    </row>
    <row r="838" spans="1:13" s="191" customFormat="1" ht="15.75" hidden="1" thickBot="1" x14ac:dyDescent="0.3">
      <c r="A838" s="686">
        <f>IF(E847=0,0,1)</f>
        <v>0</v>
      </c>
      <c r="B838" s="189"/>
      <c r="C838" s="190" t="str">
        <f>oR!G293</f>
        <v>RR-1C</v>
      </c>
      <c r="D838" s="324" t="str">
        <f>oR!H293</f>
        <v>Emulsões asfálticas RR-1C</v>
      </c>
      <c r="F838" s="325"/>
      <c r="G838" s="392"/>
      <c r="H838" s="364"/>
      <c r="I838" s="364"/>
      <c r="J838" s="364"/>
    </row>
    <row r="839" spans="1:13" s="191" customFormat="1" ht="15.75" hidden="1" thickBot="1" x14ac:dyDescent="0.3">
      <c r="A839" s="686">
        <f>IF(E848=0,0,1)</f>
        <v>0</v>
      </c>
      <c r="B839" s="189"/>
      <c r="C839" s="190" t="str">
        <f>oR!G294</f>
        <v>T-RR-1C</v>
      </c>
      <c r="D839" s="324" t="str">
        <f>oR!H294</f>
        <v>Transporte de Emulsões asfálticas RR-1C</v>
      </c>
      <c r="F839" s="325"/>
      <c r="G839" s="392"/>
      <c r="H839" s="364"/>
      <c r="I839" s="364"/>
      <c r="J839" s="364"/>
    </row>
    <row r="840" spans="1:13" hidden="1" x14ac:dyDescent="0.25">
      <c r="A840" s="329">
        <f>A837</f>
        <v>0</v>
      </c>
      <c r="B840" s="329"/>
      <c r="C840" s="193"/>
      <c r="D840" s="194" t="s">
        <v>6198</v>
      </c>
      <c r="E840" s="329"/>
      <c r="F840" s="748"/>
      <c r="G840" s="393"/>
      <c r="H840" s="365"/>
      <c r="I840" s="365"/>
      <c r="J840" s="365"/>
    </row>
    <row r="841" spans="1:13" hidden="1" x14ac:dyDescent="0.25">
      <c r="A841" s="329">
        <f t="shared" ref="A841" si="105">A840</f>
        <v>0</v>
      </c>
      <c r="B841" s="329"/>
      <c r="C841" s="1777" t="s">
        <v>42</v>
      </c>
      <c r="D841" s="1777"/>
      <c r="E841" s="327" t="str">
        <f>E$12</f>
        <v>ESTR. DE LINHA TAQUARAL</v>
      </c>
      <c r="F841" s="746" t="s">
        <v>96</v>
      </c>
      <c r="G841" s="376"/>
      <c r="H841" s="65"/>
      <c r="I841" s="65"/>
      <c r="J841" s="65"/>
    </row>
    <row r="842" spans="1:13" hidden="1" x14ac:dyDescent="0.25">
      <c r="A842" s="329">
        <f>A836</f>
        <v>0</v>
      </c>
      <c r="B842" s="359"/>
      <c r="C842" s="1774" t="s">
        <v>6199</v>
      </c>
      <c r="D842" s="1774"/>
      <c r="E842" s="749">
        <v>0</v>
      </c>
      <c r="F842" s="40">
        <f t="shared" ref="F842:F844" si="106">SUM(E842:E842)</f>
        <v>0</v>
      </c>
      <c r="G842" s="375" t="s">
        <v>2595</v>
      </c>
      <c r="H842" s="359"/>
      <c r="I842" s="357">
        <f>MAX($I$13:I841)+1</f>
        <v>417</v>
      </c>
      <c r="J842" s="361" t="s">
        <v>2842</v>
      </c>
      <c r="M842" s="197"/>
    </row>
    <row r="843" spans="1:13" hidden="1" x14ac:dyDescent="0.25">
      <c r="A843" s="329">
        <f>A837</f>
        <v>0</v>
      </c>
      <c r="B843" s="359"/>
      <c r="C843" s="1774" t="s">
        <v>3929</v>
      </c>
      <c r="D843" s="1774"/>
      <c r="E843" s="331">
        <f>E18</f>
        <v>7</v>
      </c>
      <c r="F843" s="40">
        <f t="shared" si="106"/>
        <v>7</v>
      </c>
      <c r="G843" s="375" t="s">
        <v>2595</v>
      </c>
      <c r="H843" s="359"/>
      <c r="I843" s="357">
        <f>MAX($I$13:I842)+1</f>
        <v>418</v>
      </c>
      <c r="J843" s="361" t="str">
        <f>CONCATENATE("(",I843,")"," = ","(",I18,")")</f>
        <v>(418) = (6)</v>
      </c>
      <c r="M843" s="197"/>
    </row>
    <row r="844" spans="1:13" hidden="1" x14ac:dyDescent="0.25">
      <c r="A844" s="329">
        <f t="shared" ref="A844" si="107">A840</f>
        <v>0</v>
      </c>
      <c r="B844" s="359"/>
      <c r="C844" s="1774" t="s">
        <v>6200</v>
      </c>
      <c r="D844" s="1774"/>
      <c r="E844" s="749">
        <v>1.5</v>
      </c>
      <c r="F844" s="40">
        <f t="shared" si="106"/>
        <v>1.5</v>
      </c>
      <c r="G844" s="375" t="s">
        <v>2595</v>
      </c>
      <c r="H844" s="359"/>
      <c r="I844" s="357">
        <f>MAX($I$13:I843)+1</f>
        <v>419</v>
      </c>
      <c r="J844" s="361" t="s">
        <v>2842</v>
      </c>
      <c r="M844" s="197"/>
    </row>
    <row r="845" spans="1:13" s="188" customFormat="1" hidden="1" x14ac:dyDescent="0.25">
      <c r="A845" s="329">
        <f>A841</f>
        <v>0</v>
      </c>
      <c r="B845" s="198">
        <f>B835+1</f>
        <v>246</v>
      </c>
      <c r="C845" s="1778" t="s">
        <v>2908</v>
      </c>
      <c r="D845" s="1778"/>
      <c r="E845" s="363">
        <f>E842*E843*E844</f>
        <v>0</v>
      </c>
      <c r="F845" s="199">
        <f>SUM(E845:E845)</f>
        <v>0</v>
      </c>
      <c r="G845" s="376" t="s">
        <v>2595</v>
      </c>
      <c r="H845" s="198">
        <f>C837</f>
        <v>4011353</v>
      </c>
      <c r="I845" s="369">
        <f>MAX($I$13:I844)+1</f>
        <v>420</v>
      </c>
      <c r="J845" s="65" t="str">
        <f>CONCATENATE("(",I845,")"," = ","(",I844,")*(",I843,")*(",I842,")")</f>
        <v>(420) = (419)*(418)*(417)</v>
      </c>
      <c r="M845" s="201"/>
    </row>
    <row r="846" spans="1:13" hidden="1" x14ac:dyDescent="0.25">
      <c r="A846" s="329">
        <f>A841</f>
        <v>0</v>
      </c>
      <c r="B846" s="329"/>
      <c r="C846" s="1773" t="s">
        <v>6486</v>
      </c>
      <c r="D846" s="1097" t="s">
        <v>6485</v>
      </c>
      <c r="E846" s="696">
        <v>0.5</v>
      </c>
      <c r="F846" s="40"/>
      <c r="G846" s="375" t="s">
        <v>15</v>
      </c>
      <c r="I846" s="357">
        <f>MAX($I$13:I845)+1</f>
        <v>421</v>
      </c>
      <c r="J846" s="361" t="s">
        <v>2843</v>
      </c>
    </row>
    <row r="847" spans="1:13" s="188" customFormat="1" hidden="1" x14ac:dyDescent="0.25">
      <c r="A847" s="329">
        <f t="shared" ref="A847" si="108">A846</f>
        <v>0</v>
      </c>
      <c r="B847" s="198">
        <f>B845+1</f>
        <v>247</v>
      </c>
      <c r="C847" s="1773"/>
      <c r="D847" s="1102" t="s">
        <v>12</v>
      </c>
      <c r="E847" s="363">
        <f>E845*E846/1000</f>
        <v>0</v>
      </c>
      <c r="F847" s="199">
        <f>SUM(E847:E847)</f>
        <v>0</v>
      </c>
      <c r="G847" s="376" t="s">
        <v>2695</v>
      </c>
      <c r="H847" s="198" t="str">
        <f>C838</f>
        <v>RR-1C</v>
      </c>
      <c r="I847" s="369">
        <f>MAX($I$13:I846)+1</f>
        <v>422</v>
      </c>
      <c r="J847" s="65" t="str">
        <f>CONCATENATE("(",I847,")"," = ","(",I845,")*(",I846,")/1000")</f>
        <v>(422) = (420)*(421)/1000</v>
      </c>
    </row>
    <row r="848" spans="1:13" s="188" customFormat="1" hidden="1" x14ac:dyDescent="0.25">
      <c r="A848" s="329">
        <f>A842</f>
        <v>0</v>
      </c>
      <c r="B848" s="198">
        <f>B847+1</f>
        <v>248</v>
      </c>
      <c r="C848" s="1103"/>
      <c r="D848" s="1102" t="s">
        <v>6487</v>
      </c>
      <c r="E848" s="199">
        <f>E847</f>
        <v>0</v>
      </c>
      <c r="F848" s="199">
        <f>SUM(E848:E848)</f>
        <v>0</v>
      </c>
      <c r="G848" s="376" t="s">
        <v>2695</v>
      </c>
      <c r="H848" s="366" t="str">
        <f>C842</f>
        <v>Quantidade de lombabas</v>
      </c>
      <c r="I848" s="369">
        <f>MAX($I$13:I847)+1</f>
        <v>423</v>
      </c>
      <c r="J848" s="65" t="str">
        <f>CONCATENATE("(",I848,")"," = ","(",I847,")")</f>
        <v>(423) = (422)</v>
      </c>
    </row>
    <row r="849" spans="1:13" hidden="1" x14ac:dyDescent="0.25">
      <c r="A849" s="329">
        <f>A845</f>
        <v>0</v>
      </c>
      <c r="B849" s="329"/>
      <c r="C849" s="329"/>
      <c r="D849" s="329"/>
      <c r="E849" s="329"/>
      <c r="F849" s="329"/>
      <c r="M849" s="197"/>
    </row>
    <row r="850" spans="1:13" s="191" customFormat="1" ht="15.75" hidden="1" thickBot="1" x14ac:dyDescent="0.3">
      <c r="A850" s="686">
        <f>IF(E863=0,0,1)</f>
        <v>0</v>
      </c>
      <c r="B850" s="189"/>
      <c r="C850" s="190">
        <f>oR!G295</f>
        <v>4011459</v>
      </c>
      <c r="D850" s="324" t="str">
        <f>oR!H295</f>
        <v>Concreto asfáltico - faixa B - areia e brita comerciais</v>
      </c>
      <c r="F850" s="325"/>
      <c r="G850" s="392"/>
      <c r="H850" s="364"/>
      <c r="I850" s="364"/>
      <c r="J850" s="364"/>
      <c r="M850" s="416"/>
    </row>
    <row r="851" spans="1:13" s="191" customFormat="1" ht="15.75" hidden="1" thickBot="1" x14ac:dyDescent="0.3">
      <c r="A851" s="686">
        <f>IF(E865=0,0,1)</f>
        <v>0</v>
      </c>
      <c r="B851" s="189"/>
      <c r="C851" s="190">
        <f>oR!G296</f>
        <v>5914389</v>
      </c>
      <c r="D851" s="324" t="str">
        <f>oR!H296</f>
        <v>Transporte com caminhão basculante de 10 m³ - rodovia pavimentada</v>
      </c>
      <c r="F851" s="325"/>
      <c r="G851" s="392"/>
      <c r="H851" s="364"/>
      <c r="I851" s="364"/>
      <c r="J851" s="364"/>
      <c r="M851" s="416"/>
    </row>
    <row r="852" spans="1:13" s="191" customFormat="1" ht="15.75" hidden="1" thickBot="1" x14ac:dyDescent="0.3">
      <c r="A852" s="686">
        <f>IF(E867=0,0,1)</f>
        <v>0</v>
      </c>
      <c r="B852" s="189"/>
      <c r="C852" s="190" t="str">
        <f>oR!G297</f>
        <v>CAP 50-70</v>
      </c>
      <c r="D852" s="324" t="str">
        <f>oR!H297</f>
        <v>Cimentos asfálticos CAP-50-70</v>
      </c>
      <c r="F852" s="325"/>
      <c r="G852" s="392"/>
      <c r="H852" s="364"/>
      <c r="I852" s="364"/>
      <c r="J852" s="364"/>
      <c r="M852" s="416"/>
    </row>
    <row r="853" spans="1:13" s="191" customFormat="1" ht="15.75" hidden="1" thickBot="1" x14ac:dyDescent="0.3">
      <c r="A853" s="686">
        <f>IF(E868=0,0,1)</f>
        <v>0</v>
      </c>
      <c r="B853" s="189"/>
      <c r="C853" s="190" t="str">
        <f>oR!G298</f>
        <v>T-CAP 50-70</v>
      </c>
      <c r="D853" s="324" t="str">
        <f>oR!H298</f>
        <v>Transporte de Cimentos asfálticos CAP-50-70</v>
      </c>
      <c r="F853" s="325"/>
      <c r="G853" s="392"/>
      <c r="H853" s="364"/>
      <c r="I853" s="364"/>
      <c r="J853" s="364"/>
    </row>
    <row r="854" spans="1:13" hidden="1" x14ac:dyDescent="0.25">
      <c r="A854" s="329">
        <f>A850</f>
        <v>0</v>
      </c>
      <c r="B854" s="329"/>
      <c r="C854" s="193"/>
      <c r="D854" s="194" t="s">
        <v>6201</v>
      </c>
      <c r="E854" s="329"/>
      <c r="F854" s="748"/>
      <c r="G854" s="393"/>
      <c r="H854" s="365"/>
      <c r="I854" s="365"/>
      <c r="J854" s="365"/>
    </row>
    <row r="855" spans="1:13" hidden="1" x14ac:dyDescent="0.25">
      <c r="A855" s="329">
        <f>A854</f>
        <v>0</v>
      </c>
      <c r="B855" s="329"/>
      <c r="C855" s="193"/>
      <c r="D855" s="194" t="s">
        <v>2836</v>
      </c>
      <c r="E855" s="329"/>
      <c r="F855" s="748"/>
      <c r="G855" s="393"/>
      <c r="H855" s="365"/>
      <c r="I855" s="365"/>
      <c r="J855" s="365"/>
    </row>
    <row r="856" spans="1:13" hidden="1" x14ac:dyDescent="0.25">
      <c r="A856" s="329">
        <f t="shared" ref="A856:A867" si="109">A855</f>
        <v>0</v>
      </c>
      <c r="B856" s="329"/>
      <c r="C856" s="193"/>
      <c r="D856" s="194" t="s">
        <v>6202</v>
      </c>
      <c r="E856" s="329"/>
      <c r="F856" s="748"/>
      <c r="G856" s="393"/>
      <c r="H856" s="365"/>
      <c r="I856" s="365"/>
      <c r="J856" s="365"/>
    </row>
    <row r="857" spans="1:13" hidden="1" x14ac:dyDescent="0.25">
      <c r="A857" s="329">
        <f t="shared" si="109"/>
        <v>0</v>
      </c>
      <c r="B857" s="329"/>
      <c r="C857" s="193"/>
      <c r="D857" s="194" t="s">
        <v>2835</v>
      </c>
      <c r="E857" s="329"/>
      <c r="F857" s="748"/>
      <c r="G857" s="393"/>
      <c r="H857" s="365"/>
      <c r="I857" s="365"/>
      <c r="J857" s="365"/>
    </row>
    <row r="858" spans="1:13" hidden="1" x14ac:dyDescent="0.25">
      <c r="A858" s="329">
        <f t="shared" si="109"/>
        <v>0</v>
      </c>
      <c r="B858" s="329"/>
      <c r="C858" s="1777" t="s">
        <v>42</v>
      </c>
      <c r="D858" s="1777"/>
      <c r="E858" s="327" t="str">
        <f>E$12</f>
        <v>ESTR. DE LINHA TAQUARAL</v>
      </c>
      <c r="F858" s="746" t="s">
        <v>96</v>
      </c>
      <c r="G858" s="376"/>
      <c r="H858" s="65"/>
      <c r="I858" s="65"/>
      <c r="J858" s="65"/>
    </row>
    <row r="859" spans="1:13" hidden="1" x14ac:dyDescent="0.25">
      <c r="A859" s="329">
        <f t="shared" si="109"/>
        <v>0</v>
      </c>
      <c r="B859" s="329"/>
      <c r="C859" s="1773" t="s">
        <v>108</v>
      </c>
      <c r="D859" s="747" t="str">
        <f>C842</f>
        <v>Quantidade de lombabas</v>
      </c>
      <c r="E859" s="40">
        <f>E842</f>
        <v>0</v>
      </c>
      <c r="F859" s="40">
        <f>SUM(E859:E859)</f>
        <v>0</v>
      </c>
      <c r="G859" s="375" t="s">
        <v>2595</v>
      </c>
      <c r="I859" s="357">
        <f>MAX($I$13:I858)+1</f>
        <v>424</v>
      </c>
      <c r="J859" s="361" t="str">
        <f>CONCATENATE("(",I859,")"," = ","(",I842,")")</f>
        <v>(424) = (417)</v>
      </c>
    </row>
    <row r="860" spans="1:13" hidden="1" x14ac:dyDescent="0.25">
      <c r="A860" s="329">
        <f>A858</f>
        <v>0</v>
      </c>
      <c r="B860" s="396"/>
      <c r="C860" s="1776"/>
      <c r="D860" s="747" t="str">
        <f>C843</f>
        <v>Largura da via</v>
      </c>
      <c r="E860" s="40">
        <f>E843</f>
        <v>7</v>
      </c>
      <c r="F860" s="40"/>
      <c r="G860" s="375" t="s">
        <v>2598</v>
      </c>
      <c r="I860" s="357">
        <f>MAX($I$13:I859)+1</f>
        <v>425</v>
      </c>
      <c r="J860" s="361" t="str">
        <f>CONCATENATE("(",I860,")"," = ","(",I844,")")</f>
        <v>(425) = (419)</v>
      </c>
    </row>
    <row r="861" spans="1:13" hidden="1" x14ac:dyDescent="0.25">
      <c r="A861" s="329">
        <f>A859</f>
        <v>0</v>
      </c>
      <c r="B861" s="396"/>
      <c r="C861" s="1773"/>
      <c r="D861" s="747" t="s">
        <v>3930</v>
      </c>
      <c r="E861" s="373">
        <v>0.08</v>
      </c>
      <c r="F861" s="40"/>
      <c r="G861" s="375" t="s">
        <v>2598</v>
      </c>
      <c r="I861" s="357">
        <f>MAX($I$13:I860)+1</f>
        <v>426</v>
      </c>
      <c r="J861" s="329" t="s">
        <v>2842</v>
      </c>
    </row>
    <row r="862" spans="1:13" hidden="1" x14ac:dyDescent="0.25">
      <c r="A862" s="329">
        <f t="shared" si="109"/>
        <v>0</v>
      </c>
      <c r="B862" s="329"/>
      <c r="C862" s="1773"/>
      <c r="D862" s="747" t="s">
        <v>2838</v>
      </c>
      <c r="E862" s="373">
        <f>E811</f>
        <v>2.5</v>
      </c>
      <c r="F862" s="40"/>
      <c r="G862" s="375" t="s">
        <v>2837</v>
      </c>
      <c r="I862" s="357">
        <f>MAX($I$13:I861)+1</f>
        <v>427</v>
      </c>
      <c r="J862" s="329" t="s">
        <v>2843</v>
      </c>
    </row>
    <row r="863" spans="1:13" s="188" customFormat="1" hidden="1" x14ac:dyDescent="0.25">
      <c r="A863" s="329">
        <f t="shared" si="109"/>
        <v>0</v>
      </c>
      <c r="B863" s="198">
        <f>B848+1</f>
        <v>249</v>
      </c>
      <c r="C863" s="1773"/>
      <c r="D863" s="746" t="s">
        <v>12</v>
      </c>
      <c r="E863" s="363">
        <f>E859*E861*E862*E860</f>
        <v>0</v>
      </c>
      <c r="F863" s="199">
        <f>SUM(E863:E863)</f>
        <v>0</v>
      </c>
      <c r="G863" s="376" t="s">
        <v>2695</v>
      </c>
      <c r="H863" s="198">
        <f>C850</f>
        <v>4011459</v>
      </c>
      <c r="I863" s="369">
        <f>MAX($I$13:I862)+1</f>
        <v>428</v>
      </c>
      <c r="J863" s="65" t="str">
        <f>CONCATENATE("(",I863,")"," = ","(",I862,")*(",I861,")*(",I860,")*(",I859,")")</f>
        <v>(428) = (427)*(426)*(425)*(424)</v>
      </c>
    </row>
    <row r="864" spans="1:13" hidden="1" x14ac:dyDescent="0.25">
      <c r="A864" s="329">
        <f>A851</f>
        <v>0</v>
      </c>
      <c r="B864" s="329"/>
      <c r="C864" s="1773" t="s">
        <v>2826</v>
      </c>
      <c r="D864" s="747" t="s">
        <v>2827</v>
      </c>
      <c r="E864" s="40">
        <f>DMT!$G$10</f>
        <v>25.9</v>
      </c>
      <c r="F864" s="747"/>
      <c r="G864" s="375" t="s">
        <v>2799</v>
      </c>
      <c r="H864" s="361"/>
      <c r="I864" s="357">
        <f>MAX($I$13:I863)+1</f>
        <v>429</v>
      </c>
      <c r="J864" s="361" t="s">
        <v>2843</v>
      </c>
    </row>
    <row r="865" spans="1:10" s="188" customFormat="1" hidden="1" x14ac:dyDescent="0.25">
      <c r="A865" s="329">
        <f t="shared" si="109"/>
        <v>0</v>
      </c>
      <c r="B865" s="198">
        <f>B863+1</f>
        <v>250</v>
      </c>
      <c r="C865" s="1773"/>
      <c r="D865" s="746" t="s">
        <v>2828</v>
      </c>
      <c r="E865" s="199">
        <f>E864*E863</f>
        <v>0</v>
      </c>
      <c r="F865" s="199">
        <f>SUM(E865:E865)</f>
        <v>0</v>
      </c>
      <c r="G865" s="376" t="s">
        <v>2784</v>
      </c>
      <c r="H865" s="366">
        <f>C851</f>
        <v>5914389</v>
      </c>
      <c r="I865" s="369">
        <f>MAX($I$13:I864)+1</f>
        <v>430</v>
      </c>
      <c r="J865" s="65" t="str">
        <f>CONCATENATE("(",I865,")"," = ","(",I863,")*(",I864,")")</f>
        <v>(430) = (428)*(429)</v>
      </c>
    </row>
    <row r="866" spans="1:10" hidden="1" x14ac:dyDescent="0.25">
      <c r="A866" s="329">
        <f>A852</f>
        <v>0</v>
      </c>
      <c r="B866" s="329"/>
      <c r="C866" s="1773" t="s">
        <v>2839</v>
      </c>
      <c r="D866" s="747" t="s">
        <v>2840</v>
      </c>
      <c r="E866" s="373">
        <f>E815</f>
        <v>6</v>
      </c>
      <c r="F866" s="40"/>
      <c r="G866" s="375" t="s">
        <v>15</v>
      </c>
      <c r="I866" s="357">
        <f>MAX($I$13:I865)+1</f>
        <v>431</v>
      </c>
      <c r="J866" s="361" t="s">
        <v>2843</v>
      </c>
    </row>
    <row r="867" spans="1:10" s="188" customFormat="1" hidden="1" x14ac:dyDescent="0.25">
      <c r="A867" s="329">
        <f t="shared" si="109"/>
        <v>0</v>
      </c>
      <c r="B867" s="198">
        <f>B865+1</f>
        <v>251</v>
      </c>
      <c r="C867" s="1773"/>
      <c r="D867" s="746" t="s">
        <v>12</v>
      </c>
      <c r="E867" s="1022">
        <f>E863*E866/100</f>
        <v>0</v>
      </c>
      <c r="F867" s="1024">
        <f>SUM(E867:E867)</f>
        <v>0</v>
      </c>
      <c r="G867" s="376" t="s">
        <v>2695</v>
      </c>
      <c r="H867" s="198" t="str">
        <f>C852</f>
        <v>CAP 50-70</v>
      </c>
      <c r="I867" s="369">
        <f>MAX($I$13:I866)+1</f>
        <v>432</v>
      </c>
      <c r="J867" s="65" t="str">
        <f>CONCATENATE("(",I867,")"," = ","(",I865,")*(",I866,")")</f>
        <v>(432) = (430)*(431)</v>
      </c>
    </row>
    <row r="868" spans="1:10" s="188" customFormat="1" hidden="1" x14ac:dyDescent="0.25">
      <c r="A868" s="329">
        <f>A854</f>
        <v>0</v>
      </c>
      <c r="B868" s="198">
        <f>B867+1</f>
        <v>252</v>
      </c>
      <c r="C868" s="1103"/>
      <c r="D868" s="1102" t="s">
        <v>6489</v>
      </c>
      <c r="E868" s="199">
        <f>E867</f>
        <v>0</v>
      </c>
      <c r="F868" s="199">
        <f>SUM(E868:E868)</f>
        <v>0</v>
      </c>
      <c r="G868" s="376" t="s">
        <v>2695</v>
      </c>
      <c r="H868" s="366">
        <f>C854</f>
        <v>0</v>
      </c>
      <c r="I868" s="369">
        <f>MAX($I$13:I867)+1</f>
        <v>433</v>
      </c>
      <c r="J868" s="65" t="str">
        <f>CONCATENATE("(",I868,")"," = ","(",I867,")")</f>
        <v>(433) = (432)</v>
      </c>
    </row>
    <row r="869" spans="1:10" s="188" customFormat="1" hidden="1" x14ac:dyDescent="0.25">
      <c r="A869" s="329">
        <f>A831</f>
        <v>0</v>
      </c>
      <c r="B869" s="198"/>
      <c r="C869" s="65"/>
      <c r="D869" s="65"/>
      <c r="E869" s="426"/>
      <c r="F869" s="368"/>
      <c r="G869" s="386"/>
      <c r="H869" s="198"/>
      <c r="I869" s="369"/>
      <c r="J869" s="65"/>
    </row>
    <row r="870" spans="1:10" s="188" customFormat="1" ht="13.5" hidden="1" thickBot="1" x14ac:dyDescent="0.3">
      <c r="A870" s="687">
        <f>IF(SUM(A873:A907)&gt;0,1,0)</f>
        <v>0</v>
      </c>
      <c r="B870" s="185"/>
      <c r="C870" s="186"/>
      <c r="D870" s="187" t="str">
        <f>oR!G300</f>
        <v>FAIXA ELEVADA</v>
      </c>
      <c r="E870" s="187"/>
      <c r="F870" s="187"/>
      <c r="G870" s="391"/>
      <c r="H870" s="186"/>
      <c r="I870" s="186"/>
      <c r="J870" s="186"/>
    </row>
    <row r="871" spans="1:10" s="191" customFormat="1" ht="15.75" hidden="1" thickBot="1" x14ac:dyDescent="0.3">
      <c r="A871" s="686">
        <f>IF(E874=0,0,1)</f>
        <v>0</v>
      </c>
      <c r="B871" s="189"/>
      <c r="C871" s="190">
        <f>oR!G301</f>
        <v>3806402</v>
      </c>
      <c r="D871" s="324" t="str">
        <f>oR!H301</f>
        <v>Limpeza em superfície de concreto com jateamento d'água sob pressão</v>
      </c>
      <c r="F871" s="325"/>
      <c r="G871" s="392"/>
      <c r="H871" s="364"/>
      <c r="I871" s="364"/>
      <c r="J871" s="364"/>
    </row>
    <row r="872" spans="1:10" hidden="1" x14ac:dyDescent="0.25">
      <c r="A872" s="329">
        <f>A871</f>
        <v>0</v>
      </c>
      <c r="B872" s="329"/>
      <c r="C872" s="193"/>
      <c r="D872" s="194" t="s">
        <v>3928</v>
      </c>
      <c r="E872" s="329"/>
      <c r="F872" s="1064"/>
      <c r="G872" s="393"/>
      <c r="H872" s="365"/>
      <c r="I872" s="365"/>
      <c r="J872" s="365"/>
    </row>
    <row r="873" spans="1:10" hidden="1" x14ac:dyDescent="0.25">
      <c r="A873" s="329">
        <f t="shared" ref="A873:A875" si="110">A872</f>
        <v>0</v>
      </c>
      <c r="B873" s="329"/>
      <c r="C873" s="1777" t="s">
        <v>42</v>
      </c>
      <c r="D873" s="1777"/>
      <c r="E873" s="327" t="str">
        <f>E$12</f>
        <v>ESTR. DE LINHA TAQUARAL</v>
      </c>
      <c r="F873" s="1062" t="s">
        <v>96</v>
      </c>
      <c r="G873" s="376"/>
      <c r="H873" s="65"/>
      <c r="I873" s="65"/>
      <c r="J873" s="65"/>
    </row>
    <row r="874" spans="1:10" s="188" customFormat="1" hidden="1" x14ac:dyDescent="0.25">
      <c r="A874" s="329">
        <f>A871</f>
        <v>0</v>
      </c>
      <c r="B874" s="198">
        <f>oR!D301</f>
        <v>253</v>
      </c>
      <c r="C874" s="1778" t="s">
        <v>2906</v>
      </c>
      <c r="D874" s="1778"/>
      <c r="E874" s="363">
        <f>E884</f>
        <v>0</v>
      </c>
      <c r="F874" s="199">
        <f>SUM(E874:E874)</f>
        <v>0</v>
      </c>
      <c r="G874" s="376" t="s">
        <v>2595</v>
      </c>
      <c r="H874" s="198">
        <f>C871</f>
        <v>3806402</v>
      </c>
      <c r="I874" s="369">
        <f>MAX($I$13:I873)+1</f>
        <v>434</v>
      </c>
      <c r="J874" s="65" t="str">
        <f>CONCATENATE("(",I874,")"," = ","(",I884,")")</f>
        <v>(434) = (438)</v>
      </c>
    </row>
    <row r="875" spans="1:10" s="188" customFormat="1" hidden="1" x14ac:dyDescent="0.25">
      <c r="A875" s="329">
        <f t="shared" si="110"/>
        <v>0</v>
      </c>
      <c r="B875" s="198"/>
      <c r="C875" s="65"/>
      <c r="D875" s="65"/>
      <c r="E875" s="426"/>
      <c r="F875" s="368"/>
      <c r="G875" s="386"/>
      <c r="H875" s="198"/>
      <c r="I875" s="369"/>
      <c r="J875" s="65"/>
    </row>
    <row r="876" spans="1:10" s="191" customFormat="1" ht="15.75" hidden="1" thickBot="1" x14ac:dyDescent="0.3">
      <c r="A876" s="686">
        <f>IF(E884=0,0,1)</f>
        <v>0</v>
      </c>
      <c r="B876" s="189"/>
      <c r="C876" s="190">
        <f>oR!G302</f>
        <v>4011353</v>
      </c>
      <c r="D876" s="324" t="str">
        <f>oR!H302</f>
        <v>Pintura de ligação</v>
      </c>
      <c r="F876" s="325"/>
      <c r="G876" s="392"/>
      <c r="H876" s="364"/>
      <c r="I876" s="364"/>
      <c r="J876" s="364"/>
    </row>
    <row r="877" spans="1:10" s="191" customFormat="1" ht="15.75" hidden="1" thickBot="1" x14ac:dyDescent="0.3">
      <c r="A877" s="686">
        <f>IF(E886=0,0,1)</f>
        <v>0</v>
      </c>
      <c r="B877" s="189"/>
      <c r="C877" s="190" t="str">
        <f>oR!G303</f>
        <v>RR-1C</v>
      </c>
      <c r="D877" s="324" t="str">
        <f>oR!H303</f>
        <v>Emulsões asfálticas RR-1C</v>
      </c>
      <c r="F877" s="325"/>
      <c r="G877" s="392"/>
      <c r="H877" s="364"/>
      <c r="I877" s="364"/>
      <c r="J877" s="364"/>
    </row>
    <row r="878" spans="1:10" s="191" customFormat="1" ht="15.75" hidden="1" thickBot="1" x14ac:dyDescent="0.3">
      <c r="A878" s="686">
        <f>IF(E887=0,0,1)</f>
        <v>0</v>
      </c>
      <c r="B878" s="189"/>
      <c r="C878" s="190" t="str">
        <f>oR!G304</f>
        <v>T-RR-1C</v>
      </c>
      <c r="D878" s="324" t="str">
        <f>oR!H304</f>
        <v>Transporte de Emulsões asfálticas RR-1C</v>
      </c>
      <c r="F878" s="325"/>
      <c r="G878" s="392"/>
      <c r="H878" s="364"/>
      <c r="I878" s="364"/>
      <c r="J878" s="364"/>
    </row>
    <row r="879" spans="1:10" hidden="1" x14ac:dyDescent="0.25">
      <c r="A879" s="329">
        <f>A876</f>
        <v>0</v>
      </c>
      <c r="B879" s="329"/>
      <c r="C879" s="193"/>
      <c r="D879" s="194" t="s">
        <v>6243</v>
      </c>
      <c r="E879" s="329"/>
      <c r="F879" s="1064"/>
      <c r="G879" s="393"/>
      <c r="H879" s="365"/>
      <c r="I879" s="365"/>
      <c r="J879" s="365"/>
    </row>
    <row r="880" spans="1:10" hidden="1" x14ac:dyDescent="0.25">
      <c r="A880" s="329">
        <f t="shared" ref="A880" si="111">A879</f>
        <v>0</v>
      </c>
      <c r="B880" s="329"/>
      <c r="C880" s="1777" t="s">
        <v>42</v>
      </c>
      <c r="D880" s="1777"/>
      <c r="E880" s="327" t="str">
        <f>E$12</f>
        <v>ESTR. DE LINHA TAQUARAL</v>
      </c>
      <c r="F880" s="1062" t="s">
        <v>96</v>
      </c>
      <c r="G880" s="376"/>
      <c r="H880" s="65"/>
      <c r="I880" s="65"/>
      <c r="J880" s="65"/>
    </row>
    <row r="881" spans="1:13" hidden="1" x14ac:dyDescent="0.25">
      <c r="A881" s="329">
        <f>A875</f>
        <v>0</v>
      </c>
      <c r="B881" s="359"/>
      <c r="C881" s="1774" t="s">
        <v>12</v>
      </c>
      <c r="D881" s="1774"/>
      <c r="E881" s="749"/>
      <c r="F881" s="40">
        <f t="shared" ref="F881:F883" si="112">SUM(E881:E881)</f>
        <v>0</v>
      </c>
      <c r="G881" s="375" t="s">
        <v>2595</v>
      </c>
      <c r="H881" s="359"/>
      <c r="I881" s="357">
        <f>MAX($I$13:I880)+1</f>
        <v>435</v>
      </c>
      <c r="J881" s="361" t="s">
        <v>2842</v>
      </c>
      <c r="M881" s="197"/>
    </row>
    <row r="882" spans="1:13" hidden="1" x14ac:dyDescent="0.25">
      <c r="A882" s="329">
        <f>A876</f>
        <v>0</v>
      </c>
      <c r="B882" s="359"/>
      <c r="C882" s="1774" t="s">
        <v>3929</v>
      </c>
      <c r="D882" s="1774"/>
      <c r="E882" s="749">
        <v>10.5</v>
      </c>
      <c r="F882" s="40">
        <f t="shared" si="112"/>
        <v>10.5</v>
      </c>
      <c r="G882" s="375" t="s">
        <v>2595</v>
      </c>
      <c r="H882" s="359"/>
      <c r="I882" s="357">
        <f>MAX($I$13:I881)+1</f>
        <v>436</v>
      </c>
      <c r="J882" s="361" t="s">
        <v>2842</v>
      </c>
      <c r="M882" s="197"/>
    </row>
    <row r="883" spans="1:13" hidden="1" x14ac:dyDescent="0.25">
      <c r="A883" s="329">
        <f t="shared" ref="A883" si="113">A879</f>
        <v>0</v>
      </c>
      <c r="B883" s="359"/>
      <c r="C883" s="1774" t="s">
        <v>2585</v>
      </c>
      <c r="D883" s="1774"/>
      <c r="E883" s="749">
        <f>5+1.5+1.5</f>
        <v>8</v>
      </c>
      <c r="F883" s="40">
        <f t="shared" si="112"/>
        <v>8</v>
      </c>
      <c r="G883" s="375" t="s">
        <v>2595</v>
      </c>
      <c r="H883" s="359"/>
      <c r="I883" s="357">
        <f>MAX($I$13:I882)+1</f>
        <v>437</v>
      </c>
      <c r="J883" s="361" t="s">
        <v>2842</v>
      </c>
      <c r="M883" s="197"/>
    </row>
    <row r="884" spans="1:13" s="188" customFormat="1" hidden="1" x14ac:dyDescent="0.25">
      <c r="A884" s="329">
        <f>A880</f>
        <v>0</v>
      </c>
      <c r="B884" s="198">
        <f>B874+1</f>
        <v>254</v>
      </c>
      <c r="C884" s="1778" t="s">
        <v>2908</v>
      </c>
      <c r="D884" s="1778"/>
      <c r="E884" s="363">
        <f>E881*E882*E883</f>
        <v>0</v>
      </c>
      <c r="F884" s="199">
        <f>SUM(E884:E884)</f>
        <v>0</v>
      </c>
      <c r="G884" s="376" t="s">
        <v>2595</v>
      </c>
      <c r="H884" s="198">
        <f>C876</f>
        <v>4011353</v>
      </c>
      <c r="I884" s="369">
        <f>MAX($I$13:I883)+1</f>
        <v>438</v>
      </c>
      <c r="J884" s="65" t="str">
        <f>CONCATENATE("(",I884,")"," = ","(",I883,")*(",I882,")*(",I881,")")</f>
        <v>(438) = (437)*(436)*(435)</v>
      </c>
      <c r="M884" s="201"/>
    </row>
    <row r="885" spans="1:13" hidden="1" x14ac:dyDescent="0.25">
      <c r="A885" s="329">
        <f>A880</f>
        <v>0</v>
      </c>
      <c r="B885" s="329"/>
      <c r="C885" s="1773" t="s">
        <v>6486</v>
      </c>
      <c r="D885" s="1097" t="s">
        <v>6485</v>
      </c>
      <c r="E885" s="696">
        <v>0.5</v>
      </c>
      <c r="F885" s="40"/>
      <c r="G885" s="375" t="s">
        <v>15</v>
      </c>
      <c r="I885" s="357">
        <f>MAX($I$13:I884)+1</f>
        <v>439</v>
      </c>
      <c r="J885" s="361" t="s">
        <v>2843</v>
      </c>
    </row>
    <row r="886" spans="1:13" s="188" customFormat="1" hidden="1" x14ac:dyDescent="0.25">
      <c r="A886" s="329">
        <f t="shared" ref="A886" si="114">A885</f>
        <v>0</v>
      </c>
      <c r="B886" s="198">
        <f>B884+1</f>
        <v>255</v>
      </c>
      <c r="C886" s="1773"/>
      <c r="D886" s="1102" t="s">
        <v>12</v>
      </c>
      <c r="E886" s="363">
        <f>E884*E885/1000</f>
        <v>0</v>
      </c>
      <c r="F886" s="199">
        <f>SUM(E886:E886)</f>
        <v>0</v>
      </c>
      <c r="G886" s="376" t="s">
        <v>2695</v>
      </c>
      <c r="H886" s="198" t="str">
        <f>C877</f>
        <v>RR-1C</v>
      </c>
      <c r="I886" s="369">
        <f>MAX($I$13:I885)+1</f>
        <v>440</v>
      </c>
      <c r="J886" s="65" t="str">
        <f>CONCATENATE("(",I886,")"," = ","(",I884,")*(",I885,")/1000")</f>
        <v>(440) = (438)*(439)/1000</v>
      </c>
    </row>
    <row r="887" spans="1:13" s="188" customFormat="1" hidden="1" x14ac:dyDescent="0.25">
      <c r="A887" s="329">
        <f>A881</f>
        <v>0</v>
      </c>
      <c r="B887" s="198">
        <f>B886+1</f>
        <v>256</v>
      </c>
      <c r="C887" s="1103"/>
      <c r="D887" s="1102" t="s">
        <v>6487</v>
      </c>
      <c r="E887" s="199">
        <f>E886</f>
        <v>0</v>
      </c>
      <c r="F887" s="199">
        <f>SUM(E887:E887)</f>
        <v>0</v>
      </c>
      <c r="G887" s="376" t="s">
        <v>2695</v>
      </c>
      <c r="H887" s="366" t="str">
        <f>C881</f>
        <v>Quantidade</v>
      </c>
      <c r="I887" s="369">
        <f>MAX($I$13:I886)+1</f>
        <v>441</v>
      </c>
      <c r="J887" s="65" t="str">
        <f>CONCATENATE("(",I887,")"," = ","(",I886,")")</f>
        <v>(441) = (440)</v>
      </c>
    </row>
    <row r="888" spans="1:13" hidden="1" x14ac:dyDescent="0.25">
      <c r="A888" s="329">
        <f>A884</f>
        <v>0</v>
      </c>
      <c r="B888" s="329"/>
      <c r="C888" s="329"/>
      <c r="D888" s="329"/>
      <c r="E888" s="329"/>
      <c r="F888" s="329"/>
      <c r="M888" s="197"/>
    </row>
    <row r="889" spans="1:13" s="191" customFormat="1" ht="15.75" hidden="1" thickBot="1" x14ac:dyDescent="0.3">
      <c r="A889" s="686">
        <f>IF(E902=0,0,1)</f>
        <v>0</v>
      </c>
      <c r="B889" s="189"/>
      <c r="C889" s="190">
        <f>oR!G305</f>
        <v>4011459</v>
      </c>
      <c r="D889" s="324" t="str">
        <f>oR!H305</f>
        <v>Concreto asfáltico - faixa B - areia e brita comerciais</v>
      </c>
      <c r="F889" s="325"/>
      <c r="G889" s="392"/>
      <c r="H889" s="364"/>
      <c r="I889" s="364"/>
      <c r="J889" s="364"/>
      <c r="M889" s="416"/>
    </row>
    <row r="890" spans="1:13" s="191" customFormat="1" ht="15.75" hidden="1" thickBot="1" x14ac:dyDescent="0.3">
      <c r="A890" s="686">
        <f>IF(E904=0,0,1)</f>
        <v>0</v>
      </c>
      <c r="B890" s="189"/>
      <c r="C890" s="190">
        <f>oR!G306</f>
        <v>5914389</v>
      </c>
      <c r="D890" s="324" t="str">
        <f>oR!H306</f>
        <v>Transporte com caminhão basculante de 10 m³ - rodovia pavimentada</v>
      </c>
      <c r="F890" s="325"/>
      <c r="G890" s="392"/>
      <c r="H890" s="364"/>
      <c r="I890" s="364"/>
      <c r="J890" s="364"/>
      <c r="M890" s="416"/>
    </row>
    <row r="891" spans="1:13" s="191" customFormat="1" ht="15.75" hidden="1" thickBot="1" x14ac:dyDescent="0.3">
      <c r="A891" s="686">
        <f>IF(E906=0,0,1)</f>
        <v>0</v>
      </c>
      <c r="B891" s="189"/>
      <c r="C891" s="190" t="str">
        <f>oR!G307</f>
        <v>CAP 50-70</v>
      </c>
      <c r="D891" s="324" t="str">
        <f>oR!H307</f>
        <v>Cimentos asfálticos CAP-50-70</v>
      </c>
      <c r="F891" s="325"/>
      <c r="G891" s="392"/>
      <c r="H891" s="364"/>
      <c r="I891" s="364"/>
      <c r="J891" s="364"/>
      <c r="M891" s="416"/>
    </row>
    <row r="892" spans="1:13" s="191" customFormat="1" ht="15.75" hidden="1" thickBot="1" x14ac:dyDescent="0.3">
      <c r="A892" s="686">
        <f>IF(E907=0,0,1)</f>
        <v>0</v>
      </c>
      <c r="B892" s="189"/>
      <c r="C892" s="190" t="str">
        <f>oR!G308</f>
        <v>T-CAP 50-70</v>
      </c>
      <c r="D892" s="324" t="str">
        <f>oR!H308</f>
        <v>Transporte de Cimentos asfálticos CAP-50-70</v>
      </c>
      <c r="F892" s="325"/>
      <c r="G892" s="392"/>
      <c r="H892" s="364"/>
      <c r="I892" s="364"/>
      <c r="J892" s="364"/>
    </row>
    <row r="893" spans="1:13" hidden="1" x14ac:dyDescent="0.25">
      <c r="A893" s="329">
        <f>A889</f>
        <v>0</v>
      </c>
      <c r="B893" s="329"/>
      <c r="C893" s="193"/>
      <c r="D893" s="194" t="s">
        <v>6244</v>
      </c>
      <c r="E893" s="329"/>
      <c r="F893" s="1064"/>
      <c r="G893" s="393"/>
      <c r="H893" s="365"/>
      <c r="I893" s="365"/>
      <c r="J893" s="365"/>
    </row>
    <row r="894" spans="1:13" hidden="1" x14ac:dyDescent="0.25">
      <c r="A894" s="329">
        <f>A893</f>
        <v>0</v>
      </c>
      <c r="B894" s="329"/>
      <c r="C894" s="193"/>
      <c r="D894" s="194" t="s">
        <v>2836</v>
      </c>
      <c r="E894" s="329"/>
      <c r="F894" s="1064"/>
      <c r="G894" s="393"/>
      <c r="H894" s="365"/>
      <c r="I894" s="365"/>
      <c r="J894" s="365"/>
    </row>
    <row r="895" spans="1:13" hidden="1" x14ac:dyDescent="0.25">
      <c r="A895" s="329">
        <f t="shared" ref="A895:A906" si="115">A894</f>
        <v>0</v>
      </c>
      <c r="B895" s="329"/>
      <c r="C895" s="193"/>
      <c r="D895" s="194" t="s">
        <v>6202</v>
      </c>
      <c r="E895" s="329"/>
      <c r="F895" s="1064"/>
      <c r="G895" s="393"/>
      <c r="H895" s="365"/>
      <c r="I895" s="365"/>
      <c r="J895" s="365"/>
    </row>
    <row r="896" spans="1:13" hidden="1" x14ac:dyDescent="0.25">
      <c r="A896" s="329">
        <f t="shared" si="115"/>
        <v>0</v>
      </c>
      <c r="B896" s="329"/>
      <c r="C896" s="193"/>
      <c r="D896" s="194" t="s">
        <v>2835</v>
      </c>
      <c r="E896" s="329"/>
      <c r="F896" s="1064"/>
      <c r="G896" s="393"/>
      <c r="H896" s="365"/>
      <c r="I896" s="365"/>
      <c r="J896" s="365"/>
    </row>
    <row r="897" spans="1:10" hidden="1" x14ac:dyDescent="0.25">
      <c r="A897" s="329">
        <f t="shared" si="115"/>
        <v>0</v>
      </c>
      <c r="B897" s="329"/>
      <c r="C897" s="1777" t="s">
        <v>42</v>
      </c>
      <c r="D897" s="1777"/>
      <c r="E897" s="327" t="str">
        <f>E$12</f>
        <v>ESTR. DE LINHA TAQUARAL</v>
      </c>
      <c r="F897" s="1062" t="s">
        <v>96</v>
      </c>
      <c r="G897" s="376"/>
      <c r="H897" s="65"/>
      <c r="I897" s="65"/>
      <c r="J897" s="65"/>
    </row>
    <row r="898" spans="1:10" hidden="1" x14ac:dyDescent="0.25">
      <c r="A898" s="329">
        <f t="shared" si="115"/>
        <v>0</v>
      </c>
      <c r="B898" s="329"/>
      <c r="C898" s="1773" t="s">
        <v>108</v>
      </c>
      <c r="D898" s="1063" t="str">
        <f>C881</f>
        <v>Quantidade</v>
      </c>
      <c r="E898" s="40">
        <f>E881</f>
        <v>0</v>
      </c>
      <c r="F898" s="40">
        <f>SUM(E898:E898)</f>
        <v>0</v>
      </c>
      <c r="G898" s="375" t="s">
        <v>2595</v>
      </c>
      <c r="I898" s="357">
        <f>MAX($I$13:I897)+1</f>
        <v>442</v>
      </c>
      <c r="J898" s="361" t="str">
        <f>CONCATENATE("(",I898,")"," = ","(",I881,")")</f>
        <v>(442) = (435)</v>
      </c>
    </row>
    <row r="899" spans="1:10" hidden="1" x14ac:dyDescent="0.25">
      <c r="A899" s="329">
        <f>A897</f>
        <v>0</v>
      </c>
      <c r="B899" s="396"/>
      <c r="C899" s="1776"/>
      <c r="D899" s="1063" t="str">
        <f>C882</f>
        <v>Largura da via</v>
      </c>
      <c r="E899" s="40">
        <f>E882</f>
        <v>10.5</v>
      </c>
      <c r="F899" s="40"/>
      <c r="G899" s="375" t="s">
        <v>2598</v>
      </c>
      <c r="I899" s="357">
        <f>MAX($I$13:I898)+1</f>
        <v>443</v>
      </c>
      <c r="J899" s="361" t="str">
        <f>CONCATENATE("(",I899,")"," = ","(",I883,")")</f>
        <v>(443) = (437)</v>
      </c>
    </row>
    <row r="900" spans="1:10" hidden="1" x14ac:dyDescent="0.25">
      <c r="A900" s="329">
        <f>A898</f>
        <v>0</v>
      </c>
      <c r="B900" s="396"/>
      <c r="C900" s="1773"/>
      <c r="D900" s="1063" t="s">
        <v>3930</v>
      </c>
      <c r="E900" s="373">
        <f>5*0.15+1.5*0.15</f>
        <v>0.98</v>
      </c>
      <c r="F900" s="40"/>
      <c r="G900" s="375" t="s">
        <v>2598</v>
      </c>
      <c r="I900" s="357">
        <f>MAX($I$13:I899)+1</f>
        <v>444</v>
      </c>
      <c r="J900" s="329" t="s">
        <v>2842</v>
      </c>
    </row>
    <row r="901" spans="1:10" hidden="1" x14ac:dyDescent="0.25">
      <c r="A901" s="329">
        <f t="shared" si="115"/>
        <v>0</v>
      </c>
      <c r="B901" s="329"/>
      <c r="C901" s="1773"/>
      <c r="D901" s="1063" t="s">
        <v>2838</v>
      </c>
      <c r="E901" s="373">
        <f>E862</f>
        <v>2.5</v>
      </c>
      <c r="F901" s="40"/>
      <c r="G901" s="375" t="s">
        <v>2837</v>
      </c>
      <c r="I901" s="357">
        <f>MAX($I$13:I900)+1</f>
        <v>445</v>
      </c>
      <c r="J901" s="329" t="s">
        <v>2843</v>
      </c>
    </row>
    <row r="902" spans="1:10" s="188" customFormat="1" hidden="1" x14ac:dyDescent="0.25">
      <c r="A902" s="329">
        <f t="shared" si="115"/>
        <v>0</v>
      </c>
      <c r="B902" s="198">
        <f>B887+1</f>
        <v>257</v>
      </c>
      <c r="C902" s="1773"/>
      <c r="D902" s="1062" t="s">
        <v>12</v>
      </c>
      <c r="E902" s="363">
        <f>E898*E900*E901*E899</f>
        <v>0</v>
      </c>
      <c r="F902" s="199">
        <f>SUM(E902:E902)</f>
        <v>0</v>
      </c>
      <c r="G902" s="376" t="s">
        <v>2695</v>
      </c>
      <c r="H902" s="198">
        <f>C889</f>
        <v>4011459</v>
      </c>
      <c r="I902" s="369">
        <f>MAX($I$13:I901)+1</f>
        <v>446</v>
      </c>
      <c r="J902" s="65" t="str">
        <f>CONCATENATE("(",I902,")"," = ","(",I901,")*(",I900,")*(",I899,")*(",I898,")")</f>
        <v>(446) = (445)*(444)*(443)*(442)</v>
      </c>
    </row>
    <row r="903" spans="1:10" hidden="1" x14ac:dyDescent="0.25">
      <c r="A903" s="329">
        <f>A890</f>
        <v>0</v>
      </c>
      <c r="B903" s="329"/>
      <c r="C903" s="1773" t="s">
        <v>2826</v>
      </c>
      <c r="D903" s="1063" t="s">
        <v>2827</v>
      </c>
      <c r="E903" s="40">
        <f>DMT!$G$10</f>
        <v>25.9</v>
      </c>
      <c r="F903" s="1063"/>
      <c r="G903" s="375" t="s">
        <v>2799</v>
      </c>
      <c r="H903" s="361"/>
      <c r="I903" s="357">
        <f>MAX($I$13:I902)+1</f>
        <v>447</v>
      </c>
      <c r="J903" s="361" t="s">
        <v>2843</v>
      </c>
    </row>
    <row r="904" spans="1:10" s="188" customFormat="1" hidden="1" x14ac:dyDescent="0.25">
      <c r="A904" s="329">
        <f t="shared" si="115"/>
        <v>0</v>
      </c>
      <c r="B904" s="198">
        <f>B902+1</f>
        <v>258</v>
      </c>
      <c r="C904" s="1773"/>
      <c r="D904" s="1062" t="s">
        <v>2828</v>
      </c>
      <c r="E904" s="199">
        <f>E903*E902</f>
        <v>0</v>
      </c>
      <c r="F904" s="199">
        <f>SUM(E904:E904)</f>
        <v>0</v>
      </c>
      <c r="G904" s="376" t="s">
        <v>2784</v>
      </c>
      <c r="H904" s="366">
        <f>C890</f>
        <v>5914389</v>
      </c>
      <c r="I904" s="369">
        <f>MAX($I$13:I903)+1</f>
        <v>448</v>
      </c>
      <c r="J904" s="65" t="str">
        <f>CONCATENATE("(",I904,")"," = ","(",I902,")*(",I903,")")</f>
        <v>(448) = (446)*(447)</v>
      </c>
    </row>
    <row r="905" spans="1:10" hidden="1" x14ac:dyDescent="0.25">
      <c r="A905" s="329">
        <f>A891</f>
        <v>0</v>
      </c>
      <c r="B905" s="329"/>
      <c r="C905" s="1773" t="s">
        <v>2839</v>
      </c>
      <c r="D905" s="1063" t="s">
        <v>2840</v>
      </c>
      <c r="E905" s="373">
        <f>E866</f>
        <v>6</v>
      </c>
      <c r="F905" s="40"/>
      <c r="G905" s="375" t="s">
        <v>15</v>
      </c>
      <c r="I905" s="357">
        <f>MAX($I$13:I904)+1</f>
        <v>449</v>
      </c>
      <c r="J905" s="361" t="s">
        <v>2843</v>
      </c>
    </row>
    <row r="906" spans="1:10" s="188" customFormat="1" hidden="1" x14ac:dyDescent="0.25">
      <c r="A906" s="329">
        <f t="shared" si="115"/>
        <v>0</v>
      </c>
      <c r="B906" s="198">
        <f>B904+1</f>
        <v>259</v>
      </c>
      <c r="C906" s="1773"/>
      <c r="D906" s="1062" t="s">
        <v>12</v>
      </c>
      <c r="E906" s="1022">
        <f>E902*E905/100</f>
        <v>0</v>
      </c>
      <c r="F906" s="1024">
        <f>SUM(E906:E906)</f>
        <v>0</v>
      </c>
      <c r="G906" s="376" t="s">
        <v>2695</v>
      </c>
      <c r="H906" s="198" t="str">
        <f>C891</f>
        <v>CAP 50-70</v>
      </c>
      <c r="I906" s="369">
        <f>MAX($I$13:I905)+1</f>
        <v>450</v>
      </c>
      <c r="J906" s="65" t="str">
        <f>CONCATENATE("(",I906,")"," = ","(",I904,")*(",I905,")")</f>
        <v>(450) = (448)*(449)</v>
      </c>
    </row>
    <row r="907" spans="1:10" s="188" customFormat="1" hidden="1" x14ac:dyDescent="0.25">
      <c r="A907" s="329">
        <f>A893</f>
        <v>0</v>
      </c>
      <c r="B907" s="198">
        <f>B906+1</f>
        <v>260</v>
      </c>
      <c r="C907" s="1103"/>
      <c r="D907" s="1102" t="s">
        <v>6489</v>
      </c>
      <c r="E907" s="199">
        <f>E906</f>
        <v>0</v>
      </c>
      <c r="F907" s="199">
        <f>SUM(E907:E907)</f>
        <v>0</v>
      </c>
      <c r="G907" s="376" t="s">
        <v>2695</v>
      </c>
      <c r="H907" s="366">
        <f>C893</f>
        <v>0</v>
      </c>
      <c r="I907" s="369">
        <f>MAX($I$13:I906)+1</f>
        <v>451</v>
      </c>
      <c r="J907" s="65" t="str">
        <f>CONCATENATE("(",I907,")"," = ","(",I906,")")</f>
        <v>(451) = (450)</v>
      </c>
    </row>
    <row r="908" spans="1:10" s="188" customFormat="1" hidden="1" x14ac:dyDescent="0.25">
      <c r="A908" s="329">
        <f>A870</f>
        <v>0</v>
      </c>
      <c r="B908" s="198"/>
      <c r="C908" s="65"/>
      <c r="D908" s="65"/>
      <c r="E908" s="426"/>
      <c r="F908" s="368"/>
      <c r="G908" s="386"/>
      <c r="H908" s="198"/>
      <c r="I908" s="369"/>
      <c r="J908" s="65"/>
    </row>
    <row r="909" spans="1:10" s="188" customFormat="1" ht="13.5" thickBot="1" x14ac:dyDescent="0.3">
      <c r="A909" s="185">
        <f>A386</f>
        <v>1</v>
      </c>
      <c r="B909" s="198"/>
      <c r="C909" s="65"/>
      <c r="D909" s="65"/>
      <c r="E909" s="426"/>
      <c r="F909" s="368"/>
      <c r="G909" s="386"/>
      <c r="H909" s="198"/>
      <c r="I909" s="369"/>
      <c r="J909" s="65"/>
    </row>
    <row r="910" spans="1:10" s="188" customFormat="1" ht="13.5" hidden="1" thickBot="1" x14ac:dyDescent="0.3">
      <c r="A910" s="687">
        <f>IF(SUM(A913:A982)&gt;0,1,0)</f>
        <v>0</v>
      </c>
      <c r="B910" s="185"/>
      <c r="C910" s="691"/>
      <c r="D910" s="692" t="str">
        <f>oR!G311</f>
        <v>MEIO-FIO E PASSEIOS</v>
      </c>
      <c r="E910" s="692"/>
      <c r="F910" s="692"/>
      <c r="G910" s="693"/>
      <c r="H910" s="694"/>
      <c r="I910" s="694"/>
      <c r="J910" s="695"/>
    </row>
    <row r="911" spans="1:10" ht="13.5" hidden="1" thickBot="1" x14ac:dyDescent="0.3">
      <c r="A911" s="329">
        <f>A910</f>
        <v>0</v>
      </c>
      <c r="B911" s="329"/>
      <c r="C911" s="193"/>
      <c r="D911" s="194" t="s">
        <v>2841</v>
      </c>
      <c r="E911" s="329"/>
      <c r="F911" s="328"/>
      <c r="G911" s="393"/>
      <c r="H911" s="365"/>
      <c r="I911" s="365"/>
      <c r="J911" s="365"/>
    </row>
    <row r="912" spans="1:10" ht="13.5" hidden="1" thickBot="1" x14ac:dyDescent="0.3">
      <c r="A912" s="329">
        <f>A911</f>
        <v>0</v>
      </c>
      <c r="B912" s="329"/>
      <c r="C912" s="193"/>
      <c r="D912" s="194"/>
      <c r="E912" s="329"/>
      <c r="F912" s="328"/>
      <c r="G912" s="393"/>
      <c r="H912" s="365"/>
      <c r="I912" s="365"/>
      <c r="J912" s="365"/>
    </row>
    <row r="913" spans="1:12" s="191" customFormat="1" ht="15.75" hidden="1" thickBot="1" x14ac:dyDescent="0.3">
      <c r="A913" s="686">
        <f>IF(E925=0,0,1)</f>
        <v>0</v>
      </c>
      <c r="B913" s="189"/>
      <c r="C913" s="190">
        <f>oR!G312</f>
        <v>2003947</v>
      </c>
      <c r="D913" s="324" t="str">
        <f>oR!H312</f>
        <v>Meio-fio de concreto - MFC 05 moldado no local com extrusora e concreto usinado - areia e brita comerciais</v>
      </c>
      <c r="F913" s="325"/>
      <c r="G913" s="392"/>
      <c r="H913" s="364"/>
      <c r="I913" s="364"/>
      <c r="J913" s="364"/>
    </row>
    <row r="914" spans="1:12" s="191" customFormat="1" ht="15.75" hidden="1" thickBot="1" x14ac:dyDescent="0.3">
      <c r="A914" s="686">
        <f>IF(E924=0,0,1)</f>
        <v>0</v>
      </c>
      <c r="B914" s="189"/>
      <c r="C914" s="190">
        <f>oR!G313</f>
        <v>2003949</v>
      </c>
      <c r="D914" s="324" t="str">
        <f>oR!H313</f>
        <v>Meio-fio de concreto - MFC 06 moldado no local com extrusora e concreto usinado - areia e brita comerciais</v>
      </c>
      <c r="F914" s="325"/>
      <c r="G914" s="392"/>
      <c r="H914" s="364"/>
      <c r="I914" s="364"/>
      <c r="J914" s="364"/>
    </row>
    <row r="915" spans="1:12" ht="13.5" hidden="1" thickBot="1" x14ac:dyDescent="0.3">
      <c r="A915" s="329">
        <f>A914</f>
        <v>0</v>
      </c>
      <c r="B915" s="329"/>
      <c r="C915" s="193"/>
      <c r="D915" s="194" t="s">
        <v>5161</v>
      </c>
      <c r="E915" s="329"/>
      <c r="F915" s="850"/>
      <c r="G915" s="393"/>
      <c r="H915" s="365"/>
      <c r="I915" s="365"/>
      <c r="J915" s="365"/>
    </row>
    <row r="916" spans="1:12" ht="13.5" hidden="1" thickBot="1" x14ac:dyDescent="0.3">
      <c r="A916" s="329">
        <f>A915</f>
        <v>0</v>
      </c>
      <c r="B916" s="329"/>
      <c r="C916" s="1784" t="s">
        <v>42</v>
      </c>
      <c r="D916" s="1784"/>
      <c r="E916" s="433" t="str">
        <f>E$12</f>
        <v>ESTR. DE LINHA TAQUARAL</v>
      </c>
      <c r="F916" s="434" t="s">
        <v>96</v>
      </c>
      <c r="G916" s="435"/>
      <c r="H916" s="65"/>
      <c r="I916" s="65"/>
      <c r="J916" s="65"/>
    </row>
    <row r="917" spans="1:12" ht="13.5" hidden="1" thickBot="1" x14ac:dyDescent="0.3">
      <c r="A917" s="329">
        <f t="shared" ref="A917:A926" si="116">A916</f>
        <v>0</v>
      </c>
      <c r="B917" s="329"/>
      <c r="C917" s="1776" t="s">
        <v>5162</v>
      </c>
      <c r="D917" s="853" t="s">
        <v>12</v>
      </c>
      <c r="E917" s="991"/>
      <c r="F917" s="439">
        <f>SUM(E917:E917)</f>
        <v>0</v>
      </c>
      <c r="G917" s="430" t="s">
        <v>2599</v>
      </c>
      <c r="I917" s="357">
        <f>MAX($I$13:I916)+1</f>
        <v>452</v>
      </c>
      <c r="J917" s="329" t="s">
        <v>2842</v>
      </c>
    </row>
    <row r="918" spans="1:12" ht="13.5" hidden="1" thickBot="1" x14ac:dyDescent="0.3">
      <c r="A918" s="329">
        <f t="shared" si="116"/>
        <v>0</v>
      </c>
      <c r="B918" s="329"/>
      <c r="C918" s="1776"/>
      <c r="D918" s="853" t="s">
        <v>2605</v>
      </c>
      <c r="E918" s="991">
        <v>1.5</v>
      </c>
      <c r="F918" s="439"/>
      <c r="G918" s="430" t="s">
        <v>2598</v>
      </c>
      <c r="I918" s="357">
        <f>MAX($I$13:I917)+1</f>
        <v>453</v>
      </c>
      <c r="J918" s="329" t="s">
        <v>2842</v>
      </c>
    </row>
    <row r="919" spans="1:12" ht="13.5" hidden="1" thickBot="1" x14ac:dyDescent="0.3">
      <c r="A919" s="329">
        <f t="shared" si="116"/>
        <v>0</v>
      </c>
      <c r="B919" s="329"/>
      <c r="C919" s="1776"/>
      <c r="D919" s="853" t="s">
        <v>96</v>
      </c>
      <c r="E919" s="439">
        <f>E918*E917</f>
        <v>0</v>
      </c>
      <c r="F919" s="439">
        <f>SUM(E919:E919)</f>
        <v>0</v>
      </c>
      <c r="G919" s="430" t="s">
        <v>2598</v>
      </c>
      <c r="I919" s="357">
        <f>MAX($I$13:I918)+1</f>
        <v>454</v>
      </c>
      <c r="J919" s="361" t="str">
        <f>CONCATENATE("(",I919,")"," = ","(",I917,")*(",I918,")")</f>
        <v>(454) = (452)*(453)</v>
      </c>
    </row>
    <row r="920" spans="1:12" ht="13.5" hidden="1" thickBot="1" x14ac:dyDescent="0.3">
      <c r="A920" s="329">
        <f t="shared" si="116"/>
        <v>0</v>
      </c>
      <c r="B920" s="329"/>
      <c r="C920" s="1776" t="s">
        <v>5163</v>
      </c>
      <c r="D920" s="853" t="s">
        <v>12</v>
      </c>
      <c r="E920" s="991"/>
      <c r="F920" s="439">
        <f>SUM(E920:E920)</f>
        <v>0</v>
      </c>
      <c r="G920" s="430" t="s">
        <v>2599</v>
      </c>
      <c r="I920" s="357">
        <f>MAX($I$13:I919)+1</f>
        <v>455</v>
      </c>
      <c r="J920" s="329" t="s">
        <v>2842</v>
      </c>
      <c r="K920" s="194">
        <v>17</v>
      </c>
      <c r="L920" s="194">
        <v>13</v>
      </c>
    </row>
    <row r="921" spans="1:12" ht="13.5" hidden="1" thickBot="1" x14ac:dyDescent="0.3">
      <c r="A921" s="329">
        <f t="shared" si="116"/>
        <v>0</v>
      </c>
      <c r="B921" s="329"/>
      <c r="C921" s="1776"/>
      <c r="D921" s="853" t="s">
        <v>2605</v>
      </c>
      <c r="E921" s="991">
        <v>3</v>
      </c>
      <c r="F921" s="439"/>
      <c r="G921" s="430" t="s">
        <v>2598</v>
      </c>
      <c r="I921" s="357">
        <f>MAX($I$13:I920)+1</f>
        <v>456</v>
      </c>
      <c r="J921" s="329" t="s">
        <v>2842</v>
      </c>
    </row>
    <row r="922" spans="1:12" ht="13.5" hidden="1" thickBot="1" x14ac:dyDescent="0.3">
      <c r="A922" s="329">
        <f t="shared" si="116"/>
        <v>0</v>
      </c>
      <c r="B922" s="329"/>
      <c r="C922" s="1776"/>
      <c r="D922" s="853" t="s">
        <v>96</v>
      </c>
      <c r="E922" s="439">
        <f>E921*E920</f>
        <v>0</v>
      </c>
      <c r="F922" s="439">
        <f>SUM(E922:E922)</f>
        <v>0</v>
      </c>
      <c r="G922" s="430" t="s">
        <v>2598</v>
      </c>
      <c r="I922" s="357">
        <f>MAX($I$13:I921)+1</f>
        <v>457</v>
      </c>
      <c r="J922" s="361" t="str">
        <f>CONCATENATE("(",I922,")"," = ","(",I920,")*(",I921,")")</f>
        <v>(457) = (455)*(456)</v>
      </c>
    </row>
    <row r="923" spans="1:12" ht="13.5" hidden="1" thickBot="1" x14ac:dyDescent="0.3">
      <c r="A923" s="329">
        <f t="shared" si="116"/>
        <v>0</v>
      </c>
      <c r="B923" s="329"/>
      <c r="C923" s="1776" t="s">
        <v>5164</v>
      </c>
      <c r="D923" s="853" t="s">
        <v>96</v>
      </c>
      <c r="E923" s="991"/>
      <c r="F923" s="439">
        <f>SUM(E923:E923)</f>
        <v>0</v>
      </c>
      <c r="G923" s="430" t="s">
        <v>2598</v>
      </c>
      <c r="I923" s="357">
        <f>MAX($I$13:I922)+1</f>
        <v>458</v>
      </c>
      <c r="J923" s="329" t="s">
        <v>2842</v>
      </c>
    </row>
    <row r="924" spans="1:12" s="188" customFormat="1" ht="13.5" hidden="1" thickBot="1" x14ac:dyDescent="0.3">
      <c r="A924" s="329">
        <f t="shared" si="116"/>
        <v>0</v>
      </c>
      <c r="B924" s="198">
        <f>oR!D313</f>
        <v>261</v>
      </c>
      <c r="C924" s="1776"/>
      <c r="D924" s="434" t="s">
        <v>5165</v>
      </c>
      <c r="E924" s="438">
        <f>E922+E919</f>
        <v>0</v>
      </c>
      <c r="F924" s="438">
        <f>SUM(E924:E924)</f>
        <v>0</v>
      </c>
      <c r="G924" s="435" t="s">
        <v>2598</v>
      </c>
      <c r="H924" s="198">
        <f>C914</f>
        <v>2003949</v>
      </c>
      <c r="I924" s="369">
        <f>MAX($I$13:I923)+1</f>
        <v>459</v>
      </c>
      <c r="J924" s="65" t="str">
        <f>CONCATENATE("(",I924,")"," = ","(",I922,")+(",I919,")")</f>
        <v>(459) = (457)+(454)</v>
      </c>
    </row>
    <row r="925" spans="1:12" s="188" customFormat="1" ht="13.5" hidden="1" thickBot="1" x14ac:dyDescent="0.3">
      <c r="A925" s="329">
        <f t="shared" si="116"/>
        <v>0</v>
      </c>
      <c r="B925" s="198">
        <f>B924+1</f>
        <v>262</v>
      </c>
      <c r="C925" s="1776"/>
      <c r="D925" s="434" t="s">
        <v>5166</v>
      </c>
      <c r="E925" s="438">
        <f>E923-E924</f>
        <v>0</v>
      </c>
      <c r="F925" s="438">
        <f>SUM(E925:E925)</f>
        <v>0</v>
      </c>
      <c r="G925" s="435" t="s">
        <v>2598</v>
      </c>
      <c r="H925" s="198">
        <f>C913</f>
        <v>2003947</v>
      </c>
      <c r="I925" s="369">
        <f>MAX($I$13:I924)+1</f>
        <v>460</v>
      </c>
      <c r="J925" s="65" t="str">
        <f>CONCATENATE("(",I925,")"," = ","(",I923,")-(",I924,")")</f>
        <v>(460) = (458)-(459)</v>
      </c>
    </row>
    <row r="926" spans="1:12" ht="13.5" hidden="1" thickBot="1" x14ac:dyDescent="0.3">
      <c r="A926" s="329">
        <f t="shared" si="116"/>
        <v>0</v>
      </c>
      <c r="B926" s="329"/>
      <c r="C926" s="329"/>
      <c r="D926" s="329"/>
      <c r="E926" s="329"/>
      <c r="F926" s="329"/>
    </row>
    <row r="927" spans="1:12" s="191" customFormat="1" ht="15.75" hidden="1" thickBot="1" x14ac:dyDescent="0.3">
      <c r="A927" s="686">
        <f>IF(E940=0,0,1)</f>
        <v>0</v>
      </c>
      <c r="B927" s="189"/>
      <c r="C927" s="190">
        <f>oR!G314</f>
        <v>4805754</v>
      </c>
      <c r="D927" s="324" t="str">
        <f>oR!H314</f>
        <v>Compactação manual com soquete vibratório</v>
      </c>
      <c r="F927" s="325"/>
      <c r="G927" s="392"/>
      <c r="H927" s="364"/>
      <c r="I927" s="364"/>
      <c r="J927" s="364"/>
    </row>
    <row r="928" spans="1:12" s="191" customFormat="1" ht="15.75" hidden="1" thickBot="1" x14ac:dyDescent="0.3">
      <c r="A928" s="686">
        <f>A927</f>
        <v>0</v>
      </c>
      <c r="B928" s="189"/>
      <c r="C928" s="190">
        <f>oR!G315</f>
        <v>4016096</v>
      </c>
      <c r="D928" s="324" t="str">
        <f>oR!H315</f>
        <v>Escavação e carga de material de jazida com escavadeira hidráulica de 1,56 m³</v>
      </c>
      <c r="F928" s="325"/>
      <c r="G928" s="392"/>
      <c r="H928" s="364"/>
      <c r="I928" s="364"/>
      <c r="J928" s="364"/>
    </row>
    <row r="929" spans="1:19" s="191" customFormat="1" ht="15.75" hidden="1" thickBot="1" x14ac:dyDescent="0.3">
      <c r="A929" s="686">
        <f>A928</f>
        <v>0</v>
      </c>
      <c r="B929" s="189"/>
      <c r="C929" s="190">
        <f>oR!G316</f>
        <v>5914374</v>
      </c>
      <c r="D929" s="324" t="str">
        <f>oR!H316</f>
        <v>Transporte com caminhão basculante de 10 m³ - rodovia em revestimento primário</v>
      </c>
      <c r="F929" s="325"/>
      <c r="G929" s="392"/>
      <c r="H929" s="364"/>
      <c r="I929" s="364"/>
      <c r="J929" s="364"/>
    </row>
    <row r="930" spans="1:19" ht="13.5" hidden="1" thickBot="1" x14ac:dyDescent="0.3">
      <c r="A930" s="329">
        <f>A927</f>
        <v>0</v>
      </c>
      <c r="B930" s="329"/>
      <c r="C930" s="193"/>
      <c r="D930" s="194" t="s">
        <v>5167</v>
      </c>
      <c r="E930" s="329"/>
      <c r="F930" s="850"/>
      <c r="G930" s="393"/>
      <c r="H930" s="365"/>
      <c r="I930" s="365"/>
      <c r="J930" s="365"/>
    </row>
    <row r="931" spans="1:19" ht="13.5" hidden="1" thickBot="1" x14ac:dyDescent="0.3">
      <c r="A931" s="329">
        <f t="shared" ref="A931:A947" si="117">A928</f>
        <v>0</v>
      </c>
      <c r="B931" s="329"/>
      <c r="C931" s="193"/>
      <c r="D931" s="194" t="s">
        <v>2846</v>
      </c>
      <c r="E931" s="329"/>
      <c r="F931" s="850"/>
      <c r="G931" s="393"/>
      <c r="H931" s="365"/>
      <c r="I931" s="365"/>
      <c r="J931" s="365"/>
    </row>
    <row r="932" spans="1:19" ht="13.5" hidden="1" thickBot="1" x14ac:dyDescent="0.3">
      <c r="A932" s="329">
        <f t="shared" si="117"/>
        <v>0</v>
      </c>
      <c r="B932" s="329"/>
      <c r="C932" s="193"/>
      <c r="D932" s="194" t="s">
        <v>2847</v>
      </c>
      <c r="E932" s="329"/>
      <c r="F932" s="850"/>
      <c r="G932" s="393"/>
      <c r="H932" s="365"/>
      <c r="I932" s="365"/>
      <c r="J932" s="365"/>
    </row>
    <row r="933" spans="1:19" ht="13.5" hidden="1" thickBot="1" x14ac:dyDescent="0.3">
      <c r="A933" s="329">
        <f t="shared" si="117"/>
        <v>0</v>
      </c>
      <c r="B933" s="329"/>
      <c r="C933" s="1784" t="s">
        <v>42</v>
      </c>
      <c r="D933" s="1784"/>
      <c r="E933" s="433" t="str">
        <f>E$12</f>
        <v>ESTR. DE LINHA TAQUARAL</v>
      </c>
      <c r="F933" s="434" t="s">
        <v>96</v>
      </c>
      <c r="G933" s="435"/>
      <c r="H933" s="65"/>
      <c r="I933" s="65"/>
      <c r="J933" s="65"/>
    </row>
    <row r="934" spans="1:19" ht="13.5" hidden="1" thickBot="1" x14ac:dyDescent="0.3">
      <c r="A934" s="329">
        <f t="shared" si="117"/>
        <v>0</v>
      </c>
      <c r="B934" s="329"/>
      <c r="C934" s="1776" t="s">
        <v>5168</v>
      </c>
      <c r="D934" s="853" t="s">
        <v>53</v>
      </c>
      <c r="E934" s="439">
        <f>E924</f>
        <v>0</v>
      </c>
      <c r="F934" s="439">
        <f>SUM(E934:E934)</f>
        <v>0</v>
      </c>
      <c r="G934" s="430" t="s">
        <v>2598</v>
      </c>
      <c r="I934" s="357">
        <f>MAX($I$13:I933)+1</f>
        <v>461</v>
      </c>
      <c r="J934" s="361" t="str">
        <f>CONCATENATE("(",I934,")"," = ","(",I924,")")</f>
        <v>(461) = (459)</v>
      </c>
      <c r="L934" s="329" t="s">
        <v>149</v>
      </c>
      <c r="M934" s="329" t="s">
        <v>2695</v>
      </c>
    </row>
    <row r="935" spans="1:19" ht="13.5" hidden="1" thickBot="1" x14ac:dyDescent="0.3">
      <c r="A935" s="329">
        <f t="shared" si="117"/>
        <v>0</v>
      </c>
      <c r="B935" s="329"/>
      <c r="C935" s="1776"/>
      <c r="D935" s="853" t="s">
        <v>2605</v>
      </c>
      <c r="E935" s="991">
        <f>L935*M935/2</f>
        <v>0.06</v>
      </c>
      <c r="F935" s="439"/>
      <c r="G935" s="430" t="s">
        <v>5169</v>
      </c>
      <c r="I935" s="357">
        <f>MAX($I$13:I934)+1</f>
        <v>462</v>
      </c>
      <c r="J935" s="329" t="s">
        <v>2842</v>
      </c>
      <c r="L935" s="991">
        <f>(E426+E445+E492)+0.05-0.12-0.1</f>
        <v>0.3</v>
      </c>
      <c r="M935" s="991">
        <f>(E426)*2</f>
        <v>0.4</v>
      </c>
    </row>
    <row r="936" spans="1:19" ht="13.5" hidden="1" thickBot="1" x14ac:dyDescent="0.3">
      <c r="A936" s="329">
        <f t="shared" si="117"/>
        <v>0</v>
      </c>
      <c r="B936" s="329"/>
      <c r="C936" s="1776"/>
      <c r="D936" s="853" t="s">
        <v>96</v>
      </c>
      <c r="E936" s="439">
        <f>E935*E934</f>
        <v>0</v>
      </c>
      <c r="F936" s="439">
        <f>SUM(E936:E936)</f>
        <v>0</v>
      </c>
      <c r="G936" s="430" t="s">
        <v>2596</v>
      </c>
      <c r="I936" s="357">
        <f>MAX($I$13:I935)+1</f>
        <v>463</v>
      </c>
      <c r="J936" s="361" t="str">
        <f>CONCATENATE("(",I936,")"," = ","(",I934,")*(",I935,")")</f>
        <v>(463) = (461)*(462)</v>
      </c>
    </row>
    <row r="937" spans="1:19" ht="13.5" hidden="1" thickBot="1" x14ac:dyDescent="0.3">
      <c r="A937" s="329">
        <f t="shared" si="117"/>
        <v>0</v>
      </c>
      <c r="B937" s="329"/>
      <c r="C937" s="1776" t="s">
        <v>5170</v>
      </c>
      <c r="D937" s="853" t="s">
        <v>53</v>
      </c>
      <c r="E937" s="439">
        <f>E925</f>
        <v>0</v>
      </c>
      <c r="F937" s="439">
        <f>SUM(E937:E937)</f>
        <v>0</v>
      </c>
      <c r="G937" s="430" t="s">
        <v>2598</v>
      </c>
      <c r="I937" s="357">
        <f>MAX($I$13:I936)+1</f>
        <v>464</v>
      </c>
      <c r="J937" s="361" t="str">
        <f>CONCATENATE("(",I937,")"," = ","(",I925,")")</f>
        <v>(464) = (460)</v>
      </c>
      <c r="L937" s="329" t="s">
        <v>149</v>
      </c>
      <c r="M937" s="329" t="s">
        <v>2695</v>
      </c>
    </row>
    <row r="938" spans="1:19" ht="13.5" hidden="1" thickBot="1" x14ac:dyDescent="0.3">
      <c r="A938" s="329">
        <f t="shared" si="117"/>
        <v>0</v>
      </c>
      <c r="B938" s="329"/>
      <c r="C938" s="1776"/>
      <c r="D938" s="853" t="s">
        <v>2605</v>
      </c>
      <c r="E938" s="991">
        <f>L938*M938/2</f>
        <v>0.2</v>
      </c>
      <c r="F938" s="439"/>
      <c r="G938" s="430" t="s">
        <v>5169</v>
      </c>
      <c r="I938" s="357">
        <f>MAX($I$13:I937)+1</f>
        <v>465</v>
      </c>
      <c r="J938" s="329" t="s">
        <v>2842</v>
      </c>
      <c r="L938" s="991">
        <f>(E426+E445+E492)+0.04</f>
        <v>0.51</v>
      </c>
      <c r="M938" s="991">
        <f>(E426+E445+E492)*2-0.15</f>
        <v>0.79</v>
      </c>
    </row>
    <row r="939" spans="1:19" ht="13.5" hidden="1" thickBot="1" x14ac:dyDescent="0.3">
      <c r="A939" s="329">
        <f t="shared" si="117"/>
        <v>0</v>
      </c>
      <c r="B939" s="329"/>
      <c r="C939" s="1776"/>
      <c r="D939" s="853" t="s">
        <v>96</v>
      </c>
      <c r="E939" s="439">
        <f>E938*E937</f>
        <v>0</v>
      </c>
      <c r="F939" s="439">
        <f>SUM(E939:E939)</f>
        <v>0</v>
      </c>
      <c r="G939" s="430" t="s">
        <v>2596</v>
      </c>
      <c r="I939" s="357">
        <f>MAX($I$13:I938)+1</f>
        <v>466</v>
      </c>
      <c r="J939" s="361" t="str">
        <f>CONCATENATE("(",I939,")"," = ","(",I937,")*(",I938,")")</f>
        <v>(466) = (464)*(465)</v>
      </c>
    </row>
    <row r="940" spans="1:19" s="188" customFormat="1" ht="13.5" hidden="1" thickBot="1" x14ac:dyDescent="0.3">
      <c r="A940" s="329">
        <f t="shared" si="117"/>
        <v>0</v>
      </c>
      <c r="B940" s="198">
        <f>B925+1</f>
        <v>263</v>
      </c>
      <c r="C940" s="1775" t="s">
        <v>5171</v>
      </c>
      <c r="D940" s="1775"/>
      <c r="E940" s="437">
        <f>E939+E936</f>
        <v>0</v>
      </c>
      <c r="F940" s="438">
        <f>SUM(E940:E940)</f>
        <v>0</v>
      </c>
      <c r="G940" s="435" t="s">
        <v>2596</v>
      </c>
      <c r="H940" s="366">
        <f>C927</f>
        <v>4805754</v>
      </c>
      <c r="I940" s="369">
        <f>MAX($I$13:I939)+1</f>
        <v>467</v>
      </c>
      <c r="J940" s="65" t="str">
        <f>CONCATENATE("(",I940,")"," = ","(",I936,")+(",I939,")")</f>
        <v>(467) = (463)+(466)</v>
      </c>
      <c r="K940" s="201"/>
      <c r="L940" s="201"/>
      <c r="Q940" s="200"/>
      <c r="R940" s="201"/>
      <c r="S940" s="201"/>
    </row>
    <row r="941" spans="1:19" ht="13.5" hidden="1" thickBot="1" x14ac:dyDescent="0.3">
      <c r="A941" s="329">
        <f t="shared" si="117"/>
        <v>0</v>
      </c>
      <c r="B941" s="329"/>
      <c r="C941" s="1776" t="s">
        <v>2813</v>
      </c>
      <c r="D941" s="1788" t="s">
        <v>2797</v>
      </c>
      <c r="E941" s="527">
        <f>IF(E944="pista",0,20)</f>
        <v>0</v>
      </c>
      <c r="F941" s="439"/>
      <c r="G941" s="430" t="s">
        <v>15</v>
      </c>
      <c r="H941" s="361"/>
      <c r="I941" s="357">
        <f>MAX($I$13:I940)+1</f>
        <v>468</v>
      </c>
      <c r="J941" s="361" t="str">
        <f>J937</f>
        <v>(464) = (460)</v>
      </c>
    </row>
    <row r="942" spans="1:19" ht="13.5" hidden="1" thickBot="1" x14ac:dyDescent="0.3">
      <c r="A942" s="329">
        <f t="shared" si="117"/>
        <v>0</v>
      </c>
      <c r="B942" s="329"/>
      <c r="C942" s="1776"/>
      <c r="D942" s="1788"/>
      <c r="E942" s="530">
        <f>E941*E940/100</f>
        <v>0</v>
      </c>
      <c r="F942" s="439">
        <f>SUM(E942:E942)</f>
        <v>0</v>
      </c>
      <c r="G942" s="430" t="s">
        <v>2596</v>
      </c>
      <c r="H942" s="361"/>
      <c r="I942" s="357">
        <f>MAX($I$13:I941)+1</f>
        <v>469</v>
      </c>
      <c r="J942" s="361" t="str">
        <f>CONCATENATE("(",I942,")"," = ","(",I940,")*(",I941,")")</f>
        <v>(469) = (467)*(468)</v>
      </c>
    </row>
    <row r="943" spans="1:19" s="188" customFormat="1" ht="13.5" hidden="1" thickBot="1" x14ac:dyDescent="0.3">
      <c r="A943" s="329">
        <f t="shared" si="117"/>
        <v>0</v>
      </c>
      <c r="B943" s="198">
        <f>B940+1</f>
        <v>264</v>
      </c>
      <c r="C943" s="1776"/>
      <c r="D943" s="434" t="s">
        <v>96</v>
      </c>
      <c r="E943" s="438">
        <f>E942+E940</f>
        <v>0</v>
      </c>
      <c r="F943" s="438">
        <f>SUM(E943:E943)</f>
        <v>0</v>
      </c>
      <c r="G943" s="435" t="s">
        <v>2596</v>
      </c>
      <c r="H943" s="198">
        <f>C928</f>
        <v>4016096</v>
      </c>
      <c r="I943" s="369">
        <f>MAX($I$13:I942)+1</f>
        <v>470</v>
      </c>
      <c r="J943" s="65" t="str">
        <f>CONCATENATE("(",I943,")"," = ","(",I941,")*(",I942,")")</f>
        <v>(470) = (468)*(469)</v>
      </c>
    </row>
    <row r="944" spans="1:19" ht="13.5" hidden="1" thickBot="1" x14ac:dyDescent="0.3">
      <c r="A944" s="329">
        <f t="shared" si="117"/>
        <v>0</v>
      </c>
      <c r="C944" s="1776" t="s">
        <v>2848</v>
      </c>
      <c r="D944" s="853" t="s">
        <v>2810</v>
      </c>
      <c r="E944" s="991" t="s">
        <v>2778</v>
      </c>
      <c r="F944" s="439"/>
      <c r="G944" s="430"/>
      <c r="H944" s="361"/>
      <c r="I944" s="357">
        <f>MAX($I$13:I943)+1</f>
        <v>471</v>
      </c>
      <c r="J944" s="361" t="s">
        <v>2843</v>
      </c>
    </row>
    <row r="945" spans="1:10" ht="13.5" hidden="1" thickBot="1" x14ac:dyDescent="0.3">
      <c r="A945" s="329">
        <f t="shared" si="117"/>
        <v>0</v>
      </c>
      <c r="B945" s="396">
        <f>B943+0.1</f>
        <v>264.10000000000002</v>
      </c>
      <c r="C945" s="1776"/>
      <c r="D945" s="853" t="s">
        <v>2811</v>
      </c>
      <c r="E945" s="991">
        <f>IF(E944="pista",$E$353,DMT!$I$10)</f>
        <v>0.04</v>
      </c>
      <c r="F945" s="853"/>
      <c r="G945" s="430" t="s">
        <v>2799</v>
      </c>
      <c r="H945" s="361"/>
      <c r="I945" s="357">
        <f>MAX($I$13:I944)+1</f>
        <v>472</v>
      </c>
      <c r="J945" s="361" t="s">
        <v>2843</v>
      </c>
    </row>
    <row r="946" spans="1:10" ht="13.5" hidden="1" thickBot="1" x14ac:dyDescent="0.3">
      <c r="A946" s="329">
        <f t="shared" si="117"/>
        <v>0</v>
      </c>
      <c r="B946" s="198">
        <f>B943+1</f>
        <v>265</v>
      </c>
      <c r="C946" s="1776"/>
      <c r="D946" s="434" t="s">
        <v>2812</v>
      </c>
      <c r="E946" s="438">
        <f>E943*E945</f>
        <v>0</v>
      </c>
      <c r="F946" s="438">
        <f>SUM(E946:E946)</f>
        <v>0</v>
      </c>
      <c r="G946" s="435" t="s">
        <v>2783</v>
      </c>
      <c r="H946" s="366">
        <f>C929</f>
        <v>5914374</v>
      </c>
      <c r="I946" s="369">
        <f>MAX($I$13:I945)+1</f>
        <v>473</v>
      </c>
      <c r="J946" s="65" t="str">
        <f>CONCATENATE("(",I946,")"," = ","(",I943,")*(",I945,")")</f>
        <v>(473) = (470)*(472)</v>
      </c>
    </row>
    <row r="947" spans="1:10" ht="13.5" hidden="1" thickBot="1" x14ac:dyDescent="0.3">
      <c r="A947" s="329">
        <f t="shared" si="117"/>
        <v>0</v>
      </c>
      <c r="B947" s="329"/>
      <c r="C947" s="329"/>
      <c r="D947" s="329"/>
      <c r="E947" s="329"/>
      <c r="F947" s="329"/>
    </row>
    <row r="948" spans="1:10" s="191" customFormat="1" ht="15.75" hidden="1" thickBot="1" x14ac:dyDescent="0.3">
      <c r="A948" s="686">
        <f>IF(E957=0,0,1)</f>
        <v>0</v>
      </c>
      <c r="B948" s="189"/>
      <c r="C948" s="190" t="str">
        <f>oR!G317</f>
        <v>COMP 28</v>
      </c>
      <c r="D948" s="324" t="str">
        <f>oR!H317</f>
        <v>Passeio em concreto FCK 20MPa (e= 4cm) sobre lastro de brita (e= 4cm), inclusive formas</v>
      </c>
      <c r="F948" s="325"/>
      <c r="G948" s="392"/>
      <c r="H948" s="364"/>
      <c r="I948" s="364"/>
      <c r="J948" s="364"/>
    </row>
    <row r="949" spans="1:10" s="191" customFormat="1" ht="15.75" hidden="1" thickBot="1" x14ac:dyDescent="0.3">
      <c r="A949" s="686">
        <f>IF(E967=0,0,1)</f>
        <v>0</v>
      </c>
      <c r="B949" s="189"/>
      <c r="C949" s="190" t="str">
        <f>oR!G318</f>
        <v>COMP 17</v>
      </c>
      <c r="D949" s="324" t="str">
        <f>oR!H318</f>
        <v>Passeio em lajotas de concreto tatil pigmentada (40x40x3cm) sobre  sobre lastro de brita (e= 4cm) e assentamento com argamassa de cimento e areia (e=1,0cm)</v>
      </c>
      <c r="F949" s="325"/>
      <c r="G949" s="392"/>
      <c r="H949" s="364"/>
      <c r="I949" s="364"/>
      <c r="J949" s="364"/>
    </row>
    <row r="950" spans="1:10" ht="13.5" hidden="1" thickBot="1" x14ac:dyDescent="0.3">
      <c r="A950" s="329">
        <f>A948</f>
        <v>0</v>
      </c>
      <c r="B950" s="329"/>
      <c r="C950" s="193"/>
      <c r="D950" s="194" t="s">
        <v>5174</v>
      </c>
      <c r="E950" s="329"/>
      <c r="F950" s="850"/>
      <c r="G950" s="393"/>
      <c r="H950" s="365"/>
      <c r="I950" s="365"/>
      <c r="J950" s="365"/>
    </row>
    <row r="951" spans="1:10" ht="24" hidden="1" customHeight="1" x14ac:dyDescent="0.3">
      <c r="A951" s="329">
        <f t="shared" ref="A951:A968" si="118">A949</f>
        <v>0</v>
      </c>
      <c r="B951" s="329"/>
      <c r="C951" s="193"/>
      <c r="D951" s="1782" t="s">
        <v>5175</v>
      </c>
      <c r="E951" s="1783"/>
      <c r="F951" s="1783"/>
      <c r="G951" s="1783"/>
      <c r="H951" s="1783"/>
      <c r="I951" s="1783"/>
      <c r="J951" s="1783"/>
    </row>
    <row r="952" spans="1:10" ht="13.5" hidden="1" thickBot="1" x14ac:dyDescent="0.3">
      <c r="A952" s="329">
        <f t="shared" si="118"/>
        <v>0</v>
      </c>
      <c r="B952" s="329"/>
      <c r="C952" s="1784" t="s">
        <v>42</v>
      </c>
      <c r="D952" s="1784"/>
      <c r="E952" s="433" t="str">
        <f>E$12</f>
        <v>ESTR. DE LINHA TAQUARAL</v>
      </c>
      <c r="F952" s="434" t="s">
        <v>96</v>
      </c>
      <c r="G952" s="435"/>
      <c r="H952" s="65"/>
      <c r="I952" s="65"/>
      <c r="J952" s="65"/>
    </row>
    <row r="953" spans="1:10" ht="13.5" hidden="1" thickBot="1" x14ac:dyDescent="0.3">
      <c r="A953" s="329">
        <f t="shared" si="118"/>
        <v>0</v>
      </c>
      <c r="B953" s="329"/>
      <c r="C953" s="1776" t="s">
        <v>5176</v>
      </c>
      <c r="D953" s="853" t="s">
        <v>12</v>
      </c>
      <c r="E953" s="439">
        <f>E920</f>
        <v>0</v>
      </c>
      <c r="F953" s="439">
        <f>SUM(E953:E953)</f>
        <v>0</v>
      </c>
      <c r="G953" s="430" t="s">
        <v>2599</v>
      </c>
      <c r="I953" s="357">
        <f>MAX($I$13:I952)+1</f>
        <v>474</v>
      </c>
      <c r="J953" s="361" t="str">
        <f>CONCATENATE("(",I953,")"," = ","(",I920,")")</f>
        <v>(474) = (455)</v>
      </c>
    </row>
    <row r="954" spans="1:10" ht="29.25" hidden="1" customHeight="1" x14ac:dyDescent="0.3">
      <c r="A954" s="329">
        <f t="shared" si="118"/>
        <v>0</v>
      </c>
      <c r="B954" s="329"/>
      <c r="C954" s="1776"/>
      <c r="D954" s="853" t="s">
        <v>96</v>
      </c>
      <c r="E954" s="991">
        <v>0</v>
      </c>
      <c r="F954" s="439">
        <f>SUM(E954:E954)</f>
        <v>0</v>
      </c>
      <c r="G954" s="430" t="s">
        <v>2595</v>
      </c>
      <c r="I954" s="357">
        <f>MAX($I$13:I953)+1</f>
        <v>475</v>
      </c>
      <c r="J954" s="361" t="s">
        <v>2842</v>
      </c>
    </row>
    <row r="955" spans="1:10" ht="13.5" hidden="1" thickBot="1" x14ac:dyDescent="0.3">
      <c r="A955" s="329">
        <f t="shared" si="118"/>
        <v>0</v>
      </c>
      <c r="B955" s="329"/>
      <c r="C955" s="1776" t="s">
        <v>5177</v>
      </c>
      <c r="D955" s="853" t="s">
        <v>5178</v>
      </c>
      <c r="E955" s="991"/>
      <c r="F955" s="439">
        <f>SUM(E955:E955)</f>
        <v>0</v>
      </c>
      <c r="G955" s="430" t="s">
        <v>2595</v>
      </c>
      <c r="I955" s="357">
        <f>MAX($I$13:I954)+1</f>
        <v>476</v>
      </c>
      <c r="J955" s="329" t="s">
        <v>2842</v>
      </c>
    </row>
    <row r="956" spans="1:10" ht="13.5" hidden="1" thickBot="1" x14ac:dyDescent="0.3">
      <c r="A956" s="329">
        <f t="shared" si="118"/>
        <v>0</v>
      </c>
      <c r="B956" s="329"/>
      <c r="C956" s="1776"/>
      <c r="D956" s="853" t="s">
        <v>2585</v>
      </c>
      <c r="E956" s="991">
        <v>1.5</v>
      </c>
      <c r="F956" s="439"/>
      <c r="G956" s="430" t="s">
        <v>2598</v>
      </c>
      <c r="I956" s="357">
        <f>MAX($I$13:I955)+1</f>
        <v>477</v>
      </c>
      <c r="J956" s="329" t="s">
        <v>2842</v>
      </c>
    </row>
    <row r="957" spans="1:10" s="188" customFormat="1" ht="13.5" hidden="1" thickBot="1" x14ac:dyDescent="0.3">
      <c r="A957" s="329">
        <f t="shared" si="118"/>
        <v>0</v>
      </c>
      <c r="B957" s="198">
        <f>oR!D317</f>
        <v>266</v>
      </c>
      <c r="C957" s="1776"/>
      <c r="D957" s="434" t="s">
        <v>5177</v>
      </c>
      <c r="E957" s="992">
        <f>E955-E967+E954-E977</f>
        <v>0</v>
      </c>
      <c r="F957" s="438">
        <f>SUM(E957:E957)</f>
        <v>0</v>
      </c>
      <c r="G957" s="435" t="s">
        <v>2595</v>
      </c>
      <c r="H957" s="198" t="str">
        <f>C948</f>
        <v>COMP 28</v>
      </c>
      <c r="I957" s="369">
        <f>MAX($I$13:I956)+1</f>
        <v>478</v>
      </c>
      <c r="J957" s="65" t="str">
        <f>CONCATENATE("(",I957,")"," = ","(",I955,")-(",I967,")+(",I954,")-(",E977,")")</f>
        <v>(478) = (476)-(488)+(475)-(0)</v>
      </c>
    </row>
    <row r="958" spans="1:10" ht="13.5" hidden="1" thickBot="1" x14ac:dyDescent="0.3">
      <c r="A958" s="329">
        <f>A955</f>
        <v>0</v>
      </c>
      <c r="B958" s="329"/>
      <c r="C958" s="1776" t="s">
        <v>5179</v>
      </c>
      <c r="D958" s="853" t="s">
        <v>12</v>
      </c>
      <c r="E958" s="439">
        <f>E917</f>
        <v>0</v>
      </c>
      <c r="F958" s="439">
        <f>SUM(E958:E958)</f>
        <v>0</v>
      </c>
      <c r="G958" s="430" t="s">
        <v>2599</v>
      </c>
      <c r="I958" s="357">
        <f>MAX($I$13:I957)+1</f>
        <v>479</v>
      </c>
      <c r="J958" s="361" t="str">
        <f>CONCATENATE("(",I958,")"," = ","(",I917,")")</f>
        <v>(479) = (452)</v>
      </c>
    </row>
    <row r="959" spans="1:10" ht="13.5" hidden="1" thickBot="1" x14ac:dyDescent="0.3">
      <c r="A959" s="329">
        <f t="shared" si="118"/>
        <v>0</v>
      </c>
      <c r="B959" s="329"/>
      <c r="C959" s="1776"/>
      <c r="D959" s="853" t="s">
        <v>5180</v>
      </c>
      <c r="E959" s="991">
        <f>0.45*E956*2+0.45*E918</f>
        <v>2.0299999999999998</v>
      </c>
      <c r="F959" s="439"/>
      <c r="G959" s="430" t="s">
        <v>2598</v>
      </c>
      <c r="I959" s="357">
        <f>MAX($I$13:I958)+1</f>
        <v>480</v>
      </c>
      <c r="J959" s="329" t="s">
        <v>2842</v>
      </c>
    </row>
    <row r="960" spans="1:10" ht="13.5" hidden="1" thickBot="1" x14ac:dyDescent="0.3">
      <c r="A960" s="329">
        <f t="shared" si="118"/>
        <v>0</v>
      </c>
      <c r="B960" s="329"/>
      <c r="C960" s="1776"/>
      <c r="D960" s="853" t="s">
        <v>96</v>
      </c>
      <c r="E960" s="439">
        <f>E959*E958</f>
        <v>0</v>
      </c>
      <c r="F960" s="439">
        <f>SUM(E960:E960)</f>
        <v>0</v>
      </c>
      <c r="G960" s="430" t="s">
        <v>2595</v>
      </c>
      <c r="I960" s="357">
        <f>MAX($I$13:I959)+1</f>
        <v>481</v>
      </c>
      <c r="J960" s="361" t="str">
        <f>CONCATENATE("(",I960,")"," = ","(",I958,")*(",I959,")")</f>
        <v>(481) = (479)*(480)</v>
      </c>
    </row>
    <row r="961" spans="1:10" ht="13.5" hidden="1" thickBot="1" x14ac:dyDescent="0.3">
      <c r="A961" s="329">
        <f t="shared" si="118"/>
        <v>0</v>
      </c>
      <c r="B961" s="329"/>
      <c r="C961" s="1776" t="s">
        <v>5181</v>
      </c>
      <c r="D961" s="853" t="s">
        <v>12</v>
      </c>
      <c r="E961" s="991"/>
      <c r="F961" s="439">
        <f>SUM(E961:E961)</f>
        <v>0</v>
      </c>
      <c r="G961" s="430" t="s">
        <v>2599</v>
      </c>
      <c r="I961" s="357">
        <f>MAX($I$13:I960)+1</f>
        <v>482</v>
      </c>
      <c r="J961" s="329" t="s">
        <v>2842</v>
      </c>
    </row>
    <row r="962" spans="1:10" ht="13.5" hidden="1" thickBot="1" x14ac:dyDescent="0.3">
      <c r="A962" s="329">
        <f t="shared" si="118"/>
        <v>0</v>
      </c>
      <c r="B962" s="329"/>
      <c r="C962" s="1776"/>
      <c r="D962" s="853" t="s">
        <v>5180</v>
      </c>
      <c r="E962" s="991">
        <f>1.2*1.2</f>
        <v>1.44</v>
      </c>
      <c r="F962" s="439"/>
      <c r="G962" s="430" t="s">
        <v>2598</v>
      </c>
      <c r="I962" s="357">
        <f>MAX($I$13:I961)+1</f>
        <v>483</v>
      </c>
      <c r="J962" s="329" t="s">
        <v>2842</v>
      </c>
    </row>
    <row r="963" spans="1:10" ht="13.5" hidden="1" thickBot="1" x14ac:dyDescent="0.3">
      <c r="A963" s="329">
        <f t="shared" si="118"/>
        <v>0</v>
      </c>
      <c r="B963" s="329"/>
      <c r="C963" s="1776"/>
      <c r="D963" s="853" t="s">
        <v>96</v>
      </c>
      <c r="E963" s="439">
        <f>E962*E961</f>
        <v>0</v>
      </c>
      <c r="F963" s="439">
        <f>SUM(E963:E963)</f>
        <v>0</v>
      </c>
      <c r="G963" s="430" t="s">
        <v>2595</v>
      </c>
      <c r="I963" s="357">
        <f>MAX($I$13:I962)+1</f>
        <v>484</v>
      </c>
      <c r="J963" s="361" t="str">
        <f>CONCATENATE("(",I963,")"," = ","(",I961,")*(",I962,")")</f>
        <v>(484) = (482)*(483)</v>
      </c>
    </row>
    <row r="964" spans="1:10" ht="13.5" hidden="1" thickBot="1" x14ac:dyDescent="0.3">
      <c r="A964" s="329">
        <f t="shared" si="118"/>
        <v>0</v>
      </c>
      <c r="B964" s="329"/>
      <c r="C964" s="1776" t="s">
        <v>5182</v>
      </c>
      <c r="D964" s="1776"/>
      <c r="E964" s="439">
        <f>E963+E960</f>
        <v>0</v>
      </c>
      <c r="F964" s="439">
        <f>SUM(E964:E964)</f>
        <v>0</v>
      </c>
      <c r="G964" s="430" t="s">
        <v>2595</v>
      </c>
      <c r="I964" s="357">
        <f>MAX($I$13:I963)+1</f>
        <v>485</v>
      </c>
      <c r="J964" s="361" t="str">
        <f>CONCATENATE("(",I964,")"," = ","(",I960,")+(",I963,")")</f>
        <v>(485) = (481)+(484)</v>
      </c>
    </row>
    <row r="965" spans="1:10" ht="13.5" hidden="1" thickBot="1" x14ac:dyDescent="0.3">
      <c r="A965" s="329">
        <f t="shared" si="118"/>
        <v>0</v>
      </c>
      <c r="B965" s="329"/>
      <c r="C965" s="1776" t="s">
        <v>5183</v>
      </c>
      <c r="D965" s="853" t="s">
        <v>2856</v>
      </c>
      <c r="E965" s="991">
        <v>0.4</v>
      </c>
      <c r="F965" s="439"/>
      <c r="G965" s="430" t="s">
        <v>2598</v>
      </c>
      <c r="H965" s="194"/>
      <c r="I965" s="357">
        <f>MAX($I$13:I964)+1</f>
        <v>486</v>
      </c>
      <c r="J965" s="329" t="s">
        <v>2842</v>
      </c>
    </row>
    <row r="966" spans="1:10" ht="13.5" hidden="1" thickBot="1" x14ac:dyDescent="0.3">
      <c r="A966" s="329">
        <f t="shared" si="118"/>
        <v>0</v>
      </c>
      <c r="B966" s="329"/>
      <c r="C966" s="1776"/>
      <c r="D966" s="853" t="s">
        <v>5184</v>
      </c>
      <c r="E966" s="991">
        <f>E955*E965/E956</f>
        <v>0</v>
      </c>
      <c r="F966" s="439">
        <f>SUM(E966:E966)</f>
        <v>0</v>
      </c>
      <c r="G966" s="430" t="s">
        <v>2595</v>
      </c>
      <c r="I966" s="357">
        <f>MAX($I$13:I965)+1</f>
        <v>487</v>
      </c>
      <c r="J966" s="361" t="s">
        <v>2842</v>
      </c>
    </row>
    <row r="967" spans="1:10" s="188" customFormat="1" ht="13.5" hidden="1" thickBot="1" x14ac:dyDescent="0.3">
      <c r="A967" s="329">
        <f t="shared" si="118"/>
        <v>0</v>
      </c>
      <c r="B967" s="198">
        <f>B957+1</f>
        <v>267</v>
      </c>
      <c r="C967" s="1784" t="s">
        <v>5185</v>
      </c>
      <c r="D967" s="1784"/>
      <c r="E967" s="438">
        <f>E966+E964</f>
        <v>0</v>
      </c>
      <c r="F967" s="438">
        <f>SUM(E967:E967)</f>
        <v>0</v>
      </c>
      <c r="G967" s="435" t="s">
        <v>2595</v>
      </c>
      <c r="H967" s="198" t="str">
        <f>C949</f>
        <v>COMP 17</v>
      </c>
      <c r="I967" s="369">
        <f>MAX($I$13:I966)+1</f>
        <v>488</v>
      </c>
      <c r="J967" s="65" t="str">
        <f>CONCATENATE("(",I967,")"," = ","(",I964,")+(",I966,")")</f>
        <v>(488) = (485)+(487)</v>
      </c>
    </row>
    <row r="968" spans="1:10" s="188" customFormat="1" ht="13.5" hidden="1" thickBot="1" x14ac:dyDescent="0.3">
      <c r="A968" s="329">
        <f t="shared" si="118"/>
        <v>0</v>
      </c>
      <c r="B968" s="198"/>
      <c r="C968" s="385"/>
      <c r="D968" s="385"/>
      <c r="E968" s="368"/>
      <c r="F968" s="368"/>
      <c r="G968" s="386"/>
      <c r="H968" s="198"/>
      <c r="I968" s="369"/>
      <c r="J968" s="65"/>
    </row>
    <row r="969" spans="1:10" s="191" customFormat="1" ht="15.75" hidden="1" thickBot="1" x14ac:dyDescent="0.3">
      <c r="A969" s="686">
        <f>IF(E972=0,0,1)</f>
        <v>0</v>
      </c>
      <c r="B969" s="189"/>
      <c r="C969" s="190">
        <f>oR!G319</f>
        <v>4413200</v>
      </c>
      <c r="D969" s="324" t="str">
        <f>oR!H319</f>
        <v>Plantio de grama comercial em placas</v>
      </c>
      <c r="F969" s="325"/>
      <c r="G969" s="392"/>
      <c r="H969" s="364"/>
      <c r="I969" s="364"/>
      <c r="J969" s="364"/>
    </row>
    <row r="970" spans="1:10" ht="13.5" hidden="1" thickBot="1" x14ac:dyDescent="0.3">
      <c r="A970" s="329">
        <f>A969</f>
        <v>0</v>
      </c>
      <c r="B970" s="329"/>
      <c r="C970" s="193"/>
      <c r="D970" s="194" t="s">
        <v>2857</v>
      </c>
      <c r="E970" s="329"/>
      <c r="F970" s="850"/>
      <c r="G970" s="393"/>
      <c r="H970" s="365"/>
      <c r="I970" s="365"/>
      <c r="J970" s="365"/>
    </row>
    <row r="971" spans="1:10" ht="13.5" hidden="1" thickBot="1" x14ac:dyDescent="0.3">
      <c r="A971" s="329">
        <f t="shared" ref="A971:A973" si="119">A970</f>
        <v>0</v>
      </c>
      <c r="B971" s="329"/>
      <c r="C971" s="1784" t="s">
        <v>42</v>
      </c>
      <c r="D971" s="1784"/>
      <c r="E971" s="433" t="str">
        <f>E$12</f>
        <v>ESTR. DE LINHA TAQUARAL</v>
      </c>
      <c r="F971" s="434" t="s">
        <v>96</v>
      </c>
      <c r="G971" s="435"/>
      <c r="H971" s="65"/>
      <c r="I971" s="65"/>
      <c r="J971" s="65"/>
    </row>
    <row r="972" spans="1:10" s="188" customFormat="1" ht="13.5" hidden="1" thickBot="1" x14ac:dyDescent="0.3">
      <c r="A972" s="329">
        <f t="shared" si="119"/>
        <v>0</v>
      </c>
      <c r="B972" s="198">
        <f>B967+1</f>
        <v>268</v>
      </c>
      <c r="C972" s="1784" t="s">
        <v>5186</v>
      </c>
      <c r="D972" s="1784"/>
      <c r="E972" s="529"/>
      <c r="F972" s="438">
        <f>SUM(E972:E972)</f>
        <v>0</v>
      </c>
      <c r="G972" s="435" t="s">
        <v>2595</v>
      </c>
      <c r="H972" s="198">
        <f>C969</f>
        <v>4413200</v>
      </c>
      <c r="I972" s="369">
        <f>MAX($I$13:I971)+1</f>
        <v>489</v>
      </c>
      <c r="J972" s="65" t="s">
        <v>2842</v>
      </c>
    </row>
    <row r="973" spans="1:10" s="188" customFormat="1" ht="13.5" hidden="1" thickBot="1" x14ac:dyDescent="0.3">
      <c r="A973" s="329">
        <f t="shared" si="119"/>
        <v>0</v>
      </c>
      <c r="B973" s="198"/>
      <c r="C973" s="385"/>
      <c r="D973" s="385"/>
      <c r="E973" s="368"/>
      <c r="F973" s="368"/>
      <c r="G973" s="386"/>
      <c r="H973" s="198"/>
      <c r="I973" s="369"/>
      <c r="J973" s="65"/>
    </row>
    <row r="974" spans="1:10" s="191" customFormat="1" ht="15.75" hidden="1" thickBot="1" x14ac:dyDescent="0.3">
      <c r="A974" s="686">
        <f>IF(E977=0,0,1)</f>
        <v>0</v>
      </c>
      <c r="B974" s="189"/>
      <c r="C974" s="190" t="str">
        <f>oR!G320</f>
        <v>COMP 18</v>
      </c>
      <c r="D974" s="324" t="str">
        <f>oR!H320</f>
        <v>Passeio reforçado em concreto FCK 20MPa (e= 10cm) sobre lastro de brita graduada (e= 10cm)</v>
      </c>
      <c r="F974" s="325"/>
      <c r="G974" s="392"/>
      <c r="H974" s="364"/>
      <c r="I974" s="364"/>
      <c r="J974" s="364"/>
    </row>
    <row r="975" spans="1:10" ht="13.5" hidden="1" thickBot="1" x14ac:dyDescent="0.3">
      <c r="A975" s="329">
        <f>A974</f>
        <v>0</v>
      </c>
      <c r="B975" s="329"/>
      <c r="C975" s="193"/>
      <c r="D975" s="194" t="s">
        <v>6741</v>
      </c>
      <c r="E975" s="329"/>
      <c r="F975" s="850"/>
      <c r="G975" s="393"/>
      <c r="H975" s="365"/>
      <c r="I975" s="365"/>
      <c r="J975" s="365"/>
    </row>
    <row r="976" spans="1:10" ht="13.5" hidden="1" thickBot="1" x14ac:dyDescent="0.3">
      <c r="A976" s="329">
        <f t="shared" ref="A976:A978" si="120">A975</f>
        <v>0</v>
      </c>
      <c r="B976" s="329"/>
      <c r="C976" s="1784" t="s">
        <v>42</v>
      </c>
      <c r="D976" s="1784"/>
      <c r="E976" s="433" t="str">
        <f>E$12</f>
        <v>ESTR. DE LINHA TAQUARAL</v>
      </c>
      <c r="F976" s="434" t="s">
        <v>96</v>
      </c>
      <c r="G976" s="435"/>
      <c r="H976" s="65"/>
      <c r="I976" s="65"/>
      <c r="J976" s="65"/>
    </row>
    <row r="977" spans="1:10" s="188" customFormat="1" ht="13.5" hidden="1" thickBot="1" x14ac:dyDescent="0.3">
      <c r="A977" s="329">
        <f>A976</f>
        <v>0</v>
      </c>
      <c r="B977" s="198">
        <f>B972+1</f>
        <v>269</v>
      </c>
      <c r="C977" s="1149"/>
      <c r="D977" s="852" t="s">
        <v>5187</v>
      </c>
      <c r="E977" s="529">
        <f>E920*E921*E956</f>
        <v>0</v>
      </c>
      <c r="F977" s="438">
        <f>SUM(E977:E977)</f>
        <v>0</v>
      </c>
      <c r="G977" s="435" t="s">
        <v>2595</v>
      </c>
      <c r="H977" s="198" t="str">
        <f>C974</f>
        <v>COMP 18</v>
      </c>
      <c r="I977" s="369">
        <f>MAX($I$13:I976)+1</f>
        <v>490</v>
      </c>
      <c r="J977" s="65" t="s">
        <v>2842</v>
      </c>
    </row>
    <row r="978" spans="1:10" s="188" customFormat="1" ht="13.5" hidden="1" thickBot="1" x14ac:dyDescent="0.3">
      <c r="A978" s="329">
        <f t="shared" si="120"/>
        <v>0</v>
      </c>
      <c r="B978" s="198"/>
      <c r="C978" s="385"/>
      <c r="D978" s="385"/>
      <c r="E978" s="368"/>
      <c r="F978" s="368"/>
      <c r="G978" s="386"/>
      <c r="H978" s="198"/>
      <c r="I978" s="369"/>
      <c r="J978" s="65"/>
    </row>
    <row r="979" spans="1:10" s="191" customFormat="1" ht="15.75" hidden="1" thickBot="1" x14ac:dyDescent="0.3">
      <c r="A979" s="686">
        <f>IF(E982=0,0,1)</f>
        <v>0</v>
      </c>
      <c r="B979" s="189"/>
      <c r="C979" s="190">
        <f>oR!G321</f>
        <v>2003953</v>
      </c>
      <c r="D979" s="324" t="str">
        <f>oR!H321</f>
        <v>Meio-fio de concreto - MFC 08 moldado no local com extrusora e concreto usinado - areia e brita comerciais</v>
      </c>
      <c r="F979" s="325"/>
      <c r="G979" s="392"/>
      <c r="H979" s="364"/>
      <c r="I979" s="364"/>
      <c r="J979" s="364"/>
    </row>
    <row r="980" spans="1:10" ht="13.5" hidden="1" thickBot="1" x14ac:dyDescent="0.3">
      <c r="A980" s="329">
        <f>A979</f>
        <v>0</v>
      </c>
      <c r="B980" s="329"/>
      <c r="C980" s="193"/>
      <c r="D980" s="194" t="s">
        <v>5172</v>
      </c>
      <c r="E980" s="329"/>
      <c r="F980" s="328"/>
      <c r="G980" s="393"/>
      <c r="H980" s="365"/>
      <c r="I980" s="365"/>
      <c r="J980" s="365"/>
    </row>
    <row r="981" spans="1:10" ht="13.5" hidden="1" thickBot="1" x14ac:dyDescent="0.3">
      <c r="A981" s="329">
        <f t="shared" ref="A981:A982" si="121">A980</f>
        <v>0</v>
      </c>
      <c r="B981" s="329"/>
      <c r="C981" s="1784" t="s">
        <v>42</v>
      </c>
      <c r="D981" s="1784"/>
      <c r="E981" s="327" t="str">
        <f>E$12</f>
        <v>ESTR. DE LINHA TAQUARAL</v>
      </c>
      <c r="F981" s="384" t="s">
        <v>96</v>
      </c>
      <c r="G981" s="376"/>
      <c r="H981" s="65"/>
      <c r="I981" s="65"/>
      <c r="J981" s="65"/>
    </row>
    <row r="982" spans="1:10" s="188" customFormat="1" ht="12.75" hidden="1" customHeight="1" x14ac:dyDescent="0.3">
      <c r="A982" s="329">
        <f t="shared" si="121"/>
        <v>0</v>
      </c>
      <c r="B982" s="198">
        <f>oR!D321</f>
        <v>270</v>
      </c>
      <c r="C982" s="1784" t="s">
        <v>5173</v>
      </c>
      <c r="D982" s="1784"/>
      <c r="E982" s="395"/>
      <c r="F982" s="199">
        <f>SUM(E982:E982)</f>
        <v>0</v>
      </c>
      <c r="G982" s="376" t="s">
        <v>2595</v>
      </c>
      <c r="H982" s="198">
        <f>C979</f>
        <v>2003953</v>
      </c>
      <c r="I982" s="369">
        <f>MAX($I$13:I981)+1</f>
        <v>491</v>
      </c>
      <c r="J982" s="65" t="s">
        <v>2842</v>
      </c>
    </row>
    <row r="983" spans="1:10" s="188" customFormat="1" ht="13.5" hidden="1" thickBot="1" x14ac:dyDescent="0.3">
      <c r="A983" s="185">
        <f>A910</f>
        <v>0</v>
      </c>
      <c r="B983" s="198"/>
      <c r="C983" s="367"/>
      <c r="D983" s="65"/>
      <c r="E983" s="368"/>
      <c r="F983" s="368"/>
      <c r="G983" s="386"/>
      <c r="H983" s="366"/>
      <c r="I983" s="366"/>
      <c r="J983" s="366"/>
    </row>
    <row r="984" spans="1:10" s="188" customFormat="1" ht="13.5" thickBot="1" x14ac:dyDescent="0.3">
      <c r="A984" s="687">
        <f>IF(SUM(A987:A1115)&gt;0,1,0)</f>
        <v>1</v>
      </c>
      <c r="B984" s="185"/>
      <c r="C984" s="691"/>
      <c r="D984" s="692" t="str">
        <f>oR!G323</f>
        <v>SINALIZAÇÃO</v>
      </c>
      <c r="E984" s="692"/>
      <c r="F984" s="692"/>
      <c r="G984" s="693"/>
      <c r="H984" s="694"/>
      <c r="I984" s="694"/>
      <c r="J984" s="695"/>
    </row>
    <row r="985" spans="1:10" x14ac:dyDescent="0.25">
      <c r="A985" s="329">
        <f>A984</f>
        <v>1</v>
      </c>
      <c r="B985" s="329"/>
      <c r="C985" s="193"/>
      <c r="D985" s="194" t="s">
        <v>2858</v>
      </c>
      <c r="E985" s="329"/>
      <c r="F985" s="328"/>
      <c r="G985" s="393"/>
      <c r="H985" s="365"/>
      <c r="I985" s="365"/>
      <c r="J985" s="365"/>
    </row>
    <row r="986" spans="1:10" ht="13.5" thickBot="1" x14ac:dyDescent="0.3">
      <c r="A986" s="329">
        <f>A985</f>
        <v>1</v>
      </c>
      <c r="B986" s="329"/>
      <c r="C986" s="193"/>
      <c r="D986" s="194"/>
      <c r="E986" s="329"/>
      <c r="F986" s="328"/>
      <c r="G986" s="393"/>
      <c r="H986" s="365"/>
      <c r="I986" s="365"/>
      <c r="J986" s="365"/>
    </row>
    <row r="987" spans="1:10" s="191" customFormat="1" ht="15.75" thickBot="1" x14ac:dyDescent="0.3">
      <c r="A987" s="686">
        <f>IF(E999=0,0,1)</f>
        <v>1</v>
      </c>
      <c r="B987" s="189"/>
      <c r="C987" s="190">
        <f>oR!G324</f>
        <v>5213403</v>
      </c>
      <c r="D987" s="324" t="str">
        <f>oR!H324</f>
        <v>Pintura de faixa com tinta acrílica emulsionada em água - espessura de 0,5 mm</v>
      </c>
      <c r="F987" s="325"/>
      <c r="G987" s="392"/>
      <c r="H987" s="364"/>
      <c r="I987" s="364"/>
      <c r="J987" s="364"/>
    </row>
    <row r="988" spans="1:10" s="191" customFormat="1" ht="15.75" thickBot="1" x14ac:dyDescent="0.3">
      <c r="A988" s="686">
        <f>IF(E1005=0,0,1)</f>
        <v>1</v>
      </c>
      <c r="B988" s="189"/>
      <c r="C988" s="190">
        <f>oR!G325</f>
        <v>5213403</v>
      </c>
      <c r="D988" s="324" t="str">
        <f>oR!H325</f>
        <v>Pintura de faixa com tinta acrílica emulsionada em água - espessura de 0,5 mm</v>
      </c>
      <c r="F988" s="325"/>
      <c r="G988" s="392"/>
      <c r="H988" s="364"/>
      <c r="I988" s="364"/>
      <c r="J988" s="364"/>
    </row>
    <row r="989" spans="1:10" ht="24" customHeight="1" x14ac:dyDescent="0.25">
      <c r="A989" s="329">
        <f>A987</f>
        <v>1</v>
      </c>
      <c r="B989" s="329"/>
      <c r="C989" s="193"/>
      <c r="D989" s="1782" t="s">
        <v>2940</v>
      </c>
      <c r="E989" s="1783"/>
      <c r="F989" s="1783"/>
      <c r="G989" s="1783"/>
      <c r="H989" s="1783"/>
      <c r="I989" s="1783"/>
      <c r="J989" s="1783"/>
    </row>
    <row r="990" spans="1:10" ht="24" customHeight="1" x14ac:dyDescent="0.25">
      <c r="A990" s="329">
        <f>A988</f>
        <v>1</v>
      </c>
      <c r="B990" s="329"/>
      <c r="C990" s="193"/>
      <c r="D990" s="1782" t="s">
        <v>2862</v>
      </c>
      <c r="E990" s="1783"/>
      <c r="F990" s="1783"/>
      <c r="G990" s="1783"/>
      <c r="H990" s="1783"/>
      <c r="I990" s="1783"/>
      <c r="J990" s="1783"/>
    </row>
    <row r="991" spans="1:10" x14ac:dyDescent="0.25">
      <c r="A991" s="329">
        <f>A987</f>
        <v>1</v>
      </c>
      <c r="B991" s="329"/>
      <c r="C991" s="1777" t="s">
        <v>42</v>
      </c>
      <c r="D991" s="1777"/>
      <c r="E991" s="327" t="str">
        <f>E$12</f>
        <v>ESTR. DE LINHA TAQUARAL</v>
      </c>
      <c r="F991" s="384" t="s">
        <v>96</v>
      </c>
      <c r="G991" s="376"/>
      <c r="H991" s="65"/>
      <c r="I991" s="65"/>
      <c r="J991" s="65"/>
    </row>
    <row r="992" spans="1:10" x14ac:dyDescent="0.25">
      <c r="A992" s="329">
        <f>A987</f>
        <v>1</v>
      </c>
      <c r="B992" s="329"/>
      <c r="C992" s="1773" t="s">
        <v>2859</v>
      </c>
      <c r="D992" s="381" t="s">
        <v>2938</v>
      </c>
      <c r="E992" s="388">
        <v>1</v>
      </c>
      <c r="F992" s="331"/>
      <c r="G992" s="375" t="s">
        <v>2599</v>
      </c>
      <c r="H992" s="361"/>
      <c r="I992" s="357">
        <f>MAX($I$13:I991)+1</f>
        <v>492</v>
      </c>
      <c r="J992" s="329" t="s">
        <v>2842</v>
      </c>
    </row>
    <row r="993" spans="1:12" x14ac:dyDescent="0.25">
      <c r="A993" s="329">
        <f t="shared" ref="A993:A996" si="122">A992</f>
        <v>1</v>
      </c>
      <c r="B993" s="329"/>
      <c r="C993" s="1773"/>
      <c r="D993" s="381" t="s">
        <v>2935</v>
      </c>
      <c r="E993" s="388">
        <f>K993-E994</f>
        <v>240</v>
      </c>
      <c r="F993" s="382"/>
      <c r="G993" s="375" t="s">
        <v>2598</v>
      </c>
      <c r="H993" s="361"/>
      <c r="I993" s="357">
        <f>MAX($I$13:I992)+1</f>
        <v>493</v>
      </c>
      <c r="J993" s="329" t="s">
        <v>2842</v>
      </c>
      <c r="K993" s="388">
        <f>280-L993</f>
        <v>260</v>
      </c>
      <c r="L993" s="194">
        <f>M508</f>
        <v>20</v>
      </c>
    </row>
    <row r="994" spans="1:12" x14ac:dyDescent="0.25">
      <c r="A994" s="329">
        <f t="shared" si="122"/>
        <v>1</v>
      </c>
      <c r="B994" s="329"/>
      <c r="C994" s="1776"/>
      <c r="D994" s="421" t="s">
        <v>2936</v>
      </c>
      <c r="E994" s="444">
        <f>K994</f>
        <v>20</v>
      </c>
      <c r="F994" s="436"/>
      <c r="G994" s="430" t="s">
        <v>2598</v>
      </c>
      <c r="H994" s="361"/>
      <c r="I994" s="357">
        <f>MAX($I$13:I993)+1</f>
        <v>494</v>
      </c>
      <c r="J994" s="329" t="s">
        <v>2842</v>
      </c>
      <c r="K994" s="388">
        <f>40-L993</f>
        <v>20</v>
      </c>
    </row>
    <row r="995" spans="1:12" hidden="1" x14ac:dyDescent="0.25">
      <c r="A995" s="329">
        <f>IF(E995=0,0,1)</f>
        <v>0</v>
      </c>
      <c r="B995" s="329"/>
      <c r="C995" s="1776"/>
      <c r="D995" s="441" t="s">
        <v>2939</v>
      </c>
      <c r="E995" s="444">
        <v>0</v>
      </c>
      <c r="F995" s="436"/>
      <c r="G995" s="430" t="s">
        <v>2598</v>
      </c>
      <c r="H995" s="361"/>
      <c r="I995" s="357">
        <f>MAX($I$13:I994)+1</f>
        <v>495</v>
      </c>
      <c r="J995" s="329" t="s">
        <v>2842</v>
      </c>
    </row>
    <row r="996" spans="1:12" hidden="1" x14ac:dyDescent="0.25">
      <c r="A996" s="329">
        <f t="shared" si="122"/>
        <v>0</v>
      </c>
      <c r="B996" s="329"/>
      <c r="C996" s="1776"/>
      <c r="D996" s="441" t="s">
        <v>2937</v>
      </c>
      <c r="E996" s="444">
        <v>0</v>
      </c>
      <c r="F996" s="436"/>
      <c r="G996" s="430" t="s">
        <v>2598</v>
      </c>
      <c r="H996" s="361"/>
      <c r="I996" s="357">
        <f>MAX($I$13:I995)+1</f>
        <v>496</v>
      </c>
      <c r="J996" s="329" t="s">
        <v>2842</v>
      </c>
    </row>
    <row r="997" spans="1:12" x14ac:dyDescent="0.25">
      <c r="A997" s="329">
        <f>A987</f>
        <v>1</v>
      </c>
      <c r="B997" s="329"/>
      <c r="C997" s="1773"/>
      <c r="D997" s="381" t="s">
        <v>2856</v>
      </c>
      <c r="E997" s="387">
        <v>0.1</v>
      </c>
      <c r="F997" s="382"/>
      <c r="G997" s="375" t="s">
        <v>2598</v>
      </c>
      <c r="H997" s="361"/>
      <c r="I997" s="357">
        <f>MAX($I$13:I996)+1</f>
        <v>497</v>
      </c>
      <c r="J997" s="329" t="s">
        <v>2842</v>
      </c>
    </row>
    <row r="998" spans="1:12" hidden="1" x14ac:dyDescent="0.25">
      <c r="A998" s="329">
        <f>IF(E998=0,0,1)</f>
        <v>0</v>
      </c>
      <c r="B998" s="329"/>
      <c r="C998" s="1780" t="s">
        <v>2941</v>
      </c>
      <c r="D998" s="1781"/>
      <c r="E998" s="445"/>
      <c r="F998" s="436"/>
      <c r="G998" s="430" t="s">
        <v>2595</v>
      </c>
      <c r="H998" s="361"/>
      <c r="I998" s="357">
        <f>MAX($I$13:I997)+1</f>
        <v>498</v>
      </c>
      <c r="J998" s="329" t="s">
        <v>2842</v>
      </c>
    </row>
    <row r="999" spans="1:12" s="188" customFormat="1" ht="15.75" customHeight="1" x14ac:dyDescent="0.25">
      <c r="A999" s="329">
        <f>A987</f>
        <v>1</v>
      </c>
      <c r="B999" s="198">
        <f>oR!D324</f>
        <v>271</v>
      </c>
      <c r="C999" s="1777" t="s">
        <v>2863</v>
      </c>
      <c r="D999" s="1777"/>
      <c r="E999" s="199">
        <f>((E993+E994*0.5)*E992+(E995*E996))*E997+E998</f>
        <v>25</v>
      </c>
      <c r="F999" s="199">
        <f>SUM(E999:E999)</f>
        <v>25</v>
      </c>
      <c r="G999" s="375" t="s">
        <v>2595</v>
      </c>
      <c r="H999" s="198">
        <f>C987</f>
        <v>5213403</v>
      </c>
      <c r="I999" s="357">
        <f>MAX($I$13:I997)+1</f>
        <v>498</v>
      </c>
      <c r="J999" s="65" t="str">
        <f>CONCATENATE("(",I999,")=[(",I993,")+((",I994,")*0,5)*(",I992,")+(",I995,")*(",I996,")]*(",I997,")+(",I998,")")</f>
        <v>(498)=[(493)+((494)*0,5)*(492)+(495)*(496)]*(497)+(498)</v>
      </c>
    </row>
    <row r="1000" spans="1:12" x14ac:dyDescent="0.25">
      <c r="A1000" s="329">
        <f>A988</f>
        <v>1</v>
      </c>
      <c r="B1000" s="329"/>
      <c r="C1000" s="1773" t="s">
        <v>2860</v>
      </c>
      <c r="D1000" s="381" t="s">
        <v>12</v>
      </c>
      <c r="E1000" s="388">
        <v>1</v>
      </c>
      <c r="F1000" s="331"/>
      <c r="G1000" s="375" t="s">
        <v>2599</v>
      </c>
      <c r="H1000" s="361"/>
      <c r="I1000" s="357">
        <f>MAX($I$13:I999)+1</f>
        <v>499</v>
      </c>
      <c r="J1000" s="329" t="s">
        <v>2842</v>
      </c>
    </row>
    <row r="1001" spans="1:12" x14ac:dyDescent="0.25">
      <c r="A1001" s="329">
        <f>A1000</f>
        <v>1</v>
      </c>
      <c r="B1001" s="329"/>
      <c r="C1001" s="1773"/>
      <c r="D1001" s="421" t="s">
        <v>2935</v>
      </c>
      <c r="E1001" s="388">
        <f>K1001-E1002</f>
        <v>330</v>
      </c>
      <c r="F1001" s="382"/>
      <c r="G1001" s="375" t="s">
        <v>2598</v>
      </c>
      <c r="H1001" s="361"/>
      <c r="I1001" s="357">
        <f>MAX($I$13:I1000)+1</f>
        <v>500</v>
      </c>
      <c r="J1001" s="329" t="s">
        <v>2842</v>
      </c>
      <c r="K1001" s="388">
        <v>330</v>
      </c>
    </row>
    <row r="1002" spans="1:12" x14ac:dyDescent="0.25">
      <c r="A1002" s="329">
        <f t="shared" ref="A1002:A1005" si="123">A1001</f>
        <v>1</v>
      </c>
      <c r="B1002" s="329"/>
      <c r="C1002" s="1776"/>
      <c r="D1002" s="421" t="s">
        <v>2936</v>
      </c>
      <c r="E1002" s="444">
        <f>K1002</f>
        <v>0</v>
      </c>
      <c r="F1002" s="436"/>
      <c r="G1002" s="430" t="s">
        <v>2598</v>
      </c>
      <c r="H1002" s="361"/>
      <c r="I1002" s="357">
        <f>MAX($I$13:I1001)+1</f>
        <v>501</v>
      </c>
      <c r="J1002" s="329" t="s">
        <v>2842</v>
      </c>
      <c r="K1002" s="388"/>
    </row>
    <row r="1003" spans="1:12" x14ac:dyDescent="0.25">
      <c r="A1003" s="329">
        <f t="shared" si="123"/>
        <v>1</v>
      </c>
      <c r="B1003" s="329"/>
      <c r="C1003" s="1773"/>
      <c r="D1003" s="381" t="s">
        <v>2856</v>
      </c>
      <c r="E1003" s="387">
        <f>E997</f>
        <v>0.1</v>
      </c>
      <c r="F1003" s="382"/>
      <c r="G1003" s="375" t="s">
        <v>2598</v>
      </c>
      <c r="H1003" s="361"/>
      <c r="I1003" s="357">
        <f>MAX($I$13:I1002)+1</f>
        <v>502</v>
      </c>
      <c r="J1003" s="329" t="s">
        <v>2842</v>
      </c>
    </row>
    <row r="1004" spans="1:12" ht="12.75" customHeight="1" x14ac:dyDescent="0.25">
      <c r="A1004" s="329">
        <f t="shared" si="123"/>
        <v>1</v>
      </c>
      <c r="B1004" s="329"/>
      <c r="C1004" s="1780" t="s">
        <v>2941</v>
      </c>
      <c r="D1004" s="1781"/>
      <c r="E1004" s="445">
        <f>E1006*C1006+E1007*C1007+E1008*C1008+E1009*C1009+E1010*C1010+E1011*C1011</f>
        <v>5.58</v>
      </c>
      <c r="F1004" s="436"/>
      <c r="G1004" s="430" t="s">
        <v>2595</v>
      </c>
      <c r="H1004" s="361"/>
      <c r="I1004" s="357">
        <f>MAX($I$13:I1003)+1</f>
        <v>503</v>
      </c>
      <c r="J1004" s="329" t="s">
        <v>2842</v>
      </c>
    </row>
    <row r="1005" spans="1:12" s="188" customFormat="1" x14ac:dyDescent="0.25">
      <c r="A1005" s="329">
        <f t="shared" si="123"/>
        <v>1</v>
      </c>
      <c r="B1005" s="198">
        <f>B999+1</f>
        <v>272</v>
      </c>
      <c r="C1005" s="1777" t="s">
        <v>2861</v>
      </c>
      <c r="D1005" s="1777"/>
      <c r="E1005" s="199">
        <f>E1000*E1003*(E1001+E1002*0.5)+E1004</f>
        <v>38.58</v>
      </c>
      <c r="F1005" s="199">
        <f>SUM(E1005:E1005)</f>
        <v>38.58</v>
      </c>
      <c r="G1005" s="376" t="s">
        <v>2595</v>
      </c>
      <c r="H1005" s="198">
        <f>C988</f>
        <v>5213403</v>
      </c>
      <c r="I1005" s="369">
        <f>MAX($I$13:I1003)+1</f>
        <v>503</v>
      </c>
      <c r="J1005" s="65" t="str">
        <f>CONCATENATE("(",I1005,")=[(",I1001,")+((",I1002,")*0,5)*(",I1000,")]*(",I1003,")+(",I1004,")")</f>
        <v>(503)=[(500)+((501)*0,5)*(499)]*(502)+(503)</v>
      </c>
      <c r="K1005" s="188" t="s">
        <v>7244</v>
      </c>
      <c r="L1005" s="188" t="s">
        <v>6449</v>
      </c>
    </row>
    <row r="1006" spans="1:12" s="188" customFormat="1" hidden="1" x14ac:dyDescent="0.25">
      <c r="A1006" s="329">
        <v>0</v>
      </c>
      <c r="B1006" s="198"/>
      <c r="C1006" s="40">
        <v>5.58</v>
      </c>
      <c r="D1006" s="40" t="s">
        <v>2942</v>
      </c>
      <c r="E1006" s="40">
        <v>1</v>
      </c>
      <c r="F1006" s="368"/>
      <c r="G1006" s="386"/>
      <c r="H1006" s="198"/>
      <c r="I1006" s="357"/>
      <c r="J1006" s="65"/>
    </row>
    <row r="1007" spans="1:12" s="188" customFormat="1" hidden="1" x14ac:dyDescent="0.25">
      <c r="A1007" s="329">
        <v>0</v>
      </c>
      <c r="B1007" s="198"/>
      <c r="C1007" s="40">
        <v>1.1000000000000001</v>
      </c>
      <c r="D1007" s="40" t="s">
        <v>4609</v>
      </c>
      <c r="E1007" s="40">
        <f t="shared" ref="E1007:E1011" si="124">SUM(K1007:L1007)</f>
        <v>0</v>
      </c>
      <c r="F1007" s="368"/>
      <c r="G1007" s="386"/>
      <c r="H1007" s="198"/>
      <c r="I1007" s="357"/>
      <c r="J1007" s="65"/>
    </row>
    <row r="1008" spans="1:12" s="188" customFormat="1" hidden="1" x14ac:dyDescent="0.25">
      <c r="A1008" s="329">
        <v>0</v>
      </c>
      <c r="B1008" s="198"/>
      <c r="C1008" s="40">
        <v>1.88</v>
      </c>
      <c r="D1008" s="40" t="s">
        <v>4610</v>
      </c>
      <c r="E1008" s="40">
        <f t="shared" si="124"/>
        <v>0</v>
      </c>
      <c r="F1008" s="368"/>
      <c r="G1008" s="386"/>
      <c r="H1008" s="198"/>
      <c r="I1008" s="357"/>
      <c r="J1008" s="65"/>
    </row>
    <row r="1009" spans="1:11" s="188" customFormat="1" hidden="1" x14ac:dyDescent="0.25">
      <c r="A1009" s="329">
        <v>0</v>
      </c>
      <c r="B1009" s="198"/>
      <c r="C1009" s="439">
        <v>1.31</v>
      </c>
      <c r="D1009" s="439" t="s">
        <v>4611</v>
      </c>
      <c r="E1009" s="40">
        <f t="shared" si="124"/>
        <v>0</v>
      </c>
      <c r="F1009" s="368"/>
      <c r="G1009" s="386"/>
      <c r="H1009" s="198"/>
      <c r="I1009" s="357"/>
      <c r="J1009" s="65"/>
    </row>
    <row r="1010" spans="1:11" s="188" customFormat="1" hidden="1" x14ac:dyDescent="0.25">
      <c r="A1010" s="329">
        <v>0</v>
      </c>
      <c r="B1010" s="198"/>
      <c r="C1010" s="439">
        <v>5.7</v>
      </c>
      <c r="D1010" s="439" t="s">
        <v>4612</v>
      </c>
      <c r="E1010" s="40">
        <f t="shared" si="124"/>
        <v>0</v>
      </c>
      <c r="F1010" s="368"/>
      <c r="G1010" s="386"/>
      <c r="H1010" s="198"/>
      <c r="I1010" s="357"/>
      <c r="J1010" s="65"/>
    </row>
    <row r="1011" spans="1:11" s="188" customFormat="1" hidden="1" x14ac:dyDescent="0.25">
      <c r="A1011" s="329">
        <v>0</v>
      </c>
      <c r="B1011" s="198"/>
      <c r="C1011" s="40">
        <v>1</v>
      </c>
      <c r="D1011" s="40" t="s">
        <v>2943</v>
      </c>
      <c r="E1011" s="40">
        <f t="shared" si="124"/>
        <v>0</v>
      </c>
      <c r="F1011" s="368"/>
      <c r="G1011" s="386"/>
      <c r="H1011" s="198"/>
      <c r="I1011" s="357"/>
      <c r="J1011" s="65"/>
    </row>
    <row r="1012" spans="1:11" s="188" customFormat="1" ht="12" customHeight="1" thickBot="1" x14ac:dyDescent="0.3">
      <c r="A1012" s="185">
        <f>A989</f>
        <v>1</v>
      </c>
      <c r="B1012" s="198"/>
      <c r="C1012" s="385"/>
      <c r="D1012" s="385"/>
      <c r="E1012" s="368"/>
      <c r="F1012" s="368"/>
      <c r="G1012" s="386"/>
      <c r="H1012" s="198"/>
      <c r="I1012" s="357"/>
      <c r="J1012" s="65"/>
    </row>
    <row r="1013" spans="1:11" s="191" customFormat="1" ht="15.75" hidden="1" thickBot="1" x14ac:dyDescent="0.3">
      <c r="A1013" s="686">
        <f>IF(E1044=0,0,1)</f>
        <v>0</v>
      </c>
      <c r="B1013" s="189"/>
      <c r="C1013" s="190">
        <f>oR!G326</f>
        <v>5213407</v>
      </c>
      <c r="D1013" s="324" t="str">
        <f>oR!H326</f>
        <v>Pintura de setas e zebrados com tinta acrílica emulsionada em água - espessura de 0,5 mm</v>
      </c>
      <c r="F1013" s="325"/>
      <c r="G1013" s="392"/>
      <c r="H1013" s="364"/>
      <c r="I1013" s="364"/>
      <c r="J1013" s="364"/>
    </row>
    <row r="1014" spans="1:11" ht="13.5" hidden="1" thickBot="1" x14ac:dyDescent="0.3">
      <c r="A1014" s="329">
        <f>A1013</f>
        <v>0</v>
      </c>
      <c r="B1014" s="329"/>
      <c r="C1014" s="193"/>
      <c r="D1014" s="194" t="s">
        <v>2945</v>
      </c>
      <c r="E1014" s="329"/>
      <c r="F1014" s="328"/>
      <c r="G1014" s="393"/>
      <c r="H1014" s="365"/>
      <c r="I1014" s="365"/>
      <c r="J1014" s="365"/>
    </row>
    <row r="1015" spans="1:11" ht="13.5" hidden="1" thickBot="1" x14ac:dyDescent="0.3">
      <c r="A1015" s="329">
        <f t="shared" ref="A1015:A1045" si="125">A1014</f>
        <v>0</v>
      </c>
      <c r="B1015" s="329"/>
      <c r="C1015" s="1777" t="s">
        <v>42</v>
      </c>
      <c r="D1015" s="1777"/>
      <c r="E1015" s="327" t="str">
        <f>E$12</f>
        <v>ESTR. DE LINHA TAQUARAL</v>
      </c>
      <c r="F1015" s="384" t="s">
        <v>96</v>
      </c>
      <c r="G1015" s="376"/>
      <c r="H1015" s="65"/>
      <c r="I1015" s="65"/>
      <c r="J1015" s="65"/>
    </row>
    <row r="1016" spans="1:11" s="188" customFormat="1" ht="12.75" hidden="1" customHeight="1" x14ac:dyDescent="0.3">
      <c r="A1016" s="329">
        <f>IF(E1016=0,0,1)</f>
        <v>0</v>
      </c>
      <c r="B1016" s="359"/>
      <c r="C1016" s="1797" t="str">
        <f>CONCATENATE("Largura da faixa elevada: ",E1017,"m")</f>
        <v>Largura da faixa elevada: 9m</v>
      </c>
      <c r="D1016" s="664" t="s">
        <v>12</v>
      </c>
      <c r="E1016" s="373"/>
      <c r="F1016" s="40">
        <f t="shared" ref="F1016:F1023" si="126">SUM(E1016:E1016)</f>
        <v>0</v>
      </c>
      <c r="G1016" s="375" t="s">
        <v>2599</v>
      </c>
      <c r="H1016" s="359"/>
      <c r="I1016" s="357">
        <f>MAX($I$13:I1015)+1</f>
        <v>504</v>
      </c>
      <c r="J1016" s="361" t="s">
        <v>2842</v>
      </c>
      <c r="K1016" s="194"/>
    </row>
    <row r="1017" spans="1:11" s="188" customFormat="1" ht="13.5" hidden="1" thickBot="1" x14ac:dyDescent="0.3">
      <c r="A1017" s="329">
        <f>A1016</f>
        <v>0</v>
      </c>
      <c r="B1017" s="359"/>
      <c r="C1017" s="1798"/>
      <c r="D1017" s="664" t="s">
        <v>3324</v>
      </c>
      <c r="E1017" s="373">
        <v>9</v>
      </c>
      <c r="F1017" s="40">
        <f t="shared" si="126"/>
        <v>9</v>
      </c>
      <c r="G1017" s="375" t="s">
        <v>2598</v>
      </c>
      <c r="H1017" s="359"/>
      <c r="I1017" s="357">
        <f>MAX($I$13:I1016)+1</f>
        <v>505</v>
      </c>
      <c r="J1017" s="361" t="s">
        <v>2842</v>
      </c>
      <c r="K1017" s="194"/>
    </row>
    <row r="1018" spans="1:11" s="188" customFormat="1" ht="13.5" hidden="1" thickBot="1" x14ac:dyDescent="0.3">
      <c r="A1018" s="329">
        <f>A1017</f>
        <v>0</v>
      </c>
      <c r="B1018" s="359"/>
      <c r="C1018" s="1798"/>
      <c r="D1018" s="664" t="s">
        <v>3910</v>
      </c>
      <c r="E1018" s="373">
        <f>((E1017/(0.4+0.6))*(0.4*3)+((E1017-0.3)*0.4))</f>
        <v>14.28</v>
      </c>
      <c r="F1018" s="40">
        <f t="shared" si="126"/>
        <v>14.28</v>
      </c>
      <c r="G1018" s="375" t="s">
        <v>2595</v>
      </c>
      <c r="H1018" s="359"/>
      <c r="I1018" s="357">
        <f>MAX($I$13:I1017)+1</f>
        <v>506</v>
      </c>
      <c r="J1018" s="361" t="str">
        <f>CONCATENATE("(",I1018,")"," = [(",I1017,")/(0,4+0,6)]*(0,4*3)+[(",I1017,")-0,3)*0,4)]")</f>
        <v>(506) = [(505)/(0,4+0,6)]*(0,4*3)+[(505)-0,3)*0,4)]</v>
      </c>
      <c r="K1018" s="194"/>
    </row>
    <row r="1019" spans="1:11" ht="15" hidden="1" customHeight="1" x14ac:dyDescent="0.3">
      <c r="A1019" s="329">
        <f>A1018</f>
        <v>0</v>
      </c>
      <c r="B1019" s="359"/>
      <c r="C1019" s="1799"/>
      <c r="D1019" s="743" t="s">
        <v>2601</v>
      </c>
      <c r="E1019" s="40">
        <f>E1016*E1018</f>
        <v>0</v>
      </c>
      <c r="F1019" s="40">
        <f t="shared" si="126"/>
        <v>0</v>
      </c>
      <c r="G1019" s="375" t="s">
        <v>2595</v>
      </c>
      <c r="H1019" s="359"/>
      <c r="I1019" s="357">
        <f>MAX($I$13:I1018)+1</f>
        <v>507</v>
      </c>
      <c r="J1019" s="361" t="str">
        <f>CONCATENATE("(",I1019,")"," = ","(",I1016,")*(",I1018,")")</f>
        <v>(507) = (504)*(506)</v>
      </c>
    </row>
    <row r="1020" spans="1:11" s="188" customFormat="1" ht="12.75" hidden="1" customHeight="1" x14ac:dyDescent="0.3">
      <c r="A1020" s="329">
        <f t="shared" ref="A1020" si="127">IF(E1020=0,0,1)</f>
        <v>0</v>
      </c>
      <c r="B1020" s="359"/>
      <c r="C1020" s="1797" t="str">
        <f>CONCATENATE("Largura da faixa: ",E1021,"m")</f>
        <v>Largura da faixa: 7m</v>
      </c>
      <c r="D1020" s="731" t="s">
        <v>12</v>
      </c>
      <c r="E1020" s="373">
        <v>0</v>
      </c>
      <c r="F1020" s="40">
        <f t="shared" si="126"/>
        <v>0</v>
      </c>
      <c r="G1020" s="375" t="s">
        <v>2599</v>
      </c>
      <c r="H1020" s="359"/>
      <c r="I1020" s="357">
        <f>MAX($I$13:I1019)+1</f>
        <v>508</v>
      </c>
      <c r="J1020" s="361" t="s">
        <v>2842</v>
      </c>
      <c r="K1020" s="194"/>
    </row>
    <row r="1021" spans="1:11" s="188" customFormat="1" ht="13.5" hidden="1" thickBot="1" x14ac:dyDescent="0.3">
      <c r="A1021" s="329">
        <f t="shared" ref="A1021:A1023" si="128">A1020</f>
        <v>0</v>
      </c>
      <c r="B1021" s="359"/>
      <c r="C1021" s="1798"/>
      <c r="D1021" s="731" t="s">
        <v>3324</v>
      </c>
      <c r="E1021" s="373">
        <v>7</v>
      </c>
      <c r="F1021" s="40">
        <f t="shared" si="126"/>
        <v>7</v>
      </c>
      <c r="G1021" s="375" t="s">
        <v>2598</v>
      </c>
      <c r="H1021" s="359"/>
      <c r="I1021" s="357">
        <f>MAX($I$13:I1020)+1</f>
        <v>509</v>
      </c>
      <c r="J1021" s="361" t="s">
        <v>2842</v>
      </c>
      <c r="K1021" s="194"/>
    </row>
    <row r="1022" spans="1:11" s="188" customFormat="1" ht="13.5" hidden="1" thickBot="1" x14ac:dyDescent="0.3">
      <c r="A1022" s="329">
        <f t="shared" si="128"/>
        <v>0</v>
      </c>
      <c r="B1022" s="359"/>
      <c r="C1022" s="1798"/>
      <c r="D1022" s="731" t="s">
        <v>3910</v>
      </c>
      <c r="E1022" s="373">
        <f>((E1021/(0.4+0.6))*(0.4*5)+((E1021-0.3)*0.4))</f>
        <v>16.68</v>
      </c>
      <c r="F1022" s="40">
        <f t="shared" si="126"/>
        <v>16.68</v>
      </c>
      <c r="G1022" s="375" t="s">
        <v>2595</v>
      </c>
      <c r="H1022" s="359"/>
      <c r="I1022" s="357">
        <f>MAX($I$13:I1021)+1</f>
        <v>510</v>
      </c>
      <c r="J1022" s="361" t="str">
        <f t="shared" ref="J1022" si="129">CONCATENATE("(",I1022,")"," = [(",I1021,")/(0,4+0,6)]*(0,4*3)+[(",I1021,")-0,3)*0,4)]")</f>
        <v>(510) = [(509)/(0,4+0,6)]*(0,4*3)+[(509)-0,3)*0,4)]</v>
      </c>
      <c r="K1022" s="194"/>
    </row>
    <row r="1023" spans="1:11" ht="15" hidden="1" customHeight="1" x14ac:dyDescent="0.3">
      <c r="A1023" s="329">
        <f t="shared" si="128"/>
        <v>0</v>
      </c>
      <c r="B1023" s="359"/>
      <c r="C1023" s="1799"/>
      <c r="D1023" s="743" t="s">
        <v>2601</v>
      </c>
      <c r="E1023" s="40">
        <f t="shared" ref="E1023" si="130">E1020*E1022</f>
        <v>0</v>
      </c>
      <c r="F1023" s="40">
        <f t="shared" si="126"/>
        <v>0</v>
      </c>
      <c r="G1023" s="375" t="s">
        <v>2595</v>
      </c>
      <c r="H1023" s="359"/>
      <c r="I1023" s="357">
        <f>MAX($I$13:I1022)+1</f>
        <v>511</v>
      </c>
      <c r="J1023" s="361" t="str">
        <f t="shared" ref="J1023" si="131">CONCATENATE("(",I1023,")"," = ","(",I1020,")*(",I1022,")")</f>
        <v>(511) = (508)*(510)</v>
      </c>
    </row>
    <row r="1024" spans="1:11" s="188" customFormat="1" ht="12.75" hidden="1" customHeight="1" x14ac:dyDescent="0.3">
      <c r="A1024" s="329">
        <f t="shared" ref="A1024" si="132">IF(E1024=0,0,1)</f>
        <v>0</v>
      </c>
      <c r="B1024" s="359"/>
      <c r="C1024" s="1797" t="str">
        <f t="shared" ref="C1024" si="133">CONCATENATE("Largura da faixa: ",E1025,"m")</f>
        <v>Largura da faixa: 12m</v>
      </c>
      <c r="D1024" s="731" t="s">
        <v>12</v>
      </c>
      <c r="E1024" s="373">
        <v>0</v>
      </c>
      <c r="F1024" s="40">
        <f t="shared" ref="F1024:F1043" si="134">SUM(E1024:E1024)</f>
        <v>0</v>
      </c>
      <c r="G1024" s="375" t="s">
        <v>2599</v>
      </c>
      <c r="H1024" s="359"/>
      <c r="I1024" s="357">
        <f>MAX($I$13:I1023)+1</f>
        <v>512</v>
      </c>
      <c r="J1024" s="361" t="s">
        <v>2842</v>
      </c>
      <c r="K1024" s="194"/>
    </row>
    <row r="1025" spans="1:11" s="188" customFormat="1" ht="13.5" hidden="1" thickBot="1" x14ac:dyDescent="0.3">
      <c r="A1025" s="329">
        <f t="shared" ref="A1025:A1027" si="135">A1024</f>
        <v>0</v>
      </c>
      <c r="B1025" s="359"/>
      <c r="C1025" s="1798"/>
      <c r="D1025" s="731" t="s">
        <v>3324</v>
      </c>
      <c r="E1025" s="373">
        <v>12</v>
      </c>
      <c r="F1025" s="40">
        <f t="shared" si="134"/>
        <v>12</v>
      </c>
      <c r="G1025" s="375" t="s">
        <v>2598</v>
      </c>
      <c r="H1025" s="359"/>
      <c r="I1025" s="357">
        <f>MAX($I$13:I1024)+1</f>
        <v>513</v>
      </c>
      <c r="J1025" s="361" t="s">
        <v>2842</v>
      </c>
      <c r="K1025" s="194"/>
    </row>
    <row r="1026" spans="1:11" s="188" customFormat="1" ht="13.5" hidden="1" thickBot="1" x14ac:dyDescent="0.3">
      <c r="A1026" s="329">
        <f t="shared" si="135"/>
        <v>0</v>
      </c>
      <c r="B1026" s="359"/>
      <c r="C1026" s="1798"/>
      <c r="D1026" s="731" t="s">
        <v>3910</v>
      </c>
      <c r="E1026" s="373">
        <f t="shared" ref="E1026" si="136">((E1025/(0.4+0.6))*(0.4*3)+((E1025-0.3)*0.4))</f>
        <v>19.079999999999998</v>
      </c>
      <c r="F1026" s="40">
        <f t="shared" si="134"/>
        <v>19.079999999999998</v>
      </c>
      <c r="G1026" s="375" t="s">
        <v>2595</v>
      </c>
      <c r="H1026" s="359"/>
      <c r="I1026" s="357">
        <f>MAX($I$13:I1025)+1</f>
        <v>514</v>
      </c>
      <c r="J1026" s="361" t="str">
        <f t="shared" ref="J1026" si="137">CONCATENATE("(",I1026,")"," = [(",I1025,")/(0,4+0,6)]*(0,4*3)+[(",I1025,")-0,3)*0,4)]")</f>
        <v>(514) = [(513)/(0,4+0,6)]*(0,4*3)+[(513)-0,3)*0,4)]</v>
      </c>
      <c r="K1026" s="194"/>
    </row>
    <row r="1027" spans="1:11" ht="15" hidden="1" customHeight="1" x14ac:dyDescent="0.3">
      <c r="A1027" s="329">
        <f t="shared" si="135"/>
        <v>0</v>
      </c>
      <c r="B1027" s="359"/>
      <c r="C1027" s="1799"/>
      <c r="D1027" s="743" t="s">
        <v>2601</v>
      </c>
      <c r="E1027" s="40">
        <f t="shared" ref="E1027" si="138">E1024*E1026</f>
        <v>0</v>
      </c>
      <c r="F1027" s="40">
        <f t="shared" si="134"/>
        <v>0</v>
      </c>
      <c r="G1027" s="375" t="s">
        <v>2595</v>
      </c>
      <c r="H1027" s="359"/>
      <c r="I1027" s="357">
        <f>MAX($I$13:I1026)+1</f>
        <v>515</v>
      </c>
      <c r="J1027" s="361" t="str">
        <f t="shared" ref="J1027" si="139">CONCATENATE("(",I1027,")"," = ","(",I1024,")*(",I1026,")")</f>
        <v>(515) = (512)*(514)</v>
      </c>
    </row>
    <row r="1028" spans="1:11" s="188" customFormat="1" ht="12.75" hidden="1" customHeight="1" x14ac:dyDescent="0.3">
      <c r="A1028" s="329">
        <f t="shared" ref="A1028" si="140">IF(E1028=0,0,1)</f>
        <v>0</v>
      </c>
      <c r="B1028" s="359"/>
      <c r="C1028" s="1797" t="str">
        <f t="shared" ref="C1028" si="141">CONCATENATE("Largura da faixa: ",E1029,"m")</f>
        <v>Largura da faixa: 12,4m</v>
      </c>
      <c r="D1028" s="731" t="s">
        <v>12</v>
      </c>
      <c r="E1028" s="373">
        <v>0</v>
      </c>
      <c r="F1028" s="40">
        <f t="shared" si="134"/>
        <v>0</v>
      </c>
      <c r="G1028" s="375" t="s">
        <v>2599</v>
      </c>
      <c r="H1028" s="359"/>
      <c r="I1028" s="357">
        <f>MAX($I$13:I1027)+1</f>
        <v>516</v>
      </c>
      <c r="J1028" s="361" t="s">
        <v>2842</v>
      </c>
      <c r="K1028" s="194"/>
    </row>
    <row r="1029" spans="1:11" s="188" customFormat="1" ht="13.5" hidden="1" thickBot="1" x14ac:dyDescent="0.3">
      <c r="A1029" s="329">
        <f t="shared" ref="A1029:A1031" si="142">A1028</f>
        <v>0</v>
      </c>
      <c r="B1029" s="359"/>
      <c r="C1029" s="1798"/>
      <c r="D1029" s="731" t="s">
        <v>3324</v>
      </c>
      <c r="E1029" s="373">
        <v>12.4</v>
      </c>
      <c r="F1029" s="40">
        <f t="shared" si="134"/>
        <v>12.4</v>
      </c>
      <c r="G1029" s="375" t="s">
        <v>2598</v>
      </c>
      <c r="H1029" s="359"/>
      <c r="I1029" s="357">
        <f>MAX($I$13:I1028)+1</f>
        <v>517</v>
      </c>
      <c r="J1029" s="361" t="s">
        <v>2842</v>
      </c>
      <c r="K1029" s="194"/>
    </row>
    <row r="1030" spans="1:11" s="188" customFormat="1" ht="13.5" hidden="1" thickBot="1" x14ac:dyDescent="0.3">
      <c r="A1030" s="329">
        <f t="shared" si="142"/>
        <v>0</v>
      </c>
      <c r="B1030" s="359"/>
      <c r="C1030" s="1798"/>
      <c r="D1030" s="731" t="s">
        <v>3910</v>
      </c>
      <c r="E1030" s="373">
        <f t="shared" ref="E1030" si="143">((E1029/(0.4+0.6))*(0.4*3)+((E1029-0.3)*0.4))</f>
        <v>19.72</v>
      </c>
      <c r="F1030" s="40">
        <f t="shared" si="134"/>
        <v>19.72</v>
      </c>
      <c r="G1030" s="375" t="s">
        <v>2595</v>
      </c>
      <c r="H1030" s="359"/>
      <c r="I1030" s="357">
        <f>MAX($I$13:I1029)+1</f>
        <v>518</v>
      </c>
      <c r="J1030" s="361" t="str">
        <f t="shared" ref="J1030" si="144">CONCATENATE("(",I1030,")"," = [(",I1029,")/(0,4+0,6)]*(0,4*3)+[(",I1029,")-0,3)*0,4)]")</f>
        <v>(518) = [(517)/(0,4+0,6)]*(0,4*3)+[(517)-0,3)*0,4)]</v>
      </c>
      <c r="K1030" s="194"/>
    </row>
    <row r="1031" spans="1:11" ht="15" hidden="1" customHeight="1" x14ac:dyDescent="0.3">
      <c r="A1031" s="329">
        <f t="shared" si="142"/>
        <v>0</v>
      </c>
      <c r="B1031" s="359"/>
      <c r="C1031" s="1799"/>
      <c r="D1031" s="743" t="s">
        <v>2601</v>
      </c>
      <c r="E1031" s="40">
        <f t="shared" ref="E1031" si="145">E1028*E1030</f>
        <v>0</v>
      </c>
      <c r="F1031" s="40">
        <f t="shared" si="134"/>
        <v>0</v>
      </c>
      <c r="G1031" s="375" t="s">
        <v>2595</v>
      </c>
      <c r="H1031" s="359"/>
      <c r="I1031" s="357">
        <f>MAX($I$13:I1030)+1</f>
        <v>519</v>
      </c>
      <c r="J1031" s="361" t="str">
        <f t="shared" ref="J1031" si="146">CONCATENATE("(",I1031,")"," = ","(",I1028,")*(",I1030,")")</f>
        <v>(519) = (516)*(518)</v>
      </c>
    </row>
    <row r="1032" spans="1:11" s="188" customFormat="1" ht="12.75" hidden="1" customHeight="1" x14ac:dyDescent="0.3">
      <c r="A1032" s="329">
        <f t="shared" ref="A1032" si="147">IF(E1032=0,0,1)</f>
        <v>0</v>
      </c>
      <c r="B1032" s="359"/>
      <c r="C1032" s="1797" t="str">
        <f t="shared" ref="C1032" si="148">CONCATENATE("Largura da faixa: ",E1033,"m")</f>
        <v>Largura da faixa: m</v>
      </c>
      <c r="D1032" s="731" t="s">
        <v>12</v>
      </c>
      <c r="E1032" s="373"/>
      <c r="F1032" s="40">
        <f t="shared" si="134"/>
        <v>0</v>
      </c>
      <c r="G1032" s="375" t="s">
        <v>2599</v>
      </c>
      <c r="H1032" s="359"/>
      <c r="I1032" s="357">
        <f>MAX($I$13:I1031)+1</f>
        <v>520</v>
      </c>
      <c r="J1032" s="361" t="s">
        <v>2842</v>
      </c>
      <c r="K1032" s="194"/>
    </row>
    <row r="1033" spans="1:11" s="188" customFormat="1" ht="13.5" hidden="1" thickBot="1" x14ac:dyDescent="0.3">
      <c r="A1033" s="329">
        <f t="shared" ref="A1033:A1035" si="149">A1032</f>
        <v>0</v>
      </c>
      <c r="B1033" s="359"/>
      <c r="C1033" s="1798"/>
      <c r="D1033" s="731" t="s">
        <v>3324</v>
      </c>
      <c r="E1033" s="373"/>
      <c r="F1033" s="40">
        <f t="shared" si="134"/>
        <v>0</v>
      </c>
      <c r="G1033" s="375" t="s">
        <v>2598</v>
      </c>
      <c r="H1033" s="359"/>
      <c r="I1033" s="357">
        <f>MAX($I$13:I1032)+1</f>
        <v>521</v>
      </c>
      <c r="J1033" s="361" t="s">
        <v>2842</v>
      </c>
      <c r="K1033" s="194"/>
    </row>
    <row r="1034" spans="1:11" s="188" customFormat="1" ht="13.5" hidden="1" thickBot="1" x14ac:dyDescent="0.3">
      <c r="A1034" s="329">
        <f t="shared" si="149"/>
        <v>0</v>
      </c>
      <c r="B1034" s="359"/>
      <c r="C1034" s="1798"/>
      <c r="D1034" s="731" t="s">
        <v>3910</v>
      </c>
      <c r="E1034" s="373">
        <f t="shared" ref="E1034" si="150">((E1033/(0.4+0.6))*(0.4*3)+((E1033-0.3)*0.4))</f>
        <v>-0.12</v>
      </c>
      <c r="F1034" s="40">
        <f t="shared" si="134"/>
        <v>-0.12</v>
      </c>
      <c r="G1034" s="375" t="s">
        <v>2595</v>
      </c>
      <c r="H1034" s="359"/>
      <c r="I1034" s="357">
        <f>MAX($I$13:I1033)+1</f>
        <v>522</v>
      </c>
      <c r="J1034" s="361" t="str">
        <f t="shared" ref="J1034" si="151">CONCATENATE("(",I1034,")"," = [(",I1033,")/(0,4+0,6)]*(0,4*3)+[(",I1033,")-0,3)*0,4)]")</f>
        <v>(522) = [(521)/(0,4+0,6)]*(0,4*3)+[(521)-0,3)*0,4)]</v>
      </c>
      <c r="K1034" s="194"/>
    </row>
    <row r="1035" spans="1:11" ht="15" hidden="1" customHeight="1" x14ac:dyDescent="0.3">
      <c r="A1035" s="329">
        <f t="shared" si="149"/>
        <v>0</v>
      </c>
      <c r="B1035" s="359"/>
      <c r="C1035" s="1799"/>
      <c r="D1035" s="743" t="s">
        <v>2601</v>
      </c>
      <c r="E1035" s="40">
        <f t="shared" ref="E1035" si="152">E1032*E1034</f>
        <v>0</v>
      </c>
      <c r="F1035" s="40">
        <f t="shared" si="134"/>
        <v>0</v>
      </c>
      <c r="G1035" s="375" t="s">
        <v>2595</v>
      </c>
      <c r="H1035" s="359"/>
      <c r="I1035" s="357">
        <f>MAX($I$13:I1034)+1</f>
        <v>523</v>
      </c>
      <c r="J1035" s="361" t="str">
        <f t="shared" ref="J1035" si="153">CONCATENATE("(",I1035,")"," = ","(",I1032,")*(",I1034,")")</f>
        <v>(523) = (520)*(522)</v>
      </c>
    </row>
    <row r="1036" spans="1:11" s="188" customFormat="1" ht="12.75" hidden="1" customHeight="1" x14ac:dyDescent="0.3">
      <c r="A1036" s="329">
        <f t="shared" ref="A1036" si="154">IF(E1036=0,0,1)</f>
        <v>0</v>
      </c>
      <c r="B1036" s="359"/>
      <c r="C1036" s="1797" t="str">
        <f t="shared" ref="C1036" si="155">CONCATENATE("Largura da faixa: ",E1037,"m")</f>
        <v>Largura da faixa: m</v>
      </c>
      <c r="D1036" s="731" t="s">
        <v>12</v>
      </c>
      <c r="E1036" s="373"/>
      <c r="F1036" s="40">
        <f t="shared" si="134"/>
        <v>0</v>
      </c>
      <c r="G1036" s="375" t="s">
        <v>2599</v>
      </c>
      <c r="H1036" s="359"/>
      <c r="I1036" s="357">
        <f>MAX($I$13:I1035)+1</f>
        <v>524</v>
      </c>
      <c r="J1036" s="361" t="s">
        <v>2842</v>
      </c>
      <c r="K1036" s="194"/>
    </row>
    <row r="1037" spans="1:11" s="188" customFormat="1" ht="13.5" hidden="1" thickBot="1" x14ac:dyDescent="0.3">
      <c r="A1037" s="329">
        <f t="shared" ref="A1037:A1039" si="156">A1036</f>
        <v>0</v>
      </c>
      <c r="B1037" s="359"/>
      <c r="C1037" s="1798"/>
      <c r="D1037" s="731" t="s">
        <v>3324</v>
      </c>
      <c r="E1037" s="373"/>
      <c r="F1037" s="40">
        <f t="shared" si="134"/>
        <v>0</v>
      </c>
      <c r="G1037" s="375" t="s">
        <v>2598</v>
      </c>
      <c r="H1037" s="359"/>
      <c r="I1037" s="357">
        <f>MAX($I$13:I1036)+1</f>
        <v>525</v>
      </c>
      <c r="J1037" s="361" t="s">
        <v>2842</v>
      </c>
      <c r="K1037" s="194"/>
    </row>
    <row r="1038" spans="1:11" s="188" customFormat="1" ht="13.5" hidden="1" thickBot="1" x14ac:dyDescent="0.3">
      <c r="A1038" s="329">
        <f t="shared" si="156"/>
        <v>0</v>
      </c>
      <c r="B1038" s="359"/>
      <c r="C1038" s="1798"/>
      <c r="D1038" s="731" t="s">
        <v>3910</v>
      </c>
      <c r="E1038" s="373">
        <f t="shared" ref="E1038" si="157">((E1037/(0.4+0.6))*(0.4*3)+((E1037-0.3)*0.4))</f>
        <v>-0.12</v>
      </c>
      <c r="F1038" s="40">
        <f t="shared" si="134"/>
        <v>-0.12</v>
      </c>
      <c r="G1038" s="375" t="s">
        <v>2595</v>
      </c>
      <c r="H1038" s="359"/>
      <c r="I1038" s="357">
        <f>MAX($I$13:I1037)+1</f>
        <v>526</v>
      </c>
      <c r="J1038" s="361" t="str">
        <f t="shared" ref="J1038" si="158">CONCATENATE("(",I1038,")"," = [(",I1037,")/(0,4+0,6)]*(0,4*3)+[(",I1037,")-0,3)*0,4)]")</f>
        <v>(526) = [(525)/(0,4+0,6)]*(0,4*3)+[(525)-0,3)*0,4)]</v>
      </c>
      <c r="K1038" s="194"/>
    </row>
    <row r="1039" spans="1:11" ht="15" hidden="1" customHeight="1" x14ac:dyDescent="0.3">
      <c r="A1039" s="329">
        <f t="shared" si="156"/>
        <v>0</v>
      </c>
      <c r="B1039" s="359"/>
      <c r="C1039" s="1799"/>
      <c r="D1039" s="743" t="s">
        <v>2601</v>
      </c>
      <c r="E1039" s="40">
        <f t="shared" ref="E1039" si="159">E1036*E1038</f>
        <v>0</v>
      </c>
      <c r="F1039" s="40">
        <f t="shared" si="134"/>
        <v>0</v>
      </c>
      <c r="G1039" s="375" t="s">
        <v>2595</v>
      </c>
      <c r="H1039" s="359"/>
      <c r="I1039" s="357">
        <f>MAX($I$13:I1038)+1</f>
        <v>527</v>
      </c>
      <c r="J1039" s="361" t="str">
        <f t="shared" ref="J1039" si="160">CONCATENATE("(",I1039,")"," = ","(",I1036,")*(",I1038,")")</f>
        <v>(527) = (524)*(526)</v>
      </c>
    </row>
    <row r="1040" spans="1:11" s="188" customFormat="1" ht="12.75" hidden="1" customHeight="1" x14ac:dyDescent="0.3">
      <c r="A1040" s="329">
        <f t="shared" ref="A1040" si="161">IF(E1040=0,0,1)</f>
        <v>0</v>
      </c>
      <c r="B1040" s="359"/>
      <c r="C1040" s="1797" t="str">
        <f t="shared" ref="C1040" si="162">CONCATENATE("Largura da faixa: ",E1041,"m")</f>
        <v>Largura da faixa: m</v>
      </c>
      <c r="D1040" s="731" t="s">
        <v>12</v>
      </c>
      <c r="E1040" s="373"/>
      <c r="F1040" s="40">
        <f t="shared" si="134"/>
        <v>0</v>
      </c>
      <c r="G1040" s="375" t="s">
        <v>2599</v>
      </c>
      <c r="H1040" s="359"/>
      <c r="I1040" s="357">
        <f>MAX($I$13:I1039)+1</f>
        <v>528</v>
      </c>
      <c r="J1040" s="361" t="s">
        <v>2842</v>
      </c>
      <c r="K1040" s="194"/>
    </row>
    <row r="1041" spans="1:11" s="188" customFormat="1" ht="13.5" hidden="1" thickBot="1" x14ac:dyDescent="0.3">
      <c r="A1041" s="329">
        <f t="shared" ref="A1041:A1043" si="163">A1040</f>
        <v>0</v>
      </c>
      <c r="B1041" s="359"/>
      <c r="C1041" s="1798"/>
      <c r="D1041" s="731" t="s">
        <v>3324</v>
      </c>
      <c r="E1041" s="373"/>
      <c r="F1041" s="40">
        <f t="shared" si="134"/>
        <v>0</v>
      </c>
      <c r="G1041" s="375" t="s">
        <v>2598</v>
      </c>
      <c r="H1041" s="359"/>
      <c r="I1041" s="357">
        <f>MAX($I$13:I1040)+1</f>
        <v>529</v>
      </c>
      <c r="J1041" s="361" t="s">
        <v>2842</v>
      </c>
      <c r="K1041" s="194"/>
    </row>
    <row r="1042" spans="1:11" s="188" customFormat="1" ht="13.5" hidden="1" thickBot="1" x14ac:dyDescent="0.3">
      <c r="A1042" s="329">
        <f t="shared" si="163"/>
        <v>0</v>
      </c>
      <c r="B1042" s="359"/>
      <c r="C1042" s="1798"/>
      <c r="D1042" s="731" t="s">
        <v>3910</v>
      </c>
      <c r="E1042" s="373">
        <f t="shared" ref="E1042" si="164">((E1041/(0.4+0.6))*(0.4*3)+((E1041-0.3)*0.4))</f>
        <v>-0.12</v>
      </c>
      <c r="F1042" s="40">
        <f t="shared" si="134"/>
        <v>-0.12</v>
      </c>
      <c r="G1042" s="375" t="s">
        <v>2595</v>
      </c>
      <c r="H1042" s="359"/>
      <c r="I1042" s="357">
        <f>MAX($I$13:I1041)+1</f>
        <v>530</v>
      </c>
      <c r="J1042" s="361" t="str">
        <f t="shared" ref="J1042" si="165">CONCATENATE("(",I1042,")"," = [(",I1041,")/(0,4+0,6)]*(0,4*3)+[(",I1041,")-0,3)*0,4)]")</f>
        <v>(530) = [(529)/(0,4+0,6)]*(0,4*3)+[(529)-0,3)*0,4)]</v>
      </c>
      <c r="K1042" s="194"/>
    </row>
    <row r="1043" spans="1:11" ht="15" hidden="1" customHeight="1" x14ac:dyDescent="0.3">
      <c r="A1043" s="329">
        <f t="shared" si="163"/>
        <v>0</v>
      </c>
      <c r="B1043" s="359"/>
      <c r="C1043" s="1799"/>
      <c r="D1043" s="743" t="s">
        <v>2601</v>
      </c>
      <c r="E1043" s="40">
        <f t="shared" ref="E1043" si="166">E1040*E1042</f>
        <v>0</v>
      </c>
      <c r="F1043" s="40">
        <f t="shared" si="134"/>
        <v>0</v>
      </c>
      <c r="G1043" s="375" t="s">
        <v>2595</v>
      </c>
      <c r="H1043" s="359"/>
      <c r="I1043" s="357">
        <f>MAX($I$13:I1042)+1</f>
        <v>531</v>
      </c>
      <c r="J1043" s="361" t="str">
        <f t="shared" ref="J1043" si="167">CONCATENATE("(",I1043,")"," = ","(",I1040,")*(",I1042,")")</f>
        <v>(531) = (528)*(530)</v>
      </c>
    </row>
    <row r="1044" spans="1:11" s="188" customFormat="1" ht="15" hidden="1" customHeight="1" x14ac:dyDescent="0.3">
      <c r="A1044" s="329">
        <f>A1015</f>
        <v>0</v>
      </c>
      <c r="B1044" s="198">
        <f>B1005+1</f>
        <v>273</v>
      </c>
      <c r="C1044" s="1795" t="s">
        <v>2601</v>
      </c>
      <c r="D1044" s="1796"/>
      <c r="E1044" s="395">
        <f>E1039+E1035+E1031+E1027+E1023+E1019+E1043</f>
        <v>0</v>
      </c>
      <c r="F1044" s="199">
        <f>SUM(E1044:E1044)</f>
        <v>0</v>
      </c>
      <c r="G1044" s="376" t="s">
        <v>2595</v>
      </c>
      <c r="H1044" s="198">
        <f>C1013</f>
        <v>5213407</v>
      </c>
      <c r="I1044" s="369">
        <f>MAX($I$13:I1043)+1</f>
        <v>532</v>
      </c>
      <c r="J1044" s="65" t="str">
        <f>CONCATENATE("(",I1044,")"," = ","(",I1019,")+(",I1023,")+(",I1027,")+(",I1031,")+(",I1035,")+(",I1039,")+(",I1043,")")</f>
        <v>(532) = (507)+(511)+(515)+(519)+(523)+(527)+(531)</v>
      </c>
    </row>
    <row r="1045" spans="1:11" s="188" customFormat="1" ht="13.5" hidden="1" thickBot="1" x14ac:dyDescent="0.3">
      <c r="A1045" s="329">
        <f t="shared" si="125"/>
        <v>0</v>
      </c>
      <c r="B1045" s="198"/>
      <c r="C1045" s="385"/>
      <c r="D1045" s="385"/>
      <c r="E1045" s="368"/>
      <c r="F1045" s="368"/>
      <c r="G1045" s="386"/>
      <c r="H1045" s="198"/>
      <c r="I1045" s="369"/>
      <c r="J1045" s="65"/>
    </row>
    <row r="1046" spans="1:11" s="191" customFormat="1" ht="15.75" hidden="1" thickBot="1" x14ac:dyDescent="0.3">
      <c r="A1046" s="686">
        <f>IF(E1049=0,0,1)</f>
        <v>0</v>
      </c>
      <c r="B1046" s="189"/>
      <c r="C1046" s="190">
        <f>oR!G327</f>
        <v>5213408</v>
      </c>
      <c r="D1046" s="324" t="str">
        <f>oR!H327</f>
        <v>Pintura de faixa com termoplástico por aspersão - espessura de 1,5 mm</v>
      </c>
      <c r="F1046" s="325"/>
      <c r="G1046" s="392"/>
      <c r="H1046" s="364"/>
      <c r="I1046" s="364"/>
      <c r="J1046" s="364"/>
    </row>
    <row r="1047" spans="1:11" ht="13.5" hidden="1" thickBot="1" x14ac:dyDescent="0.3">
      <c r="A1047" s="329">
        <f>A1046</f>
        <v>0</v>
      </c>
      <c r="B1047" s="329"/>
      <c r="C1047" s="193"/>
      <c r="D1047" s="194" t="s">
        <v>3932</v>
      </c>
      <c r="E1047" s="329"/>
      <c r="F1047" s="328"/>
      <c r="G1047" s="393"/>
      <c r="H1047" s="365"/>
      <c r="I1047" s="365"/>
      <c r="J1047" s="365"/>
    </row>
    <row r="1048" spans="1:11" ht="13.5" hidden="1" thickBot="1" x14ac:dyDescent="0.3">
      <c r="A1048" s="329">
        <f t="shared" ref="A1048:A1050" si="168">A1047</f>
        <v>0</v>
      </c>
      <c r="B1048" s="329"/>
      <c r="C1048" s="1777" t="s">
        <v>42</v>
      </c>
      <c r="D1048" s="1777"/>
      <c r="E1048" s="327" t="str">
        <f>E$12</f>
        <v>ESTR. DE LINHA TAQUARAL</v>
      </c>
      <c r="F1048" s="423" t="s">
        <v>96</v>
      </c>
      <c r="G1048" s="376"/>
      <c r="H1048" s="65"/>
      <c r="I1048" s="65"/>
      <c r="J1048" s="65"/>
    </row>
    <row r="1049" spans="1:11" s="188" customFormat="1" ht="13.5" hidden="1" thickBot="1" x14ac:dyDescent="0.3">
      <c r="A1049" s="329">
        <f t="shared" si="168"/>
        <v>0</v>
      </c>
      <c r="B1049" s="198">
        <f>B1044+1</f>
        <v>274</v>
      </c>
      <c r="C1049" s="422"/>
      <c r="D1049" s="423" t="s">
        <v>2601</v>
      </c>
      <c r="E1049" s="395">
        <v>0</v>
      </c>
      <c r="F1049" s="199">
        <f>SUM(E1049:E1049)</f>
        <v>0</v>
      </c>
      <c r="G1049" s="376" t="s">
        <v>2595</v>
      </c>
      <c r="H1049" s="198">
        <f>C1046</f>
        <v>5213408</v>
      </c>
      <c r="I1049" s="369">
        <f>MAX($I$13:I1048)+1</f>
        <v>533</v>
      </c>
      <c r="J1049" s="65" t="s">
        <v>2842</v>
      </c>
    </row>
    <row r="1050" spans="1:11" s="188" customFormat="1" ht="13.5" hidden="1" thickBot="1" x14ac:dyDescent="0.3">
      <c r="A1050" s="329">
        <f t="shared" si="168"/>
        <v>0</v>
      </c>
      <c r="B1050" s="198"/>
      <c r="C1050" s="385"/>
      <c r="D1050" s="385"/>
      <c r="E1050" s="368"/>
      <c r="F1050" s="368"/>
      <c r="G1050" s="386"/>
      <c r="H1050" s="198"/>
      <c r="I1050" s="369"/>
      <c r="J1050" s="65"/>
    </row>
    <row r="1051" spans="1:11" s="191" customFormat="1" ht="15.75" thickBot="1" x14ac:dyDescent="0.3">
      <c r="A1051" s="686">
        <f>IF(E1071=0,0,1)</f>
        <v>1</v>
      </c>
      <c r="B1051" s="189"/>
      <c r="C1051" s="190">
        <f>oR!G328</f>
        <v>5213857</v>
      </c>
      <c r="D1051" s="324" t="str">
        <f>oR!H328</f>
        <v>Suporte metálico galvanizado para placa de regulamentação - R1 - lado de 0,414 m - fornecimento e implantação</v>
      </c>
      <c r="F1051" s="325"/>
      <c r="G1051" s="392"/>
      <c r="H1051" s="364"/>
      <c r="I1051" s="364"/>
      <c r="J1051" s="364"/>
    </row>
    <row r="1052" spans="1:11" s="191" customFormat="1" ht="15.75" thickBot="1" x14ac:dyDescent="0.3">
      <c r="A1052" s="686">
        <f t="shared" ref="A1052:A1068" si="169">IF(E1072=0,0,1)</f>
        <v>1</v>
      </c>
      <c r="B1052" s="189"/>
      <c r="C1052" s="190">
        <f>oR!G329</f>
        <v>5213446</v>
      </c>
      <c r="D1052" s="324" t="str">
        <f>oR!H329</f>
        <v>Placa de regulamentação em aço, R1 lado 0,414 m - película retrorrefletiva tipo I + SI - fornecimento e implantação</v>
      </c>
      <c r="F1052" s="325"/>
      <c r="G1052" s="392"/>
      <c r="H1052" s="364"/>
      <c r="I1052" s="364"/>
      <c r="J1052" s="364"/>
    </row>
    <row r="1053" spans="1:11" s="191" customFormat="1" ht="15.75" hidden="1" thickBot="1" x14ac:dyDescent="0.3">
      <c r="A1053" s="686">
        <f t="shared" si="169"/>
        <v>0</v>
      </c>
      <c r="B1053" s="189"/>
      <c r="C1053" s="190">
        <f>oR!G330</f>
        <v>5213450</v>
      </c>
      <c r="D1053" s="324" t="str">
        <f>oR!H330</f>
        <v>Placa de regulamentação em aço, R2 lado 1,00 m - película retrorrefletiva tipo I + SI - fornecimento e implantação</v>
      </c>
      <c r="F1053" s="325"/>
      <c r="G1053" s="392"/>
      <c r="H1053" s="364"/>
      <c r="I1053" s="364"/>
      <c r="J1053" s="364"/>
    </row>
    <row r="1054" spans="1:11" s="191" customFormat="1" ht="15.75" hidden="1" thickBot="1" x14ac:dyDescent="0.3">
      <c r="A1054" s="686">
        <f t="shared" si="169"/>
        <v>0</v>
      </c>
      <c r="B1054" s="189"/>
      <c r="C1054" s="190">
        <f>oR!G331</f>
        <v>5213861</v>
      </c>
      <c r="D1054" s="324" t="str">
        <f>oR!H331</f>
        <v>Suporte metálico galvanizado para placa de regulamentação - R2 - lado de 1,00 m - fornecimento e implantação</v>
      </c>
      <c r="F1054" s="325"/>
      <c r="G1054" s="392"/>
      <c r="H1054" s="364"/>
      <c r="I1054" s="364"/>
      <c r="J1054" s="364"/>
    </row>
    <row r="1055" spans="1:11" s="191" customFormat="1" ht="15.75" thickBot="1" x14ac:dyDescent="0.3">
      <c r="A1055" s="686">
        <f t="shared" si="169"/>
        <v>1</v>
      </c>
      <c r="B1055" s="189"/>
      <c r="C1055" s="190">
        <f>oR!G332</f>
        <v>5213441</v>
      </c>
      <c r="D1055" s="324" t="str">
        <f>oR!H332</f>
        <v>Placa de regulamentação em aço D = 0,80 m - película retrorrefletiva tipo I + SI - fornecimento e implantação</v>
      </c>
      <c r="F1055" s="325"/>
      <c r="G1055" s="392"/>
      <c r="H1055" s="364"/>
      <c r="I1055" s="364"/>
      <c r="J1055" s="364"/>
    </row>
    <row r="1056" spans="1:11" s="191" customFormat="1" ht="15.75" thickBot="1" x14ac:dyDescent="0.3">
      <c r="A1056" s="686">
        <f t="shared" si="169"/>
        <v>1</v>
      </c>
      <c r="B1056" s="189"/>
      <c r="C1056" s="190">
        <f>oR!G333</f>
        <v>5213864</v>
      </c>
      <c r="D1056" s="324" t="str">
        <f>oR!H333</f>
        <v>Suporte metálico galvanizado para placa de advertência ou regulamentação - lado ou diâmetro de 0,80 m - fornecimento e implantação</v>
      </c>
      <c r="F1056" s="325"/>
      <c r="G1056" s="392"/>
      <c r="H1056" s="364"/>
      <c r="I1056" s="364"/>
      <c r="J1056" s="364"/>
    </row>
    <row r="1057" spans="1:12" s="191" customFormat="1" ht="15.75" thickBot="1" x14ac:dyDescent="0.3">
      <c r="A1057" s="686">
        <f t="shared" si="169"/>
        <v>1</v>
      </c>
      <c r="B1057" s="189"/>
      <c r="C1057" s="190">
        <f>oR!G334</f>
        <v>5213465</v>
      </c>
      <c r="D1057" s="324" t="str">
        <f>oR!H334</f>
        <v>Placa de advertência em aço, lado de 0,80 m - película retrorrefletiva tipo I + SI - fornecimento e implantação</v>
      </c>
      <c r="F1057" s="325"/>
      <c r="G1057" s="392"/>
      <c r="H1057" s="364"/>
      <c r="I1057" s="364"/>
      <c r="J1057" s="364"/>
    </row>
    <row r="1058" spans="1:12" s="191" customFormat="1" ht="15.75" thickBot="1" x14ac:dyDescent="0.3">
      <c r="A1058" s="686">
        <f t="shared" si="169"/>
        <v>1</v>
      </c>
      <c r="B1058" s="189"/>
      <c r="C1058" s="190">
        <f>oR!G335</f>
        <v>5213864</v>
      </c>
      <c r="D1058" s="324" t="str">
        <f>oR!H335</f>
        <v>Suporte metálico galvanizado para placa de advertência ou regulamentação - lado ou diâmetro de 0,80 m - fornecimento e implantação</v>
      </c>
      <c r="F1058" s="325"/>
      <c r="G1058" s="392"/>
      <c r="H1058" s="364"/>
      <c r="I1058" s="364"/>
      <c r="J1058" s="364"/>
    </row>
    <row r="1059" spans="1:12" s="191" customFormat="1" ht="15.75" hidden="1" thickBot="1" x14ac:dyDescent="0.3">
      <c r="A1059" s="686">
        <f t="shared" si="169"/>
        <v>0</v>
      </c>
      <c r="B1059" s="189"/>
      <c r="C1059" s="190">
        <f>oR!G336</f>
        <v>5213489</v>
      </c>
      <c r="D1059" s="324" t="str">
        <f>oR!H336</f>
        <v>Placa em aço - 2,00 x 1,00 m - película retrorrefletiva tipo I + I - fornecimento e implantação</v>
      </c>
      <c r="F1059" s="325"/>
      <c r="G1059" s="392"/>
      <c r="H1059" s="364"/>
      <c r="I1059" s="364"/>
      <c r="J1059" s="364"/>
    </row>
    <row r="1060" spans="1:12" s="191" customFormat="1" ht="15.75" hidden="1" thickBot="1" x14ac:dyDescent="0.3">
      <c r="A1060" s="686">
        <f t="shared" si="169"/>
        <v>0</v>
      </c>
      <c r="B1060" s="189"/>
      <c r="C1060" s="190">
        <f>oR!G337</f>
        <v>5213868</v>
      </c>
      <c r="D1060" s="324" t="str">
        <f>oR!H337</f>
        <v>Suporte metálico galvanizado para placas - 2,00 x 1,00 m - fornecimento e implantação</v>
      </c>
      <c r="F1060" s="325"/>
      <c r="G1060" s="392"/>
      <c r="H1060" s="364"/>
      <c r="I1060" s="364"/>
      <c r="J1060" s="364"/>
    </row>
    <row r="1061" spans="1:12" s="191" customFormat="1" ht="15.75" hidden="1" thickBot="1" x14ac:dyDescent="0.3">
      <c r="A1061" s="686">
        <f t="shared" si="169"/>
        <v>0</v>
      </c>
      <c r="B1061" s="189"/>
      <c r="C1061" s="190" t="str">
        <f>oR!G338</f>
        <v>COMP 63</v>
      </c>
      <c r="D1061" s="324" t="str">
        <f>oR!H338</f>
        <v>Placa em aço - 2,00 x 0,50 m - película retrorrefletiva tipo I + I - fornecimento e implantação</v>
      </c>
      <c r="F1061" s="325"/>
      <c r="G1061" s="392"/>
      <c r="H1061" s="364"/>
      <c r="I1061" s="364"/>
      <c r="J1061" s="364"/>
    </row>
    <row r="1062" spans="1:12" s="191" customFormat="1" ht="15.75" hidden="1" thickBot="1" x14ac:dyDescent="0.3">
      <c r="A1062" s="686">
        <f t="shared" si="169"/>
        <v>0</v>
      </c>
      <c r="B1062" s="189"/>
      <c r="C1062" s="190" t="str">
        <f>oR!G339</f>
        <v>COMP 64</v>
      </c>
      <c r="D1062" s="324" t="str">
        <f>oR!H339</f>
        <v>Suporte metálico galvanizado para placas - 2,00 x 0,50 m - fornecimento e implantação</v>
      </c>
      <c r="F1062" s="325"/>
      <c r="G1062" s="392"/>
      <c r="H1062" s="364"/>
      <c r="I1062" s="364"/>
      <c r="J1062" s="364"/>
    </row>
    <row r="1063" spans="1:12" s="191" customFormat="1" ht="15.75" hidden="1" thickBot="1" x14ac:dyDescent="0.3">
      <c r="A1063" s="686">
        <f t="shared" si="169"/>
        <v>0</v>
      </c>
      <c r="B1063" s="189"/>
      <c r="C1063" s="190" t="str">
        <f>oR!G340</f>
        <v>COMP 68</v>
      </c>
      <c r="D1063" s="324" t="str">
        <f>oR!H340</f>
        <v>Placa em aço - 0,60 x 0,67 m - película retrorrefletiva tipo I + I - fornecimento e implantação</v>
      </c>
      <c r="F1063" s="325"/>
      <c r="G1063" s="392"/>
      <c r="H1063" s="364"/>
      <c r="I1063" s="364"/>
      <c r="J1063" s="364"/>
    </row>
    <row r="1064" spans="1:12" s="191" customFormat="1" ht="15.75" hidden="1" thickBot="1" x14ac:dyDescent="0.3">
      <c r="A1064" s="686">
        <f t="shared" si="169"/>
        <v>0</v>
      </c>
      <c r="B1064" s="189"/>
      <c r="C1064" s="190" t="str">
        <f>oR!G341</f>
        <v>COMP 69</v>
      </c>
      <c r="D1064" s="324" t="str">
        <f>oR!H341</f>
        <v>Suporte metálico galvanizado para placas - 0,60 x0,67 m - fornecimento e implantação</v>
      </c>
      <c r="F1064" s="325"/>
      <c r="G1064" s="392"/>
      <c r="H1064" s="364"/>
      <c r="I1064" s="364"/>
      <c r="J1064" s="364"/>
    </row>
    <row r="1065" spans="1:12" s="191" customFormat="1" ht="15.75" hidden="1" thickBot="1" x14ac:dyDescent="0.3">
      <c r="A1065" s="686">
        <f t="shared" si="169"/>
        <v>0</v>
      </c>
      <c r="B1065" s="189"/>
      <c r="C1065" s="190" t="str">
        <f>oR!G342</f>
        <v>COMP 66</v>
      </c>
      <c r="D1065" s="324" t="str">
        <f>oR!H342</f>
        <v>Placa em aço - 0,60 x 1,00 m - película retrorrefletiva tipo I + I - fornecimento e implantação</v>
      </c>
      <c r="F1065" s="325"/>
      <c r="G1065" s="392"/>
      <c r="H1065" s="364"/>
      <c r="I1065" s="364"/>
      <c r="J1065" s="364"/>
    </row>
    <row r="1066" spans="1:12" s="191" customFormat="1" ht="15.75" hidden="1" thickBot="1" x14ac:dyDescent="0.3">
      <c r="A1066" s="686">
        <f t="shared" si="169"/>
        <v>0</v>
      </c>
      <c r="B1066" s="189"/>
      <c r="C1066" s="190" t="str">
        <f>oR!G343</f>
        <v>COMP 67</v>
      </c>
      <c r="D1066" s="324" t="str">
        <f>oR!H343</f>
        <v>Suporte metálico galvanizado para placas - 0,60 x 1,00 m - fornecimento e implantação</v>
      </c>
      <c r="F1066" s="325"/>
      <c r="G1066" s="392"/>
      <c r="H1066" s="364"/>
      <c r="I1066" s="364"/>
      <c r="J1066" s="364"/>
    </row>
    <row r="1067" spans="1:12" s="191" customFormat="1" ht="15.75" hidden="1" thickBot="1" x14ac:dyDescent="0.3">
      <c r="A1067" s="686">
        <f t="shared" si="169"/>
        <v>0</v>
      </c>
      <c r="B1067" s="189"/>
      <c r="C1067" s="190" t="str">
        <f>oR!G344</f>
        <v>COMP 70</v>
      </c>
      <c r="D1067" s="324" t="str">
        <f>oR!H344</f>
        <v>Placa em aço - 0,50 x 1,50m - película retrorrefletiva tipo I + I - fornecimento e implantação</v>
      </c>
      <c r="F1067" s="325"/>
      <c r="G1067" s="392"/>
      <c r="H1067" s="364"/>
      <c r="I1067" s="364"/>
      <c r="J1067" s="364"/>
    </row>
    <row r="1068" spans="1:12" s="191" customFormat="1" ht="15.75" hidden="1" thickBot="1" x14ac:dyDescent="0.3">
      <c r="A1068" s="686">
        <f t="shared" si="169"/>
        <v>0</v>
      </c>
      <c r="B1068" s="189"/>
      <c r="C1068" s="190" t="str">
        <f>oR!G345</f>
        <v>COMP 71</v>
      </c>
      <c r="D1068" s="324" t="str">
        <f>oR!H345</f>
        <v>Suporte metálico galvanizado para placas - 0,60 x0,67 m - fornecimento e implantação</v>
      </c>
      <c r="F1068" s="325"/>
      <c r="G1068" s="392"/>
      <c r="H1068" s="364"/>
      <c r="I1068" s="364"/>
      <c r="J1068" s="364"/>
    </row>
    <row r="1069" spans="1:12" x14ac:dyDescent="0.25">
      <c r="A1069" s="329">
        <f>IF(SUM(A1051:A1066)=0,0,1)</f>
        <v>1</v>
      </c>
      <c r="B1069" s="329"/>
      <c r="C1069" s="193"/>
      <c r="D1069" s="194" t="s">
        <v>2864</v>
      </c>
      <c r="E1069" s="329"/>
      <c r="F1069" s="328"/>
      <c r="G1069" s="393"/>
      <c r="H1069" s="365"/>
      <c r="I1069" s="365"/>
      <c r="J1069" s="365"/>
    </row>
    <row r="1070" spans="1:12" x14ac:dyDescent="0.25">
      <c r="A1070" s="329">
        <f>A1069</f>
        <v>1</v>
      </c>
      <c r="B1070" s="329"/>
      <c r="C1070" s="1777" t="s">
        <v>42</v>
      </c>
      <c r="D1070" s="1777"/>
      <c r="E1070" s="327" t="str">
        <f>E$12</f>
        <v>ESTR. DE LINHA TAQUARAL</v>
      </c>
      <c r="F1070" s="384" t="s">
        <v>96</v>
      </c>
      <c r="G1070" s="376"/>
      <c r="H1070" s="65"/>
      <c r="I1070" s="65"/>
      <c r="J1070" s="65"/>
      <c r="K1070" s="329" t="s">
        <v>7244</v>
      </c>
      <c r="L1070" s="329" t="s">
        <v>6449</v>
      </c>
    </row>
    <row r="1071" spans="1:12" s="188" customFormat="1" ht="12.75" customHeight="1" x14ac:dyDescent="0.25">
      <c r="A1071" s="185">
        <f t="shared" ref="A1071:A1086" si="170">A1051</f>
        <v>1</v>
      </c>
      <c r="B1071" s="198">
        <f>oR!D328</f>
        <v>275</v>
      </c>
      <c r="C1071" s="856" t="s">
        <v>2786</v>
      </c>
      <c r="D1071" s="857" t="s">
        <v>7246</v>
      </c>
      <c r="E1071" s="395">
        <f>SUM(K1071:L1071)</f>
        <v>1</v>
      </c>
      <c r="F1071" s="199">
        <f t="shared" ref="F1071" si="171">SUM(E1071:E1071)</f>
        <v>1</v>
      </c>
      <c r="G1071" s="376" t="s">
        <v>2599</v>
      </c>
      <c r="H1071" s="198">
        <f t="shared" ref="H1071:H1086" si="172">C1051</f>
        <v>5213857</v>
      </c>
      <c r="I1071" s="369">
        <f>MAX($I$13:I1070)+1</f>
        <v>534</v>
      </c>
      <c r="J1071" s="65" t="s">
        <v>2842</v>
      </c>
      <c r="K1071" s="1426">
        <v>1</v>
      </c>
      <c r="L1071" s="1426"/>
    </row>
    <row r="1072" spans="1:12" s="188" customFormat="1" x14ac:dyDescent="0.25">
      <c r="A1072" s="185">
        <f t="shared" si="170"/>
        <v>1</v>
      </c>
      <c r="B1072" s="198">
        <f>oR!D329</f>
        <v>276</v>
      </c>
      <c r="C1072" s="856" t="s">
        <v>6470</v>
      </c>
      <c r="D1072" s="857" t="str">
        <f>D1071</f>
        <v>R1 L=0,41m</v>
      </c>
      <c r="E1072" s="529">
        <f>E1071</f>
        <v>1</v>
      </c>
      <c r="F1072" s="199">
        <f t="shared" ref="F1072:F1079" si="173">SUM(E1072:E1072)</f>
        <v>1</v>
      </c>
      <c r="G1072" s="376" t="s">
        <v>2599</v>
      </c>
      <c r="H1072" s="198">
        <f t="shared" si="172"/>
        <v>5213446</v>
      </c>
      <c r="I1072" s="369">
        <f>MAX($I$13:I1071)+1</f>
        <v>535</v>
      </c>
      <c r="J1072" s="65" t="s">
        <v>2842</v>
      </c>
      <c r="K1072" s="1426"/>
      <c r="L1072" s="1426"/>
    </row>
    <row r="1073" spans="1:12" s="188" customFormat="1" hidden="1" x14ac:dyDescent="0.25">
      <c r="A1073" s="185">
        <f t="shared" si="170"/>
        <v>0</v>
      </c>
      <c r="B1073" s="198">
        <f>oR!D330</f>
        <v>277</v>
      </c>
      <c r="C1073" s="856" t="s">
        <v>2786</v>
      </c>
      <c r="D1073" s="857" t="s">
        <v>7245</v>
      </c>
      <c r="E1073" s="395">
        <f>SUM(K1073:L1073)</f>
        <v>0</v>
      </c>
      <c r="F1073" s="199">
        <f t="shared" si="173"/>
        <v>0</v>
      </c>
      <c r="G1073" s="376" t="s">
        <v>2599</v>
      </c>
      <c r="H1073" s="198">
        <f t="shared" si="172"/>
        <v>5213450</v>
      </c>
      <c r="I1073" s="369">
        <f>MAX($I$13:I1072)+1</f>
        <v>536</v>
      </c>
      <c r="J1073" s="65" t="s">
        <v>2842</v>
      </c>
      <c r="K1073" s="1426">
        <v>0</v>
      </c>
      <c r="L1073" s="1426"/>
    </row>
    <row r="1074" spans="1:12" s="188" customFormat="1" hidden="1" x14ac:dyDescent="0.25">
      <c r="A1074" s="185">
        <f t="shared" si="170"/>
        <v>0</v>
      </c>
      <c r="B1074" s="198">
        <f>oR!D331</f>
        <v>278</v>
      </c>
      <c r="C1074" s="856" t="s">
        <v>6470</v>
      </c>
      <c r="D1074" s="857" t="str">
        <f>D1073</f>
        <v>R2 L=1,00m</v>
      </c>
      <c r="E1074" s="529">
        <f t="shared" ref="E1074" si="174">E1073</f>
        <v>0</v>
      </c>
      <c r="F1074" s="199">
        <f t="shared" si="173"/>
        <v>0</v>
      </c>
      <c r="G1074" s="376" t="s">
        <v>2599</v>
      </c>
      <c r="H1074" s="198">
        <f t="shared" si="172"/>
        <v>5213861</v>
      </c>
      <c r="I1074" s="369">
        <f>MAX($I$13:I1073)+1</f>
        <v>537</v>
      </c>
      <c r="J1074" s="65" t="s">
        <v>2842</v>
      </c>
      <c r="K1074" s="1426"/>
      <c r="L1074" s="1426"/>
    </row>
    <row r="1075" spans="1:12" s="188" customFormat="1" x14ac:dyDescent="0.25">
      <c r="A1075" s="185">
        <f t="shared" si="170"/>
        <v>1</v>
      </c>
      <c r="B1075" s="198">
        <f>oR!D332</f>
        <v>279</v>
      </c>
      <c r="C1075" s="856" t="s">
        <v>2786</v>
      </c>
      <c r="D1075" s="857" t="s">
        <v>7248</v>
      </c>
      <c r="E1075" s="395">
        <v>2</v>
      </c>
      <c r="F1075" s="199">
        <f t="shared" si="173"/>
        <v>2</v>
      </c>
      <c r="G1075" s="376" t="s">
        <v>2599</v>
      </c>
      <c r="H1075" s="198">
        <f t="shared" si="172"/>
        <v>5213441</v>
      </c>
      <c r="I1075" s="369">
        <f>MAX($I$13:I1074)+1</f>
        <v>538</v>
      </c>
      <c r="J1075" s="65" t="s">
        <v>2842</v>
      </c>
      <c r="K1075" s="1426">
        <v>8</v>
      </c>
      <c r="L1075" s="1426"/>
    </row>
    <row r="1076" spans="1:12" s="188" customFormat="1" x14ac:dyDescent="0.25">
      <c r="A1076" s="185">
        <f t="shared" si="170"/>
        <v>1</v>
      </c>
      <c r="B1076" s="198">
        <f>oR!D333</f>
        <v>280</v>
      </c>
      <c r="C1076" s="856" t="s">
        <v>6470</v>
      </c>
      <c r="D1076" s="857" t="str">
        <f>D1075</f>
        <v>Regulamentação D=1,00m</v>
      </c>
      <c r="E1076" s="529">
        <f t="shared" ref="E1076" si="175">E1075</f>
        <v>2</v>
      </c>
      <c r="F1076" s="199">
        <f t="shared" si="173"/>
        <v>2</v>
      </c>
      <c r="G1076" s="376" t="s">
        <v>2599</v>
      </c>
      <c r="H1076" s="198">
        <f t="shared" si="172"/>
        <v>5213864</v>
      </c>
      <c r="I1076" s="369">
        <f>MAX($I$13:I1075)+1</f>
        <v>539</v>
      </c>
      <c r="J1076" s="65" t="s">
        <v>2842</v>
      </c>
      <c r="K1076" s="1426"/>
      <c r="L1076" s="1426"/>
    </row>
    <row r="1077" spans="1:12" s="188" customFormat="1" x14ac:dyDescent="0.25">
      <c r="A1077" s="185">
        <f t="shared" si="170"/>
        <v>1</v>
      </c>
      <c r="B1077" s="198">
        <f>oR!D334</f>
        <v>281</v>
      </c>
      <c r="C1077" s="856" t="s">
        <v>2786</v>
      </c>
      <c r="D1077" s="857" t="s">
        <v>7249</v>
      </c>
      <c r="E1077" s="395">
        <v>3</v>
      </c>
      <c r="F1077" s="199">
        <f t="shared" si="173"/>
        <v>3</v>
      </c>
      <c r="G1077" s="376" t="s">
        <v>2599</v>
      </c>
      <c r="H1077" s="198">
        <f t="shared" si="172"/>
        <v>5213465</v>
      </c>
      <c r="I1077" s="369">
        <f>MAX($I$13:I1076)+1</f>
        <v>540</v>
      </c>
      <c r="J1077" s="65" t="s">
        <v>2842</v>
      </c>
      <c r="K1077" s="1426">
        <v>10</v>
      </c>
      <c r="L1077" s="1426"/>
    </row>
    <row r="1078" spans="1:12" s="188" customFormat="1" ht="12.75" customHeight="1" x14ac:dyDescent="0.25">
      <c r="A1078" s="185">
        <f t="shared" si="170"/>
        <v>1</v>
      </c>
      <c r="B1078" s="198">
        <f>oR!D335</f>
        <v>282</v>
      </c>
      <c r="C1078" s="856" t="s">
        <v>6470</v>
      </c>
      <c r="D1078" s="857" t="str">
        <f>D1077</f>
        <v>Advertência 1,00x1,00m</v>
      </c>
      <c r="E1078" s="529">
        <f t="shared" ref="E1078" si="176">E1077</f>
        <v>3</v>
      </c>
      <c r="F1078" s="199">
        <f t="shared" si="173"/>
        <v>3</v>
      </c>
      <c r="G1078" s="376" t="s">
        <v>2599</v>
      </c>
      <c r="H1078" s="198">
        <f t="shared" si="172"/>
        <v>5213864</v>
      </c>
      <c r="I1078" s="369">
        <f>MAX($I$13:I1077)+1</f>
        <v>541</v>
      </c>
      <c r="J1078" s="65" t="s">
        <v>2842</v>
      </c>
      <c r="K1078" s="1426"/>
      <c r="L1078" s="1426"/>
    </row>
    <row r="1079" spans="1:12" s="188" customFormat="1" ht="12.75" hidden="1" customHeight="1" x14ac:dyDescent="0.25">
      <c r="A1079" s="185">
        <f t="shared" si="170"/>
        <v>0</v>
      </c>
      <c r="B1079" s="198">
        <f>oR!D336</f>
        <v>283</v>
      </c>
      <c r="C1079" s="856" t="s">
        <v>2786</v>
      </c>
      <c r="D1079" s="857" t="s">
        <v>7250</v>
      </c>
      <c r="E1079" s="395">
        <f>SUM(K1079:L1079)</f>
        <v>0</v>
      </c>
      <c r="F1079" s="199">
        <f t="shared" si="173"/>
        <v>0</v>
      </c>
      <c r="G1079" s="376" t="s">
        <v>2599</v>
      </c>
      <c r="H1079" s="198">
        <f t="shared" si="172"/>
        <v>5213489</v>
      </c>
      <c r="I1079" s="369">
        <f>MAX($I$13:I1078)+1</f>
        <v>542</v>
      </c>
      <c r="J1079" s="65" t="s">
        <v>2842</v>
      </c>
      <c r="K1079" s="1426"/>
      <c r="L1079" s="1426"/>
    </row>
    <row r="1080" spans="1:12" s="188" customFormat="1" ht="12.75" hidden="1" customHeight="1" x14ac:dyDescent="0.25">
      <c r="A1080" s="185">
        <f t="shared" si="170"/>
        <v>0</v>
      </c>
      <c r="B1080" s="198">
        <f>oR!D337</f>
        <v>284</v>
      </c>
      <c r="C1080" s="856" t="s">
        <v>6470</v>
      </c>
      <c r="D1080" s="857" t="str">
        <f>D1079</f>
        <v>2,00x1,00m</v>
      </c>
      <c r="E1080" s="529">
        <f t="shared" ref="E1080" si="177">E1079</f>
        <v>0</v>
      </c>
      <c r="F1080" s="199">
        <f t="shared" ref="F1080" si="178">SUM(E1080:E1080)</f>
        <v>0</v>
      </c>
      <c r="G1080" s="376" t="s">
        <v>2599</v>
      </c>
      <c r="H1080" s="198">
        <f t="shared" si="172"/>
        <v>5213868</v>
      </c>
      <c r="I1080" s="369">
        <f>MAX($I$13:I1079)+1</f>
        <v>543</v>
      </c>
      <c r="J1080" s="65" t="s">
        <v>2842</v>
      </c>
      <c r="K1080" s="1426"/>
      <c r="L1080" s="1426"/>
    </row>
    <row r="1081" spans="1:12" s="188" customFormat="1" ht="12.75" hidden="1" customHeight="1" x14ac:dyDescent="0.25">
      <c r="A1081" s="185">
        <f t="shared" si="170"/>
        <v>0</v>
      </c>
      <c r="B1081" s="198">
        <f>oR!D338</f>
        <v>285</v>
      </c>
      <c r="C1081" s="856" t="s">
        <v>2786</v>
      </c>
      <c r="D1081" s="857" t="s">
        <v>7251</v>
      </c>
      <c r="E1081" s="395">
        <f>SUM(K1081:L1081)</f>
        <v>0</v>
      </c>
      <c r="F1081" s="199">
        <f t="shared" ref="F1081:F1082" si="179">SUM(E1081:E1081)</f>
        <v>0</v>
      </c>
      <c r="G1081" s="376" t="s">
        <v>2599</v>
      </c>
      <c r="H1081" s="198" t="str">
        <f t="shared" si="172"/>
        <v>COMP 63</v>
      </c>
      <c r="I1081" s="369">
        <f>MAX($I$13:I1080)+1</f>
        <v>544</v>
      </c>
      <c r="J1081" s="65" t="s">
        <v>2842</v>
      </c>
      <c r="K1081" s="1426"/>
      <c r="L1081" s="1426"/>
    </row>
    <row r="1082" spans="1:12" s="188" customFormat="1" ht="12.75" hidden="1" customHeight="1" x14ac:dyDescent="0.25">
      <c r="A1082" s="185">
        <f t="shared" si="170"/>
        <v>0</v>
      </c>
      <c r="B1082" s="198">
        <f>oR!D339</f>
        <v>286</v>
      </c>
      <c r="C1082" s="856" t="s">
        <v>6470</v>
      </c>
      <c r="D1082" s="857" t="str">
        <f>D1081</f>
        <v>2,00x0,50m</v>
      </c>
      <c r="E1082" s="529">
        <f t="shared" ref="E1082" si="180">E1081</f>
        <v>0</v>
      </c>
      <c r="F1082" s="199">
        <f t="shared" si="179"/>
        <v>0</v>
      </c>
      <c r="G1082" s="376" t="s">
        <v>2599</v>
      </c>
      <c r="H1082" s="198" t="str">
        <f t="shared" si="172"/>
        <v>COMP 64</v>
      </c>
      <c r="I1082" s="369">
        <f>MAX($I$13:I1081)+1</f>
        <v>545</v>
      </c>
      <c r="J1082" s="65" t="s">
        <v>2842</v>
      </c>
      <c r="K1082" s="1426"/>
      <c r="L1082" s="1426"/>
    </row>
    <row r="1083" spans="1:12" s="188" customFormat="1" ht="12.75" hidden="1" customHeight="1" x14ac:dyDescent="0.25">
      <c r="A1083" s="185">
        <f t="shared" si="170"/>
        <v>0</v>
      </c>
      <c r="B1083" s="198">
        <f>oR!D340</f>
        <v>287</v>
      </c>
      <c r="C1083" s="856" t="s">
        <v>2786</v>
      </c>
      <c r="D1083" s="857" t="s">
        <v>7252</v>
      </c>
      <c r="E1083" s="395">
        <f>SUM(K1083:L1083)</f>
        <v>0</v>
      </c>
      <c r="F1083" s="199">
        <f t="shared" ref="F1083:F1086" si="181">SUM(E1083:E1083)</f>
        <v>0</v>
      </c>
      <c r="G1083" s="376" t="s">
        <v>2599</v>
      </c>
      <c r="H1083" s="198" t="str">
        <f t="shared" si="172"/>
        <v>COMP 68</v>
      </c>
      <c r="I1083" s="369">
        <f>MAX($I$13:I1082)+1</f>
        <v>546</v>
      </c>
      <c r="J1083" s="65" t="s">
        <v>2842</v>
      </c>
      <c r="K1083" s="1426"/>
      <c r="L1083" s="1426"/>
    </row>
    <row r="1084" spans="1:12" s="188" customFormat="1" ht="12.75" hidden="1" customHeight="1" x14ac:dyDescent="0.25">
      <c r="A1084" s="185">
        <f t="shared" si="170"/>
        <v>0</v>
      </c>
      <c r="B1084" s="198">
        <f>oR!D341</f>
        <v>288</v>
      </c>
      <c r="C1084" s="856" t="s">
        <v>6470</v>
      </c>
      <c r="D1084" s="857" t="str">
        <f>D1083</f>
        <v>rodovia 0,60x0,67m</v>
      </c>
      <c r="E1084" s="529">
        <f t="shared" ref="E1084" si="182">E1083</f>
        <v>0</v>
      </c>
      <c r="F1084" s="199">
        <f t="shared" si="181"/>
        <v>0</v>
      </c>
      <c r="G1084" s="376" t="s">
        <v>2599</v>
      </c>
      <c r="H1084" s="198" t="str">
        <f t="shared" si="172"/>
        <v>COMP 69</v>
      </c>
      <c r="I1084" s="369">
        <f>MAX($I$13:I1083)+1</f>
        <v>547</v>
      </c>
      <c r="J1084" s="65" t="s">
        <v>2842</v>
      </c>
      <c r="K1084" s="1426"/>
      <c r="L1084" s="1426"/>
    </row>
    <row r="1085" spans="1:12" s="188" customFormat="1" ht="12.75" hidden="1" customHeight="1" x14ac:dyDescent="0.25">
      <c r="A1085" s="185">
        <f t="shared" si="170"/>
        <v>0</v>
      </c>
      <c r="B1085" s="198">
        <f>oR!D342</f>
        <v>289</v>
      </c>
      <c r="C1085" s="856" t="s">
        <v>2786</v>
      </c>
      <c r="D1085" s="857" t="s">
        <v>7253</v>
      </c>
      <c r="E1085" s="395">
        <f>SUM(K1085:L1085)</f>
        <v>0</v>
      </c>
      <c r="F1085" s="199">
        <f t="shared" si="181"/>
        <v>0</v>
      </c>
      <c r="G1085" s="376" t="s">
        <v>2599</v>
      </c>
      <c r="H1085" s="198" t="str">
        <f t="shared" si="172"/>
        <v>COMP 66</v>
      </c>
      <c r="I1085" s="369">
        <f>MAX($I$13:I1084)+1</f>
        <v>548</v>
      </c>
      <c r="J1085" s="65" t="s">
        <v>2842</v>
      </c>
      <c r="K1085" s="1426"/>
      <c r="L1085" s="1426"/>
    </row>
    <row r="1086" spans="1:12" s="188" customFormat="1" ht="12.75" hidden="1" customHeight="1" x14ac:dyDescent="0.25">
      <c r="A1086" s="185">
        <f t="shared" si="170"/>
        <v>0</v>
      </c>
      <c r="B1086" s="198">
        <f>oR!D343</f>
        <v>290</v>
      </c>
      <c r="C1086" s="856" t="s">
        <v>6470</v>
      </c>
      <c r="D1086" s="857" t="str">
        <f>D1085</f>
        <v>0,60x1,00m</v>
      </c>
      <c r="E1086" s="529">
        <f>E1085</f>
        <v>0</v>
      </c>
      <c r="F1086" s="199">
        <f t="shared" si="181"/>
        <v>0</v>
      </c>
      <c r="G1086" s="376" t="s">
        <v>2599</v>
      </c>
      <c r="H1086" s="198" t="str">
        <f t="shared" si="172"/>
        <v>COMP 67</v>
      </c>
      <c r="I1086" s="369">
        <f>MAX($I$13:I1085)+1</f>
        <v>549</v>
      </c>
      <c r="J1086" s="65" t="s">
        <v>2842</v>
      </c>
      <c r="K1086" s="1426"/>
      <c r="L1086" s="1426"/>
    </row>
    <row r="1087" spans="1:12" s="188" customFormat="1" ht="12.75" hidden="1" customHeight="1" x14ac:dyDescent="0.25">
      <c r="A1087" s="185">
        <f t="shared" ref="A1087:A1088" si="183">A1067</f>
        <v>0</v>
      </c>
      <c r="B1087" s="198">
        <f>oR!D344</f>
        <v>291</v>
      </c>
      <c r="C1087" s="856" t="s">
        <v>6470</v>
      </c>
      <c r="D1087" s="857" t="s">
        <v>7247</v>
      </c>
      <c r="E1087" s="395">
        <f>SUM(K1087:L1087)</f>
        <v>0</v>
      </c>
      <c r="F1087" s="199">
        <f t="shared" ref="F1087:F1088" si="184">SUM(E1087:E1087)</f>
        <v>0</v>
      </c>
      <c r="G1087" s="376" t="s">
        <v>2599</v>
      </c>
      <c r="H1087" s="198" t="str">
        <f t="shared" ref="H1087:H1088" si="185">C1067</f>
        <v>COMP 70</v>
      </c>
      <c r="I1087" s="369">
        <f>MAX($I$13:I1086)+1</f>
        <v>550</v>
      </c>
      <c r="J1087" s="65" t="s">
        <v>2842</v>
      </c>
      <c r="K1087" s="1426"/>
      <c r="L1087" s="1426"/>
    </row>
    <row r="1088" spans="1:12" s="188" customFormat="1" ht="12.75" hidden="1" customHeight="1" x14ac:dyDescent="0.25">
      <c r="A1088" s="185">
        <f t="shared" si="183"/>
        <v>0</v>
      </c>
      <c r="B1088" s="198">
        <f>oR!D345</f>
        <v>292</v>
      </c>
      <c r="C1088" s="856" t="s">
        <v>6470</v>
      </c>
      <c r="D1088" s="857" t="str">
        <f t="shared" ref="D1088" si="186">D1087</f>
        <v>Obstáculo 0,5x1,5m</v>
      </c>
      <c r="E1088" s="529">
        <f>E1087/2</f>
        <v>0</v>
      </c>
      <c r="F1088" s="199">
        <f t="shared" si="184"/>
        <v>0</v>
      </c>
      <c r="G1088" s="376" t="s">
        <v>2599</v>
      </c>
      <c r="H1088" s="198" t="str">
        <f t="shared" si="185"/>
        <v>COMP 71</v>
      </c>
      <c r="I1088" s="369">
        <f>MAX($I$13:I1087)+1</f>
        <v>551</v>
      </c>
      <c r="J1088" s="65" t="s">
        <v>2842</v>
      </c>
      <c r="K1088" s="1426"/>
      <c r="L1088" s="1426"/>
    </row>
    <row r="1089" spans="1:11" s="188" customFormat="1" x14ac:dyDescent="0.25">
      <c r="A1089" s="185">
        <f>A1069</f>
        <v>1</v>
      </c>
      <c r="B1089" s="198"/>
      <c r="C1089" s="367"/>
      <c r="D1089" s="65"/>
      <c r="E1089" s="368"/>
      <c r="F1089" s="368"/>
      <c r="G1089" s="386"/>
      <c r="H1089" s="366"/>
      <c r="I1089" s="366"/>
      <c r="J1089" s="366"/>
    </row>
    <row r="1090" spans="1:11" s="191" customFormat="1" ht="15.75" hidden="1" thickBot="1" x14ac:dyDescent="0.3">
      <c r="A1090" s="686">
        <f>IF(E1095=0,0,1)</f>
        <v>0</v>
      </c>
      <c r="B1090" s="189"/>
      <c r="C1090" s="190">
        <f>oR!G346</f>
        <v>5213362</v>
      </c>
      <c r="D1090" s="324" t="str">
        <f>oR!H346</f>
        <v>Tachão refletivo em plástico injetado - bidirecional - fornecimento e colocação</v>
      </c>
      <c r="F1090" s="325"/>
      <c r="G1090" s="392"/>
      <c r="H1090" s="364"/>
      <c r="I1090" s="364"/>
      <c r="J1090" s="364"/>
    </row>
    <row r="1091" spans="1:11" hidden="1" x14ac:dyDescent="0.25">
      <c r="A1091" s="329">
        <f>A1090</f>
        <v>0</v>
      </c>
      <c r="B1091" s="329"/>
      <c r="C1091" s="193"/>
      <c r="D1091" s="194" t="s">
        <v>7263</v>
      </c>
      <c r="E1091" s="329"/>
      <c r="F1091" s="328"/>
      <c r="G1091" s="393"/>
      <c r="H1091" s="365"/>
      <c r="I1091" s="365"/>
      <c r="J1091" s="365"/>
    </row>
    <row r="1092" spans="1:11" hidden="1" x14ac:dyDescent="0.25">
      <c r="A1092" s="329">
        <f t="shared" ref="A1092:A1096" si="187">A1091</f>
        <v>0</v>
      </c>
      <c r="B1092" s="329"/>
      <c r="C1092" s="1777" t="s">
        <v>42</v>
      </c>
      <c r="D1092" s="1777"/>
      <c r="E1092" s="327" t="str">
        <f>E$12</f>
        <v>ESTR. DE LINHA TAQUARAL</v>
      </c>
      <c r="F1092" s="423" t="s">
        <v>96</v>
      </c>
      <c r="G1092" s="376"/>
      <c r="H1092" s="65"/>
      <c r="I1092" s="65"/>
      <c r="J1092" s="65"/>
    </row>
    <row r="1093" spans="1:11" hidden="1" x14ac:dyDescent="0.25">
      <c r="A1093" s="329">
        <f>IF(E1093=0,0,1)</f>
        <v>0</v>
      </c>
      <c r="B1093" s="329"/>
      <c r="C1093" s="1785" t="s">
        <v>2946</v>
      </c>
      <c r="D1093" s="441" t="s">
        <v>53</v>
      </c>
      <c r="E1093" s="445"/>
      <c r="F1093" s="439">
        <f>SUM(E1093:E1093)</f>
        <v>0</v>
      </c>
      <c r="G1093" s="430" t="s">
        <v>2598</v>
      </c>
      <c r="H1093" s="361"/>
      <c r="I1093" s="357">
        <f>MAX($I$13:I1090)+1</f>
        <v>552</v>
      </c>
      <c r="J1093" s="361" t="s">
        <v>2842</v>
      </c>
      <c r="K1093" s="197"/>
    </row>
    <row r="1094" spans="1:11" hidden="1" x14ac:dyDescent="0.25">
      <c r="A1094" s="329">
        <f>A1093</f>
        <v>0</v>
      </c>
      <c r="B1094" s="329"/>
      <c r="C1094" s="1786"/>
      <c r="D1094" s="441" t="s">
        <v>2947</v>
      </c>
      <c r="E1094" s="445">
        <v>4</v>
      </c>
      <c r="F1094" s="439"/>
      <c r="G1094" s="430" t="s">
        <v>2598</v>
      </c>
      <c r="H1094" s="361"/>
      <c r="I1094" s="357">
        <f>MAX($I$13:I1093)+1</f>
        <v>553</v>
      </c>
      <c r="J1094" s="361" t="s">
        <v>2842</v>
      </c>
    </row>
    <row r="1095" spans="1:11" s="188" customFormat="1" hidden="1" x14ac:dyDescent="0.25">
      <c r="A1095" s="329">
        <f t="shared" si="187"/>
        <v>0</v>
      </c>
      <c r="B1095" s="198">
        <f>oR!D346</f>
        <v>293</v>
      </c>
      <c r="C1095" s="1787"/>
      <c r="D1095" s="423" t="s">
        <v>12</v>
      </c>
      <c r="E1095" s="529"/>
      <c r="F1095" s="199">
        <f>SUM(E1095:E1095)</f>
        <v>0</v>
      </c>
      <c r="G1095" s="376" t="s">
        <v>2599</v>
      </c>
      <c r="H1095" s="198">
        <f>C1090</f>
        <v>5213362</v>
      </c>
      <c r="I1095" s="369">
        <f>MAX($I$13:I1094)+1</f>
        <v>554</v>
      </c>
      <c r="J1095" s="65" t="str">
        <f>CONCATENATE("(",I1095,")"," = ","(",I1093,")/(",I1094,")")</f>
        <v>(554) = (552)/(553)</v>
      </c>
    </row>
    <row r="1096" spans="1:11" s="188" customFormat="1" hidden="1" x14ac:dyDescent="0.25">
      <c r="A1096" s="329">
        <f t="shared" si="187"/>
        <v>0</v>
      </c>
      <c r="B1096" s="198"/>
      <c r="C1096" s="367"/>
      <c r="D1096" s="65"/>
      <c r="E1096" s="368"/>
      <c r="F1096" s="368"/>
      <c r="G1096" s="386"/>
      <c r="H1096" s="366"/>
      <c r="I1096" s="366"/>
      <c r="J1096" s="366"/>
    </row>
    <row r="1097" spans="1:11" s="191" customFormat="1" ht="15.75" hidden="1" thickBot="1" x14ac:dyDescent="0.3">
      <c r="A1097" s="686">
        <f>IF(E1102=0,0,1)</f>
        <v>0</v>
      </c>
      <c r="B1097" s="189"/>
      <c r="C1097" s="190">
        <f>oR!G347</f>
        <v>5213362</v>
      </c>
      <c r="D1097" s="324" t="str">
        <f>oR!H347</f>
        <v>Tachão refletivo em plástico injetado - bidirecional - fornecimento e colocação</v>
      </c>
      <c r="F1097" s="325"/>
      <c r="G1097" s="392"/>
      <c r="H1097" s="364"/>
      <c r="I1097" s="364"/>
      <c r="J1097" s="364"/>
    </row>
    <row r="1098" spans="1:11" hidden="1" x14ac:dyDescent="0.25">
      <c r="A1098" s="329">
        <f>A1097</f>
        <v>0</v>
      </c>
      <c r="B1098" s="329"/>
      <c r="C1098" s="193"/>
      <c r="D1098" s="194" t="s">
        <v>7263</v>
      </c>
      <c r="E1098" s="329"/>
      <c r="F1098" s="844"/>
      <c r="G1098" s="393"/>
      <c r="H1098" s="365"/>
      <c r="I1098" s="365"/>
      <c r="J1098" s="365"/>
    </row>
    <row r="1099" spans="1:11" hidden="1" x14ac:dyDescent="0.25">
      <c r="A1099" s="329">
        <f t="shared" ref="A1099:A1109" si="188">A1098</f>
        <v>0</v>
      </c>
      <c r="B1099" s="329"/>
      <c r="C1099" s="1777" t="s">
        <v>42</v>
      </c>
      <c r="D1099" s="1777"/>
      <c r="E1099" s="327" t="str">
        <f>E$12</f>
        <v>ESTR. DE LINHA TAQUARAL</v>
      </c>
      <c r="F1099" s="840" t="s">
        <v>96</v>
      </c>
      <c r="G1099" s="376"/>
      <c r="H1099" s="65"/>
      <c r="I1099" s="65"/>
      <c r="J1099" s="65"/>
    </row>
    <row r="1100" spans="1:11" hidden="1" x14ac:dyDescent="0.25">
      <c r="A1100" s="329">
        <f>IF(E1100=0,0,1)</f>
        <v>0</v>
      </c>
      <c r="B1100" s="329"/>
      <c r="C1100" s="1785" t="s">
        <v>2946</v>
      </c>
      <c r="D1100" s="842" t="s">
        <v>53</v>
      </c>
      <c r="E1100" s="445"/>
      <c r="F1100" s="439">
        <f>SUM(E1100:E1100)</f>
        <v>0</v>
      </c>
      <c r="G1100" s="430" t="s">
        <v>2598</v>
      </c>
      <c r="H1100" s="361"/>
      <c r="I1100" s="357">
        <f>MAX($I$13:I1097)+1</f>
        <v>555</v>
      </c>
      <c r="J1100" s="361" t="s">
        <v>2842</v>
      </c>
    </row>
    <row r="1101" spans="1:11" hidden="1" x14ac:dyDescent="0.25">
      <c r="A1101" s="329">
        <f>A1100</f>
        <v>0</v>
      </c>
      <c r="B1101" s="329"/>
      <c r="C1101" s="1786"/>
      <c r="D1101" s="842" t="s">
        <v>2947</v>
      </c>
      <c r="E1101" s="445">
        <v>4</v>
      </c>
      <c r="F1101" s="439"/>
      <c r="G1101" s="430" t="s">
        <v>2598</v>
      </c>
      <c r="H1101" s="361"/>
      <c r="I1101" s="357">
        <f>MAX($I$13:I1100)+1</f>
        <v>556</v>
      </c>
      <c r="J1101" s="361" t="s">
        <v>2842</v>
      </c>
    </row>
    <row r="1102" spans="1:11" s="188" customFormat="1" hidden="1" x14ac:dyDescent="0.25">
      <c r="A1102" s="329">
        <f t="shared" si="188"/>
        <v>0</v>
      </c>
      <c r="B1102" s="198">
        <f>oR!D347</f>
        <v>294</v>
      </c>
      <c r="C1102" s="1787"/>
      <c r="D1102" s="840" t="s">
        <v>12</v>
      </c>
      <c r="E1102" s="529">
        <f>E1100/E1101</f>
        <v>0</v>
      </c>
      <c r="F1102" s="199">
        <f>SUM(E1102:E1102)</f>
        <v>0</v>
      </c>
      <c r="G1102" s="376" t="s">
        <v>2599</v>
      </c>
      <c r="H1102" s="198">
        <f>C1097</f>
        <v>5213362</v>
      </c>
      <c r="I1102" s="369">
        <f>MAX($I$13:I1101)+1</f>
        <v>557</v>
      </c>
      <c r="J1102" s="65" t="str">
        <f>CONCATENATE("(",I1102,")"," = ","(",I1100,")/(",I1101,")")</f>
        <v>(557) = (555)/(556)</v>
      </c>
    </row>
    <row r="1103" spans="1:11" s="188" customFormat="1" hidden="1" x14ac:dyDescent="0.25">
      <c r="A1103" s="329">
        <f t="shared" si="188"/>
        <v>0</v>
      </c>
      <c r="B1103" s="198"/>
      <c r="C1103" s="367"/>
      <c r="D1103" s="65"/>
      <c r="E1103" s="368"/>
      <c r="F1103" s="368"/>
      <c r="G1103" s="386"/>
      <c r="H1103" s="366"/>
      <c r="I1103" s="366"/>
      <c r="J1103" s="366"/>
    </row>
    <row r="1104" spans="1:11" s="191" customFormat="1" ht="15.75" hidden="1" thickBot="1" x14ac:dyDescent="0.3">
      <c r="A1104" s="686">
        <f>IF(E1108=0,0,1)</f>
        <v>0</v>
      </c>
      <c r="B1104" s="189"/>
      <c r="C1104" s="190">
        <f>oR!G348</f>
        <v>5213394</v>
      </c>
      <c r="D1104" s="324" t="str">
        <f>oR!H348</f>
        <v>Tacha refletiva metálica - bidirecional tipo II - com um pino - fornecimento e colocação</v>
      </c>
      <c r="F1104" s="325"/>
      <c r="G1104" s="392"/>
      <c r="H1104" s="364"/>
      <c r="I1104" s="364"/>
      <c r="J1104" s="364"/>
    </row>
    <row r="1105" spans="1:10" hidden="1" x14ac:dyDescent="0.25">
      <c r="A1105" s="329">
        <f>A1104</f>
        <v>0</v>
      </c>
      <c r="B1105" s="329"/>
      <c r="C1105" s="193"/>
      <c r="D1105" s="194" t="s">
        <v>7264</v>
      </c>
      <c r="E1105" s="329"/>
      <c r="F1105" s="844"/>
      <c r="G1105" s="393"/>
      <c r="H1105" s="365"/>
      <c r="I1105" s="365"/>
      <c r="J1105" s="365"/>
    </row>
    <row r="1106" spans="1:10" hidden="1" x14ac:dyDescent="0.25">
      <c r="A1106" s="329">
        <f>IF(E1106=0,0,1)</f>
        <v>0</v>
      </c>
      <c r="B1106" s="329"/>
      <c r="C1106" s="1785" t="s">
        <v>4614</v>
      </c>
      <c r="D1106" s="842" t="s">
        <v>53</v>
      </c>
      <c r="E1106" s="445"/>
      <c r="F1106" s="439">
        <f>SUM(E1106:E1106)</f>
        <v>0</v>
      </c>
      <c r="G1106" s="430" t="s">
        <v>2598</v>
      </c>
      <c r="H1106" s="361"/>
      <c r="I1106" s="357">
        <f>MAX($I$13:I1101)+1</f>
        <v>557</v>
      </c>
      <c r="J1106" s="361" t="s">
        <v>2842</v>
      </c>
    </row>
    <row r="1107" spans="1:10" hidden="1" x14ac:dyDescent="0.25">
      <c r="A1107" s="329">
        <f>A1106</f>
        <v>0</v>
      </c>
      <c r="B1107" s="329"/>
      <c r="C1107" s="1786"/>
      <c r="D1107" s="842" t="s">
        <v>2947</v>
      </c>
      <c r="E1107" s="445">
        <v>8</v>
      </c>
      <c r="F1107" s="439"/>
      <c r="G1107" s="430" t="s">
        <v>2598</v>
      </c>
      <c r="H1107" s="361"/>
      <c r="I1107" s="357">
        <f>MAX($I$13:I1106)+1</f>
        <v>558</v>
      </c>
      <c r="J1107" s="361" t="s">
        <v>2842</v>
      </c>
    </row>
    <row r="1108" spans="1:10" s="188" customFormat="1" hidden="1" x14ac:dyDescent="0.25">
      <c r="A1108" s="329">
        <f t="shared" si="188"/>
        <v>0</v>
      </c>
      <c r="B1108" s="198">
        <f>oR!D348</f>
        <v>295</v>
      </c>
      <c r="C1108" s="1787"/>
      <c r="D1108" s="840" t="s">
        <v>12</v>
      </c>
      <c r="E1108" s="529"/>
      <c r="F1108" s="199">
        <f>SUM(E1108:E1108)</f>
        <v>0</v>
      </c>
      <c r="G1108" s="376" t="s">
        <v>2599</v>
      </c>
      <c r="H1108" s="198">
        <f>C1104</f>
        <v>5213394</v>
      </c>
      <c r="I1108" s="369">
        <f>MAX($I$13:I1107)+1</f>
        <v>559</v>
      </c>
      <c r="J1108" s="65" t="str">
        <f>CONCATENATE("(",I1108,")"," = ","(",I1106,")/(",I1107,")")</f>
        <v>(559) = (557)/(558)</v>
      </c>
    </row>
    <row r="1109" spans="1:10" s="188" customFormat="1" hidden="1" x14ac:dyDescent="0.25">
      <c r="A1109" s="329">
        <f t="shared" si="188"/>
        <v>0</v>
      </c>
      <c r="B1109" s="198"/>
      <c r="C1109" s="367"/>
      <c r="D1109" s="65"/>
      <c r="E1109" s="368"/>
      <c r="F1109" s="368"/>
      <c r="G1109" s="386"/>
      <c r="H1109" s="366"/>
      <c r="I1109" s="366"/>
      <c r="J1109" s="366"/>
    </row>
    <row r="1110" spans="1:10" s="191" customFormat="1" ht="15.75" hidden="1" thickBot="1" x14ac:dyDescent="0.3">
      <c r="A1110" s="686">
        <f>IF(E1115=0,0,1)</f>
        <v>0</v>
      </c>
      <c r="B1110" s="189"/>
      <c r="C1110" s="190">
        <f>oR!G349</f>
        <v>5213394</v>
      </c>
      <c r="D1110" s="324" t="str">
        <f>oR!H349</f>
        <v>Tacha refletiva metálica - bidirecional tipo II - com um pino - fornecimento e colocação</v>
      </c>
      <c r="F1110" s="325"/>
      <c r="G1110" s="392"/>
      <c r="H1110" s="364"/>
      <c r="I1110" s="364"/>
      <c r="J1110" s="364"/>
    </row>
    <row r="1111" spans="1:10" hidden="1" x14ac:dyDescent="0.25">
      <c r="A1111" s="329">
        <f>A1110</f>
        <v>0</v>
      </c>
      <c r="B1111" s="329"/>
      <c r="C1111" s="193"/>
      <c r="D1111" s="194" t="s">
        <v>7264</v>
      </c>
      <c r="E1111" s="329"/>
      <c r="F1111" s="328"/>
      <c r="G1111" s="393"/>
      <c r="H1111" s="365"/>
      <c r="I1111" s="365"/>
      <c r="J1111" s="365"/>
    </row>
    <row r="1112" spans="1:10" hidden="1" x14ac:dyDescent="0.25">
      <c r="A1112" s="329">
        <f t="shared" ref="A1112:A1115" si="189">A1111</f>
        <v>0</v>
      </c>
      <c r="B1112" s="329"/>
      <c r="C1112" s="1777" t="s">
        <v>42</v>
      </c>
      <c r="D1112" s="1777"/>
      <c r="E1112" s="327" t="str">
        <f>E$12</f>
        <v>ESTR. DE LINHA TAQUARAL</v>
      </c>
      <c r="F1112" s="423" t="s">
        <v>96</v>
      </c>
      <c r="G1112" s="376"/>
      <c r="H1112" s="65"/>
      <c r="I1112" s="65"/>
      <c r="J1112" s="65"/>
    </row>
    <row r="1113" spans="1:10" hidden="1" x14ac:dyDescent="0.25">
      <c r="A1113" s="329">
        <f>IF(E1113=0,0,1)</f>
        <v>0</v>
      </c>
      <c r="B1113" s="329"/>
      <c r="C1113" s="1785" t="s">
        <v>4614</v>
      </c>
      <c r="D1113" s="441" t="s">
        <v>53</v>
      </c>
      <c r="E1113" s="445"/>
      <c r="F1113" s="439">
        <f>SUM(E1113:E1113)</f>
        <v>0</v>
      </c>
      <c r="G1113" s="430" t="s">
        <v>2598</v>
      </c>
      <c r="H1113" s="361"/>
      <c r="I1113" s="357">
        <f>MAX($I$13:I1112)+1</f>
        <v>560</v>
      </c>
      <c r="J1113" s="361" t="s">
        <v>2842</v>
      </c>
    </row>
    <row r="1114" spans="1:10" hidden="1" x14ac:dyDescent="0.25">
      <c r="A1114" s="329">
        <f>A1113</f>
        <v>0</v>
      </c>
      <c r="B1114" s="329"/>
      <c r="C1114" s="1786"/>
      <c r="D1114" s="441" t="s">
        <v>2947</v>
      </c>
      <c r="E1114" s="445">
        <v>8</v>
      </c>
      <c r="F1114" s="439"/>
      <c r="G1114" s="430" t="s">
        <v>2598</v>
      </c>
      <c r="H1114" s="361"/>
      <c r="I1114" s="357">
        <f>MAX($I$13:I1113)+1</f>
        <v>561</v>
      </c>
      <c r="J1114" s="361" t="s">
        <v>2842</v>
      </c>
    </row>
    <row r="1115" spans="1:10" s="188" customFormat="1" hidden="1" x14ac:dyDescent="0.25">
      <c r="A1115" s="329">
        <f t="shared" si="189"/>
        <v>0</v>
      </c>
      <c r="B1115" s="198">
        <f>oR!D349</f>
        <v>296</v>
      </c>
      <c r="C1115" s="1787"/>
      <c r="D1115" s="423" t="s">
        <v>12</v>
      </c>
      <c r="E1115" s="529"/>
      <c r="F1115" s="199">
        <f>SUM(E1115:E1115)</f>
        <v>0</v>
      </c>
      <c r="G1115" s="376" t="s">
        <v>2599</v>
      </c>
      <c r="H1115" s="198">
        <f>C1110</f>
        <v>5213394</v>
      </c>
      <c r="I1115" s="369">
        <f>MAX($I$13:I1114)+1</f>
        <v>562</v>
      </c>
      <c r="J1115" s="65" t="str">
        <f>CONCATENATE("(",I1115,")"," = ","(",I1113,")/(",I1114,")")</f>
        <v>(562) = (560)/(561)</v>
      </c>
    </row>
    <row r="1116" spans="1:10" s="188" customFormat="1" x14ac:dyDescent="0.25">
      <c r="A1116" s="329">
        <f>A984</f>
        <v>1</v>
      </c>
      <c r="B1116" s="198"/>
      <c r="C1116" s="385"/>
      <c r="D1116" s="65"/>
      <c r="E1116" s="368"/>
      <c r="F1116" s="368"/>
      <c r="G1116" s="386"/>
      <c r="H1116" s="198"/>
      <c r="I1116" s="369"/>
      <c r="J1116" s="65"/>
    </row>
    <row r="1117" spans="1:10" s="188" customFormat="1" ht="13.5" hidden="1" thickBot="1" x14ac:dyDescent="0.3">
      <c r="A1117" s="687">
        <f>IF(SUM(A1120:A1204)&gt;0,1,0)</f>
        <v>0</v>
      </c>
      <c r="B1117" s="185"/>
      <c r="C1117" s="691"/>
      <c r="D1117" s="692" t="str">
        <f>oR!G351</f>
        <v>OBRAS COMPLEMENTARES</v>
      </c>
      <c r="E1117" s="692"/>
      <c r="F1117" s="692"/>
      <c r="G1117" s="693"/>
      <c r="H1117" s="694"/>
      <c r="I1117" s="694"/>
      <c r="J1117" s="695"/>
    </row>
    <row r="1118" spans="1:10" hidden="1" x14ac:dyDescent="0.25">
      <c r="A1118" s="329">
        <f>A1117</f>
        <v>0</v>
      </c>
      <c r="B1118" s="329"/>
      <c r="C1118" s="193"/>
      <c r="D1118" s="194" t="s">
        <v>2865</v>
      </c>
      <c r="E1118" s="329"/>
      <c r="F1118" s="328"/>
      <c r="G1118" s="393"/>
      <c r="H1118" s="365"/>
      <c r="I1118" s="365"/>
      <c r="J1118" s="365"/>
    </row>
    <row r="1119" spans="1:10" hidden="1" x14ac:dyDescent="0.25">
      <c r="A1119" s="329">
        <f>A1118</f>
        <v>0</v>
      </c>
      <c r="B1119" s="329"/>
      <c r="C1119" s="193"/>
      <c r="D1119" s="194"/>
      <c r="E1119" s="329"/>
      <c r="F1119" s="328"/>
      <c r="G1119" s="393"/>
      <c r="H1119" s="365"/>
      <c r="I1119" s="365"/>
      <c r="J1119" s="365"/>
    </row>
    <row r="1120" spans="1:10" s="191" customFormat="1" ht="15.75" hidden="1" thickBot="1" x14ac:dyDescent="0.3">
      <c r="A1120" s="686">
        <f>IF(E1124=0,0,1)</f>
        <v>0</v>
      </c>
      <c r="B1120" s="189"/>
      <c r="C1120" s="190" t="str">
        <f>oR!G352</f>
        <v>COMP 23</v>
      </c>
      <c r="D1120" s="324" t="str">
        <f>oR!H352</f>
        <v>Remoção e relocação de postes</v>
      </c>
      <c r="F1120" s="325"/>
      <c r="G1120" s="392"/>
      <c r="H1120" s="364"/>
      <c r="I1120" s="364"/>
      <c r="J1120" s="364"/>
    </row>
    <row r="1121" spans="1:10" s="191" customFormat="1" ht="15.75" hidden="1" thickBot="1" x14ac:dyDescent="0.3">
      <c r="A1121" s="686">
        <f>IF(E1125=0,0,1)</f>
        <v>0</v>
      </c>
      <c r="B1121" s="189"/>
      <c r="C1121" s="190" t="str">
        <f>oR!G353</f>
        <v>COMP 23</v>
      </c>
      <c r="D1121" s="324" t="str">
        <f>oR!H353</f>
        <v>Remoção e relocação de postes</v>
      </c>
      <c r="F1121" s="325"/>
      <c r="G1121" s="392"/>
      <c r="H1121" s="364"/>
      <c r="I1121" s="364"/>
      <c r="J1121" s="364"/>
    </row>
    <row r="1122" spans="1:10" hidden="1" x14ac:dyDescent="0.25">
      <c r="A1122" s="329">
        <f>IF(SUM(A1120:A1121)&gt;0,1,0)</f>
        <v>0</v>
      </c>
      <c r="B1122" s="329"/>
      <c r="C1122" s="193"/>
      <c r="D1122" s="194" t="s">
        <v>2866</v>
      </c>
      <c r="E1122" s="329"/>
      <c r="F1122" s="850"/>
      <c r="G1122" s="393"/>
      <c r="H1122" s="365"/>
      <c r="I1122" s="365"/>
      <c r="J1122" s="365"/>
    </row>
    <row r="1123" spans="1:10" hidden="1" x14ac:dyDescent="0.25">
      <c r="A1123" s="329">
        <f>A1122</f>
        <v>0</v>
      </c>
      <c r="B1123" s="329"/>
      <c r="C1123" s="1777" t="s">
        <v>42</v>
      </c>
      <c r="D1123" s="1777"/>
      <c r="E1123" s="327" t="str">
        <f>E$12</f>
        <v>ESTR. DE LINHA TAQUARAL</v>
      </c>
      <c r="F1123" s="851" t="s">
        <v>96</v>
      </c>
      <c r="G1123" s="376"/>
      <c r="H1123" s="65"/>
      <c r="I1123" s="65"/>
      <c r="J1123" s="65"/>
    </row>
    <row r="1124" spans="1:10" ht="12.75" hidden="1" customHeight="1" x14ac:dyDescent="0.25">
      <c r="A1124" s="329">
        <f>A1120</f>
        <v>0</v>
      </c>
      <c r="B1124" s="198">
        <f>oR!D352</f>
        <v>297</v>
      </c>
      <c r="C1124" s="1777" t="s">
        <v>2868</v>
      </c>
      <c r="D1124" s="1777"/>
      <c r="E1124" s="395"/>
      <c r="F1124" s="199">
        <f>SUM(E1124:E1124)</f>
        <v>0</v>
      </c>
      <c r="G1124" s="376" t="s">
        <v>2599</v>
      </c>
      <c r="H1124" s="198" t="str">
        <f>C1120</f>
        <v>COMP 23</v>
      </c>
      <c r="I1124" s="369">
        <f>MAX($I$13:I1123)+1</f>
        <v>563</v>
      </c>
      <c r="J1124" s="65" t="s">
        <v>2842</v>
      </c>
    </row>
    <row r="1125" spans="1:10" ht="12.75" hidden="1" customHeight="1" x14ac:dyDescent="0.25">
      <c r="A1125" s="329">
        <f>A1121</f>
        <v>0</v>
      </c>
      <c r="B1125" s="198">
        <f>oR!D353</f>
        <v>298</v>
      </c>
      <c r="C1125" s="1777" t="s">
        <v>5193</v>
      </c>
      <c r="D1125" s="1777"/>
      <c r="E1125" s="395">
        <v>0</v>
      </c>
      <c r="F1125" s="199">
        <f>SUM(E1125:E1125)</f>
        <v>0</v>
      </c>
      <c r="G1125" s="376" t="str">
        <f>G1124</f>
        <v>und</v>
      </c>
      <c r="H1125" s="198" t="str">
        <f>C1121</f>
        <v>COMP 23</v>
      </c>
      <c r="I1125" s="369">
        <f>MAX($I$13:I1124)+1</f>
        <v>564</v>
      </c>
      <c r="J1125" s="65" t="s">
        <v>2842</v>
      </c>
    </row>
    <row r="1126" spans="1:10" hidden="1" x14ac:dyDescent="0.25">
      <c r="A1126" s="329">
        <f>A1122</f>
        <v>0</v>
      </c>
      <c r="B1126" s="329"/>
      <c r="C1126" s="193"/>
      <c r="D1126" s="194"/>
      <c r="E1126" s="329"/>
      <c r="F1126" s="850"/>
      <c r="G1126" s="393"/>
      <c r="H1126" s="365"/>
      <c r="I1126" s="365"/>
      <c r="J1126" s="365"/>
    </row>
    <row r="1127" spans="1:10" s="191" customFormat="1" ht="15.75" hidden="1" thickBot="1" x14ac:dyDescent="0.3">
      <c r="A1127" s="686">
        <f>IF(E1131=0,0,1)</f>
        <v>0</v>
      </c>
      <c r="B1127" s="189"/>
      <c r="C1127" s="190">
        <f>oR!G354</f>
        <v>1600966</v>
      </c>
      <c r="D1127" s="324" t="str">
        <f>oR!H354</f>
        <v>Remoção de cerca com mourões de concreto</v>
      </c>
      <c r="F1127" s="325"/>
      <c r="G1127" s="392"/>
      <c r="H1127" s="364"/>
      <c r="I1127" s="364"/>
      <c r="J1127" s="364"/>
    </row>
    <row r="1128" spans="1:10" s="191" customFormat="1" ht="15.75" hidden="1" thickBot="1" x14ac:dyDescent="0.3">
      <c r="A1128" s="686">
        <f>IF(E1132=0,0,1)</f>
        <v>0</v>
      </c>
      <c r="B1128" s="189"/>
      <c r="C1128" s="190">
        <f>oR!G355</f>
        <v>4915727</v>
      </c>
      <c r="D1128" s="324" t="str">
        <f>oR!H355</f>
        <v>Recomposição parcial de cerca com mourão de concreto - arame</v>
      </c>
      <c r="F1128" s="325"/>
      <c r="G1128" s="392"/>
      <c r="H1128" s="364"/>
      <c r="I1128" s="364"/>
      <c r="J1128" s="364"/>
    </row>
    <row r="1129" spans="1:10" hidden="1" x14ac:dyDescent="0.25">
      <c r="A1129" s="329">
        <f>IF(SUM(A1127:A1128)&gt;0,1,0)</f>
        <v>0</v>
      </c>
      <c r="B1129" s="329"/>
      <c r="C1129" s="329"/>
      <c r="D1129" s="194" t="s">
        <v>2867</v>
      </c>
      <c r="E1129" s="329"/>
      <c r="F1129" s="329"/>
    </row>
    <row r="1130" spans="1:10" hidden="1" x14ac:dyDescent="0.25">
      <c r="A1130" s="329">
        <f>A1129</f>
        <v>0</v>
      </c>
      <c r="B1130" s="329"/>
      <c r="C1130" s="1777" t="s">
        <v>42</v>
      </c>
      <c r="D1130" s="1777"/>
      <c r="E1130" s="327" t="str">
        <f>E$12</f>
        <v>ESTR. DE LINHA TAQUARAL</v>
      </c>
      <c r="F1130" s="384" t="s">
        <v>96</v>
      </c>
      <c r="G1130" s="376"/>
      <c r="H1130" s="65"/>
      <c r="I1130" s="65"/>
      <c r="J1130" s="65"/>
    </row>
    <row r="1131" spans="1:10" ht="12.75" hidden="1" customHeight="1" x14ac:dyDescent="0.25">
      <c r="A1131" s="329">
        <f>A1121</f>
        <v>0</v>
      </c>
      <c r="B1131" s="198">
        <f>oR!D354</f>
        <v>299</v>
      </c>
      <c r="C1131" s="1777" t="s">
        <v>2869</v>
      </c>
      <c r="D1131" s="1777"/>
      <c r="E1131" s="395"/>
      <c r="F1131" s="199">
        <f>SUM(E1131:E1131)</f>
        <v>0</v>
      </c>
      <c r="G1131" s="376" t="s">
        <v>2598</v>
      </c>
      <c r="H1131" s="198">
        <f>C1127</f>
        <v>1600966</v>
      </c>
      <c r="I1131" s="369">
        <f>MAX($I$13:I1130)+1</f>
        <v>565</v>
      </c>
      <c r="J1131" s="65" t="s">
        <v>2842</v>
      </c>
    </row>
    <row r="1132" spans="1:10" ht="12.75" hidden="1" customHeight="1" x14ac:dyDescent="0.25">
      <c r="A1132" s="329">
        <f>A1128</f>
        <v>0</v>
      </c>
      <c r="B1132" s="198">
        <f>oR!D355</f>
        <v>300</v>
      </c>
      <c r="C1132" s="1777" t="s">
        <v>2870</v>
      </c>
      <c r="D1132" s="1777"/>
      <c r="E1132" s="395">
        <v>0</v>
      </c>
      <c r="F1132" s="199">
        <f>SUM(E1132:E1132)</f>
        <v>0</v>
      </c>
      <c r="G1132" s="376" t="s">
        <v>2598</v>
      </c>
      <c r="H1132" s="198">
        <f>C1128</f>
        <v>4915727</v>
      </c>
      <c r="I1132" s="369">
        <f>MAX($I$13:I1131)+1</f>
        <v>566</v>
      </c>
      <c r="J1132" s="65" t="s">
        <v>2842</v>
      </c>
    </row>
    <row r="1133" spans="1:10" hidden="1" x14ac:dyDescent="0.25">
      <c r="A1133" s="329">
        <f>A1129</f>
        <v>0</v>
      </c>
      <c r="B1133" s="329"/>
      <c r="C1133" s="193"/>
      <c r="D1133" s="194"/>
      <c r="E1133" s="329"/>
      <c r="F1133" s="850"/>
      <c r="G1133" s="393"/>
      <c r="H1133" s="365"/>
      <c r="I1133" s="365"/>
      <c r="J1133" s="365"/>
    </row>
    <row r="1134" spans="1:10" s="191" customFormat="1" ht="15.75" hidden="1" thickBot="1" x14ac:dyDescent="0.3">
      <c r="A1134" s="686">
        <f>IF(E1137=0,0,1)</f>
        <v>0</v>
      </c>
      <c r="B1134" s="189"/>
      <c r="C1134" s="190">
        <f>oR!G356</f>
        <v>3713608</v>
      </c>
      <c r="D1134" s="324" t="str">
        <f>oR!H356</f>
        <v>Cerca com 4 fios de arame farpado e mourão de madeira a cada 2,5 m e esticador a cada 50 m</v>
      </c>
      <c r="F1134" s="325"/>
      <c r="G1134" s="392"/>
      <c r="H1134" s="364"/>
      <c r="I1134" s="364"/>
      <c r="J1134" s="364"/>
    </row>
    <row r="1135" spans="1:10" hidden="1" x14ac:dyDescent="0.25">
      <c r="A1135" s="329">
        <f t="shared" ref="A1135:A1137" si="190">A1134</f>
        <v>0</v>
      </c>
      <c r="B1135" s="329"/>
      <c r="C1135" s="193"/>
      <c r="D1135" s="194" t="s">
        <v>3170</v>
      </c>
      <c r="E1135" s="329"/>
      <c r="F1135" s="850"/>
      <c r="G1135" s="393"/>
      <c r="H1135" s="365"/>
      <c r="I1135" s="365"/>
      <c r="J1135" s="365"/>
    </row>
    <row r="1136" spans="1:10" hidden="1" x14ac:dyDescent="0.25">
      <c r="A1136" s="329">
        <f t="shared" si="190"/>
        <v>0</v>
      </c>
      <c r="B1136" s="329"/>
      <c r="C1136" s="1777" t="s">
        <v>42</v>
      </c>
      <c r="D1136" s="1777"/>
      <c r="E1136" s="327" t="str">
        <f>E$12</f>
        <v>ESTR. DE LINHA TAQUARAL</v>
      </c>
      <c r="F1136" s="851" t="s">
        <v>96</v>
      </c>
      <c r="G1136" s="376"/>
      <c r="H1136" s="65"/>
      <c r="I1136" s="65"/>
      <c r="J1136" s="65"/>
    </row>
    <row r="1137" spans="1:12" hidden="1" x14ac:dyDescent="0.25">
      <c r="A1137" s="329">
        <f t="shared" si="190"/>
        <v>0</v>
      </c>
      <c r="B1137" s="198">
        <f>oR!D356</f>
        <v>301</v>
      </c>
      <c r="C1137" s="1777" t="s">
        <v>5189</v>
      </c>
      <c r="D1137" s="1777"/>
      <c r="E1137" s="395"/>
      <c r="F1137" s="199">
        <f>SUM(E1137:E1137)</f>
        <v>0</v>
      </c>
      <c r="G1137" s="376" t="s">
        <v>2598</v>
      </c>
      <c r="H1137" s="198">
        <f>C1134</f>
        <v>3713608</v>
      </c>
      <c r="I1137" s="369">
        <f>MAX($I$13:I1136)+1</f>
        <v>567</v>
      </c>
      <c r="J1137" s="65" t="s">
        <v>2842</v>
      </c>
    </row>
    <row r="1138" spans="1:12" hidden="1" x14ac:dyDescent="0.25">
      <c r="A1138" s="329">
        <f>A1134</f>
        <v>0</v>
      </c>
      <c r="B1138" s="329"/>
      <c r="C1138" s="193"/>
      <c r="D1138" s="194"/>
      <c r="E1138" s="329"/>
      <c r="F1138" s="457"/>
      <c r="G1138" s="393"/>
      <c r="H1138" s="365"/>
      <c r="I1138" s="365"/>
      <c r="J1138" s="365"/>
    </row>
    <row r="1139" spans="1:12" s="191" customFormat="1" ht="15.75" hidden="1" thickBot="1" x14ac:dyDescent="0.3">
      <c r="A1139" s="686">
        <f>IF(E1142=0,0,1)</f>
        <v>0</v>
      </c>
      <c r="B1139" s="189"/>
      <c r="C1139" s="190" t="str">
        <f>oR!G357</f>
        <v>COMP 65</v>
      </c>
      <c r="D1139" s="324" t="str">
        <f>oR!H357</f>
        <v>Corpo de BSTC D = 2,00 m PA2 - areia, brita e pedra de mão comerciais</v>
      </c>
      <c r="F1139" s="325"/>
      <c r="G1139" s="392"/>
      <c r="H1139" s="364"/>
      <c r="I1139" s="364"/>
      <c r="J1139" s="364"/>
    </row>
    <row r="1140" spans="1:12" hidden="1" x14ac:dyDescent="0.25">
      <c r="A1140" s="329">
        <f t="shared" ref="A1140:A1143" si="191">A1139</f>
        <v>0</v>
      </c>
      <c r="B1140" s="329"/>
      <c r="C1140" s="193"/>
      <c r="D1140" s="194" t="s">
        <v>3170</v>
      </c>
      <c r="E1140" s="329"/>
      <c r="F1140" s="513"/>
      <c r="G1140" s="393"/>
      <c r="H1140" s="365"/>
      <c r="I1140" s="365"/>
      <c r="J1140" s="365"/>
    </row>
    <row r="1141" spans="1:12" hidden="1" x14ac:dyDescent="0.25">
      <c r="A1141" s="329">
        <f t="shared" si="191"/>
        <v>0</v>
      </c>
      <c r="B1141" s="329"/>
      <c r="C1141" s="1777" t="s">
        <v>42</v>
      </c>
      <c r="D1141" s="1777"/>
      <c r="E1141" s="327" t="str">
        <f>E$12</f>
        <v>ESTR. DE LINHA TAQUARAL</v>
      </c>
      <c r="F1141" s="514" t="s">
        <v>96</v>
      </c>
      <c r="G1141" s="376"/>
      <c r="H1141" s="65"/>
      <c r="I1141" s="65"/>
      <c r="J1141" s="65"/>
    </row>
    <row r="1142" spans="1:12" hidden="1" x14ac:dyDescent="0.25">
      <c r="A1142" s="329">
        <f t="shared" si="191"/>
        <v>0</v>
      </c>
      <c r="B1142" s="198">
        <f>oR!D357</f>
        <v>302</v>
      </c>
      <c r="C1142" s="1777" t="s">
        <v>4315</v>
      </c>
      <c r="D1142" s="1777"/>
      <c r="E1142" s="395"/>
      <c r="F1142" s="199">
        <f>SUM(E1142:E1142)</f>
        <v>0</v>
      </c>
      <c r="G1142" s="376" t="s">
        <v>2598</v>
      </c>
      <c r="H1142" s="198" t="str">
        <f>C1139</f>
        <v>COMP 65</v>
      </c>
      <c r="I1142" s="369">
        <f>MAX($I$13:I1141)+1</f>
        <v>568</v>
      </c>
      <c r="J1142" s="65" t="s">
        <v>2842</v>
      </c>
      <c r="K1142" s="194">
        <v>15</v>
      </c>
      <c r="L1142" s="194">
        <v>5</v>
      </c>
    </row>
    <row r="1143" spans="1:12" hidden="1" x14ac:dyDescent="0.25">
      <c r="A1143" s="329">
        <f t="shared" si="191"/>
        <v>0</v>
      </c>
      <c r="B1143" s="329"/>
      <c r="C1143" s="193"/>
      <c r="D1143" s="462"/>
      <c r="E1143" s="329"/>
      <c r="F1143" s="457"/>
      <c r="G1143" s="393"/>
      <c r="H1143" s="365"/>
      <c r="I1143" s="365"/>
      <c r="J1143" s="365"/>
    </row>
    <row r="1144" spans="1:12" s="188" customFormat="1" ht="13.5" hidden="1" thickBot="1" x14ac:dyDescent="0.3">
      <c r="A1144" s="686">
        <f>IF(E1147=0,0,1)</f>
        <v>0</v>
      </c>
      <c r="B1144" s="198"/>
      <c r="C1144" s="385">
        <f>oR!G358</f>
        <v>804161</v>
      </c>
      <c r="D1144" s="324" t="str">
        <f>oR!H358</f>
        <v>Boca de BSTC D = 1,50 m - esconsidade 0° - areia e brita comerciais - alas retas</v>
      </c>
      <c r="E1144" s="368"/>
      <c r="F1144" s="368"/>
      <c r="G1144" s="386"/>
      <c r="H1144" s="366"/>
      <c r="I1144" s="366"/>
      <c r="J1144" s="366"/>
    </row>
    <row r="1145" spans="1:12" hidden="1" x14ac:dyDescent="0.25">
      <c r="A1145" s="329">
        <f>A1144</f>
        <v>0</v>
      </c>
      <c r="B1145" s="329"/>
      <c r="C1145" s="193"/>
      <c r="D1145" s="194" t="s">
        <v>4313</v>
      </c>
      <c r="E1145" s="329"/>
      <c r="F1145" s="563"/>
      <c r="G1145" s="393"/>
      <c r="H1145" s="365"/>
      <c r="I1145" s="365"/>
      <c r="J1145" s="365"/>
    </row>
    <row r="1146" spans="1:12" hidden="1" x14ac:dyDescent="0.25">
      <c r="A1146" s="329">
        <f t="shared" ref="A1146:A1148" si="192">A1145</f>
        <v>0</v>
      </c>
      <c r="B1146" s="329"/>
      <c r="C1146" s="1777" t="s">
        <v>42</v>
      </c>
      <c r="D1146" s="1777"/>
      <c r="E1146" s="327" t="str">
        <f>E$12</f>
        <v>ESTR. DE LINHA TAQUARAL</v>
      </c>
      <c r="F1146" s="564" t="s">
        <v>96</v>
      </c>
      <c r="G1146" s="376"/>
      <c r="H1146" s="65"/>
      <c r="I1146" s="65"/>
      <c r="J1146" s="65"/>
    </row>
    <row r="1147" spans="1:12" hidden="1" x14ac:dyDescent="0.25">
      <c r="A1147" s="329">
        <f t="shared" si="192"/>
        <v>0</v>
      </c>
      <c r="B1147" s="198">
        <f>B1142+1</f>
        <v>303</v>
      </c>
      <c r="C1147" s="1777" t="s">
        <v>4314</v>
      </c>
      <c r="D1147" s="1777"/>
      <c r="E1147" s="395"/>
      <c r="F1147" s="199">
        <f>SUM(E1147:E1147)</f>
        <v>0</v>
      </c>
      <c r="G1147" s="435" t="s">
        <v>2599</v>
      </c>
      <c r="H1147" s="198">
        <f>C1144</f>
        <v>804161</v>
      </c>
      <c r="I1147" s="369">
        <f>MAX($I$13:I1146)+1</f>
        <v>569</v>
      </c>
      <c r="J1147" s="65" t="s">
        <v>2842</v>
      </c>
    </row>
    <row r="1148" spans="1:12" hidden="1" x14ac:dyDescent="0.25">
      <c r="A1148" s="329">
        <f t="shared" si="192"/>
        <v>0</v>
      </c>
      <c r="B1148" s="329"/>
      <c r="C1148" s="385"/>
      <c r="D1148" s="385"/>
      <c r="E1148" s="565"/>
      <c r="F1148" s="65"/>
      <c r="G1148" s="386"/>
      <c r="H1148" s="65"/>
      <c r="I1148" s="65"/>
      <c r="J1148" s="65"/>
    </row>
    <row r="1149" spans="1:12" s="188" customFormat="1" ht="13.5" hidden="1" thickBot="1" x14ac:dyDescent="0.3">
      <c r="A1149" s="686">
        <f>IF(E1156=0,0,1)</f>
        <v>0</v>
      </c>
      <c r="B1149" s="198"/>
      <c r="C1149" s="385">
        <f>oR!G359</f>
        <v>4805762</v>
      </c>
      <c r="D1149" s="324" t="str">
        <f>oR!H359</f>
        <v>Escavação mecânica de vala em material de 2ª categoria</v>
      </c>
      <c r="E1149" s="368"/>
      <c r="F1149" s="368"/>
      <c r="G1149" s="386"/>
      <c r="H1149" s="366"/>
      <c r="I1149" s="366"/>
      <c r="J1149" s="366"/>
    </row>
    <row r="1150" spans="1:12" s="188" customFormat="1" ht="13.5" hidden="1" thickBot="1" x14ac:dyDescent="0.3">
      <c r="A1150" s="686">
        <f>IF(E1158=0,0,1)</f>
        <v>0</v>
      </c>
      <c r="B1150" s="198"/>
      <c r="C1150" s="385">
        <f>oR!G360</f>
        <v>4815671</v>
      </c>
      <c r="D1150" s="324" t="str">
        <f>oR!H360</f>
        <v>Reaterro e compactação com soquete vibratório</v>
      </c>
      <c r="E1150" s="368"/>
      <c r="F1150" s="368"/>
      <c r="G1150" s="386"/>
      <c r="H1150" s="366"/>
      <c r="I1150" s="366"/>
      <c r="J1150" s="366"/>
    </row>
    <row r="1151" spans="1:12" hidden="1" x14ac:dyDescent="0.25">
      <c r="A1151" s="329">
        <f>A1149</f>
        <v>0</v>
      </c>
      <c r="B1151" s="329"/>
      <c r="C1151" s="193"/>
      <c r="D1151" s="194" t="s">
        <v>6491</v>
      </c>
      <c r="E1151" s="329"/>
      <c r="F1151" s="1098"/>
      <c r="G1151" s="393"/>
      <c r="H1151" s="365"/>
      <c r="I1151" s="365"/>
      <c r="J1151" s="365"/>
    </row>
    <row r="1152" spans="1:12" hidden="1" x14ac:dyDescent="0.25">
      <c r="A1152" s="329">
        <f t="shared" ref="A1152" si="193">A1151</f>
        <v>0</v>
      </c>
      <c r="B1152" s="329"/>
      <c r="C1152" s="1777" t="s">
        <v>42</v>
      </c>
      <c r="D1152" s="1777"/>
      <c r="E1152" s="327" t="str">
        <f>E$12</f>
        <v>ESTR. DE LINHA TAQUARAL</v>
      </c>
      <c r="F1152" s="1102" t="s">
        <v>96</v>
      </c>
      <c r="G1152" s="376"/>
      <c r="H1152" s="65"/>
      <c r="I1152" s="65"/>
      <c r="J1152" s="65"/>
    </row>
    <row r="1153" spans="1:10" hidden="1" x14ac:dyDescent="0.25">
      <c r="A1153" s="329">
        <f>A1149</f>
        <v>0</v>
      </c>
      <c r="B1153" s="329"/>
      <c r="C1153" s="1785" t="s">
        <v>2916</v>
      </c>
      <c r="D1153" s="1100" t="s">
        <v>53</v>
      </c>
      <c r="E1153" s="463">
        <f>E1142</f>
        <v>0</v>
      </c>
      <c r="F1153" s="1101"/>
      <c r="G1153" s="430" t="s">
        <v>2598</v>
      </c>
      <c r="H1153" s="361"/>
      <c r="I1153" s="357">
        <f>MAX($I$13:I1152)+1</f>
        <v>570</v>
      </c>
      <c r="J1153" s="361" t="str">
        <f>CONCATENATE("(",I1153,")"," = ","(",I1142,")")</f>
        <v>(570) = (568)</v>
      </c>
    </row>
    <row r="1154" spans="1:10" hidden="1" x14ac:dyDescent="0.25">
      <c r="A1154" s="329">
        <f>A1153</f>
        <v>0</v>
      </c>
      <c r="B1154" s="329"/>
      <c r="C1154" s="1786"/>
      <c r="D1154" s="1100" t="s">
        <v>2585</v>
      </c>
      <c r="E1154" s="991">
        <v>3.5</v>
      </c>
      <c r="F1154" s="1101"/>
      <c r="G1154" s="430" t="s">
        <v>2598</v>
      </c>
      <c r="H1154" s="361"/>
      <c r="I1154" s="357">
        <f>MAX($I$13:I1153)+1</f>
        <v>571</v>
      </c>
      <c r="J1154" s="361" t="s">
        <v>2843</v>
      </c>
    </row>
    <row r="1155" spans="1:10" hidden="1" x14ac:dyDescent="0.25">
      <c r="A1155" s="329">
        <f>A1154</f>
        <v>0</v>
      </c>
      <c r="B1155" s="329"/>
      <c r="C1155" s="1786"/>
      <c r="D1155" s="1100" t="s">
        <v>6492</v>
      </c>
      <c r="E1155" s="991">
        <v>3.5</v>
      </c>
      <c r="F1155" s="1101"/>
      <c r="G1155" s="430" t="s">
        <v>2598</v>
      </c>
      <c r="H1155" s="361"/>
      <c r="I1155" s="357">
        <f>MAX($I$13:I1154)+1</f>
        <v>572</v>
      </c>
      <c r="J1155" s="361" t="s">
        <v>2843</v>
      </c>
    </row>
    <row r="1156" spans="1:10" ht="12.75" hidden="1" customHeight="1" x14ac:dyDescent="0.25">
      <c r="A1156" s="329">
        <f>A1152</f>
        <v>0</v>
      </c>
      <c r="B1156" s="198">
        <f>B1147+1</f>
        <v>304</v>
      </c>
      <c r="C1156" s="1787"/>
      <c r="D1156" s="1099" t="s">
        <v>100</v>
      </c>
      <c r="E1156" s="199">
        <f>E1155*E1154*E1153</f>
        <v>0</v>
      </c>
      <c r="F1156" s="199">
        <f>SUM(E1156:E1156)</f>
        <v>0</v>
      </c>
      <c r="G1156" s="435" t="s">
        <v>2596</v>
      </c>
      <c r="H1156" s="198">
        <f>C1149</f>
        <v>4805762</v>
      </c>
      <c r="I1156" s="369">
        <f>MAX($I$13:I1152)+1</f>
        <v>570</v>
      </c>
      <c r="J1156" s="361" t="str">
        <f>CONCATENATE("(",I1156,")"," = ","(",I1153,")*(",I1154,")*(",I1155,")")</f>
        <v>(570) = (570)*(571)*(572)</v>
      </c>
    </row>
    <row r="1157" spans="1:10" hidden="1" x14ac:dyDescent="0.25">
      <c r="A1157" s="329">
        <f>A1150</f>
        <v>0</v>
      </c>
      <c r="B1157" s="329"/>
      <c r="C1157" s="1785" t="s">
        <v>6493</v>
      </c>
      <c r="D1157" s="1100" t="s">
        <v>2919</v>
      </c>
      <c r="E1157" s="463">
        <v>80</v>
      </c>
      <c r="F1157" s="1101"/>
      <c r="G1157" s="430" t="s">
        <v>15</v>
      </c>
      <c r="H1157" s="361"/>
      <c r="I1157" s="357">
        <f>MAX($I$13:I1156)+1</f>
        <v>573</v>
      </c>
      <c r="J1157" s="361" t="s">
        <v>2843</v>
      </c>
    </row>
    <row r="1158" spans="1:10" ht="12.75" hidden="1" customHeight="1" x14ac:dyDescent="0.25">
      <c r="A1158" s="329">
        <f>A1150</f>
        <v>0</v>
      </c>
      <c r="B1158" s="198">
        <f>B1156+1</f>
        <v>305</v>
      </c>
      <c r="C1158" s="1787"/>
      <c r="D1158" s="1099" t="s">
        <v>100</v>
      </c>
      <c r="E1158" s="199">
        <f>E1156*E1157/100</f>
        <v>0</v>
      </c>
      <c r="F1158" s="199">
        <f>SUM(E1158:E1158)</f>
        <v>0</v>
      </c>
      <c r="G1158" s="435" t="s">
        <v>2596</v>
      </c>
      <c r="H1158" s="198" t="str">
        <f>C1153</f>
        <v>Escavação</v>
      </c>
      <c r="I1158" s="369">
        <f>MAX($I$13:I1156)+1</f>
        <v>573</v>
      </c>
      <c r="J1158" s="361" t="str">
        <f>CONCATENATE("(",I1158,")"," = ","(",I1157,")*(",I1156,")")</f>
        <v>(573) = (573)*(570)</v>
      </c>
    </row>
    <row r="1159" spans="1:10" hidden="1" x14ac:dyDescent="0.25">
      <c r="A1159" s="329">
        <f>A1122</f>
        <v>0</v>
      </c>
      <c r="B1159" s="329"/>
      <c r="C1159" s="385"/>
      <c r="D1159" s="385"/>
      <c r="E1159" s="565"/>
      <c r="F1159" s="65"/>
      <c r="G1159" s="386"/>
      <c r="H1159" s="65"/>
      <c r="I1159" s="65"/>
      <c r="J1159" s="65"/>
    </row>
    <row r="1160" spans="1:10" s="191" customFormat="1" ht="15.75" hidden="1" thickBot="1" x14ac:dyDescent="0.3">
      <c r="A1160" s="686">
        <f>IF(E1175=0,0,1)</f>
        <v>0</v>
      </c>
      <c r="B1160" s="189"/>
      <c r="C1160" s="385">
        <f>oR!G361</f>
        <v>4805754</v>
      </c>
      <c r="D1160" s="324" t="str">
        <f>oR!H361</f>
        <v>Compactação manual com soquete vibratório</v>
      </c>
      <c r="F1160" s="325"/>
      <c r="G1160" s="392"/>
      <c r="H1160" s="364"/>
      <c r="I1160" s="364"/>
      <c r="J1160" s="364"/>
    </row>
    <row r="1161" spans="1:10" s="191" customFormat="1" ht="15.75" hidden="1" thickBot="1" x14ac:dyDescent="0.3">
      <c r="A1161" s="686">
        <f>IF(E1178=0,0,1)</f>
        <v>0</v>
      </c>
      <c r="B1161" s="189"/>
      <c r="C1161" s="385">
        <f>oR!G362</f>
        <v>4016096</v>
      </c>
      <c r="D1161" s="324" t="str">
        <f>oR!H362</f>
        <v>Escavação e carga de material de jazida com escavadeira hidráulica de 1,56 m³</v>
      </c>
      <c r="F1161" s="325"/>
      <c r="G1161" s="392"/>
      <c r="H1161" s="364"/>
      <c r="I1161" s="364"/>
      <c r="J1161" s="364"/>
    </row>
    <row r="1162" spans="1:10" s="191" customFormat="1" ht="15.75" hidden="1" thickBot="1" x14ac:dyDescent="0.3">
      <c r="A1162" s="686">
        <f>IF(E1181=0,0,1)</f>
        <v>0</v>
      </c>
      <c r="B1162" s="189"/>
      <c r="C1162" s="385">
        <f>oR!G363</f>
        <v>5914374</v>
      </c>
      <c r="D1162" s="324" t="str">
        <f>oR!H363</f>
        <v>Transporte com caminhão basculante de 10 m³ - rodovia em revestimento primário</v>
      </c>
      <c r="F1162" s="325"/>
      <c r="G1162" s="392"/>
      <c r="H1162" s="364"/>
      <c r="I1162" s="364"/>
      <c r="J1162" s="364"/>
    </row>
    <row r="1163" spans="1:10" ht="12" hidden="1" customHeight="1" x14ac:dyDescent="0.25">
      <c r="A1163" s="329">
        <f>A1160</f>
        <v>0</v>
      </c>
      <c r="B1163" s="329"/>
      <c r="C1163" s="193"/>
      <c r="D1163" s="194" t="s">
        <v>5715</v>
      </c>
      <c r="E1163" s="329"/>
      <c r="F1163" s="1001"/>
      <c r="G1163" s="393"/>
      <c r="H1163" s="365"/>
      <c r="I1163" s="365"/>
      <c r="J1163" s="365"/>
    </row>
    <row r="1164" spans="1:10" ht="12" hidden="1" customHeight="1" x14ac:dyDescent="0.25">
      <c r="A1164" s="329">
        <f>A1161</f>
        <v>0</v>
      </c>
      <c r="B1164" s="329"/>
      <c r="C1164" s="193"/>
      <c r="D1164" s="194" t="s">
        <v>5716</v>
      </c>
      <c r="E1164" s="329"/>
      <c r="F1164" s="1001"/>
      <c r="G1164" s="393"/>
      <c r="H1164" s="365"/>
      <c r="I1164" s="365"/>
      <c r="J1164" s="365"/>
    </row>
    <row r="1165" spans="1:10" hidden="1" x14ac:dyDescent="0.25">
      <c r="A1165" s="329">
        <f>A1161</f>
        <v>0</v>
      </c>
      <c r="B1165" s="329"/>
      <c r="C1165" s="193"/>
      <c r="D1165" s="194" t="s">
        <v>2846</v>
      </c>
      <c r="E1165" s="329"/>
      <c r="F1165" s="1001"/>
      <c r="G1165" s="393"/>
      <c r="H1165" s="365"/>
      <c r="I1165" s="365"/>
      <c r="J1165" s="365"/>
    </row>
    <row r="1166" spans="1:10" hidden="1" x14ac:dyDescent="0.25">
      <c r="A1166" s="329">
        <f>A1162</f>
        <v>0</v>
      </c>
      <c r="B1166" s="329"/>
      <c r="C1166" s="193"/>
      <c r="D1166" s="194" t="s">
        <v>2847</v>
      </c>
      <c r="E1166" s="329"/>
      <c r="F1166" s="1001"/>
      <c r="G1166" s="393"/>
      <c r="H1166" s="365"/>
      <c r="I1166" s="365"/>
      <c r="J1166" s="365"/>
    </row>
    <row r="1167" spans="1:10" hidden="1" x14ac:dyDescent="0.25">
      <c r="A1167" s="329">
        <f>A1163</f>
        <v>0</v>
      </c>
      <c r="B1167" s="329"/>
      <c r="C1167" s="1784" t="s">
        <v>42</v>
      </c>
      <c r="D1167" s="1784"/>
      <c r="E1167" s="433" t="str">
        <f>E$12</f>
        <v>ESTR. DE LINHA TAQUARAL</v>
      </c>
      <c r="F1167" s="1002" t="s">
        <v>96</v>
      </c>
      <c r="G1167" s="435"/>
      <c r="H1167" s="65"/>
      <c r="I1167" s="65"/>
      <c r="J1167" s="65"/>
    </row>
    <row r="1168" spans="1:10" hidden="1" x14ac:dyDescent="0.25">
      <c r="A1168" s="329">
        <f>A1160</f>
        <v>0</v>
      </c>
      <c r="B1168" s="329"/>
      <c r="C1168" s="1776" t="s">
        <v>53</v>
      </c>
      <c r="D1168" s="1003" t="s">
        <v>5717</v>
      </c>
      <c r="E1168" s="439">
        <f>E17*2</f>
        <v>280</v>
      </c>
      <c r="F1168" s="439">
        <f>SUM(E1168:E1168)</f>
        <v>280</v>
      </c>
      <c r="G1168" s="430" t="s">
        <v>2598</v>
      </c>
      <c r="I1168" s="357">
        <f>MAX($I$13:I1167)+1</f>
        <v>574</v>
      </c>
      <c r="J1168" s="361" t="str">
        <f>CONCATENATE("(",I1168,")"," = ","(",I17,")*2")</f>
        <v>(574) = (5)*2</v>
      </c>
    </row>
    <row r="1169" spans="1:19" hidden="1" x14ac:dyDescent="0.25">
      <c r="A1169" s="329">
        <f t="shared" ref="A1169:A1174" si="194">A1161</f>
        <v>0</v>
      </c>
      <c r="B1169" s="329"/>
      <c r="C1169" s="1776"/>
      <c r="D1169" s="1003" t="s">
        <v>5164</v>
      </c>
      <c r="E1169" s="439">
        <f>E923</f>
        <v>0</v>
      </c>
      <c r="F1169" s="439">
        <f t="shared" ref="F1169:F1173" si="195">SUM(E1169:E1169)</f>
        <v>0</v>
      </c>
      <c r="G1169" s="430" t="s">
        <v>2598</v>
      </c>
      <c r="I1169" s="357">
        <f>MAX($I$13:I1168)+1</f>
        <v>575</v>
      </c>
      <c r="J1169" s="361" t="str">
        <f>CONCATENATE("(",I1169,")"," = ","(",I923,")")</f>
        <v>(575) = (458)</v>
      </c>
    </row>
    <row r="1170" spans="1:19" hidden="1" x14ac:dyDescent="0.25">
      <c r="A1170" s="329">
        <f t="shared" si="194"/>
        <v>0</v>
      </c>
      <c r="B1170" s="329"/>
      <c r="C1170" s="1776"/>
      <c r="D1170" s="1003" t="s">
        <v>5706</v>
      </c>
      <c r="E1170" s="439">
        <f>E228+E229</f>
        <v>116</v>
      </c>
      <c r="F1170" s="439">
        <f t="shared" si="195"/>
        <v>116</v>
      </c>
      <c r="G1170" s="430" t="s">
        <v>2598</v>
      </c>
      <c r="I1170" s="357">
        <f>MAX($I$13:I1169)+1</f>
        <v>576</v>
      </c>
      <c r="J1170" s="361" t="str">
        <f>CONCATENATE("(",I1170,")"," = ","(",I228,")+(",I229,")")</f>
        <v>(576) = (132)+(132)</v>
      </c>
    </row>
    <row r="1171" spans="1:19" hidden="1" x14ac:dyDescent="0.25">
      <c r="A1171" s="329">
        <f t="shared" si="194"/>
        <v>0</v>
      </c>
      <c r="B1171" s="329"/>
      <c r="C1171" s="1776"/>
      <c r="D1171" s="1003" t="s">
        <v>5709</v>
      </c>
      <c r="E1171" s="439">
        <f>E251</f>
        <v>0</v>
      </c>
      <c r="F1171" s="439">
        <f t="shared" si="195"/>
        <v>0</v>
      </c>
      <c r="G1171" s="430" t="s">
        <v>2598</v>
      </c>
      <c r="I1171" s="357">
        <f>MAX($I$13:I1170)+1</f>
        <v>577</v>
      </c>
      <c r="J1171" s="361" t="str">
        <f>CONCATENATE("(",I1171,")"," = ","(",I251,")")</f>
        <v>(577) = (142)</v>
      </c>
    </row>
    <row r="1172" spans="1:19" hidden="1" x14ac:dyDescent="0.25">
      <c r="A1172" s="329">
        <f t="shared" si="194"/>
        <v>0</v>
      </c>
      <c r="B1172" s="329"/>
      <c r="C1172" s="1776"/>
      <c r="D1172" s="1003" t="s">
        <v>5718</v>
      </c>
      <c r="E1172" s="439">
        <f>E274+E275</f>
        <v>24</v>
      </c>
      <c r="F1172" s="439">
        <f t="shared" si="195"/>
        <v>24</v>
      </c>
      <c r="G1172" s="430" t="s">
        <v>2598</v>
      </c>
      <c r="I1172" s="357">
        <f>MAX($I$13:I1171)+1</f>
        <v>578</v>
      </c>
      <c r="J1172" s="361" t="str">
        <f>CONCATENATE("(",I1172,")"," = ","(",I274,")+(",I275,")")</f>
        <v>(578) = (152)+(153)</v>
      </c>
    </row>
    <row r="1173" spans="1:19" hidden="1" x14ac:dyDescent="0.25">
      <c r="A1173" s="329">
        <f t="shared" si="194"/>
        <v>0</v>
      </c>
      <c r="B1173" s="329"/>
      <c r="C1173" s="1776"/>
      <c r="D1173" s="1003" t="s">
        <v>96</v>
      </c>
      <c r="E1173" s="439">
        <f>E1168-E1169-E1170-E1171-E1172</f>
        <v>140</v>
      </c>
      <c r="F1173" s="439">
        <f t="shared" si="195"/>
        <v>140</v>
      </c>
      <c r="G1173" s="430" t="s">
        <v>2598</v>
      </c>
      <c r="I1173" s="357">
        <f>MAX($I$13:I1172)+1</f>
        <v>579</v>
      </c>
      <c r="J1173" s="361" t="str">
        <f>CONCATENATE("(",I1173,")"," = ","(",I1168,")-(",I1169,")-(",I1170,")-(",I1171,")-(",I1172,")")</f>
        <v>(579) = (574)-(575)-(576)-(577)-(578)</v>
      </c>
    </row>
    <row r="1174" spans="1:19" hidden="1" x14ac:dyDescent="0.25">
      <c r="A1174" s="329">
        <f t="shared" si="194"/>
        <v>0</v>
      </c>
      <c r="B1174" s="329"/>
      <c r="C1174" s="1776"/>
      <c r="D1174" s="1003" t="s">
        <v>2605</v>
      </c>
      <c r="E1174" s="991">
        <v>0</v>
      </c>
      <c r="F1174" s="439"/>
      <c r="G1174" s="430" t="s">
        <v>5169</v>
      </c>
      <c r="I1174" s="357">
        <f>MAX($I$13:I1168)+1</f>
        <v>575</v>
      </c>
      <c r="J1174" s="329" t="s">
        <v>2842</v>
      </c>
    </row>
    <row r="1175" spans="1:19" s="188" customFormat="1" hidden="1" x14ac:dyDescent="0.25">
      <c r="A1175" s="329">
        <f>A1168</f>
        <v>0</v>
      </c>
      <c r="B1175" s="198">
        <f>oR!D361</f>
        <v>306</v>
      </c>
      <c r="C1175" s="1775" t="s">
        <v>5707</v>
      </c>
      <c r="D1175" s="1775"/>
      <c r="E1175" s="437">
        <f>E1174*E1173</f>
        <v>0</v>
      </c>
      <c r="F1175" s="438">
        <f>SUM(E1175:E1175)</f>
        <v>0</v>
      </c>
      <c r="G1175" s="435" t="s">
        <v>2596</v>
      </c>
      <c r="H1175" s="366">
        <f>C1160</f>
        <v>4805754</v>
      </c>
      <c r="I1175" s="369">
        <f>MAX($I$13:I1174)+1</f>
        <v>580</v>
      </c>
      <c r="J1175" s="361" t="str">
        <f>CONCATENATE("(",I1175,")"," = ","(",I1174,")+(",I1173,")")</f>
        <v>(580) = (575)+(579)</v>
      </c>
      <c r="K1175" s="201"/>
      <c r="L1175" s="201"/>
      <c r="M1175" s="201"/>
      <c r="N1175" s="201"/>
      <c r="Q1175" s="200"/>
      <c r="R1175" s="201"/>
      <c r="S1175" s="201"/>
    </row>
    <row r="1176" spans="1:19" hidden="1" x14ac:dyDescent="0.25">
      <c r="A1176" s="329">
        <f>A1161</f>
        <v>0</v>
      </c>
      <c r="B1176" s="329"/>
      <c r="C1176" s="1776" t="s">
        <v>2813</v>
      </c>
      <c r="D1176" s="1788" t="s">
        <v>2797</v>
      </c>
      <c r="E1176" s="527">
        <f>E1306</f>
        <v>0</v>
      </c>
      <c r="F1176" s="439"/>
      <c r="G1176" s="430" t="s">
        <v>15</v>
      </c>
      <c r="H1176" s="361"/>
      <c r="I1176" s="357">
        <f>MAX($I$13:I1175)+1</f>
        <v>581</v>
      </c>
      <c r="J1176" s="361" t="s">
        <v>2843</v>
      </c>
    </row>
    <row r="1177" spans="1:19" hidden="1" x14ac:dyDescent="0.25">
      <c r="A1177" s="329">
        <f>A1176</f>
        <v>0</v>
      </c>
      <c r="B1177" s="329"/>
      <c r="C1177" s="1776"/>
      <c r="D1177" s="1788"/>
      <c r="E1177" s="530">
        <f>E1176*E1175/100</f>
        <v>0</v>
      </c>
      <c r="F1177" s="439">
        <f>SUM(E1177:E1177)</f>
        <v>0</v>
      </c>
      <c r="G1177" s="430" t="s">
        <v>2596</v>
      </c>
      <c r="H1177" s="361"/>
      <c r="I1177" s="357">
        <f>MAX($I$13:I1176)+1</f>
        <v>582</v>
      </c>
      <c r="J1177" s="361" t="str">
        <f>CONCATENATE("(",I1177,")"," = ","(",I1175,")*(",I1176,")")</f>
        <v>(582) = (580)*(581)</v>
      </c>
    </row>
    <row r="1178" spans="1:19" s="188" customFormat="1" hidden="1" x14ac:dyDescent="0.25">
      <c r="A1178" s="329">
        <f>A1177</f>
        <v>0</v>
      </c>
      <c r="B1178" s="198">
        <f>B1175+1</f>
        <v>307</v>
      </c>
      <c r="C1178" s="1776"/>
      <c r="D1178" s="1002" t="s">
        <v>96</v>
      </c>
      <c r="E1178" s="438">
        <f>E1177+E1175</f>
        <v>0</v>
      </c>
      <c r="F1178" s="438">
        <f>SUM(E1178:E1178)</f>
        <v>0</v>
      </c>
      <c r="G1178" s="435" t="s">
        <v>2596</v>
      </c>
      <c r="H1178" s="198">
        <f>C1161</f>
        <v>4016096</v>
      </c>
      <c r="I1178" s="369">
        <f>MAX($I$13:I1177)+1</f>
        <v>583</v>
      </c>
      <c r="J1178" s="65" t="str">
        <f>CONCATENATE("(",I1178,")"," = ","(",I1176,")*(",I1177,")")</f>
        <v>(583) = (581)*(582)</v>
      </c>
    </row>
    <row r="1179" spans="1:19" hidden="1" x14ac:dyDescent="0.25">
      <c r="A1179" s="329">
        <f>A1162</f>
        <v>0</v>
      </c>
      <c r="B1179" s="329"/>
      <c r="C1179" s="1776" t="s">
        <v>2848</v>
      </c>
      <c r="D1179" s="1003" t="s">
        <v>2810</v>
      </c>
      <c r="E1179" s="991" t="s">
        <v>2778</v>
      </c>
      <c r="F1179" s="439"/>
      <c r="G1179" s="430"/>
      <c r="H1179" s="361"/>
      <c r="I1179" s="357">
        <f>MAX($I$13:I1178)+1</f>
        <v>584</v>
      </c>
      <c r="J1179" s="361" t="s">
        <v>2843</v>
      </c>
    </row>
    <row r="1180" spans="1:19" hidden="1" x14ac:dyDescent="0.25">
      <c r="A1180" s="329">
        <f>A1162</f>
        <v>0</v>
      </c>
      <c r="B1180" s="396">
        <f>B1178+0.1</f>
        <v>307.10000000000002</v>
      </c>
      <c r="C1180" s="1776"/>
      <c r="D1180" s="1003" t="s">
        <v>2811</v>
      </c>
      <c r="E1180" s="991">
        <v>0.18</v>
      </c>
      <c r="F1180" s="1003"/>
      <c r="G1180" s="430" t="s">
        <v>2799</v>
      </c>
      <c r="H1180" s="361"/>
      <c r="I1180" s="357">
        <f>MAX($I$13:I1179)+1</f>
        <v>585</v>
      </c>
      <c r="J1180" s="361" t="s">
        <v>2843</v>
      </c>
    </row>
    <row r="1181" spans="1:19" hidden="1" x14ac:dyDescent="0.25">
      <c r="A1181" s="329">
        <f>A1162</f>
        <v>0</v>
      </c>
      <c r="B1181" s="198">
        <f>B1178+1</f>
        <v>308</v>
      </c>
      <c r="C1181" s="1776"/>
      <c r="D1181" s="1002" t="s">
        <v>2812</v>
      </c>
      <c r="E1181" s="438">
        <f>E1178*E1180</f>
        <v>0</v>
      </c>
      <c r="F1181" s="438">
        <f>SUM(E1181:E1181)</f>
        <v>0</v>
      </c>
      <c r="G1181" s="435" t="s">
        <v>2783</v>
      </c>
      <c r="H1181" s="366">
        <f>C1162</f>
        <v>5914374</v>
      </c>
      <c r="I1181" s="369">
        <f>MAX($I$13:I1180)+1</f>
        <v>586</v>
      </c>
      <c r="J1181" s="65" t="str">
        <f>CONCATENATE("(",I1181,")"," = ","(",I1178,")*(",I1180,")")</f>
        <v>(586) = (583)*(585)</v>
      </c>
    </row>
    <row r="1182" spans="1:19" hidden="1" x14ac:dyDescent="0.25">
      <c r="A1182" s="329">
        <f>A1178</f>
        <v>0</v>
      </c>
      <c r="B1182" s="329"/>
      <c r="C1182" s="193"/>
      <c r="D1182" s="194"/>
      <c r="E1182" s="329"/>
      <c r="F1182" s="1012"/>
      <c r="G1182" s="393"/>
      <c r="H1182" s="365"/>
      <c r="I1182" s="365"/>
      <c r="J1182" s="365"/>
    </row>
    <row r="1183" spans="1:19" s="191" customFormat="1" ht="15.75" hidden="1" thickBot="1" x14ac:dyDescent="0.3">
      <c r="A1183" s="686">
        <f>IF(E1188=0,0,1)</f>
        <v>0</v>
      </c>
      <c r="B1183" s="189"/>
      <c r="C1183" s="190">
        <f>oR!G364</f>
        <v>903848</v>
      </c>
      <c r="D1183" s="324" t="str">
        <f>oR!H364</f>
        <v>Muro em alvenaria de blocos de concreto com espessura de 0,20 m h = 1,0 m</v>
      </c>
      <c r="F1183" s="325"/>
      <c r="G1183" s="392"/>
      <c r="H1183" s="364"/>
      <c r="I1183" s="364"/>
      <c r="J1183" s="364"/>
    </row>
    <row r="1184" spans="1:19" hidden="1" x14ac:dyDescent="0.25">
      <c r="A1184" s="329">
        <f>A1183</f>
        <v>0</v>
      </c>
      <c r="B1184" s="329"/>
      <c r="C1184" s="193"/>
      <c r="D1184" s="194" t="s">
        <v>6064</v>
      </c>
      <c r="E1184" s="329"/>
      <c r="F1184" s="1012"/>
      <c r="G1184" s="393"/>
      <c r="H1184" s="365"/>
      <c r="I1184" s="365"/>
      <c r="J1184" s="365"/>
    </row>
    <row r="1185" spans="1:10" hidden="1" x14ac:dyDescent="0.25">
      <c r="A1185" s="329">
        <f t="shared" ref="A1185:A1186" si="196">A1184</f>
        <v>0</v>
      </c>
      <c r="B1185" s="329"/>
      <c r="C1185" s="1777" t="s">
        <v>42</v>
      </c>
      <c r="D1185" s="1777"/>
      <c r="E1185" s="327" t="str">
        <f>E$12</f>
        <v>ESTR. DE LINHA TAQUARAL</v>
      </c>
      <c r="F1185" s="1010" t="s">
        <v>96</v>
      </c>
      <c r="G1185" s="376"/>
      <c r="H1185" s="65"/>
      <c r="I1185" s="65"/>
      <c r="J1185" s="65"/>
    </row>
    <row r="1186" spans="1:10" hidden="1" x14ac:dyDescent="0.25">
      <c r="A1186" s="329">
        <f t="shared" si="196"/>
        <v>0</v>
      </c>
      <c r="B1186" s="329"/>
      <c r="C1186" s="1774" t="s">
        <v>6245</v>
      </c>
      <c r="D1186" s="1011" t="s">
        <v>53</v>
      </c>
      <c r="E1186" s="991"/>
      <c r="F1186" s="40">
        <f>SUM(E1186:E1186)</f>
        <v>0</v>
      </c>
      <c r="G1186" s="375" t="s">
        <v>2595</v>
      </c>
      <c r="I1186" s="357">
        <f>MAX($I$13:I1185)+1</f>
        <v>587</v>
      </c>
      <c r="J1186" s="329" t="s">
        <v>2842</v>
      </c>
    </row>
    <row r="1187" spans="1:10" hidden="1" x14ac:dyDescent="0.25">
      <c r="A1187" s="329">
        <f>A1186</f>
        <v>0</v>
      </c>
      <c r="B1187" s="329"/>
      <c r="C1187" s="1774"/>
      <c r="D1187" s="1011" t="s">
        <v>5919</v>
      </c>
      <c r="E1187" s="991">
        <v>1</v>
      </c>
      <c r="F1187" s="40">
        <f>SUM(E1187:E1187)</f>
        <v>1</v>
      </c>
      <c r="G1187" s="375" t="s">
        <v>2599</v>
      </c>
      <c r="I1187" s="357">
        <f>MAX($I$13:I1186)+1</f>
        <v>588</v>
      </c>
      <c r="J1187" s="361" t="s">
        <v>2843</v>
      </c>
    </row>
    <row r="1188" spans="1:10" hidden="1" x14ac:dyDescent="0.25">
      <c r="A1188" s="329">
        <f>A1185</f>
        <v>0</v>
      </c>
      <c r="B1188" s="198">
        <f>B1181+1</f>
        <v>309</v>
      </c>
      <c r="C1188" s="1777" t="s">
        <v>2600</v>
      </c>
      <c r="D1188" s="1777"/>
      <c r="E1188" s="199">
        <f>E1187*E1186</f>
        <v>0</v>
      </c>
      <c r="F1188" s="199">
        <f>SUM(E1188:E1188)</f>
        <v>0</v>
      </c>
      <c r="G1188" s="376" t="s">
        <v>2598</v>
      </c>
      <c r="H1188" s="198">
        <f>C1183</f>
        <v>903848</v>
      </c>
      <c r="I1188" s="369">
        <f>MAX($I$13:I1185)+1</f>
        <v>587</v>
      </c>
      <c r="J1188" s="65" t="str">
        <f>CONCATENATE("(",I1188,")"," = ","(",I1186,")*(",I1187,")")</f>
        <v>(587) = (587)*(588)</v>
      </c>
    </row>
    <row r="1189" spans="1:10" hidden="1" x14ac:dyDescent="0.25">
      <c r="A1189" s="329">
        <f>A1185</f>
        <v>0</v>
      </c>
      <c r="B1189" s="329"/>
      <c r="C1189" s="193"/>
      <c r="D1189" s="194"/>
      <c r="E1189" s="329"/>
      <c r="F1189" s="1064"/>
      <c r="G1189" s="393"/>
      <c r="H1189" s="365"/>
      <c r="I1189" s="365"/>
      <c r="J1189" s="365"/>
    </row>
    <row r="1190" spans="1:10" s="191" customFormat="1" ht="15.75" hidden="1" thickBot="1" x14ac:dyDescent="0.3">
      <c r="A1190" s="686">
        <f>IF(E1193=0,0,1)</f>
        <v>0</v>
      </c>
      <c r="B1190" s="189"/>
      <c r="C1190" s="190">
        <f>oR!G365</f>
        <v>3713604</v>
      </c>
      <c r="D1190" s="324" t="str">
        <f>oR!H365</f>
        <v>Defensa semimaleável simples - fornecimento e implantação</v>
      </c>
      <c r="F1190" s="325"/>
      <c r="G1190" s="392"/>
      <c r="H1190" s="364"/>
      <c r="I1190" s="364"/>
      <c r="J1190" s="364"/>
    </row>
    <row r="1191" spans="1:10" hidden="1" x14ac:dyDescent="0.25">
      <c r="A1191" s="329">
        <f>A1190</f>
        <v>0</v>
      </c>
      <c r="B1191" s="329"/>
      <c r="C1191" s="193"/>
      <c r="D1191" s="194" t="s">
        <v>4313</v>
      </c>
      <c r="E1191" s="329"/>
      <c r="F1191" s="1064"/>
      <c r="G1191" s="393"/>
      <c r="H1191" s="365"/>
      <c r="I1191" s="365"/>
      <c r="J1191" s="365"/>
    </row>
    <row r="1192" spans="1:10" hidden="1" x14ac:dyDescent="0.25">
      <c r="A1192" s="329">
        <f>A1191</f>
        <v>0</v>
      </c>
      <c r="B1192" s="329"/>
      <c r="C1192" s="1777" t="s">
        <v>42</v>
      </c>
      <c r="D1192" s="1777"/>
      <c r="E1192" s="327" t="str">
        <f>E$12</f>
        <v>ESTR. DE LINHA TAQUARAL</v>
      </c>
      <c r="F1192" s="1062" t="s">
        <v>96</v>
      </c>
      <c r="G1192" s="376"/>
      <c r="H1192" s="65"/>
      <c r="I1192" s="65"/>
      <c r="J1192" s="65"/>
    </row>
    <row r="1193" spans="1:10" hidden="1" x14ac:dyDescent="0.25">
      <c r="A1193" s="329">
        <f>A1192</f>
        <v>0</v>
      </c>
      <c r="B1193" s="198">
        <f>B1188+1</f>
        <v>310</v>
      </c>
      <c r="C1193" s="1063" t="s">
        <v>6478</v>
      </c>
      <c r="D1193" s="1063" t="s">
        <v>53</v>
      </c>
      <c r="E1193" s="395"/>
      <c r="F1193" s="199">
        <f>SUM(E1193:E1193)</f>
        <v>0</v>
      </c>
      <c r="G1193" s="435" t="s">
        <v>2598</v>
      </c>
      <c r="H1193" s="198">
        <f>C1190</f>
        <v>3713604</v>
      </c>
      <c r="I1193" s="369">
        <f>MAX($I$13:I1192)+1</f>
        <v>589</v>
      </c>
      <c r="J1193" s="65" t="s">
        <v>2842</v>
      </c>
    </row>
    <row r="1194" spans="1:10" hidden="1" x14ac:dyDescent="0.25">
      <c r="A1194" s="329">
        <f>A1190</f>
        <v>0</v>
      </c>
      <c r="B1194" s="329"/>
      <c r="C1194" s="193"/>
      <c r="D1194" s="194"/>
      <c r="E1194" s="329"/>
      <c r="F1194" s="1424"/>
      <c r="G1194" s="393"/>
      <c r="H1194" s="365"/>
      <c r="I1194" s="365"/>
      <c r="J1194" s="365"/>
    </row>
    <row r="1195" spans="1:10" s="191" customFormat="1" ht="15.75" hidden="1" thickBot="1" x14ac:dyDescent="0.3">
      <c r="A1195" s="686">
        <f>IF(E1198=0,0,1)</f>
        <v>0</v>
      </c>
      <c r="B1195" s="189"/>
      <c r="C1195" s="190" t="str">
        <f>oR!G366</f>
        <v>COMP 72</v>
      </c>
      <c r="D1195" s="324" t="str">
        <f>oR!H366</f>
        <v>Barreira simples de concreto, não armada, moldada no local (perfil New Jersey) - H = 810 + 100 mm, inclusive fornecimento de concreto FCK 20MPa</v>
      </c>
      <c r="F1195" s="325"/>
      <c r="G1195" s="392"/>
      <c r="H1195" s="364"/>
      <c r="I1195" s="364"/>
      <c r="J1195" s="364"/>
    </row>
    <row r="1196" spans="1:10" hidden="1" x14ac:dyDescent="0.25">
      <c r="A1196" s="329">
        <f>A1195</f>
        <v>0</v>
      </c>
      <c r="B1196" s="329"/>
      <c r="C1196" s="193"/>
      <c r="D1196" s="194" t="s">
        <v>4313</v>
      </c>
      <c r="E1196" s="329"/>
      <c r="F1196" s="1424"/>
      <c r="G1196" s="393"/>
      <c r="H1196" s="365"/>
      <c r="I1196" s="365"/>
      <c r="J1196" s="365"/>
    </row>
    <row r="1197" spans="1:10" hidden="1" x14ac:dyDescent="0.25">
      <c r="A1197" s="329">
        <f>A1196</f>
        <v>0</v>
      </c>
      <c r="B1197" s="329"/>
      <c r="C1197" s="1777" t="s">
        <v>42</v>
      </c>
      <c r="D1197" s="1777"/>
      <c r="E1197" s="327" t="str">
        <f>E$12</f>
        <v>ESTR. DE LINHA TAQUARAL</v>
      </c>
      <c r="F1197" s="1423" t="s">
        <v>96</v>
      </c>
      <c r="G1197" s="376"/>
      <c r="H1197" s="65"/>
      <c r="I1197" s="65"/>
      <c r="J1197" s="65"/>
    </row>
    <row r="1198" spans="1:10" hidden="1" x14ac:dyDescent="0.25">
      <c r="A1198" s="329">
        <f>A1197</f>
        <v>0</v>
      </c>
      <c r="B1198" s="198">
        <f>B1193+1</f>
        <v>311</v>
      </c>
      <c r="C1198" s="1425" t="s">
        <v>7269</v>
      </c>
      <c r="D1198" s="1425" t="s">
        <v>53</v>
      </c>
      <c r="E1198" s="395"/>
      <c r="F1198" s="199">
        <f>SUM(E1198:E1198)</f>
        <v>0</v>
      </c>
      <c r="G1198" s="435" t="s">
        <v>2598</v>
      </c>
      <c r="H1198" s="198" t="str">
        <f>C1195</f>
        <v>COMP 72</v>
      </c>
      <c r="I1198" s="369">
        <f>MAX($I$13:I1197)+1</f>
        <v>590</v>
      </c>
      <c r="J1198" s="65" t="s">
        <v>2842</v>
      </c>
    </row>
    <row r="1199" spans="1:10" hidden="1" x14ac:dyDescent="0.25">
      <c r="A1199" s="329">
        <f>A1195</f>
        <v>0</v>
      </c>
      <c r="B1199" s="329"/>
      <c r="C1199" s="193"/>
      <c r="D1199" s="194"/>
      <c r="E1199" s="329"/>
      <c r="F1199" s="1424"/>
      <c r="G1199" s="393"/>
      <c r="H1199" s="365"/>
      <c r="I1199" s="365"/>
      <c r="J1199" s="365"/>
    </row>
    <row r="1200" spans="1:10" s="191" customFormat="1" ht="15.75" hidden="1" thickBot="1" x14ac:dyDescent="0.3">
      <c r="A1200" s="686">
        <f>IF(E1203=0,0,1)</f>
        <v>0</v>
      </c>
      <c r="B1200" s="189"/>
      <c r="C1200" s="190" t="str">
        <f>oR!G367</f>
        <v>COMP 73</v>
      </c>
      <c r="D1200" s="324" t="str">
        <f>oR!H367</f>
        <v>Babrigo de passageiros padrão DETER, inclusive passeio de concreto</v>
      </c>
      <c r="F1200" s="325"/>
      <c r="G1200" s="392"/>
      <c r="H1200" s="364"/>
      <c r="I1200" s="364"/>
      <c r="J1200" s="364"/>
    </row>
    <row r="1201" spans="1:36" hidden="1" x14ac:dyDescent="0.25">
      <c r="A1201" s="329">
        <f>A1200</f>
        <v>0</v>
      </c>
      <c r="B1201" s="329"/>
      <c r="C1201" s="193"/>
      <c r="D1201" s="194" t="s">
        <v>4313</v>
      </c>
      <c r="E1201" s="329"/>
      <c r="F1201" s="1424"/>
      <c r="G1201" s="393"/>
      <c r="H1201" s="365"/>
      <c r="I1201" s="365"/>
      <c r="J1201" s="365"/>
    </row>
    <row r="1202" spans="1:36" hidden="1" x14ac:dyDescent="0.25">
      <c r="A1202" s="329">
        <f>A1201</f>
        <v>0</v>
      </c>
      <c r="B1202" s="329"/>
      <c r="C1202" s="1777" t="s">
        <v>42</v>
      </c>
      <c r="D1202" s="1777"/>
      <c r="E1202" s="327" t="str">
        <f>E$12</f>
        <v>ESTR. DE LINHA TAQUARAL</v>
      </c>
      <c r="F1202" s="1423" t="s">
        <v>96</v>
      </c>
      <c r="G1202" s="376"/>
      <c r="H1202" s="65"/>
      <c r="I1202" s="65"/>
      <c r="J1202" s="65"/>
    </row>
    <row r="1203" spans="1:36" hidden="1" x14ac:dyDescent="0.25">
      <c r="A1203" s="329">
        <f>A1202</f>
        <v>0</v>
      </c>
      <c r="B1203" s="198">
        <f>B1198+1</f>
        <v>312</v>
      </c>
      <c r="C1203" s="1425" t="s">
        <v>7509</v>
      </c>
      <c r="D1203" s="1425" t="s">
        <v>12</v>
      </c>
      <c r="E1203" s="395"/>
      <c r="F1203" s="199">
        <f>SUM(E1203:E1203)</f>
        <v>0</v>
      </c>
      <c r="G1203" s="435" t="s">
        <v>2599</v>
      </c>
      <c r="H1203" s="198" t="str">
        <f>C1200</f>
        <v>COMP 73</v>
      </c>
      <c r="I1203" s="369">
        <f>MAX($I$13:I1202)+1</f>
        <v>591</v>
      </c>
      <c r="J1203" s="65" t="s">
        <v>2842</v>
      </c>
    </row>
    <row r="1204" spans="1:36" hidden="1" x14ac:dyDescent="0.25">
      <c r="A1204" s="329">
        <f>A1179</f>
        <v>0</v>
      </c>
      <c r="B1204" s="329"/>
      <c r="C1204" s="329"/>
      <c r="D1204" s="329"/>
      <c r="E1204" s="329"/>
      <c r="F1204" s="329"/>
    </row>
    <row r="1205" spans="1:36" s="188" customFormat="1" ht="13.5" hidden="1" thickBot="1" x14ac:dyDescent="0.3">
      <c r="A1205" s="687">
        <f>IF(SUM(A1208:A1246)&gt;0,1,0)</f>
        <v>0</v>
      </c>
      <c r="B1205" s="185"/>
      <c r="C1205" s="691"/>
      <c r="D1205" s="692" t="str">
        <f>oR!G369</f>
        <v>OBRAS DE CONTENÇÃO</v>
      </c>
      <c r="E1205" s="692"/>
      <c r="F1205" s="692"/>
      <c r="G1205" s="693"/>
      <c r="H1205" s="694"/>
      <c r="I1205" s="694"/>
      <c r="J1205" s="695"/>
    </row>
    <row r="1206" spans="1:36" hidden="1" x14ac:dyDescent="0.25">
      <c r="A1206" s="329">
        <f>A1205</f>
        <v>0</v>
      </c>
      <c r="B1206" s="329"/>
      <c r="C1206" s="193"/>
      <c r="D1206" s="194" t="s">
        <v>2948</v>
      </c>
      <c r="E1206" s="329"/>
      <c r="F1206" s="328"/>
      <c r="G1206" s="393"/>
      <c r="H1206" s="365"/>
      <c r="I1206" s="365"/>
      <c r="J1206" s="365"/>
    </row>
    <row r="1207" spans="1:36" hidden="1" x14ac:dyDescent="0.25">
      <c r="A1207" s="329">
        <f>A1206</f>
        <v>0</v>
      </c>
      <c r="B1207" s="329"/>
      <c r="C1207" s="193"/>
      <c r="D1207" s="194"/>
      <c r="E1207" s="329"/>
      <c r="F1207" s="328"/>
      <c r="G1207" s="393"/>
      <c r="H1207" s="365"/>
      <c r="I1207" s="365"/>
      <c r="J1207" s="365"/>
    </row>
    <row r="1208" spans="1:36" s="191" customFormat="1" ht="15.75" hidden="1" thickBot="1" x14ac:dyDescent="0.3">
      <c r="A1208" s="686">
        <f>IF(E1238=0,0,1)</f>
        <v>0</v>
      </c>
      <c r="B1208" s="189"/>
      <c r="C1208" s="190">
        <f>oR!G370</f>
        <v>4805762</v>
      </c>
      <c r="D1208" s="324" t="str">
        <f>oR!H370</f>
        <v>Escavação mecânica de vala em material de 2ª categoria</v>
      </c>
      <c r="F1208" s="325"/>
      <c r="G1208" s="392"/>
      <c r="H1208" s="364"/>
      <c r="I1208" s="364"/>
      <c r="J1208" s="364"/>
    </row>
    <row r="1209" spans="1:36" s="191" customFormat="1" ht="15.75" hidden="1" thickBot="1" x14ac:dyDescent="0.3">
      <c r="A1209" s="686">
        <f>IF(E1239=0,0,1)</f>
        <v>0</v>
      </c>
      <c r="B1209" s="189"/>
      <c r="C1209" s="190">
        <f>oR!G371</f>
        <v>1506055</v>
      </c>
      <c r="D1209" s="324" t="str">
        <f>oR!H371</f>
        <v>Pedra argamassada com cimento e areia 1:3 - areia e pedra de mão comercial - fornecimento e assentamento</v>
      </c>
      <c r="F1209" s="325"/>
      <c r="G1209" s="392"/>
      <c r="H1209" s="364"/>
      <c r="I1209" s="364"/>
      <c r="J1209" s="364"/>
    </row>
    <row r="1210" spans="1:36" hidden="1" x14ac:dyDescent="0.25">
      <c r="A1210" s="329">
        <f>IF(SUM(A1208:A1209)&gt;0,1,0)</f>
        <v>0</v>
      </c>
      <c r="B1210" s="329"/>
      <c r="C1210" s="193"/>
      <c r="D1210" s="194" t="s">
        <v>3926</v>
      </c>
      <c r="E1210" s="329"/>
      <c r="F1210" s="328"/>
      <c r="G1210" s="393"/>
      <c r="H1210" s="365"/>
      <c r="I1210" s="365"/>
      <c r="J1210" s="365"/>
    </row>
    <row r="1211" spans="1:36" hidden="1" x14ac:dyDescent="0.25">
      <c r="A1211" s="329">
        <f>A1210</f>
        <v>0</v>
      </c>
      <c r="B1211" s="329"/>
      <c r="C1211" s="193"/>
      <c r="D1211" s="194" t="s">
        <v>3926</v>
      </c>
      <c r="E1211" s="329"/>
      <c r="F1211" s="1064"/>
      <c r="G1211" s="393"/>
      <c r="H1211" s="365"/>
      <c r="I1211" s="365"/>
      <c r="J1211" s="365"/>
    </row>
    <row r="1212" spans="1:36" hidden="1" x14ac:dyDescent="0.25">
      <c r="A1212" s="329">
        <f>A1211</f>
        <v>0</v>
      </c>
      <c r="B1212" s="329"/>
      <c r="C1212" s="1777" t="s">
        <v>42</v>
      </c>
      <c r="D1212" s="1777"/>
      <c r="E1212" s="327" t="str">
        <f>E$12</f>
        <v>ESTR. DE LINHA TAQUARAL</v>
      </c>
      <c r="F1212" s="423" t="s">
        <v>96</v>
      </c>
      <c r="G1212" s="376"/>
      <c r="H1212" s="365"/>
      <c r="I1212" s="365"/>
      <c r="J1212" s="365"/>
    </row>
    <row r="1213" spans="1:36" s="1068" customFormat="1" hidden="1" x14ac:dyDescent="0.25">
      <c r="A1213" s="1067">
        <f>IF(E1213=0,0,1)</f>
        <v>0</v>
      </c>
      <c r="B1213" s="1067"/>
      <c r="C1213" s="1793" t="s">
        <v>6246</v>
      </c>
      <c r="D1213" s="1070" t="s">
        <v>53</v>
      </c>
      <c r="E1213" s="991">
        <f>SUM(M1213:M1217)</f>
        <v>0</v>
      </c>
      <c r="F1213" s="991">
        <f>SUM(AI1213:AI1217)</f>
        <v>0</v>
      </c>
      <c r="G1213" s="991" t="s">
        <v>2598</v>
      </c>
      <c r="H1213" s="365"/>
      <c r="I1213" s="357">
        <f>MAX($I$13:I1212)+1</f>
        <v>592</v>
      </c>
      <c r="J1213" s="1067" t="s">
        <v>2843</v>
      </c>
      <c r="K1213" s="1071"/>
      <c r="L1213" s="1077"/>
      <c r="M1213" s="1078">
        <f>L1213-K1213</f>
        <v>0</v>
      </c>
      <c r="N1213" s="194"/>
      <c r="O1213" s="194"/>
      <c r="P1213" s="194"/>
      <c r="Q1213" s="194"/>
      <c r="R1213" s="194"/>
      <c r="S1213" s="194"/>
      <c r="T1213" s="194"/>
      <c r="U1213" s="194"/>
      <c r="V1213" s="194"/>
      <c r="W1213" s="194"/>
      <c r="X1213" s="194"/>
      <c r="Y1213" s="194"/>
      <c r="Z1213" s="194"/>
      <c r="AA1213" s="194"/>
      <c r="AB1213" s="194"/>
      <c r="AC1213" s="194"/>
      <c r="AD1213" s="194"/>
      <c r="AE1213" s="194"/>
      <c r="AF1213" s="194"/>
      <c r="AG1213" s="194"/>
      <c r="AH1213" s="194"/>
      <c r="AI1213" s="194"/>
      <c r="AJ1213" s="194"/>
    </row>
    <row r="1214" spans="1:36" s="1068" customFormat="1" hidden="1" x14ac:dyDescent="0.25">
      <c r="A1214" s="1067">
        <f>A1213</f>
        <v>0</v>
      </c>
      <c r="B1214" s="1067"/>
      <c r="C1214" s="1793"/>
      <c r="D1214" s="1070" t="s">
        <v>6247</v>
      </c>
      <c r="E1214" s="991">
        <f>E1216*0.5</f>
        <v>0.23</v>
      </c>
      <c r="F1214" s="991">
        <f>F1216*0.5</f>
        <v>0.23</v>
      </c>
      <c r="G1214" s="991" t="s">
        <v>5169</v>
      </c>
      <c r="H1214" s="365"/>
      <c r="I1214" s="357">
        <f>MAX($I$13:I1213)+1</f>
        <v>593</v>
      </c>
      <c r="J1214" s="1067" t="s">
        <v>2843</v>
      </c>
      <c r="K1214" s="1072"/>
      <c r="L1214" s="1076"/>
      <c r="M1214" s="1066">
        <f t="shared" ref="M1214:M1218" si="197">L1214-K1214</f>
        <v>0</v>
      </c>
      <c r="N1214" s="194"/>
      <c r="O1214" s="194"/>
      <c r="P1214" s="194"/>
      <c r="Q1214" s="194"/>
      <c r="R1214" s="194"/>
      <c r="S1214" s="194"/>
      <c r="T1214" s="194"/>
      <c r="U1214" s="194"/>
      <c r="V1214" s="194"/>
      <c r="W1214" s="194"/>
      <c r="X1214" s="194"/>
      <c r="Y1214" s="194"/>
      <c r="Z1214" s="194"/>
      <c r="AA1214" s="194"/>
      <c r="AB1214" s="194"/>
      <c r="AC1214" s="194"/>
      <c r="AD1214" s="194"/>
      <c r="AE1214" s="194"/>
      <c r="AF1214" s="194"/>
      <c r="AG1214" s="194"/>
      <c r="AH1214" s="194"/>
      <c r="AI1214" s="194"/>
      <c r="AJ1214" s="194"/>
    </row>
    <row r="1215" spans="1:36" s="1068" customFormat="1" hidden="1" x14ac:dyDescent="0.25">
      <c r="A1215" s="1067">
        <f t="shared" ref="A1215:A1217" si="198">A1214</f>
        <v>0</v>
      </c>
      <c r="B1215" s="1067"/>
      <c r="C1215" s="1793"/>
      <c r="D1215" s="1070" t="s">
        <v>6248</v>
      </c>
      <c r="E1215" s="439">
        <f>E1214*E1213</f>
        <v>0</v>
      </c>
      <c r="F1215" s="439">
        <f>F1214*F1213</f>
        <v>0</v>
      </c>
      <c r="G1215" s="439" t="s">
        <v>2596</v>
      </c>
      <c r="H1215" s="365"/>
      <c r="I1215" s="357">
        <f>MAX($I$13:I1214)+1</f>
        <v>594</v>
      </c>
      <c r="J1215" s="1067" t="str">
        <f>CONCATENATE("(",I1215,")"," = ","(",I1213,")*(",I1214,")")</f>
        <v>(594) = (592)*(593)</v>
      </c>
      <c r="K1215" s="1072"/>
      <c r="L1215" s="1076"/>
      <c r="M1215" s="1066">
        <f t="shared" si="197"/>
        <v>0</v>
      </c>
      <c r="N1215" s="194"/>
      <c r="O1215" s="194"/>
      <c r="P1215" s="194"/>
      <c r="Q1215" s="194"/>
      <c r="R1215" s="194"/>
      <c r="S1215" s="194"/>
      <c r="T1215" s="194"/>
      <c r="U1215" s="194"/>
      <c r="V1215" s="194"/>
      <c r="W1215" s="194"/>
      <c r="X1215" s="194"/>
      <c r="Y1215" s="194"/>
      <c r="Z1215" s="194"/>
      <c r="AA1215" s="194"/>
      <c r="AB1215" s="194"/>
      <c r="AC1215" s="194"/>
      <c r="AD1215" s="194"/>
      <c r="AE1215" s="194"/>
      <c r="AF1215" s="194"/>
      <c r="AG1215" s="194"/>
      <c r="AH1215" s="194"/>
      <c r="AI1215" s="194"/>
      <c r="AJ1215" s="194"/>
    </row>
    <row r="1216" spans="1:36" s="1068" customFormat="1" hidden="1" x14ac:dyDescent="0.25">
      <c r="A1216" s="1067">
        <f t="shared" si="198"/>
        <v>0</v>
      </c>
      <c r="B1216" s="1067"/>
      <c r="C1216" s="1793"/>
      <c r="D1216" s="1070" t="s">
        <v>6249</v>
      </c>
      <c r="E1216" s="991">
        <v>0.45</v>
      </c>
      <c r="F1216" s="991">
        <v>0.45</v>
      </c>
      <c r="G1216" s="991" t="s">
        <v>5169</v>
      </c>
      <c r="H1216" s="365"/>
      <c r="I1216" s="357">
        <f>MAX($I$13:I1215)+1</f>
        <v>595</v>
      </c>
      <c r="J1216" s="1067" t="s">
        <v>2843</v>
      </c>
      <c r="K1216" s="1072"/>
      <c r="L1216" s="1076"/>
      <c r="M1216" s="1066">
        <f t="shared" si="197"/>
        <v>0</v>
      </c>
      <c r="N1216" s="194"/>
      <c r="O1216" s="194"/>
      <c r="P1216" s="194"/>
      <c r="Q1216" s="194"/>
      <c r="R1216" s="194"/>
      <c r="S1216" s="194"/>
      <c r="T1216" s="194"/>
      <c r="U1216" s="194"/>
      <c r="V1216" s="194"/>
      <c r="W1216" s="194"/>
      <c r="X1216" s="194"/>
      <c r="Y1216" s="194"/>
      <c r="Z1216" s="194"/>
      <c r="AA1216" s="194"/>
      <c r="AB1216" s="194"/>
      <c r="AC1216" s="194"/>
      <c r="AD1216" s="194"/>
      <c r="AE1216" s="194"/>
      <c r="AF1216" s="194"/>
      <c r="AG1216" s="194"/>
      <c r="AH1216" s="194"/>
      <c r="AI1216" s="194"/>
      <c r="AJ1216" s="194"/>
    </row>
    <row r="1217" spans="1:36" s="1068" customFormat="1" ht="13.5" hidden="1" thickBot="1" x14ac:dyDescent="0.3">
      <c r="A1217" s="1067">
        <f t="shared" si="198"/>
        <v>0</v>
      </c>
      <c r="B1217" s="1067"/>
      <c r="C1217" s="1793"/>
      <c r="D1217" s="1070" t="s">
        <v>6250</v>
      </c>
      <c r="E1217" s="439">
        <f>E1216*E1213</f>
        <v>0</v>
      </c>
      <c r="F1217" s="439">
        <f>F1216*F1213</f>
        <v>0</v>
      </c>
      <c r="G1217" s="439" t="s">
        <v>2596</v>
      </c>
      <c r="H1217" s="365"/>
      <c r="I1217" s="357">
        <f>MAX($I$13:I1216)+1</f>
        <v>596</v>
      </c>
      <c r="J1217" s="1067" t="str">
        <f>CONCATENATE("(",I1217,")"," = ","(",I1213,")*(",I1216,")")</f>
        <v>(596) = (592)*(595)</v>
      </c>
      <c r="K1217" s="1073"/>
      <c r="L1217" s="1079"/>
      <c r="M1217" s="1080">
        <f t="shared" si="197"/>
        <v>0</v>
      </c>
      <c r="N1217" s="194"/>
      <c r="O1217" s="194"/>
      <c r="P1217" s="194"/>
      <c r="Q1217" s="194"/>
      <c r="R1217" s="194"/>
      <c r="S1217" s="194"/>
      <c r="T1217" s="194"/>
      <c r="U1217" s="194"/>
      <c r="V1217" s="194"/>
      <c r="W1217" s="194"/>
      <c r="X1217" s="194"/>
      <c r="Y1217" s="194"/>
      <c r="Z1217" s="194"/>
      <c r="AA1217" s="194"/>
      <c r="AB1217" s="194"/>
      <c r="AC1217" s="194"/>
      <c r="AD1217" s="194"/>
      <c r="AE1217" s="194"/>
      <c r="AF1217" s="194"/>
      <c r="AG1217" s="194"/>
      <c r="AH1217" s="194"/>
      <c r="AI1217" s="194"/>
      <c r="AJ1217" s="194"/>
    </row>
    <row r="1218" spans="1:36" s="1068" customFormat="1" hidden="1" x14ac:dyDescent="0.25">
      <c r="A1218" s="1067">
        <f>IF(E1218=0,0,1)</f>
        <v>0</v>
      </c>
      <c r="B1218" s="1067"/>
      <c r="C1218" s="1793" t="s">
        <v>6251</v>
      </c>
      <c r="D1218" s="1070" t="s">
        <v>53</v>
      </c>
      <c r="E1218" s="991">
        <f>SUM(M1218:M1222)</f>
        <v>0</v>
      </c>
      <c r="F1218" s="991">
        <f>SUM(AI1218:AI1222)</f>
        <v>0</v>
      </c>
      <c r="G1218" s="991" t="s">
        <v>2598</v>
      </c>
      <c r="H1218" s="365"/>
      <c r="I1218" s="357">
        <f>MAX($I$13:I1217)+1</f>
        <v>597</v>
      </c>
      <c r="J1218" s="1067" t="s">
        <v>2843</v>
      </c>
      <c r="K1218" s="1071"/>
      <c r="L1218" s="1077"/>
      <c r="M1218" s="1078">
        <f t="shared" si="197"/>
        <v>0</v>
      </c>
      <c r="N1218" s="194"/>
      <c r="O1218" s="194"/>
      <c r="P1218" s="194"/>
      <c r="Q1218" s="194"/>
      <c r="R1218" s="194"/>
      <c r="S1218" s="194"/>
      <c r="T1218" s="194"/>
      <c r="U1218" s="194"/>
      <c r="V1218" s="194"/>
      <c r="W1218" s="194"/>
      <c r="X1218" s="194"/>
      <c r="Y1218" s="194"/>
      <c r="Z1218" s="194"/>
      <c r="AA1218" s="194"/>
      <c r="AB1218" s="194"/>
      <c r="AC1218" s="194"/>
      <c r="AD1218" s="194"/>
      <c r="AE1218" s="194"/>
      <c r="AF1218" s="194"/>
      <c r="AG1218" s="194"/>
      <c r="AH1218" s="194"/>
      <c r="AI1218" s="194"/>
      <c r="AJ1218" s="194"/>
    </row>
    <row r="1219" spans="1:36" s="1068" customFormat="1" hidden="1" x14ac:dyDescent="0.25">
      <c r="A1219" s="1067">
        <f>A1218</f>
        <v>0</v>
      </c>
      <c r="B1219" s="1067"/>
      <c r="C1219" s="1793"/>
      <c r="D1219" s="1070" t="s">
        <v>6247</v>
      </c>
      <c r="E1219" s="991">
        <f>E1221*0.5</f>
        <v>0.32</v>
      </c>
      <c r="F1219" s="991">
        <f>F1221*0.5</f>
        <v>0.32</v>
      </c>
      <c r="G1219" s="991" t="s">
        <v>5169</v>
      </c>
      <c r="H1219" s="365"/>
      <c r="I1219" s="357">
        <f>MAX($I$13:I1218)+1</f>
        <v>598</v>
      </c>
      <c r="J1219" s="1067" t="s">
        <v>2843</v>
      </c>
      <c r="K1219" s="1072"/>
      <c r="L1219" s="1076"/>
      <c r="M1219" s="1066">
        <f t="shared" ref="M1219:M1237" si="199">L1219-K1219</f>
        <v>0</v>
      </c>
      <c r="N1219" s="194"/>
      <c r="O1219" s="194"/>
      <c r="P1219" s="194"/>
      <c r="Q1219" s="194"/>
      <c r="R1219" s="194"/>
      <c r="S1219" s="194"/>
      <c r="T1219" s="194"/>
      <c r="U1219" s="194"/>
      <c r="V1219" s="194"/>
      <c r="W1219" s="194"/>
      <c r="X1219" s="194"/>
      <c r="Y1219" s="194"/>
      <c r="Z1219" s="194"/>
      <c r="AA1219" s="194"/>
      <c r="AB1219" s="194"/>
      <c r="AC1219" s="194"/>
      <c r="AD1219" s="194"/>
      <c r="AE1219" s="194"/>
      <c r="AF1219" s="194"/>
      <c r="AG1219" s="194"/>
      <c r="AH1219" s="194"/>
      <c r="AI1219" s="194"/>
      <c r="AJ1219" s="194"/>
    </row>
    <row r="1220" spans="1:36" s="1068" customFormat="1" hidden="1" x14ac:dyDescent="0.25">
      <c r="A1220" s="1067">
        <f t="shared" ref="A1220:A1222" si="200">A1219</f>
        <v>0</v>
      </c>
      <c r="B1220" s="1067"/>
      <c r="C1220" s="1793"/>
      <c r="D1220" s="1070" t="s">
        <v>6248</v>
      </c>
      <c r="E1220" s="439">
        <f>E1219*E1218</f>
        <v>0</v>
      </c>
      <c r="F1220" s="439">
        <f>F1219*F1218</f>
        <v>0</v>
      </c>
      <c r="G1220" s="439" t="s">
        <v>2596</v>
      </c>
      <c r="H1220" s="365"/>
      <c r="I1220" s="357">
        <f>MAX($I$13:I1219)+1</f>
        <v>599</v>
      </c>
      <c r="J1220" s="1067" t="str">
        <f t="shared" ref="J1220" si="201">CONCATENATE("(",I1220,")"," = ","(",I1218,")*(",I1219,")")</f>
        <v>(599) = (597)*(598)</v>
      </c>
      <c r="K1220" s="1072"/>
      <c r="L1220" s="1076"/>
      <c r="M1220" s="1066">
        <f t="shared" si="199"/>
        <v>0</v>
      </c>
      <c r="N1220" s="194"/>
      <c r="O1220" s="194"/>
      <c r="P1220" s="194"/>
      <c r="Q1220" s="194"/>
      <c r="R1220" s="194"/>
      <c r="S1220" s="194"/>
      <c r="T1220" s="194"/>
      <c r="U1220" s="194"/>
      <c r="V1220" s="194"/>
      <c r="W1220" s="194"/>
      <c r="X1220" s="194"/>
      <c r="Y1220" s="194"/>
      <c r="Z1220" s="194"/>
      <c r="AA1220" s="194"/>
      <c r="AB1220" s="194"/>
      <c r="AC1220" s="194"/>
      <c r="AD1220" s="194"/>
      <c r="AE1220" s="194"/>
      <c r="AF1220" s="194"/>
      <c r="AG1220" s="194"/>
      <c r="AH1220" s="194"/>
      <c r="AI1220" s="194"/>
      <c r="AJ1220" s="194"/>
    </row>
    <row r="1221" spans="1:36" s="1068" customFormat="1" hidden="1" x14ac:dyDescent="0.25">
      <c r="A1221" s="1067">
        <f t="shared" si="200"/>
        <v>0</v>
      </c>
      <c r="B1221" s="1067"/>
      <c r="C1221" s="1793"/>
      <c r="D1221" s="1070" t="s">
        <v>6249</v>
      </c>
      <c r="E1221" s="991">
        <v>0.63</v>
      </c>
      <c r="F1221" s="991">
        <v>0.63</v>
      </c>
      <c r="G1221" s="991" t="s">
        <v>5169</v>
      </c>
      <c r="H1221" s="365"/>
      <c r="I1221" s="357">
        <f>MAX($I$13:I1220)+1</f>
        <v>600</v>
      </c>
      <c r="J1221" s="1067" t="s">
        <v>2843</v>
      </c>
      <c r="K1221" s="1072"/>
      <c r="L1221" s="1076"/>
      <c r="M1221" s="1066">
        <f t="shared" si="199"/>
        <v>0</v>
      </c>
      <c r="N1221" s="194"/>
      <c r="O1221" s="194"/>
      <c r="P1221" s="194"/>
      <c r="Q1221" s="194"/>
      <c r="R1221" s="194"/>
      <c r="S1221" s="194"/>
      <c r="T1221" s="194"/>
      <c r="U1221" s="194"/>
      <c r="V1221" s="194"/>
      <c r="W1221" s="194"/>
      <c r="X1221" s="194"/>
      <c r="Y1221" s="194"/>
      <c r="Z1221" s="194"/>
      <c r="AA1221" s="194"/>
      <c r="AB1221" s="194"/>
      <c r="AC1221" s="194"/>
      <c r="AD1221" s="194"/>
      <c r="AE1221" s="194"/>
      <c r="AF1221" s="194"/>
      <c r="AG1221" s="194"/>
      <c r="AH1221" s="194"/>
      <c r="AI1221" s="194"/>
      <c r="AJ1221" s="194"/>
    </row>
    <row r="1222" spans="1:36" s="1068" customFormat="1" ht="13.5" hidden="1" thickBot="1" x14ac:dyDescent="0.3">
      <c r="A1222" s="1067">
        <f t="shared" si="200"/>
        <v>0</v>
      </c>
      <c r="B1222" s="1067"/>
      <c r="C1222" s="1793"/>
      <c r="D1222" s="1070" t="s">
        <v>6250</v>
      </c>
      <c r="E1222" s="439">
        <f>E1221*E1218</f>
        <v>0</v>
      </c>
      <c r="F1222" s="439">
        <f>F1221*F1218</f>
        <v>0</v>
      </c>
      <c r="G1222" s="439" t="s">
        <v>2596</v>
      </c>
      <c r="H1222" s="365"/>
      <c r="I1222" s="357">
        <f>MAX($I$13:I1221)+1</f>
        <v>601</v>
      </c>
      <c r="J1222" s="1067" t="str">
        <f t="shared" ref="J1222" si="202">CONCATENATE("(",I1222,")"," = ","(",I1218,")*(",I1221,")")</f>
        <v>(601) = (597)*(600)</v>
      </c>
      <c r="K1222" s="1073"/>
      <c r="L1222" s="1079"/>
      <c r="M1222" s="1080">
        <f t="shared" si="199"/>
        <v>0</v>
      </c>
      <c r="N1222" s="194"/>
      <c r="O1222" s="194"/>
      <c r="P1222" s="194"/>
      <c r="Q1222" s="194"/>
      <c r="R1222" s="194"/>
      <c r="S1222" s="194"/>
      <c r="T1222" s="194"/>
      <c r="U1222" s="194"/>
      <c r="V1222" s="194"/>
      <c r="W1222" s="194"/>
      <c r="X1222" s="194"/>
      <c r="Y1222" s="194"/>
      <c r="Z1222" s="194"/>
      <c r="AA1222" s="194"/>
      <c r="AB1222" s="194"/>
      <c r="AC1222" s="194"/>
      <c r="AD1222" s="194"/>
      <c r="AE1222" s="194"/>
      <c r="AF1222" s="194"/>
      <c r="AG1222" s="194"/>
      <c r="AH1222" s="194"/>
      <c r="AI1222" s="194"/>
      <c r="AJ1222" s="194"/>
    </row>
    <row r="1223" spans="1:36" s="1068" customFormat="1" hidden="1" x14ac:dyDescent="0.25">
      <c r="A1223" s="1067">
        <f>IF(E1223=0,0,1)</f>
        <v>0</v>
      </c>
      <c r="B1223" s="1067"/>
      <c r="C1223" s="1793" t="s">
        <v>6252</v>
      </c>
      <c r="D1223" s="1070" t="s">
        <v>53</v>
      </c>
      <c r="E1223" s="991">
        <f>SUM(M1223:M1227)</f>
        <v>0</v>
      </c>
      <c r="F1223" s="991">
        <f>SUM(AI1223:AI1227)</f>
        <v>0</v>
      </c>
      <c r="G1223" s="991" t="s">
        <v>2598</v>
      </c>
      <c r="H1223" s="365"/>
      <c r="I1223" s="357">
        <f>MAX($I$13:I1222)+1</f>
        <v>602</v>
      </c>
      <c r="J1223" s="1067" t="s">
        <v>2843</v>
      </c>
      <c r="K1223" s="1071"/>
      <c r="L1223" s="1077"/>
      <c r="M1223" s="1078">
        <f t="shared" si="199"/>
        <v>0</v>
      </c>
      <c r="N1223" s="194"/>
      <c r="O1223" s="194"/>
      <c r="P1223" s="194"/>
      <c r="Q1223" s="194"/>
      <c r="R1223" s="194"/>
      <c r="S1223" s="194"/>
      <c r="T1223" s="194"/>
      <c r="U1223" s="194"/>
      <c r="V1223" s="194"/>
      <c r="W1223" s="194"/>
      <c r="X1223" s="194"/>
      <c r="Y1223" s="194"/>
      <c r="Z1223" s="194"/>
      <c r="AA1223" s="194"/>
      <c r="AB1223" s="194"/>
      <c r="AC1223" s="194"/>
      <c r="AD1223" s="194"/>
      <c r="AE1223" s="194"/>
      <c r="AF1223" s="194"/>
      <c r="AG1223" s="194"/>
      <c r="AH1223" s="194"/>
      <c r="AI1223" s="194"/>
      <c r="AJ1223" s="194"/>
    </row>
    <row r="1224" spans="1:36" s="1068" customFormat="1" hidden="1" x14ac:dyDescent="0.25">
      <c r="A1224" s="1067">
        <f>A1223</f>
        <v>0</v>
      </c>
      <c r="B1224" s="1067"/>
      <c r="C1224" s="1793"/>
      <c r="D1224" s="1070" t="s">
        <v>6247</v>
      </c>
      <c r="E1224" s="991">
        <f>E1226*0.5</f>
        <v>0.84</v>
      </c>
      <c r="F1224" s="991">
        <f>F1226*0.5</f>
        <v>0.84</v>
      </c>
      <c r="G1224" s="991" t="s">
        <v>5169</v>
      </c>
      <c r="H1224" s="365"/>
      <c r="I1224" s="357">
        <f>MAX($I$13:I1223)+1</f>
        <v>603</v>
      </c>
      <c r="J1224" s="1067" t="s">
        <v>2843</v>
      </c>
      <c r="K1224" s="1072"/>
      <c r="L1224" s="1076"/>
      <c r="M1224" s="1066">
        <f t="shared" si="199"/>
        <v>0</v>
      </c>
      <c r="N1224" s="194"/>
      <c r="O1224" s="194"/>
      <c r="P1224" s="194"/>
      <c r="Q1224" s="194"/>
      <c r="R1224" s="194"/>
      <c r="S1224" s="194"/>
      <c r="T1224" s="194"/>
      <c r="U1224" s="194"/>
      <c r="V1224" s="194"/>
      <c r="W1224" s="194"/>
      <c r="X1224" s="194"/>
      <c r="Y1224" s="194"/>
      <c r="Z1224" s="194"/>
      <c r="AA1224" s="194"/>
      <c r="AB1224" s="194"/>
      <c r="AC1224" s="194"/>
      <c r="AD1224" s="194"/>
      <c r="AE1224" s="194"/>
      <c r="AF1224" s="194"/>
      <c r="AG1224" s="194"/>
      <c r="AH1224" s="194"/>
      <c r="AI1224" s="194"/>
      <c r="AJ1224" s="194"/>
    </row>
    <row r="1225" spans="1:36" s="1068" customFormat="1" hidden="1" x14ac:dyDescent="0.25">
      <c r="A1225" s="1067">
        <f t="shared" ref="A1225:A1227" si="203">A1224</f>
        <v>0</v>
      </c>
      <c r="B1225" s="1067"/>
      <c r="C1225" s="1793"/>
      <c r="D1225" s="1070" t="s">
        <v>6248</v>
      </c>
      <c r="E1225" s="439">
        <f>E1224*E1223</f>
        <v>0</v>
      </c>
      <c r="F1225" s="439">
        <f>F1224*F1223</f>
        <v>0</v>
      </c>
      <c r="G1225" s="439" t="s">
        <v>2596</v>
      </c>
      <c r="H1225" s="365"/>
      <c r="I1225" s="357">
        <f>MAX($I$13:I1224)+1</f>
        <v>604</v>
      </c>
      <c r="J1225" s="1067" t="str">
        <f t="shared" ref="J1225" si="204">CONCATENATE("(",I1225,")"," = ","(",I1223,")*(",I1224,")")</f>
        <v>(604) = (602)*(603)</v>
      </c>
      <c r="K1225" s="1072"/>
      <c r="L1225" s="1076"/>
      <c r="M1225" s="1066">
        <f t="shared" si="199"/>
        <v>0</v>
      </c>
      <c r="N1225" s="194"/>
      <c r="O1225" s="194"/>
      <c r="P1225" s="194"/>
      <c r="Q1225" s="194"/>
      <c r="R1225" s="194"/>
      <c r="S1225" s="194"/>
      <c r="T1225" s="194"/>
      <c r="U1225" s="194"/>
      <c r="V1225" s="194"/>
      <c r="W1225" s="194"/>
      <c r="X1225" s="194"/>
      <c r="Y1225" s="194"/>
      <c r="Z1225" s="194"/>
      <c r="AA1225" s="194"/>
      <c r="AB1225" s="194"/>
      <c r="AC1225" s="194"/>
      <c r="AD1225" s="194"/>
      <c r="AE1225" s="194"/>
      <c r="AF1225" s="194"/>
      <c r="AG1225" s="194"/>
      <c r="AH1225" s="194"/>
      <c r="AI1225" s="194"/>
      <c r="AJ1225" s="194"/>
    </row>
    <row r="1226" spans="1:36" s="1068" customFormat="1" hidden="1" x14ac:dyDescent="0.25">
      <c r="A1226" s="1067">
        <f t="shared" si="203"/>
        <v>0</v>
      </c>
      <c r="B1226" s="1067"/>
      <c r="C1226" s="1793"/>
      <c r="D1226" s="1070" t="s">
        <v>6249</v>
      </c>
      <c r="E1226" s="991">
        <v>1.68</v>
      </c>
      <c r="F1226" s="991">
        <v>1.68</v>
      </c>
      <c r="G1226" s="991" t="s">
        <v>5169</v>
      </c>
      <c r="H1226" s="365"/>
      <c r="I1226" s="357">
        <f>MAX($I$13:I1225)+1</f>
        <v>605</v>
      </c>
      <c r="J1226" s="1067" t="s">
        <v>2843</v>
      </c>
      <c r="K1226" s="1072"/>
      <c r="L1226" s="1076"/>
      <c r="M1226" s="1066">
        <f t="shared" si="199"/>
        <v>0</v>
      </c>
      <c r="N1226" s="194"/>
      <c r="O1226" s="194"/>
      <c r="P1226" s="194"/>
      <c r="Q1226" s="194"/>
      <c r="R1226" s="194"/>
      <c r="S1226" s="194"/>
      <c r="T1226" s="194"/>
      <c r="U1226" s="194"/>
      <c r="V1226" s="194"/>
      <c r="W1226" s="194"/>
      <c r="X1226" s="194"/>
      <c r="Y1226" s="194"/>
      <c r="Z1226" s="194"/>
      <c r="AA1226" s="194"/>
      <c r="AB1226" s="194"/>
      <c r="AC1226" s="194"/>
      <c r="AD1226" s="194"/>
      <c r="AE1226" s="194"/>
      <c r="AF1226" s="194"/>
      <c r="AG1226" s="194"/>
      <c r="AH1226" s="194"/>
      <c r="AI1226" s="194"/>
      <c r="AJ1226" s="194"/>
    </row>
    <row r="1227" spans="1:36" s="1068" customFormat="1" ht="13.5" hidden="1" thickBot="1" x14ac:dyDescent="0.3">
      <c r="A1227" s="1067">
        <f t="shared" si="203"/>
        <v>0</v>
      </c>
      <c r="B1227" s="1067"/>
      <c r="C1227" s="1793"/>
      <c r="D1227" s="1070" t="s">
        <v>6250</v>
      </c>
      <c r="E1227" s="439">
        <f>E1226*E1223</f>
        <v>0</v>
      </c>
      <c r="F1227" s="439">
        <f>F1226*F1223</f>
        <v>0</v>
      </c>
      <c r="G1227" s="439" t="s">
        <v>2596</v>
      </c>
      <c r="H1227" s="365"/>
      <c r="I1227" s="357">
        <f>MAX($I$13:I1226)+1</f>
        <v>606</v>
      </c>
      <c r="J1227" s="1067" t="str">
        <f t="shared" ref="J1227" si="205">CONCATENATE("(",I1227,")"," = ","(",I1223,")*(",I1226,")")</f>
        <v>(606) = (602)*(605)</v>
      </c>
      <c r="K1227" s="1073"/>
      <c r="L1227" s="1079"/>
      <c r="M1227" s="1080">
        <f t="shared" si="199"/>
        <v>0</v>
      </c>
      <c r="N1227" s="194"/>
      <c r="O1227" s="194"/>
      <c r="P1227" s="194"/>
      <c r="Q1227" s="194"/>
      <c r="R1227" s="194"/>
      <c r="S1227" s="194"/>
      <c r="T1227" s="194"/>
      <c r="U1227" s="194"/>
      <c r="V1227" s="194"/>
      <c r="W1227" s="194"/>
      <c r="X1227" s="194"/>
      <c r="Y1227" s="194"/>
      <c r="Z1227" s="194"/>
      <c r="AA1227" s="194"/>
      <c r="AB1227" s="194"/>
      <c r="AC1227" s="194"/>
      <c r="AD1227" s="194"/>
      <c r="AE1227" s="194"/>
      <c r="AF1227" s="194"/>
      <c r="AG1227" s="194"/>
      <c r="AH1227" s="194"/>
      <c r="AI1227" s="194"/>
      <c r="AJ1227" s="194"/>
    </row>
    <row r="1228" spans="1:36" s="1068" customFormat="1" hidden="1" x14ac:dyDescent="0.25">
      <c r="A1228" s="1067">
        <f>IF(E1228=0,0,1)</f>
        <v>0</v>
      </c>
      <c r="B1228" s="1067"/>
      <c r="C1228" s="1793" t="s">
        <v>6253</v>
      </c>
      <c r="D1228" s="1070" t="s">
        <v>53</v>
      </c>
      <c r="E1228" s="991">
        <f>SUM(M1228:M1232)</f>
        <v>0</v>
      </c>
      <c r="F1228" s="991">
        <f>SUM(AI1228:AI1232)</f>
        <v>0</v>
      </c>
      <c r="G1228" s="991" t="s">
        <v>2598</v>
      </c>
      <c r="H1228" s="365"/>
      <c r="I1228" s="357">
        <f>MAX($I$13:I1227)+1</f>
        <v>607</v>
      </c>
      <c r="J1228" s="1067" t="s">
        <v>2843</v>
      </c>
      <c r="K1228" s="1071"/>
      <c r="L1228" s="1077"/>
      <c r="M1228" s="1078">
        <f t="shared" si="199"/>
        <v>0</v>
      </c>
      <c r="N1228" s="194"/>
      <c r="O1228" s="194"/>
      <c r="P1228" s="194"/>
      <c r="Q1228" s="194"/>
      <c r="R1228" s="194"/>
      <c r="S1228" s="194"/>
      <c r="T1228" s="194"/>
      <c r="U1228" s="194"/>
      <c r="V1228" s="194"/>
      <c r="W1228" s="194"/>
      <c r="X1228" s="194"/>
      <c r="Y1228" s="194"/>
      <c r="Z1228" s="194"/>
      <c r="AA1228" s="194"/>
      <c r="AB1228" s="194"/>
      <c r="AC1228" s="194"/>
      <c r="AD1228" s="194"/>
      <c r="AE1228" s="194"/>
      <c r="AF1228" s="194"/>
      <c r="AG1228" s="194"/>
      <c r="AH1228" s="194"/>
      <c r="AI1228" s="194"/>
      <c r="AJ1228" s="194"/>
    </row>
    <row r="1229" spans="1:36" s="1068" customFormat="1" hidden="1" x14ac:dyDescent="0.25">
      <c r="A1229" s="1067">
        <f>A1228</f>
        <v>0</v>
      </c>
      <c r="B1229" s="1067"/>
      <c r="C1229" s="1793"/>
      <c r="D1229" s="1070" t="s">
        <v>6247</v>
      </c>
      <c r="E1229" s="991">
        <f>E1231*0.5</f>
        <v>1.68</v>
      </c>
      <c r="F1229" s="991">
        <f>F1231*0.5</f>
        <v>1.68</v>
      </c>
      <c r="G1229" s="991" t="s">
        <v>5169</v>
      </c>
      <c r="H1229" s="365"/>
      <c r="I1229" s="357">
        <f>MAX($I$13:I1228)+1</f>
        <v>608</v>
      </c>
      <c r="J1229" s="1067" t="s">
        <v>2843</v>
      </c>
      <c r="K1229" s="1072"/>
      <c r="L1229" s="1076"/>
      <c r="M1229" s="1066">
        <f t="shared" si="199"/>
        <v>0</v>
      </c>
      <c r="N1229" s="194"/>
      <c r="O1229" s="194"/>
      <c r="P1229" s="194"/>
      <c r="Q1229" s="194"/>
      <c r="R1229" s="194"/>
      <c r="S1229" s="194"/>
      <c r="T1229" s="194"/>
      <c r="U1229" s="194"/>
      <c r="V1229" s="194"/>
      <c r="W1229" s="194"/>
      <c r="X1229" s="194"/>
      <c r="Y1229" s="194"/>
      <c r="Z1229" s="194"/>
      <c r="AA1229" s="194"/>
      <c r="AB1229" s="194"/>
      <c r="AC1229" s="194"/>
      <c r="AD1229" s="194"/>
      <c r="AE1229" s="194"/>
      <c r="AF1229" s="194"/>
      <c r="AG1229" s="194"/>
      <c r="AH1229" s="194"/>
      <c r="AI1229" s="194"/>
      <c r="AJ1229" s="194"/>
    </row>
    <row r="1230" spans="1:36" s="1068" customFormat="1" hidden="1" x14ac:dyDescent="0.25">
      <c r="A1230" s="1067">
        <f t="shared" ref="A1230:A1232" si="206">A1229</f>
        <v>0</v>
      </c>
      <c r="B1230" s="1067"/>
      <c r="C1230" s="1793"/>
      <c r="D1230" s="1070" t="s">
        <v>6248</v>
      </c>
      <c r="E1230" s="439">
        <f>E1229*E1228</f>
        <v>0</v>
      </c>
      <c r="F1230" s="439">
        <f>F1229*F1228</f>
        <v>0</v>
      </c>
      <c r="G1230" s="439" t="s">
        <v>2596</v>
      </c>
      <c r="H1230" s="365"/>
      <c r="I1230" s="357">
        <f>MAX($I$13:I1229)+1</f>
        <v>609</v>
      </c>
      <c r="J1230" s="1067" t="str">
        <f t="shared" ref="J1230" si="207">CONCATENATE("(",I1230,")"," = ","(",I1228,")*(",I1229,")")</f>
        <v>(609) = (607)*(608)</v>
      </c>
      <c r="K1230" s="1072"/>
      <c r="L1230" s="1076"/>
      <c r="M1230" s="1066">
        <f t="shared" si="199"/>
        <v>0</v>
      </c>
      <c r="N1230" s="194"/>
      <c r="O1230" s="194"/>
      <c r="P1230" s="194"/>
      <c r="Q1230" s="194"/>
      <c r="R1230" s="194"/>
      <c r="S1230" s="194"/>
      <c r="T1230" s="194"/>
      <c r="U1230" s="194"/>
      <c r="V1230" s="194"/>
      <c r="W1230" s="194"/>
      <c r="X1230" s="194"/>
      <c r="Y1230" s="194"/>
      <c r="Z1230" s="194"/>
      <c r="AA1230" s="194"/>
      <c r="AB1230" s="194"/>
      <c r="AC1230" s="194"/>
      <c r="AD1230" s="194"/>
      <c r="AE1230" s="194"/>
      <c r="AF1230" s="194"/>
      <c r="AG1230" s="194"/>
      <c r="AH1230" s="194"/>
      <c r="AI1230" s="194"/>
      <c r="AJ1230" s="194"/>
    </row>
    <row r="1231" spans="1:36" s="1068" customFormat="1" hidden="1" x14ac:dyDescent="0.25">
      <c r="A1231" s="1067">
        <f t="shared" si="206"/>
        <v>0</v>
      </c>
      <c r="B1231" s="1067"/>
      <c r="C1231" s="1793"/>
      <c r="D1231" s="1070" t="s">
        <v>6249</v>
      </c>
      <c r="E1231" s="991">
        <v>3.36</v>
      </c>
      <c r="F1231" s="991">
        <v>3.36</v>
      </c>
      <c r="G1231" s="991" t="s">
        <v>5169</v>
      </c>
      <c r="H1231" s="365"/>
      <c r="I1231" s="357">
        <f>MAX($I$13:I1230)+1</f>
        <v>610</v>
      </c>
      <c r="J1231" s="1067" t="s">
        <v>2843</v>
      </c>
      <c r="K1231" s="1072"/>
      <c r="L1231" s="1076"/>
      <c r="M1231" s="1066">
        <f t="shared" si="199"/>
        <v>0</v>
      </c>
      <c r="N1231" s="194"/>
      <c r="O1231" s="194"/>
      <c r="P1231" s="194"/>
      <c r="Q1231" s="194"/>
      <c r="R1231" s="194"/>
      <c r="S1231" s="194"/>
      <c r="T1231" s="194"/>
      <c r="U1231" s="194"/>
      <c r="V1231" s="194"/>
      <c r="W1231" s="194"/>
      <c r="X1231" s="194"/>
      <c r="Y1231" s="194"/>
      <c r="Z1231" s="194"/>
      <c r="AA1231" s="194"/>
      <c r="AB1231" s="194"/>
      <c r="AC1231" s="194"/>
      <c r="AD1231" s="194"/>
      <c r="AE1231" s="194"/>
      <c r="AF1231" s="194"/>
      <c r="AG1231" s="194"/>
      <c r="AH1231" s="194"/>
      <c r="AI1231" s="194"/>
      <c r="AJ1231" s="194"/>
    </row>
    <row r="1232" spans="1:36" s="1068" customFormat="1" ht="13.5" hidden="1" thickBot="1" x14ac:dyDescent="0.3">
      <c r="A1232" s="1067">
        <f t="shared" si="206"/>
        <v>0</v>
      </c>
      <c r="B1232" s="1067"/>
      <c r="C1232" s="1793"/>
      <c r="D1232" s="1070" t="s">
        <v>6250</v>
      </c>
      <c r="E1232" s="439">
        <f>E1231*E1228</f>
        <v>0</v>
      </c>
      <c r="F1232" s="439">
        <f>F1231*F1228</f>
        <v>0</v>
      </c>
      <c r="G1232" s="439" t="s">
        <v>2596</v>
      </c>
      <c r="H1232" s="365"/>
      <c r="I1232" s="357">
        <f>MAX($I$13:I1231)+1</f>
        <v>611</v>
      </c>
      <c r="J1232" s="1067" t="str">
        <f t="shared" ref="J1232" si="208">CONCATENATE("(",I1232,")"," = ","(",I1228,")*(",I1231,")")</f>
        <v>(611) = (607)*(610)</v>
      </c>
      <c r="K1232" s="1073"/>
      <c r="L1232" s="1079"/>
      <c r="M1232" s="1080">
        <f t="shared" si="199"/>
        <v>0</v>
      </c>
      <c r="N1232" s="194"/>
      <c r="O1232" s="194"/>
      <c r="P1232" s="194"/>
      <c r="Q1232" s="194"/>
      <c r="R1232" s="194"/>
      <c r="S1232" s="194"/>
      <c r="T1232" s="194"/>
      <c r="U1232" s="194"/>
      <c r="V1232" s="194"/>
      <c r="W1232" s="194"/>
      <c r="X1232" s="194"/>
      <c r="Y1232" s="194"/>
      <c r="Z1232" s="194"/>
      <c r="AA1232" s="194"/>
      <c r="AB1232" s="194"/>
      <c r="AC1232" s="194"/>
      <c r="AD1232" s="194"/>
      <c r="AE1232" s="194"/>
      <c r="AF1232" s="194"/>
      <c r="AG1232" s="194"/>
      <c r="AH1232" s="194"/>
      <c r="AI1232" s="194"/>
      <c r="AJ1232" s="194"/>
    </row>
    <row r="1233" spans="1:36" s="1068" customFormat="1" hidden="1" x14ac:dyDescent="0.25">
      <c r="A1233" s="1067">
        <f>IF(E1233=0,0,1)</f>
        <v>0</v>
      </c>
      <c r="B1233" s="1067"/>
      <c r="C1233" s="1793" t="s">
        <v>6254</v>
      </c>
      <c r="D1233" s="1070" t="s">
        <v>53</v>
      </c>
      <c r="E1233" s="991">
        <f>SUM(M1233:M1237)</f>
        <v>0</v>
      </c>
      <c r="F1233" s="991">
        <f>SUM(AI1233:AI1237)</f>
        <v>0</v>
      </c>
      <c r="G1233" s="991" t="s">
        <v>2598</v>
      </c>
      <c r="H1233" s="365"/>
      <c r="I1233" s="357">
        <f>MAX($I$13:I1232)+1</f>
        <v>612</v>
      </c>
      <c r="J1233" s="1067" t="s">
        <v>2843</v>
      </c>
      <c r="K1233" s="1071"/>
      <c r="L1233" s="1077"/>
      <c r="M1233" s="1078">
        <f t="shared" si="199"/>
        <v>0</v>
      </c>
      <c r="N1233" s="194"/>
      <c r="O1233" s="194"/>
      <c r="P1233" s="194"/>
      <c r="Q1233" s="194"/>
      <c r="R1233" s="194"/>
      <c r="S1233" s="194"/>
      <c r="T1233" s="194"/>
      <c r="U1233" s="194"/>
      <c r="V1233" s="194"/>
      <c r="W1233" s="194"/>
      <c r="X1233" s="194"/>
      <c r="Y1233" s="194"/>
      <c r="Z1233" s="194"/>
      <c r="AA1233" s="194"/>
      <c r="AB1233" s="194"/>
      <c r="AC1233" s="194"/>
      <c r="AD1233" s="194"/>
      <c r="AE1233" s="194"/>
      <c r="AF1233" s="194"/>
      <c r="AG1233" s="194"/>
      <c r="AH1233" s="194"/>
      <c r="AI1233" s="194"/>
      <c r="AJ1233" s="194"/>
    </row>
    <row r="1234" spans="1:36" s="1068" customFormat="1" hidden="1" x14ac:dyDescent="0.25">
      <c r="A1234" s="1067">
        <f>A1233</f>
        <v>0</v>
      </c>
      <c r="B1234" s="1067"/>
      <c r="C1234" s="1793"/>
      <c r="D1234" s="1070" t="s">
        <v>6247</v>
      </c>
      <c r="E1234" s="991">
        <f>E1236*0.5</f>
        <v>2.8</v>
      </c>
      <c r="F1234" s="991">
        <f>F1236*0.5</f>
        <v>2.8</v>
      </c>
      <c r="G1234" s="991" t="s">
        <v>5169</v>
      </c>
      <c r="H1234" s="365"/>
      <c r="I1234" s="357">
        <f>MAX($I$13:I1233)+1</f>
        <v>613</v>
      </c>
      <c r="J1234" s="1067" t="s">
        <v>2843</v>
      </c>
      <c r="K1234" s="1072"/>
      <c r="L1234" s="1076"/>
      <c r="M1234" s="1066">
        <f t="shared" si="199"/>
        <v>0</v>
      </c>
      <c r="N1234" s="194"/>
      <c r="O1234" s="194"/>
      <c r="P1234" s="194"/>
      <c r="Q1234" s="194"/>
      <c r="R1234" s="194"/>
      <c r="S1234" s="194"/>
      <c r="T1234" s="194"/>
      <c r="U1234" s="194"/>
      <c r="V1234" s="194"/>
      <c r="W1234" s="194"/>
      <c r="X1234" s="194"/>
      <c r="Y1234" s="194"/>
      <c r="Z1234" s="194"/>
      <c r="AA1234" s="194"/>
      <c r="AB1234" s="194"/>
      <c r="AC1234" s="194"/>
      <c r="AD1234" s="194"/>
      <c r="AE1234" s="194"/>
      <c r="AF1234" s="194"/>
      <c r="AG1234" s="194"/>
      <c r="AH1234" s="194"/>
      <c r="AI1234" s="194"/>
      <c r="AJ1234" s="194"/>
    </row>
    <row r="1235" spans="1:36" s="1068" customFormat="1" hidden="1" x14ac:dyDescent="0.25">
      <c r="A1235" s="1067">
        <f t="shared" ref="A1235:A1237" si="209">A1234</f>
        <v>0</v>
      </c>
      <c r="B1235" s="1067"/>
      <c r="C1235" s="1793"/>
      <c r="D1235" s="1070" t="s">
        <v>6248</v>
      </c>
      <c r="E1235" s="439">
        <f>E1234*E1233</f>
        <v>0</v>
      </c>
      <c r="F1235" s="439">
        <f>F1234*F1233</f>
        <v>0</v>
      </c>
      <c r="G1235" s="439" t="s">
        <v>2596</v>
      </c>
      <c r="H1235" s="365"/>
      <c r="I1235" s="357">
        <f>MAX($I$13:I1234)+1</f>
        <v>614</v>
      </c>
      <c r="J1235" s="1067" t="str">
        <f t="shared" ref="J1235" si="210">CONCATENATE("(",I1235,")"," = ","(",I1233,")*(",I1234,")")</f>
        <v>(614) = (612)*(613)</v>
      </c>
      <c r="K1235" s="1072"/>
      <c r="L1235" s="1076"/>
      <c r="M1235" s="1066">
        <f t="shared" si="199"/>
        <v>0</v>
      </c>
      <c r="N1235" s="194"/>
      <c r="O1235" s="194"/>
      <c r="P1235" s="194"/>
      <c r="Q1235" s="194"/>
      <c r="R1235" s="194"/>
      <c r="S1235" s="194"/>
      <c r="T1235" s="194"/>
      <c r="U1235" s="194"/>
      <c r="V1235" s="194"/>
      <c r="W1235" s="194"/>
      <c r="X1235" s="194"/>
      <c r="Y1235" s="194"/>
      <c r="Z1235" s="194"/>
      <c r="AA1235" s="194"/>
      <c r="AB1235" s="194"/>
      <c r="AC1235" s="194"/>
      <c r="AD1235" s="194"/>
      <c r="AE1235" s="194"/>
      <c r="AF1235" s="194"/>
      <c r="AG1235" s="194"/>
      <c r="AH1235" s="194"/>
      <c r="AI1235" s="194"/>
      <c r="AJ1235" s="194"/>
    </row>
    <row r="1236" spans="1:36" s="1068" customFormat="1" hidden="1" x14ac:dyDescent="0.25">
      <c r="A1236" s="1067">
        <f t="shared" si="209"/>
        <v>0</v>
      </c>
      <c r="B1236" s="1067"/>
      <c r="C1236" s="1793"/>
      <c r="D1236" s="1070" t="s">
        <v>6249</v>
      </c>
      <c r="E1236" s="991">
        <v>5.6</v>
      </c>
      <c r="F1236" s="991">
        <v>5.6</v>
      </c>
      <c r="G1236" s="991" t="s">
        <v>5169</v>
      </c>
      <c r="H1236" s="365"/>
      <c r="I1236" s="357">
        <f>MAX($I$13:I1235)+1</f>
        <v>615</v>
      </c>
      <c r="J1236" s="1067" t="s">
        <v>2843</v>
      </c>
      <c r="K1236" s="1072"/>
      <c r="L1236" s="1076"/>
      <c r="M1236" s="1066">
        <f t="shared" si="199"/>
        <v>0</v>
      </c>
      <c r="N1236" s="194"/>
      <c r="O1236" s="194"/>
      <c r="P1236" s="194"/>
      <c r="Q1236" s="194"/>
      <c r="R1236" s="194"/>
      <c r="S1236" s="194"/>
      <c r="T1236" s="194"/>
      <c r="U1236" s="194"/>
      <c r="V1236" s="194"/>
      <c r="W1236" s="194"/>
      <c r="X1236" s="194"/>
      <c r="Y1236" s="194"/>
      <c r="Z1236" s="194"/>
      <c r="AA1236" s="194"/>
      <c r="AB1236" s="194"/>
      <c r="AC1236" s="194"/>
      <c r="AD1236" s="194"/>
      <c r="AE1236" s="194"/>
      <c r="AF1236" s="194"/>
      <c r="AG1236" s="194"/>
      <c r="AH1236" s="194"/>
      <c r="AI1236" s="194"/>
      <c r="AJ1236" s="194"/>
    </row>
    <row r="1237" spans="1:36" s="1068" customFormat="1" ht="13.5" hidden="1" thickBot="1" x14ac:dyDescent="0.3">
      <c r="A1237" s="1067">
        <f t="shared" si="209"/>
        <v>0</v>
      </c>
      <c r="B1237" s="1067"/>
      <c r="C1237" s="1793"/>
      <c r="D1237" s="1070" t="s">
        <v>6250</v>
      </c>
      <c r="E1237" s="439">
        <f>E1236*E1233</f>
        <v>0</v>
      </c>
      <c r="F1237" s="439">
        <f>F1236*F1233</f>
        <v>0</v>
      </c>
      <c r="G1237" s="439" t="s">
        <v>2596</v>
      </c>
      <c r="H1237" s="365"/>
      <c r="I1237" s="357">
        <f>MAX($I$13:I1236)+1</f>
        <v>616</v>
      </c>
      <c r="J1237" s="1067" t="str">
        <f t="shared" ref="J1237" si="211">CONCATENATE("(",I1237,")"," = ","(",I1233,")*(",I1236,")")</f>
        <v>(616) = (612)*(615)</v>
      </c>
      <c r="K1237" s="1073"/>
      <c r="L1237" s="1079"/>
      <c r="M1237" s="1080">
        <f t="shared" si="199"/>
        <v>0</v>
      </c>
      <c r="N1237" s="194"/>
      <c r="O1237" s="194"/>
      <c r="P1237" s="194"/>
      <c r="Q1237" s="194"/>
      <c r="R1237" s="194"/>
      <c r="S1237" s="194"/>
      <c r="T1237" s="194"/>
      <c r="U1237" s="194"/>
      <c r="V1237" s="194"/>
      <c r="W1237" s="194"/>
      <c r="X1237" s="194"/>
      <c r="Y1237" s="194"/>
      <c r="Z1237" s="194"/>
      <c r="AA1237" s="194"/>
      <c r="AB1237" s="194"/>
      <c r="AC1237" s="194"/>
      <c r="AD1237" s="194"/>
      <c r="AE1237" s="194"/>
      <c r="AF1237" s="194"/>
      <c r="AG1237" s="194"/>
      <c r="AH1237" s="194"/>
      <c r="AI1237" s="194"/>
      <c r="AJ1237" s="194"/>
    </row>
    <row r="1238" spans="1:36" s="1068" customFormat="1" hidden="1" x14ac:dyDescent="0.25">
      <c r="A1238" s="1074">
        <f>A1208</f>
        <v>0</v>
      </c>
      <c r="B1238" s="1074">
        <f>oR!D370</f>
        <v>313</v>
      </c>
      <c r="C1238" s="1794" t="s">
        <v>2924</v>
      </c>
      <c r="D1238" s="1794" t="s">
        <v>2872</v>
      </c>
      <c r="E1238" s="438">
        <f>E1215+E1220+E1225+E1230+E1235</f>
        <v>0</v>
      </c>
      <c r="F1238" s="438">
        <f>F1215+F1220+F1225+F1230</f>
        <v>0</v>
      </c>
      <c r="G1238" s="438" t="s">
        <v>2596</v>
      </c>
      <c r="H1238" s="1075">
        <f>C1208</f>
        <v>4805762</v>
      </c>
      <c r="I1238" s="369">
        <f>MAX($I$13:I1237)+1</f>
        <v>617</v>
      </c>
      <c r="J1238" s="1069" t="str">
        <f>CONCATENATE("(",I1238,")"," = ","(",I1215,")+(",I1220,")+(",I1225,")+(",I1230,")+(",I1235,")+(",I1220,")")</f>
        <v>(617) = (594)+(599)+(604)+(609)+(614)+(599)</v>
      </c>
      <c r="K1238" s="194"/>
      <c r="L1238" s="194"/>
      <c r="M1238" s="197">
        <f>SUM(M1213:M1237)</f>
        <v>0</v>
      </c>
      <c r="N1238" s="194"/>
      <c r="O1238" s="194"/>
      <c r="P1238" s="194"/>
      <c r="Q1238" s="194"/>
      <c r="R1238" s="194"/>
      <c r="S1238" s="194"/>
      <c r="T1238" s="194"/>
      <c r="U1238" s="194"/>
      <c r="V1238" s="194"/>
      <c r="W1238" s="194"/>
      <c r="X1238" s="194"/>
      <c r="Y1238" s="194"/>
      <c r="Z1238" s="194"/>
      <c r="AA1238" s="194"/>
      <c r="AB1238" s="194"/>
      <c r="AC1238" s="194"/>
      <c r="AD1238" s="194"/>
      <c r="AE1238" s="194"/>
      <c r="AF1238" s="194"/>
      <c r="AG1238" s="194"/>
      <c r="AH1238" s="194"/>
      <c r="AI1238" s="194"/>
      <c r="AJ1238" s="194"/>
    </row>
    <row r="1239" spans="1:36" s="1068" customFormat="1" hidden="1" x14ac:dyDescent="0.25">
      <c r="A1239" s="1074">
        <f>A1209</f>
        <v>0</v>
      </c>
      <c r="B1239" s="1074">
        <f>oR!D371</f>
        <v>314</v>
      </c>
      <c r="C1239" s="1794" t="s">
        <v>6255</v>
      </c>
      <c r="D1239" s="1794"/>
      <c r="E1239" s="438">
        <f>E1222+E1217+E1227+E1232+E1237</f>
        <v>0</v>
      </c>
      <c r="F1239" s="438">
        <f>F1222+F1217+F1227+F1232+F1237</f>
        <v>0</v>
      </c>
      <c r="G1239" s="438" t="s">
        <v>2596</v>
      </c>
      <c r="H1239" s="1075">
        <f>C1209</f>
        <v>1506055</v>
      </c>
      <c r="I1239" s="369">
        <f>MAX($I$13:I1238)+1</f>
        <v>618</v>
      </c>
      <c r="J1239" s="1069" t="str">
        <f>CONCATENATE("(",I1239,")"," = ","(",I1217,")+(",I1222,")+(",I1227,")+(",I1232,")+(",I1237,")+(",I1221,")")</f>
        <v>(618) = (596)+(601)+(606)+(611)+(616)+(600)</v>
      </c>
      <c r="K1239" s="194"/>
      <c r="L1239" s="194"/>
      <c r="M1239" s="194"/>
      <c r="N1239" s="194"/>
      <c r="O1239" s="194"/>
      <c r="P1239" s="194"/>
      <c r="Q1239" s="194"/>
      <c r="R1239" s="194"/>
      <c r="S1239" s="194"/>
      <c r="T1239" s="194"/>
      <c r="U1239" s="194"/>
      <c r="V1239" s="194"/>
      <c r="W1239" s="194"/>
      <c r="X1239" s="194"/>
      <c r="Y1239" s="194"/>
      <c r="Z1239" s="194"/>
      <c r="AA1239" s="194"/>
      <c r="AB1239" s="194"/>
      <c r="AC1239" s="194"/>
      <c r="AD1239" s="194"/>
      <c r="AE1239" s="194"/>
      <c r="AF1239" s="194"/>
      <c r="AG1239" s="194"/>
      <c r="AH1239" s="194"/>
      <c r="AI1239" s="194"/>
      <c r="AJ1239" s="194"/>
    </row>
    <row r="1240" spans="1:36" hidden="1" x14ac:dyDescent="0.25">
      <c r="A1240" s="329">
        <f>A1208</f>
        <v>0</v>
      </c>
      <c r="B1240" s="329"/>
      <c r="C1240" s="193"/>
      <c r="D1240" s="194"/>
      <c r="E1240" s="329"/>
      <c r="F1240" s="1150"/>
      <c r="G1240" s="393"/>
      <c r="H1240" s="365"/>
      <c r="I1240" s="365"/>
      <c r="J1240" s="365"/>
    </row>
    <row r="1241" spans="1:36" s="191" customFormat="1" ht="15.75" hidden="1" thickBot="1" x14ac:dyDescent="0.3">
      <c r="A1241" s="686">
        <f>IF(E1245=0,0,1)</f>
        <v>0</v>
      </c>
      <c r="B1241" s="189"/>
      <c r="C1241" s="190" t="str">
        <f>oR!G372</f>
        <v>COMP 50</v>
      </c>
      <c r="D1241" s="324" t="str">
        <f>oR!H372</f>
        <v>Muro de alvenaria de blocos com vigas e pilares em concreto (e= 20cm) rebocado em uma face, h &lt; 1,50m conforme detalhamento, inclusive escavação, reaterro e pintura em uma face</v>
      </c>
      <c r="F1241" s="325"/>
      <c r="G1241" s="392"/>
      <c r="H1241" s="364"/>
      <c r="I1241" s="364"/>
      <c r="J1241" s="364"/>
    </row>
    <row r="1242" spans="1:36" s="191" customFormat="1" ht="15.75" hidden="1" thickBot="1" x14ac:dyDescent="0.3">
      <c r="A1242" s="686">
        <f>IF(E1246=0,0,1)</f>
        <v>0</v>
      </c>
      <c r="B1242" s="189"/>
      <c r="C1242" s="190" t="str">
        <f>oR!G373</f>
        <v>COMP 51</v>
      </c>
      <c r="D1242" s="324" t="str">
        <f>oR!H373</f>
        <v>Muro de alvenaria de blocos com vigas e pilares em concreto (e= 20cm) rebocado em uma face, 1,50 &lt; h &lt; 2,50m conforme detalhamento, inclusive escavação, reaterro e pintura em uma face</v>
      </c>
      <c r="F1242" s="325"/>
      <c r="G1242" s="392"/>
      <c r="H1242" s="364"/>
      <c r="I1242" s="364"/>
      <c r="J1242" s="364"/>
    </row>
    <row r="1243" spans="1:36" hidden="1" x14ac:dyDescent="0.25">
      <c r="A1243" s="1067">
        <f>IF(SUM(A1241:A1242)&gt;0,1,0)</f>
        <v>0</v>
      </c>
      <c r="B1243" s="329"/>
      <c r="C1243" s="193"/>
      <c r="D1243" s="1068" t="s">
        <v>3926</v>
      </c>
      <c r="E1243" s="329"/>
      <c r="F1243" s="1150"/>
      <c r="G1243" s="393"/>
      <c r="H1243" s="365"/>
      <c r="I1243" s="365"/>
      <c r="J1243" s="365"/>
    </row>
    <row r="1244" spans="1:36" hidden="1" x14ac:dyDescent="0.25">
      <c r="A1244" s="329">
        <f>A1243</f>
        <v>0</v>
      </c>
      <c r="B1244" s="329"/>
      <c r="C1244" s="1779" t="s">
        <v>42</v>
      </c>
      <c r="D1244" s="1779"/>
      <c r="E1244" s="327" t="str">
        <f>E$12</f>
        <v>ESTR. DE LINHA TAQUARAL</v>
      </c>
      <c r="F1244" s="1151" t="s">
        <v>96</v>
      </c>
      <c r="G1244" s="376"/>
      <c r="H1244" s="65"/>
      <c r="I1244" s="65"/>
      <c r="J1244" s="65"/>
    </row>
    <row r="1245" spans="1:36" hidden="1" x14ac:dyDescent="0.25">
      <c r="A1245" s="329">
        <f>A1244</f>
        <v>0</v>
      </c>
      <c r="B1245" s="198">
        <f>B1239+1</f>
        <v>315</v>
      </c>
      <c r="C1245" s="1779" t="s">
        <v>6755</v>
      </c>
      <c r="D1245" s="1779" t="s">
        <v>2872</v>
      </c>
      <c r="E1245" s="395"/>
      <c r="F1245" s="199">
        <f>SUM(E1245:E1245)</f>
        <v>0</v>
      </c>
      <c r="G1245" s="435" t="s">
        <v>2598</v>
      </c>
      <c r="H1245" s="198" t="str">
        <f>C1241</f>
        <v>COMP 50</v>
      </c>
      <c r="I1245" s="369">
        <f>MAX($I$13:I1244)+1</f>
        <v>619</v>
      </c>
      <c r="J1245" s="65" t="s">
        <v>2842</v>
      </c>
    </row>
    <row r="1246" spans="1:36" hidden="1" x14ac:dyDescent="0.25">
      <c r="A1246" s="329">
        <f>A1245</f>
        <v>0</v>
      </c>
      <c r="B1246" s="1074">
        <f>B1245+1</f>
        <v>316</v>
      </c>
      <c r="C1246" s="1779" t="s">
        <v>6756</v>
      </c>
      <c r="D1246" s="1779" t="s">
        <v>6757</v>
      </c>
      <c r="E1246" s="395"/>
      <c r="F1246" s="199">
        <f>SUM(E1246:E1246)</f>
        <v>0</v>
      </c>
      <c r="G1246" s="435" t="s">
        <v>2598</v>
      </c>
      <c r="H1246" s="198" t="str">
        <f>C1242</f>
        <v>COMP 51</v>
      </c>
      <c r="I1246" s="369">
        <f>MAX($I$13:I1245)+1</f>
        <v>620</v>
      </c>
      <c r="J1246" s="65" t="s">
        <v>2842</v>
      </c>
    </row>
    <row r="1247" spans="1:36" hidden="1" x14ac:dyDescent="0.25">
      <c r="A1247" s="329">
        <f>A1205</f>
        <v>0</v>
      </c>
      <c r="B1247" s="329"/>
      <c r="C1247" s="329"/>
      <c r="D1247" s="329"/>
      <c r="E1247" s="329"/>
      <c r="F1247" s="329"/>
      <c r="H1247" s="365"/>
      <c r="I1247" s="365"/>
      <c r="J1247" s="365"/>
    </row>
    <row r="1248" spans="1:36" s="188" customFormat="1" ht="13.5" hidden="1" thickBot="1" x14ac:dyDescent="0.3">
      <c r="A1248" s="687">
        <f>IF(SUM(A1251:A1263)&gt;0,1,0)</f>
        <v>0</v>
      </c>
      <c r="B1248" s="185"/>
      <c r="C1248" s="691"/>
      <c r="D1248" s="692" t="str">
        <f>oR!G375</f>
        <v>CONTROLE TECNOLÓGICO</v>
      </c>
      <c r="E1248" s="692"/>
      <c r="F1248" s="692"/>
      <c r="G1248" s="693"/>
      <c r="H1248" s="694"/>
      <c r="I1248" s="694"/>
      <c r="J1248" s="695"/>
    </row>
    <row r="1249" spans="1:10" hidden="1" x14ac:dyDescent="0.25">
      <c r="A1249" s="329">
        <f>A1248</f>
        <v>0</v>
      </c>
      <c r="B1249" s="329"/>
      <c r="C1249" s="193"/>
      <c r="D1249" s="194" t="s">
        <v>2871</v>
      </c>
      <c r="E1249" s="329"/>
      <c r="F1249" s="328"/>
      <c r="G1249" s="393"/>
      <c r="H1249" s="365"/>
      <c r="I1249" s="365"/>
      <c r="J1249" s="365"/>
    </row>
    <row r="1250" spans="1:10" hidden="1" x14ac:dyDescent="0.25">
      <c r="A1250" s="329">
        <f>A1249</f>
        <v>0</v>
      </c>
      <c r="B1250" s="329"/>
      <c r="C1250" s="193"/>
      <c r="D1250" s="194"/>
      <c r="E1250" s="329"/>
      <c r="F1250" s="328"/>
      <c r="G1250" s="393"/>
      <c r="H1250" s="365"/>
      <c r="I1250" s="365"/>
      <c r="J1250" s="365"/>
    </row>
    <row r="1251" spans="1:10" s="191" customFormat="1" ht="15.75" hidden="1" thickBot="1" x14ac:dyDescent="0.3">
      <c r="A1251" s="686">
        <f>IF(E1260=0,0,1)</f>
        <v>0</v>
      </c>
      <c r="B1251" s="189"/>
      <c r="C1251" s="190" t="str">
        <f>oR!G376</f>
        <v>COMP 38</v>
      </c>
      <c r="D1251" s="324" t="str">
        <f>oR!H376</f>
        <v>Ensaio de controle tecnológico da mistura asfáltica - Ensaio Marshall</v>
      </c>
      <c r="F1251" s="325"/>
      <c r="G1251" s="392"/>
      <c r="H1251" s="364"/>
      <c r="I1251" s="364"/>
      <c r="J1251" s="364"/>
    </row>
    <row r="1252" spans="1:10" s="191" customFormat="1" ht="15.75" hidden="1" thickBot="1" x14ac:dyDescent="0.3">
      <c r="A1252" s="686">
        <f t="shared" ref="A1252:A1254" si="212">IF(E1261=0,0,1)</f>
        <v>0</v>
      </c>
      <c r="B1252" s="189"/>
      <c r="C1252" s="190" t="str">
        <f>oR!G377</f>
        <v>COMP 39</v>
      </c>
      <c r="D1252" s="324" t="str">
        <f>oR!H377</f>
        <v>Ensaio de controle tecnológico da mistura asfáltica - Grau de compactação</v>
      </c>
      <c r="F1252" s="325"/>
      <c r="G1252" s="392"/>
      <c r="H1252" s="364"/>
      <c r="I1252" s="364"/>
      <c r="J1252" s="364"/>
    </row>
    <row r="1253" spans="1:10" s="191" customFormat="1" ht="15.75" hidden="1" thickBot="1" x14ac:dyDescent="0.3">
      <c r="A1253" s="686">
        <f t="shared" si="212"/>
        <v>0</v>
      </c>
      <c r="B1253" s="189"/>
      <c r="C1253" s="190" t="str">
        <f>oR!G378</f>
        <v>COMP 40</v>
      </c>
      <c r="D1253" s="324" t="str">
        <f>oR!H378</f>
        <v>Ensaio de controle tecnológico da mistura asfáltica - Teor de betume</v>
      </c>
      <c r="F1253" s="325"/>
      <c r="G1253" s="392"/>
      <c r="H1253" s="364"/>
      <c r="I1253" s="364"/>
      <c r="J1253" s="364"/>
    </row>
    <row r="1254" spans="1:10" s="191" customFormat="1" ht="15.75" hidden="1" thickBot="1" x14ac:dyDescent="0.3">
      <c r="A1254" s="686">
        <f t="shared" si="212"/>
        <v>0</v>
      </c>
      <c r="B1254" s="189"/>
      <c r="C1254" s="190" t="str">
        <f>oR!G379</f>
        <v>7.1</v>
      </c>
      <c r="D1254" s="324" t="str">
        <f>oR!H379</f>
        <v/>
      </c>
      <c r="F1254" s="325"/>
      <c r="G1254" s="392"/>
      <c r="H1254" s="364"/>
      <c r="I1254" s="364"/>
      <c r="J1254" s="364"/>
    </row>
    <row r="1255" spans="1:10" ht="24" hidden="1" customHeight="1" x14ac:dyDescent="0.25">
      <c r="A1255" s="329">
        <f>IF(SUM(A1251:A1254)&gt;0,1,0)</f>
        <v>0</v>
      </c>
      <c r="B1255" s="329"/>
      <c r="C1255" s="193"/>
      <c r="D1255" s="1782" t="s">
        <v>2877</v>
      </c>
      <c r="E1255" s="1783"/>
      <c r="F1255" s="1783"/>
      <c r="G1255" s="1783"/>
      <c r="H1255" s="1783"/>
      <c r="I1255" s="1783"/>
      <c r="J1255" s="1783"/>
    </row>
    <row r="1256" spans="1:10" hidden="1" x14ac:dyDescent="0.25">
      <c r="A1256" s="329">
        <f>A1255</f>
        <v>0</v>
      </c>
      <c r="B1256" s="329"/>
      <c r="C1256" s="1777" t="s">
        <v>42</v>
      </c>
      <c r="D1256" s="1777"/>
      <c r="E1256" s="327" t="str">
        <f>E$12</f>
        <v>ESTR. DE LINHA TAQUARAL</v>
      </c>
      <c r="F1256" s="384" t="s">
        <v>96</v>
      </c>
      <c r="G1256" s="376"/>
      <c r="H1256" s="65"/>
      <c r="I1256" s="65"/>
      <c r="J1256" s="65"/>
    </row>
    <row r="1257" spans="1:10" hidden="1" x14ac:dyDescent="0.25">
      <c r="A1257" s="329">
        <f t="shared" ref="A1257:A1259" si="213">A1256</f>
        <v>0</v>
      </c>
      <c r="C1257" s="1774" t="s">
        <v>2887</v>
      </c>
      <c r="D1257" s="382" t="s">
        <v>2873</v>
      </c>
      <c r="E1257" s="40"/>
      <c r="F1257" s="40">
        <f>SUM(E1257:E1257)</f>
        <v>0</v>
      </c>
      <c r="G1257" s="375" t="s">
        <v>2595</v>
      </c>
      <c r="I1257" s="357">
        <f>MAX($I$13:I1256)+1</f>
        <v>621</v>
      </c>
      <c r="J1257" s="361" t="str">
        <f>CONCATENATE("(",I1257,")"," = ","(",I477,")")</f>
        <v>(621) = (255)</v>
      </c>
    </row>
    <row r="1258" spans="1:10" hidden="1" x14ac:dyDescent="0.25">
      <c r="A1258" s="329">
        <f t="shared" si="213"/>
        <v>0</v>
      </c>
      <c r="C1258" s="1774"/>
      <c r="D1258" s="382" t="s">
        <v>2874</v>
      </c>
      <c r="E1258" s="40">
        <v>700</v>
      </c>
      <c r="F1258" s="40"/>
      <c r="G1258" s="375" t="s">
        <v>2595</v>
      </c>
      <c r="I1258" s="357">
        <f>MAX($I$13:I1257)+1</f>
        <v>622</v>
      </c>
      <c r="J1258" s="329" t="s">
        <v>2843</v>
      </c>
    </row>
    <row r="1259" spans="1:10" hidden="1" x14ac:dyDescent="0.25">
      <c r="A1259" s="329">
        <f t="shared" si="213"/>
        <v>0</v>
      </c>
      <c r="C1259" s="1774"/>
      <c r="D1259" s="382" t="s">
        <v>2875</v>
      </c>
      <c r="E1259" s="40">
        <f>ROUNDUP(E1257/E1258,0)</f>
        <v>0</v>
      </c>
      <c r="F1259" s="40">
        <f>SUM(E1259:E1259)</f>
        <v>0</v>
      </c>
      <c r="G1259" s="375" t="s">
        <v>2599</v>
      </c>
      <c r="I1259" s="357">
        <f>MAX($I$13:I1258)+1</f>
        <v>623</v>
      </c>
      <c r="J1259" s="361" t="str">
        <f>CONCATENATE("(",I1259,")"," = ","(",I1257,")/(",I1258,")")</f>
        <v>(623) = (621)/(622)</v>
      </c>
    </row>
    <row r="1260" spans="1:10" hidden="1" x14ac:dyDescent="0.25">
      <c r="A1260" s="329">
        <f>A1251</f>
        <v>0</v>
      </c>
      <c r="B1260" s="198">
        <f>oR!D376</f>
        <v>317</v>
      </c>
      <c r="C1260" s="1777" t="s">
        <v>2876</v>
      </c>
      <c r="D1260" s="1777" t="s">
        <v>2872</v>
      </c>
      <c r="E1260" s="395">
        <f>E1259</f>
        <v>0</v>
      </c>
      <c r="F1260" s="199">
        <f>SUM(E1260:E1260)</f>
        <v>0</v>
      </c>
      <c r="G1260" s="376" t="s">
        <v>2599</v>
      </c>
      <c r="H1260" s="198" t="str">
        <f>C1251</f>
        <v>COMP 38</v>
      </c>
      <c r="I1260" s="369">
        <f>MAX($I$13:I1259)+1</f>
        <v>624</v>
      </c>
      <c r="J1260" s="65" t="str">
        <f>CONCATENATE("(",I1260,")"," = ","(",$I$1259,")")</f>
        <v>(624) = (623)</v>
      </c>
    </row>
    <row r="1261" spans="1:10" hidden="1" x14ac:dyDescent="0.25">
      <c r="A1261" s="329">
        <f t="shared" ref="A1261:A1263" si="214">A1252</f>
        <v>0</v>
      </c>
      <c r="B1261" s="198">
        <f>B1260+1</f>
        <v>318</v>
      </c>
      <c r="C1261" s="1777" t="s">
        <v>2878</v>
      </c>
      <c r="D1261" s="1777"/>
      <c r="E1261" s="395">
        <f>E1259</f>
        <v>0</v>
      </c>
      <c r="F1261" s="199">
        <f>SUM(E1261:E1261)</f>
        <v>0</v>
      </c>
      <c r="G1261" s="376" t="s">
        <v>2599</v>
      </c>
      <c r="H1261" s="198" t="str">
        <f>C1252</f>
        <v>COMP 39</v>
      </c>
      <c r="I1261" s="369">
        <f>MAX($I$13:I1260)+1</f>
        <v>625</v>
      </c>
      <c r="J1261" s="65" t="str">
        <f t="shared" ref="J1261:J1263" si="215">CONCATENATE("(",I1261,")"," = ","(",$I$1259,")")</f>
        <v>(625) = (623)</v>
      </c>
    </row>
    <row r="1262" spans="1:10" hidden="1" x14ac:dyDescent="0.25">
      <c r="A1262" s="329">
        <f t="shared" si="214"/>
        <v>0</v>
      </c>
      <c r="B1262" s="198">
        <f t="shared" ref="B1262:B1263" si="216">B1261+1</f>
        <v>319</v>
      </c>
      <c r="C1262" s="1777" t="s">
        <v>2879</v>
      </c>
      <c r="D1262" s="1777"/>
      <c r="E1262" s="395">
        <f>E1259</f>
        <v>0</v>
      </c>
      <c r="F1262" s="199">
        <f>SUM(E1262:E1262)</f>
        <v>0</v>
      </c>
      <c r="G1262" s="376" t="s">
        <v>2599</v>
      </c>
      <c r="H1262" s="198" t="str">
        <f>C1253</f>
        <v>COMP 40</v>
      </c>
      <c r="I1262" s="369">
        <f>MAX($I$13:I1261)+1</f>
        <v>626</v>
      </c>
      <c r="J1262" s="65" t="str">
        <f t="shared" si="215"/>
        <v>(626) = (623)</v>
      </c>
    </row>
    <row r="1263" spans="1:10" hidden="1" x14ac:dyDescent="0.25">
      <c r="A1263" s="329">
        <f t="shared" si="214"/>
        <v>0</v>
      </c>
      <c r="B1263" s="198">
        <f t="shared" si="216"/>
        <v>320</v>
      </c>
      <c r="C1263" s="1777" t="s">
        <v>2888</v>
      </c>
      <c r="D1263" s="1777"/>
      <c r="E1263" s="395">
        <f>E1259</f>
        <v>0</v>
      </c>
      <c r="F1263" s="199">
        <f>SUM(E1263:E1263)</f>
        <v>0</v>
      </c>
      <c r="G1263" s="376" t="s">
        <v>2599</v>
      </c>
      <c r="H1263" s="198" t="str">
        <f>C1254</f>
        <v>7.1</v>
      </c>
      <c r="I1263" s="369">
        <f>MAX($I$13:I1262)+1</f>
        <v>627</v>
      </c>
      <c r="J1263" s="65" t="str">
        <f t="shared" si="215"/>
        <v>(627) = (623)</v>
      </c>
    </row>
    <row r="1264" spans="1:10" hidden="1" x14ac:dyDescent="0.25">
      <c r="A1264" s="329">
        <f>A1248</f>
        <v>0</v>
      </c>
      <c r="B1264" s="198"/>
      <c r="C1264" s="385"/>
      <c r="D1264" s="385"/>
      <c r="E1264" s="1328"/>
      <c r="F1264" s="368"/>
      <c r="G1264" s="386"/>
      <c r="H1264" s="198"/>
      <c r="I1264" s="369"/>
      <c r="J1264" s="65"/>
    </row>
    <row r="1265" spans="1:11" s="188" customFormat="1" ht="13.5" hidden="1" thickBot="1" x14ac:dyDescent="0.3">
      <c r="A1265" s="687">
        <f>IF(SUM(A1268:A1280)&gt;0,1,0)</f>
        <v>0</v>
      </c>
      <c r="B1265" s="185"/>
      <c r="C1265" s="691"/>
      <c r="D1265" s="692" t="str">
        <f>oR!G381</f>
        <v>SERVIÇOS TÉCNICOS AMBIENTAIS</v>
      </c>
      <c r="E1265" s="692"/>
      <c r="F1265" s="692"/>
      <c r="G1265" s="693"/>
      <c r="H1265" s="694"/>
      <c r="I1265" s="694"/>
      <c r="J1265" s="695"/>
    </row>
    <row r="1266" spans="1:11" hidden="1" x14ac:dyDescent="0.25">
      <c r="A1266" s="329">
        <f>A1265</f>
        <v>0</v>
      </c>
      <c r="B1266" s="329"/>
      <c r="C1266" s="193"/>
      <c r="D1266" s="194" t="s">
        <v>5721</v>
      </c>
      <c r="E1266" s="329"/>
      <c r="F1266" s="1001"/>
      <c r="G1266" s="393"/>
      <c r="H1266" s="365"/>
      <c r="I1266" s="365"/>
      <c r="J1266" s="365"/>
    </row>
    <row r="1267" spans="1:11" hidden="1" x14ac:dyDescent="0.25">
      <c r="A1267" s="329">
        <f>A1266</f>
        <v>0</v>
      </c>
      <c r="B1267" s="329"/>
      <c r="C1267" s="329"/>
      <c r="D1267" s="329"/>
      <c r="E1267" s="329"/>
      <c r="F1267" s="329"/>
    </row>
    <row r="1268" spans="1:11" s="191" customFormat="1" ht="15.75" hidden="1" thickBot="1" x14ac:dyDescent="0.3">
      <c r="A1268" s="686">
        <f>IF(E1274=0,0,1)</f>
        <v>0</v>
      </c>
      <c r="B1268" s="189"/>
      <c r="C1268" s="190">
        <f>oR!G382</f>
        <v>93567</v>
      </c>
      <c r="D1268" s="324" t="str">
        <f>oR!H382</f>
        <v>Profissional da área ambiental pleno (engenheiro ou biólogo)</v>
      </c>
      <c r="F1268" s="325"/>
      <c r="G1268" s="392"/>
      <c r="H1268" s="364"/>
      <c r="I1268" s="364"/>
      <c r="J1268" s="364"/>
    </row>
    <row r="1269" spans="1:11" s="191" customFormat="1" ht="15.75" hidden="1" thickBot="1" x14ac:dyDescent="0.3">
      <c r="A1269" s="686">
        <f>IF(E1277=0,0,1)</f>
        <v>0</v>
      </c>
      <c r="B1269" s="189"/>
      <c r="C1269" s="190">
        <f>oR!G383</f>
        <v>93561</v>
      </c>
      <c r="D1269" s="324" t="str">
        <f>oR!H383</f>
        <v>Auxiliar técnico da área ambiental</v>
      </c>
      <c r="F1269" s="325"/>
      <c r="G1269" s="392"/>
      <c r="H1269" s="364"/>
      <c r="I1269" s="364"/>
      <c r="J1269" s="364"/>
    </row>
    <row r="1270" spans="1:11" ht="15" hidden="1" x14ac:dyDescent="0.25">
      <c r="A1270" s="329">
        <f>A1269</f>
        <v>0</v>
      </c>
      <c r="B1270" s="329"/>
      <c r="C1270" s="193"/>
      <c r="D1270" s="1782" t="s">
        <v>5722</v>
      </c>
      <c r="E1270" s="1783"/>
      <c r="F1270" s="1783"/>
      <c r="G1270" s="1783"/>
      <c r="H1270" s="1783"/>
      <c r="I1270" s="1783"/>
      <c r="J1270" s="1783"/>
    </row>
    <row r="1271" spans="1:11" hidden="1" x14ac:dyDescent="0.25">
      <c r="A1271" s="329">
        <f>A1268</f>
        <v>0</v>
      </c>
      <c r="B1271" s="329"/>
      <c r="C1271" s="1784" t="s">
        <v>42</v>
      </c>
      <c r="D1271" s="1784"/>
      <c r="E1271" s="433" t="str">
        <f>E$12</f>
        <v>ESTR. DE LINHA TAQUARAL</v>
      </c>
      <c r="F1271" s="1002" t="s">
        <v>96</v>
      </c>
      <c r="G1271" s="435"/>
      <c r="H1271" s="65"/>
      <c r="I1271" s="65"/>
      <c r="J1271" s="65"/>
    </row>
    <row r="1272" spans="1:11" ht="15" hidden="1" customHeight="1" x14ac:dyDescent="0.25">
      <c r="A1272" s="329">
        <f>A1271</f>
        <v>0</v>
      </c>
      <c r="B1272" s="329"/>
      <c r="C1272" s="1785" t="s">
        <v>5723</v>
      </c>
      <c r="D1272" s="1003" t="s">
        <v>5724</v>
      </c>
      <c r="E1272" s="991">
        <v>0</v>
      </c>
      <c r="F1272" s="1003"/>
      <c r="G1272" s="430" t="s">
        <v>5725</v>
      </c>
      <c r="H1272" s="361"/>
      <c r="I1272" s="357">
        <f>MAX($I$13:I1271)+1</f>
        <v>628</v>
      </c>
      <c r="J1272" s="361" t="s">
        <v>2843</v>
      </c>
    </row>
    <row r="1273" spans="1:11" hidden="1" x14ac:dyDescent="0.25">
      <c r="A1273" s="329">
        <f t="shared" ref="A1273:A1277" si="217">A1272</f>
        <v>0</v>
      </c>
      <c r="B1273" s="329"/>
      <c r="C1273" s="1786"/>
      <c r="D1273" s="1003" t="s">
        <v>5726</v>
      </c>
      <c r="E1273" s="991">
        <f>K1273/200</f>
        <v>0.25</v>
      </c>
      <c r="F1273" s="1003"/>
      <c r="G1273" s="430"/>
      <c r="H1273" s="361"/>
      <c r="I1273" s="357">
        <f>MAX($I$13:I1272)+1</f>
        <v>629</v>
      </c>
      <c r="J1273" s="361" t="str">
        <f>CONCATENATE(K1273," horas/mês")</f>
        <v>50 horas/mês</v>
      </c>
      <c r="K1273" s="194">
        <v>50</v>
      </c>
    </row>
    <row r="1274" spans="1:11" hidden="1" x14ac:dyDescent="0.25">
      <c r="A1274" s="329">
        <f t="shared" si="217"/>
        <v>0</v>
      </c>
      <c r="B1274" s="198">
        <f>oR!D382</f>
        <v>321</v>
      </c>
      <c r="C1274" s="1787"/>
      <c r="D1274" s="1000" t="s">
        <v>5727</v>
      </c>
      <c r="E1274" s="438">
        <f>E1273*E1272</f>
        <v>0</v>
      </c>
      <c r="F1274" s="438">
        <f>SUM(E1274:E1274)</f>
        <v>0</v>
      </c>
      <c r="G1274" s="435" t="s">
        <v>5725</v>
      </c>
      <c r="H1274" s="198">
        <f>C1268</f>
        <v>93567</v>
      </c>
      <c r="I1274" s="369">
        <f>MAX($I$13:I1273)+1</f>
        <v>630</v>
      </c>
      <c r="J1274" s="65" t="str">
        <f>CONCATENATE("(",I1274,")"," = ","(",I1273,")*(",I1272,")")</f>
        <v>(630) = (629)*(628)</v>
      </c>
    </row>
    <row r="1275" spans="1:11" ht="15" hidden="1" customHeight="1" x14ac:dyDescent="0.25">
      <c r="A1275" s="329">
        <f t="shared" si="217"/>
        <v>0</v>
      </c>
      <c r="B1275" s="329"/>
      <c r="C1275" s="1785" t="s">
        <v>5728</v>
      </c>
      <c r="D1275" s="1003" t="s">
        <v>5724</v>
      </c>
      <c r="E1275" s="439">
        <f>E1272</f>
        <v>0</v>
      </c>
      <c r="F1275" s="1003"/>
      <c r="G1275" s="430" t="s">
        <v>5725</v>
      </c>
      <c r="H1275" s="361"/>
      <c r="I1275" s="357">
        <f>MAX($I$13:I1274)+1</f>
        <v>631</v>
      </c>
      <c r="J1275" s="361" t="str">
        <f>CONCATENATE("(",I1275,")"," = ","(",I1272,")")</f>
        <v>(631) = (628)</v>
      </c>
    </row>
    <row r="1276" spans="1:11" hidden="1" x14ac:dyDescent="0.25">
      <c r="A1276" s="329">
        <f t="shared" si="217"/>
        <v>0</v>
      </c>
      <c r="B1276" s="329"/>
      <c r="C1276" s="1786"/>
      <c r="D1276" s="1003" t="s">
        <v>5726</v>
      </c>
      <c r="E1276" s="991">
        <f>K1276/200</f>
        <v>0</v>
      </c>
      <c r="F1276" s="1003"/>
      <c r="G1276" s="430"/>
      <c r="H1276" s="361"/>
      <c r="I1276" s="357">
        <f>MAX($I$13:I1275)+1</f>
        <v>632</v>
      </c>
      <c r="J1276" s="361" t="str">
        <f>CONCATENATE(K1276," horas/mês")</f>
        <v>0 horas/mês</v>
      </c>
      <c r="K1276" s="194">
        <v>0</v>
      </c>
    </row>
    <row r="1277" spans="1:11" hidden="1" x14ac:dyDescent="0.25">
      <c r="A1277" s="329">
        <f t="shared" si="217"/>
        <v>0</v>
      </c>
      <c r="B1277" s="198">
        <f>B1274+1</f>
        <v>322</v>
      </c>
      <c r="C1277" s="1787"/>
      <c r="D1277" s="1000" t="s">
        <v>5727</v>
      </c>
      <c r="E1277" s="438">
        <f>E1276*E1275</f>
        <v>0</v>
      </c>
      <c r="F1277" s="438">
        <f>SUM(E1277:E1277)</f>
        <v>0</v>
      </c>
      <c r="G1277" s="435" t="s">
        <v>5725</v>
      </c>
      <c r="H1277" s="198">
        <f>C1269</f>
        <v>93561</v>
      </c>
      <c r="I1277" s="369">
        <f>MAX($I$13:I1276)+1</f>
        <v>633</v>
      </c>
      <c r="J1277" s="65" t="str">
        <f>CONCATENATE("(",I1277,")"," = ","(",I1276,")*(",I1275,")")</f>
        <v>(633) = (632)*(631)</v>
      </c>
    </row>
  </sheetData>
  <autoFilter ref="A11:N1277" xr:uid="{00000000-0009-0000-0000-000007000000}">
    <filterColumn colId="0">
      <filters>
        <filter val="1"/>
      </filters>
    </filterColumn>
  </autoFilter>
  <mergeCells count="331">
    <mergeCell ref="C1197:D1197"/>
    <mergeCell ref="C1202:D1202"/>
    <mergeCell ref="C473:C474"/>
    <mergeCell ref="C475:C476"/>
    <mergeCell ref="C477:D477"/>
    <mergeCell ref="C508:C510"/>
    <mergeCell ref="C302:D302"/>
    <mergeCell ref="C303:D303"/>
    <mergeCell ref="C307:D307"/>
    <mergeCell ref="C308:D308"/>
    <mergeCell ref="C312:D312"/>
    <mergeCell ref="C313:D313"/>
    <mergeCell ref="C393:C395"/>
    <mergeCell ref="C399:D399"/>
    <mergeCell ref="C447:C452"/>
    <mergeCell ref="D441:J441"/>
    <mergeCell ref="D422:J422"/>
    <mergeCell ref="D403:J403"/>
    <mergeCell ref="C405:D405"/>
    <mergeCell ref="C406:C408"/>
    <mergeCell ref="C511:C513"/>
    <mergeCell ref="C514:D514"/>
    <mergeCell ref="C384:D384"/>
    <mergeCell ref="C636:D636"/>
    <mergeCell ref="C663:D663"/>
    <mergeCell ref="C664:D664"/>
    <mergeCell ref="C649:D649"/>
    <mergeCell ref="C656:C657"/>
    <mergeCell ref="D518:J518"/>
    <mergeCell ref="C507:D507"/>
    <mergeCell ref="D537:J537"/>
    <mergeCell ref="C607:D607"/>
    <mergeCell ref="C589:C590"/>
    <mergeCell ref="C591:C592"/>
    <mergeCell ref="C392:D392"/>
    <mergeCell ref="C444:C446"/>
    <mergeCell ref="C490:D490"/>
    <mergeCell ref="C491:C496"/>
    <mergeCell ref="C453:D453"/>
    <mergeCell ref="C454:C456"/>
    <mergeCell ref="C396:C398"/>
    <mergeCell ref="C434:D434"/>
    <mergeCell ref="C435:C437"/>
    <mergeCell ref="C443:D443"/>
    <mergeCell ref="C670:D670"/>
    <mergeCell ref="C671:D671"/>
    <mergeCell ref="C717:D717"/>
    <mergeCell ref="C296:D296"/>
    <mergeCell ref="C297:D297"/>
    <mergeCell ref="C360:C361"/>
    <mergeCell ref="C372:D372"/>
    <mergeCell ref="C409:C414"/>
    <mergeCell ref="C415:D415"/>
    <mergeCell ref="C416:C418"/>
    <mergeCell ref="C298:D298"/>
    <mergeCell ref="C497:C498"/>
    <mergeCell ref="C499:C500"/>
    <mergeCell ref="C472:D472"/>
    <mergeCell ref="C531:C533"/>
    <mergeCell ref="D328:J328"/>
    <mergeCell ref="C329:D329"/>
    <mergeCell ref="C330:D330"/>
    <mergeCell ref="D364:J364"/>
    <mergeCell ref="C365:D365"/>
    <mergeCell ref="C366:D366"/>
    <mergeCell ref="D369:J369"/>
    <mergeCell ref="D370:J370"/>
    <mergeCell ref="C341:D341"/>
    <mergeCell ref="C944:C946"/>
    <mergeCell ref="C884:D884"/>
    <mergeCell ref="C933:D933"/>
    <mergeCell ref="C934:C936"/>
    <mergeCell ref="C937:C939"/>
    <mergeCell ref="C845:D845"/>
    <mergeCell ref="C897:D897"/>
    <mergeCell ref="C898:C902"/>
    <mergeCell ref="C903:C904"/>
    <mergeCell ref="C846:C847"/>
    <mergeCell ref="C885:C886"/>
    <mergeCell ref="C866:C867"/>
    <mergeCell ref="C858:D858"/>
    <mergeCell ref="C859:C863"/>
    <mergeCell ref="C864:C865"/>
    <mergeCell ref="C873:D873"/>
    <mergeCell ref="C874:D874"/>
    <mergeCell ref="C880:D880"/>
    <mergeCell ref="C882:D882"/>
    <mergeCell ref="C883:D883"/>
    <mergeCell ref="C881:D881"/>
    <mergeCell ref="C923:C925"/>
    <mergeCell ref="C916:D916"/>
    <mergeCell ref="C917:C919"/>
    <mergeCell ref="C1152:D1152"/>
    <mergeCell ref="C1040:C1043"/>
    <mergeCell ref="C1070:D1070"/>
    <mergeCell ref="C1028:C1031"/>
    <mergeCell ref="C964:D964"/>
    <mergeCell ref="C965:C966"/>
    <mergeCell ref="C999:D999"/>
    <mergeCell ref="C981:D981"/>
    <mergeCell ref="C982:D982"/>
    <mergeCell ref="C992:C997"/>
    <mergeCell ref="D989:J989"/>
    <mergeCell ref="D990:J990"/>
    <mergeCell ref="C991:D991"/>
    <mergeCell ref="C1036:C1039"/>
    <mergeCell ref="C998:D998"/>
    <mergeCell ref="C1016:C1019"/>
    <mergeCell ref="C1092:D1092"/>
    <mergeCell ref="C1093:C1095"/>
    <mergeCell ref="C1112:D1112"/>
    <mergeCell ref="C1123:D1123"/>
    <mergeCell ref="C1124:D1124"/>
    <mergeCell ref="C1125:D1125"/>
    <mergeCell ref="C1113:C1115"/>
    <mergeCell ref="C1048:D1048"/>
    <mergeCell ref="C1044:D1044"/>
    <mergeCell ref="C1020:C1023"/>
    <mergeCell ref="C1099:D1099"/>
    <mergeCell ref="C1100:C1102"/>
    <mergeCell ref="C1106:C1108"/>
    <mergeCell ref="C1024:C1027"/>
    <mergeCell ref="C131:D131"/>
    <mergeCell ref="C795:D795"/>
    <mergeCell ref="C462:D462"/>
    <mergeCell ref="C786:C787"/>
    <mergeCell ref="C746:D746"/>
    <mergeCell ref="C747:C749"/>
    <mergeCell ref="C1032:C1035"/>
    <mergeCell ref="C941:C943"/>
    <mergeCell ref="D941:D942"/>
    <mergeCell ref="C352:C353"/>
    <mergeCell ref="D339:J339"/>
    <mergeCell ref="C349:C351"/>
    <mergeCell ref="C354:C355"/>
    <mergeCell ref="C356:C358"/>
    <mergeCell ref="C345:C346"/>
    <mergeCell ref="C347:C348"/>
    <mergeCell ref="C428:C433"/>
    <mergeCell ref="C212:D212"/>
    <mergeCell ref="C21:D21"/>
    <mergeCell ref="D319:J319"/>
    <mergeCell ref="C33:D33"/>
    <mergeCell ref="C34:C37"/>
    <mergeCell ref="C41:D41"/>
    <mergeCell ref="C42:C43"/>
    <mergeCell ref="C135:D135"/>
    <mergeCell ref="C735:C736"/>
    <mergeCell ref="C737:C738"/>
    <mergeCell ref="C684:D684"/>
    <mergeCell ref="C685:C688"/>
    <mergeCell ref="C650:C653"/>
    <mergeCell ref="C520:D520"/>
    <mergeCell ref="C521:C523"/>
    <mergeCell ref="C524:C529"/>
    <mergeCell ref="C530:D530"/>
    <mergeCell ref="C424:D424"/>
    <mergeCell ref="C425:C427"/>
    <mergeCell ref="C478:C479"/>
    <mergeCell ref="C560:C561"/>
    <mergeCell ref="C343:C344"/>
    <mergeCell ref="D349:D350"/>
    <mergeCell ref="C125:C126"/>
    <mergeCell ref="C228:C229"/>
    <mergeCell ref="C1228:C1232"/>
    <mergeCell ref="C1233:C1237"/>
    <mergeCell ref="C1238:D1238"/>
    <mergeCell ref="C1239:D1239"/>
    <mergeCell ref="C1192:D1192"/>
    <mergeCell ref="C12:D12"/>
    <mergeCell ref="C25:D25"/>
    <mergeCell ref="C49:D49"/>
    <mergeCell ref="C320:D320"/>
    <mergeCell ref="C321:D321"/>
    <mergeCell ref="C322:C324"/>
    <mergeCell ref="C325:D325"/>
    <mergeCell ref="C13:C19"/>
    <mergeCell ref="C20:D20"/>
    <mergeCell ref="C26:C29"/>
    <mergeCell ref="C107:D107"/>
    <mergeCell ref="C109:C112"/>
    <mergeCell ref="C113:C114"/>
    <mergeCell ref="C115:C116"/>
    <mergeCell ref="C124:D124"/>
    <mergeCell ref="C130:D130"/>
    <mergeCell ref="C117:C119"/>
    <mergeCell ref="C221:C222"/>
    <mergeCell ref="C464:C465"/>
    <mergeCell ref="C1263:D1263"/>
    <mergeCell ref="C1130:D1130"/>
    <mergeCell ref="C1131:D1131"/>
    <mergeCell ref="C1132:D1132"/>
    <mergeCell ref="C1256:D1256"/>
    <mergeCell ref="D1255:J1255"/>
    <mergeCell ref="C1142:D1142"/>
    <mergeCell ref="C1257:C1259"/>
    <mergeCell ref="C1260:D1260"/>
    <mergeCell ref="C1261:D1261"/>
    <mergeCell ref="C1262:D1262"/>
    <mergeCell ref="C1146:D1146"/>
    <mergeCell ref="C1147:D1147"/>
    <mergeCell ref="C1179:C1181"/>
    <mergeCell ref="C1141:D1141"/>
    <mergeCell ref="C1212:D1212"/>
    <mergeCell ref="C1213:C1217"/>
    <mergeCell ref="C1218:C1222"/>
    <mergeCell ref="C1223:C1227"/>
    <mergeCell ref="C1185:D1185"/>
    <mergeCell ref="C1188:D1188"/>
    <mergeCell ref="C1186:C1187"/>
    <mergeCell ref="C1153:C1156"/>
    <mergeCell ref="C1157:C1158"/>
    <mergeCell ref="C1271:D1271"/>
    <mergeCell ref="C1272:C1274"/>
    <mergeCell ref="C1275:C1277"/>
    <mergeCell ref="C263:C265"/>
    <mergeCell ref="D263:D264"/>
    <mergeCell ref="C266:C268"/>
    <mergeCell ref="C273:D273"/>
    <mergeCell ref="C274:C275"/>
    <mergeCell ref="C1167:D1167"/>
    <mergeCell ref="C1168:C1174"/>
    <mergeCell ref="C1175:D1175"/>
    <mergeCell ref="C1176:C1178"/>
    <mergeCell ref="D1176:D1177"/>
    <mergeCell ref="C967:D967"/>
    <mergeCell ref="C971:D971"/>
    <mergeCell ref="C972:D972"/>
    <mergeCell ref="C976:D976"/>
    <mergeCell ref="C1136:D1136"/>
    <mergeCell ref="C1137:D1137"/>
    <mergeCell ref="C835:D835"/>
    <mergeCell ref="C654:C655"/>
    <mergeCell ref="C543:C548"/>
    <mergeCell ref="C549:D549"/>
    <mergeCell ref="C279:D279"/>
    <mergeCell ref="D1270:J1270"/>
    <mergeCell ref="C237:D237"/>
    <mergeCell ref="C238:C239"/>
    <mergeCell ref="C240:D240"/>
    <mergeCell ref="C241:C243"/>
    <mergeCell ref="D241:D242"/>
    <mergeCell ref="C244:C246"/>
    <mergeCell ref="C259:D259"/>
    <mergeCell ref="C260:C261"/>
    <mergeCell ref="C262:D262"/>
    <mergeCell ref="C550:C552"/>
    <mergeCell ref="C625:C626"/>
    <mergeCell ref="C627:C628"/>
    <mergeCell ref="C600:D600"/>
    <mergeCell ref="C606:D606"/>
    <mergeCell ref="C710:D710"/>
    <mergeCell ref="C374:C377"/>
    <mergeCell ref="C287:D287"/>
    <mergeCell ref="C689:C690"/>
    <mergeCell ref="C691:C692"/>
    <mergeCell ref="D338:J338"/>
    <mergeCell ref="C381:C383"/>
    <mergeCell ref="C378:C380"/>
    <mergeCell ref="D371:J371"/>
    <mergeCell ref="C213:C215"/>
    <mergeCell ref="C217:C218"/>
    <mergeCell ref="C219:C220"/>
    <mergeCell ref="C227:D227"/>
    <mergeCell ref="C250:D250"/>
    <mergeCell ref="C280:D280"/>
    <mergeCell ref="C288:C289"/>
    <mergeCell ref="C290:C291"/>
    <mergeCell ref="C716:D716"/>
    <mergeCell ref="C621:C624"/>
    <mergeCell ref="C539:D539"/>
    <mergeCell ref="C540:C542"/>
    <mergeCell ref="C582:D582"/>
    <mergeCell ref="C583:C588"/>
    <mergeCell ref="C599:D599"/>
    <mergeCell ref="C620:D620"/>
    <mergeCell ref="C558:D558"/>
    <mergeCell ref="C700:D700"/>
    <mergeCell ref="C635:D635"/>
    <mergeCell ref="C568:D568"/>
    <mergeCell ref="C570:C571"/>
    <mergeCell ref="C608:C609"/>
    <mergeCell ref="C637:C638"/>
    <mergeCell ref="C672:C673"/>
    <mergeCell ref="C1244:D1244"/>
    <mergeCell ref="C1245:D1245"/>
    <mergeCell ref="C1246:D1246"/>
    <mergeCell ref="C718:C719"/>
    <mergeCell ref="C825:C827"/>
    <mergeCell ref="C953:C954"/>
    <mergeCell ref="C955:C957"/>
    <mergeCell ref="C958:C960"/>
    <mergeCell ref="C961:C963"/>
    <mergeCell ref="C1015:D1015"/>
    <mergeCell ref="C1004:D1004"/>
    <mergeCell ref="C1000:C1003"/>
    <mergeCell ref="C1005:D1005"/>
    <mergeCell ref="D951:J951"/>
    <mergeCell ref="C952:D952"/>
    <mergeCell ref="C841:D841"/>
    <mergeCell ref="C756:D756"/>
    <mergeCell ref="C762:D762"/>
    <mergeCell ref="C763:C765"/>
    <mergeCell ref="C828:C829"/>
    <mergeCell ref="C766:C767"/>
    <mergeCell ref="C773:D773"/>
    <mergeCell ref="C774:C776"/>
    <mergeCell ref="C777:C778"/>
    <mergeCell ref="C905:C906"/>
    <mergeCell ref="C842:D842"/>
    <mergeCell ref="C809:C812"/>
    <mergeCell ref="C813:C814"/>
    <mergeCell ref="C940:D940"/>
    <mergeCell ref="C920:C922"/>
    <mergeCell ref="C794:D794"/>
    <mergeCell ref="C709:D709"/>
    <mergeCell ref="C701:C703"/>
    <mergeCell ref="C796:C797"/>
    <mergeCell ref="C824:D824"/>
    <mergeCell ref="C784:D784"/>
    <mergeCell ref="C785:D785"/>
    <mergeCell ref="C808:D808"/>
    <mergeCell ref="C843:D843"/>
    <mergeCell ref="C844:D844"/>
    <mergeCell ref="C755:D755"/>
    <mergeCell ref="C750:C751"/>
    <mergeCell ref="C834:D834"/>
    <mergeCell ref="C815:C816"/>
    <mergeCell ref="C730:D730"/>
    <mergeCell ref="C731:C734"/>
    <mergeCell ref="C704:C705"/>
  </mergeCells>
  <printOptions horizontalCentered="1"/>
  <pageMargins left="0.39370078740157483" right="0.35433070866141736" top="0.94488188976377963" bottom="0.74803149606299213" header="0.31496062992125984" footer="0.23622047244094491"/>
  <pageSetup paperSize="9" scale="71" fitToHeight="0" orientation="landscape" r:id="rId1"/>
  <headerFooter>
    <oddHeader>&amp;C&amp;G</oddHeader>
    <oddFooter>&amp;C&amp;G</oddFooter>
  </headerFooter>
  <rowBreaks count="8" manualBreakCount="8">
    <brk id="45" max="16383" man="1"/>
    <brk id="314" max="16383" man="1"/>
    <brk id="385" max="16383" man="1"/>
    <brk id="909" max="16383" man="1"/>
    <brk id="983" max="16383" man="1"/>
    <brk id="1116" max="16383" man="1"/>
    <brk id="1204" max="16383" man="1"/>
    <brk id="1247" max="16383" man="1"/>
  </rowBreaks>
  <colBreaks count="1" manualBreakCount="1">
    <brk id="10"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2A70-33F0-4AFB-829E-63A3ED301CBE}">
  <sheetPr>
    <tabColor rgb="FF92D050"/>
    <pageSetUpPr fitToPage="1"/>
  </sheetPr>
  <dimension ref="A1:EY26"/>
  <sheetViews>
    <sheetView view="pageBreakPreview" zoomScaleNormal="100" zoomScaleSheetLayoutView="100" workbookViewId="0">
      <selection activeCell="A11" sqref="A11"/>
    </sheetView>
  </sheetViews>
  <sheetFormatPr defaultRowHeight="15" x14ac:dyDescent="0.25"/>
  <cols>
    <col min="1" max="1" width="9.140625" style="642"/>
    <col min="2" max="2" width="6" style="642" customWidth="1"/>
    <col min="3" max="3" width="1.5703125" style="642" bestFit="1" customWidth="1"/>
    <col min="4" max="4" width="5.42578125" style="642" bestFit="1" customWidth="1"/>
    <col min="5" max="5" width="20" style="642" customWidth="1"/>
    <col min="6" max="6" width="7.28515625" style="642" customWidth="1"/>
    <col min="7" max="7" width="10.5703125" style="642" bestFit="1" customWidth="1"/>
    <col min="8" max="8" width="6.5703125" style="642" customWidth="1"/>
    <col min="9" max="9" width="4.42578125" style="642" customWidth="1"/>
    <col min="10" max="10" width="5" style="642" customWidth="1"/>
    <col min="11" max="11" width="9.42578125" style="642" customWidth="1"/>
    <col min="12" max="12" width="5.28515625" style="642" customWidth="1"/>
    <col min="13" max="13" width="5.7109375" style="642" customWidth="1"/>
    <col min="14" max="14" width="8" style="642" customWidth="1"/>
    <col min="15" max="15" width="6.85546875" style="642" customWidth="1"/>
    <col min="16" max="16" width="6.140625" style="642" customWidth="1"/>
    <col min="17" max="18" width="8.28515625" style="642" customWidth="1"/>
    <col min="19" max="20" width="5.85546875" style="642" customWidth="1"/>
    <col min="21" max="21" width="8" style="642" customWidth="1"/>
    <col min="22" max="22" width="5.85546875" style="642" customWidth="1"/>
    <col min="23" max="23" width="6.42578125" style="642" customWidth="1"/>
    <col min="24" max="24" width="1.7109375" style="642" customWidth="1"/>
    <col min="25" max="25" width="6.42578125" style="642" customWidth="1"/>
    <col min="26" max="26" width="7.85546875" style="642" customWidth="1"/>
    <col min="27" max="27" width="2.28515625" style="642" customWidth="1"/>
    <col min="28" max="28" width="7" style="642" bestFit="1" customWidth="1"/>
    <col min="29" max="29" width="6.85546875" style="642" customWidth="1"/>
    <col min="30" max="30" width="1" style="642" customWidth="1"/>
    <col min="31" max="31" width="5.85546875" style="642" customWidth="1"/>
    <col min="32" max="32" width="6.85546875" style="642" hidden="1" customWidth="1"/>
    <col min="33" max="33" width="1" style="642" hidden="1" customWidth="1"/>
    <col min="34" max="34" width="6.85546875" style="642" hidden="1" customWidth="1"/>
    <col min="35" max="35" width="3.28515625" style="642" customWidth="1"/>
    <col min="36" max="36" width="4" style="642" customWidth="1"/>
    <col min="37" max="37" width="41.28515625" style="642" customWidth="1"/>
    <col min="38" max="38" width="9.140625" style="642" customWidth="1"/>
    <col min="39" max="39" width="5.5703125" style="642" customWidth="1"/>
    <col min="40" max="40" width="1.5703125" style="642" customWidth="1"/>
    <col min="41" max="41" width="5.42578125" style="642" customWidth="1"/>
    <col min="42" max="42" width="25" style="642" bestFit="1" customWidth="1"/>
    <col min="43" max="43" width="7.28515625" style="642" customWidth="1"/>
    <col min="44" max="44" width="6.42578125" style="642" bestFit="1" customWidth="1"/>
    <col min="45" max="45" width="4" style="642" customWidth="1"/>
    <col min="46" max="46" width="6" style="642" bestFit="1" customWidth="1"/>
    <col min="47" max="50" width="4.85546875" style="642" customWidth="1"/>
    <col min="51" max="52" width="4.85546875" style="642" hidden="1" customWidth="1"/>
    <col min="53" max="53" width="6.85546875" style="642" customWidth="1"/>
    <col min="54" max="54" width="5.7109375" style="642" customWidth="1"/>
    <col min="55" max="55" width="5.42578125" style="642" customWidth="1"/>
    <col min="56" max="56" width="8.140625" style="642" customWidth="1"/>
    <col min="57" max="57" width="7.85546875" style="642" customWidth="1"/>
    <col min="58" max="58" width="5.140625" style="642" customWidth="1"/>
    <col min="59" max="59" width="8" style="642" customWidth="1"/>
    <col min="60" max="60" width="8.140625" style="642" customWidth="1"/>
    <col min="61" max="61" width="8" style="642" customWidth="1"/>
    <col min="62" max="62" width="10" style="642" bestFit="1" customWidth="1"/>
    <col min="63" max="63" width="8.140625" style="642" customWidth="1"/>
    <col min="64" max="64" width="3.140625" style="642" customWidth="1"/>
    <col min="65" max="65" width="8.140625" style="642" customWidth="1"/>
    <col min="66" max="66" width="6.85546875" style="642" customWidth="1"/>
    <col min="67" max="67" width="6.7109375" style="642" customWidth="1"/>
    <col min="68" max="68" width="7.5703125" style="642" customWidth="1"/>
    <col min="69" max="69" width="8.140625" style="642" customWidth="1"/>
    <col min="70" max="70" width="4.7109375" style="642" customWidth="1"/>
    <col min="71" max="71" width="7.140625" style="642" customWidth="1"/>
    <col min="72" max="72" width="5.5703125" style="642" customWidth="1"/>
    <col min="73" max="73" width="6.42578125" style="642" customWidth="1"/>
    <col min="74" max="74" width="8.28515625" style="642" customWidth="1"/>
    <col min="75" max="75" width="6.85546875" style="642" customWidth="1"/>
    <col min="76" max="77" width="6" style="642" customWidth="1"/>
    <col min="78" max="80" width="9.140625" style="642" customWidth="1"/>
    <col min="81" max="81" width="9.28515625" style="642" bestFit="1" customWidth="1"/>
    <col min="82" max="82" width="25" style="642" bestFit="1" customWidth="1"/>
    <col min="83" max="83" width="7.42578125" style="642" bestFit="1" customWidth="1"/>
    <col min="84" max="84" width="3.7109375" style="642" bestFit="1" customWidth="1"/>
    <col min="85" max="85" width="7" style="642" bestFit="1" customWidth="1"/>
    <col min="86" max="88" width="5.85546875" style="642" customWidth="1"/>
    <col min="89" max="89" width="6.85546875" style="642" bestFit="1" customWidth="1"/>
    <col min="90" max="90" width="6.7109375" style="642" customWidth="1"/>
    <col min="91" max="91" width="5.85546875" style="642" customWidth="1"/>
    <col min="92" max="92" width="6.7109375" style="642" customWidth="1"/>
    <col min="93" max="94" width="7" style="642" bestFit="1" customWidth="1"/>
    <col min="95" max="95" width="7.140625" style="642" bestFit="1" customWidth="1"/>
    <col min="96" max="96" width="7" style="642" bestFit="1" customWidth="1"/>
    <col min="97" max="97" width="4.5703125" style="642" bestFit="1" customWidth="1"/>
    <col min="98" max="98" width="7" style="642" bestFit="1" customWidth="1"/>
    <col min="99" max="99" width="5.5703125" style="642" bestFit="1" customWidth="1"/>
    <col min="100" max="108" width="3.7109375" style="642" customWidth="1"/>
    <col min="109" max="109" width="5.140625" style="642" bestFit="1" customWidth="1"/>
    <col min="110" max="121" width="3.7109375" style="642" customWidth="1"/>
    <col min="122" max="122" width="5.85546875" style="642" bestFit="1" customWidth="1"/>
    <col min="123" max="123" width="6.28515625" style="642" customWidth="1"/>
    <col min="124" max="125" width="9.28515625" style="642" bestFit="1" customWidth="1"/>
    <col min="126" max="128" width="9.140625" style="642"/>
    <col min="129" max="129" width="6.28515625" style="642" bestFit="1" customWidth="1"/>
    <col min="130" max="138" width="4.85546875" style="642" bestFit="1" customWidth="1"/>
    <col min="139" max="139" width="6.28515625" style="642" bestFit="1" customWidth="1"/>
    <col min="140" max="141" width="4.85546875" style="642" bestFit="1" customWidth="1"/>
    <col min="142" max="142" width="5.7109375" style="642" bestFit="1" customWidth="1"/>
    <col min="143" max="145" width="6.5703125" style="642" bestFit="1" customWidth="1"/>
    <col min="146" max="147" width="4" style="642" bestFit="1" customWidth="1"/>
    <col min="148" max="148" width="4.7109375" style="642" bestFit="1" customWidth="1"/>
    <col min="149" max="149" width="4.28515625" style="642" bestFit="1" customWidth="1"/>
    <col min="150" max="152" width="4" style="642" bestFit="1" customWidth="1"/>
    <col min="153" max="153" width="5.85546875" style="642" bestFit="1" customWidth="1"/>
    <col min="154" max="154" width="7.42578125" style="642" bestFit="1" customWidth="1"/>
    <col min="155" max="155" width="7" style="642" bestFit="1" customWidth="1"/>
    <col min="156" max="240" width="9.140625" style="642"/>
    <col min="241" max="241" width="6" style="642" customWidth="1"/>
    <col min="242" max="242" width="1.5703125" style="642" bestFit="1" customWidth="1"/>
    <col min="243" max="243" width="5.42578125" style="642" bestFit="1" customWidth="1"/>
    <col min="244" max="244" width="20.28515625" style="642" customWidth="1"/>
    <col min="245" max="245" width="7.28515625" style="642" customWidth="1"/>
    <col min="246" max="246" width="5.28515625" style="642" customWidth="1"/>
    <col min="247" max="247" width="6.5703125" style="642" customWidth="1"/>
    <col min="248" max="248" width="4.42578125" style="642" customWidth="1"/>
    <col min="249" max="249" width="8.28515625" style="642" customWidth="1"/>
    <col min="250" max="250" width="4.7109375" style="642" customWidth="1"/>
    <col min="251" max="251" width="5.7109375" style="642" customWidth="1"/>
    <col min="252" max="252" width="8" style="642" customWidth="1"/>
    <col min="253" max="253" width="6.85546875" style="642" customWidth="1"/>
    <col min="254" max="254" width="6.140625" style="642" customWidth="1"/>
    <col min="255" max="256" width="8.28515625" style="642" customWidth="1"/>
    <col min="257" max="258" width="5.85546875" style="642" customWidth="1"/>
    <col min="259" max="259" width="7" style="642" customWidth="1"/>
    <col min="260" max="260" width="5.85546875" style="642" customWidth="1"/>
    <col min="261" max="261" width="6.42578125" style="642" customWidth="1"/>
    <col min="262" max="262" width="1.7109375" style="642" customWidth="1"/>
    <col min="263" max="264" width="6.42578125" style="642" customWidth="1"/>
    <col min="265" max="265" width="1.7109375" style="642" customWidth="1"/>
    <col min="266" max="266" width="6.42578125" style="642" customWidth="1"/>
    <col min="267" max="267" width="6.85546875" style="642" customWidth="1"/>
    <col min="268" max="268" width="5.7109375" style="642" customWidth="1"/>
    <col min="269" max="269" width="3.28515625" style="642" customWidth="1"/>
    <col min="270" max="270" width="4" style="642" customWidth="1"/>
    <col min="271" max="271" width="14" style="642" customWidth="1"/>
    <col min="272" max="272" width="9.140625" style="642" customWidth="1"/>
    <col min="273" max="273" width="9.5703125" style="642" customWidth="1"/>
    <col min="274" max="274" width="1.5703125" style="642" customWidth="1"/>
    <col min="275" max="275" width="5.42578125" style="642" customWidth="1"/>
    <col min="276" max="276" width="19.140625" style="642" customWidth="1"/>
    <col min="277" max="277" width="7.28515625" style="642" customWidth="1"/>
    <col min="278" max="278" width="5.28515625" style="642" customWidth="1"/>
    <col min="279" max="279" width="4" style="642" customWidth="1"/>
    <col min="280" max="284" width="4.85546875" style="642" customWidth="1"/>
    <col min="285" max="285" width="6.85546875" style="642" customWidth="1"/>
    <col min="286" max="286" width="5.7109375" style="642" customWidth="1"/>
    <col min="287" max="287" width="7.7109375" style="642" customWidth="1"/>
    <col min="288" max="288" width="6.85546875" style="642" customWidth="1"/>
    <col min="289" max="289" width="5.140625" style="642" customWidth="1"/>
    <col min="290" max="290" width="7.85546875" style="642" customWidth="1"/>
    <col min="291" max="291" width="4.42578125" style="642" customWidth="1"/>
    <col min="292" max="292" width="6.85546875" style="642" customWidth="1"/>
    <col min="293" max="294" width="8" style="642" customWidth="1"/>
    <col min="295" max="295" width="6" style="642" customWidth="1"/>
    <col min="296" max="296" width="3.140625" style="642" customWidth="1"/>
    <col min="297" max="297" width="6" style="642" customWidth="1"/>
    <col min="298" max="298" width="5.5703125" style="642" customWidth="1"/>
    <col min="299" max="299" width="6.7109375" style="642" customWidth="1"/>
    <col min="300" max="300" width="6.85546875" style="642" customWidth="1"/>
    <col min="301" max="301" width="8.140625" style="642" customWidth="1"/>
    <col min="302" max="302" width="4.42578125" style="642" customWidth="1"/>
    <col min="303" max="303" width="7.140625" style="642" customWidth="1"/>
    <col min="304" max="304" width="6.5703125" style="642" customWidth="1"/>
    <col min="305" max="305" width="6.42578125" style="642" customWidth="1"/>
    <col min="306" max="306" width="8.28515625" style="642" customWidth="1"/>
    <col min="307" max="307" width="5.42578125" style="642" customWidth="1"/>
    <col min="308" max="308" width="7.5703125" style="642" customWidth="1"/>
    <col min="309" max="309" width="5.140625" style="642" customWidth="1"/>
    <col min="310" max="312" width="9.140625" style="642" customWidth="1"/>
    <col min="313" max="313" width="9.140625" style="642"/>
    <col min="314" max="314" width="19.7109375" style="642" customWidth="1"/>
    <col min="315" max="315" width="6.5703125" style="642" customWidth="1"/>
    <col min="316" max="316" width="3.5703125" style="642" bestFit="1" customWidth="1"/>
    <col min="317" max="317" width="6.85546875" style="642" bestFit="1" customWidth="1"/>
    <col min="318" max="320" width="5.85546875" style="642" customWidth="1"/>
    <col min="321" max="321" width="6" style="642" bestFit="1" customWidth="1"/>
    <col min="322" max="324" width="0" style="642" hidden="1" customWidth="1"/>
    <col min="325" max="325" width="6" style="642" bestFit="1" customWidth="1"/>
    <col min="326" max="326" width="6.85546875" style="642" bestFit="1" customWidth="1"/>
    <col min="327" max="327" width="7" style="642" bestFit="1" customWidth="1"/>
    <col min="328" max="328" width="6" style="642" bestFit="1" customWidth="1"/>
    <col min="329" max="329" width="4.42578125" style="642" bestFit="1" customWidth="1"/>
    <col min="330" max="330" width="6" style="642" bestFit="1" customWidth="1"/>
    <col min="331" max="331" width="6.28515625" style="642" bestFit="1" customWidth="1"/>
    <col min="332" max="338" width="4.85546875" style="642" bestFit="1" customWidth="1"/>
    <col min="339" max="339" width="5" style="642" bestFit="1" customWidth="1"/>
    <col min="340" max="340" width="4.85546875" style="642" bestFit="1" customWidth="1"/>
    <col min="341" max="341" width="4.42578125" style="642" bestFit="1" customWidth="1"/>
    <col min="342" max="342" width="5.140625" style="642" bestFit="1" customWidth="1"/>
    <col min="343" max="343" width="4.85546875" style="642" bestFit="1" customWidth="1"/>
    <col min="344" max="344" width="5" style="642" bestFit="1" customWidth="1"/>
    <col min="345" max="346" width="5.28515625" style="642" bestFit="1" customWidth="1"/>
    <col min="347" max="347" width="5" style="642" bestFit="1" customWidth="1"/>
    <col min="348" max="348" width="4.42578125" style="642" bestFit="1" customWidth="1"/>
    <col min="349" max="349" width="4.5703125" style="642" bestFit="1" customWidth="1"/>
    <col min="350" max="351" width="5.140625" style="642" bestFit="1" customWidth="1"/>
    <col min="352" max="352" width="4.85546875" style="642" bestFit="1" customWidth="1"/>
    <col min="353" max="353" width="5.42578125" style="642" bestFit="1" customWidth="1"/>
    <col min="354" max="354" width="0" style="642" hidden="1" customWidth="1"/>
    <col min="355" max="355" width="6.5703125" style="642" bestFit="1" customWidth="1"/>
    <col min="356" max="496" width="9.140625" style="642"/>
    <col min="497" max="497" width="6" style="642" customWidth="1"/>
    <col min="498" max="498" width="1.5703125" style="642" bestFit="1" customWidth="1"/>
    <col min="499" max="499" width="5.42578125" style="642" bestFit="1" customWidth="1"/>
    <col min="500" max="500" width="20.28515625" style="642" customWidth="1"/>
    <col min="501" max="501" width="7.28515625" style="642" customWidth="1"/>
    <col min="502" max="502" width="5.28515625" style="642" customWidth="1"/>
    <col min="503" max="503" width="6.5703125" style="642" customWidth="1"/>
    <col min="504" max="504" width="4.42578125" style="642" customWidth="1"/>
    <col min="505" max="505" width="8.28515625" style="642" customWidth="1"/>
    <col min="506" max="506" width="4.7109375" style="642" customWidth="1"/>
    <col min="507" max="507" width="5.7109375" style="642" customWidth="1"/>
    <col min="508" max="508" width="8" style="642" customWidth="1"/>
    <col min="509" max="509" width="6.85546875" style="642" customWidth="1"/>
    <col min="510" max="510" width="6.140625" style="642" customWidth="1"/>
    <col min="511" max="512" width="8.28515625" style="642" customWidth="1"/>
    <col min="513" max="514" width="5.85546875" style="642" customWidth="1"/>
    <col min="515" max="515" width="7" style="642" customWidth="1"/>
    <col min="516" max="516" width="5.85546875" style="642" customWidth="1"/>
    <col min="517" max="517" width="6.42578125" style="642" customWidth="1"/>
    <col min="518" max="518" width="1.7109375" style="642" customWidth="1"/>
    <col min="519" max="520" width="6.42578125" style="642" customWidth="1"/>
    <col min="521" max="521" width="1.7109375" style="642" customWidth="1"/>
    <col min="522" max="522" width="6.42578125" style="642" customWidth="1"/>
    <col min="523" max="523" width="6.85546875" style="642" customWidth="1"/>
    <col min="524" max="524" width="5.7109375" style="642" customWidth="1"/>
    <col min="525" max="525" width="3.28515625" style="642" customWidth="1"/>
    <col min="526" max="526" width="4" style="642" customWidth="1"/>
    <col min="527" max="527" width="14" style="642" customWidth="1"/>
    <col min="528" max="528" width="9.140625" style="642" customWidth="1"/>
    <col min="529" max="529" width="9.5703125" style="642" customWidth="1"/>
    <col min="530" max="530" width="1.5703125" style="642" customWidth="1"/>
    <col min="531" max="531" width="5.42578125" style="642" customWidth="1"/>
    <col min="532" max="532" width="19.140625" style="642" customWidth="1"/>
    <col min="533" max="533" width="7.28515625" style="642" customWidth="1"/>
    <col min="534" max="534" width="5.28515625" style="642" customWidth="1"/>
    <col min="535" max="535" width="4" style="642" customWidth="1"/>
    <col min="536" max="540" width="4.85546875" style="642" customWidth="1"/>
    <col min="541" max="541" width="6.85546875" style="642" customWidth="1"/>
    <col min="542" max="542" width="5.7109375" style="642" customWidth="1"/>
    <col min="543" max="543" width="7.7109375" style="642" customWidth="1"/>
    <col min="544" max="544" width="6.85546875" style="642" customWidth="1"/>
    <col min="545" max="545" width="5.140625" style="642" customWidth="1"/>
    <col min="546" max="546" width="7.85546875" style="642" customWidth="1"/>
    <col min="547" max="547" width="4.42578125" style="642" customWidth="1"/>
    <col min="548" max="548" width="6.85546875" style="642" customWidth="1"/>
    <col min="549" max="550" width="8" style="642" customWidth="1"/>
    <col min="551" max="551" width="6" style="642" customWidth="1"/>
    <col min="552" max="552" width="3.140625" style="642" customWidth="1"/>
    <col min="553" max="553" width="6" style="642" customWidth="1"/>
    <col min="554" max="554" width="5.5703125" style="642" customWidth="1"/>
    <col min="555" max="555" width="6.7109375" style="642" customWidth="1"/>
    <col min="556" max="556" width="6.85546875" style="642" customWidth="1"/>
    <col min="557" max="557" width="8.140625" style="642" customWidth="1"/>
    <col min="558" max="558" width="4.42578125" style="642" customWidth="1"/>
    <col min="559" max="559" width="7.140625" style="642" customWidth="1"/>
    <col min="560" max="560" width="6.5703125" style="642" customWidth="1"/>
    <col min="561" max="561" width="6.42578125" style="642" customWidth="1"/>
    <col min="562" max="562" width="8.28515625" style="642" customWidth="1"/>
    <col min="563" max="563" width="5.42578125" style="642" customWidth="1"/>
    <col min="564" max="564" width="7.5703125" style="642" customWidth="1"/>
    <col min="565" max="565" width="5.140625" style="642" customWidth="1"/>
    <col min="566" max="568" width="9.140625" style="642" customWidth="1"/>
    <col min="569" max="569" width="9.140625" style="642"/>
    <col min="570" max="570" width="19.7109375" style="642" customWidth="1"/>
    <col min="571" max="571" width="6.5703125" style="642" customWidth="1"/>
    <col min="572" max="572" width="3.5703125" style="642" bestFit="1" customWidth="1"/>
    <col min="573" max="573" width="6.85546875" style="642" bestFit="1" customWidth="1"/>
    <col min="574" max="576" width="5.85546875" style="642" customWidth="1"/>
    <col min="577" max="577" width="6" style="642" bestFit="1" customWidth="1"/>
    <col min="578" max="580" width="0" style="642" hidden="1" customWidth="1"/>
    <col min="581" max="581" width="6" style="642" bestFit="1" customWidth="1"/>
    <col min="582" max="582" width="6.85546875" style="642" bestFit="1" customWidth="1"/>
    <col min="583" max="583" width="7" style="642" bestFit="1" customWidth="1"/>
    <col min="584" max="584" width="6" style="642" bestFit="1" customWidth="1"/>
    <col min="585" max="585" width="4.42578125" style="642" bestFit="1" customWidth="1"/>
    <col min="586" max="586" width="6" style="642" bestFit="1" customWidth="1"/>
    <col min="587" max="587" width="6.28515625" style="642" bestFit="1" customWidth="1"/>
    <col min="588" max="594" width="4.85546875" style="642" bestFit="1" customWidth="1"/>
    <col min="595" max="595" width="5" style="642" bestFit="1" customWidth="1"/>
    <col min="596" max="596" width="4.85546875" style="642" bestFit="1" customWidth="1"/>
    <col min="597" max="597" width="4.42578125" style="642" bestFit="1" customWidth="1"/>
    <col min="598" max="598" width="5.140625" style="642" bestFit="1" customWidth="1"/>
    <col min="599" max="599" width="4.85546875" style="642" bestFit="1" customWidth="1"/>
    <col min="600" max="600" width="5" style="642" bestFit="1" customWidth="1"/>
    <col min="601" max="602" width="5.28515625" style="642" bestFit="1" customWidth="1"/>
    <col min="603" max="603" width="5" style="642" bestFit="1" customWidth="1"/>
    <col min="604" max="604" width="4.42578125" style="642" bestFit="1" customWidth="1"/>
    <col min="605" max="605" width="4.5703125" style="642" bestFit="1" customWidth="1"/>
    <col min="606" max="607" width="5.140625" style="642" bestFit="1" customWidth="1"/>
    <col min="608" max="608" width="4.85546875" style="642" bestFit="1" customWidth="1"/>
    <col min="609" max="609" width="5.42578125" style="642" bestFit="1" customWidth="1"/>
    <col min="610" max="610" width="0" style="642" hidden="1" customWidth="1"/>
    <col min="611" max="611" width="6.5703125" style="642" bestFit="1" customWidth="1"/>
    <col min="612" max="752" width="9.140625" style="642"/>
    <col min="753" max="753" width="6" style="642" customWidth="1"/>
    <col min="754" max="754" width="1.5703125" style="642" bestFit="1" customWidth="1"/>
    <col min="755" max="755" width="5.42578125" style="642" bestFit="1" customWidth="1"/>
    <col min="756" max="756" width="20.28515625" style="642" customWidth="1"/>
    <col min="757" max="757" width="7.28515625" style="642" customWidth="1"/>
    <col min="758" max="758" width="5.28515625" style="642" customWidth="1"/>
    <col min="759" max="759" width="6.5703125" style="642" customWidth="1"/>
    <col min="760" max="760" width="4.42578125" style="642" customWidth="1"/>
    <col min="761" max="761" width="8.28515625" style="642" customWidth="1"/>
    <col min="762" max="762" width="4.7109375" style="642" customWidth="1"/>
    <col min="763" max="763" width="5.7109375" style="642" customWidth="1"/>
    <col min="764" max="764" width="8" style="642" customWidth="1"/>
    <col min="765" max="765" width="6.85546875" style="642" customWidth="1"/>
    <col min="766" max="766" width="6.140625" style="642" customWidth="1"/>
    <col min="767" max="768" width="8.28515625" style="642" customWidth="1"/>
    <col min="769" max="770" width="5.85546875" style="642" customWidth="1"/>
    <col min="771" max="771" width="7" style="642" customWidth="1"/>
    <col min="772" max="772" width="5.85546875" style="642" customWidth="1"/>
    <col min="773" max="773" width="6.42578125" style="642" customWidth="1"/>
    <col min="774" max="774" width="1.7109375" style="642" customWidth="1"/>
    <col min="775" max="776" width="6.42578125" style="642" customWidth="1"/>
    <col min="777" max="777" width="1.7109375" style="642" customWidth="1"/>
    <col min="778" max="778" width="6.42578125" style="642" customWidth="1"/>
    <col min="779" max="779" width="6.85546875" style="642" customWidth="1"/>
    <col min="780" max="780" width="5.7109375" style="642" customWidth="1"/>
    <col min="781" max="781" width="3.28515625" style="642" customWidth="1"/>
    <col min="782" max="782" width="4" style="642" customWidth="1"/>
    <col min="783" max="783" width="14" style="642" customWidth="1"/>
    <col min="784" max="784" width="9.140625" style="642" customWidth="1"/>
    <col min="785" max="785" width="9.5703125" style="642" customWidth="1"/>
    <col min="786" max="786" width="1.5703125" style="642" customWidth="1"/>
    <col min="787" max="787" width="5.42578125" style="642" customWidth="1"/>
    <col min="788" max="788" width="19.140625" style="642" customWidth="1"/>
    <col min="789" max="789" width="7.28515625" style="642" customWidth="1"/>
    <col min="790" max="790" width="5.28515625" style="642" customWidth="1"/>
    <col min="791" max="791" width="4" style="642" customWidth="1"/>
    <col min="792" max="796" width="4.85546875" style="642" customWidth="1"/>
    <col min="797" max="797" width="6.85546875" style="642" customWidth="1"/>
    <col min="798" max="798" width="5.7109375" style="642" customWidth="1"/>
    <col min="799" max="799" width="7.7109375" style="642" customWidth="1"/>
    <col min="800" max="800" width="6.85546875" style="642" customWidth="1"/>
    <col min="801" max="801" width="5.140625" style="642" customWidth="1"/>
    <col min="802" max="802" width="7.85546875" style="642" customWidth="1"/>
    <col min="803" max="803" width="4.42578125" style="642" customWidth="1"/>
    <col min="804" max="804" width="6.85546875" style="642" customWidth="1"/>
    <col min="805" max="806" width="8" style="642" customWidth="1"/>
    <col min="807" max="807" width="6" style="642" customWidth="1"/>
    <col min="808" max="808" width="3.140625" style="642" customWidth="1"/>
    <col min="809" max="809" width="6" style="642" customWidth="1"/>
    <col min="810" max="810" width="5.5703125" style="642" customWidth="1"/>
    <col min="811" max="811" width="6.7109375" style="642" customWidth="1"/>
    <col min="812" max="812" width="6.85546875" style="642" customWidth="1"/>
    <col min="813" max="813" width="8.140625" style="642" customWidth="1"/>
    <col min="814" max="814" width="4.42578125" style="642" customWidth="1"/>
    <col min="815" max="815" width="7.140625" style="642" customWidth="1"/>
    <col min="816" max="816" width="6.5703125" style="642" customWidth="1"/>
    <col min="817" max="817" width="6.42578125" style="642" customWidth="1"/>
    <col min="818" max="818" width="8.28515625" style="642" customWidth="1"/>
    <col min="819" max="819" width="5.42578125" style="642" customWidth="1"/>
    <col min="820" max="820" width="7.5703125" style="642" customWidth="1"/>
    <col min="821" max="821" width="5.140625" style="642" customWidth="1"/>
    <col min="822" max="824" width="9.140625" style="642" customWidth="1"/>
    <col min="825" max="825" width="9.140625" style="642"/>
    <col min="826" max="826" width="19.7109375" style="642" customWidth="1"/>
    <col min="827" max="827" width="6.5703125" style="642" customWidth="1"/>
    <col min="828" max="828" width="3.5703125" style="642" bestFit="1" customWidth="1"/>
    <col min="829" max="829" width="6.85546875" style="642" bestFit="1" customWidth="1"/>
    <col min="830" max="832" width="5.85546875" style="642" customWidth="1"/>
    <col min="833" max="833" width="6" style="642" bestFit="1" customWidth="1"/>
    <col min="834" max="836" width="0" style="642" hidden="1" customWidth="1"/>
    <col min="837" max="837" width="6" style="642" bestFit="1" customWidth="1"/>
    <col min="838" max="838" width="6.85546875" style="642" bestFit="1" customWidth="1"/>
    <col min="839" max="839" width="7" style="642" bestFit="1" customWidth="1"/>
    <col min="840" max="840" width="6" style="642" bestFit="1" customWidth="1"/>
    <col min="841" max="841" width="4.42578125" style="642" bestFit="1" customWidth="1"/>
    <col min="842" max="842" width="6" style="642" bestFit="1" customWidth="1"/>
    <col min="843" max="843" width="6.28515625" style="642" bestFit="1" customWidth="1"/>
    <col min="844" max="850" width="4.85546875" style="642" bestFit="1" customWidth="1"/>
    <col min="851" max="851" width="5" style="642" bestFit="1" customWidth="1"/>
    <col min="852" max="852" width="4.85546875" style="642" bestFit="1" customWidth="1"/>
    <col min="853" max="853" width="4.42578125" style="642" bestFit="1" customWidth="1"/>
    <col min="854" max="854" width="5.140625" style="642" bestFit="1" customWidth="1"/>
    <col min="855" max="855" width="4.85546875" style="642" bestFit="1" customWidth="1"/>
    <col min="856" max="856" width="5" style="642" bestFit="1" customWidth="1"/>
    <col min="857" max="858" width="5.28515625" style="642" bestFit="1" customWidth="1"/>
    <col min="859" max="859" width="5" style="642" bestFit="1" customWidth="1"/>
    <col min="860" max="860" width="4.42578125" style="642" bestFit="1" customWidth="1"/>
    <col min="861" max="861" width="4.5703125" style="642" bestFit="1" customWidth="1"/>
    <col min="862" max="863" width="5.140625" style="642" bestFit="1" customWidth="1"/>
    <col min="864" max="864" width="4.85546875" style="642" bestFit="1" customWidth="1"/>
    <col min="865" max="865" width="5.42578125" style="642" bestFit="1" customWidth="1"/>
    <col min="866" max="866" width="0" style="642" hidden="1" customWidth="1"/>
    <col min="867" max="867" width="6.5703125" style="642" bestFit="1" customWidth="1"/>
    <col min="868" max="1008" width="9.140625" style="642"/>
    <col min="1009" max="1009" width="6" style="642" customWidth="1"/>
    <col min="1010" max="1010" width="1.5703125" style="642" bestFit="1" customWidth="1"/>
    <col min="1011" max="1011" width="5.42578125" style="642" bestFit="1" customWidth="1"/>
    <col min="1012" max="1012" width="20.28515625" style="642" customWidth="1"/>
    <col min="1013" max="1013" width="7.28515625" style="642" customWidth="1"/>
    <col min="1014" max="1014" width="5.28515625" style="642" customWidth="1"/>
    <col min="1015" max="1015" width="6.5703125" style="642" customWidth="1"/>
    <col min="1016" max="1016" width="4.42578125" style="642" customWidth="1"/>
    <col min="1017" max="1017" width="8.28515625" style="642" customWidth="1"/>
    <col min="1018" max="1018" width="4.7109375" style="642" customWidth="1"/>
    <col min="1019" max="1019" width="5.7109375" style="642" customWidth="1"/>
    <col min="1020" max="1020" width="8" style="642" customWidth="1"/>
    <col min="1021" max="1021" width="6.85546875" style="642" customWidth="1"/>
    <col min="1022" max="1022" width="6.140625" style="642" customWidth="1"/>
    <col min="1023" max="1024" width="8.28515625" style="642" customWidth="1"/>
    <col min="1025" max="1026" width="5.85546875" style="642" customWidth="1"/>
    <col min="1027" max="1027" width="7" style="642" customWidth="1"/>
    <col min="1028" max="1028" width="5.85546875" style="642" customWidth="1"/>
    <col min="1029" max="1029" width="6.42578125" style="642" customWidth="1"/>
    <col min="1030" max="1030" width="1.7109375" style="642" customWidth="1"/>
    <col min="1031" max="1032" width="6.42578125" style="642" customWidth="1"/>
    <col min="1033" max="1033" width="1.7109375" style="642" customWidth="1"/>
    <col min="1034" max="1034" width="6.42578125" style="642" customWidth="1"/>
    <col min="1035" max="1035" width="6.85546875" style="642" customWidth="1"/>
    <col min="1036" max="1036" width="5.7109375" style="642" customWidth="1"/>
    <col min="1037" max="1037" width="3.28515625" style="642" customWidth="1"/>
    <col min="1038" max="1038" width="4" style="642" customWidth="1"/>
    <col min="1039" max="1039" width="14" style="642" customWidth="1"/>
    <col min="1040" max="1040" width="9.140625" style="642" customWidth="1"/>
    <col min="1041" max="1041" width="9.5703125" style="642" customWidth="1"/>
    <col min="1042" max="1042" width="1.5703125" style="642" customWidth="1"/>
    <col min="1043" max="1043" width="5.42578125" style="642" customWidth="1"/>
    <col min="1044" max="1044" width="19.140625" style="642" customWidth="1"/>
    <col min="1045" max="1045" width="7.28515625" style="642" customWidth="1"/>
    <col min="1046" max="1046" width="5.28515625" style="642" customWidth="1"/>
    <col min="1047" max="1047" width="4" style="642" customWidth="1"/>
    <col min="1048" max="1052" width="4.85546875" style="642" customWidth="1"/>
    <col min="1053" max="1053" width="6.85546875" style="642" customWidth="1"/>
    <col min="1054" max="1054" width="5.7109375" style="642" customWidth="1"/>
    <col min="1055" max="1055" width="7.7109375" style="642" customWidth="1"/>
    <col min="1056" max="1056" width="6.85546875" style="642" customWidth="1"/>
    <col min="1057" max="1057" width="5.140625" style="642" customWidth="1"/>
    <col min="1058" max="1058" width="7.85546875" style="642" customWidth="1"/>
    <col min="1059" max="1059" width="4.42578125" style="642" customWidth="1"/>
    <col min="1060" max="1060" width="6.85546875" style="642" customWidth="1"/>
    <col min="1061" max="1062" width="8" style="642" customWidth="1"/>
    <col min="1063" max="1063" width="6" style="642" customWidth="1"/>
    <col min="1064" max="1064" width="3.140625" style="642" customWidth="1"/>
    <col min="1065" max="1065" width="6" style="642" customWidth="1"/>
    <col min="1066" max="1066" width="5.5703125" style="642" customWidth="1"/>
    <col min="1067" max="1067" width="6.7109375" style="642" customWidth="1"/>
    <col min="1068" max="1068" width="6.85546875" style="642" customWidth="1"/>
    <col min="1069" max="1069" width="8.140625" style="642" customWidth="1"/>
    <col min="1070" max="1070" width="4.42578125" style="642" customWidth="1"/>
    <col min="1071" max="1071" width="7.140625" style="642" customWidth="1"/>
    <col min="1072" max="1072" width="6.5703125" style="642" customWidth="1"/>
    <col min="1073" max="1073" width="6.42578125" style="642" customWidth="1"/>
    <col min="1074" max="1074" width="8.28515625" style="642" customWidth="1"/>
    <col min="1075" max="1075" width="5.42578125" style="642" customWidth="1"/>
    <col min="1076" max="1076" width="7.5703125" style="642" customWidth="1"/>
    <col min="1077" max="1077" width="5.140625" style="642" customWidth="1"/>
    <col min="1078" max="1080" width="9.140625" style="642" customWidth="1"/>
    <col min="1081" max="1081" width="9.140625" style="642"/>
    <col min="1082" max="1082" width="19.7109375" style="642" customWidth="1"/>
    <col min="1083" max="1083" width="6.5703125" style="642" customWidth="1"/>
    <col min="1084" max="1084" width="3.5703125" style="642" bestFit="1" customWidth="1"/>
    <col min="1085" max="1085" width="6.85546875" style="642" bestFit="1" customWidth="1"/>
    <col min="1086" max="1088" width="5.85546875" style="642" customWidth="1"/>
    <col min="1089" max="1089" width="6" style="642" bestFit="1" customWidth="1"/>
    <col min="1090" max="1092" width="0" style="642" hidden="1" customWidth="1"/>
    <col min="1093" max="1093" width="6" style="642" bestFit="1" customWidth="1"/>
    <col min="1094" max="1094" width="6.85546875" style="642" bestFit="1" customWidth="1"/>
    <col min="1095" max="1095" width="7" style="642" bestFit="1" customWidth="1"/>
    <col min="1096" max="1096" width="6" style="642" bestFit="1" customWidth="1"/>
    <col min="1097" max="1097" width="4.42578125" style="642" bestFit="1" customWidth="1"/>
    <col min="1098" max="1098" width="6" style="642" bestFit="1" customWidth="1"/>
    <col min="1099" max="1099" width="6.28515625" style="642" bestFit="1" customWidth="1"/>
    <col min="1100" max="1106" width="4.85546875" style="642" bestFit="1" customWidth="1"/>
    <col min="1107" max="1107" width="5" style="642" bestFit="1" customWidth="1"/>
    <col min="1108" max="1108" width="4.85546875" style="642" bestFit="1" customWidth="1"/>
    <col min="1109" max="1109" width="4.42578125" style="642" bestFit="1" customWidth="1"/>
    <col min="1110" max="1110" width="5.140625" style="642" bestFit="1" customWidth="1"/>
    <col min="1111" max="1111" width="4.85546875" style="642" bestFit="1" customWidth="1"/>
    <col min="1112" max="1112" width="5" style="642" bestFit="1" customWidth="1"/>
    <col min="1113" max="1114" width="5.28515625" style="642" bestFit="1" customWidth="1"/>
    <col min="1115" max="1115" width="5" style="642" bestFit="1" customWidth="1"/>
    <col min="1116" max="1116" width="4.42578125" style="642" bestFit="1" customWidth="1"/>
    <col min="1117" max="1117" width="4.5703125" style="642" bestFit="1" customWidth="1"/>
    <col min="1118" max="1119" width="5.140625" style="642" bestFit="1" customWidth="1"/>
    <col min="1120" max="1120" width="4.85546875" style="642" bestFit="1" customWidth="1"/>
    <col min="1121" max="1121" width="5.42578125" style="642" bestFit="1" customWidth="1"/>
    <col min="1122" max="1122" width="0" style="642" hidden="1" customWidth="1"/>
    <col min="1123" max="1123" width="6.5703125" style="642" bestFit="1" customWidth="1"/>
    <col min="1124" max="1264" width="9.140625" style="642"/>
    <col min="1265" max="1265" width="6" style="642" customWidth="1"/>
    <col min="1266" max="1266" width="1.5703125" style="642" bestFit="1" customWidth="1"/>
    <col min="1267" max="1267" width="5.42578125" style="642" bestFit="1" customWidth="1"/>
    <col min="1268" max="1268" width="20.28515625" style="642" customWidth="1"/>
    <col min="1269" max="1269" width="7.28515625" style="642" customWidth="1"/>
    <col min="1270" max="1270" width="5.28515625" style="642" customWidth="1"/>
    <col min="1271" max="1271" width="6.5703125" style="642" customWidth="1"/>
    <col min="1272" max="1272" width="4.42578125" style="642" customWidth="1"/>
    <col min="1273" max="1273" width="8.28515625" style="642" customWidth="1"/>
    <col min="1274" max="1274" width="4.7109375" style="642" customWidth="1"/>
    <col min="1275" max="1275" width="5.7109375" style="642" customWidth="1"/>
    <col min="1276" max="1276" width="8" style="642" customWidth="1"/>
    <col min="1277" max="1277" width="6.85546875" style="642" customWidth="1"/>
    <col min="1278" max="1278" width="6.140625" style="642" customWidth="1"/>
    <col min="1279" max="1280" width="8.28515625" style="642" customWidth="1"/>
    <col min="1281" max="1282" width="5.85546875" style="642" customWidth="1"/>
    <col min="1283" max="1283" width="7" style="642" customWidth="1"/>
    <col min="1284" max="1284" width="5.85546875" style="642" customWidth="1"/>
    <col min="1285" max="1285" width="6.42578125" style="642" customWidth="1"/>
    <col min="1286" max="1286" width="1.7109375" style="642" customWidth="1"/>
    <col min="1287" max="1288" width="6.42578125" style="642" customWidth="1"/>
    <col min="1289" max="1289" width="1.7109375" style="642" customWidth="1"/>
    <col min="1290" max="1290" width="6.42578125" style="642" customWidth="1"/>
    <col min="1291" max="1291" width="6.85546875" style="642" customWidth="1"/>
    <col min="1292" max="1292" width="5.7109375" style="642" customWidth="1"/>
    <col min="1293" max="1293" width="3.28515625" style="642" customWidth="1"/>
    <col min="1294" max="1294" width="4" style="642" customWidth="1"/>
    <col min="1295" max="1295" width="14" style="642" customWidth="1"/>
    <col min="1296" max="1296" width="9.140625" style="642" customWidth="1"/>
    <col min="1297" max="1297" width="9.5703125" style="642" customWidth="1"/>
    <col min="1298" max="1298" width="1.5703125" style="642" customWidth="1"/>
    <col min="1299" max="1299" width="5.42578125" style="642" customWidth="1"/>
    <col min="1300" max="1300" width="19.140625" style="642" customWidth="1"/>
    <col min="1301" max="1301" width="7.28515625" style="642" customWidth="1"/>
    <col min="1302" max="1302" width="5.28515625" style="642" customWidth="1"/>
    <col min="1303" max="1303" width="4" style="642" customWidth="1"/>
    <col min="1304" max="1308" width="4.85546875" style="642" customWidth="1"/>
    <col min="1309" max="1309" width="6.85546875" style="642" customWidth="1"/>
    <col min="1310" max="1310" width="5.7109375" style="642" customWidth="1"/>
    <col min="1311" max="1311" width="7.7109375" style="642" customWidth="1"/>
    <col min="1312" max="1312" width="6.85546875" style="642" customWidth="1"/>
    <col min="1313" max="1313" width="5.140625" style="642" customWidth="1"/>
    <col min="1314" max="1314" width="7.85546875" style="642" customWidth="1"/>
    <col min="1315" max="1315" width="4.42578125" style="642" customWidth="1"/>
    <col min="1316" max="1316" width="6.85546875" style="642" customWidth="1"/>
    <col min="1317" max="1318" width="8" style="642" customWidth="1"/>
    <col min="1319" max="1319" width="6" style="642" customWidth="1"/>
    <col min="1320" max="1320" width="3.140625" style="642" customWidth="1"/>
    <col min="1321" max="1321" width="6" style="642" customWidth="1"/>
    <col min="1322" max="1322" width="5.5703125" style="642" customWidth="1"/>
    <col min="1323" max="1323" width="6.7109375" style="642" customWidth="1"/>
    <col min="1324" max="1324" width="6.85546875" style="642" customWidth="1"/>
    <col min="1325" max="1325" width="8.140625" style="642" customWidth="1"/>
    <col min="1326" max="1326" width="4.42578125" style="642" customWidth="1"/>
    <col min="1327" max="1327" width="7.140625" style="642" customWidth="1"/>
    <col min="1328" max="1328" width="6.5703125" style="642" customWidth="1"/>
    <col min="1329" max="1329" width="6.42578125" style="642" customWidth="1"/>
    <col min="1330" max="1330" width="8.28515625" style="642" customWidth="1"/>
    <col min="1331" max="1331" width="5.42578125" style="642" customWidth="1"/>
    <col min="1332" max="1332" width="7.5703125" style="642" customWidth="1"/>
    <col min="1333" max="1333" width="5.140625" style="642" customWidth="1"/>
    <col min="1334" max="1336" width="9.140625" style="642" customWidth="1"/>
    <col min="1337" max="1337" width="9.140625" style="642"/>
    <col min="1338" max="1338" width="19.7109375" style="642" customWidth="1"/>
    <col min="1339" max="1339" width="6.5703125" style="642" customWidth="1"/>
    <col min="1340" max="1340" width="3.5703125" style="642" bestFit="1" customWidth="1"/>
    <col min="1341" max="1341" width="6.85546875" style="642" bestFit="1" customWidth="1"/>
    <col min="1342" max="1344" width="5.85546875" style="642" customWidth="1"/>
    <col min="1345" max="1345" width="6" style="642" bestFit="1" customWidth="1"/>
    <col min="1346" max="1348" width="0" style="642" hidden="1" customWidth="1"/>
    <col min="1349" max="1349" width="6" style="642" bestFit="1" customWidth="1"/>
    <col min="1350" max="1350" width="6.85546875" style="642" bestFit="1" customWidth="1"/>
    <col min="1351" max="1351" width="7" style="642" bestFit="1" customWidth="1"/>
    <col min="1352" max="1352" width="6" style="642" bestFit="1" customWidth="1"/>
    <col min="1353" max="1353" width="4.42578125" style="642" bestFit="1" customWidth="1"/>
    <col min="1354" max="1354" width="6" style="642" bestFit="1" customWidth="1"/>
    <col min="1355" max="1355" width="6.28515625" style="642" bestFit="1" customWidth="1"/>
    <col min="1356" max="1362" width="4.85546875" style="642" bestFit="1" customWidth="1"/>
    <col min="1363" max="1363" width="5" style="642" bestFit="1" customWidth="1"/>
    <col min="1364" max="1364" width="4.85546875" style="642" bestFit="1" customWidth="1"/>
    <col min="1365" max="1365" width="4.42578125" style="642" bestFit="1" customWidth="1"/>
    <col min="1366" max="1366" width="5.140625" style="642" bestFit="1" customWidth="1"/>
    <col min="1367" max="1367" width="4.85546875" style="642" bestFit="1" customWidth="1"/>
    <col min="1368" max="1368" width="5" style="642" bestFit="1" customWidth="1"/>
    <col min="1369" max="1370" width="5.28515625" style="642" bestFit="1" customWidth="1"/>
    <col min="1371" max="1371" width="5" style="642" bestFit="1" customWidth="1"/>
    <col min="1372" max="1372" width="4.42578125" style="642" bestFit="1" customWidth="1"/>
    <col min="1373" max="1373" width="4.5703125" style="642" bestFit="1" customWidth="1"/>
    <col min="1374" max="1375" width="5.140625" style="642" bestFit="1" customWidth="1"/>
    <col min="1376" max="1376" width="4.85546875" style="642" bestFit="1" customWidth="1"/>
    <col min="1377" max="1377" width="5.42578125" style="642" bestFit="1" customWidth="1"/>
    <col min="1378" max="1378" width="0" style="642" hidden="1" customWidth="1"/>
    <col min="1379" max="1379" width="6.5703125" style="642" bestFit="1" customWidth="1"/>
    <col min="1380" max="1520" width="9.140625" style="642"/>
    <col min="1521" max="1521" width="6" style="642" customWidth="1"/>
    <col min="1522" max="1522" width="1.5703125" style="642" bestFit="1" customWidth="1"/>
    <col min="1523" max="1523" width="5.42578125" style="642" bestFit="1" customWidth="1"/>
    <col min="1524" max="1524" width="20.28515625" style="642" customWidth="1"/>
    <col min="1525" max="1525" width="7.28515625" style="642" customWidth="1"/>
    <col min="1526" max="1526" width="5.28515625" style="642" customWidth="1"/>
    <col min="1527" max="1527" width="6.5703125" style="642" customWidth="1"/>
    <col min="1528" max="1528" width="4.42578125" style="642" customWidth="1"/>
    <col min="1529" max="1529" width="8.28515625" style="642" customWidth="1"/>
    <col min="1530" max="1530" width="4.7109375" style="642" customWidth="1"/>
    <col min="1531" max="1531" width="5.7109375" style="642" customWidth="1"/>
    <col min="1532" max="1532" width="8" style="642" customWidth="1"/>
    <col min="1533" max="1533" width="6.85546875" style="642" customWidth="1"/>
    <col min="1534" max="1534" width="6.140625" style="642" customWidth="1"/>
    <col min="1535" max="1536" width="8.28515625" style="642" customWidth="1"/>
    <col min="1537" max="1538" width="5.85546875" style="642" customWidth="1"/>
    <col min="1539" max="1539" width="7" style="642" customWidth="1"/>
    <col min="1540" max="1540" width="5.85546875" style="642" customWidth="1"/>
    <col min="1541" max="1541" width="6.42578125" style="642" customWidth="1"/>
    <col min="1542" max="1542" width="1.7109375" style="642" customWidth="1"/>
    <col min="1543" max="1544" width="6.42578125" style="642" customWidth="1"/>
    <col min="1545" max="1545" width="1.7109375" style="642" customWidth="1"/>
    <col min="1546" max="1546" width="6.42578125" style="642" customWidth="1"/>
    <col min="1547" max="1547" width="6.85546875" style="642" customWidth="1"/>
    <col min="1548" max="1548" width="5.7109375" style="642" customWidth="1"/>
    <col min="1549" max="1549" width="3.28515625" style="642" customWidth="1"/>
    <col min="1550" max="1550" width="4" style="642" customWidth="1"/>
    <col min="1551" max="1551" width="14" style="642" customWidth="1"/>
    <col min="1552" max="1552" width="9.140625" style="642" customWidth="1"/>
    <col min="1553" max="1553" width="9.5703125" style="642" customWidth="1"/>
    <col min="1554" max="1554" width="1.5703125" style="642" customWidth="1"/>
    <col min="1555" max="1555" width="5.42578125" style="642" customWidth="1"/>
    <col min="1556" max="1556" width="19.140625" style="642" customWidth="1"/>
    <col min="1557" max="1557" width="7.28515625" style="642" customWidth="1"/>
    <col min="1558" max="1558" width="5.28515625" style="642" customWidth="1"/>
    <col min="1559" max="1559" width="4" style="642" customWidth="1"/>
    <col min="1560" max="1564" width="4.85546875" style="642" customWidth="1"/>
    <col min="1565" max="1565" width="6.85546875" style="642" customWidth="1"/>
    <col min="1566" max="1566" width="5.7109375" style="642" customWidth="1"/>
    <col min="1567" max="1567" width="7.7109375" style="642" customWidth="1"/>
    <col min="1568" max="1568" width="6.85546875" style="642" customWidth="1"/>
    <col min="1569" max="1569" width="5.140625" style="642" customWidth="1"/>
    <col min="1570" max="1570" width="7.85546875" style="642" customWidth="1"/>
    <col min="1571" max="1571" width="4.42578125" style="642" customWidth="1"/>
    <col min="1572" max="1572" width="6.85546875" style="642" customWidth="1"/>
    <col min="1573" max="1574" width="8" style="642" customWidth="1"/>
    <col min="1575" max="1575" width="6" style="642" customWidth="1"/>
    <col min="1576" max="1576" width="3.140625" style="642" customWidth="1"/>
    <col min="1577" max="1577" width="6" style="642" customWidth="1"/>
    <col min="1578" max="1578" width="5.5703125" style="642" customWidth="1"/>
    <col min="1579" max="1579" width="6.7109375" style="642" customWidth="1"/>
    <col min="1580" max="1580" width="6.85546875" style="642" customWidth="1"/>
    <col min="1581" max="1581" width="8.140625" style="642" customWidth="1"/>
    <col min="1582" max="1582" width="4.42578125" style="642" customWidth="1"/>
    <col min="1583" max="1583" width="7.140625" style="642" customWidth="1"/>
    <col min="1584" max="1584" width="6.5703125" style="642" customWidth="1"/>
    <col min="1585" max="1585" width="6.42578125" style="642" customWidth="1"/>
    <col min="1586" max="1586" width="8.28515625" style="642" customWidth="1"/>
    <col min="1587" max="1587" width="5.42578125" style="642" customWidth="1"/>
    <col min="1588" max="1588" width="7.5703125" style="642" customWidth="1"/>
    <col min="1589" max="1589" width="5.140625" style="642" customWidth="1"/>
    <col min="1590" max="1592" width="9.140625" style="642" customWidth="1"/>
    <col min="1593" max="1593" width="9.140625" style="642"/>
    <col min="1594" max="1594" width="19.7109375" style="642" customWidth="1"/>
    <col min="1595" max="1595" width="6.5703125" style="642" customWidth="1"/>
    <col min="1596" max="1596" width="3.5703125" style="642" bestFit="1" customWidth="1"/>
    <col min="1597" max="1597" width="6.85546875" style="642" bestFit="1" customWidth="1"/>
    <col min="1598" max="1600" width="5.85546875" style="642" customWidth="1"/>
    <col min="1601" max="1601" width="6" style="642" bestFit="1" customWidth="1"/>
    <col min="1602" max="1604" width="0" style="642" hidden="1" customWidth="1"/>
    <col min="1605" max="1605" width="6" style="642" bestFit="1" customWidth="1"/>
    <col min="1606" max="1606" width="6.85546875" style="642" bestFit="1" customWidth="1"/>
    <col min="1607" max="1607" width="7" style="642" bestFit="1" customWidth="1"/>
    <col min="1608" max="1608" width="6" style="642" bestFit="1" customWidth="1"/>
    <col min="1609" max="1609" width="4.42578125" style="642" bestFit="1" customWidth="1"/>
    <col min="1610" max="1610" width="6" style="642" bestFit="1" customWidth="1"/>
    <col min="1611" max="1611" width="6.28515625" style="642" bestFit="1" customWidth="1"/>
    <col min="1612" max="1618" width="4.85546875" style="642" bestFit="1" customWidth="1"/>
    <col min="1619" max="1619" width="5" style="642" bestFit="1" customWidth="1"/>
    <col min="1620" max="1620" width="4.85546875" style="642" bestFit="1" customWidth="1"/>
    <col min="1621" max="1621" width="4.42578125" style="642" bestFit="1" customWidth="1"/>
    <col min="1622" max="1622" width="5.140625" style="642" bestFit="1" customWidth="1"/>
    <col min="1623" max="1623" width="4.85546875" style="642" bestFit="1" customWidth="1"/>
    <col min="1624" max="1624" width="5" style="642" bestFit="1" customWidth="1"/>
    <col min="1625" max="1626" width="5.28515625" style="642" bestFit="1" customWidth="1"/>
    <col min="1627" max="1627" width="5" style="642" bestFit="1" customWidth="1"/>
    <col min="1628" max="1628" width="4.42578125" style="642" bestFit="1" customWidth="1"/>
    <col min="1629" max="1629" width="4.5703125" style="642" bestFit="1" customWidth="1"/>
    <col min="1630" max="1631" width="5.140625" style="642" bestFit="1" customWidth="1"/>
    <col min="1632" max="1632" width="4.85546875" style="642" bestFit="1" customWidth="1"/>
    <col min="1633" max="1633" width="5.42578125" style="642" bestFit="1" customWidth="1"/>
    <col min="1634" max="1634" width="0" style="642" hidden="1" customWidth="1"/>
    <col min="1635" max="1635" width="6.5703125" style="642" bestFit="1" customWidth="1"/>
    <col min="1636" max="1776" width="9.140625" style="642"/>
    <col min="1777" max="1777" width="6" style="642" customWidth="1"/>
    <col min="1778" max="1778" width="1.5703125" style="642" bestFit="1" customWidth="1"/>
    <col min="1779" max="1779" width="5.42578125" style="642" bestFit="1" customWidth="1"/>
    <col min="1780" max="1780" width="20.28515625" style="642" customWidth="1"/>
    <col min="1781" max="1781" width="7.28515625" style="642" customWidth="1"/>
    <col min="1782" max="1782" width="5.28515625" style="642" customWidth="1"/>
    <col min="1783" max="1783" width="6.5703125" style="642" customWidth="1"/>
    <col min="1784" max="1784" width="4.42578125" style="642" customWidth="1"/>
    <col min="1785" max="1785" width="8.28515625" style="642" customWidth="1"/>
    <col min="1786" max="1786" width="4.7109375" style="642" customWidth="1"/>
    <col min="1787" max="1787" width="5.7109375" style="642" customWidth="1"/>
    <col min="1788" max="1788" width="8" style="642" customWidth="1"/>
    <col min="1789" max="1789" width="6.85546875" style="642" customWidth="1"/>
    <col min="1790" max="1790" width="6.140625" style="642" customWidth="1"/>
    <col min="1791" max="1792" width="8.28515625" style="642" customWidth="1"/>
    <col min="1793" max="1794" width="5.85546875" style="642" customWidth="1"/>
    <col min="1795" max="1795" width="7" style="642" customWidth="1"/>
    <col min="1796" max="1796" width="5.85546875" style="642" customWidth="1"/>
    <col min="1797" max="1797" width="6.42578125" style="642" customWidth="1"/>
    <col min="1798" max="1798" width="1.7109375" style="642" customWidth="1"/>
    <col min="1799" max="1800" width="6.42578125" style="642" customWidth="1"/>
    <col min="1801" max="1801" width="1.7109375" style="642" customWidth="1"/>
    <col min="1802" max="1802" width="6.42578125" style="642" customWidth="1"/>
    <col min="1803" max="1803" width="6.85546875" style="642" customWidth="1"/>
    <col min="1804" max="1804" width="5.7109375" style="642" customWidth="1"/>
    <col min="1805" max="1805" width="3.28515625" style="642" customWidth="1"/>
    <col min="1806" max="1806" width="4" style="642" customWidth="1"/>
    <col min="1807" max="1807" width="14" style="642" customWidth="1"/>
    <col min="1808" max="1808" width="9.140625" style="642" customWidth="1"/>
    <col min="1809" max="1809" width="9.5703125" style="642" customWidth="1"/>
    <col min="1810" max="1810" width="1.5703125" style="642" customWidth="1"/>
    <col min="1811" max="1811" width="5.42578125" style="642" customWidth="1"/>
    <col min="1812" max="1812" width="19.140625" style="642" customWidth="1"/>
    <col min="1813" max="1813" width="7.28515625" style="642" customWidth="1"/>
    <col min="1814" max="1814" width="5.28515625" style="642" customWidth="1"/>
    <col min="1815" max="1815" width="4" style="642" customWidth="1"/>
    <col min="1816" max="1820" width="4.85546875" style="642" customWidth="1"/>
    <col min="1821" max="1821" width="6.85546875" style="642" customWidth="1"/>
    <col min="1822" max="1822" width="5.7109375" style="642" customWidth="1"/>
    <col min="1823" max="1823" width="7.7109375" style="642" customWidth="1"/>
    <col min="1824" max="1824" width="6.85546875" style="642" customWidth="1"/>
    <col min="1825" max="1825" width="5.140625" style="642" customWidth="1"/>
    <col min="1826" max="1826" width="7.85546875" style="642" customWidth="1"/>
    <col min="1827" max="1827" width="4.42578125" style="642" customWidth="1"/>
    <col min="1828" max="1828" width="6.85546875" style="642" customWidth="1"/>
    <col min="1829" max="1830" width="8" style="642" customWidth="1"/>
    <col min="1831" max="1831" width="6" style="642" customWidth="1"/>
    <col min="1832" max="1832" width="3.140625" style="642" customWidth="1"/>
    <col min="1833" max="1833" width="6" style="642" customWidth="1"/>
    <col min="1834" max="1834" width="5.5703125" style="642" customWidth="1"/>
    <col min="1835" max="1835" width="6.7109375" style="642" customWidth="1"/>
    <col min="1836" max="1836" width="6.85546875" style="642" customWidth="1"/>
    <col min="1837" max="1837" width="8.140625" style="642" customWidth="1"/>
    <col min="1838" max="1838" width="4.42578125" style="642" customWidth="1"/>
    <col min="1839" max="1839" width="7.140625" style="642" customWidth="1"/>
    <col min="1840" max="1840" width="6.5703125" style="642" customWidth="1"/>
    <col min="1841" max="1841" width="6.42578125" style="642" customWidth="1"/>
    <col min="1842" max="1842" width="8.28515625" style="642" customWidth="1"/>
    <col min="1843" max="1843" width="5.42578125" style="642" customWidth="1"/>
    <col min="1844" max="1844" width="7.5703125" style="642" customWidth="1"/>
    <col min="1845" max="1845" width="5.140625" style="642" customWidth="1"/>
    <col min="1846" max="1848" width="9.140625" style="642" customWidth="1"/>
    <col min="1849" max="1849" width="9.140625" style="642"/>
    <col min="1850" max="1850" width="19.7109375" style="642" customWidth="1"/>
    <col min="1851" max="1851" width="6.5703125" style="642" customWidth="1"/>
    <col min="1852" max="1852" width="3.5703125" style="642" bestFit="1" customWidth="1"/>
    <col min="1853" max="1853" width="6.85546875" style="642" bestFit="1" customWidth="1"/>
    <col min="1854" max="1856" width="5.85546875" style="642" customWidth="1"/>
    <col min="1857" max="1857" width="6" style="642" bestFit="1" customWidth="1"/>
    <col min="1858" max="1860" width="0" style="642" hidden="1" customWidth="1"/>
    <col min="1861" max="1861" width="6" style="642" bestFit="1" customWidth="1"/>
    <col min="1862" max="1862" width="6.85546875" style="642" bestFit="1" customWidth="1"/>
    <col min="1863" max="1863" width="7" style="642" bestFit="1" customWidth="1"/>
    <col min="1864" max="1864" width="6" style="642" bestFit="1" customWidth="1"/>
    <col min="1865" max="1865" width="4.42578125" style="642" bestFit="1" customWidth="1"/>
    <col min="1866" max="1866" width="6" style="642" bestFit="1" customWidth="1"/>
    <col min="1867" max="1867" width="6.28515625" style="642" bestFit="1" customWidth="1"/>
    <col min="1868" max="1874" width="4.85546875" style="642" bestFit="1" customWidth="1"/>
    <col min="1875" max="1875" width="5" style="642" bestFit="1" customWidth="1"/>
    <col min="1876" max="1876" width="4.85546875" style="642" bestFit="1" customWidth="1"/>
    <col min="1877" max="1877" width="4.42578125" style="642" bestFit="1" customWidth="1"/>
    <col min="1878" max="1878" width="5.140625" style="642" bestFit="1" customWidth="1"/>
    <col min="1879" max="1879" width="4.85546875" style="642" bestFit="1" customWidth="1"/>
    <col min="1880" max="1880" width="5" style="642" bestFit="1" customWidth="1"/>
    <col min="1881" max="1882" width="5.28515625" style="642" bestFit="1" customWidth="1"/>
    <col min="1883" max="1883" width="5" style="642" bestFit="1" customWidth="1"/>
    <col min="1884" max="1884" width="4.42578125" style="642" bestFit="1" customWidth="1"/>
    <col min="1885" max="1885" width="4.5703125" style="642" bestFit="1" customWidth="1"/>
    <col min="1886" max="1887" width="5.140625" style="642" bestFit="1" customWidth="1"/>
    <col min="1888" max="1888" width="4.85546875" style="642" bestFit="1" customWidth="1"/>
    <col min="1889" max="1889" width="5.42578125" style="642" bestFit="1" customWidth="1"/>
    <col min="1890" max="1890" width="0" style="642" hidden="1" customWidth="1"/>
    <col min="1891" max="1891" width="6.5703125" style="642" bestFit="1" customWidth="1"/>
    <col min="1892" max="2032" width="9.140625" style="642"/>
    <col min="2033" max="2033" width="6" style="642" customWidth="1"/>
    <col min="2034" max="2034" width="1.5703125" style="642" bestFit="1" customWidth="1"/>
    <col min="2035" max="2035" width="5.42578125" style="642" bestFit="1" customWidth="1"/>
    <col min="2036" max="2036" width="20.28515625" style="642" customWidth="1"/>
    <col min="2037" max="2037" width="7.28515625" style="642" customWidth="1"/>
    <col min="2038" max="2038" width="5.28515625" style="642" customWidth="1"/>
    <col min="2039" max="2039" width="6.5703125" style="642" customWidth="1"/>
    <col min="2040" max="2040" width="4.42578125" style="642" customWidth="1"/>
    <col min="2041" max="2041" width="8.28515625" style="642" customWidth="1"/>
    <col min="2042" max="2042" width="4.7109375" style="642" customWidth="1"/>
    <col min="2043" max="2043" width="5.7109375" style="642" customWidth="1"/>
    <col min="2044" max="2044" width="8" style="642" customWidth="1"/>
    <col min="2045" max="2045" width="6.85546875" style="642" customWidth="1"/>
    <col min="2046" max="2046" width="6.140625" style="642" customWidth="1"/>
    <col min="2047" max="2048" width="8.28515625" style="642" customWidth="1"/>
    <col min="2049" max="2050" width="5.85546875" style="642" customWidth="1"/>
    <col min="2051" max="2051" width="7" style="642" customWidth="1"/>
    <col min="2052" max="2052" width="5.85546875" style="642" customWidth="1"/>
    <col min="2053" max="2053" width="6.42578125" style="642" customWidth="1"/>
    <col min="2054" max="2054" width="1.7109375" style="642" customWidth="1"/>
    <col min="2055" max="2056" width="6.42578125" style="642" customWidth="1"/>
    <col min="2057" max="2057" width="1.7109375" style="642" customWidth="1"/>
    <col min="2058" max="2058" width="6.42578125" style="642" customWidth="1"/>
    <col min="2059" max="2059" width="6.85546875" style="642" customWidth="1"/>
    <col min="2060" max="2060" width="5.7109375" style="642" customWidth="1"/>
    <col min="2061" max="2061" width="3.28515625" style="642" customWidth="1"/>
    <col min="2062" max="2062" width="4" style="642" customWidth="1"/>
    <col min="2063" max="2063" width="14" style="642" customWidth="1"/>
    <col min="2064" max="2064" width="9.140625" style="642" customWidth="1"/>
    <col min="2065" max="2065" width="9.5703125" style="642" customWidth="1"/>
    <col min="2066" max="2066" width="1.5703125" style="642" customWidth="1"/>
    <col min="2067" max="2067" width="5.42578125" style="642" customWidth="1"/>
    <col min="2068" max="2068" width="19.140625" style="642" customWidth="1"/>
    <col min="2069" max="2069" width="7.28515625" style="642" customWidth="1"/>
    <col min="2070" max="2070" width="5.28515625" style="642" customWidth="1"/>
    <col min="2071" max="2071" width="4" style="642" customWidth="1"/>
    <col min="2072" max="2076" width="4.85546875" style="642" customWidth="1"/>
    <col min="2077" max="2077" width="6.85546875" style="642" customWidth="1"/>
    <col min="2078" max="2078" width="5.7109375" style="642" customWidth="1"/>
    <col min="2079" max="2079" width="7.7109375" style="642" customWidth="1"/>
    <col min="2080" max="2080" width="6.85546875" style="642" customWidth="1"/>
    <col min="2081" max="2081" width="5.140625" style="642" customWidth="1"/>
    <col min="2082" max="2082" width="7.85546875" style="642" customWidth="1"/>
    <col min="2083" max="2083" width="4.42578125" style="642" customWidth="1"/>
    <col min="2084" max="2084" width="6.85546875" style="642" customWidth="1"/>
    <col min="2085" max="2086" width="8" style="642" customWidth="1"/>
    <col min="2087" max="2087" width="6" style="642" customWidth="1"/>
    <col min="2088" max="2088" width="3.140625" style="642" customWidth="1"/>
    <col min="2089" max="2089" width="6" style="642" customWidth="1"/>
    <col min="2090" max="2090" width="5.5703125" style="642" customWidth="1"/>
    <col min="2091" max="2091" width="6.7109375" style="642" customWidth="1"/>
    <col min="2092" max="2092" width="6.85546875" style="642" customWidth="1"/>
    <col min="2093" max="2093" width="8.140625" style="642" customWidth="1"/>
    <col min="2094" max="2094" width="4.42578125" style="642" customWidth="1"/>
    <col min="2095" max="2095" width="7.140625" style="642" customWidth="1"/>
    <col min="2096" max="2096" width="6.5703125" style="642" customWidth="1"/>
    <col min="2097" max="2097" width="6.42578125" style="642" customWidth="1"/>
    <col min="2098" max="2098" width="8.28515625" style="642" customWidth="1"/>
    <col min="2099" max="2099" width="5.42578125" style="642" customWidth="1"/>
    <col min="2100" max="2100" width="7.5703125" style="642" customWidth="1"/>
    <col min="2101" max="2101" width="5.140625" style="642" customWidth="1"/>
    <col min="2102" max="2104" width="9.140625" style="642" customWidth="1"/>
    <col min="2105" max="2105" width="9.140625" style="642"/>
    <col min="2106" max="2106" width="19.7109375" style="642" customWidth="1"/>
    <col min="2107" max="2107" width="6.5703125" style="642" customWidth="1"/>
    <col min="2108" max="2108" width="3.5703125" style="642" bestFit="1" customWidth="1"/>
    <col min="2109" max="2109" width="6.85546875" style="642" bestFit="1" customWidth="1"/>
    <col min="2110" max="2112" width="5.85546875" style="642" customWidth="1"/>
    <col min="2113" max="2113" width="6" style="642" bestFit="1" customWidth="1"/>
    <col min="2114" max="2116" width="0" style="642" hidden="1" customWidth="1"/>
    <col min="2117" max="2117" width="6" style="642" bestFit="1" customWidth="1"/>
    <col min="2118" max="2118" width="6.85546875" style="642" bestFit="1" customWidth="1"/>
    <col min="2119" max="2119" width="7" style="642" bestFit="1" customWidth="1"/>
    <col min="2120" max="2120" width="6" style="642" bestFit="1" customWidth="1"/>
    <col min="2121" max="2121" width="4.42578125" style="642" bestFit="1" customWidth="1"/>
    <col min="2122" max="2122" width="6" style="642" bestFit="1" customWidth="1"/>
    <col min="2123" max="2123" width="6.28515625" style="642" bestFit="1" customWidth="1"/>
    <col min="2124" max="2130" width="4.85546875" style="642" bestFit="1" customWidth="1"/>
    <col min="2131" max="2131" width="5" style="642" bestFit="1" customWidth="1"/>
    <col min="2132" max="2132" width="4.85546875" style="642" bestFit="1" customWidth="1"/>
    <col min="2133" max="2133" width="4.42578125" style="642" bestFit="1" customWidth="1"/>
    <col min="2134" max="2134" width="5.140625" style="642" bestFit="1" customWidth="1"/>
    <col min="2135" max="2135" width="4.85546875" style="642" bestFit="1" customWidth="1"/>
    <col min="2136" max="2136" width="5" style="642" bestFit="1" customWidth="1"/>
    <col min="2137" max="2138" width="5.28515625" style="642" bestFit="1" customWidth="1"/>
    <col min="2139" max="2139" width="5" style="642" bestFit="1" customWidth="1"/>
    <col min="2140" max="2140" width="4.42578125" style="642" bestFit="1" customWidth="1"/>
    <col min="2141" max="2141" width="4.5703125" style="642" bestFit="1" customWidth="1"/>
    <col min="2142" max="2143" width="5.140625" style="642" bestFit="1" customWidth="1"/>
    <col min="2144" max="2144" width="4.85546875" style="642" bestFit="1" customWidth="1"/>
    <col min="2145" max="2145" width="5.42578125" style="642" bestFit="1" customWidth="1"/>
    <col min="2146" max="2146" width="0" style="642" hidden="1" customWidth="1"/>
    <col min="2147" max="2147" width="6.5703125" style="642" bestFit="1" customWidth="1"/>
    <col min="2148" max="2288" width="9.140625" style="642"/>
    <col min="2289" max="2289" width="6" style="642" customWidth="1"/>
    <col min="2290" max="2290" width="1.5703125" style="642" bestFit="1" customWidth="1"/>
    <col min="2291" max="2291" width="5.42578125" style="642" bestFit="1" customWidth="1"/>
    <col min="2292" max="2292" width="20.28515625" style="642" customWidth="1"/>
    <col min="2293" max="2293" width="7.28515625" style="642" customWidth="1"/>
    <col min="2294" max="2294" width="5.28515625" style="642" customWidth="1"/>
    <col min="2295" max="2295" width="6.5703125" style="642" customWidth="1"/>
    <col min="2296" max="2296" width="4.42578125" style="642" customWidth="1"/>
    <col min="2297" max="2297" width="8.28515625" style="642" customWidth="1"/>
    <col min="2298" max="2298" width="4.7109375" style="642" customWidth="1"/>
    <col min="2299" max="2299" width="5.7109375" style="642" customWidth="1"/>
    <col min="2300" max="2300" width="8" style="642" customWidth="1"/>
    <col min="2301" max="2301" width="6.85546875" style="642" customWidth="1"/>
    <col min="2302" max="2302" width="6.140625" style="642" customWidth="1"/>
    <col min="2303" max="2304" width="8.28515625" style="642" customWidth="1"/>
    <col min="2305" max="2306" width="5.85546875" style="642" customWidth="1"/>
    <col min="2307" max="2307" width="7" style="642" customWidth="1"/>
    <col min="2308" max="2308" width="5.85546875" style="642" customWidth="1"/>
    <col min="2309" max="2309" width="6.42578125" style="642" customWidth="1"/>
    <col min="2310" max="2310" width="1.7109375" style="642" customWidth="1"/>
    <col min="2311" max="2312" width="6.42578125" style="642" customWidth="1"/>
    <col min="2313" max="2313" width="1.7109375" style="642" customWidth="1"/>
    <col min="2314" max="2314" width="6.42578125" style="642" customWidth="1"/>
    <col min="2315" max="2315" width="6.85546875" style="642" customWidth="1"/>
    <col min="2316" max="2316" width="5.7109375" style="642" customWidth="1"/>
    <col min="2317" max="2317" width="3.28515625" style="642" customWidth="1"/>
    <col min="2318" max="2318" width="4" style="642" customWidth="1"/>
    <col min="2319" max="2319" width="14" style="642" customWidth="1"/>
    <col min="2320" max="2320" width="9.140625" style="642" customWidth="1"/>
    <col min="2321" max="2321" width="9.5703125" style="642" customWidth="1"/>
    <col min="2322" max="2322" width="1.5703125" style="642" customWidth="1"/>
    <col min="2323" max="2323" width="5.42578125" style="642" customWidth="1"/>
    <col min="2324" max="2324" width="19.140625" style="642" customWidth="1"/>
    <col min="2325" max="2325" width="7.28515625" style="642" customWidth="1"/>
    <col min="2326" max="2326" width="5.28515625" style="642" customWidth="1"/>
    <col min="2327" max="2327" width="4" style="642" customWidth="1"/>
    <col min="2328" max="2332" width="4.85546875" style="642" customWidth="1"/>
    <col min="2333" max="2333" width="6.85546875" style="642" customWidth="1"/>
    <col min="2334" max="2334" width="5.7109375" style="642" customWidth="1"/>
    <col min="2335" max="2335" width="7.7109375" style="642" customWidth="1"/>
    <col min="2336" max="2336" width="6.85546875" style="642" customWidth="1"/>
    <col min="2337" max="2337" width="5.140625" style="642" customWidth="1"/>
    <col min="2338" max="2338" width="7.85546875" style="642" customWidth="1"/>
    <col min="2339" max="2339" width="4.42578125" style="642" customWidth="1"/>
    <col min="2340" max="2340" width="6.85546875" style="642" customWidth="1"/>
    <col min="2341" max="2342" width="8" style="642" customWidth="1"/>
    <col min="2343" max="2343" width="6" style="642" customWidth="1"/>
    <col min="2344" max="2344" width="3.140625" style="642" customWidth="1"/>
    <col min="2345" max="2345" width="6" style="642" customWidth="1"/>
    <col min="2346" max="2346" width="5.5703125" style="642" customWidth="1"/>
    <col min="2347" max="2347" width="6.7109375" style="642" customWidth="1"/>
    <col min="2348" max="2348" width="6.85546875" style="642" customWidth="1"/>
    <col min="2349" max="2349" width="8.140625" style="642" customWidth="1"/>
    <col min="2350" max="2350" width="4.42578125" style="642" customWidth="1"/>
    <col min="2351" max="2351" width="7.140625" style="642" customWidth="1"/>
    <col min="2352" max="2352" width="6.5703125" style="642" customWidth="1"/>
    <col min="2353" max="2353" width="6.42578125" style="642" customWidth="1"/>
    <col min="2354" max="2354" width="8.28515625" style="642" customWidth="1"/>
    <col min="2355" max="2355" width="5.42578125" style="642" customWidth="1"/>
    <col min="2356" max="2356" width="7.5703125" style="642" customWidth="1"/>
    <col min="2357" max="2357" width="5.140625" style="642" customWidth="1"/>
    <col min="2358" max="2360" width="9.140625" style="642" customWidth="1"/>
    <col min="2361" max="2361" width="9.140625" style="642"/>
    <col min="2362" max="2362" width="19.7109375" style="642" customWidth="1"/>
    <col min="2363" max="2363" width="6.5703125" style="642" customWidth="1"/>
    <col min="2364" max="2364" width="3.5703125" style="642" bestFit="1" customWidth="1"/>
    <col min="2365" max="2365" width="6.85546875" style="642" bestFit="1" customWidth="1"/>
    <col min="2366" max="2368" width="5.85546875" style="642" customWidth="1"/>
    <col min="2369" max="2369" width="6" style="642" bestFit="1" customWidth="1"/>
    <col min="2370" max="2372" width="0" style="642" hidden="1" customWidth="1"/>
    <col min="2373" max="2373" width="6" style="642" bestFit="1" customWidth="1"/>
    <col min="2374" max="2374" width="6.85546875" style="642" bestFit="1" customWidth="1"/>
    <col min="2375" max="2375" width="7" style="642" bestFit="1" customWidth="1"/>
    <col min="2376" max="2376" width="6" style="642" bestFit="1" customWidth="1"/>
    <col min="2377" max="2377" width="4.42578125" style="642" bestFit="1" customWidth="1"/>
    <col min="2378" max="2378" width="6" style="642" bestFit="1" customWidth="1"/>
    <col min="2379" max="2379" width="6.28515625" style="642" bestFit="1" customWidth="1"/>
    <col min="2380" max="2386" width="4.85546875" style="642" bestFit="1" customWidth="1"/>
    <col min="2387" max="2387" width="5" style="642" bestFit="1" customWidth="1"/>
    <col min="2388" max="2388" width="4.85546875" style="642" bestFit="1" customWidth="1"/>
    <col min="2389" max="2389" width="4.42578125" style="642" bestFit="1" customWidth="1"/>
    <col min="2390" max="2390" width="5.140625" style="642" bestFit="1" customWidth="1"/>
    <col min="2391" max="2391" width="4.85546875" style="642" bestFit="1" customWidth="1"/>
    <col min="2392" max="2392" width="5" style="642" bestFit="1" customWidth="1"/>
    <col min="2393" max="2394" width="5.28515625" style="642" bestFit="1" customWidth="1"/>
    <col min="2395" max="2395" width="5" style="642" bestFit="1" customWidth="1"/>
    <col min="2396" max="2396" width="4.42578125" style="642" bestFit="1" customWidth="1"/>
    <col min="2397" max="2397" width="4.5703125" style="642" bestFit="1" customWidth="1"/>
    <col min="2398" max="2399" width="5.140625" style="642" bestFit="1" customWidth="1"/>
    <col min="2400" max="2400" width="4.85546875" style="642" bestFit="1" customWidth="1"/>
    <col min="2401" max="2401" width="5.42578125" style="642" bestFit="1" customWidth="1"/>
    <col min="2402" max="2402" width="0" style="642" hidden="1" customWidth="1"/>
    <col min="2403" max="2403" width="6.5703125" style="642" bestFit="1" customWidth="1"/>
    <col min="2404" max="2544" width="9.140625" style="642"/>
    <col min="2545" max="2545" width="6" style="642" customWidth="1"/>
    <col min="2546" max="2546" width="1.5703125" style="642" bestFit="1" customWidth="1"/>
    <col min="2547" max="2547" width="5.42578125" style="642" bestFit="1" customWidth="1"/>
    <col min="2548" max="2548" width="20.28515625" style="642" customWidth="1"/>
    <col min="2549" max="2549" width="7.28515625" style="642" customWidth="1"/>
    <col min="2550" max="2550" width="5.28515625" style="642" customWidth="1"/>
    <col min="2551" max="2551" width="6.5703125" style="642" customWidth="1"/>
    <col min="2552" max="2552" width="4.42578125" style="642" customWidth="1"/>
    <col min="2553" max="2553" width="8.28515625" style="642" customWidth="1"/>
    <col min="2554" max="2554" width="4.7109375" style="642" customWidth="1"/>
    <col min="2555" max="2555" width="5.7109375" style="642" customWidth="1"/>
    <col min="2556" max="2556" width="8" style="642" customWidth="1"/>
    <col min="2557" max="2557" width="6.85546875" style="642" customWidth="1"/>
    <col min="2558" max="2558" width="6.140625" style="642" customWidth="1"/>
    <col min="2559" max="2560" width="8.28515625" style="642" customWidth="1"/>
    <col min="2561" max="2562" width="5.85546875" style="642" customWidth="1"/>
    <col min="2563" max="2563" width="7" style="642" customWidth="1"/>
    <col min="2564" max="2564" width="5.85546875" style="642" customWidth="1"/>
    <col min="2565" max="2565" width="6.42578125" style="642" customWidth="1"/>
    <col min="2566" max="2566" width="1.7109375" style="642" customWidth="1"/>
    <col min="2567" max="2568" width="6.42578125" style="642" customWidth="1"/>
    <col min="2569" max="2569" width="1.7109375" style="642" customWidth="1"/>
    <col min="2570" max="2570" width="6.42578125" style="642" customWidth="1"/>
    <col min="2571" max="2571" width="6.85546875" style="642" customWidth="1"/>
    <col min="2572" max="2572" width="5.7109375" style="642" customWidth="1"/>
    <col min="2573" max="2573" width="3.28515625" style="642" customWidth="1"/>
    <col min="2574" max="2574" width="4" style="642" customWidth="1"/>
    <col min="2575" max="2575" width="14" style="642" customWidth="1"/>
    <col min="2576" max="2576" width="9.140625" style="642" customWidth="1"/>
    <col min="2577" max="2577" width="9.5703125" style="642" customWidth="1"/>
    <col min="2578" max="2578" width="1.5703125" style="642" customWidth="1"/>
    <col min="2579" max="2579" width="5.42578125" style="642" customWidth="1"/>
    <col min="2580" max="2580" width="19.140625" style="642" customWidth="1"/>
    <col min="2581" max="2581" width="7.28515625" style="642" customWidth="1"/>
    <col min="2582" max="2582" width="5.28515625" style="642" customWidth="1"/>
    <col min="2583" max="2583" width="4" style="642" customWidth="1"/>
    <col min="2584" max="2588" width="4.85546875" style="642" customWidth="1"/>
    <col min="2589" max="2589" width="6.85546875" style="642" customWidth="1"/>
    <col min="2590" max="2590" width="5.7109375" style="642" customWidth="1"/>
    <col min="2591" max="2591" width="7.7109375" style="642" customWidth="1"/>
    <col min="2592" max="2592" width="6.85546875" style="642" customWidth="1"/>
    <col min="2593" max="2593" width="5.140625" style="642" customWidth="1"/>
    <col min="2594" max="2594" width="7.85546875" style="642" customWidth="1"/>
    <col min="2595" max="2595" width="4.42578125" style="642" customWidth="1"/>
    <col min="2596" max="2596" width="6.85546875" style="642" customWidth="1"/>
    <col min="2597" max="2598" width="8" style="642" customWidth="1"/>
    <col min="2599" max="2599" width="6" style="642" customWidth="1"/>
    <col min="2600" max="2600" width="3.140625" style="642" customWidth="1"/>
    <col min="2601" max="2601" width="6" style="642" customWidth="1"/>
    <col min="2602" max="2602" width="5.5703125" style="642" customWidth="1"/>
    <col min="2603" max="2603" width="6.7109375" style="642" customWidth="1"/>
    <col min="2604" max="2604" width="6.85546875" style="642" customWidth="1"/>
    <col min="2605" max="2605" width="8.140625" style="642" customWidth="1"/>
    <col min="2606" max="2606" width="4.42578125" style="642" customWidth="1"/>
    <col min="2607" max="2607" width="7.140625" style="642" customWidth="1"/>
    <col min="2608" max="2608" width="6.5703125" style="642" customWidth="1"/>
    <col min="2609" max="2609" width="6.42578125" style="642" customWidth="1"/>
    <col min="2610" max="2610" width="8.28515625" style="642" customWidth="1"/>
    <col min="2611" max="2611" width="5.42578125" style="642" customWidth="1"/>
    <col min="2612" max="2612" width="7.5703125" style="642" customWidth="1"/>
    <col min="2613" max="2613" width="5.140625" style="642" customWidth="1"/>
    <col min="2614" max="2616" width="9.140625" style="642" customWidth="1"/>
    <col min="2617" max="2617" width="9.140625" style="642"/>
    <col min="2618" max="2618" width="19.7109375" style="642" customWidth="1"/>
    <col min="2619" max="2619" width="6.5703125" style="642" customWidth="1"/>
    <col min="2620" max="2620" width="3.5703125" style="642" bestFit="1" customWidth="1"/>
    <col min="2621" max="2621" width="6.85546875" style="642" bestFit="1" customWidth="1"/>
    <col min="2622" max="2624" width="5.85546875" style="642" customWidth="1"/>
    <col min="2625" max="2625" width="6" style="642" bestFit="1" customWidth="1"/>
    <col min="2626" max="2628" width="0" style="642" hidden="1" customWidth="1"/>
    <col min="2629" max="2629" width="6" style="642" bestFit="1" customWidth="1"/>
    <col min="2630" max="2630" width="6.85546875" style="642" bestFit="1" customWidth="1"/>
    <col min="2631" max="2631" width="7" style="642" bestFit="1" customWidth="1"/>
    <col min="2632" max="2632" width="6" style="642" bestFit="1" customWidth="1"/>
    <col min="2633" max="2633" width="4.42578125" style="642" bestFit="1" customWidth="1"/>
    <col min="2634" max="2634" width="6" style="642" bestFit="1" customWidth="1"/>
    <col min="2635" max="2635" width="6.28515625" style="642" bestFit="1" customWidth="1"/>
    <col min="2636" max="2642" width="4.85546875" style="642" bestFit="1" customWidth="1"/>
    <col min="2643" max="2643" width="5" style="642" bestFit="1" customWidth="1"/>
    <col min="2644" max="2644" width="4.85546875" style="642" bestFit="1" customWidth="1"/>
    <col min="2645" max="2645" width="4.42578125" style="642" bestFit="1" customWidth="1"/>
    <col min="2646" max="2646" width="5.140625" style="642" bestFit="1" customWidth="1"/>
    <col min="2647" max="2647" width="4.85546875" style="642" bestFit="1" customWidth="1"/>
    <col min="2648" max="2648" width="5" style="642" bestFit="1" customWidth="1"/>
    <col min="2649" max="2650" width="5.28515625" style="642" bestFit="1" customWidth="1"/>
    <col min="2651" max="2651" width="5" style="642" bestFit="1" customWidth="1"/>
    <col min="2652" max="2652" width="4.42578125" style="642" bestFit="1" customWidth="1"/>
    <col min="2653" max="2653" width="4.5703125" style="642" bestFit="1" customWidth="1"/>
    <col min="2654" max="2655" width="5.140625" style="642" bestFit="1" customWidth="1"/>
    <col min="2656" max="2656" width="4.85546875" style="642" bestFit="1" customWidth="1"/>
    <col min="2657" max="2657" width="5.42578125" style="642" bestFit="1" customWidth="1"/>
    <col min="2658" max="2658" width="0" style="642" hidden="1" customWidth="1"/>
    <col min="2659" max="2659" width="6.5703125" style="642" bestFit="1" customWidth="1"/>
    <col min="2660" max="2800" width="9.140625" style="642"/>
    <col min="2801" max="2801" width="6" style="642" customWidth="1"/>
    <col min="2802" max="2802" width="1.5703125" style="642" bestFit="1" customWidth="1"/>
    <col min="2803" max="2803" width="5.42578125" style="642" bestFit="1" customWidth="1"/>
    <col min="2804" max="2804" width="20.28515625" style="642" customWidth="1"/>
    <col min="2805" max="2805" width="7.28515625" style="642" customWidth="1"/>
    <col min="2806" max="2806" width="5.28515625" style="642" customWidth="1"/>
    <col min="2807" max="2807" width="6.5703125" style="642" customWidth="1"/>
    <col min="2808" max="2808" width="4.42578125" style="642" customWidth="1"/>
    <col min="2809" max="2809" width="8.28515625" style="642" customWidth="1"/>
    <col min="2810" max="2810" width="4.7109375" style="642" customWidth="1"/>
    <col min="2811" max="2811" width="5.7109375" style="642" customWidth="1"/>
    <col min="2812" max="2812" width="8" style="642" customWidth="1"/>
    <col min="2813" max="2813" width="6.85546875" style="642" customWidth="1"/>
    <col min="2814" max="2814" width="6.140625" style="642" customWidth="1"/>
    <col min="2815" max="2816" width="8.28515625" style="642" customWidth="1"/>
    <col min="2817" max="2818" width="5.85546875" style="642" customWidth="1"/>
    <col min="2819" max="2819" width="7" style="642" customWidth="1"/>
    <col min="2820" max="2820" width="5.85546875" style="642" customWidth="1"/>
    <col min="2821" max="2821" width="6.42578125" style="642" customWidth="1"/>
    <col min="2822" max="2822" width="1.7109375" style="642" customWidth="1"/>
    <col min="2823" max="2824" width="6.42578125" style="642" customWidth="1"/>
    <col min="2825" max="2825" width="1.7109375" style="642" customWidth="1"/>
    <col min="2826" max="2826" width="6.42578125" style="642" customWidth="1"/>
    <col min="2827" max="2827" width="6.85546875" style="642" customWidth="1"/>
    <col min="2828" max="2828" width="5.7109375" style="642" customWidth="1"/>
    <col min="2829" max="2829" width="3.28515625" style="642" customWidth="1"/>
    <col min="2830" max="2830" width="4" style="642" customWidth="1"/>
    <col min="2831" max="2831" width="14" style="642" customWidth="1"/>
    <col min="2832" max="2832" width="9.140625" style="642" customWidth="1"/>
    <col min="2833" max="2833" width="9.5703125" style="642" customWidth="1"/>
    <col min="2834" max="2834" width="1.5703125" style="642" customWidth="1"/>
    <col min="2835" max="2835" width="5.42578125" style="642" customWidth="1"/>
    <col min="2836" max="2836" width="19.140625" style="642" customWidth="1"/>
    <col min="2837" max="2837" width="7.28515625" style="642" customWidth="1"/>
    <col min="2838" max="2838" width="5.28515625" style="642" customWidth="1"/>
    <col min="2839" max="2839" width="4" style="642" customWidth="1"/>
    <col min="2840" max="2844" width="4.85546875" style="642" customWidth="1"/>
    <col min="2845" max="2845" width="6.85546875" style="642" customWidth="1"/>
    <col min="2846" max="2846" width="5.7109375" style="642" customWidth="1"/>
    <col min="2847" max="2847" width="7.7109375" style="642" customWidth="1"/>
    <col min="2848" max="2848" width="6.85546875" style="642" customWidth="1"/>
    <col min="2849" max="2849" width="5.140625" style="642" customWidth="1"/>
    <col min="2850" max="2850" width="7.85546875" style="642" customWidth="1"/>
    <col min="2851" max="2851" width="4.42578125" style="642" customWidth="1"/>
    <col min="2852" max="2852" width="6.85546875" style="642" customWidth="1"/>
    <col min="2853" max="2854" width="8" style="642" customWidth="1"/>
    <col min="2855" max="2855" width="6" style="642" customWidth="1"/>
    <col min="2856" max="2856" width="3.140625" style="642" customWidth="1"/>
    <col min="2857" max="2857" width="6" style="642" customWidth="1"/>
    <col min="2858" max="2858" width="5.5703125" style="642" customWidth="1"/>
    <col min="2859" max="2859" width="6.7109375" style="642" customWidth="1"/>
    <col min="2860" max="2860" width="6.85546875" style="642" customWidth="1"/>
    <col min="2861" max="2861" width="8.140625" style="642" customWidth="1"/>
    <col min="2862" max="2862" width="4.42578125" style="642" customWidth="1"/>
    <col min="2863" max="2863" width="7.140625" style="642" customWidth="1"/>
    <col min="2864" max="2864" width="6.5703125" style="642" customWidth="1"/>
    <col min="2865" max="2865" width="6.42578125" style="642" customWidth="1"/>
    <col min="2866" max="2866" width="8.28515625" style="642" customWidth="1"/>
    <col min="2867" max="2867" width="5.42578125" style="642" customWidth="1"/>
    <col min="2868" max="2868" width="7.5703125" style="642" customWidth="1"/>
    <col min="2869" max="2869" width="5.140625" style="642" customWidth="1"/>
    <col min="2870" max="2872" width="9.140625" style="642" customWidth="1"/>
    <col min="2873" max="2873" width="9.140625" style="642"/>
    <col min="2874" max="2874" width="19.7109375" style="642" customWidth="1"/>
    <col min="2875" max="2875" width="6.5703125" style="642" customWidth="1"/>
    <col min="2876" max="2876" width="3.5703125" style="642" bestFit="1" customWidth="1"/>
    <col min="2877" max="2877" width="6.85546875" style="642" bestFit="1" customWidth="1"/>
    <col min="2878" max="2880" width="5.85546875" style="642" customWidth="1"/>
    <col min="2881" max="2881" width="6" style="642" bestFit="1" customWidth="1"/>
    <col min="2882" max="2884" width="0" style="642" hidden="1" customWidth="1"/>
    <col min="2885" max="2885" width="6" style="642" bestFit="1" customWidth="1"/>
    <col min="2886" max="2886" width="6.85546875" style="642" bestFit="1" customWidth="1"/>
    <col min="2887" max="2887" width="7" style="642" bestFit="1" customWidth="1"/>
    <col min="2888" max="2888" width="6" style="642" bestFit="1" customWidth="1"/>
    <col min="2889" max="2889" width="4.42578125" style="642" bestFit="1" customWidth="1"/>
    <col min="2890" max="2890" width="6" style="642" bestFit="1" customWidth="1"/>
    <col min="2891" max="2891" width="6.28515625" style="642" bestFit="1" customWidth="1"/>
    <col min="2892" max="2898" width="4.85546875" style="642" bestFit="1" customWidth="1"/>
    <col min="2899" max="2899" width="5" style="642" bestFit="1" customWidth="1"/>
    <col min="2900" max="2900" width="4.85546875" style="642" bestFit="1" customWidth="1"/>
    <col min="2901" max="2901" width="4.42578125" style="642" bestFit="1" customWidth="1"/>
    <col min="2902" max="2902" width="5.140625" style="642" bestFit="1" customWidth="1"/>
    <col min="2903" max="2903" width="4.85546875" style="642" bestFit="1" customWidth="1"/>
    <col min="2904" max="2904" width="5" style="642" bestFit="1" customWidth="1"/>
    <col min="2905" max="2906" width="5.28515625" style="642" bestFit="1" customWidth="1"/>
    <col min="2907" max="2907" width="5" style="642" bestFit="1" customWidth="1"/>
    <col min="2908" max="2908" width="4.42578125" style="642" bestFit="1" customWidth="1"/>
    <col min="2909" max="2909" width="4.5703125" style="642" bestFit="1" customWidth="1"/>
    <col min="2910" max="2911" width="5.140625" style="642" bestFit="1" customWidth="1"/>
    <col min="2912" max="2912" width="4.85546875" style="642" bestFit="1" customWidth="1"/>
    <col min="2913" max="2913" width="5.42578125" style="642" bestFit="1" customWidth="1"/>
    <col min="2914" max="2914" width="0" style="642" hidden="1" customWidth="1"/>
    <col min="2915" max="2915" width="6.5703125" style="642" bestFit="1" customWidth="1"/>
    <col min="2916" max="3056" width="9.140625" style="642"/>
    <col min="3057" max="3057" width="6" style="642" customWidth="1"/>
    <col min="3058" max="3058" width="1.5703125" style="642" bestFit="1" customWidth="1"/>
    <col min="3059" max="3059" width="5.42578125" style="642" bestFit="1" customWidth="1"/>
    <col min="3060" max="3060" width="20.28515625" style="642" customWidth="1"/>
    <col min="3061" max="3061" width="7.28515625" style="642" customWidth="1"/>
    <col min="3062" max="3062" width="5.28515625" style="642" customWidth="1"/>
    <col min="3063" max="3063" width="6.5703125" style="642" customWidth="1"/>
    <col min="3064" max="3064" width="4.42578125" style="642" customWidth="1"/>
    <col min="3065" max="3065" width="8.28515625" style="642" customWidth="1"/>
    <col min="3066" max="3066" width="4.7109375" style="642" customWidth="1"/>
    <col min="3067" max="3067" width="5.7109375" style="642" customWidth="1"/>
    <col min="3068" max="3068" width="8" style="642" customWidth="1"/>
    <col min="3069" max="3069" width="6.85546875" style="642" customWidth="1"/>
    <col min="3070" max="3070" width="6.140625" style="642" customWidth="1"/>
    <col min="3071" max="3072" width="8.28515625" style="642" customWidth="1"/>
    <col min="3073" max="3074" width="5.85546875" style="642" customWidth="1"/>
    <col min="3075" max="3075" width="7" style="642" customWidth="1"/>
    <col min="3076" max="3076" width="5.85546875" style="642" customWidth="1"/>
    <col min="3077" max="3077" width="6.42578125" style="642" customWidth="1"/>
    <col min="3078" max="3078" width="1.7109375" style="642" customWidth="1"/>
    <col min="3079" max="3080" width="6.42578125" style="642" customWidth="1"/>
    <col min="3081" max="3081" width="1.7109375" style="642" customWidth="1"/>
    <col min="3082" max="3082" width="6.42578125" style="642" customWidth="1"/>
    <col min="3083" max="3083" width="6.85546875" style="642" customWidth="1"/>
    <col min="3084" max="3084" width="5.7109375" style="642" customWidth="1"/>
    <col min="3085" max="3085" width="3.28515625" style="642" customWidth="1"/>
    <col min="3086" max="3086" width="4" style="642" customWidth="1"/>
    <col min="3087" max="3087" width="14" style="642" customWidth="1"/>
    <col min="3088" max="3088" width="9.140625" style="642" customWidth="1"/>
    <col min="3089" max="3089" width="9.5703125" style="642" customWidth="1"/>
    <col min="3090" max="3090" width="1.5703125" style="642" customWidth="1"/>
    <col min="3091" max="3091" width="5.42578125" style="642" customWidth="1"/>
    <col min="3092" max="3092" width="19.140625" style="642" customWidth="1"/>
    <col min="3093" max="3093" width="7.28515625" style="642" customWidth="1"/>
    <col min="3094" max="3094" width="5.28515625" style="642" customWidth="1"/>
    <col min="3095" max="3095" width="4" style="642" customWidth="1"/>
    <col min="3096" max="3100" width="4.85546875" style="642" customWidth="1"/>
    <col min="3101" max="3101" width="6.85546875" style="642" customWidth="1"/>
    <col min="3102" max="3102" width="5.7109375" style="642" customWidth="1"/>
    <col min="3103" max="3103" width="7.7109375" style="642" customWidth="1"/>
    <col min="3104" max="3104" width="6.85546875" style="642" customWidth="1"/>
    <col min="3105" max="3105" width="5.140625" style="642" customWidth="1"/>
    <col min="3106" max="3106" width="7.85546875" style="642" customWidth="1"/>
    <col min="3107" max="3107" width="4.42578125" style="642" customWidth="1"/>
    <col min="3108" max="3108" width="6.85546875" style="642" customWidth="1"/>
    <col min="3109" max="3110" width="8" style="642" customWidth="1"/>
    <col min="3111" max="3111" width="6" style="642" customWidth="1"/>
    <col min="3112" max="3112" width="3.140625" style="642" customWidth="1"/>
    <col min="3113" max="3113" width="6" style="642" customWidth="1"/>
    <col min="3114" max="3114" width="5.5703125" style="642" customWidth="1"/>
    <col min="3115" max="3115" width="6.7109375" style="642" customWidth="1"/>
    <col min="3116" max="3116" width="6.85546875" style="642" customWidth="1"/>
    <col min="3117" max="3117" width="8.140625" style="642" customWidth="1"/>
    <col min="3118" max="3118" width="4.42578125" style="642" customWidth="1"/>
    <col min="3119" max="3119" width="7.140625" style="642" customWidth="1"/>
    <col min="3120" max="3120" width="6.5703125" style="642" customWidth="1"/>
    <col min="3121" max="3121" width="6.42578125" style="642" customWidth="1"/>
    <col min="3122" max="3122" width="8.28515625" style="642" customWidth="1"/>
    <col min="3123" max="3123" width="5.42578125" style="642" customWidth="1"/>
    <col min="3124" max="3124" width="7.5703125" style="642" customWidth="1"/>
    <col min="3125" max="3125" width="5.140625" style="642" customWidth="1"/>
    <col min="3126" max="3128" width="9.140625" style="642" customWidth="1"/>
    <col min="3129" max="3129" width="9.140625" style="642"/>
    <col min="3130" max="3130" width="19.7109375" style="642" customWidth="1"/>
    <col min="3131" max="3131" width="6.5703125" style="642" customWidth="1"/>
    <col min="3132" max="3132" width="3.5703125" style="642" bestFit="1" customWidth="1"/>
    <col min="3133" max="3133" width="6.85546875" style="642" bestFit="1" customWidth="1"/>
    <col min="3134" max="3136" width="5.85546875" style="642" customWidth="1"/>
    <col min="3137" max="3137" width="6" style="642" bestFit="1" customWidth="1"/>
    <col min="3138" max="3140" width="0" style="642" hidden="1" customWidth="1"/>
    <col min="3141" max="3141" width="6" style="642" bestFit="1" customWidth="1"/>
    <col min="3142" max="3142" width="6.85546875" style="642" bestFit="1" customWidth="1"/>
    <col min="3143" max="3143" width="7" style="642" bestFit="1" customWidth="1"/>
    <col min="3144" max="3144" width="6" style="642" bestFit="1" customWidth="1"/>
    <col min="3145" max="3145" width="4.42578125" style="642" bestFit="1" customWidth="1"/>
    <col min="3146" max="3146" width="6" style="642" bestFit="1" customWidth="1"/>
    <col min="3147" max="3147" width="6.28515625" style="642" bestFit="1" customWidth="1"/>
    <col min="3148" max="3154" width="4.85546875" style="642" bestFit="1" customWidth="1"/>
    <col min="3155" max="3155" width="5" style="642" bestFit="1" customWidth="1"/>
    <col min="3156" max="3156" width="4.85546875" style="642" bestFit="1" customWidth="1"/>
    <col min="3157" max="3157" width="4.42578125" style="642" bestFit="1" customWidth="1"/>
    <col min="3158" max="3158" width="5.140625" style="642" bestFit="1" customWidth="1"/>
    <col min="3159" max="3159" width="4.85546875" style="642" bestFit="1" customWidth="1"/>
    <col min="3160" max="3160" width="5" style="642" bestFit="1" customWidth="1"/>
    <col min="3161" max="3162" width="5.28515625" style="642" bestFit="1" customWidth="1"/>
    <col min="3163" max="3163" width="5" style="642" bestFit="1" customWidth="1"/>
    <col min="3164" max="3164" width="4.42578125" style="642" bestFit="1" customWidth="1"/>
    <col min="3165" max="3165" width="4.5703125" style="642" bestFit="1" customWidth="1"/>
    <col min="3166" max="3167" width="5.140625" style="642" bestFit="1" customWidth="1"/>
    <col min="3168" max="3168" width="4.85546875" style="642" bestFit="1" customWidth="1"/>
    <col min="3169" max="3169" width="5.42578125" style="642" bestFit="1" customWidth="1"/>
    <col min="3170" max="3170" width="0" style="642" hidden="1" customWidth="1"/>
    <col min="3171" max="3171" width="6.5703125" style="642" bestFit="1" customWidth="1"/>
    <col min="3172" max="3312" width="9.140625" style="642"/>
    <col min="3313" max="3313" width="6" style="642" customWidth="1"/>
    <col min="3314" max="3314" width="1.5703125" style="642" bestFit="1" customWidth="1"/>
    <col min="3315" max="3315" width="5.42578125" style="642" bestFit="1" customWidth="1"/>
    <col min="3316" max="3316" width="20.28515625" style="642" customWidth="1"/>
    <col min="3317" max="3317" width="7.28515625" style="642" customWidth="1"/>
    <col min="3318" max="3318" width="5.28515625" style="642" customWidth="1"/>
    <col min="3319" max="3319" width="6.5703125" style="642" customWidth="1"/>
    <col min="3320" max="3320" width="4.42578125" style="642" customWidth="1"/>
    <col min="3321" max="3321" width="8.28515625" style="642" customWidth="1"/>
    <col min="3322" max="3322" width="4.7109375" style="642" customWidth="1"/>
    <col min="3323" max="3323" width="5.7109375" style="642" customWidth="1"/>
    <col min="3324" max="3324" width="8" style="642" customWidth="1"/>
    <col min="3325" max="3325" width="6.85546875" style="642" customWidth="1"/>
    <col min="3326" max="3326" width="6.140625" style="642" customWidth="1"/>
    <col min="3327" max="3328" width="8.28515625" style="642" customWidth="1"/>
    <col min="3329" max="3330" width="5.85546875" style="642" customWidth="1"/>
    <col min="3331" max="3331" width="7" style="642" customWidth="1"/>
    <col min="3332" max="3332" width="5.85546875" style="642" customWidth="1"/>
    <col min="3333" max="3333" width="6.42578125" style="642" customWidth="1"/>
    <col min="3334" max="3334" width="1.7109375" style="642" customWidth="1"/>
    <col min="3335" max="3336" width="6.42578125" style="642" customWidth="1"/>
    <col min="3337" max="3337" width="1.7109375" style="642" customWidth="1"/>
    <col min="3338" max="3338" width="6.42578125" style="642" customWidth="1"/>
    <col min="3339" max="3339" width="6.85546875" style="642" customWidth="1"/>
    <col min="3340" max="3340" width="5.7109375" style="642" customWidth="1"/>
    <col min="3341" max="3341" width="3.28515625" style="642" customWidth="1"/>
    <col min="3342" max="3342" width="4" style="642" customWidth="1"/>
    <col min="3343" max="3343" width="14" style="642" customWidth="1"/>
    <col min="3344" max="3344" width="9.140625" style="642" customWidth="1"/>
    <col min="3345" max="3345" width="9.5703125" style="642" customWidth="1"/>
    <col min="3346" max="3346" width="1.5703125" style="642" customWidth="1"/>
    <col min="3347" max="3347" width="5.42578125" style="642" customWidth="1"/>
    <col min="3348" max="3348" width="19.140625" style="642" customWidth="1"/>
    <col min="3349" max="3349" width="7.28515625" style="642" customWidth="1"/>
    <col min="3350" max="3350" width="5.28515625" style="642" customWidth="1"/>
    <col min="3351" max="3351" width="4" style="642" customWidth="1"/>
    <col min="3352" max="3356" width="4.85546875" style="642" customWidth="1"/>
    <col min="3357" max="3357" width="6.85546875" style="642" customWidth="1"/>
    <col min="3358" max="3358" width="5.7109375" style="642" customWidth="1"/>
    <col min="3359" max="3359" width="7.7109375" style="642" customWidth="1"/>
    <col min="3360" max="3360" width="6.85546875" style="642" customWidth="1"/>
    <col min="3361" max="3361" width="5.140625" style="642" customWidth="1"/>
    <col min="3362" max="3362" width="7.85546875" style="642" customWidth="1"/>
    <col min="3363" max="3363" width="4.42578125" style="642" customWidth="1"/>
    <col min="3364" max="3364" width="6.85546875" style="642" customWidth="1"/>
    <col min="3365" max="3366" width="8" style="642" customWidth="1"/>
    <col min="3367" max="3367" width="6" style="642" customWidth="1"/>
    <col min="3368" max="3368" width="3.140625" style="642" customWidth="1"/>
    <col min="3369" max="3369" width="6" style="642" customWidth="1"/>
    <col min="3370" max="3370" width="5.5703125" style="642" customWidth="1"/>
    <col min="3371" max="3371" width="6.7109375" style="642" customWidth="1"/>
    <col min="3372" max="3372" width="6.85546875" style="642" customWidth="1"/>
    <col min="3373" max="3373" width="8.140625" style="642" customWidth="1"/>
    <col min="3374" max="3374" width="4.42578125" style="642" customWidth="1"/>
    <col min="3375" max="3375" width="7.140625" style="642" customWidth="1"/>
    <col min="3376" max="3376" width="6.5703125" style="642" customWidth="1"/>
    <col min="3377" max="3377" width="6.42578125" style="642" customWidth="1"/>
    <col min="3378" max="3378" width="8.28515625" style="642" customWidth="1"/>
    <col min="3379" max="3379" width="5.42578125" style="642" customWidth="1"/>
    <col min="3380" max="3380" width="7.5703125" style="642" customWidth="1"/>
    <col min="3381" max="3381" width="5.140625" style="642" customWidth="1"/>
    <col min="3382" max="3384" width="9.140625" style="642" customWidth="1"/>
    <col min="3385" max="3385" width="9.140625" style="642"/>
    <col min="3386" max="3386" width="19.7109375" style="642" customWidth="1"/>
    <col min="3387" max="3387" width="6.5703125" style="642" customWidth="1"/>
    <col min="3388" max="3388" width="3.5703125" style="642" bestFit="1" customWidth="1"/>
    <col min="3389" max="3389" width="6.85546875" style="642" bestFit="1" customWidth="1"/>
    <col min="3390" max="3392" width="5.85546875" style="642" customWidth="1"/>
    <col min="3393" max="3393" width="6" style="642" bestFit="1" customWidth="1"/>
    <col min="3394" max="3396" width="0" style="642" hidden="1" customWidth="1"/>
    <col min="3397" max="3397" width="6" style="642" bestFit="1" customWidth="1"/>
    <col min="3398" max="3398" width="6.85546875" style="642" bestFit="1" customWidth="1"/>
    <col min="3399" max="3399" width="7" style="642" bestFit="1" customWidth="1"/>
    <col min="3400" max="3400" width="6" style="642" bestFit="1" customWidth="1"/>
    <col min="3401" max="3401" width="4.42578125" style="642" bestFit="1" customWidth="1"/>
    <col min="3402" max="3402" width="6" style="642" bestFit="1" customWidth="1"/>
    <col min="3403" max="3403" width="6.28515625" style="642" bestFit="1" customWidth="1"/>
    <col min="3404" max="3410" width="4.85546875" style="642" bestFit="1" customWidth="1"/>
    <col min="3411" max="3411" width="5" style="642" bestFit="1" customWidth="1"/>
    <col min="3412" max="3412" width="4.85546875" style="642" bestFit="1" customWidth="1"/>
    <col min="3413" max="3413" width="4.42578125" style="642" bestFit="1" customWidth="1"/>
    <col min="3414" max="3414" width="5.140625" style="642" bestFit="1" customWidth="1"/>
    <col min="3415" max="3415" width="4.85546875" style="642" bestFit="1" customWidth="1"/>
    <col min="3416" max="3416" width="5" style="642" bestFit="1" customWidth="1"/>
    <col min="3417" max="3418" width="5.28515625" style="642" bestFit="1" customWidth="1"/>
    <col min="3419" max="3419" width="5" style="642" bestFit="1" customWidth="1"/>
    <col min="3420" max="3420" width="4.42578125" style="642" bestFit="1" customWidth="1"/>
    <col min="3421" max="3421" width="4.5703125" style="642" bestFit="1" customWidth="1"/>
    <col min="3422" max="3423" width="5.140625" style="642" bestFit="1" customWidth="1"/>
    <col min="3424" max="3424" width="4.85546875" style="642" bestFit="1" customWidth="1"/>
    <col min="3425" max="3425" width="5.42578125" style="642" bestFit="1" customWidth="1"/>
    <col min="3426" max="3426" width="0" style="642" hidden="1" customWidth="1"/>
    <col min="3427" max="3427" width="6.5703125" style="642" bestFit="1" customWidth="1"/>
    <col min="3428" max="3568" width="9.140625" style="642"/>
    <col min="3569" max="3569" width="6" style="642" customWidth="1"/>
    <col min="3570" max="3570" width="1.5703125" style="642" bestFit="1" customWidth="1"/>
    <col min="3571" max="3571" width="5.42578125" style="642" bestFit="1" customWidth="1"/>
    <col min="3572" max="3572" width="20.28515625" style="642" customWidth="1"/>
    <col min="3573" max="3573" width="7.28515625" style="642" customWidth="1"/>
    <col min="3574" max="3574" width="5.28515625" style="642" customWidth="1"/>
    <col min="3575" max="3575" width="6.5703125" style="642" customWidth="1"/>
    <col min="3576" max="3576" width="4.42578125" style="642" customWidth="1"/>
    <col min="3577" max="3577" width="8.28515625" style="642" customWidth="1"/>
    <col min="3578" max="3578" width="4.7109375" style="642" customWidth="1"/>
    <col min="3579" max="3579" width="5.7109375" style="642" customWidth="1"/>
    <col min="3580" max="3580" width="8" style="642" customWidth="1"/>
    <col min="3581" max="3581" width="6.85546875" style="642" customWidth="1"/>
    <col min="3582" max="3582" width="6.140625" style="642" customWidth="1"/>
    <col min="3583" max="3584" width="8.28515625" style="642" customWidth="1"/>
    <col min="3585" max="3586" width="5.85546875" style="642" customWidth="1"/>
    <col min="3587" max="3587" width="7" style="642" customWidth="1"/>
    <col min="3588" max="3588" width="5.85546875" style="642" customWidth="1"/>
    <col min="3589" max="3589" width="6.42578125" style="642" customWidth="1"/>
    <col min="3590" max="3590" width="1.7109375" style="642" customWidth="1"/>
    <col min="3591" max="3592" width="6.42578125" style="642" customWidth="1"/>
    <col min="3593" max="3593" width="1.7109375" style="642" customWidth="1"/>
    <col min="3594" max="3594" width="6.42578125" style="642" customWidth="1"/>
    <col min="3595" max="3595" width="6.85546875" style="642" customWidth="1"/>
    <col min="3596" max="3596" width="5.7109375" style="642" customWidth="1"/>
    <col min="3597" max="3597" width="3.28515625" style="642" customWidth="1"/>
    <col min="3598" max="3598" width="4" style="642" customWidth="1"/>
    <col min="3599" max="3599" width="14" style="642" customWidth="1"/>
    <col min="3600" max="3600" width="9.140625" style="642" customWidth="1"/>
    <col min="3601" max="3601" width="9.5703125" style="642" customWidth="1"/>
    <col min="3602" max="3602" width="1.5703125" style="642" customWidth="1"/>
    <col min="3603" max="3603" width="5.42578125" style="642" customWidth="1"/>
    <col min="3604" max="3604" width="19.140625" style="642" customWidth="1"/>
    <col min="3605" max="3605" width="7.28515625" style="642" customWidth="1"/>
    <col min="3606" max="3606" width="5.28515625" style="642" customWidth="1"/>
    <col min="3607" max="3607" width="4" style="642" customWidth="1"/>
    <col min="3608" max="3612" width="4.85546875" style="642" customWidth="1"/>
    <col min="3613" max="3613" width="6.85546875" style="642" customWidth="1"/>
    <col min="3614" max="3614" width="5.7109375" style="642" customWidth="1"/>
    <col min="3615" max="3615" width="7.7109375" style="642" customWidth="1"/>
    <col min="3616" max="3616" width="6.85546875" style="642" customWidth="1"/>
    <col min="3617" max="3617" width="5.140625" style="642" customWidth="1"/>
    <col min="3618" max="3618" width="7.85546875" style="642" customWidth="1"/>
    <col min="3619" max="3619" width="4.42578125" style="642" customWidth="1"/>
    <col min="3620" max="3620" width="6.85546875" style="642" customWidth="1"/>
    <col min="3621" max="3622" width="8" style="642" customWidth="1"/>
    <col min="3623" max="3623" width="6" style="642" customWidth="1"/>
    <col min="3624" max="3624" width="3.140625" style="642" customWidth="1"/>
    <col min="3625" max="3625" width="6" style="642" customWidth="1"/>
    <col min="3626" max="3626" width="5.5703125" style="642" customWidth="1"/>
    <col min="3627" max="3627" width="6.7109375" style="642" customWidth="1"/>
    <col min="3628" max="3628" width="6.85546875" style="642" customWidth="1"/>
    <col min="3629" max="3629" width="8.140625" style="642" customWidth="1"/>
    <col min="3630" max="3630" width="4.42578125" style="642" customWidth="1"/>
    <col min="3631" max="3631" width="7.140625" style="642" customWidth="1"/>
    <col min="3632" max="3632" width="6.5703125" style="642" customWidth="1"/>
    <col min="3633" max="3633" width="6.42578125" style="642" customWidth="1"/>
    <col min="3634" max="3634" width="8.28515625" style="642" customWidth="1"/>
    <col min="3635" max="3635" width="5.42578125" style="642" customWidth="1"/>
    <col min="3636" max="3636" width="7.5703125" style="642" customWidth="1"/>
    <col min="3637" max="3637" width="5.140625" style="642" customWidth="1"/>
    <col min="3638" max="3640" width="9.140625" style="642" customWidth="1"/>
    <col min="3641" max="3641" width="9.140625" style="642"/>
    <col min="3642" max="3642" width="19.7109375" style="642" customWidth="1"/>
    <col min="3643" max="3643" width="6.5703125" style="642" customWidth="1"/>
    <col min="3644" max="3644" width="3.5703125" style="642" bestFit="1" customWidth="1"/>
    <col min="3645" max="3645" width="6.85546875" style="642" bestFit="1" customWidth="1"/>
    <col min="3646" max="3648" width="5.85546875" style="642" customWidth="1"/>
    <col min="3649" max="3649" width="6" style="642" bestFit="1" customWidth="1"/>
    <col min="3650" max="3652" width="0" style="642" hidden="1" customWidth="1"/>
    <col min="3653" max="3653" width="6" style="642" bestFit="1" customWidth="1"/>
    <col min="3654" max="3654" width="6.85546875" style="642" bestFit="1" customWidth="1"/>
    <col min="3655" max="3655" width="7" style="642" bestFit="1" customWidth="1"/>
    <col min="3656" max="3656" width="6" style="642" bestFit="1" customWidth="1"/>
    <col min="3657" max="3657" width="4.42578125" style="642" bestFit="1" customWidth="1"/>
    <col min="3658" max="3658" width="6" style="642" bestFit="1" customWidth="1"/>
    <col min="3659" max="3659" width="6.28515625" style="642" bestFit="1" customWidth="1"/>
    <col min="3660" max="3666" width="4.85546875" style="642" bestFit="1" customWidth="1"/>
    <col min="3667" max="3667" width="5" style="642" bestFit="1" customWidth="1"/>
    <col min="3668" max="3668" width="4.85546875" style="642" bestFit="1" customWidth="1"/>
    <col min="3669" max="3669" width="4.42578125" style="642" bestFit="1" customWidth="1"/>
    <col min="3670" max="3670" width="5.140625" style="642" bestFit="1" customWidth="1"/>
    <col min="3671" max="3671" width="4.85546875" style="642" bestFit="1" customWidth="1"/>
    <col min="3672" max="3672" width="5" style="642" bestFit="1" customWidth="1"/>
    <col min="3673" max="3674" width="5.28515625" style="642" bestFit="1" customWidth="1"/>
    <col min="3675" max="3675" width="5" style="642" bestFit="1" customWidth="1"/>
    <col min="3676" max="3676" width="4.42578125" style="642" bestFit="1" customWidth="1"/>
    <col min="3677" max="3677" width="4.5703125" style="642" bestFit="1" customWidth="1"/>
    <col min="3678" max="3679" width="5.140625" style="642" bestFit="1" customWidth="1"/>
    <col min="3680" max="3680" width="4.85546875" style="642" bestFit="1" customWidth="1"/>
    <col min="3681" max="3681" width="5.42578125" style="642" bestFit="1" customWidth="1"/>
    <col min="3682" max="3682" width="0" style="642" hidden="1" customWidth="1"/>
    <col min="3683" max="3683" width="6.5703125" style="642" bestFit="1" customWidth="1"/>
    <col min="3684" max="3824" width="9.140625" style="642"/>
    <col min="3825" max="3825" width="6" style="642" customWidth="1"/>
    <col min="3826" max="3826" width="1.5703125" style="642" bestFit="1" customWidth="1"/>
    <col min="3827" max="3827" width="5.42578125" style="642" bestFit="1" customWidth="1"/>
    <col min="3828" max="3828" width="20.28515625" style="642" customWidth="1"/>
    <col min="3829" max="3829" width="7.28515625" style="642" customWidth="1"/>
    <col min="3830" max="3830" width="5.28515625" style="642" customWidth="1"/>
    <col min="3831" max="3831" width="6.5703125" style="642" customWidth="1"/>
    <col min="3832" max="3832" width="4.42578125" style="642" customWidth="1"/>
    <col min="3833" max="3833" width="8.28515625" style="642" customWidth="1"/>
    <col min="3834" max="3834" width="4.7109375" style="642" customWidth="1"/>
    <col min="3835" max="3835" width="5.7109375" style="642" customWidth="1"/>
    <col min="3836" max="3836" width="8" style="642" customWidth="1"/>
    <col min="3837" max="3837" width="6.85546875" style="642" customWidth="1"/>
    <col min="3838" max="3838" width="6.140625" style="642" customWidth="1"/>
    <col min="3839" max="3840" width="8.28515625" style="642" customWidth="1"/>
    <col min="3841" max="3842" width="5.85546875" style="642" customWidth="1"/>
    <col min="3843" max="3843" width="7" style="642" customWidth="1"/>
    <col min="3844" max="3844" width="5.85546875" style="642" customWidth="1"/>
    <col min="3845" max="3845" width="6.42578125" style="642" customWidth="1"/>
    <col min="3846" max="3846" width="1.7109375" style="642" customWidth="1"/>
    <col min="3847" max="3848" width="6.42578125" style="642" customWidth="1"/>
    <col min="3849" max="3849" width="1.7109375" style="642" customWidth="1"/>
    <col min="3850" max="3850" width="6.42578125" style="642" customWidth="1"/>
    <col min="3851" max="3851" width="6.85546875" style="642" customWidth="1"/>
    <col min="3852" max="3852" width="5.7109375" style="642" customWidth="1"/>
    <col min="3853" max="3853" width="3.28515625" style="642" customWidth="1"/>
    <col min="3854" max="3854" width="4" style="642" customWidth="1"/>
    <col min="3855" max="3855" width="14" style="642" customWidth="1"/>
    <col min="3856" max="3856" width="9.140625" style="642" customWidth="1"/>
    <col min="3857" max="3857" width="9.5703125" style="642" customWidth="1"/>
    <col min="3858" max="3858" width="1.5703125" style="642" customWidth="1"/>
    <col min="3859" max="3859" width="5.42578125" style="642" customWidth="1"/>
    <col min="3860" max="3860" width="19.140625" style="642" customWidth="1"/>
    <col min="3861" max="3861" width="7.28515625" style="642" customWidth="1"/>
    <col min="3862" max="3862" width="5.28515625" style="642" customWidth="1"/>
    <col min="3863" max="3863" width="4" style="642" customWidth="1"/>
    <col min="3864" max="3868" width="4.85546875" style="642" customWidth="1"/>
    <col min="3869" max="3869" width="6.85546875" style="642" customWidth="1"/>
    <col min="3870" max="3870" width="5.7109375" style="642" customWidth="1"/>
    <col min="3871" max="3871" width="7.7109375" style="642" customWidth="1"/>
    <col min="3872" max="3872" width="6.85546875" style="642" customWidth="1"/>
    <col min="3873" max="3873" width="5.140625" style="642" customWidth="1"/>
    <col min="3874" max="3874" width="7.85546875" style="642" customWidth="1"/>
    <col min="3875" max="3875" width="4.42578125" style="642" customWidth="1"/>
    <col min="3876" max="3876" width="6.85546875" style="642" customWidth="1"/>
    <col min="3877" max="3878" width="8" style="642" customWidth="1"/>
    <col min="3879" max="3879" width="6" style="642" customWidth="1"/>
    <col min="3880" max="3880" width="3.140625" style="642" customWidth="1"/>
    <col min="3881" max="3881" width="6" style="642" customWidth="1"/>
    <col min="3882" max="3882" width="5.5703125" style="642" customWidth="1"/>
    <col min="3883" max="3883" width="6.7109375" style="642" customWidth="1"/>
    <col min="3884" max="3884" width="6.85546875" style="642" customWidth="1"/>
    <col min="3885" max="3885" width="8.140625" style="642" customWidth="1"/>
    <col min="3886" max="3886" width="4.42578125" style="642" customWidth="1"/>
    <col min="3887" max="3887" width="7.140625" style="642" customWidth="1"/>
    <col min="3888" max="3888" width="6.5703125" style="642" customWidth="1"/>
    <col min="3889" max="3889" width="6.42578125" style="642" customWidth="1"/>
    <col min="3890" max="3890" width="8.28515625" style="642" customWidth="1"/>
    <col min="3891" max="3891" width="5.42578125" style="642" customWidth="1"/>
    <col min="3892" max="3892" width="7.5703125" style="642" customWidth="1"/>
    <col min="3893" max="3893" width="5.140625" style="642" customWidth="1"/>
    <col min="3894" max="3896" width="9.140625" style="642" customWidth="1"/>
    <col min="3897" max="3897" width="9.140625" style="642"/>
    <col min="3898" max="3898" width="19.7109375" style="642" customWidth="1"/>
    <col min="3899" max="3899" width="6.5703125" style="642" customWidth="1"/>
    <col min="3900" max="3900" width="3.5703125" style="642" bestFit="1" customWidth="1"/>
    <col min="3901" max="3901" width="6.85546875" style="642" bestFit="1" customWidth="1"/>
    <col min="3902" max="3904" width="5.85546875" style="642" customWidth="1"/>
    <col min="3905" max="3905" width="6" style="642" bestFit="1" customWidth="1"/>
    <col min="3906" max="3908" width="0" style="642" hidden="1" customWidth="1"/>
    <col min="3909" max="3909" width="6" style="642" bestFit="1" customWidth="1"/>
    <col min="3910" max="3910" width="6.85546875" style="642" bestFit="1" customWidth="1"/>
    <col min="3911" max="3911" width="7" style="642" bestFit="1" customWidth="1"/>
    <col min="3912" max="3912" width="6" style="642" bestFit="1" customWidth="1"/>
    <col min="3913" max="3913" width="4.42578125" style="642" bestFit="1" customWidth="1"/>
    <col min="3914" max="3914" width="6" style="642" bestFit="1" customWidth="1"/>
    <col min="3915" max="3915" width="6.28515625" style="642" bestFit="1" customWidth="1"/>
    <col min="3916" max="3922" width="4.85546875" style="642" bestFit="1" customWidth="1"/>
    <col min="3923" max="3923" width="5" style="642" bestFit="1" customWidth="1"/>
    <col min="3924" max="3924" width="4.85546875" style="642" bestFit="1" customWidth="1"/>
    <col min="3925" max="3925" width="4.42578125" style="642" bestFit="1" customWidth="1"/>
    <col min="3926" max="3926" width="5.140625" style="642" bestFit="1" customWidth="1"/>
    <col min="3927" max="3927" width="4.85546875" style="642" bestFit="1" customWidth="1"/>
    <col min="3928" max="3928" width="5" style="642" bestFit="1" customWidth="1"/>
    <col min="3929" max="3930" width="5.28515625" style="642" bestFit="1" customWidth="1"/>
    <col min="3931" max="3931" width="5" style="642" bestFit="1" customWidth="1"/>
    <col min="3932" max="3932" width="4.42578125" style="642" bestFit="1" customWidth="1"/>
    <col min="3933" max="3933" width="4.5703125" style="642" bestFit="1" customWidth="1"/>
    <col min="3934" max="3935" width="5.140625" style="642" bestFit="1" customWidth="1"/>
    <col min="3936" max="3936" width="4.85546875" style="642" bestFit="1" customWidth="1"/>
    <col min="3937" max="3937" width="5.42578125" style="642" bestFit="1" customWidth="1"/>
    <col min="3938" max="3938" width="0" style="642" hidden="1" customWidth="1"/>
    <col min="3939" max="3939" width="6.5703125" style="642" bestFit="1" customWidth="1"/>
    <col min="3940" max="4080" width="9.140625" style="642"/>
    <col min="4081" max="4081" width="6" style="642" customWidth="1"/>
    <col min="4082" max="4082" width="1.5703125" style="642" bestFit="1" customWidth="1"/>
    <col min="4083" max="4083" width="5.42578125" style="642" bestFit="1" customWidth="1"/>
    <col min="4084" max="4084" width="20.28515625" style="642" customWidth="1"/>
    <col min="4085" max="4085" width="7.28515625" style="642" customWidth="1"/>
    <col min="4086" max="4086" width="5.28515625" style="642" customWidth="1"/>
    <col min="4087" max="4087" width="6.5703125" style="642" customWidth="1"/>
    <col min="4088" max="4088" width="4.42578125" style="642" customWidth="1"/>
    <col min="4089" max="4089" width="8.28515625" style="642" customWidth="1"/>
    <col min="4090" max="4090" width="4.7109375" style="642" customWidth="1"/>
    <col min="4091" max="4091" width="5.7109375" style="642" customWidth="1"/>
    <col min="4092" max="4092" width="8" style="642" customWidth="1"/>
    <col min="4093" max="4093" width="6.85546875" style="642" customWidth="1"/>
    <col min="4094" max="4094" width="6.140625" style="642" customWidth="1"/>
    <col min="4095" max="4096" width="8.28515625" style="642" customWidth="1"/>
    <col min="4097" max="4098" width="5.85546875" style="642" customWidth="1"/>
    <col min="4099" max="4099" width="7" style="642" customWidth="1"/>
    <col min="4100" max="4100" width="5.85546875" style="642" customWidth="1"/>
    <col min="4101" max="4101" width="6.42578125" style="642" customWidth="1"/>
    <col min="4102" max="4102" width="1.7109375" style="642" customWidth="1"/>
    <col min="4103" max="4104" width="6.42578125" style="642" customWidth="1"/>
    <col min="4105" max="4105" width="1.7109375" style="642" customWidth="1"/>
    <col min="4106" max="4106" width="6.42578125" style="642" customWidth="1"/>
    <col min="4107" max="4107" width="6.85546875" style="642" customWidth="1"/>
    <col min="4108" max="4108" width="5.7109375" style="642" customWidth="1"/>
    <col min="4109" max="4109" width="3.28515625" style="642" customWidth="1"/>
    <col min="4110" max="4110" width="4" style="642" customWidth="1"/>
    <col min="4111" max="4111" width="14" style="642" customWidth="1"/>
    <col min="4112" max="4112" width="9.140625" style="642" customWidth="1"/>
    <col min="4113" max="4113" width="9.5703125" style="642" customWidth="1"/>
    <col min="4114" max="4114" width="1.5703125" style="642" customWidth="1"/>
    <col min="4115" max="4115" width="5.42578125" style="642" customWidth="1"/>
    <col min="4116" max="4116" width="19.140625" style="642" customWidth="1"/>
    <col min="4117" max="4117" width="7.28515625" style="642" customWidth="1"/>
    <col min="4118" max="4118" width="5.28515625" style="642" customWidth="1"/>
    <col min="4119" max="4119" width="4" style="642" customWidth="1"/>
    <col min="4120" max="4124" width="4.85546875" style="642" customWidth="1"/>
    <col min="4125" max="4125" width="6.85546875" style="642" customWidth="1"/>
    <col min="4126" max="4126" width="5.7109375" style="642" customWidth="1"/>
    <col min="4127" max="4127" width="7.7109375" style="642" customWidth="1"/>
    <col min="4128" max="4128" width="6.85546875" style="642" customWidth="1"/>
    <col min="4129" max="4129" width="5.140625" style="642" customWidth="1"/>
    <col min="4130" max="4130" width="7.85546875" style="642" customWidth="1"/>
    <col min="4131" max="4131" width="4.42578125" style="642" customWidth="1"/>
    <col min="4132" max="4132" width="6.85546875" style="642" customWidth="1"/>
    <col min="4133" max="4134" width="8" style="642" customWidth="1"/>
    <col min="4135" max="4135" width="6" style="642" customWidth="1"/>
    <col min="4136" max="4136" width="3.140625" style="642" customWidth="1"/>
    <col min="4137" max="4137" width="6" style="642" customWidth="1"/>
    <col min="4138" max="4138" width="5.5703125" style="642" customWidth="1"/>
    <col min="4139" max="4139" width="6.7109375" style="642" customWidth="1"/>
    <col min="4140" max="4140" width="6.85546875" style="642" customWidth="1"/>
    <col min="4141" max="4141" width="8.140625" style="642" customWidth="1"/>
    <col min="4142" max="4142" width="4.42578125" style="642" customWidth="1"/>
    <col min="4143" max="4143" width="7.140625" style="642" customWidth="1"/>
    <col min="4144" max="4144" width="6.5703125" style="642" customWidth="1"/>
    <col min="4145" max="4145" width="6.42578125" style="642" customWidth="1"/>
    <col min="4146" max="4146" width="8.28515625" style="642" customWidth="1"/>
    <col min="4147" max="4147" width="5.42578125" style="642" customWidth="1"/>
    <col min="4148" max="4148" width="7.5703125" style="642" customWidth="1"/>
    <col min="4149" max="4149" width="5.140625" style="642" customWidth="1"/>
    <col min="4150" max="4152" width="9.140625" style="642" customWidth="1"/>
    <col min="4153" max="4153" width="9.140625" style="642"/>
    <col min="4154" max="4154" width="19.7109375" style="642" customWidth="1"/>
    <col min="4155" max="4155" width="6.5703125" style="642" customWidth="1"/>
    <col min="4156" max="4156" width="3.5703125" style="642" bestFit="1" customWidth="1"/>
    <col min="4157" max="4157" width="6.85546875" style="642" bestFit="1" customWidth="1"/>
    <col min="4158" max="4160" width="5.85546875" style="642" customWidth="1"/>
    <col min="4161" max="4161" width="6" style="642" bestFit="1" customWidth="1"/>
    <col min="4162" max="4164" width="0" style="642" hidden="1" customWidth="1"/>
    <col min="4165" max="4165" width="6" style="642" bestFit="1" customWidth="1"/>
    <col min="4166" max="4166" width="6.85546875" style="642" bestFit="1" customWidth="1"/>
    <col min="4167" max="4167" width="7" style="642" bestFit="1" customWidth="1"/>
    <col min="4168" max="4168" width="6" style="642" bestFit="1" customWidth="1"/>
    <col min="4169" max="4169" width="4.42578125" style="642" bestFit="1" customWidth="1"/>
    <col min="4170" max="4170" width="6" style="642" bestFit="1" customWidth="1"/>
    <col min="4171" max="4171" width="6.28515625" style="642" bestFit="1" customWidth="1"/>
    <col min="4172" max="4178" width="4.85546875" style="642" bestFit="1" customWidth="1"/>
    <col min="4179" max="4179" width="5" style="642" bestFit="1" customWidth="1"/>
    <col min="4180" max="4180" width="4.85546875" style="642" bestFit="1" customWidth="1"/>
    <col min="4181" max="4181" width="4.42578125" style="642" bestFit="1" customWidth="1"/>
    <col min="4182" max="4182" width="5.140625" style="642" bestFit="1" customWidth="1"/>
    <col min="4183" max="4183" width="4.85546875" style="642" bestFit="1" customWidth="1"/>
    <col min="4184" max="4184" width="5" style="642" bestFit="1" customWidth="1"/>
    <col min="4185" max="4186" width="5.28515625" style="642" bestFit="1" customWidth="1"/>
    <col min="4187" max="4187" width="5" style="642" bestFit="1" customWidth="1"/>
    <col min="4188" max="4188" width="4.42578125" style="642" bestFit="1" customWidth="1"/>
    <col min="4189" max="4189" width="4.5703125" style="642" bestFit="1" customWidth="1"/>
    <col min="4190" max="4191" width="5.140625" style="642" bestFit="1" customWidth="1"/>
    <col min="4192" max="4192" width="4.85546875" style="642" bestFit="1" customWidth="1"/>
    <col min="4193" max="4193" width="5.42578125" style="642" bestFit="1" customWidth="1"/>
    <col min="4194" max="4194" width="0" style="642" hidden="1" customWidth="1"/>
    <col min="4195" max="4195" width="6.5703125" style="642" bestFit="1" customWidth="1"/>
    <col min="4196" max="4336" width="9.140625" style="642"/>
    <col min="4337" max="4337" width="6" style="642" customWidth="1"/>
    <col min="4338" max="4338" width="1.5703125" style="642" bestFit="1" customWidth="1"/>
    <col min="4339" max="4339" width="5.42578125" style="642" bestFit="1" customWidth="1"/>
    <col min="4340" max="4340" width="20.28515625" style="642" customWidth="1"/>
    <col min="4341" max="4341" width="7.28515625" style="642" customWidth="1"/>
    <col min="4342" max="4342" width="5.28515625" style="642" customWidth="1"/>
    <col min="4343" max="4343" width="6.5703125" style="642" customWidth="1"/>
    <col min="4344" max="4344" width="4.42578125" style="642" customWidth="1"/>
    <col min="4345" max="4345" width="8.28515625" style="642" customWidth="1"/>
    <col min="4346" max="4346" width="4.7109375" style="642" customWidth="1"/>
    <col min="4347" max="4347" width="5.7109375" style="642" customWidth="1"/>
    <col min="4348" max="4348" width="8" style="642" customWidth="1"/>
    <col min="4349" max="4349" width="6.85546875" style="642" customWidth="1"/>
    <col min="4350" max="4350" width="6.140625" style="642" customWidth="1"/>
    <col min="4351" max="4352" width="8.28515625" style="642" customWidth="1"/>
    <col min="4353" max="4354" width="5.85546875" style="642" customWidth="1"/>
    <col min="4355" max="4355" width="7" style="642" customWidth="1"/>
    <col min="4356" max="4356" width="5.85546875" style="642" customWidth="1"/>
    <col min="4357" max="4357" width="6.42578125" style="642" customWidth="1"/>
    <col min="4358" max="4358" width="1.7109375" style="642" customWidth="1"/>
    <col min="4359" max="4360" width="6.42578125" style="642" customWidth="1"/>
    <col min="4361" max="4361" width="1.7109375" style="642" customWidth="1"/>
    <col min="4362" max="4362" width="6.42578125" style="642" customWidth="1"/>
    <col min="4363" max="4363" width="6.85546875" style="642" customWidth="1"/>
    <col min="4364" max="4364" width="5.7109375" style="642" customWidth="1"/>
    <col min="4365" max="4365" width="3.28515625" style="642" customWidth="1"/>
    <col min="4366" max="4366" width="4" style="642" customWidth="1"/>
    <col min="4367" max="4367" width="14" style="642" customWidth="1"/>
    <col min="4368" max="4368" width="9.140625" style="642" customWidth="1"/>
    <col min="4369" max="4369" width="9.5703125" style="642" customWidth="1"/>
    <col min="4370" max="4370" width="1.5703125" style="642" customWidth="1"/>
    <col min="4371" max="4371" width="5.42578125" style="642" customWidth="1"/>
    <col min="4372" max="4372" width="19.140625" style="642" customWidth="1"/>
    <col min="4373" max="4373" width="7.28515625" style="642" customWidth="1"/>
    <col min="4374" max="4374" width="5.28515625" style="642" customWidth="1"/>
    <col min="4375" max="4375" width="4" style="642" customWidth="1"/>
    <col min="4376" max="4380" width="4.85546875" style="642" customWidth="1"/>
    <col min="4381" max="4381" width="6.85546875" style="642" customWidth="1"/>
    <col min="4382" max="4382" width="5.7109375" style="642" customWidth="1"/>
    <col min="4383" max="4383" width="7.7109375" style="642" customWidth="1"/>
    <col min="4384" max="4384" width="6.85546875" style="642" customWidth="1"/>
    <col min="4385" max="4385" width="5.140625" style="642" customWidth="1"/>
    <col min="4386" max="4386" width="7.85546875" style="642" customWidth="1"/>
    <col min="4387" max="4387" width="4.42578125" style="642" customWidth="1"/>
    <col min="4388" max="4388" width="6.85546875" style="642" customWidth="1"/>
    <col min="4389" max="4390" width="8" style="642" customWidth="1"/>
    <col min="4391" max="4391" width="6" style="642" customWidth="1"/>
    <col min="4392" max="4392" width="3.140625" style="642" customWidth="1"/>
    <col min="4393" max="4393" width="6" style="642" customWidth="1"/>
    <col min="4394" max="4394" width="5.5703125" style="642" customWidth="1"/>
    <col min="4395" max="4395" width="6.7109375" style="642" customWidth="1"/>
    <col min="4396" max="4396" width="6.85546875" style="642" customWidth="1"/>
    <col min="4397" max="4397" width="8.140625" style="642" customWidth="1"/>
    <col min="4398" max="4398" width="4.42578125" style="642" customWidth="1"/>
    <col min="4399" max="4399" width="7.140625" style="642" customWidth="1"/>
    <col min="4400" max="4400" width="6.5703125" style="642" customWidth="1"/>
    <col min="4401" max="4401" width="6.42578125" style="642" customWidth="1"/>
    <col min="4402" max="4402" width="8.28515625" style="642" customWidth="1"/>
    <col min="4403" max="4403" width="5.42578125" style="642" customWidth="1"/>
    <col min="4404" max="4404" width="7.5703125" style="642" customWidth="1"/>
    <col min="4405" max="4405" width="5.140625" style="642" customWidth="1"/>
    <col min="4406" max="4408" width="9.140625" style="642" customWidth="1"/>
    <col min="4409" max="4409" width="9.140625" style="642"/>
    <col min="4410" max="4410" width="19.7109375" style="642" customWidth="1"/>
    <col min="4411" max="4411" width="6.5703125" style="642" customWidth="1"/>
    <col min="4412" max="4412" width="3.5703125" style="642" bestFit="1" customWidth="1"/>
    <col min="4413" max="4413" width="6.85546875" style="642" bestFit="1" customWidth="1"/>
    <col min="4414" max="4416" width="5.85546875" style="642" customWidth="1"/>
    <col min="4417" max="4417" width="6" style="642" bestFit="1" customWidth="1"/>
    <col min="4418" max="4420" width="0" style="642" hidden="1" customWidth="1"/>
    <col min="4421" max="4421" width="6" style="642" bestFit="1" customWidth="1"/>
    <col min="4422" max="4422" width="6.85546875" style="642" bestFit="1" customWidth="1"/>
    <col min="4423" max="4423" width="7" style="642" bestFit="1" customWidth="1"/>
    <col min="4424" max="4424" width="6" style="642" bestFit="1" customWidth="1"/>
    <col min="4425" max="4425" width="4.42578125" style="642" bestFit="1" customWidth="1"/>
    <col min="4426" max="4426" width="6" style="642" bestFit="1" customWidth="1"/>
    <col min="4427" max="4427" width="6.28515625" style="642" bestFit="1" customWidth="1"/>
    <col min="4428" max="4434" width="4.85546875" style="642" bestFit="1" customWidth="1"/>
    <col min="4435" max="4435" width="5" style="642" bestFit="1" customWidth="1"/>
    <col min="4436" max="4436" width="4.85546875" style="642" bestFit="1" customWidth="1"/>
    <col min="4437" max="4437" width="4.42578125" style="642" bestFit="1" customWidth="1"/>
    <col min="4438" max="4438" width="5.140625" style="642" bestFit="1" customWidth="1"/>
    <col min="4439" max="4439" width="4.85546875" style="642" bestFit="1" customWidth="1"/>
    <col min="4440" max="4440" width="5" style="642" bestFit="1" customWidth="1"/>
    <col min="4441" max="4442" width="5.28515625" style="642" bestFit="1" customWidth="1"/>
    <col min="4443" max="4443" width="5" style="642" bestFit="1" customWidth="1"/>
    <col min="4444" max="4444" width="4.42578125" style="642" bestFit="1" customWidth="1"/>
    <col min="4445" max="4445" width="4.5703125" style="642" bestFit="1" customWidth="1"/>
    <col min="4446" max="4447" width="5.140625" style="642" bestFit="1" customWidth="1"/>
    <col min="4448" max="4448" width="4.85546875" style="642" bestFit="1" customWidth="1"/>
    <col min="4449" max="4449" width="5.42578125" style="642" bestFit="1" customWidth="1"/>
    <col min="4450" max="4450" width="0" style="642" hidden="1" customWidth="1"/>
    <col min="4451" max="4451" width="6.5703125" style="642" bestFit="1" customWidth="1"/>
    <col min="4452" max="4592" width="9.140625" style="642"/>
    <col min="4593" max="4593" width="6" style="642" customWidth="1"/>
    <col min="4594" max="4594" width="1.5703125" style="642" bestFit="1" customWidth="1"/>
    <col min="4595" max="4595" width="5.42578125" style="642" bestFit="1" customWidth="1"/>
    <col min="4596" max="4596" width="20.28515625" style="642" customWidth="1"/>
    <col min="4597" max="4597" width="7.28515625" style="642" customWidth="1"/>
    <col min="4598" max="4598" width="5.28515625" style="642" customWidth="1"/>
    <col min="4599" max="4599" width="6.5703125" style="642" customWidth="1"/>
    <col min="4600" max="4600" width="4.42578125" style="642" customWidth="1"/>
    <col min="4601" max="4601" width="8.28515625" style="642" customWidth="1"/>
    <col min="4602" max="4602" width="4.7109375" style="642" customWidth="1"/>
    <col min="4603" max="4603" width="5.7109375" style="642" customWidth="1"/>
    <col min="4604" max="4604" width="8" style="642" customWidth="1"/>
    <col min="4605" max="4605" width="6.85546875" style="642" customWidth="1"/>
    <col min="4606" max="4606" width="6.140625" style="642" customWidth="1"/>
    <col min="4607" max="4608" width="8.28515625" style="642" customWidth="1"/>
    <col min="4609" max="4610" width="5.85546875" style="642" customWidth="1"/>
    <col min="4611" max="4611" width="7" style="642" customWidth="1"/>
    <col min="4612" max="4612" width="5.85546875" style="642" customWidth="1"/>
    <col min="4613" max="4613" width="6.42578125" style="642" customWidth="1"/>
    <col min="4614" max="4614" width="1.7109375" style="642" customWidth="1"/>
    <col min="4615" max="4616" width="6.42578125" style="642" customWidth="1"/>
    <col min="4617" max="4617" width="1.7109375" style="642" customWidth="1"/>
    <col min="4618" max="4618" width="6.42578125" style="642" customWidth="1"/>
    <col min="4619" max="4619" width="6.85546875" style="642" customWidth="1"/>
    <col min="4620" max="4620" width="5.7109375" style="642" customWidth="1"/>
    <col min="4621" max="4621" width="3.28515625" style="642" customWidth="1"/>
    <col min="4622" max="4622" width="4" style="642" customWidth="1"/>
    <col min="4623" max="4623" width="14" style="642" customWidth="1"/>
    <col min="4624" max="4624" width="9.140625" style="642" customWidth="1"/>
    <col min="4625" max="4625" width="9.5703125" style="642" customWidth="1"/>
    <col min="4626" max="4626" width="1.5703125" style="642" customWidth="1"/>
    <col min="4627" max="4627" width="5.42578125" style="642" customWidth="1"/>
    <col min="4628" max="4628" width="19.140625" style="642" customWidth="1"/>
    <col min="4629" max="4629" width="7.28515625" style="642" customWidth="1"/>
    <col min="4630" max="4630" width="5.28515625" style="642" customWidth="1"/>
    <col min="4631" max="4631" width="4" style="642" customWidth="1"/>
    <col min="4632" max="4636" width="4.85546875" style="642" customWidth="1"/>
    <col min="4637" max="4637" width="6.85546875" style="642" customWidth="1"/>
    <col min="4638" max="4638" width="5.7109375" style="642" customWidth="1"/>
    <col min="4639" max="4639" width="7.7109375" style="642" customWidth="1"/>
    <col min="4640" max="4640" width="6.85546875" style="642" customWidth="1"/>
    <col min="4641" max="4641" width="5.140625" style="642" customWidth="1"/>
    <col min="4642" max="4642" width="7.85546875" style="642" customWidth="1"/>
    <col min="4643" max="4643" width="4.42578125" style="642" customWidth="1"/>
    <col min="4644" max="4644" width="6.85546875" style="642" customWidth="1"/>
    <col min="4645" max="4646" width="8" style="642" customWidth="1"/>
    <col min="4647" max="4647" width="6" style="642" customWidth="1"/>
    <col min="4648" max="4648" width="3.140625" style="642" customWidth="1"/>
    <col min="4649" max="4649" width="6" style="642" customWidth="1"/>
    <col min="4650" max="4650" width="5.5703125" style="642" customWidth="1"/>
    <col min="4651" max="4651" width="6.7109375" style="642" customWidth="1"/>
    <col min="4652" max="4652" width="6.85546875" style="642" customWidth="1"/>
    <col min="4653" max="4653" width="8.140625" style="642" customWidth="1"/>
    <col min="4654" max="4654" width="4.42578125" style="642" customWidth="1"/>
    <col min="4655" max="4655" width="7.140625" style="642" customWidth="1"/>
    <col min="4656" max="4656" width="6.5703125" style="642" customWidth="1"/>
    <col min="4657" max="4657" width="6.42578125" style="642" customWidth="1"/>
    <col min="4658" max="4658" width="8.28515625" style="642" customWidth="1"/>
    <col min="4659" max="4659" width="5.42578125" style="642" customWidth="1"/>
    <col min="4660" max="4660" width="7.5703125" style="642" customWidth="1"/>
    <col min="4661" max="4661" width="5.140625" style="642" customWidth="1"/>
    <col min="4662" max="4664" width="9.140625" style="642" customWidth="1"/>
    <col min="4665" max="4665" width="9.140625" style="642"/>
    <col min="4666" max="4666" width="19.7109375" style="642" customWidth="1"/>
    <col min="4667" max="4667" width="6.5703125" style="642" customWidth="1"/>
    <col min="4668" max="4668" width="3.5703125" style="642" bestFit="1" customWidth="1"/>
    <col min="4669" max="4669" width="6.85546875" style="642" bestFit="1" customWidth="1"/>
    <col min="4670" max="4672" width="5.85546875" style="642" customWidth="1"/>
    <col min="4673" max="4673" width="6" style="642" bestFit="1" customWidth="1"/>
    <col min="4674" max="4676" width="0" style="642" hidden="1" customWidth="1"/>
    <col min="4677" max="4677" width="6" style="642" bestFit="1" customWidth="1"/>
    <col min="4678" max="4678" width="6.85546875" style="642" bestFit="1" customWidth="1"/>
    <col min="4679" max="4679" width="7" style="642" bestFit="1" customWidth="1"/>
    <col min="4680" max="4680" width="6" style="642" bestFit="1" customWidth="1"/>
    <col min="4681" max="4681" width="4.42578125" style="642" bestFit="1" customWidth="1"/>
    <col min="4682" max="4682" width="6" style="642" bestFit="1" customWidth="1"/>
    <col min="4683" max="4683" width="6.28515625" style="642" bestFit="1" customWidth="1"/>
    <col min="4684" max="4690" width="4.85546875" style="642" bestFit="1" customWidth="1"/>
    <col min="4691" max="4691" width="5" style="642" bestFit="1" customWidth="1"/>
    <col min="4692" max="4692" width="4.85546875" style="642" bestFit="1" customWidth="1"/>
    <col min="4693" max="4693" width="4.42578125" style="642" bestFit="1" customWidth="1"/>
    <col min="4694" max="4694" width="5.140625" style="642" bestFit="1" customWidth="1"/>
    <col min="4695" max="4695" width="4.85546875" style="642" bestFit="1" customWidth="1"/>
    <col min="4696" max="4696" width="5" style="642" bestFit="1" customWidth="1"/>
    <col min="4697" max="4698" width="5.28515625" style="642" bestFit="1" customWidth="1"/>
    <col min="4699" max="4699" width="5" style="642" bestFit="1" customWidth="1"/>
    <col min="4700" max="4700" width="4.42578125" style="642" bestFit="1" customWidth="1"/>
    <col min="4701" max="4701" width="4.5703125" style="642" bestFit="1" customWidth="1"/>
    <col min="4702" max="4703" width="5.140625" style="642" bestFit="1" customWidth="1"/>
    <col min="4704" max="4704" width="4.85546875" style="642" bestFit="1" customWidth="1"/>
    <col min="4705" max="4705" width="5.42578125" style="642" bestFit="1" customWidth="1"/>
    <col min="4706" max="4706" width="0" style="642" hidden="1" customWidth="1"/>
    <col min="4707" max="4707" width="6.5703125" style="642" bestFit="1" customWidth="1"/>
    <col min="4708" max="4848" width="9.140625" style="642"/>
    <col min="4849" max="4849" width="6" style="642" customWidth="1"/>
    <col min="4850" max="4850" width="1.5703125" style="642" bestFit="1" customWidth="1"/>
    <col min="4851" max="4851" width="5.42578125" style="642" bestFit="1" customWidth="1"/>
    <col min="4852" max="4852" width="20.28515625" style="642" customWidth="1"/>
    <col min="4853" max="4853" width="7.28515625" style="642" customWidth="1"/>
    <col min="4854" max="4854" width="5.28515625" style="642" customWidth="1"/>
    <col min="4855" max="4855" width="6.5703125" style="642" customWidth="1"/>
    <col min="4856" max="4856" width="4.42578125" style="642" customWidth="1"/>
    <col min="4857" max="4857" width="8.28515625" style="642" customWidth="1"/>
    <col min="4858" max="4858" width="4.7109375" style="642" customWidth="1"/>
    <col min="4859" max="4859" width="5.7109375" style="642" customWidth="1"/>
    <col min="4860" max="4860" width="8" style="642" customWidth="1"/>
    <col min="4861" max="4861" width="6.85546875" style="642" customWidth="1"/>
    <col min="4862" max="4862" width="6.140625" style="642" customWidth="1"/>
    <col min="4863" max="4864" width="8.28515625" style="642" customWidth="1"/>
    <col min="4865" max="4866" width="5.85546875" style="642" customWidth="1"/>
    <col min="4867" max="4867" width="7" style="642" customWidth="1"/>
    <col min="4868" max="4868" width="5.85546875" style="642" customWidth="1"/>
    <col min="4869" max="4869" width="6.42578125" style="642" customWidth="1"/>
    <col min="4870" max="4870" width="1.7109375" style="642" customWidth="1"/>
    <col min="4871" max="4872" width="6.42578125" style="642" customWidth="1"/>
    <col min="4873" max="4873" width="1.7109375" style="642" customWidth="1"/>
    <col min="4874" max="4874" width="6.42578125" style="642" customWidth="1"/>
    <col min="4875" max="4875" width="6.85546875" style="642" customWidth="1"/>
    <col min="4876" max="4876" width="5.7109375" style="642" customWidth="1"/>
    <col min="4877" max="4877" width="3.28515625" style="642" customWidth="1"/>
    <col min="4878" max="4878" width="4" style="642" customWidth="1"/>
    <col min="4879" max="4879" width="14" style="642" customWidth="1"/>
    <col min="4880" max="4880" width="9.140625" style="642" customWidth="1"/>
    <col min="4881" max="4881" width="9.5703125" style="642" customWidth="1"/>
    <col min="4882" max="4882" width="1.5703125" style="642" customWidth="1"/>
    <col min="4883" max="4883" width="5.42578125" style="642" customWidth="1"/>
    <col min="4884" max="4884" width="19.140625" style="642" customWidth="1"/>
    <col min="4885" max="4885" width="7.28515625" style="642" customWidth="1"/>
    <col min="4886" max="4886" width="5.28515625" style="642" customWidth="1"/>
    <col min="4887" max="4887" width="4" style="642" customWidth="1"/>
    <col min="4888" max="4892" width="4.85546875" style="642" customWidth="1"/>
    <col min="4893" max="4893" width="6.85546875" style="642" customWidth="1"/>
    <col min="4894" max="4894" width="5.7109375" style="642" customWidth="1"/>
    <col min="4895" max="4895" width="7.7109375" style="642" customWidth="1"/>
    <col min="4896" max="4896" width="6.85546875" style="642" customWidth="1"/>
    <col min="4897" max="4897" width="5.140625" style="642" customWidth="1"/>
    <col min="4898" max="4898" width="7.85546875" style="642" customWidth="1"/>
    <col min="4899" max="4899" width="4.42578125" style="642" customWidth="1"/>
    <col min="4900" max="4900" width="6.85546875" style="642" customWidth="1"/>
    <col min="4901" max="4902" width="8" style="642" customWidth="1"/>
    <col min="4903" max="4903" width="6" style="642" customWidth="1"/>
    <col min="4904" max="4904" width="3.140625" style="642" customWidth="1"/>
    <col min="4905" max="4905" width="6" style="642" customWidth="1"/>
    <col min="4906" max="4906" width="5.5703125" style="642" customWidth="1"/>
    <col min="4907" max="4907" width="6.7109375" style="642" customWidth="1"/>
    <col min="4908" max="4908" width="6.85546875" style="642" customWidth="1"/>
    <col min="4909" max="4909" width="8.140625" style="642" customWidth="1"/>
    <col min="4910" max="4910" width="4.42578125" style="642" customWidth="1"/>
    <col min="4911" max="4911" width="7.140625" style="642" customWidth="1"/>
    <col min="4912" max="4912" width="6.5703125" style="642" customWidth="1"/>
    <col min="4913" max="4913" width="6.42578125" style="642" customWidth="1"/>
    <col min="4914" max="4914" width="8.28515625" style="642" customWidth="1"/>
    <col min="4915" max="4915" width="5.42578125" style="642" customWidth="1"/>
    <col min="4916" max="4916" width="7.5703125" style="642" customWidth="1"/>
    <col min="4917" max="4917" width="5.140625" style="642" customWidth="1"/>
    <col min="4918" max="4920" width="9.140625" style="642" customWidth="1"/>
    <col min="4921" max="4921" width="9.140625" style="642"/>
    <col min="4922" max="4922" width="19.7109375" style="642" customWidth="1"/>
    <col min="4923" max="4923" width="6.5703125" style="642" customWidth="1"/>
    <col min="4924" max="4924" width="3.5703125" style="642" bestFit="1" customWidth="1"/>
    <col min="4925" max="4925" width="6.85546875" style="642" bestFit="1" customWidth="1"/>
    <col min="4926" max="4928" width="5.85546875" style="642" customWidth="1"/>
    <col min="4929" max="4929" width="6" style="642" bestFit="1" customWidth="1"/>
    <col min="4930" max="4932" width="0" style="642" hidden="1" customWidth="1"/>
    <col min="4933" max="4933" width="6" style="642" bestFit="1" customWidth="1"/>
    <col min="4934" max="4934" width="6.85546875" style="642" bestFit="1" customWidth="1"/>
    <col min="4935" max="4935" width="7" style="642" bestFit="1" customWidth="1"/>
    <col min="4936" max="4936" width="6" style="642" bestFit="1" customWidth="1"/>
    <col min="4937" max="4937" width="4.42578125" style="642" bestFit="1" customWidth="1"/>
    <col min="4938" max="4938" width="6" style="642" bestFit="1" customWidth="1"/>
    <col min="4939" max="4939" width="6.28515625" style="642" bestFit="1" customWidth="1"/>
    <col min="4940" max="4946" width="4.85546875" style="642" bestFit="1" customWidth="1"/>
    <col min="4947" max="4947" width="5" style="642" bestFit="1" customWidth="1"/>
    <col min="4948" max="4948" width="4.85546875" style="642" bestFit="1" customWidth="1"/>
    <col min="4949" max="4949" width="4.42578125" style="642" bestFit="1" customWidth="1"/>
    <col min="4950" max="4950" width="5.140625" style="642" bestFit="1" customWidth="1"/>
    <col min="4951" max="4951" width="4.85546875" style="642" bestFit="1" customWidth="1"/>
    <col min="4952" max="4952" width="5" style="642" bestFit="1" customWidth="1"/>
    <col min="4953" max="4954" width="5.28515625" style="642" bestFit="1" customWidth="1"/>
    <col min="4955" max="4955" width="5" style="642" bestFit="1" customWidth="1"/>
    <col min="4956" max="4956" width="4.42578125" style="642" bestFit="1" customWidth="1"/>
    <col min="4957" max="4957" width="4.5703125" style="642" bestFit="1" customWidth="1"/>
    <col min="4958" max="4959" width="5.140625" style="642" bestFit="1" customWidth="1"/>
    <col min="4960" max="4960" width="4.85546875" style="642" bestFit="1" customWidth="1"/>
    <col min="4961" max="4961" width="5.42578125" style="642" bestFit="1" customWidth="1"/>
    <col min="4962" max="4962" width="0" style="642" hidden="1" customWidth="1"/>
    <col min="4963" max="4963" width="6.5703125" style="642" bestFit="1" customWidth="1"/>
    <col min="4964" max="5104" width="9.140625" style="642"/>
    <col min="5105" max="5105" width="6" style="642" customWidth="1"/>
    <col min="5106" max="5106" width="1.5703125" style="642" bestFit="1" customWidth="1"/>
    <col min="5107" max="5107" width="5.42578125" style="642" bestFit="1" customWidth="1"/>
    <col min="5108" max="5108" width="20.28515625" style="642" customWidth="1"/>
    <col min="5109" max="5109" width="7.28515625" style="642" customWidth="1"/>
    <col min="5110" max="5110" width="5.28515625" style="642" customWidth="1"/>
    <col min="5111" max="5111" width="6.5703125" style="642" customWidth="1"/>
    <col min="5112" max="5112" width="4.42578125" style="642" customWidth="1"/>
    <col min="5113" max="5113" width="8.28515625" style="642" customWidth="1"/>
    <col min="5114" max="5114" width="4.7109375" style="642" customWidth="1"/>
    <col min="5115" max="5115" width="5.7109375" style="642" customWidth="1"/>
    <col min="5116" max="5116" width="8" style="642" customWidth="1"/>
    <col min="5117" max="5117" width="6.85546875" style="642" customWidth="1"/>
    <col min="5118" max="5118" width="6.140625" style="642" customWidth="1"/>
    <col min="5119" max="5120" width="8.28515625" style="642" customWidth="1"/>
    <col min="5121" max="5122" width="5.85546875" style="642" customWidth="1"/>
    <col min="5123" max="5123" width="7" style="642" customWidth="1"/>
    <col min="5124" max="5124" width="5.85546875" style="642" customWidth="1"/>
    <col min="5125" max="5125" width="6.42578125" style="642" customWidth="1"/>
    <col min="5126" max="5126" width="1.7109375" style="642" customWidth="1"/>
    <col min="5127" max="5128" width="6.42578125" style="642" customWidth="1"/>
    <col min="5129" max="5129" width="1.7109375" style="642" customWidth="1"/>
    <col min="5130" max="5130" width="6.42578125" style="642" customWidth="1"/>
    <col min="5131" max="5131" width="6.85546875" style="642" customWidth="1"/>
    <col min="5132" max="5132" width="5.7109375" style="642" customWidth="1"/>
    <col min="5133" max="5133" width="3.28515625" style="642" customWidth="1"/>
    <col min="5134" max="5134" width="4" style="642" customWidth="1"/>
    <col min="5135" max="5135" width="14" style="642" customWidth="1"/>
    <col min="5136" max="5136" width="9.140625" style="642" customWidth="1"/>
    <col min="5137" max="5137" width="9.5703125" style="642" customWidth="1"/>
    <col min="5138" max="5138" width="1.5703125" style="642" customWidth="1"/>
    <col min="5139" max="5139" width="5.42578125" style="642" customWidth="1"/>
    <col min="5140" max="5140" width="19.140625" style="642" customWidth="1"/>
    <col min="5141" max="5141" width="7.28515625" style="642" customWidth="1"/>
    <col min="5142" max="5142" width="5.28515625" style="642" customWidth="1"/>
    <col min="5143" max="5143" width="4" style="642" customWidth="1"/>
    <col min="5144" max="5148" width="4.85546875" style="642" customWidth="1"/>
    <col min="5149" max="5149" width="6.85546875" style="642" customWidth="1"/>
    <col min="5150" max="5150" width="5.7109375" style="642" customWidth="1"/>
    <col min="5151" max="5151" width="7.7109375" style="642" customWidth="1"/>
    <col min="5152" max="5152" width="6.85546875" style="642" customWidth="1"/>
    <col min="5153" max="5153" width="5.140625" style="642" customWidth="1"/>
    <col min="5154" max="5154" width="7.85546875" style="642" customWidth="1"/>
    <col min="5155" max="5155" width="4.42578125" style="642" customWidth="1"/>
    <col min="5156" max="5156" width="6.85546875" style="642" customWidth="1"/>
    <col min="5157" max="5158" width="8" style="642" customWidth="1"/>
    <col min="5159" max="5159" width="6" style="642" customWidth="1"/>
    <col min="5160" max="5160" width="3.140625" style="642" customWidth="1"/>
    <col min="5161" max="5161" width="6" style="642" customWidth="1"/>
    <col min="5162" max="5162" width="5.5703125" style="642" customWidth="1"/>
    <col min="5163" max="5163" width="6.7109375" style="642" customWidth="1"/>
    <col min="5164" max="5164" width="6.85546875" style="642" customWidth="1"/>
    <col min="5165" max="5165" width="8.140625" style="642" customWidth="1"/>
    <col min="5166" max="5166" width="4.42578125" style="642" customWidth="1"/>
    <col min="5167" max="5167" width="7.140625" style="642" customWidth="1"/>
    <col min="5168" max="5168" width="6.5703125" style="642" customWidth="1"/>
    <col min="5169" max="5169" width="6.42578125" style="642" customWidth="1"/>
    <col min="5170" max="5170" width="8.28515625" style="642" customWidth="1"/>
    <col min="5171" max="5171" width="5.42578125" style="642" customWidth="1"/>
    <col min="5172" max="5172" width="7.5703125" style="642" customWidth="1"/>
    <col min="5173" max="5173" width="5.140625" style="642" customWidth="1"/>
    <col min="5174" max="5176" width="9.140625" style="642" customWidth="1"/>
    <col min="5177" max="5177" width="9.140625" style="642"/>
    <col min="5178" max="5178" width="19.7109375" style="642" customWidth="1"/>
    <col min="5179" max="5179" width="6.5703125" style="642" customWidth="1"/>
    <col min="5180" max="5180" width="3.5703125" style="642" bestFit="1" customWidth="1"/>
    <col min="5181" max="5181" width="6.85546875" style="642" bestFit="1" customWidth="1"/>
    <col min="5182" max="5184" width="5.85546875" style="642" customWidth="1"/>
    <col min="5185" max="5185" width="6" style="642" bestFit="1" customWidth="1"/>
    <col min="5186" max="5188" width="0" style="642" hidden="1" customWidth="1"/>
    <col min="5189" max="5189" width="6" style="642" bestFit="1" customWidth="1"/>
    <col min="5190" max="5190" width="6.85546875" style="642" bestFit="1" customWidth="1"/>
    <col min="5191" max="5191" width="7" style="642" bestFit="1" customWidth="1"/>
    <col min="5192" max="5192" width="6" style="642" bestFit="1" customWidth="1"/>
    <col min="5193" max="5193" width="4.42578125" style="642" bestFit="1" customWidth="1"/>
    <col min="5194" max="5194" width="6" style="642" bestFit="1" customWidth="1"/>
    <col min="5195" max="5195" width="6.28515625" style="642" bestFit="1" customWidth="1"/>
    <col min="5196" max="5202" width="4.85546875" style="642" bestFit="1" customWidth="1"/>
    <col min="5203" max="5203" width="5" style="642" bestFit="1" customWidth="1"/>
    <col min="5204" max="5204" width="4.85546875" style="642" bestFit="1" customWidth="1"/>
    <col min="5205" max="5205" width="4.42578125" style="642" bestFit="1" customWidth="1"/>
    <col min="5206" max="5206" width="5.140625" style="642" bestFit="1" customWidth="1"/>
    <col min="5207" max="5207" width="4.85546875" style="642" bestFit="1" customWidth="1"/>
    <col min="5208" max="5208" width="5" style="642" bestFit="1" customWidth="1"/>
    <col min="5209" max="5210" width="5.28515625" style="642" bestFit="1" customWidth="1"/>
    <col min="5211" max="5211" width="5" style="642" bestFit="1" customWidth="1"/>
    <col min="5212" max="5212" width="4.42578125" style="642" bestFit="1" customWidth="1"/>
    <col min="5213" max="5213" width="4.5703125" style="642" bestFit="1" customWidth="1"/>
    <col min="5214" max="5215" width="5.140625" style="642" bestFit="1" customWidth="1"/>
    <col min="5216" max="5216" width="4.85546875" style="642" bestFit="1" customWidth="1"/>
    <col min="5217" max="5217" width="5.42578125" style="642" bestFit="1" customWidth="1"/>
    <col min="5218" max="5218" width="0" style="642" hidden="1" customWidth="1"/>
    <col min="5219" max="5219" width="6.5703125" style="642" bestFit="1" customWidth="1"/>
    <col min="5220" max="5360" width="9.140625" style="642"/>
    <col min="5361" max="5361" width="6" style="642" customWidth="1"/>
    <col min="5362" max="5362" width="1.5703125" style="642" bestFit="1" customWidth="1"/>
    <col min="5363" max="5363" width="5.42578125" style="642" bestFit="1" customWidth="1"/>
    <col min="5364" max="5364" width="20.28515625" style="642" customWidth="1"/>
    <col min="5365" max="5365" width="7.28515625" style="642" customWidth="1"/>
    <col min="5366" max="5366" width="5.28515625" style="642" customWidth="1"/>
    <col min="5367" max="5367" width="6.5703125" style="642" customWidth="1"/>
    <col min="5368" max="5368" width="4.42578125" style="642" customWidth="1"/>
    <col min="5369" max="5369" width="8.28515625" style="642" customWidth="1"/>
    <col min="5370" max="5370" width="4.7109375" style="642" customWidth="1"/>
    <col min="5371" max="5371" width="5.7109375" style="642" customWidth="1"/>
    <col min="5372" max="5372" width="8" style="642" customWidth="1"/>
    <col min="5373" max="5373" width="6.85546875" style="642" customWidth="1"/>
    <col min="5374" max="5374" width="6.140625" style="642" customWidth="1"/>
    <col min="5375" max="5376" width="8.28515625" style="642" customWidth="1"/>
    <col min="5377" max="5378" width="5.85546875" style="642" customWidth="1"/>
    <col min="5379" max="5379" width="7" style="642" customWidth="1"/>
    <col min="5380" max="5380" width="5.85546875" style="642" customWidth="1"/>
    <col min="5381" max="5381" width="6.42578125" style="642" customWidth="1"/>
    <col min="5382" max="5382" width="1.7109375" style="642" customWidth="1"/>
    <col min="5383" max="5384" width="6.42578125" style="642" customWidth="1"/>
    <col min="5385" max="5385" width="1.7109375" style="642" customWidth="1"/>
    <col min="5386" max="5386" width="6.42578125" style="642" customWidth="1"/>
    <col min="5387" max="5387" width="6.85546875" style="642" customWidth="1"/>
    <col min="5388" max="5388" width="5.7109375" style="642" customWidth="1"/>
    <col min="5389" max="5389" width="3.28515625" style="642" customWidth="1"/>
    <col min="5390" max="5390" width="4" style="642" customWidth="1"/>
    <col min="5391" max="5391" width="14" style="642" customWidth="1"/>
    <col min="5392" max="5392" width="9.140625" style="642" customWidth="1"/>
    <col min="5393" max="5393" width="9.5703125" style="642" customWidth="1"/>
    <col min="5394" max="5394" width="1.5703125" style="642" customWidth="1"/>
    <col min="5395" max="5395" width="5.42578125" style="642" customWidth="1"/>
    <col min="5396" max="5396" width="19.140625" style="642" customWidth="1"/>
    <col min="5397" max="5397" width="7.28515625" style="642" customWidth="1"/>
    <col min="5398" max="5398" width="5.28515625" style="642" customWidth="1"/>
    <col min="5399" max="5399" width="4" style="642" customWidth="1"/>
    <col min="5400" max="5404" width="4.85546875" style="642" customWidth="1"/>
    <col min="5405" max="5405" width="6.85546875" style="642" customWidth="1"/>
    <col min="5406" max="5406" width="5.7109375" style="642" customWidth="1"/>
    <col min="5407" max="5407" width="7.7109375" style="642" customWidth="1"/>
    <col min="5408" max="5408" width="6.85546875" style="642" customWidth="1"/>
    <col min="5409" max="5409" width="5.140625" style="642" customWidth="1"/>
    <col min="5410" max="5410" width="7.85546875" style="642" customWidth="1"/>
    <col min="5411" max="5411" width="4.42578125" style="642" customWidth="1"/>
    <col min="5412" max="5412" width="6.85546875" style="642" customWidth="1"/>
    <col min="5413" max="5414" width="8" style="642" customWidth="1"/>
    <col min="5415" max="5415" width="6" style="642" customWidth="1"/>
    <col min="5416" max="5416" width="3.140625" style="642" customWidth="1"/>
    <col min="5417" max="5417" width="6" style="642" customWidth="1"/>
    <col min="5418" max="5418" width="5.5703125" style="642" customWidth="1"/>
    <col min="5419" max="5419" width="6.7109375" style="642" customWidth="1"/>
    <col min="5420" max="5420" width="6.85546875" style="642" customWidth="1"/>
    <col min="5421" max="5421" width="8.140625" style="642" customWidth="1"/>
    <col min="5422" max="5422" width="4.42578125" style="642" customWidth="1"/>
    <col min="5423" max="5423" width="7.140625" style="642" customWidth="1"/>
    <col min="5424" max="5424" width="6.5703125" style="642" customWidth="1"/>
    <col min="5425" max="5425" width="6.42578125" style="642" customWidth="1"/>
    <col min="5426" max="5426" width="8.28515625" style="642" customWidth="1"/>
    <col min="5427" max="5427" width="5.42578125" style="642" customWidth="1"/>
    <col min="5428" max="5428" width="7.5703125" style="642" customWidth="1"/>
    <col min="5429" max="5429" width="5.140625" style="642" customWidth="1"/>
    <col min="5430" max="5432" width="9.140625" style="642" customWidth="1"/>
    <col min="5433" max="5433" width="9.140625" style="642"/>
    <col min="5434" max="5434" width="19.7109375" style="642" customWidth="1"/>
    <col min="5435" max="5435" width="6.5703125" style="642" customWidth="1"/>
    <col min="5436" max="5436" width="3.5703125" style="642" bestFit="1" customWidth="1"/>
    <col min="5437" max="5437" width="6.85546875" style="642" bestFit="1" customWidth="1"/>
    <col min="5438" max="5440" width="5.85546875" style="642" customWidth="1"/>
    <col min="5441" max="5441" width="6" style="642" bestFit="1" customWidth="1"/>
    <col min="5442" max="5444" width="0" style="642" hidden="1" customWidth="1"/>
    <col min="5445" max="5445" width="6" style="642" bestFit="1" customWidth="1"/>
    <col min="5446" max="5446" width="6.85546875" style="642" bestFit="1" customWidth="1"/>
    <col min="5447" max="5447" width="7" style="642" bestFit="1" customWidth="1"/>
    <col min="5448" max="5448" width="6" style="642" bestFit="1" customWidth="1"/>
    <col min="5449" max="5449" width="4.42578125" style="642" bestFit="1" customWidth="1"/>
    <col min="5450" max="5450" width="6" style="642" bestFit="1" customWidth="1"/>
    <col min="5451" max="5451" width="6.28515625" style="642" bestFit="1" customWidth="1"/>
    <col min="5452" max="5458" width="4.85546875" style="642" bestFit="1" customWidth="1"/>
    <col min="5459" max="5459" width="5" style="642" bestFit="1" customWidth="1"/>
    <col min="5460" max="5460" width="4.85546875" style="642" bestFit="1" customWidth="1"/>
    <col min="5461" max="5461" width="4.42578125" style="642" bestFit="1" customWidth="1"/>
    <col min="5462" max="5462" width="5.140625" style="642" bestFit="1" customWidth="1"/>
    <col min="5463" max="5463" width="4.85546875" style="642" bestFit="1" customWidth="1"/>
    <col min="5464" max="5464" width="5" style="642" bestFit="1" customWidth="1"/>
    <col min="5465" max="5466" width="5.28515625" style="642" bestFit="1" customWidth="1"/>
    <col min="5467" max="5467" width="5" style="642" bestFit="1" customWidth="1"/>
    <col min="5468" max="5468" width="4.42578125" style="642" bestFit="1" customWidth="1"/>
    <col min="5469" max="5469" width="4.5703125" style="642" bestFit="1" customWidth="1"/>
    <col min="5470" max="5471" width="5.140625" style="642" bestFit="1" customWidth="1"/>
    <col min="5472" max="5472" width="4.85546875" style="642" bestFit="1" customWidth="1"/>
    <col min="5473" max="5473" width="5.42578125" style="642" bestFit="1" customWidth="1"/>
    <col min="5474" max="5474" width="0" style="642" hidden="1" customWidth="1"/>
    <col min="5475" max="5475" width="6.5703125" style="642" bestFit="1" customWidth="1"/>
    <col min="5476" max="5616" width="9.140625" style="642"/>
    <col min="5617" max="5617" width="6" style="642" customWidth="1"/>
    <col min="5618" max="5618" width="1.5703125" style="642" bestFit="1" customWidth="1"/>
    <col min="5619" max="5619" width="5.42578125" style="642" bestFit="1" customWidth="1"/>
    <col min="5620" max="5620" width="20.28515625" style="642" customWidth="1"/>
    <col min="5621" max="5621" width="7.28515625" style="642" customWidth="1"/>
    <col min="5622" max="5622" width="5.28515625" style="642" customWidth="1"/>
    <col min="5623" max="5623" width="6.5703125" style="642" customWidth="1"/>
    <col min="5624" max="5624" width="4.42578125" style="642" customWidth="1"/>
    <col min="5625" max="5625" width="8.28515625" style="642" customWidth="1"/>
    <col min="5626" max="5626" width="4.7109375" style="642" customWidth="1"/>
    <col min="5627" max="5627" width="5.7109375" style="642" customWidth="1"/>
    <col min="5628" max="5628" width="8" style="642" customWidth="1"/>
    <col min="5629" max="5629" width="6.85546875" style="642" customWidth="1"/>
    <col min="5630" max="5630" width="6.140625" style="642" customWidth="1"/>
    <col min="5631" max="5632" width="8.28515625" style="642" customWidth="1"/>
    <col min="5633" max="5634" width="5.85546875" style="642" customWidth="1"/>
    <col min="5635" max="5635" width="7" style="642" customWidth="1"/>
    <col min="5636" max="5636" width="5.85546875" style="642" customWidth="1"/>
    <col min="5637" max="5637" width="6.42578125" style="642" customWidth="1"/>
    <col min="5638" max="5638" width="1.7109375" style="642" customWidth="1"/>
    <col min="5639" max="5640" width="6.42578125" style="642" customWidth="1"/>
    <col min="5641" max="5641" width="1.7109375" style="642" customWidth="1"/>
    <col min="5642" max="5642" width="6.42578125" style="642" customWidth="1"/>
    <col min="5643" max="5643" width="6.85546875" style="642" customWidth="1"/>
    <col min="5644" max="5644" width="5.7109375" style="642" customWidth="1"/>
    <col min="5645" max="5645" width="3.28515625" style="642" customWidth="1"/>
    <col min="5646" max="5646" width="4" style="642" customWidth="1"/>
    <col min="5647" max="5647" width="14" style="642" customWidth="1"/>
    <col min="5648" max="5648" width="9.140625" style="642" customWidth="1"/>
    <col min="5649" max="5649" width="9.5703125" style="642" customWidth="1"/>
    <col min="5650" max="5650" width="1.5703125" style="642" customWidth="1"/>
    <col min="5651" max="5651" width="5.42578125" style="642" customWidth="1"/>
    <col min="5652" max="5652" width="19.140625" style="642" customWidth="1"/>
    <col min="5653" max="5653" width="7.28515625" style="642" customWidth="1"/>
    <col min="5654" max="5654" width="5.28515625" style="642" customWidth="1"/>
    <col min="5655" max="5655" width="4" style="642" customWidth="1"/>
    <col min="5656" max="5660" width="4.85546875" style="642" customWidth="1"/>
    <col min="5661" max="5661" width="6.85546875" style="642" customWidth="1"/>
    <col min="5662" max="5662" width="5.7109375" style="642" customWidth="1"/>
    <col min="5663" max="5663" width="7.7109375" style="642" customWidth="1"/>
    <col min="5664" max="5664" width="6.85546875" style="642" customWidth="1"/>
    <col min="5665" max="5665" width="5.140625" style="642" customWidth="1"/>
    <col min="5666" max="5666" width="7.85546875" style="642" customWidth="1"/>
    <col min="5667" max="5667" width="4.42578125" style="642" customWidth="1"/>
    <col min="5668" max="5668" width="6.85546875" style="642" customWidth="1"/>
    <col min="5669" max="5670" width="8" style="642" customWidth="1"/>
    <col min="5671" max="5671" width="6" style="642" customWidth="1"/>
    <col min="5672" max="5672" width="3.140625" style="642" customWidth="1"/>
    <col min="5673" max="5673" width="6" style="642" customWidth="1"/>
    <col min="5674" max="5674" width="5.5703125" style="642" customWidth="1"/>
    <col min="5675" max="5675" width="6.7109375" style="642" customWidth="1"/>
    <col min="5676" max="5676" width="6.85546875" style="642" customWidth="1"/>
    <col min="5677" max="5677" width="8.140625" style="642" customWidth="1"/>
    <col min="5678" max="5678" width="4.42578125" style="642" customWidth="1"/>
    <col min="5679" max="5679" width="7.140625" style="642" customWidth="1"/>
    <col min="5680" max="5680" width="6.5703125" style="642" customWidth="1"/>
    <col min="5681" max="5681" width="6.42578125" style="642" customWidth="1"/>
    <col min="5682" max="5682" width="8.28515625" style="642" customWidth="1"/>
    <col min="5683" max="5683" width="5.42578125" style="642" customWidth="1"/>
    <col min="5684" max="5684" width="7.5703125" style="642" customWidth="1"/>
    <col min="5685" max="5685" width="5.140625" style="642" customWidth="1"/>
    <col min="5686" max="5688" width="9.140625" style="642" customWidth="1"/>
    <col min="5689" max="5689" width="9.140625" style="642"/>
    <col min="5690" max="5690" width="19.7109375" style="642" customWidth="1"/>
    <col min="5691" max="5691" width="6.5703125" style="642" customWidth="1"/>
    <col min="5692" max="5692" width="3.5703125" style="642" bestFit="1" customWidth="1"/>
    <col min="5693" max="5693" width="6.85546875" style="642" bestFit="1" customWidth="1"/>
    <col min="5694" max="5696" width="5.85546875" style="642" customWidth="1"/>
    <col min="5697" max="5697" width="6" style="642" bestFit="1" customWidth="1"/>
    <col min="5698" max="5700" width="0" style="642" hidden="1" customWidth="1"/>
    <col min="5701" max="5701" width="6" style="642" bestFit="1" customWidth="1"/>
    <col min="5702" max="5702" width="6.85546875" style="642" bestFit="1" customWidth="1"/>
    <col min="5703" max="5703" width="7" style="642" bestFit="1" customWidth="1"/>
    <col min="5704" max="5704" width="6" style="642" bestFit="1" customWidth="1"/>
    <col min="5705" max="5705" width="4.42578125" style="642" bestFit="1" customWidth="1"/>
    <col min="5706" max="5706" width="6" style="642" bestFit="1" customWidth="1"/>
    <col min="5707" max="5707" width="6.28515625" style="642" bestFit="1" customWidth="1"/>
    <col min="5708" max="5714" width="4.85546875" style="642" bestFit="1" customWidth="1"/>
    <col min="5715" max="5715" width="5" style="642" bestFit="1" customWidth="1"/>
    <col min="5716" max="5716" width="4.85546875" style="642" bestFit="1" customWidth="1"/>
    <col min="5717" max="5717" width="4.42578125" style="642" bestFit="1" customWidth="1"/>
    <col min="5718" max="5718" width="5.140625" style="642" bestFit="1" customWidth="1"/>
    <col min="5719" max="5719" width="4.85546875" style="642" bestFit="1" customWidth="1"/>
    <col min="5720" max="5720" width="5" style="642" bestFit="1" customWidth="1"/>
    <col min="5721" max="5722" width="5.28515625" style="642" bestFit="1" customWidth="1"/>
    <col min="5723" max="5723" width="5" style="642" bestFit="1" customWidth="1"/>
    <col min="5724" max="5724" width="4.42578125" style="642" bestFit="1" customWidth="1"/>
    <col min="5725" max="5725" width="4.5703125" style="642" bestFit="1" customWidth="1"/>
    <col min="5726" max="5727" width="5.140625" style="642" bestFit="1" customWidth="1"/>
    <col min="5728" max="5728" width="4.85546875" style="642" bestFit="1" customWidth="1"/>
    <col min="5729" max="5729" width="5.42578125" style="642" bestFit="1" customWidth="1"/>
    <col min="5730" max="5730" width="0" style="642" hidden="1" customWidth="1"/>
    <col min="5731" max="5731" width="6.5703125" style="642" bestFit="1" customWidth="1"/>
    <col min="5732" max="5872" width="9.140625" style="642"/>
    <col min="5873" max="5873" width="6" style="642" customWidth="1"/>
    <col min="5874" max="5874" width="1.5703125" style="642" bestFit="1" customWidth="1"/>
    <col min="5875" max="5875" width="5.42578125" style="642" bestFit="1" customWidth="1"/>
    <col min="5876" max="5876" width="20.28515625" style="642" customWidth="1"/>
    <col min="5877" max="5877" width="7.28515625" style="642" customWidth="1"/>
    <col min="5878" max="5878" width="5.28515625" style="642" customWidth="1"/>
    <col min="5879" max="5879" width="6.5703125" style="642" customWidth="1"/>
    <col min="5880" max="5880" width="4.42578125" style="642" customWidth="1"/>
    <col min="5881" max="5881" width="8.28515625" style="642" customWidth="1"/>
    <col min="5882" max="5882" width="4.7109375" style="642" customWidth="1"/>
    <col min="5883" max="5883" width="5.7109375" style="642" customWidth="1"/>
    <col min="5884" max="5884" width="8" style="642" customWidth="1"/>
    <col min="5885" max="5885" width="6.85546875" style="642" customWidth="1"/>
    <col min="5886" max="5886" width="6.140625" style="642" customWidth="1"/>
    <col min="5887" max="5888" width="8.28515625" style="642" customWidth="1"/>
    <col min="5889" max="5890" width="5.85546875" style="642" customWidth="1"/>
    <col min="5891" max="5891" width="7" style="642" customWidth="1"/>
    <col min="5892" max="5892" width="5.85546875" style="642" customWidth="1"/>
    <col min="5893" max="5893" width="6.42578125" style="642" customWidth="1"/>
    <col min="5894" max="5894" width="1.7109375" style="642" customWidth="1"/>
    <col min="5895" max="5896" width="6.42578125" style="642" customWidth="1"/>
    <col min="5897" max="5897" width="1.7109375" style="642" customWidth="1"/>
    <col min="5898" max="5898" width="6.42578125" style="642" customWidth="1"/>
    <col min="5899" max="5899" width="6.85546875" style="642" customWidth="1"/>
    <col min="5900" max="5900" width="5.7109375" style="642" customWidth="1"/>
    <col min="5901" max="5901" width="3.28515625" style="642" customWidth="1"/>
    <col min="5902" max="5902" width="4" style="642" customWidth="1"/>
    <col min="5903" max="5903" width="14" style="642" customWidth="1"/>
    <col min="5904" max="5904" width="9.140625" style="642" customWidth="1"/>
    <col min="5905" max="5905" width="9.5703125" style="642" customWidth="1"/>
    <col min="5906" max="5906" width="1.5703125" style="642" customWidth="1"/>
    <col min="5907" max="5907" width="5.42578125" style="642" customWidth="1"/>
    <col min="5908" max="5908" width="19.140625" style="642" customWidth="1"/>
    <col min="5909" max="5909" width="7.28515625" style="642" customWidth="1"/>
    <col min="5910" max="5910" width="5.28515625" style="642" customWidth="1"/>
    <col min="5911" max="5911" width="4" style="642" customWidth="1"/>
    <col min="5912" max="5916" width="4.85546875" style="642" customWidth="1"/>
    <col min="5917" max="5917" width="6.85546875" style="642" customWidth="1"/>
    <col min="5918" max="5918" width="5.7109375" style="642" customWidth="1"/>
    <col min="5919" max="5919" width="7.7109375" style="642" customWidth="1"/>
    <col min="5920" max="5920" width="6.85546875" style="642" customWidth="1"/>
    <col min="5921" max="5921" width="5.140625" style="642" customWidth="1"/>
    <col min="5922" max="5922" width="7.85546875" style="642" customWidth="1"/>
    <col min="5923" max="5923" width="4.42578125" style="642" customWidth="1"/>
    <col min="5924" max="5924" width="6.85546875" style="642" customWidth="1"/>
    <col min="5925" max="5926" width="8" style="642" customWidth="1"/>
    <col min="5927" max="5927" width="6" style="642" customWidth="1"/>
    <col min="5928" max="5928" width="3.140625" style="642" customWidth="1"/>
    <col min="5929" max="5929" width="6" style="642" customWidth="1"/>
    <col min="5930" max="5930" width="5.5703125" style="642" customWidth="1"/>
    <col min="5931" max="5931" width="6.7109375" style="642" customWidth="1"/>
    <col min="5932" max="5932" width="6.85546875" style="642" customWidth="1"/>
    <col min="5933" max="5933" width="8.140625" style="642" customWidth="1"/>
    <col min="5934" max="5934" width="4.42578125" style="642" customWidth="1"/>
    <col min="5935" max="5935" width="7.140625" style="642" customWidth="1"/>
    <col min="5936" max="5936" width="6.5703125" style="642" customWidth="1"/>
    <col min="5937" max="5937" width="6.42578125" style="642" customWidth="1"/>
    <col min="5938" max="5938" width="8.28515625" style="642" customWidth="1"/>
    <col min="5939" max="5939" width="5.42578125" style="642" customWidth="1"/>
    <col min="5940" max="5940" width="7.5703125" style="642" customWidth="1"/>
    <col min="5941" max="5941" width="5.140625" style="642" customWidth="1"/>
    <col min="5942" max="5944" width="9.140625" style="642" customWidth="1"/>
    <col min="5945" max="5945" width="9.140625" style="642"/>
    <col min="5946" max="5946" width="19.7109375" style="642" customWidth="1"/>
    <col min="5947" max="5947" width="6.5703125" style="642" customWidth="1"/>
    <col min="5948" max="5948" width="3.5703125" style="642" bestFit="1" customWidth="1"/>
    <col min="5949" max="5949" width="6.85546875" style="642" bestFit="1" customWidth="1"/>
    <col min="5950" max="5952" width="5.85546875" style="642" customWidth="1"/>
    <col min="5953" max="5953" width="6" style="642" bestFit="1" customWidth="1"/>
    <col min="5954" max="5956" width="0" style="642" hidden="1" customWidth="1"/>
    <col min="5957" max="5957" width="6" style="642" bestFit="1" customWidth="1"/>
    <col min="5958" max="5958" width="6.85546875" style="642" bestFit="1" customWidth="1"/>
    <col min="5959" max="5959" width="7" style="642" bestFit="1" customWidth="1"/>
    <col min="5960" max="5960" width="6" style="642" bestFit="1" customWidth="1"/>
    <col min="5961" max="5961" width="4.42578125" style="642" bestFit="1" customWidth="1"/>
    <col min="5962" max="5962" width="6" style="642" bestFit="1" customWidth="1"/>
    <col min="5963" max="5963" width="6.28515625" style="642" bestFit="1" customWidth="1"/>
    <col min="5964" max="5970" width="4.85546875" style="642" bestFit="1" customWidth="1"/>
    <col min="5971" max="5971" width="5" style="642" bestFit="1" customWidth="1"/>
    <col min="5972" max="5972" width="4.85546875" style="642" bestFit="1" customWidth="1"/>
    <col min="5973" max="5973" width="4.42578125" style="642" bestFit="1" customWidth="1"/>
    <col min="5974" max="5974" width="5.140625" style="642" bestFit="1" customWidth="1"/>
    <col min="5975" max="5975" width="4.85546875" style="642" bestFit="1" customWidth="1"/>
    <col min="5976" max="5976" width="5" style="642" bestFit="1" customWidth="1"/>
    <col min="5977" max="5978" width="5.28515625" style="642" bestFit="1" customWidth="1"/>
    <col min="5979" max="5979" width="5" style="642" bestFit="1" customWidth="1"/>
    <col min="5980" max="5980" width="4.42578125" style="642" bestFit="1" customWidth="1"/>
    <col min="5981" max="5981" width="4.5703125" style="642" bestFit="1" customWidth="1"/>
    <col min="5982" max="5983" width="5.140625" style="642" bestFit="1" customWidth="1"/>
    <col min="5984" max="5984" width="4.85546875" style="642" bestFit="1" customWidth="1"/>
    <col min="5985" max="5985" width="5.42578125" style="642" bestFit="1" customWidth="1"/>
    <col min="5986" max="5986" width="0" style="642" hidden="1" customWidth="1"/>
    <col min="5987" max="5987" width="6.5703125" style="642" bestFit="1" customWidth="1"/>
    <col min="5988" max="6128" width="9.140625" style="642"/>
    <col min="6129" max="6129" width="6" style="642" customWidth="1"/>
    <col min="6130" max="6130" width="1.5703125" style="642" bestFit="1" customWidth="1"/>
    <col min="6131" max="6131" width="5.42578125" style="642" bestFit="1" customWidth="1"/>
    <col min="6132" max="6132" width="20.28515625" style="642" customWidth="1"/>
    <col min="6133" max="6133" width="7.28515625" style="642" customWidth="1"/>
    <col min="6134" max="6134" width="5.28515625" style="642" customWidth="1"/>
    <col min="6135" max="6135" width="6.5703125" style="642" customWidth="1"/>
    <col min="6136" max="6136" width="4.42578125" style="642" customWidth="1"/>
    <col min="6137" max="6137" width="8.28515625" style="642" customWidth="1"/>
    <col min="6138" max="6138" width="4.7109375" style="642" customWidth="1"/>
    <col min="6139" max="6139" width="5.7109375" style="642" customWidth="1"/>
    <col min="6140" max="6140" width="8" style="642" customWidth="1"/>
    <col min="6141" max="6141" width="6.85546875" style="642" customWidth="1"/>
    <col min="6142" max="6142" width="6.140625" style="642" customWidth="1"/>
    <col min="6143" max="6144" width="8.28515625" style="642" customWidth="1"/>
    <col min="6145" max="6146" width="5.85546875" style="642" customWidth="1"/>
    <col min="6147" max="6147" width="7" style="642" customWidth="1"/>
    <col min="6148" max="6148" width="5.85546875" style="642" customWidth="1"/>
    <col min="6149" max="6149" width="6.42578125" style="642" customWidth="1"/>
    <col min="6150" max="6150" width="1.7109375" style="642" customWidth="1"/>
    <col min="6151" max="6152" width="6.42578125" style="642" customWidth="1"/>
    <col min="6153" max="6153" width="1.7109375" style="642" customWidth="1"/>
    <col min="6154" max="6154" width="6.42578125" style="642" customWidth="1"/>
    <col min="6155" max="6155" width="6.85546875" style="642" customWidth="1"/>
    <col min="6156" max="6156" width="5.7109375" style="642" customWidth="1"/>
    <col min="6157" max="6157" width="3.28515625" style="642" customWidth="1"/>
    <col min="6158" max="6158" width="4" style="642" customWidth="1"/>
    <col min="6159" max="6159" width="14" style="642" customWidth="1"/>
    <col min="6160" max="6160" width="9.140625" style="642" customWidth="1"/>
    <col min="6161" max="6161" width="9.5703125" style="642" customWidth="1"/>
    <col min="6162" max="6162" width="1.5703125" style="642" customWidth="1"/>
    <col min="6163" max="6163" width="5.42578125" style="642" customWidth="1"/>
    <col min="6164" max="6164" width="19.140625" style="642" customWidth="1"/>
    <col min="6165" max="6165" width="7.28515625" style="642" customWidth="1"/>
    <col min="6166" max="6166" width="5.28515625" style="642" customWidth="1"/>
    <col min="6167" max="6167" width="4" style="642" customWidth="1"/>
    <col min="6168" max="6172" width="4.85546875" style="642" customWidth="1"/>
    <col min="6173" max="6173" width="6.85546875" style="642" customWidth="1"/>
    <col min="6174" max="6174" width="5.7109375" style="642" customWidth="1"/>
    <col min="6175" max="6175" width="7.7109375" style="642" customWidth="1"/>
    <col min="6176" max="6176" width="6.85546875" style="642" customWidth="1"/>
    <col min="6177" max="6177" width="5.140625" style="642" customWidth="1"/>
    <col min="6178" max="6178" width="7.85546875" style="642" customWidth="1"/>
    <col min="6179" max="6179" width="4.42578125" style="642" customWidth="1"/>
    <col min="6180" max="6180" width="6.85546875" style="642" customWidth="1"/>
    <col min="6181" max="6182" width="8" style="642" customWidth="1"/>
    <col min="6183" max="6183" width="6" style="642" customWidth="1"/>
    <col min="6184" max="6184" width="3.140625" style="642" customWidth="1"/>
    <col min="6185" max="6185" width="6" style="642" customWidth="1"/>
    <col min="6186" max="6186" width="5.5703125" style="642" customWidth="1"/>
    <col min="6187" max="6187" width="6.7109375" style="642" customWidth="1"/>
    <col min="6188" max="6188" width="6.85546875" style="642" customWidth="1"/>
    <col min="6189" max="6189" width="8.140625" style="642" customWidth="1"/>
    <col min="6190" max="6190" width="4.42578125" style="642" customWidth="1"/>
    <col min="6191" max="6191" width="7.140625" style="642" customWidth="1"/>
    <col min="6192" max="6192" width="6.5703125" style="642" customWidth="1"/>
    <col min="6193" max="6193" width="6.42578125" style="642" customWidth="1"/>
    <col min="6194" max="6194" width="8.28515625" style="642" customWidth="1"/>
    <col min="6195" max="6195" width="5.42578125" style="642" customWidth="1"/>
    <col min="6196" max="6196" width="7.5703125" style="642" customWidth="1"/>
    <col min="6197" max="6197" width="5.140625" style="642" customWidth="1"/>
    <col min="6198" max="6200" width="9.140625" style="642" customWidth="1"/>
    <col min="6201" max="6201" width="9.140625" style="642"/>
    <col min="6202" max="6202" width="19.7109375" style="642" customWidth="1"/>
    <col min="6203" max="6203" width="6.5703125" style="642" customWidth="1"/>
    <col min="6204" max="6204" width="3.5703125" style="642" bestFit="1" customWidth="1"/>
    <col min="6205" max="6205" width="6.85546875" style="642" bestFit="1" customWidth="1"/>
    <col min="6206" max="6208" width="5.85546875" style="642" customWidth="1"/>
    <col min="6209" max="6209" width="6" style="642" bestFit="1" customWidth="1"/>
    <col min="6210" max="6212" width="0" style="642" hidden="1" customWidth="1"/>
    <col min="6213" max="6213" width="6" style="642" bestFit="1" customWidth="1"/>
    <col min="6214" max="6214" width="6.85546875" style="642" bestFit="1" customWidth="1"/>
    <col min="6215" max="6215" width="7" style="642" bestFit="1" customWidth="1"/>
    <col min="6216" max="6216" width="6" style="642" bestFit="1" customWidth="1"/>
    <col min="6217" max="6217" width="4.42578125" style="642" bestFit="1" customWidth="1"/>
    <col min="6218" max="6218" width="6" style="642" bestFit="1" customWidth="1"/>
    <col min="6219" max="6219" width="6.28515625" style="642" bestFit="1" customWidth="1"/>
    <col min="6220" max="6226" width="4.85546875" style="642" bestFit="1" customWidth="1"/>
    <col min="6227" max="6227" width="5" style="642" bestFit="1" customWidth="1"/>
    <col min="6228" max="6228" width="4.85546875" style="642" bestFit="1" customWidth="1"/>
    <col min="6229" max="6229" width="4.42578125" style="642" bestFit="1" customWidth="1"/>
    <col min="6230" max="6230" width="5.140625" style="642" bestFit="1" customWidth="1"/>
    <col min="6231" max="6231" width="4.85546875" style="642" bestFit="1" customWidth="1"/>
    <col min="6232" max="6232" width="5" style="642" bestFit="1" customWidth="1"/>
    <col min="6233" max="6234" width="5.28515625" style="642" bestFit="1" customWidth="1"/>
    <col min="6235" max="6235" width="5" style="642" bestFit="1" customWidth="1"/>
    <col min="6236" max="6236" width="4.42578125" style="642" bestFit="1" customWidth="1"/>
    <col min="6237" max="6237" width="4.5703125" style="642" bestFit="1" customWidth="1"/>
    <col min="6238" max="6239" width="5.140625" style="642" bestFit="1" customWidth="1"/>
    <col min="6240" max="6240" width="4.85546875" style="642" bestFit="1" customWidth="1"/>
    <col min="6241" max="6241" width="5.42578125" style="642" bestFit="1" customWidth="1"/>
    <col min="6242" max="6242" width="0" style="642" hidden="1" customWidth="1"/>
    <col min="6243" max="6243" width="6.5703125" style="642" bestFit="1" customWidth="1"/>
    <col min="6244" max="6384" width="9.140625" style="642"/>
    <col min="6385" max="6385" width="6" style="642" customWidth="1"/>
    <col min="6386" max="6386" width="1.5703125" style="642" bestFit="1" customWidth="1"/>
    <col min="6387" max="6387" width="5.42578125" style="642" bestFit="1" customWidth="1"/>
    <col min="6388" max="6388" width="20.28515625" style="642" customWidth="1"/>
    <col min="6389" max="6389" width="7.28515625" style="642" customWidth="1"/>
    <col min="6390" max="6390" width="5.28515625" style="642" customWidth="1"/>
    <col min="6391" max="6391" width="6.5703125" style="642" customWidth="1"/>
    <col min="6392" max="6392" width="4.42578125" style="642" customWidth="1"/>
    <col min="6393" max="6393" width="8.28515625" style="642" customWidth="1"/>
    <col min="6394" max="6394" width="4.7109375" style="642" customWidth="1"/>
    <col min="6395" max="6395" width="5.7109375" style="642" customWidth="1"/>
    <col min="6396" max="6396" width="8" style="642" customWidth="1"/>
    <col min="6397" max="6397" width="6.85546875" style="642" customWidth="1"/>
    <col min="6398" max="6398" width="6.140625" style="642" customWidth="1"/>
    <col min="6399" max="6400" width="8.28515625" style="642" customWidth="1"/>
    <col min="6401" max="6402" width="5.85546875" style="642" customWidth="1"/>
    <col min="6403" max="6403" width="7" style="642" customWidth="1"/>
    <col min="6404" max="6404" width="5.85546875" style="642" customWidth="1"/>
    <col min="6405" max="6405" width="6.42578125" style="642" customWidth="1"/>
    <col min="6406" max="6406" width="1.7109375" style="642" customWidth="1"/>
    <col min="6407" max="6408" width="6.42578125" style="642" customWidth="1"/>
    <col min="6409" max="6409" width="1.7109375" style="642" customWidth="1"/>
    <col min="6410" max="6410" width="6.42578125" style="642" customWidth="1"/>
    <col min="6411" max="6411" width="6.85546875" style="642" customWidth="1"/>
    <col min="6412" max="6412" width="5.7109375" style="642" customWidth="1"/>
    <col min="6413" max="6413" width="3.28515625" style="642" customWidth="1"/>
    <col min="6414" max="6414" width="4" style="642" customWidth="1"/>
    <col min="6415" max="6415" width="14" style="642" customWidth="1"/>
    <col min="6416" max="6416" width="9.140625" style="642" customWidth="1"/>
    <col min="6417" max="6417" width="9.5703125" style="642" customWidth="1"/>
    <col min="6418" max="6418" width="1.5703125" style="642" customWidth="1"/>
    <col min="6419" max="6419" width="5.42578125" style="642" customWidth="1"/>
    <col min="6420" max="6420" width="19.140625" style="642" customWidth="1"/>
    <col min="6421" max="6421" width="7.28515625" style="642" customWidth="1"/>
    <col min="6422" max="6422" width="5.28515625" style="642" customWidth="1"/>
    <col min="6423" max="6423" width="4" style="642" customWidth="1"/>
    <col min="6424" max="6428" width="4.85546875" style="642" customWidth="1"/>
    <col min="6429" max="6429" width="6.85546875" style="642" customWidth="1"/>
    <col min="6430" max="6430" width="5.7109375" style="642" customWidth="1"/>
    <col min="6431" max="6431" width="7.7109375" style="642" customWidth="1"/>
    <col min="6432" max="6432" width="6.85546875" style="642" customWidth="1"/>
    <col min="6433" max="6433" width="5.140625" style="642" customWidth="1"/>
    <col min="6434" max="6434" width="7.85546875" style="642" customWidth="1"/>
    <col min="6435" max="6435" width="4.42578125" style="642" customWidth="1"/>
    <col min="6436" max="6436" width="6.85546875" style="642" customWidth="1"/>
    <col min="6437" max="6438" width="8" style="642" customWidth="1"/>
    <col min="6439" max="6439" width="6" style="642" customWidth="1"/>
    <col min="6440" max="6440" width="3.140625" style="642" customWidth="1"/>
    <col min="6441" max="6441" width="6" style="642" customWidth="1"/>
    <col min="6442" max="6442" width="5.5703125" style="642" customWidth="1"/>
    <col min="6443" max="6443" width="6.7109375" style="642" customWidth="1"/>
    <col min="6444" max="6444" width="6.85546875" style="642" customWidth="1"/>
    <col min="6445" max="6445" width="8.140625" style="642" customWidth="1"/>
    <col min="6446" max="6446" width="4.42578125" style="642" customWidth="1"/>
    <col min="6447" max="6447" width="7.140625" style="642" customWidth="1"/>
    <col min="6448" max="6448" width="6.5703125" style="642" customWidth="1"/>
    <col min="6449" max="6449" width="6.42578125" style="642" customWidth="1"/>
    <col min="6450" max="6450" width="8.28515625" style="642" customWidth="1"/>
    <col min="6451" max="6451" width="5.42578125" style="642" customWidth="1"/>
    <col min="6452" max="6452" width="7.5703125" style="642" customWidth="1"/>
    <col min="6453" max="6453" width="5.140625" style="642" customWidth="1"/>
    <col min="6454" max="6456" width="9.140625" style="642" customWidth="1"/>
    <col min="6457" max="6457" width="9.140625" style="642"/>
    <col min="6458" max="6458" width="19.7109375" style="642" customWidth="1"/>
    <col min="6459" max="6459" width="6.5703125" style="642" customWidth="1"/>
    <col min="6460" max="6460" width="3.5703125" style="642" bestFit="1" customWidth="1"/>
    <col min="6461" max="6461" width="6.85546875" style="642" bestFit="1" customWidth="1"/>
    <col min="6462" max="6464" width="5.85546875" style="642" customWidth="1"/>
    <col min="6465" max="6465" width="6" style="642" bestFit="1" customWidth="1"/>
    <col min="6466" max="6468" width="0" style="642" hidden="1" customWidth="1"/>
    <col min="6469" max="6469" width="6" style="642" bestFit="1" customWidth="1"/>
    <col min="6470" max="6470" width="6.85546875" style="642" bestFit="1" customWidth="1"/>
    <col min="6471" max="6471" width="7" style="642" bestFit="1" customWidth="1"/>
    <col min="6472" max="6472" width="6" style="642" bestFit="1" customWidth="1"/>
    <col min="6473" max="6473" width="4.42578125" style="642" bestFit="1" customWidth="1"/>
    <col min="6474" max="6474" width="6" style="642" bestFit="1" customWidth="1"/>
    <col min="6475" max="6475" width="6.28515625" style="642" bestFit="1" customWidth="1"/>
    <col min="6476" max="6482" width="4.85546875" style="642" bestFit="1" customWidth="1"/>
    <col min="6483" max="6483" width="5" style="642" bestFit="1" customWidth="1"/>
    <col min="6484" max="6484" width="4.85546875" style="642" bestFit="1" customWidth="1"/>
    <col min="6485" max="6485" width="4.42578125" style="642" bestFit="1" customWidth="1"/>
    <col min="6486" max="6486" width="5.140625" style="642" bestFit="1" customWidth="1"/>
    <col min="6487" max="6487" width="4.85546875" style="642" bestFit="1" customWidth="1"/>
    <col min="6488" max="6488" width="5" style="642" bestFit="1" customWidth="1"/>
    <col min="6489" max="6490" width="5.28515625" style="642" bestFit="1" customWidth="1"/>
    <col min="6491" max="6491" width="5" style="642" bestFit="1" customWidth="1"/>
    <col min="6492" max="6492" width="4.42578125" style="642" bestFit="1" customWidth="1"/>
    <col min="6493" max="6493" width="4.5703125" style="642" bestFit="1" customWidth="1"/>
    <col min="6494" max="6495" width="5.140625" style="642" bestFit="1" customWidth="1"/>
    <col min="6496" max="6496" width="4.85546875" style="642" bestFit="1" customWidth="1"/>
    <col min="6497" max="6497" width="5.42578125" style="642" bestFit="1" customWidth="1"/>
    <col min="6498" max="6498" width="0" style="642" hidden="1" customWidth="1"/>
    <col min="6499" max="6499" width="6.5703125" style="642" bestFit="1" customWidth="1"/>
    <col min="6500" max="6640" width="9.140625" style="642"/>
    <col min="6641" max="6641" width="6" style="642" customWidth="1"/>
    <col min="6642" max="6642" width="1.5703125" style="642" bestFit="1" customWidth="1"/>
    <col min="6643" max="6643" width="5.42578125" style="642" bestFit="1" customWidth="1"/>
    <col min="6644" max="6644" width="20.28515625" style="642" customWidth="1"/>
    <col min="6645" max="6645" width="7.28515625" style="642" customWidth="1"/>
    <col min="6646" max="6646" width="5.28515625" style="642" customWidth="1"/>
    <col min="6647" max="6647" width="6.5703125" style="642" customWidth="1"/>
    <col min="6648" max="6648" width="4.42578125" style="642" customWidth="1"/>
    <col min="6649" max="6649" width="8.28515625" style="642" customWidth="1"/>
    <col min="6650" max="6650" width="4.7109375" style="642" customWidth="1"/>
    <col min="6651" max="6651" width="5.7109375" style="642" customWidth="1"/>
    <col min="6652" max="6652" width="8" style="642" customWidth="1"/>
    <col min="6653" max="6653" width="6.85546875" style="642" customWidth="1"/>
    <col min="6654" max="6654" width="6.140625" style="642" customWidth="1"/>
    <col min="6655" max="6656" width="8.28515625" style="642" customWidth="1"/>
    <col min="6657" max="6658" width="5.85546875" style="642" customWidth="1"/>
    <col min="6659" max="6659" width="7" style="642" customWidth="1"/>
    <col min="6660" max="6660" width="5.85546875" style="642" customWidth="1"/>
    <col min="6661" max="6661" width="6.42578125" style="642" customWidth="1"/>
    <col min="6662" max="6662" width="1.7109375" style="642" customWidth="1"/>
    <col min="6663" max="6664" width="6.42578125" style="642" customWidth="1"/>
    <col min="6665" max="6665" width="1.7109375" style="642" customWidth="1"/>
    <col min="6666" max="6666" width="6.42578125" style="642" customWidth="1"/>
    <col min="6667" max="6667" width="6.85546875" style="642" customWidth="1"/>
    <col min="6668" max="6668" width="5.7109375" style="642" customWidth="1"/>
    <col min="6669" max="6669" width="3.28515625" style="642" customWidth="1"/>
    <col min="6670" max="6670" width="4" style="642" customWidth="1"/>
    <col min="6671" max="6671" width="14" style="642" customWidth="1"/>
    <col min="6672" max="6672" width="9.140625" style="642" customWidth="1"/>
    <col min="6673" max="6673" width="9.5703125" style="642" customWidth="1"/>
    <col min="6674" max="6674" width="1.5703125" style="642" customWidth="1"/>
    <col min="6675" max="6675" width="5.42578125" style="642" customWidth="1"/>
    <col min="6676" max="6676" width="19.140625" style="642" customWidth="1"/>
    <col min="6677" max="6677" width="7.28515625" style="642" customWidth="1"/>
    <col min="6678" max="6678" width="5.28515625" style="642" customWidth="1"/>
    <col min="6679" max="6679" width="4" style="642" customWidth="1"/>
    <col min="6680" max="6684" width="4.85546875" style="642" customWidth="1"/>
    <col min="6685" max="6685" width="6.85546875" style="642" customWidth="1"/>
    <col min="6686" max="6686" width="5.7109375" style="642" customWidth="1"/>
    <col min="6687" max="6687" width="7.7109375" style="642" customWidth="1"/>
    <col min="6688" max="6688" width="6.85546875" style="642" customWidth="1"/>
    <col min="6689" max="6689" width="5.140625" style="642" customWidth="1"/>
    <col min="6690" max="6690" width="7.85546875" style="642" customWidth="1"/>
    <col min="6691" max="6691" width="4.42578125" style="642" customWidth="1"/>
    <col min="6692" max="6692" width="6.85546875" style="642" customWidth="1"/>
    <col min="6693" max="6694" width="8" style="642" customWidth="1"/>
    <col min="6695" max="6695" width="6" style="642" customWidth="1"/>
    <col min="6696" max="6696" width="3.140625" style="642" customWidth="1"/>
    <col min="6697" max="6697" width="6" style="642" customWidth="1"/>
    <col min="6698" max="6698" width="5.5703125" style="642" customWidth="1"/>
    <col min="6699" max="6699" width="6.7109375" style="642" customWidth="1"/>
    <col min="6700" max="6700" width="6.85546875" style="642" customWidth="1"/>
    <col min="6701" max="6701" width="8.140625" style="642" customWidth="1"/>
    <col min="6702" max="6702" width="4.42578125" style="642" customWidth="1"/>
    <col min="6703" max="6703" width="7.140625" style="642" customWidth="1"/>
    <col min="6704" max="6704" width="6.5703125" style="642" customWidth="1"/>
    <col min="6705" max="6705" width="6.42578125" style="642" customWidth="1"/>
    <col min="6706" max="6706" width="8.28515625" style="642" customWidth="1"/>
    <col min="6707" max="6707" width="5.42578125" style="642" customWidth="1"/>
    <col min="6708" max="6708" width="7.5703125" style="642" customWidth="1"/>
    <col min="6709" max="6709" width="5.140625" style="642" customWidth="1"/>
    <col min="6710" max="6712" width="9.140625" style="642" customWidth="1"/>
    <col min="6713" max="6713" width="9.140625" style="642"/>
    <col min="6714" max="6714" width="19.7109375" style="642" customWidth="1"/>
    <col min="6715" max="6715" width="6.5703125" style="642" customWidth="1"/>
    <col min="6716" max="6716" width="3.5703125" style="642" bestFit="1" customWidth="1"/>
    <col min="6717" max="6717" width="6.85546875" style="642" bestFit="1" customWidth="1"/>
    <col min="6718" max="6720" width="5.85546875" style="642" customWidth="1"/>
    <col min="6721" max="6721" width="6" style="642" bestFit="1" customWidth="1"/>
    <col min="6722" max="6724" width="0" style="642" hidden="1" customWidth="1"/>
    <col min="6725" max="6725" width="6" style="642" bestFit="1" customWidth="1"/>
    <col min="6726" max="6726" width="6.85546875" style="642" bestFit="1" customWidth="1"/>
    <col min="6727" max="6727" width="7" style="642" bestFit="1" customWidth="1"/>
    <col min="6728" max="6728" width="6" style="642" bestFit="1" customWidth="1"/>
    <col min="6729" max="6729" width="4.42578125" style="642" bestFit="1" customWidth="1"/>
    <col min="6730" max="6730" width="6" style="642" bestFit="1" customWidth="1"/>
    <col min="6731" max="6731" width="6.28515625" style="642" bestFit="1" customWidth="1"/>
    <col min="6732" max="6738" width="4.85546875" style="642" bestFit="1" customWidth="1"/>
    <col min="6739" max="6739" width="5" style="642" bestFit="1" customWidth="1"/>
    <col min="6740" max="6740" width="4.85546875" style="642" bestFit="1" customWidth="1"/>
    <col min="6741" max="6741" width="4.42578125" style="642" bestFit="1" customWidth="1"/>
    <col min="6742" max="6742" width="5.140625" style="642" bestFit="1" customWidth="1"/>
    <col min="6743" max="6743" width="4.85546875" style="642" bestFit="1" customWidth="1"/>
    <col min="6744" max="6744" width="5" style="642" bestFit="1" customWidth="1"/>
    <col min="6745" max="6746" width="5.28515625" style="642" bestFit="1" customWidth="1"/>
    <col min="6747" max="6747" width="5" style="642" bestFit="1" customWidth="1"/>
    <col min="6748" max="6748" width="4.42578125" style="642" bestFit="1" customWidth="1"/>
    <col min="6749" max="6749" width="4.5703125" style="642" bestFit="1" customWidth="1"/>
    <col min="6750" max="6751" width="5.140625" style="642" bestFit="1" customWidth="1"/>
    <col min="6752" max="6752" width="4.85546875" style="642" bestFit="1" customWidth="1"/>
    <col min="6753" max="6753" width="5.42578125" style="642" bestFit="1" customWidth="1"/>
    <col min="6754" max="6754" width="0" style="642" hidden="1" customWidth="1"/>
    <col min="6755" max="6755" width="6.5703125" style="642" bestFit="1" customWidth="1"/>
    <col min="6756" max="6896" width="9.140625" style="642"/>
    <col min="6897" max="6897" width="6" style="642" customWidth="1"/>
    <col min="6898" max="6898" width="1.5703125" style="642" bestFit="1" customWidth="1"/>
    <col min="6899" max="6899" width="5.42578125" style="642" bestFit="1" customWidth="1"/>
    <col min="6900" max="6900" width="20.28515625" style="642" customWidth="1"/>
    <col min="6901" max="6901" width="7.28515625" style="642" customWidth="1"/>
    <col min="6902" max="6902" width="5.28515625" style="642" customWidth="1"/>
    <col min="6903" max="6903" width="6.5703125" style="642" customWidth="1"/>
    <col min="6904" max="6904" width="4.42578125" style="642" customWidth="1"/>
    <col min="6905" max="6905" width="8.28515625" style="642" customWidth="1"/>
    <col min="6906" max="6906" width="4.7109375" style="642" customWidth="1"/>
    <col min="6907" max="6907" width="5.7109375" style="642" customWidth="1"/>
    <col min="6908" max="6908" width="8" style="642" customWidth="1"/>
    <col min="6909" max="6909" width="6.85546875" style="642" customWidth="1"/>
    <col min="6910" max="6910" width="6.140625" style="642" customWidth="1"/>
    <col min="6911" max="6912" width="8.28515625" style="642" customWidth="1"/>
    <col min="6913" max="6914" width="5.85546875" style="642" customWidth="1"/>
    <col min="6915" max="6915" width="7" style="642" customWidth="1"/>
    <col min="6916" max="6916" width="5.85546875" style="642" customWidth="1"/>
    <col min="6917" max="6917" width="6.42578125" style="642" customWidth="1"/>
    <col min="6918" max="6918" width="1.7109375" style="642" customWidth="1"/>
    <col min="6919" max="6920" width="6.42578125" style="642" customWidth="1"/>
    <col min="6921" max="6921" width="1.7109375" style="642" customWidth="1"/>
    <col min="6922" max="6922" width="6.42578125" style="642" customWidth="1"/>
    <col min="6923" max="6923" width="6.85546875" style="642" customWidth="1"/>
    <col min="6924" max="6924" width="5.7109375" style="642" customWidth="1"/>
    <col min="6925" max="6925" width="3.28515625" style="642" customWidth="1"/>
    <col min="6926" max="6926" width="4" style="642" customWidth="1"/>
    <col min="6927" max="6927" width="14" style="642" customWidth="1"/>
    <col min="6928" max="6928" width="9.140625" style="642" customWidth="1"/>
    <col min="6929" max="6929" width="9.5703125" style="642" customWidth="1"/>
    <col min="6930" max="6930" width="1.5703125" style="642" customWidth="1"/>
    <col min="6931" max="6931" width="5.42578125" style="642" customWidth="1"/>
    <col min="6932" max="6932" width="19.140625" style="642" customWidth="1"/>
    <col min="6933" max="6933" width="7.28515625" style="642" customWidth="1"/>
    <col min="6934" max="6934" width="5.28515625" style="642" customWidth="1"/>
    <col min="6935" max="6935" width="4" style="642" customWidth="1"/>
    <col min="6936" max="6940" width="4.85546875" style="642" customWidth="1"/>
    <col min="6941" max="6941" width="6.85546875" style="642" customWidth="1"/>
    <col min="6942" max="6942" width="5.7109375" style="642" customWidth="1"/>
    <col min="6943" max="6943" width="7.7109375" style="642" customWidth="1"/>
    <col min="6944" max="6944" width="6.85546875" style="642" customWidth="1"/>
    <col min="6945" max="6945" width="5.140625" style="642" customWidth="1"/>
    <col min="6946" max="6946" width="7.85546875" style="642" customWidth="1"/>
    <col min="6947" max="6947" width="4.42578125" style="642" customWidth="1"/>
    <col min="6948" max="6948" width="6.85546875" style="642" customWidth="1"/>
    <col min="6949" max="6950" width="8" style="642" customWidth="1"/>
    <col min="6951" max="6951" width="6" style="642" customWidth="1"/>
    <col min="6952" max="6952" width="3.140625" style="642" customWidth="1"/>
    <col min="6953" max="6953" width="6" style="642" customWidth="1"/>
    <col min="6954" max="6954" width="5.5703125" style="642" customWidth="1"/>
    <col min="6955" max="6955" width="6.7109375" style="642" customWidth="1"/>
    <col min="6956" max="6956" width="6.85546875" style="642" customWidth="1"/>
    <col min="6957" max="6957" width="8.140625" style="642" customWidth="1"/>
    <col min="6958" max="6958" width="4.42578125" style="642" customWidth="1"/>
    <col min="6959" max="6959" width="7.140625" style="642" customWidth="1"/>
    <col min="6960" max="6960" width="6.5703125" style="642" customWidth="1"/>
    <col min="6961" max="6961" width="6.42578125" style="642" customWidth="1"/>
    <col min="6962" max="6962" width="8.28515625" style="642" customWidth="1"/>
    <col min="6963" max="6963" width="5.42578125" style="642" customWidth="1"/>
    <col min="6964" max="6964" width="7.5703125" style="642" customWidth="1"/>
    <col min="6965" max="6965" width="5.140625" style="642" customWidth="1"/>
    <col min="6966" max="6968" width="9.140625" style="642" customWidth="1"/>
    <col min="6969" max="6969" width="9.140625" style="642"/>
    <col min="6970" max="6970" width="19.7109375" style="642" customWidth="1"/>
    <col min="6971" max="6971" width="6.5703125" style="642" customWidth="1"/>
    <col min="6972" max="6972" width="3.5703125" style="642" bestFit="1" customWidth="1"/>
    <col min="6973" max="6973" width="6.85546875" style="642" bestFit="1" customWidth="1"/>
    <col min="6974" max="6976" width="5.85546875" style="642" customWidth="1"/>
    <col min="6977" max="6977" width="6" style="642" bestFit="1" customWidth="1"/>
    <col min="6978" max="6980" width="0" style="642" hidden="1" customWidth="1"/>
    <col min="6981" max="6981" width="6" style="642" bestFit="1" customWidth="1"/>
    <col min="6982" max="6982" width="6.85546875" style="642" bestFit="1" customWidth="1"/>
    <col min="6983" max="6983" width="7" style="642" bestFit="1" customWidth="1"/>
    <col min="6984" max="6984" width="6" style="642" bestFit="1" customWidth="1"/>
    <col min="6985" max="6985" width="4.42578125" style="642" bestFit="1" customWidth="1"/>
    <col min="6986" max="6986" width="6" style="642" bestFit="1" customWidth="1"/>
    <col min="6987" max="6987" width="6.28515625" style="642" bestFit="1" customWidth="1"/>
    <col min="6988" max="6994" width="4.85546875" style="642" bestFit="1" customWidth="1"/>
    <col min="6995" max="6995" width="5" style="642" bestFit="1" customWidth="1"/>
    <col min="6996" max="6996" width="4.85546875" style="642" bestFit="1" customWidth="1"/>
    <col min="6997" max="6997" width="4.42578125" style="642" bestFit="1" customWidth="1"/>
    <col min="6998" max="6998" width="5.140625" style="642" bestFit="1" customWidth="1"/>
    <col min="6999" max="6999" width="4.85546875" style="642" bestFit="1" customWidth="1"/>
    <col min="7000" max="7000" width="5" style="642" bestFit="1" customWidth="1"/>
    <col min="7001" max="7002" width="5.28515625" style="642" bestFit="1" customWidth="1"/>
    <col min="7003" max="7003" width="5" style="642" bestFit="1" customWidth="1"/>
    <col min="7004" max="7004" width="4.42578125" style="642" bestFit="1" customWidth="1"/>
    <col min="7005" max="7005" width="4.5703125" style="642" bestFit="1" customWidth="1"/>
    <col min="7006" max="7007" width="5.140625" style="642" bestFit="1" customWidth="1"/>
    <col min="7008" max="7008" width="4.85546875" style="642" bestFit="1" customWidth="1"/>
    <col min="7009" max="7009" width="5.42578125" style="642" bestFit="1" customWidth="1"/>
    <col min="7010" max="7010" width="0" style="642" hidden="1" customWidth="1"/>
    <col min="7011" max="7011" width="6.5703125" style="642" bestFit="1" customWidth="1"/>
    <col min="7012" max="7152" width="9.140625" style="642"/>
    <col min="7153" max="7153" width="6" style="642" customWidth="1"/>
    <col min="7154" max="7154" width="1.5703125" style="642" bestFit="1" customWidth="1"/>
    <col min="7155" max="7155" width="5.42578125" style="642" bestFit="1" customWidth="1"/>
    <col min="7156" max="7156" width="20.28515625" style="642" customWidth="1"/>
    <col min="7157" max="7157" width="7.28515625" style="642" customWidth="1"/>
    <col min="7158" max="7158" width="5.28515625" style="642" customWidth="1"/>
    <col min="7159" max="7159" width="6.5703125" style="642" customWidth="1"/>
    <col min="7160" max="7160" width="4.42578125" style="642" customWidth="1"/>
    <col min="7161" max="7161" width="8.28515625" style="642" customWidth="1"/>
    <col min="7162" max="7162" width="4.7109375" style="642" customWidth="1"/>
    <col min="7163" max="7163" width="5.7109375" style="642" customWidth="1"/>
    <col min="7164" max="7164" width="8" style="642" customWidth="1"/>
    <col min="7165" max="7165" width="6.85546875" style="642" customWidth="1"/>
    <col min="7166" max="7166" width="6.140625" style="642" customWidth="1"/>
    <col min="7167" max="7168" width="8.28515625" style="642" customWidth="1"/>
    <col min="7169" max="7170" width="5.85546875" style="642" customWidth="1"/>
    <col min="7171" max="7171" width="7" style="642" customWidth="1"/>
    <col min="7172" max="7172" width="5.85546875" style="642" customWidth="1"/>
    <col min="7173" max="7173" width="6.42578125" style="642" customWidth="1"/>
    <col min="7174" max="7174" width="1.7109375" style="642" customWidth="1"/>
    <col min="7175" max="7176" width="6.42578125" style="642" customWidth="1"/>
    <col min="7177" max="7177" width="1.7109375" style="642" customWidth="1"/>
    <col min="7178" max="7178" width="6.42578125" style="642" customWidth="1"/>
    <col min="7179" max="7179" width="6.85546875" style="642" customWidth="1"/>
    <col min="7180" max="7180" width="5.7109375" style="642" customWidth="1"/>
    <col min="7181" max="7181" width="3.28515625" style="642" customWidth="1"/>
    <col min="7182" max="7182" width="4" style="642" customWidth="1"/>
    <col min="7183" max="7183" width="14" style="642" customWidth="1"/>
    <col min="7184" max="7184" width="9.140625" style="642" customWidth="1"/>
    <col min="7185" max="7185" width="9.5703125" style="642" customWidth="1"/>
    <col min="7186" max="7186" width="1.5703125" style="642" customWidth="1"/>
    <col min="7187" max="7187" width="5.42578125" style="642" customWidth="1"/>
    <col min="7188" max="7188" width="19.140625" style="642" customWidth="1"/>
    <col min="7189" max="7189" width="7.28515625" style="642" customWidth="1"/>
    <col min="7190" max="7190" width="5.28515625" style="642" customWidth="1"/>
    <col min="7191" max="7191" width="4" style="642" customWidth="1"/>
    <col min="7192" max="7196" width="4.85546875" style="642" customWidth="1"/>
    <col min="7197" max="7197" width="6.85546875" style="642" customWidth="1"/>
    <col min="7198" max="7198" width="5.7109375" style="642" customWidth="1"/>
    <col min="7199" max="7199" width="7.7109375" style="642" customWidth="1"/>
    <col min="7200" max="7200" width="6.85546875" style="642" customWidth="1"/>
    <col min="7201" max="7201" width="5.140625" style="642" customWidth="1"/>
    <col min="7202" max="7202" width="7.85546875" style="642" customWidth="1"/>
    <col min="7203" max="7203" width="4.42578125" style="642" customWidth="1"/>
    <col min="7204" max="7204" width="6.85546875" style="642" customWidth="1"/>
    <col min="7205" max="7206" width="8" style="642" customWidth="1"/>
    <col min="7207" max="7207" width="6" style="642" customWidth="1"/>
    <col min="7208" max="7208" width="3.140625" style="642" customWidth="1"/>
    <col min="7209" max="7209" width="6" style="642" customWidth="1"/>
    <col min="7210" max="7210" width="5.5703125" style="642" customWidth="1"/>
    <col min="7211" max="7211" width="6.7109375" style="642" customWidth="1"/>
    <col min="7212" max="7212" width="6.85546875" style="642" customWidth="1"/>
    <col min="7213" max="7213" width="8.140625" style="642" customWidth="1"/>
    <col min="7214" max="7214" width="4.42578125" style="642" customWidth="1"/>
    <col min="7215" max="7215" width="7.140625" style="642" customWidth="1"/>
    <col min="7216" max="7216" width="6.5703125" style="642" customWidth="1"/>
    <col min="7217" max="7217" width="6.42578125" style="642" customWidth="1"/>
    <col min="7218" max="7218" width="8.28515625" style="642" customWidth="1"/>
    <col min="7219" max="7219" width="5.42578125" style="642" customWidth="1"/>
    <col min="7220" max="7220" width="7.5703125" style="642" customWidth="1"/>
    <col min="7221" max="7221" width="5.140625" style="642" customWidth="1"/>
    <col min="7222" max="7224" width="9.140625" style="642" customWidth="1"/>
    <col min="7225" max="7225" width="9.140625" style="642"/>
    <col min="7226" max="7226" width="19.7109375" style="642" customWidth="1"/>
    <col min="7227" max="7227" width="6.5703125" style="642" customWidth="1"/>
    <col min="7228" max="7228" width="3.5703125" style="642" bestFit="1" customWidth="1"/>
    <col min="7229" max="7229" width="6.85546875" style="642" bestFit="1" customWidth="1"/>
    <col min="7230" max="7232" width="5.85546875" style="642" customWidth="1"/>
    <col min="7233" max="7233" width="6" style="642" bestFit="1" customWidth="1"/>
    <col min="7234" max="7236" width="0" style="642" hidden="1" customWidth="1"/>
    <col min="7237" max="7237" width="6" style="642" bestFit="1" customWidth="1"/>
    <col min="7238" max="7238" width="6.85546875" style="642" bestFit="1" customWidth="1"/>
    <col min="7239" max="7239" width="7" style="642" bestFit="1" customWidth="1"/>
    <col min="7240" max="7240" width="6" style="642" bestFit="1" customWidth="1"/>
    <col min="7241" max="7241" width="4.42578125" style="642" bestFit="1" customWidth="1"/>
    <col min="7242" max="7242" width="6" style="642" bestFit="1" customWidth="1"/>
    <col min="7243" max="7243" width="6.28515625" style="642" bestFit="1" customWidth="1"/>
    <col min="7244" max="7250" width="4.85546875" style="642" bestFit="1" customWidth="1"/>
    <col min="7251" max="7251" width="5" style="642" bestFit="1" customWidth="1"/>
    <col min="7252" max="7252" width="4.85546875" style="642" bestFit="1" customWidth="1"/>
    <col min="7253" max="7253" width="4.42578125" style="642" bestFit="1" customWidth="1"/>
    <col min="7254" max="7254" width="5.140625" style="642" bestFit="1" customWidth="1"/>
    <col min="7255" max="7255" width="4.85546875" style="642" bestFit="1" customWidth="1"/>
    <col min="7256" max="7256" width="5" style="642" bestFit="1" customWidth="1"/>
    <col min="7257" max="7258" width="5.28515625" style="642" bestFit="1" customWidth="1"/>
    <col min="7259" max="7259" width="5" style="642" bestFit="1" customWidth="1"/>
    <col min="7260" max="7260" width="4.42578125" style="642" bestFit="1" customWidth="1"/>
    <col min="7261" max="7261" width="4.5703125" style="642" bestFit="1" customWidth="1"/>
    <col min="7262" max="7263" width="5.140625" style="642" bestFit="1" customWidth="1"/>
    <col min="7264" max="7264" width="4.85546875" style="642" bestFit="1" customWidth="1"/>
    <col min="7265" max="7265" width="5.42578125" style="642" bestFit="1" customWidth="1"/>
    <col min="7266" max="7266" width="0" style="642" hidden="1" customWidth="1"/>
    <col min="7267" max="7267" width="6.5703125" style="642" bestFit="1" customWidth="1"/>
    <col min="7268" max="7408" width="9.140625" style="642"/>
    <col min="7409" max="7409" width="6" style="642" customWidth="1"/>
    <col min="7410" max="7410" width="1.5703125" style="642" bestFit="1" customWidth="1"/>
    <col min="7411" max="7411" width="5.42578125" style="642" bestFit="1" customWidth="1"/>
    <col min="7412" max="7412" width="20.28515625" style="642" customWidth="1"/>
    <col min="7413" max="7413" width="7.28515625" style="642" customWidth="1"/>
    <col min="7414" max="7414" width="5.28515625" style="642" customWidth="1"/>
    <col min="7415" max="7415" width="6.5703125" style="642" customWidth="1"/>
    <col min="7416" max="7416" width="4.42578125" style="642" customWidth="1"/>
    <col min="7417" max="7417" width="8.28515625" style="642" customWidth="1"/>
    <col min="7418" max="7418" width="4.7109375" style="642" customWidth="1"/>
    <col min="7419" max="7419" width="5.7109375" style="642" customWidth="1"/>
    <col min="7420" max="7420" width="8" style="642" customWidth="1"/>
    <col min="7421" max="7421" width="6.85546875" style="642" customWidth="1"/>
    <col min="7422" max="7422" width="6.140625" style="642" customWidth="1"/>
    <col min="7423" max="7424" width="8.28515625" style="642" customWidth="1"/>
    <col min="7425" max="7426" width="5.85546875" style="642" customWidth="1"/>
    <col min="7427" max="7427" width="7" style="642" customWidth="1"/>
    <col min="7428" max="7428" width="5.85546875" style="642" customWidth="1"/>
    <col min="7429" max="7429" width="6.42578125" style="642" customWidth="1"/>
    <col min="7430" max="7430" width="1.7109375" style="642" customWidth="1"/>
    <col min="7431" max="7432" width="6.42578125" style="642" customWidth="1"/>
    <col min="7433" max="7433" width="1.7109375" style="642" customWidth="1"/>
    <col min="7434" max="7434" width="6.42578125" style="642" customWidth="1"/>
    <col min="7435" max="7435" width="6.85546875" style="642" customWidth="1"/>
    <col min="7436" max="7436" width="5.7109375" style="642" customWidth="1"/>
    <col min="7437" max="7437" width="3.28515625" style="642" customWidth="1"/>
    <col min="7438" max="7438" width="4" style="642" customWidth="1"/>
    <col min="7439" max="7439" width="14" style="642" customWidth="1"/>
    <col min="7440" max="7440" width="9.140625" style="642" customWidth="1"/>
    <col min="7441" max="7441" width="9.5703125" style="642" customWidth="1"/>
    <col min="7442" max="7442" width="1.5703125" style="642" customWidth="1"/>
    <col min="7443" max="7443" width="5.42578125" style="642" customWidth="1"/>
    <col min="7444" max="7444" width="19.140625" style="642" customWidth="1"/>
    <col min="7445" max="7445" width="7.28515625" style="642" customWidth="1"/>
    <col min="7446" max="7446" width="5.28515625" style="642" customWidth="1"/>
    <col min="7447" max="7447" width="4" style="642" customWidth="1"/>
    <col min="7448" max="7452" width="4.85546875" style="642" customWidth="1"/>
    <col min="7453" max="7453" width="6.85546875" style="642" customWidth="1"/>
    <col min="7454" max="7454" width="5.7109375" style="642" customWidth="1"/>
    <col min="7455" max="7455" width="7.7109375" style="642" customWidth="1"/>
    <col min="7456" max="7456" width="6.85546875" style="642" customWidth="1"/>
    <col min="7457" max="7457" width="5.140625" style="642" customWidth="1"/>
    <col min="7458" max="7458" width="7.85546875" style="642" customWidth="1"/>
    <col min="7459" max="7459" width="4.42578125" style="642" customWidth="1"/>
    <col min="7460" max="7460" width="6.85546875" style="642" customWidth="1"/>
    <col min="7461" max="7462" width="8" style="642" customWidth="1"/>
    <col min="7463" max="7463" width="6" style="642" customWidth="1"/>
    <col min="7464" max="7464" width="3.140625" style="642" customWidth="1"/>
    <col min="7465" max="7465" width="6" style="642" customWidth="1"/>
    <col min="7466" max="7466" width="5.5703125" style="642" customWidth="1"/>
    <col min="7467" max="7467" width="6.7109375" style="642" customWidth="1"/>
    <col min="7468" max="7468" width="6.85546875" style="642" customWidth="1"/>
    <col min="7469" max="7469" width="8.140625" style="642" customWidth="1"/>
    <col min="7470" max="7470" width="4.42578125" style="642" customWidth="1"/>
    <col min="7471" max="7471" width="7.140625" style="642" customWidth="1"/>
    <col min="7472" max="7472" width="6.5703125" style="642" customWidth="1"/>
    <col min="7473" max="7473" width="6.42578125" style="642" customWidth="1"/>
    <col min="7474" max="7474" width="8.28515625" style="642" customWidth="1"/>
    <col min="7475" max="7475" width="5.42578125" style="642" customWidth="1"/>
    <col min="7476" max="7476" width="7.5703125" style="642" customWidth="1"/>
    <col min="7477" max="7477" width="5.140625" style="642" customWidth="1"/>
    <col min="7478" max="7480" width="9.140625" style="642" customWidth="1"/>
    <col min="7481" max="7481" width="9.140625" style="642"/>
    <col min="7482" max="7482" width="19.7109375" style="642" customWidth="1"/>
    <col min="7483" max="7483" width="6.5703125" style="642" customWidth="1"/>
    <col min="7484" max="7484" width="3.5703125" style="642" bestFit="1" customWidth="1"/>
    <col min="7485" max="7485" width="6.85546875" style="642" bestFit="1" customWidth="1"/>
    <col min="7486" max="7488" width="5.85546875" style="642" customWidth="1"/>
    <col min="7489" max="7489" width="6" style="642" bestFit="1" customWidth="1"/>
    <col min="7490" max="7492" width="0" style="642" hidden="1" customWidth="1"/>
    <col min="7493" max="7493" width="6" style="642" bestFit="1" customWidth="1"/>
    <col min="7494" max="7494" width="6.85546875" style="642" bestFit="1" customWidth="1"/>
    <col min="7495" max="7495" width="7" style="642" bestFit="1" customWidth="1"/>
    <col min="7496" max="7496" width="6" style="642" bestFit="1" customWidth="1"/>
    <col min="7497" max="7497" width="4.42578125" style="642" bestFit="1" customWidth="1"/>
    <col min="7498" max="7498" width="6" style="642" bestFit="1" customWidth="1"/>
    <col min="7499" max="7499" width="6.28515625" style="642" bestFit="1" customWidth="1"/>
    <col min="7500" max="7506" width="4.85546875" style="642" bestFit="1" customWidth="1"/>
    <col min="7507" max="7507" width="5" style="642" bestFit="1" customWidth="1"/>
    <col min="7508" max="7508" width="4.85546875" style="642" bestFit="1" customWidth="1"/>
    <col min="7509" max="7509" width="4.42578125" style="642" bestFit="1" customWidth="1"/>
    <col min="7510" max="7510" width="5.140625" style="642" bestFit="1" customWidth="1"/>
    <col min="7511" max="7511" width="4.85546875" style="642" bestFit="1" customWidth="1"/>
    <col min="7512" max="7512" width="5" style="642" bestFit="1" customWidth="1"/>
    <col min="7513" max="7514" width="5.28515625" style="642" bestFit="1" customWidth="1"/>
    <col min="7515" max="7515" width="5" style="642" bestFit="1" customWidth="1"/>
    <col min="7516" max="7516" width="4.42578125" style="642" bestFit="1" customWidth="1"/>
    <col min="7517" max="7517" width="4.5703125" style="642" bestFit="1" customWidth="1"/>
    <col min="7518" max="7519" width="5.140625" style="642" bestFit="1" customWidth="1"/>
    <col min="7520" max="7520" width="4.85546875" style="642" bestFit="1" customWidth="1"/>
    <col min="7521" max="7521" width="5.42578125" style="642" bestFit="1" customWidth="1"/>
    <col min="7522" max="7522" width="0" style="642" hidden="1" customWidth="1"/>
    <col min="7523" max="7523" width="6.5703125" style="642" bestFit="1" customWidth="1"/>
    <col min="7524" max="7664" width="9.140625" style="642"/>
    <col min="7665" max="7665" width="6" style="642" customWidth="1"/>
    <col min="7666" max="7666" width="1.5703125" style="642" bestFit="1" customWidth="1"/>
    <col min="7667" max="7667" width="5.42578125" style="642" bestFit="1" customWidth="1"/>
    <col min="7668" max="7668" width="20.28515625" style="642" customWidth="1"/>
    <col min="7669" max="7669" width="7.28515625" style="642" customWidth="1"/>
    <col min="7670" max="7670" width="5.28515625" style="642" customWidth="1"/>
    <col min="7671" max="7671" width="6.5703125" style="642" customWidth="1"/>
    <col min="7672" max="7672" width="4.42578125" style="642" customWidth="1"/>
    <col min="7673" max="7673" width="8.28515625" style="642" customWidth="1"/>
    <col min="7674" max="7674" width="4.7109375" style="642" customWidth="1"/>
    <col min="7675" max="7675" width="5.7109375" style="642" customWidth="1"/>
    <col min="7676" max="7676" width="8" style="642" customWidth="1"/>
    <col min="7677" max="7677" width="6.85546875" style="642" customWidth="1"/>
    <col min="7678" max="7678" width="6.140625" style="642" customWidth="1"/>
    <col min="7679" max="7680" width="8.28515625" style="642" customWidth="1"/>
    <col min="7681" max="7682" width="5.85546875" style="642" customWidth="1"/>
    <col min="7683" max="7683" width="7" style="642" customWidth="1"/>
    <col min="7684" max="7684" width="5.85546875" style="642" customWidth="1"/>
    <col min="7685" max="7685" width="6.42578125" style="642" customWidth="1"/>
    <col min="7686" max="7686" width="1.7109375" style="642" customWidth="1"/>
    <col min="7687" max="7688" width="6.42578125" style="642" customWidth="1"/>
    <col min="7689" max="7689" width="1.7109375" style="642" customWidth="1"/>
    <col min="7690" max="7690" width="6.42578125" style="642" customWidth="1"/>
    <col min="7691" max="7691" width="6.85546875" style="642" customWidth="1"/>
    <col min="7692" max="7692" width="5.7109375" style="642" customWidth="1"/>
    <col min="7693" max="7693" width="3.28515625" style="642" customWidth="1"/>
    <col min="7694" max="7694" width="4" style="642" customWidth="1"/>
    <col min="7695" max="7695" width="14" style="642" customWidth="1"/>
    <col min="7696" max="7696" width="9.140625" style="642" customWidth="1"/>
    <col min="7697" max="7697" width="9.5703125" style="642" customWidth="1"/>
    <col min="7698" max="7698" width="1.5703125" style="642" customWidth="1"/>
    <col min="7699" max="7699" width="5.42578125" style="642" customWidth="1"/>
    <col min="7700" max="7700" width="19.140625" style="642" customWidth="1"/>
    <col min="7701" max="7701" width="7.28515625" style="642" customWidth="1"/>
    <col min="7702" max="7702" width="5.28515625" style="642" customWidth="1"/>
    <col min="7703" max="7703" width="4" style="642" customWidth="1"/>
    <col min="7704" max="7708" width="4.85546875" style="642" customWidth="1"/>
    <col min="7709" max="7709" width="6.85546875" style="642" customWidth="1"/>
    <col min="7710" max="7710" width="5.7109375" style="642" customWidth="1"/>
    <col min="7711" max="7711" width="7.7109375" style="642" customWidth="1"/>
    <col min="7712" max="7712" width="6.85546875" style="642" customWidth="1"/>
    <col min="7713" max="7713" width="5.140625" style="642" customWidth="1"/>
    <col min="7714" max="7714" width="7.85546875" style="642" customWidth="1"/>
    <col min="7715" max="7715" width="4.42578125" style="642" customWidth="1"/>
    <col min="7716" max="7716" width="6.85546875" style="642" customWidth="1"/>
    <col min="7717" max="7718" width="8" style="642" customWidth="1"/>
    <col min="7719" max="7719" width="6" style="642" customWidth="1"/>
    <col min="7720" max="7720" width="3.140625" style="642" customWidth="1"/>
    <col min="7721" max="7721" width="6" style="642" customWidth="1"/>
    <col min="7722" max="7722" width="5.5703125" style="642" customWidth="1"/>
    <col min="7723" max="7723" width="6.7109375" style="642" customWidth="1"/>
    <col min="7724" max="7724" width="6.85546875" style="642" customWidth="1"/>
    <col min="7725" max="7725" width="8.140625" style="642" customWidth="1"/>
    <col min="7726" max="7726" width="4.42578125" style="642" customWidth="1"/>
    <col min="7727" max="7727" width="7.140625" style="642" customWidth="1"/>
    <col min="7728" max="7728" width="6.5703125" style="642" customWidth="1"/>
    <col min="7729" max="7729" width="6.42578125" style="642" customWidth="1"/>
    <col min="7730" max="7730" width="8.28515625" style="642" customWidth="1"/>
    <col min="7731" max="7731" width="5.42578125" style="642" customWidth="1"/>
    <col min="7732" max="7732" width="7.5703125" style="642" customWidth="1"/>
    <col min="7733" max="7733" width="5.140625" style="642" customWidth="1"/>
    <col min="7734" max="7736" width="9.140625" style="642" customWidth="1"/>
    <col min="7737" max="7737" width="9.140625" style="642"/>
    <col min="7738" max="7738" width="19.7109375" style="642" customWidth="1"/>
    <col min="7739" max="7739" width="6.5703125" style="642" customWidth="1"/>
    <col min="7740" max="7740" width="3.5703125" style="642" bestFit="1" customWidth="1"/>
    <col min="7741" max="7741" width="6.85546875" style="642" bestFit="1" customWidth="1"/>
    <col min="7742" max="7744" width="5.85546875" style="642" customWidth="1"/>
    <col min="7745" max="7745" width="6" style="642" bestFit="1" customWidth="1"/>
    <col min="7746" max="7748" width="0" style="642" hidden="1" customWidth="1"/>
    <col min="7749" max="7749" width="6" style="642" bestFit="1" customWidth="1"/>
    <col min="7750" max="7750" width="6.85546875" style="642" bestFit="1" customWidth="1"/>
    <col min="7751" max="7751" width="7" style="642" bestFit="1" customWidth="1"/>
    <col min="7752" max="7752" width="6" style="642" bestFit="1" customWidth="1"/>
    <col min="7753" max="7753" width="4.42578125" style="642" bestFit="1" customWidth="1"/>
    <col min="7754" max="7754" width="6" style="642" bestFit="1" customWidth="1"/>
    <col min="7755" max="7755" width="6.28515625" style="642" bestFit="1" customWidth="1"/>
    <col min="7756" max="7762" width="4.85546875" style="642" bestFit="1" customWidth="1"/>
    <col min="7763" max="7763" width="5" style="642" bestFit="1" customWidth="1"/>
    <col min="7764" max="7764" width="4.85546875" style="642" bestFit="1" customWidth="1"/>
    <col min="7765" max="7765" width="4.42578125" style="642" bestFit="1" customWidth="1"/>
    <col min="7766" max="7766" width="5.140625" style="642" bestFit="1" customWidth="1"/>
    <col min="7767" max="7767" width="4.85546875" style="642" bestFit="1" customWidth="1"/>
    <col min="7768" max="7768" width="5" style="642" bestFit="1" customWidth="1"/>
    <col min="7769" max="7770" width="5.28515625" style="642" bestFit="1" customWidth="1"/>
    <col min="7771" max="7771" width="5" style="642" bestFit="1" customWidth="1"/>
    <col min="7772" max="7772" width="4.42578125" style="642" bestFit="1" customWidth="1"/>
    <col min="7773" max="7773" width="4.5703125" style="642" bestFit="1" customWidth="1"/>
    <col min="7774" max="7775" width="5.140625" style="642" bestFit="1" customWidth="1"/>
    <col min="7776" max="7776" width="4.85546875" style="642" bestFit="1" customWidth="1"/>
    <col min="7777" max="7777" width="5.42578125" style="642" bestFit="1" customWidth="1"/>
    <col min="7778" max="7778" width="0" style="642" hidden="1" customWidth="1"/>
    <col min="7779" max="7779" width="6.5703125" style="642" bestFit="1" customWidth="1"/>
    <col min="7780" max="7920" width="9.140625" style="642"/>
    <col min="7921" max="7921" width="6" style="642" customWidth="1"/>
    <col min="7922" max="7922" width="1.5703125" style="642" bestFit="1" customWidth="1"/>
    <col min="7923" max="7923" width="5.42578125" style="642" bestFit="1" customWidth="1"/>
    <col min="7924" max="7924" width="20.28515625" style="642" customWidth="1"/>
    <col min="7925" max="7925" width="7.28515625" style="642" customWidth="1"/>
    <col min="7926" max="7926" width="5.28515625" style="642" customWidth="1"/>
    <col min="7927" max="7927" width="6.5703125" style="642" customWidth="1"/>
    <col min="7928" max="7928" width="4.42578125" style="642" customWidth="1"/>
    <col min="7929" max="7929" width="8.28515625" style="642" customWidth="1"/>
    <col min="7930" max="7930" width="4.7109375" style="642" customWidth="1"/>
    <col min="7931" max="7931" width="5.7109375" style="642" customWidth="1"/>
    <col min="7932" max="7932" width="8" style="642" customWidth="1"/>
    <col min="7933" max="7933" width="6.85546875" style="642" customWidth="1"/>
    <col min="7934" max="7934" width="6.140625" style="642" customWidth="1"/>
    <col min="7935" max="7936" width="8.28515625" style="642" customWidth="1"/>
    <col min="7937" max="7938" width="5.85546875" style="642" customWidth="1"/>
    <col min="7939" max="7939" width="7" style="642" customWidth="1"/>
    <col min="7940" max="7940" width="5.85546875" style="642" customWidth="1"/>
    <col min="7941" max="7941" width="6.42578125" style="642" customWidth="1"/>
    <col min="7942" max="7942" width="1.7109375" style="642" customWidth="1"/>
    <col min="7943" max="7944" width="6.42578125" style="642" customWidth="1"/>
    <col min="7945" max="7945" width="1.7109375" style="642" customWidth="1"/>
    <col min="7946" max="7946" width="6.42578125" style="642" customWidth="1"/>
    <col min="7947" max="7947" width="6.85546875" style="642" customWidth="1"/>
    <col min="7948" max="7948" width="5.7109375" style="642" customWidth="1"/>
    <col min="7949" max="7949" width="3.28515625" style="642" customWidth="1"/>
    <col min="7950" max="7950" width="4" style="642" customWidth="1"/>
    <col min="7951" max="7951" width="14" style="642" customWidth="1"/>
    <col min="7952" max="7952" width="9.140625" style="642" customWidth="1"/>
    <col min="7953" max="7953" width="9.5703125" style="642" customWidth="1"/>
    <col min="7954" max="7954" width="1.5703125" style="642" customWidth="1"/>
    <col min="7955" max="7955" width="5.42578125" style="642" customWidth="1"/>
    <col min="7956" max="7956" width="19.140625" style="642" customWidth="1"/>
    <col min="7957" max="7957" width="7.28515625" style="642" customWidth="1"/>
    <col min="7958" max="7958" width="5.28515625" style="642" customWidth="1"/>
    <col min="7959" max="7959" width="4" style="642" customWidth="1"/>
    <col min="7960" max="7964" width="4.85546875" style="642" customWidth="1"/>
    <col min="7965" max="7965" width="6.85546875" style="642" customWidth="1"/>
    <col min="7966" max="7966" width="5.7109375" style="642" customWidth="1"/>
    <col min="7967" max="7967" width="7.7109375" style="642" customWidth="1"/>
    <col min="7968" max="7968" width="6.85546875" style="642" customWidth="1"/>
    <col min="7969" max="7969" width="5.140625" style="642" customWidth="1"/>
    <col min="7970" max="7970" width="7.85546875" style="642" customWidth="1"/>
    <col min="7971" max="7971" width="4.42578125" style="642" customWidth="1"/>
    <col min="7972" max="7972" width="6.85546875" style="642" customWidth="1"/>
    <col min="7973" max="7974" width="8" style="642" customWidth="1"/>
    <col min="7975" max="7975" width="6" style="642" customWidth="1"/>
    <col min="7976" max="7976" width="3.140625" style="642" customWidth="1"/>
    <col min="7977" max="7977" width="6" style="642" customWidth="1"/>
    <col min="7978" max="7978" width="5.5703125" style="642" customWidth="1"/>
    <col min="7979" max="7979" width="6.7109375" style="642" customWidth="1"/>
    <col min="7980" max="7980" width="6.85546875" style="642" customWidth="1"/>
    <col min="7981" max="7981" width="8.140625" style="642" customWidth="1"/>
    <col min="7982" max="7982" width="4.42578125" style="642" customWidth="1"/>
    <col min="7983" max="7983" width="7.140625" style="642" customWidth="1"/>
    <col min="7984" max="7984" width="6.5703125" style="642" customWidth="1"/>
    <col min="7985" max="7985" width="6.42578125" style="642" customWidth="1"/>
    <col min="7986" max="7986" width="8.28515625" style="642" customWidth="1"/>
    <col min="7987" max="7987" width="5.42578125" style="642" customWidth="1"/>
    <col min="7988" max="7988" width="7.5703125" style="642" customWidth="1"/>
    <col min="7989" max="7989" width="5.140625" style="642" customWidth="1"/>
    <col min="7990" max="7992" width="9.140625" style="642" customWidth="1"/>
    <col min="7993" max="7993" width="9.140625" style="642"/>
    <col min="7994" max="7994" width="19.7109375" style="642" customWidth="1"/>
    <col min="7995" max="7995" width="6.5703125" style="642" customWidth="1"/>
    <col min="7996" max="7996" width="3.5703125" style="642" bestFit="1" customWidth="1"/>
    <col min="7997" max="7997" width="6.85546875" style="642" bestFit="1" customWidth="1"/>
    <col min="7998" max="8000" width="5.85546875" style="642" customWidth="1"/>
    <col min="8001" max="8001" width="6" style="642" bestFit="1" customWidth="1"/>
    <col min="8002" max="8004" width="0" style="642" hidden="1" customWidth="1"/>
    <col min="8005" max="8005" width="6" style="642" bestFit="1" customWidth="1"/>
    <col min="8006" max="8006" width="6.85546875" style="642" bestFit="1" customWidth="1"/>
    <col min="8007" max="8007" width="7" style="642" bestFit="1" customWidth="1"/>
    <col min="8008" max="8008" width="6" style="642" bestFit="1" customWidth="1"/>
    <col min="8009" max="8009" width="4.42578125" style="642" bestFit="1" customWidth="1"/>
    <col min="8010" max="8010" width="6" style="642" bestFit="1" customWidth="1"/>
    <col min="8011" max="8011" width="6.28515625" style="642" bestFit="1" customWidth="1"/>
    <col min="8012" max="8018" width="4.85546875" style="642" bestFit="1" customWidth="1"/>
    <col min="8019" max="8019" width="5" style="642" bestFit="1" customWidth="1"/>
    <col min="8020" max="8020" width="4.85546875" style="642" bestFit="1" customWidth="1"/>
    <col min="8021" max="8021" width="4.42578125" style="642" bestFit="1" customWidth="1"/>
    <col min="8022" max="8022" width="5.140625" style="642" bestFit="1" customWidth="1"/>
    <col min="8023" max="8023" width="4.85546875" style="642" bestFit="1" customWidth="1"/>
    <col min="8024" max="8024" width="5" style="642" bestFit="1" customWidth="1"/>
    <col min="8025" max="8026" width="5.28515625" style="642" bestFit="1" customWidth="1"/>
    <col min="8027" max="8027" width="5" style="642" bestFit="1" customWidth="1"/>
    <col min="8028" max="8028" width="4.42578125" style="642" bestFit="1" customWidth="1"/>
    <col min="8029" max="8029" width="4.5703125" style="642" bestFit="1" customWidth="1"/>
    <col min="8030" max="8031" width="5.140625" style="642" bestFit="1" customWidth="1"/>
    <col min="8032" max="8032" width="4.85546875" style="642" bestFit="1" customWidth="1"/>
    <col min="8033" max="8033" width="5.42578125" style="642" bestFit="1" customWidth="1"/>
    <col min="8034" max="8034" width="0" style="642" hidden="1" customWidth="1"/>
    <col min="8035" max="8035" width="6.5703125" style="642" bestFit="1" customWidth="1"/>
    <col min="8036" max="8176" width="9.140625" style="642"/>
    <col min="8177" max="8177" width="6" style="642" customWidth="1"/>
    <col min="8178" max="8178" width="1.5703125" style="642" bestFit="1" customWidth="1"/>
    <col min="8179" max="8179" width="5.42578125" style="642" bestFit="1" customWidth="1"/>
    <col min="8180" max="8180" width="20.28515625" style="642" customWidth="1"/>
    <col min="8181" max="8181" width="7.28515625" style="642" customWidth="1"/>
    <col min="8182" max="8182" width="5.28515625" style="642" customWidth="1"/>
    <col min="8183" max="8183" width="6.5703125" style="642" customWidth="1"/>
    <col min="8184" max="8184" width="4.42578125" style="642" customWidth="1"/>
    <col min="8185" max="8185" width="8.28515625" style="642" customWidth="1"/>
    <col min="8186" max="8186" width="4.7109375" style="642" customWidth="1"/>
    <col min="8187" max="8187" width="5.7109375" style="642" customWidth="1"/>
    <col min="8188" max="8188" width="8" style="642" customWidth="1"/>
    <col min="8189" max="8189" width="6.85546875" style="642" customWidth="1"/>
    <col min="8190" max="8190" width="6.140625" style="642" customWidth="1"/>
    <col min="8191" max="8192" width="8.28515625" style="642" customWidth="1"/>
    <col min="8193" max="8194" width="5.85546875" style="642" customWidth="1"/>
    <col min="8195" max="8195" width="7" style="642" customWidth="1"/>
    <col min="8196" max="8196" width="5.85546875" style="642" customWidth="1"/>
    <col min="8197" max="8197" width="6.42578125" style="642" customWidth="1"/>
    <col min="8198" max="8198" width="1.7109375" style="642" customWidth="1"/>
    <col min="8199" max="8200" width="6.42578125" style="642" customWidth="1"/>
    <col min="8201" max="8201" width="1.7109375" style="642" customWidth="1"/>
    <col min="8202" max="8202" width="6.42578125" style="642" customWidth="1"/>
    <col min="8203" max="8203" width="6.85546875" style="642" customWidth="1"/>
    <col min="8204" max="8204" width="5.7109375" style="642" customWidth="1"/>
    <col min="8205" max="8205" width="3.28515625" style="642" customWidth="1"/>
    <col min="8206" max="8206" width="4" style="642" customWidth="1"/>
    <col min="8207" max="8207" width="14" style="642" customWidth="1"/>
    <col min="8208" max="8208" width="9.140625" style="642" customWidth="1"/>
    <col min="8209" max="8209" width="9.5703125" style="642" customWidth="1"/>
    <col min="8210" max="8210" width="1.5703125" style="642" customWidth="1"/>
    <col min="8211" max="8211" width="5.42578125" style="642" customWidth="1"/>
    <col min="8212" max="8212" width="19.140625" style="642" customWidth="1"/>
    <col min="8213" max="8213" width="7.28515625" style="642" customWidth="1"/>
    <col min="8214" max="8214" width="5.28515625" style="642" customWidth="1"/>
    <col min="8215" max="8215" width="4" style="642" customWidth="1"/>
    <col min="8216" max="8220" width="4.85546875" style="642" customWidth="1"/>
    <col min="8221" max="8221" width="6.85546875" style="642" customWidth="1"/>
    <col min="8222" max="8222" width="5.7109375" style="642" customWidth="1"/>
    <col min="8223" max="8223" width="7.7109375" style="642" customWidth="1"/>
    <col min="8224" max="8224" width="6.85546875" style="642" customWidth="1"/>
    <col min="8225" max="8225" width="5.140625" style="642" customWidth="1"/>
    <col min="8226" max="8226" width="7.85546875" style="642" customWidth="1"/>
    <col min="8227" max="8227" width="4.42578125" style="642" customWidth="1"/>
    <col min="8228" max="8228" width="6.85546875" style="642" customWidth="1"/>
    <col min="8229" max="8230" width="8" style="642" customWidth="1"/>
    <col min="8231" max="8231" width="6" style="642" customWidth="1"/>
    <col min="8232" max="8232" width="3.140625" style="642" customWidth="1"/>
    <col min="8233" max="8233" width="6" style="642" customWidth="1"/>
    <col min="8234" max="8234" width="5.5703125" style="642" customWidth="1"/>
    <col min="8235" max="8235" width="6.7109375" style="642" customWidth="1"/>
    <col min="8236" max="8236" width="6.85546875" style="642" customWidth="1"/>
    <col min="8237" max="8237" width="8.140625" style="642" customWidth="1"/>
    <col min="8238" max="8238" width="4.42578125" style="642" customWidth="1"/>
    <col min="8239" max="8239" width="7.140625" style="642" customWidth="1"/>
    <col min="8240" max="8240" width="6.5703125" style="642" customWidth="1"/>
    <col min="8241" max="8241" width="6.42578125" style="642" customWidth="1"/>
    <col min="8242" max="8242" width="8.28515625" style="642" customWidth="1"/>
    <col min="8243" max="8243" width="5.42578125" style="642" customWidth="1"/>
    <col min="8244" max="8244" width="7.5703125" style="642" customWidth="1"/>
    <col min="8245" max="8245" width="5.140625" style="642" customWidth="1"/>
    <col min="8246" max="8248" width="9.140625" style="642" customWidth="1"/>
    <col min="8249" max="8249" width="9.140625" style="642"/>
    <col min="8250" max="8250" width="19.7109375" style="642" customWidth="1"/>
    <col min="8251" max="8251" width="6.5703125" style="642" customWidth="1"/>
    <col min="8252" max="8252" width="3.5703125" style="642" bestFit="1" customWidth="1"/>
    <col min="8253" max="8253" width="6.85546875" style="642" bestFit="1" customWidth="1"/>
    <col min="8254" max="8256" width="5.85546875" style="642" customWidth="1"/>
    <col min="8257" max="8257" width="6" style="642" bestFit="1" customWidth="1"/>
    <col min="8258" max="8260" width="0" style="642" hidden="1" customWidth="1"/>
    <col min="8261" max="8261" width="6" style="642" bestFit="1" customWidth="1"/>
    <col min="8262" max="8262" width="6.85546875" style="642" bestFit="1" customWidth="1"/>
    <col min="8263" max="8263" width="7" style="642" bestFit="1" customWidth="1"/>
    <col min="8264" max="8264" width="6" style="642" bestFit="1" customWidth="1"/>
    <col min="8265" max="8265" width="4.42578125" style="642" bestFit="1" customWidth="1"/>
    <col min="8266" max="8266" width="6" style="642" bestFit="1" customWidth="1"/>
    <col min="8267" max="8267" width="6.28515625" style="642" bestFit="1" customWidth="1"/>
    <col min="8268" max="8274" width="4.85546875" style="642" bestFit="1" customWidth="1"/>
    <col min="8275" max="8275" width="5" style="642" bestFit="1" customWidth="1"/>
    <col min="8276" max="8276" width="4.85546875" style="642" bestFit="1" customWidth="1"/>
    <col min="8277" max="8277" width="4.42578125" style="642" bestFit="1" customWidth="1"/>
    <col min="8278" max="8278" width="5.140625" style="642" bestFit="1" customWidth="1"/>
    <col min="8279" max="8279" width="4.85546875" style="642" bestFit="1" customWidth="1"/>
    <col min="8280" max="8280" width="5" style="642" bestFit="1" customWidth="1"/>
    <col min="8281" max="8282" width="5.28515625" style="642" bestFit="1" customWidth="1"/>
    <col min="8283" max="8283" width="5" style="642" bestFit="1" customWidth="1"/>
    <col min="8284" max="8284" width="4.42578125" style="642" bestFit="1" customWidth="1"/>
    <col min="8285" max="8285" width="4.5703125" style="642" bestFit="1" customWidth="1"/>
    <col min="8286" max="8287" width="5.140625" style="642" bestFit="1" customWidth="1"/>
    <col min="8288" max="8288" width="4.85546875" style="642" bestFit="1" customWidth="1"/>
    <col min="8289" max="8289" width="5.42578125" style="642" bestFit="1" customWidth="1"/>
    <col min="8290" max="8290" width="0" style="642" hidden="1" customWidth="1"/>
    <col min="8291" max="8291" width="6.5703125" style="642" bestFit="1" customWidth="1"/>
    <col min="8292" max="8432" width="9.140625" style="642"/>
    <col min="8433" max="8433" width="6" style="642" customWidth="1"/>
    <col min="8434" max="8434" width="1.5703125" style="642" bestFit="1" customWidth="1"/>
    <col min="8435" max="8435" width="5.42578125" style="642" bestFit="1" customWidth="1"/>
    <col min="8436" max="8436" width="20.28515625" style="642" customWidth="1"/>
    <col min="8437" max="8437" width="7.28515625" style="642" customWidth="1"/>
    <col min="8438" max="8438" width="5.28515625" style="642" customWidth="1"/>
    <col min="8439" max="8439" width="6.5703125" style="642" customWidth="1"/>
    <col min="8440" max="8440" width="4.42578125" style="642" customWidth="1"/>
    <col min="8441" max="8441" width="8.28515625" style="642" customWidth="1"/>
    <col min="8442" max="8442" width="4.7109375" style="642" customWidth="1"/>
    <col min="8443" max="8443" width="5.7109375" style="642" customWidth="1"/>
    <col min="8444" max="8444" width="8" style="642" customWidth="1"/>
    <col min="8445" max="8445" width="6.85546875" style="642" customWidth="1"/>
    <col min="8446" max="8446" width="6.140625" style="642" customWidth="1"/>
    <col min="8447" max="8448" width="8.28515625" style="642" customWidth="1"/>
    <col min="8449" max="8450" width="5.85546875" style="642" customWidth="1"/>
    <col min="8451" max="8451" width="7" style="642" customWidth="1"/>
    <col min="8452" max="8452" width="5.85546875" style="642" customWidth="1"/>
    <col min="8453" max="8453" width="6.42578125" style="642" customWidth="1"/>
    <col min="8454" max="8454" width="1.7109375" style="642" customWidth="1"/>
    <col min="8455" max="8456" width="6.42578125" style="642" customWidth="1"/>
    <col min="8457" max="8457" width="1.7109375" style="642" customWidth="1"/>
    <col min="8458" max="8458" width="6.42578125" style="642" customWidth="1"/>
    <col min="8459" max="8459" width="6.85546875" style="642" customWidth="1"/>
    <col min="8460" max="8460" width="5.7109375" style="642" customWidth="1"/>
    <col min="8461" max="8461" width="3.28515625" style="642" customWidth="1"/>
    <col min="8462" max="8462" width="4" style="642" customWidth="1"/>
    <col min="8463" max="8463" width="14" style="642" customWidth="1"/>
    <col min="8464" max="8464" width="9.140625" style="642" customWidth="1"/>
    <col min="8465" max="8465" width="9.5703125" style="642" customWidth="1"/>
    <col min="8466" max="8466" width="1.5703125" style="642" customWidth="1"/>
    <col min="8467" max="8467" width="5.42578125" style="642" customWidth="1"/>
    <col min="8468" max="8468" width="19.140625" style="642" customWidth="1"/>
    <col min="8469" max="8469" width="7.28515625" style="642" customWidth="1"/>
    <col min="8470" max="8470" width="5.28515625" style="642" customWidth="1"/>
    <col min="8471" max="8471" width="4" style="642" customWidth="1"/>
    <col min="8472" max="8476" width="4.85546875" style="642" customWidth="1"/>
    <col min="8477" max="8477" width="6.85546875" style="642" customWidth="1"/>
    <col min="8478" max="8478" width="5.7109375" style="642" customWidth="1"/>
    <col min="8479" max="8479" width="7.7109375" style="642" customWidth="1"/>
    <col min="8480" max="8480" width="6.85546875" style="642" customWidth="1"/>
    <col min="8481" max="8481" width="5.140625" style="642" customWidth="1"/>
    <col min="8482" max="8482" width="7.85546875" style="642" customWidth="1"/>
    <col min="8483" max="8483" width="4.42578125" style="642" customWidth="1"/>
    <col min="8484" max="8484" width="6.85546875" style="642" customWidth="1"/>
    <col min="8485" max="8486" width="8" style="642" customWidth="1"/>
    <col min="8487" max="8487" width="6" style="642" customWidth="1"/>
    <col min="8488" max="8488" width="3.140625" style="642" customWidth="1"/>
    <col min="8489" max="8489" width="6" style="642" customWidth="1"/>
    <col min="8490" max="8490" width="5.5703125" style="642" customWidth="1"/>
    <col min="8491" max="8491" width="6.7109375" style="642" customWidth="1"/>
    <col min="8492" max="8492" width="6.85546875" style="642" customWidth="1"/>
    <col min="8493" max="8493" width="8.140625" style="642" customWidth="1"/>
    <col min="8494" max="8494" width="4.42578125" style="642" customWidth="1"/>
    <col min="8495" max="8495" width="7.140625" style="642" customWidth="1"/>
    <col min="8496" max="8496" width="6.5703125" style="642" customWidth="1"/>
    <col min="8497" max="8497" width="6.42578125" style="642" customWidth="1"/>
    <col min="8498" max="8498" width="8.28515625" style="642" customWidth="1"/>
    <col min="8499" max="8499" width="5.42578125" style="642" customWidth="1"/>
    <col min="8500" max="8500" width="7.5703125" style="642" customWidth="1"/>
    <col min="8501" max="8501" width="5.140625" style="642" customWidth="1"/>
    <col min="8502" max="8504" width="9.140625" style="642" customWidth="1"/>
    <col min="8505" max="8505" width="9.140625" style="642"/>
    <col min="8506" max="8506" width="19.7109375" style="642" customWidth="1"/>
    <col min="8507" max="8507" width="6.5703125" style="642" customWidth="1"/>
    <col min="8508" max="8508" width="3.5703125" style="642" bestFit="1" customWidth="1"/>
    <col min="8509" max="8509" width="6.85546875" style="642" bestFit="1" customWidth="1"/>
    <col min="8510" max="8512" width="5.85546875" style="642" customWidth="1"/>
    <col min="8513" max="8513" width="6" style="642" bestFit="1" customWidth="1"/>
    <col min="8514" max="8516" width="0" style="642" hidden="1" customWidth="1"/>
    <col min="8517" max="8517" width="6" style="642" bestFit="1" customWidth="1"/>
    <col min="8518" max="8518" width="6.85546875" style="642" bestFit="1" customWidth="1"/>
    <col min="8519" max="8519" width="7" style="642" bestFit="1" customWidth="1"/>
    <col min="8520" max="8520" width="6" style="642" bestFit="1" customWidth="1"/>
    <col min="8521" max="8521" width="4.42578125" style="642" bestFit="1" customWidth="1"/>
    <col min="8522" max="8522" width="6" style="642" bestFit="1" customWidth="1"/>
    <col min="8523" max="8523" width="6.28515625" style="642" bestFit="1" customWidth="1"/>
    <col min="8524" max="8530" width="4.85546875" style="642" bestFit="1" customWidth="1"/>
    <col min="8531" max="8531" width="5" style="642" bestFit="1" customWidth="1"/>
    <col min="8532" max="8532" width="4.85546875" style="642" bestFit="1" customWidth="1"/>
    <col min="8533" max="8533" width="4.42578125" style="642" bestFit="1" customWidth="1"/>
    <col min="8534" max="8534" width="5.140625" style="642" bestFit="1" customWidth="1"/>
    <col min="8535" max="8535" width="4.85546875" style="642" bestFit="1" customWidth="1"/>
    <col min="8536" max="8536" width="5" style="642" bestFit="1" customWidth="1"/>
    <col min="8537" max="8538" width="5.28515625" style="642" bestFit="1" customWidth="1"/>
    <col min="8539" max="8539" width="5" style="642" bestFit="1" customWidth="1"/>
    <col min="8540" max="8540" width="4.42578125" style="642" bestFit="1" customWidth="1"/>
    <col min="8541" max="8541" width="4.5703125" style="642" bestFit="1" customWidth="1"/>
    <col min="8542" max="8543" width="5.140625" style="642" bestFit="1" customWidth="1"/>
    <col min="8544" max="8544" width="4.85546875" style="642" bestFit="1" customWidth="1"/>
    <col min="8545" max="8545" width="5.42578125" style="642" bestFit="1" customWidth="1"/>
    <col min="8546" max="8546" width="0" style="642" hidden="1" customWidth="1"/>
    <col min="8547" max="8547" width="6.5703125" style="642" bestFit="1" customWidth="1"/>
    <col min="8548" max="8688" width="9.140625" style="642"/>
    <col min="8689" max="8689" width="6" style="642" customWidth="1"/>
    <col min="8690" max="8690" width="1.5703125" style="642" bestFit="1" customWidth="1"/>
    <col min="8691" max="8691" width="5.42578125" style="642" bestFit="1" customWidth="1"/>
    <col min="8692" max="8692" width="20.28515625" style="642" customWidth="1"/>
    <col min="8693" max="8693" width="7.28515625" style="642" customWidth="1"/>
    <col min="8694" max="8694" width="5.28515625" style="642" customWidth="1"/>
    <col min="8695" max="8695" width="6.5703125" style="642" customWidth="1"/>
    <col min="8696" max="8696" width="4.42578125" style="642" customWidth="1"/>
    <col min="8697" max="8697" width="8.28515625" style="642" customWidth="1"/>
    <col min="8698" max="8698" width="4.7109375" style="642" customWidth="1"/>
    <col min="8699" max="8699" width="5.7109375" style="642" customWidth="1"/>
    <col min="8700" max="8700" width="8" style="642" customWidth="1"/>
    <col min="8701" max="8701" width="6.85546875" style="642" customWidth="1"/>
    <col min="8702" max="8702" width="6.140625" style="642" customWidth="1"/>
    <col min="8703" max="8704" width="8.28515625" style="642" customWidth="1"/>
    <col min="8705" max="8706" width="5.85546875" style="642" customWidth="1"/>
    <col min="8707" max="8707" width="7" style="642" customWidth="1"/>
    <col min="8708" max="8708" width="5.85546875" style="642" customWidth="1"/>
    <col min="8709" max="8709" width="6.42578125" style="642" customWidth="1"/>
    <col min="8710" max="8710" width="1.7109375" style="642" customWidth="1"/>
    <col min="8711" max="8712" width="6.42578125" style="642" customWidth="1"/>
    <col min="8713" max="8713" width="1.7109375" style="642" customWidth="1"/>
    <col min="8714" max="8714" width="6.42578125" style="642" customWidth="1"/>
    <col min="8715" max="8715" width="6.85546875" style="642" customWidth="1"/>
    <col min="8716" max="8716" width="5.7109375" style="642" customWidth="1"/>
    <col min="8717" max="8717" width="3.28515625" style="642" customWidth="1"/>
    <col min="8718" max="8718" width="4" style="642" customWidth="1"/>
    <col min="8719" max="8719" width="14" style="642" customWidth="1"/>
    <col min="8720" max="8720" width="9.140625" style="642" customWidth="1"/>
    <col min="8721" max="8721" width="9.5703125" style="642" customWidth="1"/>
    <col min="8722" max="8722" width="1.5703125" style="642" customWidth="1"/>
    <col min="8723" max="8723" width="5.42578125" style="642" customWidth="1"/>
    <col min="8724" max="8724" width="19.140625" style="642" customWidth="1"/>
    <col min="8725" max="8725" width="7.28515625" style="642" customWidth="1"/>
    <col min="8726" max="8726" width="5.28515625" style="642" customWidth="1"/>
    <col min="8727" max="8727" width="4" style="642" customWidth="1"/>
    <col min="8728" max="8732" width="4.85546875" style="642" customWidth="1"/>
    <col min="8733" max="8733" width="6.85546875" style="642" customWidth="1"/>
    <col min="8734" max="8734" width="5.7109375" style="642" customWidth="1"/>
    <col min="8735" max="8735" width="7.7109375" style="642" customWidth="1"/>
    <col min="8736" max="8736" width="6.85546875" style="642" customWidth="1"/>
    <col min="8737" max="8737" width="5.140625" style="642" customWidth="1"/>
    <col min="8738" max="8738" width="7.85546875" style="642" customWidth="1"/>
    <col min="8739" max="8739" width="4.42578125" style="642" customWidth="1"/>
    <col min="8740" max="8740" width="6.85546875" style="642" customWidth="1"/>
    <col min="8741" max="8742" width="8" style="642" customWidth="1"/>
    <col min="8743" max="8743" width="6" style="642" customWidth="1"/>
    <col min="8744" max="8744" width="3.140625" style="642" customWidth="1"/>
    <col min="8745" max="8745" width="6" style="642" customWidth="1"/>
    <col min="8746" max="8746" width="5.5703125" style="642" customWidth="1"/>
    <col min="8747" max="8747" width="6.7109375" style="642" customWidth="1"/>
    <col min="8748" max="8748" width="6.85546875" style="642" customWidth="1"/>
    <col min="8749" max="8749" width="8.140625" style="642" customWidth="1"/>
    <col min="8750" max="8750" width="4.42578125" style="642" customWidth="1"/>
    <col min="8751" max="8751" width="7.140625" style="642" customWidth="1"/>
    <col min="8752" max="8752" width="6.5703125" style="642" customWidth="1"/>
    <col min="8753" max="8753" width="6.42578125" style="642" customWidth="1"/>
    <col min="8754" max="8754" width="8.28515625" style="642" customWidth="1"/>
    <col min="8755" max="8755" width="5.42578125" style="642" customWidth="1"/>
    <col min="8756" max="8756" width="7.5703125" style="642" customWidth="1"/>
    <col min="8757" max="8757" width="5.140625" style="642" customWidth="1"/>
    <col min="8758" max="8760" width="9.140625" style="642" customWidth="1"/>
    <col min="8761" max="8761" width="9.140625" style="642"/>
    <col min="8762" max="8762" width="19.7109375" style="642" customWidth="1"/>
    <col min="8763" max="8763" width="6.5703125" style="642" customWidth="1"/>
    <col min="8764" max="8764" width="3.5703125" style="642" bestFit="1" customWidth="1"/>
    <col min="8765" max="8765" width="6.85546875" style="642" bestFit="1" customWidth="1"/>
    <col min="8766" max="8768" width="5.85546875" style="642" customWidth="1"/>
    <col min="8769" max="8769" width="6" style="642" bestFit="1" customWidth="1"/>
    <col min="8770" max="8772" width="0" style="642" hidden="1" customWidth="1"/>
    <col min="8773" max="8773" width="6" style="642" bestFit="1" customWidth="1"/>
    <col min="8774" max="8774" width="6.85546875" style="642" bestFit="1" customWidth="1"/>
    <col min="8775" max="8775" width="7" style="642" bestFit="1" customWidth="1"/>
    <col min="8776" max="8776" width="6" style="642" bestFit="1" customWidth="1"/>
    <col min="8777" max="8777" width="4.42578125" style="642" bestFit="1" customWidth="1"/>
    <col min="8778" max="8778" width="6" style="642" bestFit="1" customWidth="1"/>
    <col min="8779" max="8779" width="6.28515625" style="642" bestFit="1" customWidth="1"/>
    <col min="8780" max="8786" width="4.85546875" style="642" bestFit="1" customWidth="1"/>
    <col min="8787" max="8787" width="5" style="642" bestFit="1" customWidth="1"/>
    <col min="8788" max="8788" width="4.85546875" style="642" bestFit="1" customWidth="1"/>
    <col min="8789" max="8789" width="4.42578125" style="642" bestFit="1" customWidth="1"/>
    <col min="8790" max="8790" width="5.140625" style="642" bestFit="1" customWidth="1"/>
    <col min="8791" max="8791" width="4.85546875" style="642" bestFit="1" customWidth="1"/>
    <col min="8792" max="8792" width="5" style="642" bestFit="1" customWidth="1"/>
    <col min="8793" max="8794" width="5.28515625" style="642" bestFit="1" customWidth="1"/>
    <col min="8795" max="8795" width="5" style="642" bestFit="1" customWidth="1"/>
    <col min="8796" max="8796" width="4.42578125" style="642" bestFit="1" customWidth="1"/>
    <col min="8797" max="8797" width="4.5703125" style="642" bestFit="1" customWidth="1"/>
    <col min="8798" max="8799" width="5.140625" style="642" bestFit="1" customWidth="1"/>
    <col min="8800" max="8800" width="4.85546875" style="642" bestFit="1" customWidth="1"/>
    <col min="8801" max="8801" width="5.42578125" style="642" bestFit="1" customWidth="1"/>
    <col min="8802" max="8802" width="0" style="642" hidden="1" customWidth="1"/>
    <col min="8803" max="8803" width="6.5703125" style="642" bestFit="1" customWidth="1"/>
    <col min="8804" max="8944" width="9.140625" style="642"/>
    <col min="8945" max="8945" width="6" style="642" customWidth="1"/>
    <col min="8946" max="8946" width="1.5703125" style="642" bestFit="1" customWidth="1"/>
    <col min="8947" max="8947" width="5.42578125" style="642" bestFit="1" customWidth="1"/>
    <col min="8948" max="8948" width="20.28515625" style="642" customWidth="1"/>
    <col min="8949" max="8949" width="7.28515625" style="642" customWidth="1"/>
    <col min="8950" max="8950" width="5.28515625" style="642" customWidth="1"/>
    <col min="8951" max="8951" width="6.5703125" style="642" customWidth="1"/>
    <col min="8952" max="8952" width="4.42578125" style="642" customWidth="1"/>
    <col min="8953" max="8953" width="8.28515625" style="642" customWidth="1"/>
    <col min="8954" max="8954" width="4.7109375" style="642" customWidth="1"/>
    <col min="8955" max="8955" width="5.7109375" style="642" customWidth="1"/>
    <col min="8956" max="8956" width="8" style="642" customWidth="1"/>
    <col min="8957" max="8957" width="6.85546875" style="642" customWidth="1"/>
    <col min="8958" max="8958" width="6.140625" style="642" customWidth="1"/>
    <col min="8959" max="8960" width="8.28515625" style="642" customWidth="1"/>
    <col min="8961" max="8962" width="5.85546875" style="642" customWidth="1"/>
    <col min="8963" max="8963" width="7" style="642" customWidth="1"/>
    <col min="8964" max="8964" width="5.85546875" style="642" customWidth="1"/>
    <col min="8965" max="8965" width="6.42578125" style="642" customWidth="1"/>
    <col min="8966" max="8966" width="1.7109375" style="642" customWidth="1"/>
    <col min="8967" max="8968" width="6.42578125" style="642" customWidth="1"/>
    <col min="8969" max="8969" width="1.7109375" style="642" customWidth="1"/>
    <col min="8970" max="8970" width="6.42578125" style="642" customWidth="1"/>
    <col min="8971" max="8971" width="6.85546875" style="642" customWidth="1"/>
    <col min="8972" max="8972" width="5.7109375" style="642" customWidth="1"/>
    <col min="8973" max="8973" width="3.28515625" style="642" customWidth="1"/>
    <col min="8974" max="8974" width="4" style="642" customWidth="1"/>
    <col min="8975" max="8975" width="14" style="642" customWidth="1"/>
    <col min="8976" max="8976" width="9.140625" style="642" customWidth="1"/>
    <col min="8977" max="8977" width="9.5703125" style="642" customWidth="1"/>
    <col min="8978" max="8978" width="1.5703125" style="642" customWidth="1"/>
    <col min="8979" max="8979" width="5.42578125" style="642" customWidth="1"/>
    <col min="8980" max="8980" width="19.140625" style="642" customWidth="1"/>
    <col min="8981" max="8981" width="7.28515625" style="642" customWidth="1"/>
    <col min="8982" max="8982" width="5.28515625" style="642" customWidth="1"/>
    <col min="8983" max="8983" width="4" style="642" customWidth="1"/>
    <col min="8984" max="8988" width="4.85546875" style="642" customWidth="1"/>
    <col min="8989" max="8989" width="6.85546875" style="642" customWidth="1"/>
    <col min="8990" max="8990" width="5.7109375" style="642" customWidth="1"/>
    <col min="8991" max="8991" width="7.7109375" style="642" customWidth="1"/>
    <col min="8992" max="8992" width="6.85546875" style="642" customWidth="1"/>
    <col min="8993" max="8993" width="5.140625" style="642" customWidth="1"/>
    <col min="8994" max="8994" width="7.85546875" style="642" customWidth="1"/>
    <col min="8995" max="8995" width="4.42578125" style="642" customWidth="1"/>
    <col min="8996" max="8996" width="6.85546875" style="642" customWidth="1"/>
    <col min="8997" max="8998" width="8" style="642" customWidth="1"/>
    <col min="8999" max="8999" width="6" style="642" customWidth="1"/>
    <col min="9000" max="9000" width="3.140625" style="642" customWidth="1"/>
    <col min="9001" max="9001" width="6" style="642" customWidth="1"/>
    <col min="9002" max="9002" width="5.5703125" style="642" customWidth="1"/>
    <col min="9003" max="9003" width="6.7109375" style="642" customWidth="1"/>
    <col min="9004" max="9004" width="6.85546875" style="642" customWidth="1"/>
    <col min="9005" max="9005" width="8.140625" style="642" customWidth="1"/>
    <col min="9006" max="9006" width="4.42578125" style="642" customWidth="1"/>
    <col min="9007" max="9007" width="7.140625" style="642" customWidth="1"/>
    <col min="9008" max="9008" width="6.5703125" style="642" customWidth="1"/>
    <col min="9009" max="9009" width="6.42578125" style="642" customWidth="1"/>
    <col min="9010" max="9010" width="8.28515625" style="642" customWidth="1"/>
    <col min="9011" max="9011" width="5.42578125" style="642" customWidth="1"/>
    <col min="9012" max="9012" width="7.5703125" style="642" customWidth="1"/>
    <col min="9013" max="9013" width="5.140625" style="642" customWidth="1"/>
    <col min="9014" max="9016" width="9.140625" style="642" customWidth="1"/>
    <col min="9017" max="9017" width="9.140625" style="642"/>
    <col min="9018" max="9018" width="19.7109375" style="642" customWidth="1"/>
    <col min="9019" max="9019" width="6.5703125" style="642" customWidth="1"/>
    <col min="9020" max="9020" width="3.5703125" style="642" bestFit="1" customWidth="1"/>
    <col min="9021" max="9021" width="6.85546875" style="642" bestFit="1" customWidth="1"/>
    <col min="9022" max="9024" width="5.85546875" style="642" customWidth="1"/>
    <col min="9025" max="9025" width="6" style="642" bestFit="1" customWidth="1"/>
    <col min="9026" max="9028" width="0" style="642" hidden="1" customWidth="1"/>
    <col min="9029" max="9029" width="6" style="642" bestFit="1" customWidth="1"/>
    <col min="9030" max="9030" width="6.85546875" style="642" bestFit="1" customWidth="1"/>
    <col min="9031" max="9031" width="7" style="642" bestFit="1" customWidth="1"/>
    <col min="9032" max="9032" width="6" style="642" bestFit="1" customWidth="1"/>
    <col min="9033" max="9033" width="4.42578125" style="642" bestFit="1" customWidth="1"/>
    <col min="9034" max="9034" width="6" style="642" bestFit="1" customWidth="1"/>
    <col min="9035" max="9035" width="6.28515625" style="642" bestFit="1" customWidth="1"/>
    <col min="9036" max="9042" width="4.85546875" style="642" bestFit="1" customWidth="1"/>
    <col min="9043" max="9043" width="5" style="642" bestFit="1" customWidth="1"/>
    <col min="9044" max="9044" width="4.85546875" style="642" bestFit="1" customWidth="1"/>
    <col min="9045" max="9045" width="4.42578125" style="642" bestFit="1" customWidth="1"/>
    <col min="9046" max="9046" width="5.140625" style="642" bestFit="1" customWidth="1"/>
    <col min="9047" max="9047" width="4.85546875" style="642" bestFit="1" customWidth="1"/>
    <col min="9048" max="9048" width="5" style="642" bestFit="1" customWidth="1"/>
    <col min="9049" max="9050" width="5.28515625" style="642" bestFit="1" customWidth="1"/>
    <col min="9051" max="9051" width="5" style="642" bestFit="1" customWidth="1"/>
    <col min="9052" max="9052" width="4.42578125" style="642" bestFit="1" customWidth="1"/>
    <col min="9053" max="9053" width="4.5703125" style="642" bestFit="1" customWidth="1"/>
    <col min="9054" max="9055" width="5.140625" style="642" bestFit="1" customWidth="1"/>
    <col min="9056" max="9056" width="4.85546875" style="642" bestFit="1" customWidth="1"/>
    <col min="9057" max="9057" width="5.42578125" style="642" bestFit="1" customWidth="1"/>
    <col min="9058" max="9058" width="0" style="642" hidden="1" customWidth="1"/>
    <col min="9059" max="9059" width="6.5703125" style="642" bestFit="1" customWidth="1"/>
    <col min="9060" max="9200" width="9.140625" style="642"/>
    <col min="9201" max="9201" width="6" style="642" customWidth="1"/>
    <col min="9202" max="9202" width="1.5703125" style="642" bestFit="1" customWidth="1"/>
    <col min="9203" max="9203" width="5.42578125" style="642" bestFit="1" customWidth="1"/>
    <col min="9204" max="9204" width="20.28515625" style="642" customWidth="1"/>
    <col min="9205" max="9205" width="7.28515625" style="642" customWidth="1"/>
    <col min="9206" max="9206" width="5.28515625" style="642" customWidth="1"/>
    <col min="9207" max="9207" width="6.5703125" style="642" customWidth="1"/>
    <col min="9208" max="9208" width="4.42578125" style="642" customWidth="1"/>
    <col min="9209" max="9209" width="8.28515625" style="642" customWidth="1"/>
    <col min="9210" max="9210" width="4.7109375" style="642" customWidth="1"/>
    <col min="9211" max="9211" width="5.7109375" style="642" customWidth="1"/>
    <col min="9212" max="9212" width="8" style="642" customWidth="1"/>
    <col min="9213" max="9213" width="6.85546875" style="642" customWidth="1"/>
    <col min="9214" max="9214" width="6.140625" style="642" customWidth="1"/>
    <col min="9215" max="9216" width="8.28515625" style="642" customWidth="1"/>
    <col min="9217" max="9218" width="5.85546875" style="642" customWidth="1"/>
    <col min="9219" max="9219" width="7" style="642" customWidth="1"/>
    <col min="9220" max="9220" width="5.85546875" style="642" customWidth="1"/>
    <col min="9221" max="9221" width="6.42578125" style="642" customWidth="1"/>
    <col min="9222" max="9222" width="1.7109375" style="642" customWidth="1"/>
    <col min="9223" max="9224" width="6.42578125" style="642" customWidth="1"/>
    <col min="9225" max="9225" width="1.7109375" style="642" customWidth="1"/>
    <col min="9226" max="9226" width="6.42578125" style="642" customWidth="1"/>
    <col min="9227" max="9227" width="6.85546875" style="642" customWidth="1"/>
    <col min="9228" max="9228" width="5.7109375" style="642" customWidth="1"/>
    <col min="9229" max="9229" width="3.28515625" style="642" customWidth="1"/>
    <col min="9230" max="9230" width="4" style="642" customWidth="1"/>
    <col min="9231" max="9231" width="14" style="642" customWidth="1"/>
    <col min="9232" max="9232" width="9.140625" style="642" customWidth="1"/>
    <col min="9233" max="9233" width="9.5703125" style="642" customWidth="1"/>
    <col min="9234" max="9234" width="1.5703125" style="642" customWidth="1"/>
    <col min="9235" max="9235" width="5.42578125" style="642" customWidth="1"/>
    <col min="9236" max="9236" width="19.140625" style="642" customWidth="1"/>
    <col min="9237" max="9237" width="7.28515625" style="642" customWidth="1"/>
    <col min="9238" max="9238" width="5.28515625" style="642" customWidth="1"/>
    <col min="9239" max="9239" width="4" style="642" customWidth="1"/>
    <col min="9240" max="9244" width="4.85546875" style="642" customWidth="1"/>
    <col min="9245" max="9245" width="6.85546875" style="642" customWidth="1"/>
    <col min="9246" max="9246" width="5.7109375" style="642" customWidth="1"/>
    <col min="9247" max="9247" width="7.7109375" style="642" customWidth="1"/>
    <col min="9248" max="9248" width="6.85546875" style="642" customWidth="1"/>
    <col min="9249" max="9249" width="5.140625" style="642" customWidth="1"/>
    <col min="9250" max="9250" width="7.85546875" style="642" customWidth="1"/>
    <col min="9251" max="9251" width="4.42578125" style="642" customWidth="1"/>
    <col min="9252" max="9252" width="6.85546875" style="642" customWidth="1"/>
    <col min="9253" max="9254" width="8" style="642" customWidth="1"/>
    <col min="9255" max="9255" width="6" style="642" customWidth="1"/>
    <col min="9256" max="9256" width="3.140625" style="642" customWidth="1"/>
    <col min="9257" max="9257" width="6" style="642" customWidth="1"/>
    <col min="9258" max="9258" width="5.5703125" style="642" customWidth="1"/>
    <col min="9259" max="9259" width="6.7109375" style="642" customWidth="1"/>
    <col min="9260" max="9260" width="6.85546875" style="642" customWidth="1"/>
    <col min="9261" max="9261" width="8.140625" style="642" customWidth="1"/>
    <col min="9262" max="9262" width="4.42578125" style="642" customWidth="1"/>
    <col min="9263" max="9263" width="7.140625" style="642" customWidth="1"/>
    <col min="9264" max="9264" width="6.5703125" style="642" customWidth="1"/>
    <col min="9265" max="9265" width="6.42578125" style="642" customWidth="1"/>
    <col min="9266" max="9266" width="8.28515625" style="642" customWidth="1"/>
    <col min="9267" max="9267" width="5.42578125" style="642" customWidth="1"/>
    <col min="9268" max="9268" width="7.5703125" style="642" customWidth="1"/>
    <col min="9269" max="9269" width="5.140625" style="642" customWidth="1"/>
    <col min="9270" max="9272" width="9.140625" style="642" customWidth="1"/>
    <col min="9273" max="9273" width="9.140625" style="642"/>
    <col min="9274" max="9274" width="19.7109375" style="642" customWidth="1"/>
    <col min="9275" max="9275" width="6.5703125" style="642" customWidth="1"/>
    <col min="9276" max="9276" width="3.5703125" style="642" bestFit="1" customWidth="1"/>
    <col min="9277" max="9277" width="6.85546875" style="642" bestFit="1" customWidth="1"/>
    <col min="9278" max="9280" width="5.85546875" style="642" customWidth="1"/>
    <col min="9281" max="9281" width="6" style="642" bestFit="1" customWidth="1"/>
    <col min="9282" max="9284" width="0" style="642" hidden="1" customWidth="1"/>
    <col min="9285" max="9285" width="6" style="642" bestFit="1" customWidth="1"/>
    <col min="9286" max="9286" width="6.85546875" style="642" bestFit="1" customWidth="1"/>
    <col min="9287" max="9287" width="7" style="642" bestFit="1" customWidth="1"/>
    <col min="9288" max="9288" width="6" style="642" bestFit="1" customWidth="1"/>
    <col min="9289" max="9289" width="4.42578125" style="642" bestFit="1" customWidth="1"/>
    <col min="9290" max="9290" width="6" style="642" bestFit="1" customWidth="1"/>
    <col min="9291" max="9291" width="6.28515625" style="642" bestFit="1" customWidth="1"/>
    <col min="9292" max="9298" width="4.85546875" style="642" bestFit="1" customWidth="1"/>
    <col min="9299" max="9299" width="5" style="642" bestFit="1" customWidth="1"/>
    <col min="9300" max="9300" width="4.85546875" style="642" bestFit="1" customWidth="1"/>
    <col min="9301" max="9301" width="4.42578125" style="642" bestFit="1" customWidth="1"/>
    <col min="9302" max="9302" width="5.140625" style="642" bestFit="1" customWidth="1"/>
    <col min="9303" max="9303" width="4.85546875" style="642" bestFit="1" customWidth="1"/>
    <col min="9304" max="9304" width="5" style="642" bestFit="1" customWidth="1"/>
    <col min="9305" max="9306" width="5.28515625" style="642" bestFit="1" customWidth="1"/>
    <col min="9307" max="9307" width="5" style="642" bestFit="1" customWidth="1"/>
    <col min="9308" max="9308" width="4.42578125" style="642" bestFit="1" customWidth="1"/>
    <col min="9309" max="9309" width="4.5703125" style="642" bestFit="1" customWidth="1"/>
    <col min="9310" max="9311" width="5.140625" style="642" bestFit="1" customWidth="1"/>
    <col min="9312" max="9312" width="4.85546875" style="642" bestFit="1" customWidth="1"/>
    <col min="9313" max="9313" width="5.42578125" style="642" bestFit="1" customWidth="1"/>
    <col min="9314" max="9314" width="0" style="642" hidden="1" customWidth="1"/>
    <col min="9315" max="9315" width="6.5703125" style="642" bestFit="1" customWidth="1"/>
    <col min="9316" max="9456" width="9.140625" style="642"/>
    <col min="9457" max="9457" width="6" style="642" customWidth="1"/>
    <col min="9458" max="9458" width="1.5703125" style="642" bestFit="1" customWidth="1"/>
    <col min="9459" max="9459" width="5.42578125" style="642" bestFit="1" customWidth="1"/>
    <col min="9460" max="9460" width="20.28515625" style="642" customWidth="1"/>
    <col min="9461" max="9461" width="7.28515625" style="642" customWidth="1"/>
    <col min="9462" max="9462" width="5.28515625" style="642" customWidth="1"/>
    <col min="9463" max="9463" width="6.5703125" style="642" customWidth="1"/>
    <col min="9464" max="9464" width="4.42578125" style="642" customWidth="1"/>
    <col min="9465" max="9465" width="8.28515625" style="642" customWidth="1"/>
    <col min="9466" max="9466" width="4.7109375" style="642" customWidth="1"/>
    <col min="9467" max="9467" width="5.7109375" style="642" customWidth="1"/>
    <col min="9468" max="9468" width="8" style="642" customWidth="1"/>
    <col min="9469" max="9469" width="6.85546875" style="642" customWidth="1"/>
    <col min="9470" max="9470" width="6.140625" style="642" customWidth="1"/>
    <col min="9471" max="9472" width="8.28515625" style="642" customWidth="1"/>
    <col min="9473" max="9474" width="5.85546875" style="642" customWidth="1"/>
    <col min="9475" max="9475" width="7" style="642" customWidth="1"/>
    <col min="9476" max="9476" width="5.85546875" style="642" customWidth="1"/>
    <col min="9477" max="9477" width="6.42578125" style="642" customWidth="1"/>
    <col min="9478" max="9478" width="1.7109375" style="642" customWidth="1"/>
    <col min="9479" max="9480" width="6.42578125" style="642" customWidth="1"/>
    <col min="9481" max="9481" width="1.7109375" style="642" customWidth="1"/>
    <col min="9482" max="9482" width="6.42578125" style="642" customWidth="1"/>
    <col min="9483" max="9483" width="6.85546875" style="642" customWidth="1"/>
    <col min="9484" max="9484" width="5.7109375" style="642" customWidth="1"/>
    <col min="9485" max="9485" width="3.28515625" style="642" customWidth="1"/>
    <col min="9486" max="9486" width="4" style="642" customWidth="1"/>
    <col min="9487" max="9487" width="14" style="642" customWidth="1"/>
    <col min="9488" max="9488" width="9.140625" style="642" customWidth="1"/>
    <col min="9489" max="9489" width="9.5703125" style="642" customWidth="1"/>
    <col min="9490" max="9490" width="1.5703125" style="642" customWidth="1"/>
    <col min="9491" max="9491" width="5.42578125" style="642" customWidth="1"/>
    <col min="9492" max="9492" width="19.140625" style="642" customWidth="1"/>
    <col min="9493" max="9493" width="7.28515625" style="642" customWidth="1"/>
    <col min="9494" max="9494" width="5.28515625" style="642" customWidth="1"/>
    <col min="9495" max="9495" width="4" style="642" customWidth="1"/>
    <col min="9496" max="9500" width="4.85546875" style="642" customWidth="1"/>
    <col min="9501" max="9501" width="6.85546875" style="642" customWidth="1"/>
    <col min="9502" max="9502" width="5.7109375" style="642" customWidth="1"/>
    <col min="9503" max="9503" width="7.7109375" style="642" customWidth="1"/>
    <col min="9504" max="9504" width="6.85546875" style="642" customWidth="1"/>
    <col min="9505" max="9505" width="5.140625" style="642" customWidth="1"/>
    <col min="9506" max="9506" width="7.85546875" style="642" customWidth="1"/>
    <col min="9507" max="9507" width="4.42578125" style="642" customWidth="1"/>
    <col min="9508" max="9508" width="6.85546875" style="642" customWidth="1"/>
    <col min="9509" max="9510" width="8" style="642" customWidth="1"/>
    <col min="9511" max="9511" width="6" style="642" customWidth="1"/>
    <col min="9512" max="9512" width="3.140625" style="642" customWidth="1"/>
    <col min="9513" max="9513" width="6" style="642" customWidth="1"/>
    <col min="9514" max="9514" width="5.5703125" style="642" customWidth="1"/>
    <col min="9515" max="9515" width="6.7109375" style="642" customWidth="1"/>
    <col min="9516" max="9516" width="6.85546875" style="642" customWidth="1"/>
    <col min="9517" max="9517" width="8.140625" style="642" customWidth="1"/>
    <col min="9518" max="9518" width="4.42578125" style="642" customWidth="1"/>
    <col min="9519" max="9519" width="7.140625" style="642" customWidth="1"/>
    <col min="9520" max="9520" width="6.5703125" style="642" customWidth="1"/>
    <col min="9521" max="9521" width="6.42578125" style="642" customWidth="1"/>
    <col min="9522" max="9522" width="8.28515625" style="642" customWidth="1"/>
    <col min="9523" max="9523" width="5.42578125" style="642" customWidth="1"/>
    <col min="9524" max="9524" width="7.5703125" style="642" customWidth="1"/>
    <col min="9525" max="9525" width="5.140625" style="642" customWidth="1"/>
    <col min="9526" max="9528" width="9.140625" style="642" customWidth="1"/>
    <col min="9529" max="9529" width="9.140625" style="642"/>
    <col min="9530" max="9530" width="19.7109375" style="642" customWidth="1"/>
    <col min="9531" max="9531" width="6.5703125" style="642" customWidth="1"/>
    <col min="9532" max="9532" width="3.5703125" style="642" bestFit="1" customWidth="1"/>
    <col min="9533" max="9533" width="6.85546875" style="642" bestFit="1" customWidth="1"/>
    <col min="9534" max="9536" width="5.85546875" style="642" customWidth="1"/>
    <col min="9537" max="9537" width="6" style="642" bestFit="1" customWidth="1"/>
    <col min="9538" max="9540" width="0" style="642" hidden="1" customWidth="1"/>
    <col min="9541" max="9541" width="6" style="642" bestFit="1" customWidth="1"/>
    <col min="9542" max="9542" width="6.85546875" style="642" bestFit="1" customWidth="1"/>
    <col min="9543" max="9543" width="7" style="642" bestFit="1" customWidth="1"/>
    <col min="9544" max="9544" width="6" style="642" bestFit="1" customWidth="1"/>
    <col min="9545" max="9545" width="4.42578125" style="642" bestFit="1" customWidth="1"/>
    <col min="9546" max="9546" width="6" style="642" bestFit="1" customWidth="1"/>
    <col min="9547" max="9547" width="6.28515625" style="642" bestFit="1" customWidth="1"/>
    <col min="9548" max="9554" width="4.85546875" style="642" bestFit="1" customWidth="1"/>
    <col min="9555" max="9555" width="5" style="642" bestFit="1" customWidth="1"/>
    <col min="9556" max="9556" width="4.85546875" style="642" bestFit="1" customWidth="1"/>
    <col min="9557" max="9557" width="4.42578125" style="642" bestFit="1" customWidth="1"/>
    <col min="9558" max="9558" width="5.140625" style="642" bestFit="1" customWidth="1"/>
    <col min="9559" max="9559" width="4.85546875" style="642" bestFit="1" customWidth="1"/>
    <col min="9560" max="9560" width="5" style="642" bestFit="1" customWidth="1"/>
    <col min="9561" max="9562" width="5.28515625" style="642" bestFit="1" customWidth="1"/>
    <col min="9563" max="9563" width="5" style="642" bestFit="1" customWidth="1"/>
    <col min="9564" max="9564" width="4.42578125" style="642" bestFit="1" customWidth="1"/>
    <col min="9565" max="9565" width="4.5703125" style="642" bestFit="1" customWidth="1"/>
    <col min="9566" max="9567" width="5.140625" style="642" bestFit="1" customWidth="1"/>
    <col min="9568" max="9568" width="4.85546875" style="642" bestFit="1" customWidth="1"/>
    <col min="9569" max="9569" width="5.42578125" style="642" bestFit="1" customWidth="1"/>
    <col min="9570" max="9570" width="0" style="642" hidden="1" customWidth="1"/>
    <col min="9571" max="9571" width="6.5703125" style="642" bestFit="1" customWidth="1"/>
    <col min="9572" max="9712" width="9.140625" style="642"/>
    <col min="9713" max="9713" width="6" style="642" customWidth="1"/>
    <col min="9714" max="9714" width="1.5703125" style="642" bestFit="1" customWidth="1"/>
    <col min="9715" max="9715" width="5.42578125" style="642" bestFit="1" customWidth="1"/>
    <col min="9716" max="9716" width="20.28515625" style="642" customWidth="1"/>
    <col min="9717" max="9717" width="7.28515625" style="642" customWidth="1"/>
    <col min="9718" max="9718" width="5.28515625" style="642" customWidth="1"/>
    <col min="9719" max="9719" width="6.5703125" style="642" customWidth="1"/>
    <col min="9720" max="9720" width="4.42578125" style="642" customWidth="1"/>
    <col min="9721" max="9721" width="8.28515625" style="642" customWidth="1"/>
    <col min="9722" max="9722" width="4.7109375" style="642" customWidth="1"/>
    <col min="9723" max="9723" width="5.7109375" style="642" customWidth="1"/>
    <col min="9724" max="9724" width="8" style="642" customWidth="1"/>
    <col min="9725" max="9725" width="6.85546875" style="642" customWidth="1"/>
    <col min="9726" max="9726" width="6.140625" style="642" customWidth="1"/>
    <col min="9727" max="9728" width="8.28515625" style="642" customWidth="1"/>
    <col min="9729" max="9730" width="5.85546875" style="642" customWidth="1"/>
    <col min="9731" max="9731" width="7" style="642" customWidth="1"/>
    <col min="9732" max="9732" width="5.85546875" style="642" customWidth="1"/>
    <col min="9733" max="9733" width="6.42578125" style="642" customWidth="1"/>
    <col min="9734" max="9734" width="1.7109375" style="642" customWidth="1"/>
    <col min="9735" max="9736" width="6.42578125" style="642" customWidth="1"/>
    <col min="9737" max="9737" width="1.7109375" style="642" customWidth="1"/>
    <col min="9738" max="9738" width="6.42578125" style="642" customWidth="1"/>
    <col min="9739" max="9739" width="6.85546875" style="642" customWidth="1"/>
    <col min="9740" max="9740" width="5.7109375" style="642" customWidth="1"/>
    <col min="9741" max="9741" width="3.28515625" style="642" customWidth="1"/>
    <col min="9742" max="9742" width="4" style="642" customWidth="1"/>
    <col min="9743" max="9743" width="14" style="642" customWidth="1"/>
    <col min="9744" max="9744" width="9.140625" style="642" customWidth="1"/>
    <col min="9745" max="9745" width="9.5703125" style="642" customWidth="1"/>
    <col min="9746" max="9746" width="1.5703125" style="642" customWidth="1"/>
    <col min="9747" max="9747" width="5.42578125" style="642" customWidth="1"/>
    <col min="9748" max="9748" width="19.140625" style="642" customWidth="1"/>
    <col min="9749" max="9749" width="7.28515625" style="642" customWidth="1"/>
    <col min="9750" max="9750" width="5.28515625" style="642" customWidth="1"/>
    <col min="9751" max="9751" width="4" style="642" customWidth="1"/>
    <col min="9752" max="9756" width="4.85546875" style="642" customWidth="1"/>
    <col min="9757" max="9757" width="6.85546875" style="642" customWidth="1"/>
    <col min="9758" max="9758" width="5.7109375" style="642" customWidth="1"/>
    <col min="9759" max="9759" width="7.7109375" style="642" customWidth="1"/>
    <col min="9760" max="9760" width="6.85546875" style="642" customWidth="1"/>
    <col min="9761" max="9761" width="5.140625" style="642" customWidth="1"/>
    <col min="9762" max="9762" width="7.85546875" style="642" customWidth="1"/>
    <col min="9763" max="9763" width="4.42578125" style="642" customWidth="1"/>
    <col min="9764" max="9764" width="6.85546875" style="642" customWidth="1"/>
    <col min="9765" max="9766" width="8" style="642" customWidth="1"/>
    <col min="9767" max="9767" width="6" style="642" customWidth="1"/>
    <col min="9768" max="9768" width="3.140625" style="642" customWidth="1"/>
    <col min="9769" max="9769" width="6" style="642" customWidth="1"/>
    <col min="9770" max="9770" width="5.5703125" style="642" customWidth="1"/>
    <col min="9771" max="9771" width="6.7109375" style="642" customWidth="1"/>
    <col min="9772" max="9772" width="6.85546875" style="642" customWidth="1"/>
    <col min="9773" max="9773" width="8.140625" style="642" customWidth="1"/>
    <col min="9774" max="9774" width="4.42578125" style="642" customWidth="1"/>
    <col min="9775" max="9775" width="7.140625" style="642" customWidth="1"/>
    <col min="9776" max="9776" width="6.5703125" style="642" customWidth="1"/>
    <col min="9777" max="9777" width="6.42578125" style="642" customWidth="1"/>
    <col min="9778" max="9778" width="8.28515625" style="642" customWidth="1"/>
    <col min="9779" max="9779" width="5.42578125" style="642" customWidth="1"/>
    <col min="9780" max="9780" width="7.5703125" style="642" customWidth="1"/>
    <col min="9781" max="9781" width="5.140625" style="642" customWidth="1"/>
    <col min="9782" max="9784" width="9.140625" style="642" customWidth="1"/>
    <col min="9785" max="9785" width="9.140625" style="642"/>
    <col min="9786" max="9786" width="19.7109375" style="642" customWidth="1"/>
    <col min="9787" max="9787" width="6.5703125" style="642" customWidth="1"/>
    <col min="9788" max="9788" width="3.5703125" style="642" bestFit="1" customWidth="1"/>
    <col min="9789" max="9789" width="6.85546875" style="642" bestFit="1" customWidth="1"/>
    <col min="9790" max="9792" width="5.85546875" style="642" customWidth="1"/>
    <col min="9793" max="9793" width="6" style="642" bestFit="1" customWidth="1"/>
    <col min="9794" max="9796" width="0" style="642" hidden="1" customWidth="1"/>
    <col min="9797" max="9797" width="6" style="642" bestFit="1" customWidth="1"/>
    <col min="9798" max="9798" width="6.85546875" style="642" bestFit="1" customWidth="1"/>
    <col min="9799" max="9799" width="7" style="642" bestFit="1" customWidth="1"/>
    <col min="9800" max="9800" width="6" style="642" bestFit="1" customWidth="1"/>
    <col min="9801" max="9801" width="4.42578125" style="642" bestFit="1" customWidth="1"/>
    <col min="9802" max="9802" width="6" style="642" bestFit="1" customWidth="1"/>
    <col min="9803" max="9803" width="6.28515625" style="642" bestFit="1" customWidth="1"/>
    <col min="9804" max="9810" width="4.85546875" style="642" bestFit="1" customWidth="1"/>
    <col min="9811" max="9811" width="5" style="642" bestFit="1" customWidth="1"/>
    <col min="9812" max="9812" width="4.85546875" style="642" bestFit="1" customWidth="1"/>
    <col min="9813" max="9813" width="4.42578125" style="642" bestFit="1" customWidth="1"/>
    <col min="9814" max="9814" width="5.140625" style="642" bestFit="1" customWidth="1"/>
    <col min="9815" max="9815" width="4.85546875" style="642" bestFit="1" customWidth="1"/>
    <col min="9816" max="9816" width="5" style="642" bestFit="1" customWidth="1"/>
    <col min="9817" max="9818" width="5.28515625" style="642" bestFit="1" customWidth="1"/>
    <col min="9819" max="9819" width="5" style="642" bestFit="1" customWidth="1"/>
    <col min="9820" max="9820" width="4.42578125" style="642" bestFit="1" customWidth="1"/>
    <col min="9821" max="9821" width="4.5703125" style="642" bestFit="1" customWidth="1"/>
    <col min="9822" max="9823" width="5.140625" style="642" bestFit="1" customWidth="1"/>
    <col min="9824" max="9824" width="4.85546875" style="642" bestFit="1" customWidth="1"/>
    <col min="9825" max="9825" width="5.42578125" style="642" bestFit="1" customWidth="1"/>
    <col min="9826" max="9826" width="0" style="642" hidden="1" customWidth="1"/>
    <col min="9827" max="9827" width="6.5703125" style="642" bestFit="1" customWidth="1"/>
    <col min="9828" max="9968" width="9.140625" style="642"/>
    <col min="9969" max="9969" width="6" style="642" customWidth="1"/>
    <col min="9970" max="9970" width="1.5703125" style="642" bestFit="1" customWidth="1"/>
    <col min="9971" max="9971" width="5.42578125" style="642" bestFit="1" customWidth="1"/>
    <col min="9972" max="9972" width="20.28515625" style="642" customWidth="1"/>
    <col min="9973" max="9973" width="7.28515625" style="642" customWidth="1"/>
    <col min="9974" max="9974" width="5.28515625" style="642" customWidth="1"/>
    <col min="9975" max="9975" width="6.5703125" style="642" customWidth="1"/>
    <col min="9976" max="9976" width="4.42578125" style="642" customWidth="1"/>
    <col min="9977" max="9977" width="8.28515625" style="642" customWidth="1"/>
    <col min="9978" max="9978" width="4.7109375" style="642" customWidth="1"/>
    <col min="9979" max="9979" width="5.7109375" style="642" customWidth="1"/>
    <col min="9980" max="9980" width="8" style="642" customWidth="1"/>
    <col min="9981" max="9981" width="6.85546875" style="642" customWidth="1"/>
    <col min="9982" max="9982" width="6.140625" style="642" customWidth="1"/>
    <col min="9983" max="9984" width="8.28515625" style="642" customWidth="1"/>
    <col min="9985" max="9986" width="5.85546875" style="642" customWidth="1"/>
    <col min="9987" max="9987" width="7" style="642" customWidth="1"/>
    <col min="9988" max="9988" width="5.85546875" style="642" customWidth="1"/>
    <col min="9989" max="9989" width="6.42578125" style="642" customWidth="1"/>
    <col min="9990" max="9990" width="1.7109375" style="642" customWidth="1"/>
    <col min="9991" max="9992" width="6.42578125" style="642" customWidth="1"/>
    <col min="9993" max="9993" width="1.7109375" style="642" customWidth="1"/>
    <col min="9994" max="9994" width="6.42578125" style="642" customWidth="1"/>
    <col min="9995" max="9995" width="6.85546875" style="642" customWidth="1"/>
    <col min="9996" max="9996" width="5.7109375" style="642" customWidth="1"/>
    <col min="9997" max="9997" width="3.28515625" style="642" customWidth="1"/>
    <col min="9998" max="9998" width="4" style="642" customWidth="1"/>
    <col min="9999" max="9999" width="14" style="642" customWidth="1"/>
    <col min="10000" max="10000" width="9.140625" style="642" customWidth="1"/>
    <col min="10001" max="10001" width="9.5703125" style="642" customWidth="1"/>
    <col min="10002" max="10002" width="1.5703125" style="642" customWidth="1"/>
    <col min="10003" max="10003" width="5.42578125" style="642" customWidth="1"/>
    <col min="10004" max="10004" width="19.140625" style="642" customWidth="1"/>
    <col min="10005" max="10005" width="7.28515625" style="642" customWidth="1"/>
    <col min="10006" max="10006" width="5.28515625" style="642" customWidth="1"/>
    <col min="10007" max="10007" width="4" style="642" customWidth="1"/>
    <col min="10008" max="10012" width="4.85546875" style="642" customWidth="1"/>
    <col min="10013" max="10013" width="6.85546875" style="642" customWidth="1"/>
    <col min="10014" max="10014" width="5.7109375" style="642" customWidth="1"/>
    <col min="10015" max="10015" width="7.7109375" style="642" customWidth="1"/>
    <col min="10016" max="10016" width="6.85546875" style="642" customWidth="1"/>
    <col min="10017" max="10017" width="5.140625" style="642" customWidth="1"/>
    <col min="10018" max="10018" width="7.85546875" style="642" customWidth="1"/>
    <col min="10019" max="10019" width="4.42578125" style="642" customWidth="1"/>
    <col min="10020" max="10020" width="6.85546875" style="642" customWidth="1"/>
    <col min="10021" max="10022" width="8" style="642" customWidth="1"/>
    <col min="10023" max="10023" width="6" style="642" customWidth="1"/>
    <col min="10024" max="10024" width="3.140625" style="642" customWidth="1"/>
    <col min="10025" max="10025" width="6" style="642" customWidth="1"/>
    <col min="10026" max="10026" width="5.5703125" style="642" customWidth="1"/>
    <col min="10027" max="10027" width="6.7109375" style="642" customWidth="1"/>
    <col min="10028" max="10028" width="6.85546875" style="642" customWidth="1"/>
    <col min="10029" max="10029" width="8.140625" style="642" customWidth="1"/>
    <col min="10030" max="10030" width="4.42578125" style="642" customWidth="1"/>
    <col min="10031" max="10031" width="7.140625" style="642" customWidth="1"/>
    <col min="10032" max="10032" width="6.5703125" style="642" customWidth="1"/>
    <col min="10033" max="10033" width="6.42578125" style="642" customWidth="1"/>
    <col min="10034" max="10034" width="8.28515625" style="642" customWidth="1"/>
    <col min="10035" max="10035" width="5.42578125" style="642" customWidth="1"/>
    <col min="10036" max="10036" width="7.5703125" style="642" customWidth="1"/>
    <col min="10037" max="10037" width="5.140625" style="642" customWidth="1"/>
    <col min="10038" max="10040" width="9.140625" style="642" customWidth="1"/>
    <col min="10041" max="10041" width="9.140625" style="642"/>
    <col min="10042" max="10042" width="19.7109375" style="642" customWidth="1"/>
    <col min="10043" max="10043" width="6.5703125" style="642" customWidth="1"/>
    <col min="10044" max="10044" width="3.5703125" style="642" bestFit="1" customWidth="1"/>
    <col min="10045" max="10045" width="6.85546875" style="642" bestFit="1" customWidth="1"/>
    <col min="10046" max="10048" width="5.85546875" style="642" customWidth="1"/>
    <col min="10049" max="10049" width="6" style="642" bestFit="1" customWidth="1"/>
    <col min="10050" max="10052" width="0" style="642" hidden="1" customWidth="1"/>
    <col min="10053" max="10053" width="6" style="642" bestFit="1" customWidth="1"/>
    <col min="10054" max="10054" width="6.85546875" style="642" bestFit="1" customWidth="1"/>
    <col min="10055" max="10055" width="7" style="642" bestFit="1" customWidth="1"/>
    <col min="10056" max="10056" width="6" style="642" bestFit="1" customWidth="1"/>
    <col min="10057" max="10057" width="4.42578125" style="642" bestFit="1" customWidth="1"/>
    <col min="10058" max="10058" width="6" style="642" bestFit="1" customWidth="1"/>
    <col min="10059" max="10059" width="6.28515625" style="642" bestFit="1" customWidth="1"/>
    <col min="10060" max="10066" width="4.85546875" style="642" bestFit="1" customWidth="1"/>
    <col min="10067" max="10067" width="5" style="642" bestFit="1" customWidth="1"/>
    <col min="10068" max="10068" width="4.85546875" style="642" bestFit="1" customWidth="1"/>
    <col min="10069" max="10069" width="4.42578125" style="642" bestFit="1" customWidth="1"/>
    <col min="10070" max="10070" width="5.140625" style="642" bestFit="1" customWidth="1"/>
    <col min="10071" max="10071" width="4.85546875" style="642" bestFit="1" customWidth="1"/>
    <col min="10072" max="10072" width="5" style="642" bestFit="1" customWidth="1"/>
    <col min="10073" max="10074" width="5.28515625" style="642" bestFit="1" customWidth="1"/>
    <col min="10075" max="10075" width="5" style="642" bestFit="1" customWidth="1"/>
    <col min="10076" max="10076" width="4.42578125" style="642" bestFit="1" customWidth="1"/>
    <col min="10077" max="10077" width="4.5703125" style="642" bestFit="1" customWidth="1"/>
    <col min="10078" max="10079" width="5.140625" style="642" bestFit="1" customWidth="1"/>
    <col min="10080" max="10080" width="4.85546875" style="642" bestFit="1" customWidth="1"/>
    <col min="10081" max="10081" width="5.42578125" style="642" bestFit="1" customWidth="1"/>
    <col min="10082" max="10082" width="0" style="642" hidden="1" customWidth="1"/>
    <col min="10083" max="10083" width="6.5703125" style="642" bestFit="1" customWidth="1"/>
    <col min="10084" max="10224" width="9.140625" style="642"/>
    <col min="10225" max="10225" width="6" style="642" customWidth="1"/>
    <col min="10226" max="10226" width="1.5703125" style="642" bestFit="1" customWidth="1"/>
    <col min="10227" max="10227" width="5.42578125" style="642" bestFit="1" customWidth="1"/>
    <col min="10228" max="10228" width="20.28515625" style="642" customWidth="1"/>
    <col min="10229" max="10229" width="7.28515625" style="642" customWidth="1"/>
    <col min="10230" max="10230" width="5.28515625" style="642" customWidth="1"/>
    <col min="10231" max="10231" width="6.5703125" style="642" customWidth="1"/>
    <col min="10232" max="10232" width="4.42578125" style="642" customWidth="1"/>
    <col min="10233" max="10233" width="8.28515625" style="642" customWidth="1"/>
    <col min="10234" max="10234" width="4.7109375" style="642" customWidth="1"/>
    <col min="10235" max="10235" width="5.7109375" style="642" customWidth="1"/>
    <col min="10236" max="10236" width="8" style="642" customWidth="1"/>
    <col min="10237" max="10237" width="6.85546875" style="642" customWidth="1"/>
    <col min="10238" max="10238" width="6.140625" style="642" customWidth="1"/>
    <col min="10239" max="10240" width="8.28515625" style="642" customWidth="1"/>
    <col min="10241" max="10242" width="5.85546875" style="642" customWidth="1"/>
    <col min="10243" max="10243" width="7" style="642" customWidth="1"/>
    <col min="10244" max="10244" width="5.85546875" style="642" customWidth="1"/>
    <col min="10245" max="10245" width="6.42578125" style="642" customWidth="1"/>
    <col min="10246" max="10246" width="1.7109375" style="642" customWidth="1"/>
    <col min="10247" max="10248" width="6.42578125" style="642" customWidth="1"/>
    <col min="10249" max="10249" width="1.7109375" style="642" customWidth="1"/>
    <col min="10250" max="10250" width="6.42578125" style="642" customWidth="1"/>
    <col min="10251" max="10251" width="6.85546875" style="642" customWidth="1"/>
    <col min="10252" max="10252" width="5.7109375" style="642" customWidth="1"/>
    <col min="10253" max="10253" width="3.28515625" style="642" customWidth="1"/>
    <col min="10254" max="10254" width="4" style="642" customWidth="1"/>
    <col min="10255" max="10255" width="14" style="642" customWidth="1"/>
    <col min="10256" max="10256" width="9.140625" style="642" customWidth="1"/>
    <col min="10257" max="10257" width="9.5703125" style="642" customWidth="1"/>
    <col min="10258" max="10258" width="1.5703125" style="642" customWidth="1"/>
    <col min="10259" max="10259" width="5.42578125" style="642" customWidth="1"/>
    <col min="10260" max="10260" width="19.140625" style="642" customWidth="1"/>
    <col min="10261" max="10261" width="7.28515625" style="642" customWidth="1"/>
    <col min="10262" max="10262" width="5.28515625" style="642" customWidth="1"/>
    <col min="10263" max="10263" width="4" style="642" customWidth="1"/>
    <col min="10264" max="10268" width="4.85546875" style="642" customWidth="1"/>
    <col min="10269" max="10269" width="6.85546875" style="642" customWidth="1"/>
    <col min="10270" max="10270" width="5.7109375" style="642" customWidth="1"/>
    <col min="10271" max="10271" width="7.7109375" style="642" customWidth="1"/>
    <col min="10272" max="10272" width="6.85546875" style="642" customWidth="1"/>
    <col min="10273" max="10273" width="5.140625" style="642" customWidth="1"/>
    <col min="10274" max="10274" width="7.85546875" style="642" customWidth="1"/>
    <col min="10275" max="10275" width="4.42578125" style="642" customWidth="1"/>
    <col min="10276" max="10276" width="6.85546875" style="642" customWidth="1"/>
    <col min="10277" max="10278" width="8" style="642" customWidth="1"/>
    <col min="10279" max="10279" width="6" style="642" customWidth="1"/>
    <col min="10280" max="10280" width="3.140625" style="642" customWidth="1"/>
    <col min="10281" max="10281" width="6" style="642" customWidth="1"/>
    <col min="10282" max="10282" width="5.5703125" style="642" customWidth="1"/>
    <col min="10283" max="10283" width="6.7109375" style="642" customWidth="1"/>
    <col min="10284" max="10284" width="6.85546875" style="642" customWidth="1"/>
    <col min="10285" max="10285" width="8.140625" style="642" customWidth="1"/>
    <col min="10286" max="10286" width="4.42578125" style="642" customWidth="1"/>
    <col min="10287" max="10287" width="7.140625" style="642" customWidth="1"/>
    <col min="10288" max="10288" width="6.5703125" style="642" customWidth="1"/>
    <col min="10289" max="10289" width="6.42578125" style="642" customWidth="1"/>
    <col min="10290" max="10290" width="8.28515625" style="642" customWidth="1"/>
    <col min="10291" max="10291" width="5.42578125" style="642" customWidth="1"/>
    <col min="10292" max="10292" width="7.5703125" style="642" customWidth="1"/>
    <col min="10293" max="10293" width="5.140625" style="642" customWidth="1"/>
    <col min="10294" max="10296" width="9.140625" style="642" customWidth="1"/>
    <col min="10297" max="10297" width="9.140625" style="642"/>
    <col min="10298" max="10298" width="19.7109375" style="642" customWidth="1"/>
    <col min="10299" max="10299" width="6.5703125" style="642" customWidth="1"/>
    <col min="10300" max="10300" width="3.5703125" style="642" bestFit="1" customWidth="1"/>
    <col min="10301" max="10301" width="6.85546875" style="642" bestFit="1" customWidth="1"/>
    <col min="10302" max="10304" width="5.85546875" style="642" customWidth="1"/>
    <col min="10305" max="10305" width="6" style="642" bestFit="1" customWidth="1"/>
    <col min="10306" max="10308" width="0" style="642" hidden="1" customWidth="1"/>
    <col min="10309" max="10309" width="6" style="642" bestFit="1" customWidth="1"/>
    <col min="10310" max="10310" width="6.85546875" style="642" bestFit="1" customWidth="1"/>
    <col min="10311" max="10311" width="7" style="642" bestFit="1" customWidth="1"/>
    <col min="10312" max="10312" width="6" style="642" bestFit="1" customWidth="1"/>
    <col min="10313" max="10313" width="4.42578125" style="642" bestFit="1" customWidth="1"/>
    <col min="10314" max="10314" width="6" style="642" bestFit="1" customWidth="1"/>
    <col min="10315" max="10315" width="6.28515625" style="642" bestFit="1" customWidth="1"/>
    <col min="10316" max="10322" width="4.85546875" style="642" bestFit="1" customWidth="1"/>
    <col min="10323" max="10323" width="5" style="642" bestFit="1" customWidth="1"/>
    <col min="10324" max="10324" width="4.85546875" style="642" bestFit="1" customWidth="1"/>
    <col min="10325" max="10325" width="4.42578125" style="642" bestFit="1" customWidth="1"/>
    <col min="10326" max="10326" width="5.140625" style="642" bestFit="1" customWidth="1"/>
    <col min="10327" max="10327" width="4.85546875" style="642" bestFit="1" customWidth="1"/>
    <col min="10328" max="10328" width="5" style="642" bestFit="1" customWidth="1"/>
    <col min="10329" max="10330" width="5.28515625" style="642" bestFit="1" customWidth="1"/>
    <col min="10331" max="10331" width="5" style="642" bestFit="1" customWidth="1"/>
    <col min="10332" max="10332" width="4.42578125" style="642" bestFit="1" customWidth="1"/>
    <col min="10333" max="10333" width="4.5703125" style="642" bestFit="1" customWidth="1"/>
    <col min="10334" max="10335" width="5.140625" style="642" bestFit="1" customWidth="1"/>
    <col min="10336" max="10336" width="4.85546875" style="642" bestFit="1" customWidth="1"/>
    <col min="10337" max="10337" width="5.42578125" style="642" bestFit="1" customWidth="1"/>
    <col min="10338" max="10338" width="0" style="642" hidden="1" customWidth="1"/>
    <col min="10339" max="10339" width="6.5703125" style="642" bestFit="1" customWidth="1"/>
    <col min="10340" max="10480" width="9.140625" style="642"/>
    <col min="10481" max="10481" width="6" style="642" customWidth="1"/>
    <col min="10482" max="10482" width="1.5703125" style="642" bestFit="1" customWidth="1"/>
    <col min="10483" max="10483" width="5.42578125" style="642" bestFit="1" customWidth="1"/>
    <col min="10484" max="10484" width="20.28515625" style="642" customWidth="1"/>
    <col min="10485" max="10485" width="7.28515625" style="642" customWidth="1"/>
    <col min="10486" max="10486" width="5.28515625" style="642" customWidth="1"/>
    <col min="10487" max="10487" width="6.5703125" style="642" customWidth="1"/>
    <col min="10488" max="10488" width="4.42578125" style="642" customWidth="1"/>
    <col min="10489" max="10489" width="8.28515625" style="642" customWidth="1"/>
    <col min="10490" max="10490" width="4.7109375" style="642" customWidth="1"/>
    <col min="10491" max="10491" width="5.7109375" style="642" customWidth="1"/>
    <col min="10492" max="10492" width="8" style="642" customWidth="1"/>
    <col min="10493" max="10493" width="6.85546875" style="642" customWidth="1"/>
    <col min="10494" max="10494" width="6.140625" style="642" customWidth="1"/>
    <col min="10495" max="10496" width="8.28515625" style="642" customWidth="1"/>
    <col min="10497" max="10498" width="5.85546875" style="642" customWidth="1"/>
    <col min="10499" max="10499" width="7" style="642" customWidth="1"/>
    <col min="10500" max="10500" width="5.85546875" style="642" customWidth="1"/>
    <col min="10501" max="10501" width="6.42578125" style="642" customWidth="1"/>
    <col min="10502" max="10502" width="1.7109375" style="642" customWidth="1"/>
    <col min="10503" max="10504" width="6.42578125" style="642" customWidth="1"/>
    <col min="10505" max="10505" width="1.7109375" style="642" customWidth="1"/>
    <col min="10506" max="10506" width="6.42578125" style="642" customWidth="1"/>
    <col min="10507" max="10507" width="6.85546875" style="642" customWidth="1"/>
    <col min="10508" max="10508" width="5.7109375" style="642" customWidth="1"/>
    <col min="10509" max="10509" width="3.28515625" style="642" customWidth="1"/>
    <col min="10510" max="10510" width="4" style="642" customWidth="1"/>
    <col min="10511" max="10511" width="14" style="642" customWidth="1"/>
    <col min="10512" max="10512" width="9.140625" style="642" customWidth="1"/>
    <col min="10513" max="10513" width="9.5703125" style="642" customWidth="1"/>
    <col min="10514" max="10514" width="1.5703125" style="642" customWidth="1"/>
    <col min="10515" max="10515" width="5.42578125" style="642" customWidth="1"/>
    <col min="10516" max="10516" width="19.140625" style="642" customWidth="1"/>
    <col min="10517" max="10517" width="7.28515625" style="642" customWidth="1"/>
    <col min="10518" max="10518" width="5.28515625" style="642" customWidth="1"/>
    <col min="10519" max="10519" width="4" style="642" customWidth="1"/>
    <col min="10520" max="10524" width="4.85546875" style="642" customWidth="1"/>
    <col min="10525" max="10525" width="6.85546875" style="642" customWidth="1"/>
    <col min="10526" max="10526" width="5.7109375" style="642" customWidth="1"/>
    <col min="10527" max="10527" width="7.7109375" style="642" customWidth="1"/>
    <col min="10528" max="10528" width="6.85546875" style="642" customWidth="1"/>
    <col min="10529" max="10529" width="5.140625" style="642" customWidth="1"/>
    <col min="10530" max="10530" width="7.85546875" style="642" customWidth="1"/>
    <col min="10531" max="10531" width="4.42578125" style="642" customWidth="1"/>
    <col min="10532" max="10532" width="6.85546875" style="642" customWidth="1"/>
    <col min="10533" max="10534" width="8" style="642" customWidth="1"/>
    <col min="10535" max="10535" width="6" style="642" customWidth="1"/>
    <col min="10536" max="10536" width="3.140625" style="642" customWidth="1"/>
    <col min="10537" max="10537" width="6" style="642" customWidth="1"/>
    <col min="10538" max="10538" width="5.5703125" style="642" customWidth="1"/>
    <col min="10539" max="10539" width="6.7109375" style="642" customWidth="1"/>
    <col min="10540" max="10540" width="6.85546875" style="642" customWidth="1"/>
    <col min="10541" max="10541" width="8.140625" style="642" customWidth="1"/>
    <col min="10542" max="10542" width="4.42578125" style="642" customWidth="1"/>
    <col min="10543" max="10543" width="7.140625" style="642" customWidth="1"/>
    <col min="10544" max="10544" width="6.5703125" style="642" customWidth="1"/>
    <col min="10545" max="10545" width="6.42578125" style="642" customWidth="1"/>
    <col min="10546" max="10546" width="8.28515625" style="642" customWidth="1"/>
    <col min="10547" max="10547" width="5.42578125" style="642" customWidth="1"/>
    <col min="10548" max="10548" width="7.5703125" style="642" customWidth="1"/>
    <col min="10549" max="10549" width="5.140625" style="642" customWidth="1"/>
    <col min="10550" max="10552" width="9.140625" style="642" customWidth="1"/>
    <col min="10553" max="10553" width="9.140625" style="642"/>
    <col min="10554" max="10554" width="19.7109375" style="642" customWidth="1"/>
    <col min="10555" max="10555" width="6.5703125" style="642" customWidth="1"/>
    <col min="10556" max="10556" width="3.5703125" style="642" bestFit="1" customWidth="1"/>
    <col min="10557" max="10557" width="6.85546875" style="642" bestFit="1" customWidth="1"/>
    <col min="10558" max="10560" width="5.85546875" style="642" customWidth="1"/>
    <col min="10561" max="10561" width="6" style="642" bestFit="1" customWidth="1"/>
    <col min="10562" max="10564" width="0" style="642" hidden="1" customWidth="1"/>
    <col min="10565" max="10565" width="6" style="642" bestFit="1" customWidth="1"/>
    <col min="10566" max="10566" width="6.85546875" style="642" bestFit="1" customWidth="1"/>
    <col min="10567" max="10567" width="7" style="642" bestFit="1" customWidth="1"/>
    <col min="10568" max="10568" width="6" style="642" bestFit="1" customWidth="1"/>
    <col min="10569" max="10569" width="4.42578125" style="642" bestFit="1" customWidth="1"/>
    <col min="10570" max="10570" width="6" style="642" bestFit="1" customWidth="1"/>
    <col min="10571" max="10571" width="6.28515625" style="642" bestFit="1" customWidth="1"/>
    <col min="10572" max="10578" width="4.85546875" style="642" bestFit="1" customWidth="1"/>
    <col min="10579" max="10579" width="5" style="642" bestFit="1" customWidth="1"/>
    <col min="10580" max="10580" width="4.85546875" style="642" bestFit="1" customWidth="1"/>
    <col min="10581" max="10581" width="4.42578125" style="642" bestFit="1" customWidth="1"/>
    <col min="10582" max="10582" width="5.140625" style="642" bestFit="1" customWidth="1"/>
    <col min="10583" max="10583" width="4.85546875" style="642" bestFit="1" customWidth="1"/>
    <col min="10584" max="10584" width="5" style="642" bestFit="1" customWidth="1"/>
    <col min="10585" max="10586" width="5.28515625" style="642" bestFit="1" customWidth="1"/>
    <col min="10587" max="10587" width="5" style="642" bestFit="1" customWidth="1"/>
    <col min="10588" max="10588" width="4.42578125" style="642" bestFit="1" customWidth="1"/>
    <col min="10589" max="10589" width="4.5703125" style="642" bestFit="1" customWidth="1"/>
    <col min="10590" max="10591" width="5.140625" style="642" bestFit="1" customWidth="1"/>
    <col min="10592" max="10592" width="4.85546875" style="642" bestFit="1" customWidth="1"/>
    <col min="10593" max="10593" width="5.42578125" style="642" bestFit="1" customWidth="1"/>
    <col min="10594" max="10594" width="0" style="642" hidden="1" customWidth="1"/>
    <col min="10595" max="10595" width="6.5703125" style="642" bestFit="1" customWidth="1"/>
    <col min="10596" max="10736" width="9.140625" style="642"/>
    <col min="10737" max="10737" width="6" style="642" customWidth="1"/>
    <col min="10738" max="10738" width="1.5703125" style="642" bestFit="1" customWidth="1"/>
    <col min="10739" max="10739" width="5.42578125" style="642" bestFit="1" customWidth="1"/>
    <col min="10740" max="10740" width="20.28515625" style="642" customWidth="1"/>
    <col min="10741" max="10741" width="7.28515625" style="642" customWidth="1"/>
    <col min="10742" max="10742" width="5.28515625" style="642" customWidth="1"/>
    <col min="10743" max="10743" width="6.5703125" style="642" customWidth="1"/>
    <col min="10744" max="10744" width="4.42578125" style="642" customWidth="1"/>
    <col min="10745" max="10745" width="8.28515625" style="642" customWidth="1"/>
    <col min="10746" max="10746" width="4.7109375" style="642" customWidth="1"/>
    <col min="10747" max="10747" width="5.7109375" style="642" customWidth="1"/>
    <col min="10748" max="10748" width="8" style="642" customWidth="1"/>
    <col min="10749" max="10749" width="6.85546875" style="642" customWidth="1"/>
    <col min="10750" max="10750" width="6.140625" style="642" customWidth="1"/>
    <col min="10751" max="10752" width="8.28515625" style="642" customWidth="1"/>
    <col min="10753" max="10754" width="5.85546875" style="642" customWidth="1"/>
    <col min="10755" max="10755" width="7" style="642" customWidth="1"/>
    <col min="10756" max="10756" width="5.85546875" style="642" customWidth="1"/>
    <col min="10757" max="10757" width="6.42578125" style="642" customWidth="1"/>
    <col min="10758" max="10758" width="1.7109375" style="642" customWidth="1"/>
    <col min="10759" max="10760" width="6.42578125" style="642" customWidth="1"/>
    <col min="10761" max="10761" width="1.7109375" style="642" customWidth="1"/>
    <col min="10762" max="10762" width="6.42578125" style="642" customWidth="1"/>
    <col min="10763" max="10763" width="6.85546875" style="642" customWidth="1"/>
    <col min="10764" max="10764" width="5.7109375" style="642" customWidth="1"/>
    <col min="10765" max="10765" width="3.28515625" style="642" customWidth="1"/>
    <col min="10766" max="10766" width="4" style="642" customWidth="1"/>
    <col min="10767" max="10767" width="14" style="642" customWidth="1"/>
    <col min="10768" max="10768" width="9.140625" style="642" customWidth="1"/>
    <col min="10769" max="10769" width="9.5703125" style="642" customWidth="1"/>
    <col min="10770" max="10770" width="1.5703125" style="642" customWidth="1"/>
    <col min="10771" max="10771" width="5.42578125" style="642" customWidth="1"/>
    <col min="10772" max="10772" width="19.140625" style="642" customWidth="1"/>
    <col min="10773" max="10773" width="7.28515625" style="642" customWidth="1"/>
    <col min="10774" max="10774" width="5.28515625" style="642" customWidth="1"/>
    <col min="10775" max="10775" width="4" style="642" customWidth="1"/>
    <col min="10776" max="10780" width="4.85546875" style="642" customWidth="1"/>
    <col min="10781" max="10781" width="6.85546875" style="642" customWidth="1"/>
    <col min="10782" max="10782" width="5.7109375" style="642" customWidth="1"/>
    <col min="10783" max="10783" width="7.7109375" style="642" customWidth="1"/>
    <col min="10784" max="10784" width="6.85546875" style="642" customWidth="1"/>
    <col min="10785" max="10785" width="5.140625" style="642" customWidth="1"/>
    <col min="10786" max="10786" width="7.85546875" style="642" customWidth="1"/>
    <col min="10787" max="10787" width="4.42578125" style="642" customWidth="1"/>
    <col min="10788" max="10788" width="6.85546875" style="642" customWidth="1"/>
    <col min="10789" max="10790" width="8" style="642" customWidth="1"/>
    <col min="10791" max="10791" width="6" style="642" customWidth="1"/>
    <col min="10792" max="10792" width="3.140625" style="642" customWidth="1"/>
    <col min="10793" max="10793" width="6" style="642" customWidth="1"/>
    <col min="10794" max="10794" width="5.5703125" style="642" customWidth="1"/>
    <col min="10795" max="10795" width="6.7109375" style="642" customWidth="1"/>
    <col min="10796" max="10796" width="6.85546875" style="642" customWidth="1"/>
    <col min="10797" max="10797" width="8.140625" style="642" customWidth="1"/>
    <col min="10798" max="10798" width="4.42578125" style="642" customWidth="1"/>
    <col min="10799" max="10799" width="7.140625" style="642" customWidth="1"/>
    <col min="10800" max="10800" width="6.5703125" style="642" customWidth="1"/>
    <col min="10801" max="10801" width="6.42578125" style="642" customWidth="1"/>
    <col min="10802" max="10802" width="8.28515625" style="642" customWidth="1"/>
    <col min="10803" max="10803" width="5.42578125" style="642" customWidth="1"/>
    <col min="10804" max="10804" width="7.5703125" style="642" customWidth="1"/>
    <col min="10805" max="10805" width="5.140625" style="642" customWidth="1"/>
    <col min="10806" max="10808" width="9.140625" style="642" customWidth="1"/>
    <col min="10809" max="10809" width="9.140625" style="642"/>
    <col min="10810" max="10810" width="19.7109375" style="642" customWidth="1"/>
    <col min="10811" max="10811" width="6.5703125" style="642" customWidth="1"/>
    <col min="10812" max="10812" width="3.5703125" style="642" bestFit="1" customWidth="1"/>
    <col min="10813" max="10813" width="6.85546875" style="642" bestFit="1" customWidth="1"/>
    <col min="10814" max="10816" width="5.85546875" style="642" customWidth="1"/>
    <col min="10817" max="10817" width="6" style="642" bestFit="1" customWidth="1"/>
    <col min="10818" max="10820" width="0" style="642" hidden="1" customWidth="1"/>
    <col min="10821" max="10821" width="6" style="642" bestFit="1" customWidth="1"/>
    <col min="10822" max="10822" width="6.85546875" style="642" bestFit="1" customWidth="1"/>
    <col min="10823" max="10823" width="7" style="642" bestFit="1" customWidth="1"/>
    <col min="10824" max="10824" width="6" style="642" bestFit="1" customWidth="1"/>
    <col min="10825" max="10825" width="4.42578125" style="642" bestFit="1" customWidth="1"/>
    <col min="10826" max="10826" width="6" style="642" bestFit="1" customWidth="1"/>
    <col min="10827" max="10827" width="6.28515625" style="642" bestFit="1" customWidth="1"/>
    <col min="10828" max="10834" width="4.85546875" style="642" bestFit="1" customWidth="1"/>
    <col min="10835" max="10835" width="5" style="642" bestFit="1" customWidth="1"/>
    <col min="10836" max="10836" width="4.85546875" style="642" bestFit="1" customWidth="1"/>
    <col min="10837" max="10837" width="4.42578125" style="642" bestFit="1" customWidth="1"/>
    <col min="10838" max="10838" width="5.140625" style="642" bestFit="1" customWidth="1"/>
    <col min="10839" max="10839" width="4.85546875" style="642" bestFit="1" customWidth="1"/>
    <col min="10840" max="10840" width="5" style="642" bestFit="1" customWidth="1"/>
    <col min="10841" max="10842" width="5.28515625" style="642" bestFit="1" customWidth="1"/>
    <col min="10843" max="10843" width="5" style="642" bestFit="1" customWidth="1"/>
    <col min="10844" max="10844" width="4.42578125" style="642" bestFit="1" customWidth="1"/>
    <col min="10845" max="10845" width="4.5703125" style="642" bestFit="1" customWidth="1"/>
    <col min="10846" max="10847" width="5.140625" style="642" bestFit="1" customWidth="1"/>
    <col min="10848" max="10848" width="4.85546875" style="642" bestFit="1" customWidth="1"/>
    <col min="10849" max="10849" width="5.42578125" style="642" bestFit="1" customWidth="1"/>
    <col min="10850" max="10850" width="0" style="642" hidden="1" customWidth="1"/>
    <col min="10851" max="10851" width="6.5703125" style="642" bestFit="1" customWidth="1"/>
    <col min="10852" max="10992" width="9.140625" style="642"/>
    <col min="10993" max="10993" width="6" style="642" customWidth="1"/>
    <col min="10994" max="10994" width="1.5703125" style="642" bestFit="1" customWidth="1"/>
    <col min="10995" max="10995" width="5.42578125" style="642" bestFit="1" customWidth="1"/>
    <col min="10996" max="10996" width="20.28515625" style="642" customWidth="1"/>
    <col min="10997" max="10997" width="7.28515625" style="642" customWidth="1"/>
    <col min="10998" max="10998" width="5.28515625" style="642" customWidth="1"/>
    <col min="10999" max="10999" width="6.5703125" style="642" customWidth="1"/>
    <col min="11000" max="11000" width="4.42578125" style="642" customWidth="1"/>
    <col min="11001" max="11001" width="8.28515625" style="642" customWidth="1"/>
    <col min="11002" max="11002" width="4.7109375" style="642" customWidth="1"/>
    <col min="11003" max="11003" width="5.7109375" style="642" customWidth="1"/>
    <col min="11004" max="11004" width="8" style="642" customWidth="1"/>
    <col min="11005" max="11005" width="6.85546875" style="642" customWidth="1"/>
    <col min="11006" max="11006" width="6.140625" style="642" customWidth="1"/>
    <col min="11007" max="11008" width="8.28515625" style="642" customWidth="1"/>
    <col min="11009" max="11010" width="5.85546875" style="642" customWidth="1"/>
    <col min="11011" max="11011" width="7" style="642" customWidth="1"/>
    <col min="11012" max="11012" width="5.85546875" style="642" customWidth="1"/>
    <col min="11013" max="11013" width="6.42578125" style="642" customWidth="1"/>
    <col min="11014" max="11014" width="1.7109375" style="642" customWidth="1"/>
    <col min="11015" max="11016" width="6.42578125" style="642" customWidth="1"/>
    <col min="11017" max="11017" width="1.7109375" style="642" customWidth="1"/>
    <col min="11018" max="11018" width="6.42578125" style="642" customWidth="1"/>
    <col min="11019" max="11019" width="6.85546875" style="642" customWidth="1"/>
    <col min="11020" max="11020" width="5.7109375" style="642" customWidth="1"/>
    <col min="11021" max="11021" width="3.28515625" style="642" customWidth="1"/>
    <col min="11022" max="11022" width="4" style="642" customWidth="1"/>
    <col min="11023" max="11023" width="14" style="642" customWidth="1"/>
    <col min="11024" max="11024" width="9.140625" style="642" customWidth="1"/>
    <col min="11025" max="11025" width="9.5703125" style="642" customWidth="1"/>
    <col min="11026" max="11026" width="1.5703125" style="642" customWidth="1"/>
    <col min="11027" max="11027" width="5.42578125" style="642" customWidth="1"/>
    <col min="11028" max="11028" width="19.140625" style="642" customWidth="1"/>
    <col min="11029" max="11029" width="7.28515625" style="642" customWidth="1"/>
    <col min="11030" max="11030" width="5.28515625" style="642" customWidth="1"/>
    <col min="11031" max="11031" width="4" style="642" customWidth="1"/>
    <col min="11032" max="11036" width="4.85546875" style="642" customWidth="1"/>
    <col min="11037" max="11037" width="6.85546875" style="642" customWidth="1"/>
    <col min="11038" max="11038" width="5.7109375" style="642" customWidth="1"/>
    <col min="11039" max="11039" width="7.7109375" style="642" customWidth="1"/>
    <col min="11040" max="11040" width="6.85546875" style="642" customWidth="1"/>
    <col min="11041" max="11041" width="5.140625" style="642" customWidth="1"/>
    <col min="11042" max="11042" width="7.85546875" style="642" customWidth="1"/>
    <col min="11043" max="11043" width="4.42578125" style="642" customWidth="1"/>
    <col min="11044" max="11044" width="6.85546875" style="642" customWidth="1"/>
    <col min="11045" max="11046" width="8" style="642" customWidth="1"/>
    <col min="11047" max="11047" width="6" style="642" customWidth="1"/>
    <col min="11048" max="11048" width="3.140625" style="642" customWidth="1"/>
    <col min="11049" max="11049" width="6" style="642" customWidth="1"/>
    <col min="11050" max="11050" width="5.5703125" style="642" customWidth="1"/>
    <col min="11051" max="11051" width="6.7109375" style="642" customWidth="1"/>
    <col min="11052" max="11052" width="6.85546875" style="642" customWidth="1"/>
    <col min="11053" max="11053" width="8.140625" style="642" customWidth="1"/>
    <col min="11054" max="11054" width="4.42578125" style="642" customWidth="1"/>
    <col min="11055" max="11055" width="7.140625" style="642" customWidth="1"/>
    <col min="11056" max="11056" width="6.5703125" style="642" customWidth="1"/>
    <col min="11057" max="11057" width="6.42578125" style="642" customWidth="1"/>
    <col min="11058" max="11058" width="8.28515625" style="642" customWidth="1"/>
    <col min="11059" max="11059" width="5.42578125" style="642" customWidth="1"/>
    <col min="11060" max="11060" width="7.5703125" style="642" customWidth="1"/>
    <col min="11061" max="11061" width="5.140625" style="642" customWidth="1"/>
    <col min="11062" max="11064" width="9.140625" style="642" customWidth="1"/>
    <col min="11065" max="11065" width="9.140625" style="642"/>
    <col min="11066" max="11066" width="19.7109375" style="642" customWidth="1"/>
    <col min="11067" max="11067" width="6.5703125" style="642" customWidth="1"/>
    <col min="11068" max="11068" width="3.5703125" style="642" bestFit="1" customWidth="1"/>
    <col min="11069" max="11069" width="6.85546875" style="642" bestFit="1" customWidth="1"/>
    <col min="11070" max="11072" width="5.85546875" style="642" customWidth="1"/>
    <col min="11073" max="11073" width="6" style="642" bestFit="1" customWidth="1"/>
    <col min="11074" max="11076" width="0" style="642" hidden="1" customWidth="1"/>
    <col min="11077" max="11077" width="6" style="642" bestFit="1" customWidth="1"/>
    <col min="11078" max="11078" width="6.85546875" style="642" bestFit="1" customWidth="1"/>
    <col min="11079" max="11079" width="7" style="642" bestFit="1" customWidth="1"/>
    <col min="11080" max="11080" width="6" style="642" bestFit="1" customWidth="1"/>
    <col min="11081" max="11081" width="4.42578125" style="642" bestFit="1" customWidth="1"/>
    <col min="11082" max="11082" width="6" style="642" bestFit="1" customWidth="1"/>
    <col min="11083" max="11083" width="6.28515625" style="642" bestFit="1" customWidth="1"/>
    <col min="11084" max="11090" width="4.85546875" style="642" bestFit="1" customWidth="1"/>
    <col min="11091" max="11091" width="5" style="642" bestFit="1" customWidth="1"/>
    <col min="11092" max="11092" width="4.85546875" style="642" bestFit="1" customWidth="1"/>
    <col min="11093" max="11093" width="4.42578125" style="642" bestFit="1" customWidth="1"/>
    <col min="11094" max="11094" width="5.140625" style="642" bestFit="1" customWidth="1"/>
    <col min="11095" max="11095" width="4.85546875" style="642" bestFit="1" customWidth="1"/>
    <col min="11096" max="11096" width="5" style="642" bestFit="1" customWidth="1"/>
    <col min="11097" max="11098" width="5.28515625" style="642" bestFit="1" customWidth="1"/>
    <col min="11099" max="11099" width="5" style="642" bestFit="1" customWidth="1"/>
    <col min="11100" max="11100" width="4.42578125" style="642" bestFit="1" customWidth="1"/>
    <col min="11101" max="11101" width="4.5703125" style="642" bestFit="1" customWidth="1"/>
    <col min="11102" max="11103" width="5.140625" style="642" bestFit="1" customWidth="1"/>
    <col min="11104" max="11104" width="4.85546875" style="642" bestFit="1" customWidth="1"/>
    <col min="11105" max="11105" width="5.42578125" style="642" bestFit="1" customWidth="1"/>
    <col min="11106" max="11106" width="0" style="642" hidden="1" customWidth="1"/>
    <col min="11107" max="11107" width="6.5703125" style="642" bestFit="1" customWidth="1"/>
    <col min="11108" max="11248" width="9.140625" style="642"/>
    <col min="11249" max="11249" width="6" style="642" customWidth="1"/>
    <col min="11250" max="11250" width="1.5703125" style="642" bestFit="1" customWidth="1"/>
    <col min="11251" max="11251" width="5.42578125" style="642" bestFit="1" customWidth="1"/>
    <col min="11252" max="11252" width="20.28515625" style="642" customWidth="1"/>
    <col min="11253" max="11253" width="7.28515625" style="642" customWidth="1"/>
    <col min="11254" max="11254" width="5.28515625" style="642" customWidth="1"/>
    <col min="11255" max="11255" width="6.5703125" style="642" customWidth="1"/>
    <col min="11256" max="11256" width="4.42578125" style="642" customWidth="1"/>
    <col min="11257" max="11257" width="8.28515625" style="642" customWidth="1"/>
    <col min="11258" max="11258" width="4.7109375" style="642" customWidth="1"/>
    <col min="11259" max="11259" width="5.7109375" style="642" customWidth="1"/>
    <col min="11260" max="11260" width="8" style="642" customWidth="1"/>
    <col min="11261" max="11261" width="6.85546875" style="642" customWidth="1"/>
    <col min="11262" max="11262" width="6.140625" style="642" customWidth="1"/>
    <col min="11263" max="11264" width="8.28515625" style="642" customWidth="1"/>
    <col min="11265" max="11266" width="5.85546875" style="642" customWidth="1"/>
    <col min="11267" max="11267" width="7" style="642" customWidth="1"/>
    <col min="11268" max="11268" width="5.85546875" style="642" customWidth="1"/>
    <col min="11269" max="11269" width="6.42578125" style="642" customWidth="1"/>
    <col min="11270" max="11270" width="1.7109375" style="642" customWidth="1"/>
    <col min="11271" max="11272" width="6.42578125" style="642" customWidth="1"/>
    <col min="11273" max="11273" width="1.7109375" style="642" customWidth="1"/>
    <col min="11274" max="11274" width="6.42578125" style="642" customWidth="1"/>
    <col min="11275" max="11275" width="6.85546875" style="642" customWidth="1"/>
    <col min="11276" max="11276" width="5.7109375" style="642" customWidth="1"/>
    <col min="11277" max="11277" width="3.28515625" style="642" customWidth="1"/>
    <col min="11278" max="11278" width="4" style="642" customWidth="1"/>
    <col min="11279" max="11279" width="14" style="642" customWidth="1"/>
    <col min="11280" max="11280" width="9.140625" style="642" customWidth="1"/>
    <col min="11281" max="11281" width="9.5703125" style="642" customWidth="1"/>
    <col min="11282" max="11282" width="1.5703125" style="642" customWidth="1"/>
    <col min="11283" max="11283" width="5.42578125" style="642" customWidth="1"/>
    <col min="11284" max="11284" width="19.140625" style="642" customWidth="1"/>
    <col min="11285" max="11285" width="7.28515625" style="642" customWidth="1"/>
    <col min="11286" max="11286" width="5.28515625" style="642" customWidth="1"/>
    <col min="11287" max="11287" width="4" style="642" customWidth="1"/>
    <col min="11288" max="11292" width="4.85546875" style="642" customWidth="1"/>
    <col min="11293" max="11293" width="6.85546875" style="642" customWidth="1"/>
    <col min="11294" max="11294" width="5.7109375" style="642" customWidth="1"/>
    <col min="11295" max="11295" width="7.7109375" style="642" customWidth="1"/>
    <col min="11296" max="11296" width="6.85546875" style="642" customWidth="1"/>
    <col min="11297" max="11297" width="5.140625" style="642" customWidth="1"/>
    <col min="11298" max="11298" width="7.85546875" style="642" customWidth="1"/>
    <col min="11299" max="11299" width="4.42578125" style="642" customWidth="1"/>
    <col min="11300" max="11300" width="6.85546875" style="642" customWidth="1"/>
    <col min="11301" max="11302" width="8" style="642" customWidth="1"/>
    <col min="11303" max="11303" width="6" style="642" customWidth="1"/>
    <col min="11304" max="11304" width="3.140625" style="642" customWidth="1"/>
    <col min="11305" max="11305" width="6" style="642" customWidth="1"/>
    <col min="11306" max="11306" width="5.5703125" style="642" customWidth="1"/>
    <col min="11307" max="11307" width="6.7109375" style="642" customWidth="1"/>
    <col min="11308" max="11308" width="6.85546875" style="642" customWidth="1"/>
    <col min="11309" max="11309" width="8.140625" style="642" customWidth="1"/>
    <col min="11310" max="11310" width="4.42578125" style="642" customWidth="1"/>
    <col min="11311" max="11311" width="7.140625" style="642" customWidth="1"/>
    <col min="11312" max="11312" width="6.5703125" style="642" customWidth="1"/>
    <col min="11313" max="11313" width="6.42578125" style="642" customWidth="1"/>
    <col min="11314" max="11314" width="8.28515625" style="642" customWidth="1"/>
    <col min="11315" max="11315" width="5.42578125" style="642" customWidth="1"/>
    <col min="11316" max="11316" width="7.5703125" style="642" customWidth="1"/>
    <col min="11317" max="11317" width="5.140625" style="642" customWidth="1"/>
    <col min="11318" max="11320" width="9.140625" style="642" customWidth="1"/>
    <col min="11321" max="11321" width="9.140625" style="642"/>
    <col min="11322" max="11322" width="19.7109375" style="642" customWidth="1"/>
    <col min="11323" max="11323" width="6.5703125" style="642" customWidth="1"/>
    <col min="11324" max="11324" width="3.5703125" style="642" bestFit="1" customWidth="1"/>
    <col min="11325" max="11325" width="6.85546875" style="642" bestFit="1" customWidth="1"/>
    <col min="11326" max="11328" width="5.85546875" style="642" customWidth="1"/>
    <col min="11329" max="11329" width="6" style="642" bestFit="1" customWidth="1"/>
    <col min="11330" max="11332" width="0" style="642" hidden="1" customWidth="1"/>
    <col min="11333" max="11333" width="6" style="642" bestFit="1" customWidth="1"/>
    <col min="11334" max="11334" width="6.85546875" style="642" bestFit="1" customWidth="1"/>
    <col min="11335" max="11335" width="7" style="642" bestFit="1" customWidth="1"/>
    <col min="11336" max="11336" width="6" style="642" bestFit="1" customWidth="1"/>
    <col min="11337" max="11337" width="4.42578125" style="642" bestFit="1" customWidth="1"/>
    <col min="11338" max="11338" width="6" style="642" bestFit="1" customWidth="1"/>
    <col min="11339" max="11339" width="6.28515625" style="642" bestFit="1" customWidth="1"/>
    <col min="11340" max="11346" width="4.85546875" style="642" bestFit="1" customWidth="1"/>
    <col min="11347" max="11347" width="5" style="642" bestFit="1" customWidth="1"/>
    <col min="11348" max="11348" width="4.85546875" style="642" bestFit="1" customWidth="1"/>
    <col min="11349" max="11349" width="4.42578125" style="642" bestFit="1" customWidth="1"/>
    <col min="11350" max="11350" width="5.140625" style="642" bestFit="1" customWidth="1"/>
    <col min="11351" max="11351" width="4.85546875" style="642" bestFit="1" customWidth="1"/>
    <col min="11352" max="11352" width="5" style="642" bestFit="1" customWidth="1"/>
    <col min="11353" max="11354" width="5.28515625" style="642" bestFit="1" customWidth="1"/>
    <col min="11355" max="11355" width="5" style="642" bestFit="1" customWidth="1"/>
    <col min="11356" max="11356" width="4.42578125" style="642" bestFit="1" customWidth="1"/>
    <col min="11357" max="11357" width="4.5703125" style="642" bestFit="1" customWidth="1"/>
    <col min="11358" max="11359" width="5.140625" style="642" bestFit="1" customWidth="1"/>
    <col min="11360" max="11360" width="4.85546875" style="642" bestFit="1" customWidth="1"/>
    <col min="11361" max="11361" width="5.42578125" style="642" bestFit="1" customWidth="1"/>
    <col min="11362" max="11362" width="0" style="642" hidden="1" customWidth="1"/>
    <col min="11363" max="11363" width="6.5703125" style="642" bestFit="1" customWidth="1"/>
    <col min="11364" max="11504" width="9.140625" style="642"/>
    <col min="11505" max="11505" width="6" style="642" customWidth="1"/>
    <col min="11506" max="11506" width="1.5703125" style="642" bestFit="1" customWidth="1"/>
    <col min="11507" max="11507" width="5.42578125" style="642" bestFit="1" customWidth="1"/>
    <col min="11508" max="11508" width="20.28515625" style="642" customWidth="1"/>
    <col min="11509" max="11509" width="7.28515625" style="642" customWidth="1"/>
    <col min="11510" max="11510" width="5.28515625" style="642" customWidth="1"/>
    <col min="11511" max="11511" width="6.5703125" style="642" customWidth="1"/>
    <col min="11512" max="11512" width="4.42578125" style="642" customWidth="1"/>
    <col min="11513" max="11513" width="8.28515625" style="642" customWidth="1"/>
    <col min="11514" max="11514" width="4.7109375" style="642" customWidth="1"/>
    <col min="11515" max="11515" width="5.7109375" style="642" customWidth="1"/>
    <col min="11516" max="11516" width="8" style="642" customWidth="1"/>
    <col min="11517" max="11517" width="6.85546875" style="642" customWidth="1"/>
    <col min="11518" max="11518" width="6.140625" style="642" customWidth="1"/>
    <col min="11519" max="11520" width="8.28515625" style="642" customWidth="1"/>
    <col min="11521" max="11522" width="5.85546875" style="642" customWidth="1"/>
    <col min="11523" max="11523" width="7" style="642" customWidth="1"/>
    <col min="11524" max="11524" width="5.85546875" style="642" customWidth="1"/>
    <col min="11525" max="11525" width="6.42578125" style="642" customWidth="1"/>
    <col min="11526" max="11526" width="1.7109375" style="642" customWidth="1"/>
    <col min="11527" max="11528" width="6.42578125" style="642" customWidth="1"/>
    <col min="11529" max="11529" width="1.7109375" style="642" customWidth="1"/>
    <col min="11530" max="11530" width="6.42578125" style="642" customWidth="1"/>
    <col min="11531" max="11531" width="6.85546875" style="642" customWidth="1"/>
    <col min="11532" max="11532" width="5.7109375" style="642" customWidth="1"/>
    <col min="11533" max="11533" width="3.28515625" style="642" customWidth="1"/>
    <col min="11534" max="11534" width="4" style="642" customWidth="1"/>
    <col min="11535" max="11535" width="14" style="642" customWidth="1"/>
    <col min="11536" max="11536" width="9.140625" style="642" customWidth="1"/>
    <col min="11537" max="11537" width="9.5703125" style="642" customWidth="1"/>
    <col min="11538" max="11538" width="1.5703125" style="642" customWidth="1"/>
    <col min="11539" max="11539" width="5.42578125" style="642" customWidth="1"/>
    <col min="11540" max="11540" width="19.140625" style="642" customWidth="1"/>
    <col min="11541" max="11541" width="7.28515625" style="642" customWidth="1"/>
    <col min="11542" max="11542" width="5.28515625" style="642" customWidth="1"/>
    <col min="11543" max="11543" width="4" style="642" customWidth="1"/>
    <col min="11544" max="11548" width="4.85546875" style="642" customWidth="1"/>
    <col min="11549" max="11549" width="6.85546875" style="642" customWidth="1"/>
    <col min="11550" max="11550" width="5.7109375" style="642" customWidth="1"/>
    <col min="11551" max="11551" width="7.7109375" style="642" customWidth="1"/>
    <col min="11552" max="11552" width="6.85546875" style="642" customWidth="1"/>
    <col min="11553" max="11553" width="5.140625" style="642" customWidth="1"/>
    <col min="11554" max="11554" width="7.85546875" style="642" customWidth="1"/>
    <col min="11555" max="11555" width="4.42578125" style="642" customWidth="1"/>
    <col min="11556" max="11556" width="6.85546875" style="642" customWidth="1"/>
    <col min="11557" max="11558" width="8" style="642" customWidth="1"/>
    <col min="11559" max="11559" width="6" style="642" customWidth="1"/>
    <col min="11560" max="11560" width="3.140625" style="642" customWidth="1"/>
    <col min="11561" max="11561" width="6" style="642" customWidth="1"/>
    <col min="11562" max="11562" width="5.5703125" style="642" customWidth="1"/>
    <col min="11563" max="11563" width="6.7109375" style="642" customWidth="1"/>
    <col min="11564" max="11564" width="6.85546875" style="642" customWidth="1"/>
    <col min="11565" max="11565" width="8.140625" style="642" customWidth="1"/>
    <col min="11566" max="11566" width="4.42578125" style="642" customWidth="1"/>
    <col min="11567" max="11567" width="7.140625" style="642" customWidth="1"/>
    <col min="11568" max="11568" width="6.5703125" style="642" customWidth="1"/>
    <col min="11569" max="11569" width="6.42578125" style="642" customWidth="1"/>
    <col min="11570" max="11570" width="8.28515625" style="642" customWidth="1"/>
    <col min="11571" max="11571" width="5.42578125" style="642" customWidth="1"/>
    <col min="11572" max="11572" width="7.5703125" style="642" customWidth="1"/>
    <col min="11573" max="11573" width="5.140625" style="642" customWidth="1"/>
    <col min="11574" max="11576" width="9.140625" style="642" customWidth="1"/>
    <col min="11577" max="11577" width="9.140625" style="642"/>
    <col min="11578" max="11578" width="19.7109375" style="642" customWidth="1"/>
    <col min="11579" max="11579" width="6.5703125" style="642" customWidth="1"/>
    <col min="11580" max="11580" width="3.5703125" style="642" bestFit="1" customWidth="1"/>
    <col min="11581" max="11581" width="6.85546875" style="642" bestFit="1" customWidth="1"/>
    <col min="11582" max="11584" width="5.85546875" style="642" customWidth="1"/>
    <col min="11585" max="11585" width="6" style="642" bestFit="1" customWidth="1"/>
    <col min="11586" max="11588" width="0" style="642" hidden="1" customWidth="1"/>
    <col min="11589" max="11589" width="6" style="642" bestFit="1" customWidth="1"/>
    <col min="11590" max="11590" width="6.85546875" style="642" bestFit="1" customWidth="1"/>
    <col min="11591" max="11591" width="7" style="642" bestFit="1" customWidth="1"/>
    <col min="11592" max="11592" width="6" style="642" bestFit="1" customWidth="1"/>
    <col min="11593" max="11593" width="4.42578125" style="642" bestFit="1" customWidth="1"/>
    <col min="11594" max="11594" width="6" style="642" bestFit="1" customWidth="1"/>
    <col min="11595" max="11595" width="6.28515625" style="642" bestFit="1" customWidth="1"/>
    <col min="11596" max="11602" width="4.85546875" style="642" bestFit="1" customWidth="1"/>
    <col min="11603" max="11603" width="5" style="642" bestFit="1" customWidth="1"/>
    <col min="11604" max="11604" width="4.85546875" style="642" bestFit="1" customWidth="1"/>
    <col min="11605" max="11605" width="4.42578125" style="642" bestFit="1" customWidth="1"/>
    <col min="11606" max="11606" width="5.140625" style="642" bestFit="1" customWidth="1"/>
    <col min="11607" max="11607" width="4.85546875" style="642" bestFit="1" customWidth="1"/>
    <col min="11608" max="11608" width="5" style="642" bestFit="1" customWidth="1"/>
    <col min="11609" max="11610" width="5.28515625" style="642" bestFit="1" customWidth="1"/>
    <col min="11611" max="11611" width="5" style="642" bestFit="1" customWidth="1"/>
    <col min="11612" max="11612" width="4.42578125" style="642" bestFit="1" customWidth="1"/>
    <col min="11613" max="11613" width="4.5703125" style="642" bestFit="1" customWidth="1"/>
    <col min="11614" max="11615" width="5.140625" style="642" bestFit="1" customWidth="1"/>
    <col min="11616" max="11616" width="4.85546875" style="642" bestFit="1" customWidth="1"/>
    <col min="11617" max="11617" width="5.42578125" style="642" bestFit="1" customWidth="1"/>
    <col min="11618" max="11618" width="0" style="642" hidden="1" customWidth="1"/>
    <col min="11619" max="11619" width="6.5703125" style="642" bestFit="1" customWidth="1"/>
    <col min="11620" max="11760" width="9.140625" style="642"/>
    <col min="11761" max="11761" width="6" style="642" customWidth="1"/>
    <col min="11762" max="11762" width="1.5703125" style="642" bestFit="1" customWidth="1"/>
    <col min="11763" max="11763" width="5.42578125" style="642" bestFit="1" customWidth="1"/>
    <col min="11764" max="11764" width="20.28515625" style="642" customWidth="1"/>
    <col min="11765" max="11765" width="7.28515625" style="642" customWidth="1"/>
    <col min="11766" max="11766" width="5.28515625" style="642" customWidth="1"/>
    <col min="11767" max="11767" width="6.5703125" style="642" customWidth="1"/>
    <col min="11768" max="11768" width="4.42578125" style="642" customWidth="1"/>
    <col min="11769" max="11769" width="8.28515625" style="642" customWidth="1"/>
    <col min="11770" max="11770" width="4.7109375" style="642" customWidth="1"/>
    <col min="11771" max="11771" width="5.7109375" style="642" customWidth="1"/>
    <col min="11772" max="11772" width="8" style="642" customWidth="1"/>
    <col min="11773" max="11773" width="6.85546875" style="642" customWidth="1"/>
    <col min="11774" max="11774" width="6.140625" style="642" customWidth="1"/>
    <col min="11775" max="11776" width="8.28515625" style="642" customWidth="1"/>
    <col min="11777" max="11778" width="5.85546875" style="642" customWidth="1"/>
    <col min="11779" max="11779" width="7" style="642" customWidth="1"/>
    <col min="11780" max="11780" width="5.85546875" style="642" customWidth="1"/>
    <col min="11781" max="11781" width="6.42578125" style="642" customWidth="1"/>
    <col min="11782" max="11782" width="1.7109375" style="642" customWidth="1"/>
    <col min="11783" max="11784" width="6.42578125" style="642" customWidth="1"/>
    <col min="11785" max="11785" width="1.7109375" style="642" customWidth="1"/>
    <col min="11786" max="11786" width="6.42578125" style="642" customWidth="1"/>
    <col min="11787" max="11787" width="6.85546875" style="642" customWidth="1"/>
    <col min="11788" max="11788" width="5.7109375" style="642" customWidth="1"/>
    <col min="11789" max="11789" width="3.28515625" style="642" customWidth="1"/>
    <col min="11790" max="11790" width="4" style="642" customWidth="1"/>
    <col min="11791" max="11791" width="14" style="642" customWidth="1"/>
    <col min="11792" max="11792" width="9.140625" style="642" customWidth="1"/>
    <col min="11793" max="11793" width="9.5703125" style="642" customWidth="1"/>
    <col min="11794" max="11794" width="1.5703125" style="642" customWidth="1"/>
    <col min="11795" max="11795" width="5.42578125" style="642" customWidth="1"/>
    <col min="11796" max="11796" width="19.140625" style="642" customWidth="1"/>
    <col min="11797" max="11797" width="7.28515625" style="642" customWidth="1"/>
    <col min="11798" max="11798" width="5.28515625" style="642" customWidth="1"/>
    <col min="11799" max="11799" width="4" style="642" customWidth="1"/>
    <col min="11800" max="11804" width="4.85546875" style="642" customWidth="1"/>
    <col min="11805" max="11805" width="6.85546875" style="642" customWidth="1"/>
    <col min="11806" max="11806" width="5.7109375" style="642" customWidth="1"/>
    <col min="11807" max="11807" width="7.7109375" style="642" customWidth="1"/>
    <col min="11808" max="11808" width="6.85546875" style="642" customWidth="1"/>
    <col min="11809" max="11809" width="5.140625" style="642" customWidth="1"/>
    <col min="11810" max="11810" width="7.85546875" style="642" customWidth="1"/>
    <col min="11811" max="11811" width="4.42578125" style="642" customWidth="1"/>
    <col min="11812" max="11812" width="6.85546875" style="642" customWidth="1"/>
    <col min="11813" max="11814" width="8" style="642" customWidth="1"/>
    <col min="11815" max="11815" width="6" style="642" customWidth="1"/>
    <col min="11816" max="11816" width="3.140625" style="642" customWidth="1"/>
    <col min="11817" max="11817" width="6" style="642" customWidth="1"/>
    <col min="11818" max="11818" width="5.5703125" style="642" customWidth="1"/>
    <col min="11819" max="11819" width="6.7109375" style="642" customWidth="1"/>
    <col min="11820" max="11820" width="6.85546875" style="642" customWidth="1"/>
    <col min="11821" max="11821" width="8.140625" style="642" customWidth="1"/>
    <col min="11822" max="11822" width="4.42578125" style="642" customWidth="1"/>
    <col min="11823" max="11823" width="7.140625" style="642" customWidth="1"/>
    <col min="11824" max="11824" width="6.5703125" style="642" customWidth="1"/>
    <col min="11825" max="11825" width="6.42578125" style="642" customWidth="1"/>
    <col min="11826" max="11826" width="8.28515625" style="642" customWidth="1"/>
    <col min="11827" max="11827" width="5.42578125" style="642" customWidth="1"/>
    <col min="11828" max="11828" width="7.5703125" style="642" customWidth="1"/>
    <col min="11829" max="11829" width="5.140625" style="642" customWidth="1"/>
    <col min="11830" max="11832" width="9.140625" style="642" customWidth="1"/>
    <col min="11833" max="11833" width="9.140625" style="642"/>
    <col min="11834" max="11834" width="19.7109375" style="642" customWidth="1"/>
    <col min="11835" max="11835" width="6.5703125" style="642" customWidth="1"/>
    <col min="11836" max="11836" width="3.5703125" style="642" bestFit="1" customWidth="1"/>
    <col min="11837" max="11837" width="6.85546875" style="642" bestFit="1" customWidth="1"/>
    <col min="11838" max="11840" width="5.85546875" style="642" customWidth="1"/>
    <col min="11841" max="11841" width="6" style="642" bestFit="1" customWidth="1"/>
    <col min="11842" max="11844" width="0" style="642" hidden="1" customWidth="1"/>
    <col min="11845" max="11845" width="6" style="642" bestFit="1" customWidth="1"/>
    <col min="11846" max="11846" width="6.85546875" style="642" bestFit="1" customWidth="1"/>
    <col min="11847" max="11847" width="7" style="642" bestFit="1" customWidth="1"/>
    <col min="11848" max="11848" width="6" style="642" bestFit="1" customWidth="1"/>
    <col min="11849" max="11849" width="4.42578125" style="642" bestFit="1" customWidth="1"/>
    <col min="11850" max="11850" width="6" style="642" bestFit="1" customWidth="1"/>
    <col min="11851" max="11851" width="6.28515625" style="642" bestFit="1" customWidth="1"/>
    <col min="11852" max="11858" width="4.85546875" style="642" bestFit="1" customWidth="1"/>
    <col min="11859" max="11859" width="5" style="642" bestFit="1" customWidth="1"/>
    <col min="11860" max="11860" width="4.85546875" style="642" bestFit="1" customWidth="1"/>
    <col min="11861" max="11861" width="4.42578125" style="642" bestFit="1" customWidth="1"/>
    <col min="11862" max="11862" width="5.140625" style="642" bestFit="1" customWidth="1"/>
    <col min="11863" max="11863" width="4.85546875" style="642" bestFit="1" customWidth="1"/>
    <col min="11864" max="11864" width="5" style="642" bestFit="1" customWidth="1"/>
    <col min="11865" max="11866" width="5.28515625" style="642" bestFit="1" customWidth="1"/>
    <col min="11867" max="11867" width="5" style="642" bestFit="1" customWidth="1"/>
    <col min="11868" max="11868" width="4.42578125" style="642" bestFit="1" customWidth="1"/>
    <col min="11869" max="11869" width="4.5703125" style="642" bestFit="1" customWidth="1"/>
    <col min="11870" max="11871" width="5.140625" style="642" bestFit="1" customWidth="1"/>
    <col min="11872" max="11872" width="4.85546875" style="642" bestFit="1" customWidth="1"/>
    <col min="11873" max="11873" width="5.42578125" style="642" bestFit="1" customWidth="1"/>
    <col min="11874" max="11874" width="0" style="642" hidden="1" customWidth="1"/>
    <col min="11875" max="11875" width="6.5703125" style="642" bestFit="1" customWidth="1"/>
    <col min="11876" max="12016" width="9.140625" style="642"/>
    <col min="12017" max="12017" width="6" style="642" customWidth="1"/>
    <col min="12018" max="12018" width="1.5703125" style="642" bestFit="1" customWidth="1"/>
    <col min="12019" max="12019" width="5.42578125" style="642" bestFit="1" customWidth="1"/>
    <col min="12020" max="12020" width="20.28515625" style="642" customWidth="1"/>
    <col min="12021" max="12021" width="7.28515625" style="642" customWidth="1"/>
    <col min="12022" max="12022" width="5.28515625" style="642" customWidth="1"/>
    <col min="12023" max="12023" width="6.5703125" style="642" customWidth="1"/>
    <col min="12024" max="12024" width="4.42578125" style="642" customWidth="1"/>
    <col min="12025" max="12025" width="8.28515625" style="642" customWidth="1"/>
    <col min="12026" max="12026" width="4.7109375" style="642" customWidth="1"/>
    <col min="12027" max="12027" width="5.7109375" style="642" customWidth="1"/>
    <col min="12028" max="12028" width="8" style="642" customWidth="1"/>
    <col min="12029" max="12029" width="6.85546875" style="642" customWidth="1"/>
    <col min="12030" max="12030" width="6.140625" style="642" customWidth="1"/>
    <col min="12031" max="12032" width="8.28515625" style="642" customWidth="1"/>
    <col min="12033" max="12034" width="5.85546875" style="642" customWidth="1"/>
    <col min="12035" max="12035" width="7" style="642" customWidth="1"/>
    <col min="12036" max="12036" width="5.85546875" style="642" customWidth="1"/>
    <col min="12037" max="12037" width="6.42578125" style="642" customWidth="1"/>
    <col min="12038" max="12038" width="1.7109375" style="642" customWidth="1"/>
    <col min="12039" max="12040" width="6.42578125" style="642" customWidth="1"/>
    <col min="12041" max="12041" width="1.7109375" style="642" customWidth="1"/>
    <col min="12042" max="12042" width="6.42578125" style="642" customWidth="1"/>
    <col min="12043" max="12043" width="6.85546875" style="642" customWidth="1"/>
    <col min="12044" max="12044" width="5.7109375" style="642" customWidth="1"/>
    <col min="12045" max="12045" width="3.28515625" style="642" customWidth="1"/>
    <col min="12046" max="12046" width="4" style="642" customWidth="1"/>
    <col min="12047" max="12047" width="14" style="642" customWidth="1"/>
    <col min="12048" max="12048" width="9.140625" style="642" customWidth="1"/>
    <col min="12049" max="12049" width="9.5703125" style="642" customWidth="1"/>
    <col min="12050" max="12050" width="1.5703125" style="642" customWidth="1"/>
    <col min="12051" max="12051" width="5.42578125" style="642" customWidth="1"/>
    <col min="12052" max="12052" width="19.140625" style="642" customWidth="1"/>
    <col min="12053" max="12053" width="7.28515625" style="642" customWidth="1"/>
    <col min="12054" max="12054" width="5.28515625" style="642" customWidth="1"/>
    <col min="12055" max="12055" width="4" style="642" customWidth="1"/>
    <col min="12056" max="12060" width="4.85546875" style="642" customWidth="1"/>
    <col min="12061" max="12061" width="6.85546875" style="642" customWidth="1"/>
    <col min="12062" max="12062" width="5.7109375" style="642" customWidth="1"/>
    <col min="12063" max="12063" width="7.7109375" style="642" customWidth="1"/>
    <col min="12064" max="12064" width="6.85546875" style="642" customWidth="1"/>
    <col min="12065" max="12065" width="5.140625" style="642" customWidth="1"/>
    <col min="12066" max="12066" width="7.85546875" style="642" customWidth="1"/>
    <col min="12067" max="12067" width="4.42578125" style="642" customWidth="1"/>
    <col min="12068" max="12068" width="6.85546875" style="642" customWidth="1"/>
    <col min="12069" max="12070" width="8" style="642" customWidth="1"/>
    <col min="12071" max="12071" width="6" style="642" customWidth="1"/>
    <col min="12072" max="12072" width="3.140625" style="642" customWidth="1"/>
    <col min="12073" max="12073" width="6" style="642" customWidth="1"/>
    <col min="12074" max="12074" width="5.5703125" style="642" customWidth="1"/>
    <col min="12075" max="12075" width="6.7109375" style="642" customWidth="1"/>
    <col min="12076" max="12076" width="6.85546875" style="642" customWidth="1"/>
    <col min="12077" max="12077" width="8.140625" style="642" customWidth="1"/>
    <col min="12078" max="12078" width="4.42578125" style="642" customWidth="1"/>
    <col min="12079" max="12079" width="7.140625" style="642" customWidth="1"/>
    <col min="12080" max="12080" width="6.5703125" style="642" customWidth="1"/>
    <col min="12081" max="12081" width="6.42578125" style="642" customWidth="1"/>
    <col min="12082" max="12082" width="8.28515625" style="642" customWidth="1"/>
    <col min="12083" max="12083" width="5.42578125" style="642" customWidth="1"/>
    <col min="12084" max="12084" width="7.5703125" style="642" customWidth="1"/>
    <col min="12085" max="12085" width="5.140625" style="642" customWidth="1"/>
    <col min="12086" max="12088" width="9.140625" style="642" customWidth="1"/>
    <col min="12089" max="12089" width="9.140625" style="642"/>
    <col min="12090" max="12090" width="19.7109375" style="642" customWidth="1"/>
    <col min="12091" max="12091" width="6.5703125" style="642" customWidth="1"/>
    <col min="12092" max="12092" width="3.5703125" style="642" bestFit="1" customWidth="1"/>
    <col min="12093" max="12093" width="6.85546875" style="642" bestFit="1" customWidth="1"/>
    <col min="12094" max="12096" width="5.85546875" style="642" customWidth="1"/>
    <col min="12097" max="12097" width="6" style="642" bestFit="1" customWidth="1"/>
    <col min="12098" max="12100" width="0" style="642" hidden="1" customWidth="1"/>
    <col min="12101" max="12101" width="6" style="642" bestFit="1" customWidth="1"/>
    <col min="12102" max="12102" width="6.85546875" style="642" bestFit="1" customWidth="1"/>
    <col min="12103" max="12103" width="7" style="642" bestFit="1" customWidth="1"/>
    <col min="12104" max="12104" width="6" style="642" bestFit="1" customWidth="1"/>
    <col min="12105" max="12105" width="4.42578125" style="642" bestFit="1" customWidth="1"/>
    <col min="12106" max="12106" width="6" style="642" bestFit="1" customWidth="1"/>
    <col min="12107" max="12107" width="6.28515625" style="642" bestFit="1" customWidth="1"/>
    <col min="12108" max="12114" width="4.85546875" style="642" bestFit="1" customWidth="1"/>
    <col min="12115" max="12115" width="5" style="642" bestFit="1" customWidth="1"/>
    <col min="12116" max="12116" width="4.85546875" style="642" bestFit="1" customWidth="1"/>
    <col min="12117" max="12117" width="4.42578125" style="642" bestFit="1" customWidth="1"/>
    <col min="12118" max="12118" width="5.140625" style="642" bestFit="1" customWidth="1"/>
    <col min="12119" max="12119" width="4.85546875" style="642" bestFit="1" customWidth="1"/>
    <col min="12120" max="12120" width="5" style="642" bestFit="1" customWidth="1"/>
    <col min="12121" max="12122" width="5.28515625" style="642" bestFit="1" customWidth="1"/>
    <col min="12123" max="12123" width="5" style="642" bestFit="1" customWidth="1"/>
    <col min="12124" max="12124" width="4.42578125" style="642" bestFit="1" customWidth="1"/>
    <col min="12125" max="12125" width="4.5703125" style="642" bestFit="1" customWidth="1"/>
    <col min="12126" max="12127" width="5.140625" style="642" bestFit="1" customWidth="1"/>
    <col min="12128" max="12128" width="4.85546875" style="642" bestFit="1" customWidth="1"/>
    <col min="12129" max="12129" width="5.42578125" style="642" bestFit="1" customWidth="1"/>
    <col min="12130" max="12130" width="0" style="642" hidden="1" customWidth="1"/>
    <col min="12131" max="12131" width="6.5703125" style="642" bestFit="1" customWidth="1"/>
    <col min="12132" max="12272" width="9.140625" style="642"/>
    <col min="12273" max="12273" width="6" style="642" customWidth="1"/>
    <col min="12274" max="12274" width="1.5703125" style="642" bestFit="1" customWidth="1"/>
    <col min="12275" max="12275" width="5.42578125" style="642" bestFit="1" customWidth="1"/>
    <col min="12276" max="12276" width="20.28515625" style="642" customWidth="1"/>
    <col min="12277" max="12277" width="7.28515625" style="642" customWidth="1"/>
    <col min="12278" max="12278" width="5.28515625" style="642" customWidth="1"/>
    <col min="12279" max="12279" width="6.5703125" style="642" customWidth="1"/>
    <col min="12280" max="12280" width="4.42578125" style="642" customWidth="1"/>
    <col min="12281" max="12281" width="8.28515625" style="642" customWidth="1"/>
    <col min="12282" max="12282" width="4.7109375" style="642" customWidth="1"/>
    <col min="12283" max="12283" width="5.7109375" style="642" customWidth="1"/>
    <col min="12284" max="12284" width="8" style="642" customWidth="1"/>
    <col min="12285" max="12285" width="6.85546875" style="642" customWidth="1"/>
    <col min="12286" max="12286" width="6.140625" style="642" customWidth="1"/>
    <col min="12287" max="12288" width="8.28515625" style="642" customWidth="1"/>
    <col min="12289" max="12290" width="5.85546875" style="642" customWidth="1"/>
    <col min="12291" max="12291" width="7" style="642" customWidth="1"/>
    <col min="12292" max="12292" width="5.85546875" style="642" customWidth="1"/>
    <col min="12293" max="12293" width="6.42578125" style="642" customWidth="1"/>
    <col min="12294" max="12294" width="1.7109375" style="642" customWidth="1"/>
    <col min="12295" max="12296" width="6.42578125" style="642" customWidth="1"/>
    <col min="12297" max="12297" width="1.7109375" style="642" customWidth="1"/>
    <col min="12298" max="12298" width="6.42578125" style="642" customWidth="1"/>
    <col min="12299" max="12299" width="6.85546875" style="642" customWidth="1"/>
    <col min="12300" max="12300" width="5.7109375" style="642" customWidth="1"/>
    <col min="12301" max="12301" width="3.28515625" style="642" customWidth="1"/>
    <col min="12302" max="12302" width="4" style="642" customWidth="1"/>
    <col min="12303" max="12303" width="14" style="642" customWidth="1"/>
    <col min="12304" max="12304" width="9.140625" style="642" customWidth="1"/>
    <col min="12305" max="12305" width="9.5703125" style="642" customWidth="1"/>
    <col min="12306" max="12306" width="1.5703125" style="642" customWidth="1"/>
    <col min="12307" max="12307" width="5.42578125" style="642" customWidth="1"/>
    <col min="12308" max="12308" width="19.140625" style="642" customWidth="1"/>
    <col min="12309" max="12309" width="7.28515625" style="642" customWidth="1"/>
    <col min="12310" max="12310" width="5.28515625" style="642" customWidth="1"/>
    <col min="12311" max="12311" width="4" style="642" customWidth="1"/>
    <col min="12312" max="12316" width="4.85546875" style="642" customWidth="1"/>
    <col min="12317" max="12317" width="6.85546875" style="642" customWidth="1"/>
    <col min="12318" max="12318" width="5.7109375" style="642" customWidth="1"/>
    <col min="12319" max="12319" width="7.7109375" style="642" customWidth="1"/>
    <col min="12320" max="12320" width="6.85546875" style="642" customWidth="1"/>
    <col min="12321" max="12321" width="5.140625" style="642" customWidth="1"/>
    <col min="12322" max="12322" width="7.85546875" style="642" customWidth="1"/>
    <col min="12323" max="12323" width="4.42578125" style="642" customWidth="1"/>
    <col min="12324" max="12324" width="6.85546875" style="642" customWidth="1"/>
    <col min="12325" max="12326" width="8" style="642" customWidth="1"/>
    <col min="12327" max="12327" width="6" style="642" customWidth="1"/>
    <col min="12328" max="12328" width="3.140625" style="642" customWidth="1"/>
    <col min="12329" max="12329" width="6" style="642" customWidth="1"/>
    <col min="12330" max="12330" width="5.5703125" style="642" customWidth="1"/>
    <col min="12331" max="12331" width="6.7109375" style="642" customWidth="1"/>
    <col min="12332" max="12332" width="6.85546875" style="642" customWidth="1"/>
    <col min="12333" max="12333" width="8.140625" style="642" customWidth="1"/>
    <col min="12334" max="12334" width="4.42578125" style="642" customWidth="1"/>
    <col min="12335" max="12335" width="7.140625" style="642" customWidth="1"/>
    <col min="12336" max="12336" width="6.5703125" style="642" customWidth="1"/>
    <col min="12337" max="12337" width="6.42578125" style="642" customWidth="1"/>
    <col min="12338" max="12338" width="8.28515625" style="642" customWidth="1"/>
    <col min="12339" max="12339" width="5.42578125" style="642" customWidth="1"/>
    <col min="12340" max="12340" width="7.5703125" style="642" customWidth="1"/>
    <col min="12341" max="12341" width="5.140625" style="642" customWidth="1"/>
    <col min="12342" max="12344" width="9.140625" style="642" customWidth="1"/>
    <col min="12345" max="12345" width="9.140625" style="642"/>
    <col min="12346" max="12346" width="19.7109375" style="642" customWidth="1"/>
    <col min="12347" max="12347" width="6.5703125" style="642" customWidth="1"/>
    <col min="12348" max="12348" width="3.5703125" style="642" bestFit="1" customWidth="1"/>
    <col min="12349" max="12349" width="6.85546875" style="642" bestFit="1" customWidth="1"/>
    <col min="12350" max="12352" width="5.85546875" style="642" customWidth="1"/>
    <col min="12353" max="12353" width="6" style="642" bestFit="1" customWidth="1"/>
    <col min="12354" max="12356" width="0" style="642" hidden="1" customWidth="1"/>
    <col min="12357" max="12357" width="6" style="642" bestFit="1" customWidth="1"/>
    <col min="12358" max="12358" width="6.85546875" style="642" bestFit="1" customWidth="1"/>
    <col min="12359" max="12359" width="7" style="642" bestFit="1" customWidth="1"/>
    <col min="12360" max="12360" width="6" style="642" bestFit="1" customWidth="1"/>
    <col min="12361" max="12361" width="4.42578125" style="642" bestFit="1" customWidth="1"/>
    <col min="12362" max="12362" width="6" style="642" bestFit="1" customWidth="1"/>
    <col min="12363" max="12363" width="6.28515625" style="642" bestFit="1" customWidth="1"/>
    <col min="12364" max="12370" width="4.85546875" style="642" bestFit="1" customWidth="1"/>
    <col min="12371" max="12371" width="5" style="642" bestFit="1" customWidth="1"/>
    <col min="12372" max="12372" width="4.85546875" style="642" bestFit="1" customWidth="1"/>
    <col min="12373" max="12373" width="4.42578125" style="642" bestFit="1" customWidth="1"/>
    <col min="12374" max="12374" width="5.140625" style="642" bestFit="1" customWidth="1"/>
    <col min="12375" max="12375" width="4.85546875" style="642" bestFit="1" customWidth="1"/>
    <col min="12376" max="12376" width="5" style="642" bestFit="1" customWidth="1"/>
    <col min="12377" max="12378" width="5.28515625" style="642" bestFit="1" customWidth="1"/>
    <col min="12379" max="12379" width="5" style="642" bestFit="1" customWidth="1"/>
    <col min="12380" max="12380" width="4.42578125" style="642" bestFit="1" customWidth="1"/>
    <col min="12381" max="12381" width="4.5703125" style="642" bestFit="1" customWidth="1"/>
    <col min="12382" max="12383" width="5.140625" style="642" bestFit="1" customWidth="1"/>
    <col min="12384" max="12384" width="4.85546875" style="642" bestFit="1" customWidth="1"/>
    <col min="12385" max="12385" width="5.42578125" style="642" bestFit="1" customWidth="1"/>
    <col min="12386" max="12386" width="0" style="642" hidden="1" customWidth="1"/>
    <col min="12387" max="12387" width="6.5703125" style="642" bestFit="1" customWidth="1"/>
    <col min="12388" max="12528" width="9.140625" style="642"/>
    <col min="12529" max="12529" width="6" style="642" customWidth="1"/>
    <col min="12530" max="12530" width="1.5703125" style="642" bestFit="1" customWidth="1"/>
    <col min="12531" max="12531" width="5.42578125" style="642" bestFit="1" customWidth="1"/>
    <col min="12532" max="12532" width="20.28515625" style="642" customWidth="1"/>
    <col min="12533" max="12533" width="7.28515625" style="642" customWidth="1"/>
    <col min="12534" max="12534" width="5.28515625" style="642" customWidth="1"/>
    <col min="12535" max="12535" width="6.5703125" style="642" customWidth="1"/>
    <col min="12536" max="12536" width="4.42578125" style="642" customWidth="1"/>
    <col min="12537" max="12537" width="8.28515625" style="642" customWidth="1"/>
    <col min="12538" max="12538" width="4.7109375" style="642" customWidth="1"/>
    <col min="12539" max="12539" width="5.7109375" style="642" customWidth="1"/>
    <col min="12540" max="12540" width="8" style="642" customWidth="1"/>
    <col min="12541" max="12541" width="6.85546875" style="642" customWidth="1"/>
    <col min="12542" max="12542" width="6.140625" style="642" customWidth="1"/>
    <col min="12543" max="12544" width="8.28515625" style="642" customWidth="1"/>
    <col min="12545" max="12546" width="5.85546875" style="642" customWidth="1"/>
    <col min="12547" max="12547" width="7" style="642" customWidth="1"/>
    <col min="12548" max="12548" width="5.85546875" style="642" customWidth="1"/>
    <col min="12549" max="12549" width="6.42578125" style="642" customWidth="1"/>
    <col min="12550" max="12550" width="1.7109375" style="642" customWidth="1"/>
    <col min="12551" max="12552" width="6.42578125" style="642" customWidth="1"/>
    <col min="12553" max="12553" width="1.7109375" style="642" customWidth="1"/>
    <col min="12554" max="12554" width="6.42578125" style="642" customWidth="1"/>
    <col min="12555" max="12555" width="6.85546875" style="642" customWidth="1"/>
    <col min="12556" max="12556" width="5.7109375" style="642" customWidth="1"/>
    <col min="12557" max="12557" width="3.28515625" style="642" customWidth="1"/>
    <col min="12558" max="12558" width="4" style="642" customWidth="1"/>
    <col min="12559" max="12559" width="14" style="642" customWidth="1"/>
    <col min="12560" max="12560" width="9.140625" style="642" customWidth="1"/>
    <col min="12561" max="12561" width="9.5703125" style="642" customWidth="1"/>
    <col min="12562" max="12562" width="1.5703125" style="642" customWidth="1"/>
    <col min="12563" max="12563" width="5.42578125" style="642" customWidth="1"/>
    <col min="12564" max="12564" width="19.140625" style="642" customWidth="1"/>
    <col min="12565" max="12565" width="7.28515625" style="642" customWidth="1"/>
    <col min="12566" max="12566" width="5.28515625" style="642" customWidth="1"/>
    <col min="12567" max="12567" width="4" style="642" customWidth="1"/>
    <col min="12568" max="12572" width="4.85546875" style="642" customWidth="1"/>
    <col min="12573" max="12573" width="6.85546875" style="642" customWidth="1"/>
    <col min="12574" max="12574" width="5.7109375" style="642" customWidth="1"/>
    <col min="12575" max="12575" width="7.7109375" style="642" customWidth="1"/>
    <col min="12576" max="12576" width="6.85546875" style="642" customWidth="1"/>
    <col min="12577" max="12577" width="5.140625" style="642" customWidth="1"/>
    <col min="12578" max="12578" width="7.85546875" style="642" customWidth="1"/>
    <col min="12579" max="12579" width="4.42578125" style="642" customWidth="1"/>
    <col min="12580" max="12580" width="6.85546875" style="642" customWidth="1"/>
    <col min="12581" max="12582" width="8" style="642" customWidth="1"/>
    <col min="12583" max="12583" width="6" style="642" customWidth="1"/>
    <col min="12584" max="12584" width="3.140625" style="642" customWidth="1"/>
    <col min="12585" max="12585" width="6" style="642" customWidth="1"/>
    <col min="12586" max="12586" width="5.5703125" style="642" customWidth="1"/>
    <col min="12587" max="12587" width="6.7109375" style="642" customWidth="1"/>
    <col min="12588" max="12588" width="6.85546875" style="642" customWidth="1"/>
    <col min="12589" max="12589" width="8.140625" style="642" customWidth="1"/>
    <col min="12590" max="12590" width="4.42578125" style="642" customWidth="1"/>
    <col min="12591" max="12591" width="7.140625" style="642" customWidth="1"/>
    <col min="12592" max="12592" width="6.5703125" style="642" customWidth="1"/>
    <col min="12593" max="12593" width="6.42578125" style="642" customWidth="1"/>
    <col min="12594" max="12594" width="8.28515625" style="642" customWidth="1"/>
    <col min="12595" max="12595" width="5.42578125" style="642" customWidth="1"/>
    <col min="12596" max="12596" width="7.5703125" style="642" customWidth="1"/>
    <col min="12597" max="12597" width="5.140625" style="642" customWidth="1"/>
    <col min="12598" max="12600" width="9.140625" style="642" customWidth="1"/>
    <col min="12601" max="12601" width="9.140625" style="642"/>
    <col min="12602" max="12602" width="19.7109375" style="642" customWidth="1"/>
    <col min="12603" max="12603" width="6.5703125" style="642" customWidth="1"/>
    <col min="12604" max="12604" width="3.5703125" style="642" bestFit="1" customWidth="1"/>
    <col min="12605" max="12605" width="6.85546875" style="642" bestFit="1" customWidth="1"/>
    <col min="12606" max="12608" width="5.85546875" style="642" customWidth="1"/>
    <col min="12609" max="12609" width="6" style="642" bestFit="1" customWidth="1"/>
    <col min="12610" max="12612" width="0" style="642" hidden="1" customWidth="1"/>
    <col min="12613" max="12613" width="6" style="642" bestFit="1" customWidth="1"/>
    <col min="12614" max="12614" width="6.85546875" style="642" bestFit="1" customWidth="1"/>
    <col min="12615" max="12615" width="7" style="642" bestFit="1" customWidth="1"/>
    <col min="12616" max="12616" width="6" style="642" bestFit="1" customWidth="1"/>
    <col min="12617" max="12617" width="4.42578125" style="642" bestFit="1" customWidth="1"/>
    <col min="12618" max="12618" width="6" style="642" bestFit="1" customWidth="1"/>
    <col min="12619" max="12619" width="6.28515625" style="642" bestFit="1" customWidth="1"/>
    <col min="12620" max="12626" width="4.85546875" style="642" bestFit="1" customWidth="1"/>
    <col min="12627" max="12627" width="5" style="642" bestFit="1" customWidth="1"/>
    <col min="12628" max="12628" width="4.85546875" style="642" bestFit="1" customWidth="1"/>
    <col min="12629" max="12629" width="4.42578125" style="642" bestFit="1" customWidth="1"/>
    <col min="12630" max="12630" width="5.140625" style="642" bestFit="1" customWidth="1"/>
    <col min="12631" max="12631" width="4.85546875" style="642" bestFit="1" customWidth="1"/>
    <col min="12632" max="12632" width="5" style="642" bestFit="1" customWidth="1"/>
    <col min="12633" max="12634" width="5.28515625" style="642" bestFit="1" customWidth="1"/>
    <col min="12635" max="12635" width="5" style="642" bestFit="1" customWidth="1"/>
    <col min="12636" max="12636" width="4.42578125" style="642" bestFit="1" customWidth="1"/>
    <col min="12637" max="12637" width="4.5703125" style="642" bestFit="1" customWidth="1"/>
    <col min="12638" max="12639" width="5.140625" style="642" bestFit="1" customWidth="1"/>
    <col min="12640" max="12640" width="4.85546875" style="642" bestFit="1" customWidth="1"/>
    <col min="12641" max="12641" width="5.42578125" style="642" bestFit="1" customWidth="1"/>
    <col min="12642" max="12642" width="0" style="642" hidden="1" customWidth="1"/>
    <col min="12643" max="12643" width="6.5703125" style="642" bestFit="1" customWidth="1"/>
    <col min="12644" max="12784" width="9.140625" style="642"/>
    <col min="12785" max="12785" width="6" style="642" customWidth="1"/>
    <col min="12786" max="12786" width="1.5703125" style="642" bestFit="1" customWidth="1"/>
    <col min="12787" max="12787" width="5.42578125" style="642" bestFit="1" customWidth="1"/>
    <col min="12788" max="12788" width="20.28515625" style="642" customWidth="1"/>
    <col min="12789" max="12789" width="7.28515625" style="642" customWidth="1"/>
    <col min="12790" max="12790" width="5.28515625" style="642" customWidth="1"/>
    <col min="12791" max="12791" width="6.5703125" style="642" customWidth="1"/>
    <col min="12792" max="12792" width="4.42578125" style="642" customWidth="1"/>
    <col min="12793" max="12793" width="8.28515625" style="642" customWidth="1"/>
    <col min="12794" max="12794" width="4.7109375" style="642" customWidth="1"/>
    <col min="12795" max="12795" width="5.7109375" style="642" customWidth="1"/>
    <col min="12796" max="12796" width="8" style="642" customWidth="1"/>
    <col min="12797" max="12797" width="6.85546875" style="642" customWidth="1"/>
    <col min="12798" max="12798" width="6.140625" style="642" customWidth="1"/>
    <col min="12799" max="12800" width="8.28515625" style="642" customWidth="1"/>
    <col min="12801" max="12802" width="5.85546875" style="642" customWidth="1"/>
    <col min="12803" max="12803" width="7" style="642" customWidth="1"/>
    <col min="12804" max="12804" width="5.85546875" style="642" customWidth="1"/>
    <col min="12805" max="12805" width="6.42578125" style="642" customWidth="1"/>
    <col min="12806" max="12806" width="1.7109375" style="642" customWidth="1"/>
    <col min="12807" max="12808" width="6.42578125" style="642" customWidth="1"/>
    <col min="12809" max="12809" width="1.7109375" style="642" customWidth="1"/>
    <col min="12810" max="12810" width="6.42578125" style="642" customWidth="1"/>
    <col min="12811" max="12811" width="6.85546875" style="642" customWidth="1"/>
    <col min="12812" max="12812" width="5.7109375" style="642" customWidth="1"/>
    <col min="12813" max="12813" width="3.28515625" style="642" customWidth="1"/>
    <col min="12814" max="12814" width="4" style="642" customWidth="1"/>
    <col min="12815" max="12815" width="14" style="642" customWidth="1"/>
    <col min="12816" max="12816" width="9.140625" style="642" customWidth="1"/>
    <col min="12817" max="12817" width="9.5703125" style="642" customWidth="1"/>
    <col min="12818" max="12818" width="1.5703125" style="642" customWidth="1"/>
    <col min="12819" max="12819" width="5.42578125" style="642" customWidth="1"/>
    <col min="12820" max="12820" width="19.140625" style="642" customWidth="1"/>
    <col min="12821" max="12821" width="7.28515625" style="642" customWidth="1"/>
    <col min="12822" max="12822" width="5.28515625" style="642" customWidth="1"/>
    <col min="12823" max="12823" width="4" style="642" customWidth="1"/>
    <col min="12824" max="12828" width="4.85546875" style="642" customWidth="1"/>
    <col min="12829" max="12829" width="6.85546875" style="642" customWidth="1"/>
    <col min="12830" max="12830" width="5.7109375" style="642" customWidth="1"/>
    <col min="12831" max="12831" width="7.7109375" style="642" customWidth="1"/>
    <col min="12832" max="12832" width="6.85546875" style="642" customWidth="1"/>
    <col min="12833" max="12833" width="5.140625" style="642" customWidth="1"/>
    <col min="12834" max="12834" width="7.85546875" style="642" customWidth="1"/>
    <col min="12835" max="12835" width="4.42578125" style="642" customWidth="1"/>
    <col min="12836" max="12836" width="6.85546875" style="642" customWidth="1"/>
    <col min="12837" max="12838" width="8" style="642" customWidth="1"/>
    <col min="12839" max="12839" width="6" style="642" customWidth="1"/>
    <col min="12840" max="12840" width="3.140625" style="642" customWidth="1"/>
    <col min="12841" max="12841" width="6" style="642" customWidth="1"/>
    <col min="12842" max="12842" width="5.5703125" style="642" customWidth="1"/>
    <col min="12843" max="12843" width="6.7109375" style="642" customWidth="1"/>
    <col min="12844" max="12844" width="6.85546875" style="642" customWidth="1"/>
    <col min="12845" max="12845" width="8.140625" style="642" customWidth="1"/>
    <col min="12846" max="12846" width="4.42578125" style="642" customWidth="1"/>
    <col min="12847" max="12847" width="7.140625" style="642" customWidth="1"/>
    <col min="12848" max="12848" width="6.5703125" style="642" customWidth="1"/>
    <col min="12849" max="12849" width="6.42578125" style="642" customWidth="1"/>
    <col min="12850" max="12850" width="8.28515625" style="642" customWidth="1"/>
    <col min="12851" max="12851" width="5.42578125" style="642" customWidth="1"/>
    <col min="12852" max="12852" width="7.5703125" style="642" customWidth="1"/>
    <col min="12853" max="12853" width="5.140625" style="642" customWidth="1"/>
    <col min="12854" max="12856" width="9.140625" style="642" customWidth="1"/>
    <col min="12857" max="12857" width="9.140625" style="642"/>
    <col min="12858" max="12858" width="19.7109375" style="642" customWidth="1"/>
    <col min="12859" max="12859" width="6.5703125" style="642" customWidth="1"/>
    <col min="12860" max="12860" width="3.5703125" style="642" bestFit="1" customWidth="1"/>
    <col min="12861" max="12861" width="6.85546875" style="642" bestFit="1" customWidth="1"/>
    <col min="12862" max="12864" width="5.85546875" style="642" customWidth="1"/>
    <col min="12865" max="12865" width="6" style="642" bestFit="1" customWidth="1"/>
    <col min="12866" max="12868" width="0" style="642" hidden="1" customWidth="1"/>
    <col min="12869" max="12869" width="6" style="642" bestFit="1" customWidth="1"/>
    <col min="12870" max="12870" width="6.85546875" style="642" bestFit="1" customWidth="1"/>
    <col min="12871" max="12871" width="7" style="642" bestFit="1" customWidth="1"/>
    <col min="12872" max="12872" width="6" style="642" bestFit="1" customWidth="1"/>
    <col min="12873" max="12873" width="4.42578125" style="642" bestFit="1" customWidth="1"/>
    <col min="12874" max="12874" width="6" style="642" bestFit="1" customWidth="1"/>
    <col min="12875" max="12875" width="6.28515625" style="642" bestFit="1" customWidth="1"/>
    <col min="12876" max="12882" width="4.85546875" style="642" bestFit="1" customWidth="1"/>
    <col min="12883" max="12883" width="5" style="642" bestFit="1" customWidth="1"/>
    <col min="12884" max="12884" width="4.85546875" style="642" bestFit="1" customWidth="1"/>
    <col min="12885" max="12885" width="4.42578125" style="642" bestFit="1" customWidth="1"/>
    <col min="12886" max="12886" width="5.140625" style="642" bestFit="1" customWidth="1"/>
    <col min="12887" max="12887" width="4.85546875" style="642" bestFit="1" customWidth="1"/>
    <col min="12888" max="12888" width="5" style="642" bestFit="1" customWidth="1"/>
    <col min="12889" max="12890" width="5.28515625" style="642" bestFit="1" customWidth="1"/>
    <col min="12891" max="12891" width="5" style="642" bestFit="1" customWidth="1"/>
    <col min="12892" max="12892" width="4.42578125" style="642" bestFit="1" customWidth="1"/>
    <col min="12893" max="12893" width="4.5703125" style="642" bestFit="1" customWidth="1"/>
    <col min="12894" max="12895" width="5.140625" style="642" bestFit="1" customWidth="1"/>
    <col min="12896" max="12896" width="4.85546875" style="642" bestFit="1" customWidth="1"/>
    <col min="12897" max="12897" width="5.42578125" style="642" bestFit="1" customWidth="1"/>
    <col min="12898" max="12898" width="0" style="642" hidden="1" customWidth="1"/>
    <col min="12899" max="12899" width="6.5703125" style="642" bestFit="1" customWidth="1"/>
    <col min="12900" max="13040" width="9.140625" style="642"/>
    <col min="13041" max="13041" width="6" style="642" customWidth="1"/>
    <col min="13042" max="13042" width="1.5703125" style="642" bestFit="1" customWidth="1"/>
    <col min="13043" max="13043" width="5.42578125" style="642" bestFit="1" customWidth="1"/>
    <col min="13044" max="13044" width="20.28515625" style="642" customWidth="1"/>
    <col min="13045" max="13045" width="7.28515625" style="642" customWidth="1"/>
    <col min="13046" max="13046" width="5.28515625" style="642" customWidth="1"/>
    <col min="13047" max="13047" width="6.5703125" style="642" customWidth="1"/>
    <col min="13048" max="13048" width="4.42578125" style="642" customWidth="1"/>
    <col min="13049" max="13049" width="8.28515625" style="642" customWidth="1"/>
    <col min="13050" max="13050" width="4.7109375" style="642" customWidth="1"/>
    <col min="13051" max="13051" width="5.7109375" style="642" customWidth="1"/>
    <col min="13052" max="13052" width="8" style="642" customWidth="1"/>
    <col min="13053" max="13053" width="6.85546875" style="642" customWidth="1"/>
    <col min="13054" max="13054" width="6.140625" style="642" customWidth="1"/>
    <col min="13055" max="13056" width="8.28515625" style="642" customWidth="1"/>
    <col min="13057" max="13058" width="5.85546875" style="642" customWidth="1"/>
    <col min="13059" max="13059" width="7" style="642" customWidth="1"/>
    <col min="13060" max="13060" width="5.85546875" style="642" customWidth="1"/>
    <col min="13061" max="13061" width="6.42578125" style="642" customWidth="1"/>
    <col min="13062" max="13062" width="1.7109375" style="642" customWidth="1"/>
    <col min="13063" max="13064" width="6.42578125" style="642" customWidth="1"/>
    <col min="13065" max="13065" width="1.7109375" style="642" customWidth="1"/>
    <col min="13066" max="13066" width="6.42578125" style="642" customWidth="1"/>
    <col min="13067" max="13067" width="6.85546875" style="642" customWidth="1"/>
    <col min="13068" max="13068" width="5.7109375" style="642" customWidth="1"/>
    <col min="13069" max="13069" width="3.28515625" style="642" customWidth="1"/>
    <col min="13070" max="13070" width="4" style="642" customWidth="1"/>
    <col min="13071" max="13071" width="14" style="642" customWidth="1"/>
    <col min="13072" max="13072" width="9.140625" style="642" customWidth="1"/>
    <col min="13073" max="13073" width="9.5703125" style="642" customWidth="1"/>
    <col min="13074" max="13074" width="1.5703125" style="642" customWidth="1"/>
    <col min="13075" max="13075" width="5.42578125" style="642" customWidth="1"/>
    <col min="13076" max="13076" width="19.140625" style="642" customWidth="1"/>
    <col min="13077" max="13077" width="7.28515625" style="642" customWidth="1"/>
    <col min="13078" max="13078" width="5.28515625" style="642" customWidth="1"/>
    <col min="13079" max="13079" width="4" style="642" customWidth="1"/>
    <col min="13080" max="13084" width="4.85546875" style="642" customWidth="1"/>
    <col min="13085" max="13085" width="6.85546875" style="642" customWidth="1"/>
    <col min="13086" max="13086" width="5.7109375" style="642" customWidth="1"/>
    <col min="13087" max="13087" width="7.7109375" style="642" customWidth="1"/>
    <col min="13088" max="13088" width="6.85546875" style="642" customWidth="1"/>
    <col min="13089" max="13089" width="5.140625" style="642" customWidth="1"/>
    <col min="13090" max="13090" width="7.85546875" style="642" customWidth="1"/>
    <col min="13091" max="13091" width="4.42578125" style="642" customWidth="1"/>
    <col min="13092" max="13092" width="6.85546875" style="642" customWidth="1"/>
    <col min="13093" max="13094" width="8" style="642" customWidth="1"/>
    <col min="13095" max="13095" width="6" style="642" customWidth="1"/>
    <col min="13096" max="13096" width="3.140625" style="642" customWidth="1"/>
    <col min="13097" max="13097" width="6" style="642" customWidth="1"/>
    <col min="13098" max="13098" width="5.5703125" style="642" customWidth="1"/>
    <col min="13099" max="13099" width="6.7109375" style="642" customWidth="1"/>
    <col min="13100" max="13100" width="6.85546875" style="642" customWidth="1"/>
    <col min="13101" max="13101" width="8.140625" style="642" customWidth="1"/>
    <col min="13102" max="13102" width="4.42578125" style="642" customWidth="1"/>
    <col min="13103" max="13103" width="7.140625" style="642" customWidth="1"/>
    <col min="13104" max="13104" width="6.5703125" style="642" customWidth="1"/>
    <col min="13105" max="13105" width="6.42578125" style="642" customWidth="1"/>
    <col min="13106" max="13106" width="8.28515625" style="642" customWidth="1"/>
    <col min="13107" max="13107" width="5.42578125" style="642" customWidth="1"/>
    <col min="13108" max="13108" width="7.5703125" style="642" customWidth="1"/>
    <col min="13109" max="13109" width="5.140625" style="642" customWidth="1"/>
    <col min="13110" max="13112" width="9.140625" style="642" customWidth="1"/>
    <col min="13113" max="13113" width="9.140625" style="642"/>
    <col min="13114" max="13114" width="19.7109375" style="642" customWidth="1"/>
    <col min="13115" max="13115" width="6.5703125" style="642" customWidth="1"/>
    <col min="13116" max="13116" width="3.5703125" style="642" bestFit="1" customWidth="1"/>
    <col min="13117" max="13117" width="6.85546875" style="642" bestFit="1" customWidth="1"/>
    <col min="13118" max="13120" width="5.85546875" style="642" customWidth="1"/>
    <col min="13121" max="13121" width="6" style="642" bestFit="1" customWidth="1"/>
    <col min="13122" max="13124" width="0" style="642" hidden="1" customWidth="1"/>
    <col min="13125" max="13125" width="6" style="642" bestFit="1" customWidth="1"/>
    <col min="13126" max="13126" width="6.85546875" style="642" bestFit="1" customWidth="1"/>
    <col min="13127" max="13127" width="7" style="642" bestFit="1" customWidth="1"/>
    <col min="13128" max="13128" width="6" style="642" bestFit="1" customWidth="1"/>
    <col min="13129" max="13129" width="4.42578125" style="642" bestFit="1" customWidth="1"/>
    <col min="13130" max="13130" width="6" style="642" bestFit="1" customWidth="1"/>
    <col min="13131" max="13131" width="6.28515625" style="642" bestFit="1" customWidth="1"/>
    <col min="13132" max="13138" width="4.85546875" style="642" bestFit="1" customWidth="1"/>
    <col min="13139" max="13139" width="5" style="642" bestFit="1" customWidth="1"/>
    <col min="13140" max="13140" width="4.85546875" style="642" bestFit="1" customWidth="1"/>
    <col min="13141" max="13141" width="4.42578125" style="642" bestFit="1" customWidth="1"/>
    <col min="13142" max="13142" width="5.140625" style="642" bestFit="1" customWidth="1"/>
    <col min="13143" max="13143" width="4.85546875" style="642" bestFit="1" customWidth="1"/>
    <col min="13144" max="13144" width="5" style="642" bestFit="1" customWidth="1"/>
    <col min="13145" max="13146" width="5.28515625" style="642" bestFit="1" customWidth="1"/>
    <col min="13147" max="13147" width="5" style="642" bestFit="1" customWidth="1"/>
    <col min="13148" max="13148" width="4.42578125" style="642" bestFit="1" customWidth="1"/>
    <col min="13149" max="13149" width="4.5703125" style="642" bestFit="1" customWidth="1"/>
    <col min="13150" max="13151" width="5.140625" style="642" bestFit="1" customWidth="1"/>
    <col min="13152" max="13152" width="4.85546875" style="642" bestFit="1" customWidth="1"/>
    <col min="13153" max="13153" width="5.42578125" style="642" bestFit="1" customWidth="1"/>
    <col min="13154" max="13154" width="0" style="642" hidden="1" customWidth="1"/>
    <col min="13155" max="13155" width="6.5703125" style="642" bestFit="1" customWidth="1"/>
    <col min="13156" max="13296" width="9.140625" style="642"/>
    <col min="13297" max="13297" width="6" style="642" customWidth="1"/>
    <col min="13298" max="13298" width="1.5703125" style="642" bestFit="1" customWidth="1"/>
    <col min="13299" max="13299" width="5.42578125" style="642" bestFit="1" customWidth="1"/>
    <col min="13300" max="13300" width="20.28515625" style="642" customWidth="1"/>
    <col min="13301" max="13301" width="7.28515625" style="642" customWidth="1"/>
    <col min="13302" max="13302" width="5.28515625" style="642" customWidth="1"/>
    <col min="13303" max="13303" width="6.5703125" style="642" customWidth="1"/>
    <col min="13304" max="13304" width="4.42578125" style="642" customWidth="1"/>
    <col min="13305" max="13305" width="8.28515625" style="642" customWidth="1"/>
    <col min="13306" max="13306" width="4.7109375" style="642" customWidth="1"/>
    <col min="13307" max="13307" width="5.7109375" style="642" customWidth="1"/>
    <col min="13308" max="13308" width="8" style="642" customWidth="1"/>
    <col min="13309" max="13309" width="6.85546875" style="642" customWidth="1"/>
    <col min="13310" max="13310" width="6.140625" style="642" customWidth="1"/>
    <col min="13311" max="13312" width="8.28515625" style="642" customWidth="1"/>
    <col min="13313" max="13314" width="5.85546875" style="642" customWidth="1"/>
    <col min="13315" max="13315" width="7" style="642" customWidth="1"/>
    <col min="13316" max="13316" width="5.85546875" style="642" customWidth="1"/>
    <col min="13317" max="13317" width="6.42578125" style="642" customWidth="1"/>
    <col min="13318" max="13318" width="1.7109375" style="642" customWidth="1"/>
    <col min="13319" max="13320" width="6.42578125" style="642" customWidth="1"/>
    <col min="13321" max="13321" width="1.7109375" style="642" customWidth="1"/>
    <col min="13322" max="13322" width="6.42578125" style="642" customWidth="1"/>
    <col min="13323" max="13323" width="6.85546875" style="642" customWidth="1"/>
    <col min="13324" max="13324" width="5.7109375" style="642" customWidth="1"/>
    <col min="13325" max="13325" width="3.28515625" style="642" customWidth="1"/>
    <col min="13326" max="13326" width="4" style="642" customWidth="1"/>
    <col min="13327" max="13327" width="14" style="642" customWidth="1"/>
    <col min="13328" max="13328" width="9.140625" style="642" customWidth="1"/>
    <col min="13329" max="13329" width="9.5703125" style="642" customWidth="1"/>
    <col min="13330" max="13330" width="1.5703125" style="642" customWidth="1"/>
    <col min="13331" max="13331" width="5.42578125" style="642" customWidth="1"/>
    <col min="13332" max="13332" width="19.140625" style="642" customWidth="1"/>
    <col min="13333" max="13333" width="7.28515625" style="642" customWidth="1"/>
    <col min="13334" max="13334" width="5.28515625" style="642" customWidth="1"/>
    <col min="13335" max="13335" width="4" style="642" customWidth="1"/>
    <col min="13336" max="13340" width="4.85546875" style="642" customWidth="1"/>
    <col min="13341" max="13341" width="6.85546875" style="642" customWidth="1"/>
    <col min="13342" max="13342" width="5.7109375" style="642" customWidth="1"/>
    <col min="13343" max="13343" width="7.7109375" style="642" customWidth="1"/>
    <col min="13344" max="13344" width="6.85546875" style="642" customWidth="1"/>
    <col min="13345" max="13345" width="5.140625" style="642" customWidth="1"/>
    <col min="13346" max="13346" width="7.85546875" style="642" customWidth="1"/>
    <col min="13347" max="13347" width="4.42578125" style="642" customWidth="1"/>
    <col min="13348" max="13348" width="6.85546875" style="642" customWidth="1"/>
    <col min="13349" max="13350" width="8" style="642" customWidth="1"/>
    <col min="13351" max="13351" width="6" style="642" customWidth="1"/>
    <col min="13352" max="13352" width="3.140625" style="642" customWidth="1"/>
    <col min="13353" max="13353" width="6" style="642" customWidth="1"/>
    <col min="13354" max="13354" width="5.5703125" style="642" customWidth="1"/>
    <col min="13355" max="13355" width="6.7109375" style="642" customWidth="1"/>
    <col min="13356" max="13356" width="6.85546875" style="642" customWidth="1"/>
    <col min="13357" max="13357" width="8.140625" style="642" customWidth="1"/>
    <col min="13358" max="13358" width="4.42578125" style="642" customWidth="1"/>
    <col min="13359" max="13359" width="7.140625" style="642" customWidth="1"/>
    <col min="13360" max="13360" width="6.5703125" style="642" customWidth="1"/>
    <col min="13361" max="13361" width="6.42578125" style="642" customWidth="1"/>
    <col min="13362" max="13362" width="8.28515625" style="642" customWidth="1"/>
    <col min="13363" max="13363" width="5.42578125" style="642" customWidth="1"/>
    <col min="13364" max="13364" width="7.5703125" style="642" customWidth="1"/>
    <col min="13365" max="13365" width="5.140625" style="642" customWidth="1"/>
    <col min="13366" max="13368" width="9.140625" style="642" customWidth="1"/>
    <col min="13369" max="13369" width="9.140625" style="642"/>
    <col min="13370" max="13370" width="19.7109375" style="642" customWidth="1"/>
    <col min="13371" max="13371" width="6.5703125" style="642" customWidth="1"/>
    <col min="13372" max="13372" width="3.5703125" style="642" bestFit="1" customWidth="1"/>
    <col min="13373" max="13373" width="6.85546875" style="642" bestFit="1" customWidth="1"/>
    <col min="13374" max="13376" width="5.85546875" style="642" customWidth="1"/>
    <col min="13377" max="13377" width="6" style="642" bestFit="1" customWidth="1"/>
    <col min="13378" max="13380" width="0" style="642" hidden="1" customWidth="1"/>
    <col min="13381" max="13381" width="6" style="642" bestFit="1" customWidth="1"/>
    <col min="13382" max="13382" width="6.85546875" style="642" bestFit="1" customWidth="1"/>
    <col min="13383" max="13383" width="7" style="642" bestFit="1" customWidth="1"/>
    <col min="13384" max="13384" width="6" style="642" bestFit="1" customWidth="1"/>
    <col min="13385" max="13385" width="4.42578125" style="642" bestFit="1" customWidth="1"/>
    <col min="13386" max="13386" width="6" style="642" bestFit="1" customWidth="1"/>
    <col min="13387" max="13387" width="6.28515625" style="642" bestFit="1" customWidth="1"/>
    <col min="13388" max="13394" width="4.85546875" style="642" bestFit="1" customWidth="1"/>
    <col min="13395" max="13395" width="5" style="642" bestFit="1" customWidth="1"/>
    <col min="13396" max="13396" width="4.85546875" style="642" bestFit="1" customWidth="1"/>
    <col min="13397" max="13397" width="4.42578125" style="642" bestFit="1" customWidth="1"/>
    <col min="13398" max="13398" width="5.140625" style="642" bestFit="1" customWidth="1"/>
    <col min="13399" max="13399" width="4.85546875" style="642" bestFit="1" customWidth="1"/>
    <col min="13400" max="13400" width="5" style="642" bestFit="1" customWidth="1"/>
    <col min="13401" max="13402" width="5.28515625" style="642" bestFit="1" customWidth="1"/>
    <col min="13403" max="13403" width="5" style="642" bestFit="1" customWidth="1"/>
    <col min="13404" max="13404" width="4.42578125" style="642" bestFit="1" customWidth="1"/>
    <col min="13405" max="13405" width="4.5703125" style="642" bestFit="1" customWidth="1"/>
    <col min="13406" max="13407" width="5.140625" style="642" bestFit="1" customWidth="1"/>
    <col min="13408" max="13408" width="4.85546875" style="642" bestFit="1" customWidth="1"/>
    <col min="13409" max="13409" width="5.42578125" style="642" bestFit="1" customWidth="1"/>
    <col min="13410" max="13410" width="0" style="642" hidden="1" customWidth="1"/>
    <col min="13411" max="13411" width="6.5703125" style="642" bestFit="1" customWidth="1"/>
    <col min="13412" max="13552" width="9.140625" style="642"/>
    <col min="13553" max="13553" width="6" style="642" customWidth="1"/>
    <col min="13554" max="13554" width="1.5703125" style="642" bestFit="1" customWidth="1"/>
    <col min="13555" max="13555" width="5.42578125" style="642" bestFit="1" customWidth="1"/>
    <col min="13556" max="13556" width="20.28515625" style="642" customWidth="1"/>
    <col min="13557" max="13557" width="7.28515625" style="642" customWidth="1"/>
    <col min="13558" max="13558" width="5.28515625" style="642" customWidth="1"/>
    <col min="13559" max="13559" width="6.5703125" style="642" customWidth="1"/>
    <col min="13560" max="13560" width="4.42578125" style="642" customWidth="1"/>
    <col min="13561" max="13561" width="8.28515625" style="642" customWidth="1"/>
    <col min="13562" max="13562" width="4.7109375" style="642" customWidth="1"/>
    <col min="13563" max="13563" width="5.7109375" style="642" customWidth="1"/>
    <col min="13564" max="13564" width="8" style="642" customWidth="1"/>
    <col min="13565" max="13565" width="6.85546875" style="642" customWidth="1"/>
    <col min="13566" max="13566" width="6.140625" style="642" customWidth="1"/>
    <col min="13567" max="13568" width="8.28515625" style="642" customWidth="1"/>
    <col min="13569" max="13570" width="5.85546875" style="642" customWidth="1"/>
    <col min="13571" max="13571" width="7" style="642" customWidth="1"/>
    <col min="13572" max="13572" width="5.85546875" style="642" customWidth="1"/>
    <col min="13573" max="13573" width="6.42578125" style="642" customWidth="1"/>
    <col min="13574" max="13574" width="1.7109375" style="642" customWidth="1"/>
    <col min="13575" max="13576" width="6.42578125" style="642" customWidth="1"/>
    <col min="13577" max="13577" width="1.7109375" style="642" customWidth="1"/>
    <col min="13578" max="13578" width="6.42578125" style="642" customWidth="1"/>
    <col min="13579" max="13579" width="6.85546875" style="642" customWidth="1"/>
    <col min="13580" max="13580" width="5.7109375" style="642" customWidth="1"/>
    <col min="13581" max="13581" width="3.28515625" style="642" customWidth="1"/>
    <col min="13582" max="13582" width="4" style="642" customWidth="1"/>
    <col min="13583" max="13583" width="14" style="642" customWidth="1"/>
    <col min="13584" max="13584" width="9.140625" style="642" customWidth="1"/>
    <col min="13585" max="13585" width="9.5703125" style="642" customWidth="1"/>
    <col min="13586" max="13586" width="1.5703125" style="642" customWidth="1"/>
    <col min="13587" max="13587" width="5.42578125" style="642" customWidth="1"/>
    <col min="13588" max="13588" width="19.140625" style="642" customWidth="1"/>
    <col min="13589" max="13589" width="7.28515625" style="642" customWidth="1"/>
    <col min="13590" max="13590" width="5.28515625" style="642" customWidth="1"/>
    <col min="13591" max="13591" width="4" style="642" customWidth="1"/>
    <col min="13592" max="13596" width="4.85546875" style="642" customWidth="1"/>
    <col min="13597" max="13597" width="6.85546875" style="642" customWidth="1"/>
    <col min="13598" max="13598" width="5.7109375" style="642" customWidth="1"/>
    <col min="13599" max="13599" width="7.7109375" style="642" customWidth="1"/>
    <col min="13600" max="13600" width="6.85546875" style="642" customWidth="1"/>
    <col min="13601" max="13601" width="5.140625" style="642" customWidth="1"/>
    <col min="13602" max="13602" width="7.85546875" style="642" customWidth="1"/>
    <col min="13603" max="13603" width="4.42578125" style="642" customWidth="1"/>
    <col min="13604" max="13604" width="6.85546875" style="642" customWidth="1"/>
    <col min="13605" max="13606" width="8" style="642" customWidth="1"/>
    <col min="13607" max="13607" width="6" style="642" customWidth="1"/>
    <col min="13608" max="13608" width="3.140625" style="642" customWidth="1"/>
    <col min="13609" max="13609" width="6" style="642" customWidth="1"/>
    <col min="13610" max="13610" width="5.5703125" style="642" customWidth="1"/>
    <col min="13611" max="13611" width="6.7109375" style="642" customWidth="1"/>
    <col min="13612" max="13612" width="6.85546875" style="642" customWidth="1"/>
    <col min="13613" max="13613" width="8.140625" style="642" customWidth="1"/>
    <col min="13614" max="13614" width="4.42578125" style="642" customWidth="1"/>
    <col min="13615" max="13615" width="7.140625" style="642" customWidth="1"/>
    <col min="13616" max="13616" width="6.5703125" style="642" customWidth="1"/>
    <col min="13617" max="13617" width="6.42578125" style="642" customWidth="1"/>
    <col min="13618" max="13618" width="8.28515625" style="642" customWidth="1"/>
    <col min="13619" max="13619" width="5.42578125" style="642" customWidth="1"/>
    <col min="13620" max="13620" width="7.5703125" style="642" customWidth="1"/>
    <col min="13621" max="13621" width="5.140625" style="642" customWidth="1"/>
    <col min="13622" max="13624" width="9.140625" style="642" customWidth="1"/>
    <col min="13625" max="13625" width="9.140625" style="642"/>
    <col min="13626" max="13626" width="19.7109375" style="642" customWidth="1"/>
    <col min="13627" max="13627" width="6.5703125" style="642" customWidth="1"/>
    <col min="13628" max="13628" width="3.5703125" style="642" bestFit="1" customWidth="1"/>
    <col min="13629" max="13629" width="6.85546875" style="642" bestFit="1" customWidth="1"/>
    <col min="13630" max="13632" width="5.85546875" style="642" customWidth="1"/>
    <col min="13633" max="13633" width="6" style="642" bestFit="1" customWidth="1"/>
    <col min="13634" max="13636" width="0" style="642" hidden="1" customWidth="1"/>
    <col min="13637" max="13637" width="6" style="642" bestFit="1" customWidth="1"/>
    <col min="13638" max="13638" width="6.85546875" style="642" bestFit="1" customWidth="1"/>
    <col min="13639" max="13639" width="7" style="642" bestFit="1" customWidth="1"/>
    <col min="13640" max="13640" width="6" style="642" bestFit="1" customWidth="1"/>
    <col min="13641" max="13641" width="4.42578125" style="642" bestFit="1" customWidth="1"/>
    <col min="13642" max="13642" width="6" style="642" bestFit="1" customWidth="1"/>
    <col min="13643" max="13643" width="6.28515625" style="642" bestFit="1" customWidth="1"/>
    <col min="13644" max="13650" width="4.85546875" style="642" bestFit="1" customWidth="1"/>
    <col min="13651" max="13651" width="5" style="642" bestFit="1" customWidth="1"/>
    <col min="13652" max="13652" width="4.85546875" style="642" bestFit="1" customWidth="1"/>
    <col min="13653" max="13653" width="4.42578125" style="642" bestFit="1" customWidth="1"/>
    <col min="13654" max="13654" width="5.140625" style="642" bestFit="1" customWidth="1"/>
    <col min="13655" max="13655" width="4.85546875" style="642" bestFit="1" customWidth="1"/>
    <col min="13656" max="13656" width="5" style="642" bestFit="1" customWidth="1"/>
    <col min="13657" max="13658" width="5.28515625" style="642" bestFit="1" customWidth="1"/>
    <col min="13659" max="13659" width="5" style="642" bestFit="1" customWidth="1"/>
    <col min="13660" max="13660" width="4.42578125" style="642" bestFit="1" customWidth="1"/>
    <col min="13661" max="13661" width="4.5703125" style="642" bestFit="1" customWidth="1"/>
    <col min="13662" max="13663" width="5.140625" style="642" bestFit="1" customWidth="1"/>
    <col min="13664" max="13664" width="4.85546875" style="642" bestFit="1" customWidth="1"/>
    <col min="13665" max="13665" width="5.42578125" style="642" bestFit="1" customWidth="1"/>
    <col min="13666" max="13666" width="0" style="642" hidden="1" customWidth="1"/>
    <col min="13667" max="13667" width="6.5703125" style="642" bestFit="1" customWidth="1"/>
    <col min="13668" max="13808" width="9.140625" style="642"/>
    <col min="13809" max="13809" width="6" style="642" customWidth="1"/>
    <col min="13810" max="13810" width="1.5703125" style="642" bestFit="1" customWidth="1"/>
    <col min="13811" max="13811" width="5.42578125" style="642" bestFit="1" customWidth="1"/>
    <col min="13812" max="13812" width="20.28515625" style="642" customWidth="1"/>
    <col min="13813" max="13813" width="7.28515625" style="642" customWidth="1"/>
    <col min="13814" max="13814" width="5.28515625" style="642" customWidth="1"/>
    <col min="13815" max="13815" width="6.5703125" style="642" customWidth="1"/>
    <col min="13816" max="13816" width="4.42578125" style="642" customWidth="1"/>
    <col min="13817" max="13817" width="8.28515625" style="642" customWidth="1"/>
    <col min="13818" max="13818" width="4.7109375" style="642" customWidth="1"/>
    <col min="13819" max="13819" width="5.7109375" style="642" customWidth="1"/>
    <col min="13820" max="13820" width="8" style="642" customWidth="1"/>
    <col min="13821" max="13821" width="6.85546875" style="642" customWidth="1"/>
    <col min="13822" max="13822" width="6.140625" style="642" customWidth="1"/>
    <col min="13823" max="13824" width="8.28515625" style="642" customWidth="1"/>
    <col min="13825" max="13826" width="5.85546875" style="642" customWidth="1"/>
    <col min="13827" max="13827" width="7" style="642" customWidth="1"/>
    <col min="13828" max="13828" width="5.85546875" style="642" customWidth="1"/>
    <col min="13829" max="13829" width="6.42578125" style="642" customWidth="1"/>
    <col min="13830" max="13830" width="1.7109375" style="642" customWidth="1"/>
    <col min="13831" max="13832" width="6.42578125" style="642" customWidth="1"/>
    <col min="13833" max="13833" width="1.7109375" style="642" customWidth="1"/>
    <col min="13834" max="13834" width="6.42578125" style="642" customWidth="1"/>
    <col min="13835" max="13835" width="6.85546875" style="642" customWidth="1"/>
    <col min="13836" max="13836" width="5.7109375" style="642" customWidth="1"/>
    <col min="13837" max="13837" width="3.28515625" style="642" customWidth="1"/>
    <col min="13838" max="13838" width="4" style="642" customWidth="1"/>
    <col min="13839" max="13839" width="14" style="642" customWidth="1"/>
    <col min="13840" max="13840" width="9.140625" style="642" customWidth="1"/>
    <col min="13841" max="13841" width="9.5703125" style="642" customWidth="1"/>
    <col min="13842" max="13842" width="1.5703125" style="642" customWidth="1"/>
    <col min="13843" max="13843" width="5.42578125" style="642" customWidth="1"/>
    <col min="13844" max="13844" width="19.140625" style="642" customWidth="1"/>
    <col min="13845" max="13845" width="7.28515625" style="642" customWidth="1"/>
    <col min="13846" max="13846" width="5.28515625" style="642" customWidth="1"/>
    <col min="13847" max="13847" width="4" style="642" customWidth="1"/>
    <col min="13848" max="13852" width="4.85546875" style="642" customWidth="1"/>
    <col min="13853" max="13853" width="6.85546875" style="642" customWidth="1"/>
    <col min="13854" max="13854" width="5.7109375" style="642" customWidth="1"/>
    <col min="13855" max="13855" width="7.7109375" style="642" customWidth="1"/>
    <col min="13856" max="13856" width="6.85546875" style="642" customWidth="1"/>
    <col min="13857" max="13857" width="5.140625" style="642" customWidth="1"/>
    <col min="13858" max="13858" width="7.85546875" style="642" customWidth="1"/>
    <col min="13859" max="13859" width="4.42578125" style="642" customWidth="1"/>
    <col min="13860" max="13860" width="6.85546875" style="642" customWidth="1"/>
    <col min="13861" max="13862" width="8" style="642" customWidth="1"/>
    <col min="13863" max="13863" width="6" style="642" customWidth="1"/>
    <col min="13864" max="13864" width="3.140625" style="642" customWidth="1"/>
    <col min="13865" max="13865" width="6" style="642" customWidth="1"/>
    <col min="13866" max="13866" width="5.5703125" style="642" customWidth="1"/>
    <col min="13867" max="13867" width="6.7109375" style="642" customWidth="1"/>
    <col min="13868" max="13868" width="6.85546875" style="642" customWidth="1"/>
    <col min="13869" max="13869" width="8.140625" style="642" customWidth="1"/>
    <col min="13870" max="13870" width="4.42578125" style="642" customWidth="1"/>
    <col min="13871" max="13871" width="7.140625" style="642" customWidth="1"/>
    <col min="13872" max="13872" width="6.5703125" style="642" customWidth="1"/>
    <col min="13873" max="13873" width="6.42578125" style="642" customWidth="1"/>
    <col min="13874" max="13874" width="8.28515625" style="642" customWidth="1"/>
    <col min="13875" max="13875" width="5.42578125" style="642" customWidth="1"/>
    <col min="13876" max="13876" width="7.5703125" style="642" customWidth="1"/>
    <col min="13877" max="13877" width="5.140625" style="642" customWidth="1"/>
    <col min="13878" max="13880" width="9.140625" style="642" customWidth="1"/>
    <col min="13881" max="13881" width="9.140625" style="642"/>
    <col min="13882" max="13882" width="19.7109375" style="642" customWidth="1"/>
    <col min="13883" max="13883" width="6.5703125" style="642" customWidth="1"/>
    <col min="13884" max="13884" width="3.5703125" style="642" bestFit="1" customWidth="1"/>
    <col min="13885" max="13885" width="6.85546875" style="642" bestFit="1" customWidth="1"/>
    <col min="13886" max="13888" width="5.85546875" style="642" customWidth="1"/>
    <col min="13889" max="13889" width="6" style="642" bestFit="1" customWidth="1"/>
    <col min="13890" max="13892" width="0" style="642" hidden="1" customWidth="1"/>
    <col min="13893" max="13893" width="6" style="642" bestFit="1" customWidth="1"/>
    <col min="13894" max="13894" width="6.85546875" style="642" bestFit="1" customWidth="1"/>
    <col min="13895" max="13895" width="7" style="642" bestFit="1" customWidth="1"/>
    <col min="13896" max="13896" width="6" style="642" bestFit="1" customWidth="1"/>
    <col min="13897" max="13897" width="4.42578125" style="642" bestFit="1" customWidth="1"/>
    <col min="13898" max="13898" width="6" style="642" bestFit="1" customWidth="1"/>
    <col min="13899" max="13899" width="6.28515625" style="642" bestFit="1" customWidth="1"/>
    <col min="13900" max="13906" width="4.85546875" style="642" bestFit="1" customWidth="1"/>
    <col min="13907" max="13907" width="5" style="642" bestFit="1" customWidth="1"/>
    <col min="13908" max="13908" width="4.85546875" style="642" bestFit="1" customWidth="1"/>
    <col min="13909" max="13909" width="4.42578125" style="642" bestFit="1" customWidth="1"/>
    <col min="13910" max="13910" width="5.140625" style="642" bestFit="1" customWidth="1"/>
    <col min="13911" max="13911" width="4.85546875" style="642" bestFit="1" customWidth="1"/>
    <col min="13912" max="13912" width="5" style="642" bestFit="1" customWidth="1"/>
    <col min="13913" max="13914" width="5.28515625" style="642" bestFit="1" customWidth="1"/>
    <col min="13915" max="13915" width="5" style="642" bestFit="1" customWidth="1"/>
    <col min="13916" max="13916" width="4.42578125" style="642" bestFit="1" customWidth="1"/>
    <col min="13917" max="13917" width="4.5703125" style="642" bestFit="1" customWidth="1"/>
    <col min="13918" max="13919" width="5.140625" style="642" bestFit="1" customWidth="1"/>
    <col min="13920" max="13920" width="4.85546875" style="642" bestFit="1" customWidth="1"/>
    <col min="13921" max="13921" width="5.42578125" style="642" bestFit="1" customWidth="1"/>
    <col min="13922" max="13922" width="0" style="642" hidden="1" customWidth="1"/>
    <col min="13923" max="13923" width="6.5703125" style="642" bestFit="1" customWidth="1"/>
    <col min="13924" max="14064" width="9.140625" style="642"/>
    <col min="14065" max="14065" width="6" style="642" customWidth="1"/>
    <col min="14066" max="14066" width="1.5703125" style="642" bestFit="1" customWidth="1"/>
    <col min="14067" max="14067" width="5.42578125" style="642" bestFit="1" customWidth="1"/>
    <col min="14068" max="14068" width="20.28515625" style="642" customWidth="1"/>
    <col min="14069" max="14069" width="7.28515625" style="642" customWidth="1"/>
    <col min="14070" max="14070" width="5.28515625" style="642" customWidth="1"/>
    <col min="14071" max="14071" width="6.5703125" style="642" customWidth="1"/>
    <col min="14072" max="14072" width="4.42578125" style="642" customWidth="1"/>
    <col min="14073" max="14073" width="8.28515625" style="642" customWidth="1"/>
    <col min="14074" max="14074" width="4.7109375" style="642" customWidth="1"/>
    <col min="14075" max="14075" width="5.7109375" style="642" customWidth="1"/>
    <col min="14076" max="14076" width="8" style="642" customWidth="1"/>
    <col min="14077" max="14077" width="6.85546875" style="642" customWidth="1"/>
    <col min="14078" max="14078" width="6.140625" style="642" customWidth="1"/>
    <col min="14079" max="14080" width="8.28515625" style="642" customWidth="1"/>
    <col min="14081" max="14082" width="5.85546875" style="642" customWidth="1"/>
    <col min="14083" max="14083" width="7" style="642" customWidth="1"/>
    <col min="14084" max="14084" width="5.85546875" style="642" customWidth="1"/>
    <col min="14085" max="14085" width="6.42578125" style="642" customWidth="1"/>
    <col min="14086" max="14086" width="1.7109375" style="642" customWidth="1"/>
    <col min="14087" max="14088" width="6.42578125" style="642" customWidth="1"/>
    <col min="14089" max="14089" width="1.7109375" style="642" customWidth="1"/>
    <col min="14090" max="14090" width="6.42578125" style="642" customWidth="1"/>
    <col min="14091" max="14091" width="6.85546875" style="642" customWidth="1"/>
    <col min="14092" max="14092" width="5.7109375" style="642" customWidth="1"/>
    <col min="14093" max="14093" width="3.28515625" style="642" customWidth="1"/>
    <col min="14094" max="14094" width="4" style="642" customWidth="1"/>
    <col min="14095" max="14095" width="14" style="642" customWidth="1"/>
    <col min="14096" max="14096" width="9.140625" style="642" customWidth="1"/>
    <col min="14097" max="14097" width="9.5703125" style="642" customWidth="1"/>
    <col min="14098" max="14098" width="1.5703125" style="642" customWidth="1"/>
    <col min="14099" max="14099" width="5.42578125" style="642" customWidth="1"/>
    <col min="14100" max="14100" width="19.140625" style="642" customWidth="1"/>
    <col min="14101" max="14101" width="7.28515625" style="642" customWidth="1"/>
    <col min="14102" max="14102" width="5.28515625" style="642" customWidth="1"/>
    <col min="14103" max="14103" width="4" style="642" customWidth="1"/>
    <col min="14104" max="14108" width="4.85546875" style="642" customWidth="1"/>
    <col min="14109" max="14109" width="6.85546875" style="642" customWidth="1"/>
    <col min="14110" max="14110" width="5.7109375" style="642" customWidth="1"/>
    <col min="14111" max="14111" width="7.7109375" style="642" customWidth="1"/>
    <col min="14112" max="14112" width="6.85546875" style="642" customWidth="1"/>
    <col min="14113" max="14113" width="5.140625" style="642" customWidth="1"/>
    <col min="14114" max="14114" width="7.85546875" style="642" customWidth="1"/>
    <col min="14115" max="14115" width="4.42578125" style="642" customWidth="1"/>
    <col min="14116" max="14116" width="6.85546875" style="642" customWidth="1"/>
    <col min="14117" max="14118" width="8" style="642" customWidth="1"/>
    <col min="14119" max="14119" width="6" style="642" customWidth="1"/>
    <col min="14120" max="14120" width="3.140625" style="642" customWidth="1"/>
    <col min="14121" max="14121" width="6" style="642" customWidth="1"/>
    <col min="14122" max="14122" width="5.5703125" style="642" customWidth="1"/>
    <col min="14123" max="14123" width="6.7109375" style="642" customWidth="1"/>
    <col min="14124" max="14124" width="6.85546875" style="642" customWidth="1"/>
    <col min="14125" max="14125" width="8.140625" style="642" customWidth="1"/>
    <col min="14126" max="14126" width="4.42578125" style="642" customWidth="1"/>
    <col min="14127" max="14127" width="7.140625" style="642" customWidth="1"/>
    <col min="14128" max="14128" width="6.5703125" style="642" customWidth="1"/>
    <col min="14129" max="14129" width="6.42578125" style="642" customWidth="1"/>
    <col min="14130" max="14130" width="8.28515625" style="642" customWidth="1"/>
    <col min="14131" max="14131" width="5.42578125" style="642" customWidth="1"/>
    <col min="14132" max="14132" width="7.5703125" style="642" customWidth="1"/>
    <col min="14133" max="14133" width="5.140625" style="642" customWidth="1"/>
    <col min="14134" max="14136" width="9.140625" style="642" customWidth="1"/>
    <col min="14137" max="14137" width="9.140625" style="642"/>
    <col min="14138" max="14138" width="19.7109375" style="642" customWidth="1"/>
    <col min="14139" max="14139" width="6.5703125" style="642" customWidth="1"/>
    <col min="14140" max="14140" width="3.5703125" style="642" bestFit="1" customWidth="1"/>
    <col min="14141" max="14141" width="6.85546875" style="642" bestFit="1" customWidth="1"/>
    <col min="14142" max="14144" width="5.85546875" style="642" customWidth="1"/>
    <col min="14145" max="14145" width="6" style="642" bestFit="1" customWidth="1"/>
    <col min="14146" max="14148" width="0" style="642" hidden="1" customWidth="1"/>
    <col min="14149" max="14149" width="6" style="642" bestFit="1" customWidth="1"/>
    <col min="14150" max="14150" width="6.85546875" style="642" bestFit="1" customWidth="1"/>
    <col min="14151" max="14151" width="7" style="642" bestFit="1" customWidth="1"/>
    <col min="14152" max="14152" width="6" style="642" bestFit="1" customWidth="1"/>
    <col min="14153" max="14153" width="4.42578125" style="642" bestFit="1" customWidth="1"/>
    <col min="14154" max="14154" width="6" style="642" bestFit="1" customWidth="1"/>
    <col min="14155" max="14155" width="6.28515625" style="642" bestFit="1" customWidth="1"/>
    <col min="14156" max="14162" width="4.85546875" style="642" bestFit="1" customWidth="1"/>
    <col min="14163" max="14163" width="5" style="642" bestFit="1" customWidth="1"/>
    <col min="14164" max="14164" width="4.85546875" style="642" bestFit="1" customWidth="1"/>
    <col min="14165" max="14165" width="4.42578125" style="642" bestFit="1" customWidth="1"/>
    <col min="14166" max="14166" width="5.140625" style="642" bestFit="1" customWidth="1"/>
    <col min="14167" max="14167" width="4.85546875" style="642" bestFit="1" customWidth="1"/>
    <col min="14168" max="14168" width="5" style="642" bestFit="1" customWidth="1"/>
    <col min="14169" max="14170" width="5.28515625" style="642" bestFit="1" customWidth="1"/>
    <col min="14171" max="14171" width="5" style="642" bestFit="1" customWidth="1"/>
    <col min="14172" max="14172" width="4.42578125" style="642" bestFit="1" customWidth="1"/>
    <col min="14173" max="14173" width="4.5703125" style="642" bestFit="1" customWidth="1"/>
    <col min="14174" max="14175" width="5.140625" style="642" bestFit="1" customWidth="1"/>
    <col min="14176" max="14176" width="4.85546875" style="642" bestFit="1" customWidth="1"/>
    <col min="14177" max="14177" width="5.42578125" style="642" bestFit="1" customWidth="1"/>
    <col min="14178" max="14178" width="0" style="642" hidden="1" customWidth="1"/>
    <col min="14179" max="14179" width="6.5703125" style="642" bestFit="1" customWidth="1"/>
    <col min="14180" max="14320" width="9.140625" style="642"/>
    <col min="14321" max="14321" width="6" style="642" customWidth="1"/>
    <col min="14322" max="14322" width="1.5703125" style="642" bestFit="1" customWidth="1"/>
    <col min="14323" max="14323" width="5.42578125" style="642" bestFit="1" customWidth="1"/>
    <col min="14324" max="14324" width="20.28515625" style="642" customWidth="1"/>
    <col min="14325" max="14325" width="7.28515625" style="642" customWidth="1"/>
    <col min="14326" max="14326" width="5.28515625" style="642" customWidth="1"/>
    <col min="14327" max="14327" width="6.5703125" style="642" customWidth="1"/>
    <col min="14328" max="14328" width="4.42578125" style="642" customWidth="1"/>
    <col min="14329" max="14329" width="8.28515625" style="642" customWidth="1"/>
    <col min="14330" max="14330" width="4.7109375" style="642" customWidth="1"/>
    <col min="14331" max="14331" width="5.7109375" style="642" customWidth="1"/>
    <col min="14332" max="14332" width="8" style="642" customWidth="1"/>
    <col min="14333" max="14333" width="6.85546875" style="642" customWidth="1"/>
    <col min="14334" max="14334" width="6.140625" style="642" customWidth="1"/>
    <col min="14335" max="14336" width="8.28515625" style="642" customWidth="1"/>
    <col min="14337" max="14338" width="5.85546875" style="642" customWidth="1"/>
    <col min="14339" max="14339" width="7" style="642" customWidth="1"/>
    <col min="14340" max="14340" width="5.85546875" style="642" customWidth="1"/>
    <col min="14341" max="14341" width="6.42578125" style="642" customWidth="1"/>
    <col min="14342" max="14342" width="1.7109375" style="642" customWidth="1"/>
    <col min="14343" max="14344" width="6.42578125" style="642" customWidth="1"/>
    <col min="14345" max="14345" width="1.7109375" style="642" customWidth="1"/>
    <col min="14346" max="14346" width="6.42578125" style="642" customWidth="1"/>
    <col min="14347" max="14347" width="6.85546875" style="642" customWidth="1"/>
    <col min="14348" max="14348" width="5.7109375" style="642" customWidth="1"/>
    <col min="14349" max="14349" width="3.28515625" style="642" customWidth="1"/>
    <col min="14350" max="14350" width="4" style="642" customWidth="1"/>
    <col min="14351" max="14351" width="14" style="642" customWidth="1"/>
    <col min="14352" max="14352" width="9.140625" style="642" customWidth="1"/>
    <col min="14353" max="14353" width="9.5703125" style="642" customWidth="1"/>
    <col min="14354" max="14354" width="1.5703125" style="642" customWidth="1"/>
    <col min="14355" max="14355" width="5.42578125" style="642" customWidth="1"/>
    <col min="14356" max="14356" width="19.140625" style="642" customWidth="1"/>
    <col min="14357" max="14357" width="7.28515625" style="642" customWidth="1"/>
    <col min="14358" max="14358" width="5.28515625" style="642" customWidth="1"/>
    <col min="14359" max="14359" width="4" style="642" customWidth="1"/>
    <col min="14360" max="14364" width="4.85546875" style="642" customWidth="1"/>
    <col min="14365" max="14365" width="6.85546875" style="642" customWidth="1"/>
    <col min="14366" max="14366" width="5.7109375" style="642" customWidth="1"/>
    <col min="14367" max="14367" width="7.7109375" style="642" customWidth="1"/>
    <col min="14368" max="14368" width="6.85546875" style="642" customWidth="1"/>
    <col min="14369" max="14369" width="5.140625" style="642" customWidth="1"/>
    <col min="14370" max="14370" width="7.85546875" style="642" customWidth="1"/>
    <col min="14371" max="14371" width="4.42578125" style="642" customWidth="1"/>
    <col min="14372" max="14372" width="6.85546875" style="642" customWidth="1"/>
    <col min="14373" max="14374" width="8" style="642" customWidth="1"/>
    <col min="14375" max="14375" width="6" style="642" customWidth="1"/>
    <col min="14376" max="14376" width="3.140625" style="642" customWidth="1"/>
    <col min="14377" max="14377" width="6" style="642" customWidth="1"/>
    <col min="14378" max="14378" width="5.5703125" style="642" customWidth="1"/>
    <col min="14379" max="14379" width="6.7109375" style="642" customWidth="1"/>
    <col min="14380" max="14380" width="6.85546875" style="642" customWidth="1"/>
    <col min="14381" max="14381" width="8.140625" style="642" customWidth="1"/>
    <col min="14382" max="14382" width="4.42578125" style="642" customWidth="1"/>
    <col min="14383" max="14383" width="7.140625" style="642" customWidth="1"/>
    <col min="14384" max="14384" width="6.5703125" style="642" customWidth="1"/>
    <col min="14385" max="14385" width="6.42578125" style="642" customWidth="1"/>
    <col min="14386" max="14386" width="8.28515625" style="642" customWidth="1"/>
    <col min="14387" max="14387" width="5.42578125" style="642" customWidth="1"/>
    <col min="14388" max="14388" width="7.5703125" style="642" customWidth="1"/>
    <col min="14389" max="14389" width="5.140625" style="642" customWidth="1"/>
    <col min="14390" max="14392" width="9.140625" style="642" customWidth="1"/>
    <col min="14393" max="14393" width="9.140625" style="642"/>
    <col min="14394" max="14394" width="19.7109375" style="642" customWidth="1"/>
    <col min="14395" max="14395" width="6.5703125" style="642" customWidth="1"/>
    <col min="14396" max="14396" width="3.5703125" style="642" bestFit="1" customWidth="1"/>
    <col min="14397" max="14397" width="6.85546875" style="642" bestFit="1" customWidth="1"/>
    <col min="14398" max="14400" width="5.85546875" style="642" customWidth="1"/>
    <col min="14401" max="14401" width="6" style="642" bestFit="1" customWidth="1"/>
    <col min="14402" max="14404" width="0" style="642" hidden="1" customWidth="1"/>
    <col min="14405" max="14405" width="6" style="642" bestFit="1" customWidth="1"/>
    <col min="14406" max="14406" width="6.85546875" style="642" bestFit="1" customWidth="1"/>
    <col min="14407" max="14407" width="7" style="642" bestFit="1" customWidth="1"/>
    <col min="14408" max="14408" width="6" style="642" bestFit="1" customWidth="1"/>
    <col min="14409" max="14409" width="4.42578125" style="642" bestFit="1" customWidth="1"/>
    <col min="14410" max="14410" width="6" style="642" bestFit="1" customWidth="1"/>
    <col min="14411" max="14411" width="6.28515625" style="642" bestFit="1" customWidth="1"/>
    <col min="14412" max="14418" width="4.85546875" style="642" bestFit="1" customWidth="1"/>
    <col min="14419" max="14419" width="5" style="642" bestFit="1" customWidth="1"/>
    <col min="14420" max="14420" width="4.85546875" style="642" bestFit="1" customWidth="1"/>
    <col min="14421" max="14421" width="4.42578125" style="642" bestFit="1" customWidth="1"/>
    <col min="14422" max="14422" width="5.140625" style="642" bestFit="1" customWidth="1"/>
    <col min="14423" max="14423" width="4.85546875" style="642" bestFit="1" customWidth="1"/>
    <col min="14424" max="14424" width="5" style="642" bestFit="1" customWidth="1"/>
    <col min="14425" max="14426" width="5.28515625" style="642" bestFit="1" customWidth="1"/>
    <col min="14427" max="14427" width="5" style="642" bestFit="1" customWidth="1"/>
    <col min="14428" max="14428" width="4.42578125" style="642" bestFit="1" customWidth="1"/>
    <col min="14429" max="14429" width="4.5703125" style="642" bestFit="1" customWidth="1"/>
    <col min="14430" max="14431" width="5.140625" style="642" bestFit="1" customWidth="1"/>
    <col min="14432" max="14432" width="4.85546875" style="642" bestFit="1" customWidth="1"/>
    <col min="14433" max="14433" width="5.42578125" style="642" bestFit="1" customWidth="1"/>
    <col min="14434" max="14434" width="0" style="642" hidden="1" customWidth="1"/>
    <col min="14435" max="14435" width="6.5703125" style="642" bestFit="1" customWidth="1"/>
    <col min="14436" max="14576" width="9.140625" style="642"/>
    <col min="14577" max="14577" width="6" style="642" customWidth="1"/>
    <col min="14578" max="14578" width="1.5703125" style="642" bestFit="1" customWidth="1"/>
    <col min="14579" max="14579" width="5.42578125" style="642" bestFit="1" customWidth="1"/>
    <col min="14580" max="14580" width="20.28515625" style="642" customWidth="1"/>
    <col min="14581" max="14581" width="7.28515625" style="642" customWidth="1"/>
    <col min="14582" max="14582" width="5.28515625" style="642" customWidth="1"/>
    <col min="14583" max="14583" width="6.5703125" style="642" customWidth="1"/>
    <col min="14584" max="14584" width="4.42578125" style="642" customWidth="1"/>
    <col min="14585" max="14585" width="8.28515625" style="642" customWidth="1"/>
    <col min="14586" max="14586" width="4.7109375" style="642" customWidth="1"/>
    <col min="14587" max="14587" width="5.7109375" style="642" customWidth="1"/>
    <col min="14588" max="14588" width="8" style="642" customWidth="1"/>
    <col min="14589" max="14589" width="6.85546875" style="642" customWidth="1"/>
    <col min="14590" max="14590" width="6.140625" style="642" customWidth="1"/>
    <col min="14591" max="14592" width="8.28515625" style="642" customWidth="1"/>
    <col min="14593" max="14594" width="5.85546875" style="642" customWidth="1"/>
    <col min="14595" max="14595" width="7" style="642" customWidth="1"/>
    <col min="14596" max="14596" width="5.85546875" style="642" customWidth="1"/>
    <col min="14597" max="14597" width="6.42578125" style="642" customWidth="1"/>
    <col min="14598" max="14598" width="1.7109375" style="642" customWidth="1"/>
    <col min="14599" max="14600" width="6.42578125" style="642" customWidth="1"/>
    <col min="14601" max="14601" width="1.7109375" style="642" customWidth="1"/>
    <col min="14602" max="14602" width="6.42578125" style="642" customWidth="1"/>
    <col min="14603" max="14603" width="6.85546875" style="642" customWidth="1"/>
    <col min="14604" max="14604" width="5.7109375" style="642" customWidth="1"/>
    <col min="14605" max="14605" width="3.28515625" style="642" customWidth="1"/>
    <col min="14606" max="14606" width="4" style="642" customWidth="1"/>
    <col min="14607" max="14607" width="14" style="642" customWidth="1"/>
    <col min="14608" max="14608" width="9.140625" style="642" customWidth="1"/>
    <col min="14609" max="14609" width="9.5703125" style="642" customWidth="1"/>
    <col min="14610" max="14610" width="1.5703125" style="642" customWidth="1"/>
    <col min="14611" max="14611" width="5.42578125" style="642" customWidth="1"/>
    <col min="14612" max="14612" width="19.140625" style="642" customWidth="1"/>
    <col min="14613" max="14613" width="7.28515625" style="642" customWidth="1"/>
    <col min="14614" max="14614" width="5.28515625" style="642" customWidth="1"/>
    <col min="14615" max="14615" width="4" style="642" customWidth="1"/>
    <col min="14616" max="14620" width="4.85546875" style="642" customWidth="1"/>
    <col min="14621" max="14621" width="6.85546875" style="642" customWidth="1"/>
    <col min="14622" max="14622" width="5.7109375" style="642" customWidth="1"/>
    <col min="14623" max="14623" width="7.7109375" style="642" customWidth="1"/>
    <col min="14624" max="14624" width="6.85546875" style="642" customWidth="1"/>
    <col min="14625" max="14625" width="5.140625" style="642" customWidth="1"/>
    <col min="14626" max="14626" width="7.85546875" style="642" customWidth="1"/>
    <col min="14627" max="14627" width="4.42578125" style="642" customWidth="1"/>
    <col min="14628" max="14628" width="6.85546875" style="642" customWidth="1"/>
    <col min="14629" max="14630" width="8" style="642" customWidth="1"/>
    <col min="14631" max="14631" width="6" style="642" customWidth="1"/>
    <col min="14632" max="14632" width="3.140625" style="642" customWidth="1"/>
    <col min="14633" max="14633" width="6" style="642" customWidth="1"/>
    <col min="14634" max="14634" width="5.5703125" style="642" customWidth="1"/>
    <col min="14635" max="14635" width="6.7109375" style="642" customWidth="1"/>
    <col min="14636" max="14636" width="6.85546875" style="642" customWidth="1"/>
    <col min="14637" max="14637" width="8.140625" style="642" customWidth="1"/>
    <col min="14638" max="14638" width="4.42578125" style="642" customWidth="1"/>
    <col min="14639" max="14639" width="7.140625" style="642" customWidth="1"/>
    <col min="14640" max="14640" width="6.5703125" style="642" customWidth="1"/>
    <col min="14641" max="14641" width="6.42578125" style="642" customWidth="1"/>
    <col min="14642" max="14642" width="8.28515625" style="642" customWidth="1"/>
    <col min="14643" max="14643" width="5.42578125" style="642" customWidth="1"/>
    <col min="14644" max="14644" width="7.5703125" style="642" customWidth="1"/>
    <col min="14645" max="14645" width="5.140625" style="642" customWidth="1"/>
    <col min="14646" max="14648" width="9.140625" style="642" customWidth="1"/>
    <col min="14649" max="14649" width="9.140625" style="642"/>
    <col min="14650" max="14650" width="19.7109375" style="642" customWidth="1"/>
    <col min="14651" max="14651" width="6.5703125" style="642" customWidth="1"/>
    <col min="14652" max="14652" width="3.5703125" style="642" bestFit="1" customWidth="1"/>
    <col min="14653" max="14653" width="6.85546875" style="642" bestFit="1" customWidth="1"/>
    <col min="14654" max="14656" width="5.85546875" style="642" customWidth="1"/>
    <col min="14657" max="14657" width="6" style="642" bestFit="1" customWidth="1"/>
    <col min="14658" max="14660" width="0" style="642" hidden="1" customWidth="1"/>
    <col min="14661" max="14661" width="6" style="642" bestFit="1" customWidth="1"/>
    <col min="14662" max="14662" width="6.85546875" style="642" bestFit="1" customWidth="1"/>
    <col min="14663" max="14663" width="7" style="642" bestFit="1" customWidth="1"/>
    <col min="14664" max="14664" width="6" style="642" bestFit="1" customWidth="1"/>
    <col min="14665" max="14665" width="4.42578125" style="642" bestFit="1" customWidth="1"/>
    <col min="14666" max="14666" width="6" style="642" bestFit="1" customWidth="1"/>
    <col min="14667" max="14667" width="6.28515625" style="642" bestFit="1" customWidth="1"/>
    <col min="14668" max="14674" width="4.85546875" style="642" bestFit="1" customWidth="1"/>
    <col min="14675" max="14675" width="5" style="642" bestFit="1" customWidth="1"/>
    <col min="14676" max="14676" width="4.85546875" style="642" bestFit="1" customWidth="1"/>
    <col min="14677" max="14677" width="4.42578125" style="642" bestFit="1" customWidth="1"/>
    <col min="14678" max="14678" width="5.140625" style="642" bestFit="1" customWidth="1"/>
    <col min="14679" max="14679" width="4.85546875" style="642" bestFit="1" customWidth="1"/>
    <col min="14680" max="14680" width="5" style="642" bestFit="1" customWidth="1"/>
    <col min="14681" max="14682" width="5.28515625" style="642" bestFit="1" customWidth="1"/>
    <col min="14683" max="14683" width="5" style="642" bestFit="1" customWidth="1"/>
    <col min="14684" max="14684" width="4.42578125" style="642" bestFit="1" customWidth="1"/>
    <col min="14685" max="14685" width="4.5703125" style="642" bestFit="1" customWidth="1"/>
    <col min="14686" max="14687" width="5.140625" style="642" bestFit="1" customWidth="1"/>
    <col min="14688" max="14688" width="4.85546875" style="642" bestFit="1" customWidth="1"/>
    <col min="14689" max="14689" width="5.42578125" style="642" bestFit="1" customWidth="1"/>
    <col min="14690" max="14690" width="0" style="642" hidden="1" customWidth="1"/>
    <col min="14691" max="14691" width="6.5703125" style="642" bestFit="1" customWidth="1"/>
    <col min="14692" max="14832" width="9.140625" style="642"/>
    <col min="14833" max="14833" width="6" style="642" customWidth="1"/>
    <col min="14834" max="14834" width="1.5703125" style="642" bestFit="1" customWidth="1"/>
    <col min="14835" max="14835" width="5.42578125" style="642" bestFit="1" customWidth="1"/>
    <col min="14836" max="14836" width="20.28515625" style="642" customWidth="1"/>
    <col min="14837" max="14837" width="7.28515625" style="642" customWidth="1"/>
    <col min="14838" max="14838" width="5.28515625" style="642" customWidth="1"/>
    <col min="14839" max="14839" width="6.5703125" style="642" customWidth="1"/>
    <col min="14840" max="14840" width="4.42578125" style="642" customWidth="1"/>
    <col min="14841" max="14841" width="8.28515625" style="642" customWidth="1"/>
    <col min="14842" max="14842" width="4.7109375" style="642" customWidth="1"/>
    <col min="14843" max="14843" width="5.7109375" style="642" customWidth="1"/>
    <col min="14844" max="14844" width="8" style="642" customWidth="1"/>
    <col min="14845" max="14845" width="6.85546875" style="642" customWidth="1"/>
    <col min="14846" max="14846" width="6.140625" style="642" customWidth="1"/>
    <col min="14847" max="14848" width="8.28515625" style="642" customWidth="1"/>
    <col min="14849" max="14850" width="5.85546875" style="642" customWidth="1"/>
    <col min="14851" max="14851" width="7" style="642" customWidth="1"/>
    <col min="14852" max="14852" width="5.85546875" style="642" customWidth="1"/>
    <col min="14853" max="14853" width="6.42578125" style="642" customWidth="1"/>
    <col min="14854" max="14854" width="1.7109375" style="642" customWidth="1"/>
    <col min="14855" max="14856" width="6.42578125" style="642" customWidth="1"/>
    <col min="14857" max="14857" width="1.7109375" style="642" customWidth="1"/>
    <col min="14858" max="14858" width="6.42578125" style="642" customWidth="1"/>
    <col min="14859" max="14859" width="6.85546875" style="642" customWidth="1"/>
    <col min="14860" max="14860" width="5.7109375" style="642" customWidth="1"/>
    <col min="14861" max="14861" width="3.28515625" style="642" customWidth="1"/>
    <col min="14862" max="14862" width="4" style="642" customWidth="1"/>
    <col min="14863" max="14863" width="14" style="642" customWidth="1"/>
    <col min="14864" max="14864" width="9.140625" style="642" customWidth="1"/>
    <col min="14865" max="14865" width="9.5703125" style="642" customWidth="1"/>
    <col min="14866" max="14866" width="1.5703125" style="642" customWidth="1"/>
    <col min="14867" max="14867" width="5.42578125" style="642" customWidth="1"/>
    <col min="14868" max="14868" width="19.140625" style="642" customWidth="1"/>
    <col min="14869" max="14869" width="7.28515625" style="642" customWidth="1"/>
    <col min="14870" max="14870" width="5.28515625" style="642" customWidth="1"/>
    <col min="14871" max="14871" width="4" style="642" customWidth="1"/>
    <col min="14872" max="14876" width="4.85546875" style="642" customWidth="1"/>
    <col min="14877" max="14877" width="6.85546875" style="642" customWidth="1"/>
    <col min="14878" max="14878" width="5.7109375" style="642" customWidth="1"/>
    <col min="14879" max="14879" width="7.7109375" style="642" customWidth="1"/>
    <col min="14880" max="14880" width="6.85546875" style="642" customWidth="1"/>
    <col min="14881" max="14881" width="5.140625" style="642" customWidth="1"/>
    <col min="14882" max="14882" width="7.85546875" style="642" customWidth="1"/>
    <col min="14883" max="14883" width="4.42578125" style="642" customWidth="1"/>
    <col min="14884" max="14884" width="6.85546875" style="642" customWidth="1"/>
    <col min="14885" max="14886" width="8" style="642" customWidth="1"/>
    <col min="14887" max="14887" width="6" style="642" customWidth="1"/>
    <col min="14888" max="14888" width="3.140625" style="642" customWidth="1"/>
    <col min="14889" max="14889" width="6" style="642" customWidth="1"/>
    <col min="14890" max="14890" width="5.5703125" style="642" customWidth="1"/>
    <col min="14891" max="14891" width="6.7109375" style="642" customWidth="1"/>
    <col min="14892" max="14892" width="6.85546875" style="642" customWidth="1"/>
    <col min="14893" max="14893" width="8.140625" style="642" customWidth="1"/>
    <col min="14894" max="14894" width="4.42578125" style="642" customWidth="1"/>
    <col min="14895" max="14895" width="7.140625" style="642" customWidth="1"/>
    <col min="14896" max="14896" width="6.5703125" style="642" customWidth="1"/>
    <col min="14897" max="14897" width="6.42578125" style="642" customWidth="1"/>
    <col min="14898" max="14898" width="8.28515625" style="642" customWidth="1"/>
    <col min="14899" max="14899" width="5.42578125" style="642" customWidth="1"/>
    <col min="14900" max="14900" width="7.5703125" style="642" customWidth="1"/>
    <col min="14901" max="14901" width="5.140625" style="642" customWidth="1"/>
    <col min="14902" max="14904" width="9.140625" style="642" customWidth="1"/>
    <col min="14905" max="14905" width="9.140625" style="642"/>
    <col min="14906" max="14906" width="19.7109375" style="642" customWidth="1"/>
    <col min="14907" max="14907" width="6.5703125" style="642" customWidth="1"/>
    <col min="14908" max="14908" width="3.5703125" style="642" bestFit="1" customWidth="1"/>
    <col min="14909" max="14909" width="6.85546875" style="642" bestFit="1" customWidth="1"/>
    <col min="14910" max="14912" width="5.85546875" style="642" customWidth="1"/>
    <col min="14913" max="14913" width="6" style="642" bestFit="1" customWidth="1"/>
    <col min="14914" max="14916" width="0" style="642" hidden="1" customWidth="1"/>
    <col min="14917" max="14917" width="6" style="642" bestFit="1" customWidth="1"/>
    <col min="14918" max="14918" width="6.85546875" style="642" bestFit="1" customWidth="1"/>
    <col min="14919" max="14919" width="7" style="642" bestFit="1" customWidth="1"/>
    <col min="14920" max="14920" width="6" style="642" bestFit="1" customWidth="1"/>
    <col min="14921" max="14921" width="4.42578125" style="642" bestFit="1" customWidth="1"/>
    <col min="14922" max="14922" width="6" style="642" bestFit="1" customWidth="1"/>
    <col min="14923" max="14923" width="6.28515625" style="642" bestFit="1" customWidth="1"/>
    <col min="14924" max="14930" width="4.85546875" style="642" bestFit="1" customWidth="1"/>
    <col min="14931" max="14931" width="5" style="642" bestFit="1" customWidth="1"/>
    <col min="14932" max="14932" width="4.85546875" style="642" bestFit="1" customWidth="1"/>
    <col min="14933" max="14933" width="4.42578125" style="642" bestFit="1" customWidth="1"/>
    <col min="14934" max="14934" width="5.140625" style="642" bestFit="1" customWidth="1"/>
    <col min="14935" max="14935" width="4.85546875" style="642" bestFit="1" customWidth="1"/>
    <col min="14936" max="14936" width="5" style="642" bestFit="1" customWidth="1"/>
    <col min="14937" max="14938" width="5.28515625" style="642" bestFit="1" customWidth="1"/>
    <col min="14939" max="14939" width="5" style="642" bestFit="1" customWidth="1"/>
    <col min="14940" max="14940" width="4.42578125" style="642" bestFit="1" customWidth="1"/>
    <col min="14941" max="14941" width="4.5703125" style="642" bestFit="1" customWidth="1"/>
    <col min="14942" max="14943" width="5.140625" style="642" bestFit="1" customWidth="1"/>
    <col min="14944" max="14944" width="4.85546875" style="642" bestFit="1" customWidth="1"/>
    <col min="14945" max="14945" width="5.42578125" style="642" bestFit="1" customWidth="1"/>
    <col min="14946" max="14946" width="0" style="642" hidden="1" customWidth="1"/>
    <col min="14947" max="14947" width="6.5703125" style="642" bestFit="1" customWidth="1"/>
    <col min="14948" max="15088" width="9.140625" style="642"/>
    <col min="15089" max="15089" width="6" style="642" customWidth="1"/>
    <col min="15090" max="15090" width="1.5703125" style="642" bestFit="1" customWidth="1"/>
    <col min="15091" max="15091" width="5.42578125" style="642" bestFit="1" customWidth="1"/>
    <col min="15092" max="15092" width="20.28515625" style="642" customWidth="1"/>
    <col min="15093" max="15093" width="7.28515625" style="642" customWidth="1"/>
    <col min="15094" max="15094" width="5.28515625" style="642" customWidth="1"/>
    <col min="15095" max="15095" width="6.5703125" style="642" customWidth="1"/>
    <col min="15096" max="15096" width="4.42578125" style="642" customWidth="1"/>
    <col min="15097" max="15097" width="8.28515625" style="642" customWidth="1"/>
    <col min="15098" max="15098" width="4.7109375" style="642" customWidth="1"/>
    <col min="15099" max="15099" width="5.7109375" style="642" customWidth="1"/>
    <col min="15100" max="15100" width="8" style="642" customWidth="1"/>
    <col min="15101" max="15101" width="6.85546875" style="642" customWidth="1"/>
    <col min="15102" max="15102" width="6.140625" style="642" customWidth="1"/>
    <col min="15103" max="15104" width="8.28515625" style="642" customWidth="1"/>
    <col min="15105" max="15106" width="5.85546875" style="642" customWidth="1"/>
    <col min="15107" max="15107" width="7" style="642" customWidth="1"/>
    <col min="15108" max="15108" width="5.85546875" style="642" customWidth="1"/>
    <col min="15109" max="15109" width="6.42578125" style="642" customWidth="1"/>
    <col min="15110" max="15110" width="1.7109375" style="642" customWidth="1"/>
    <col min="15111" max="15112" width="6.42578125" style="642" customWidth="1"/>
    <col min="15113" max="15113" width="1.7109375" style="642" customWidth="1"/>
    <col min="15114" max="15114" width="6.42578125" style="642" customWidth="1"/>
    <col min="15115" max="15115" width="6.85546875" style="642" customWidth="1"/>
    <col min="15116" max="15116" width="5.7109375" style="642" customWidth="1"/>
    <col min="15117" max="15117" width="3.28515625" style="642" customWidth="1"/>
    <col min="15118" max="15118" width="4" style="642" customWidth="1"/>
    <col min="15119" max="15119" width="14" style="642" customWidth="1"/>
    <col min="15120" max="15120" width="9.140625" style="642" customWidth="1"/>
    <col min="15121" max="15121" width="9.5703125" style="642" customWidth="1"/>
    <col min="15122" max="15122" width="1.5703125" style="642" customWidth="1"/>
    <col min="15123" max="15123" width="5.42578125" style="642" customWidth="1"/>
    <col min="15124" max="15124" width="19.140625" style="642" customWidth="1"/>
    <col min="15125" max="15125" width="7.28515625" style="642" customWidth="1"/>
    <col min="15126" max="15126" width="5.28515625" style="642" customWidth="1"/>
    <col min="15127" max="15127" width="4" style="642" customWidth="1"/>
    <col min="15128" max="15132" width="4.85546875" style="642" customWidth="1"/>
    <col min="15133" max="15133" width="6.85546875" style="642" customWidth="1"/>
    <col min="15134" max="15134" width="5.7109375" style="642" customWidth="1"/>
    <col min="15135" max="15135" width="7.7109375" style="642" customWidth="1"/>
    <col min="15136" max="15136" width="6.85546875" style="642" customWidth="1"/>
    <col min="15137" max="15137" width="5.140625" style="642" customWidth="1"/>
    <col min="15138" max="15138" width="7.85546875" style="642" customWidth="1"/>
    <col min="15139" max="15139" width="4.42578125" style="642" customWidth="1"/>
    <col min="15140" max="15140" width="6.85546875" style="642" customWidth="1"/>
    <col min="15141" max="15142" width="8" style="642" customWidth="1"/>
    <col min="15143" max="15143" width="6" style="642" customWidth="1"/>
    <col min="15144" max="15144" width="3.140625" style="642" customWidth="1"/>
    <col min="15145" max="15145" width="6" style="642" customWidth="1"/>
    <col min="15146" max="15146" width="5.5703125" style="642" customWidth="1"/>
    <col min="15147" max="15147" width="6.7109375" style="642" customWidth="1"/>
    <col min="15148" max="15148" width="6.85546875" style="642" customWidth="1"/>
    <col min="15149" max="15149" width="8.140625" style="642" customWidth="1"/>
    <col min="15150" max="15150" width="4.42578125" style="642" customWidth="1"/>
    <col min="15151" max="15151" width="7.140625" style="642" customWidth="1"/>
    <col min="15152" max="15152" width="6.5703125" style="642" customWidth="1"/>
    <col min="15153" max="15153" width="6.42578125" style="642" customWidth="1"/>
    <col min="15154" max="15154" width="8.28515625" style="642" customWidth="1"/>
    <col min="15155" max="15155" width="5.42578125" style="642" customWidth="1"/>
    <col min="15156" max="15156" width="7.5703125" style="642" customWidth="1"/>
    <col min="15157" max="15157" width="5.140625" style="642" customWidth="1"/>
    <col min="15158" max="15160" width="9.140625" style="642" customWidth="1"/>
    <col min="15161" max="15161" width="9.140625" style="642"/>
    <col min="15162" max="15162" width="19.7109375" style="642" customWidth="1"/>
    <col min="15163" max="15163" width="6.5703125" style="642" customWidth="1"/>
    <col min="15164" max="15164" width="3.5703125" style="642" bestFit="1" customWidth="1"/>
    <col min="15165" max="15165" width="6.85546875" style="642" bestFit="1" customWidth="1"/>
    <col min="15166" max="15168" width="5.85546875" style="642" customWidth="1"/>
    <col min="15169" max="15169" width="6" style="642" bestFit="1" customWidth="1"/>
    <col min="15170" max="15172" width="0" style="642" hidden="1" customWidth="1"/>
    <col min="15173" max="15173" width="6" style="642" bestFit="1" customWidth="1"/>
    <col min="15174" max="15174" width="6.85546875" style="642" bestFit="1" customWidth="1"/>
    <col min="15175" max="15175" width="7" style="642" bestFit="1" customWidth="1"/>
    <col min="15176" max="15176" width="6" style="642" bestFit="1" customWidth="1"/>
    <col min="15177" max="15177" width="4.42578125" style="642" bestFit="1" customWidth="1"/>
    <col min="15178" max="15178" width="6" style="642" bestFit="1" customWidth="1"/>
    <col min="15179" max="15179" width="6.28515625" style="642" bestFit="1" customWidth="1"/>
    <col min="15180" max="15186" width="4.85546875" style="642" bestFit="1" customWidth="1"/>
    <col min="15187" max="15187" width="5" style="642" bestFit="1" customWidth="1"/>
    <col min="15188" max="15188" width="4.85546875" style="642" bestFit="1" customWidth="1"/>
    <col min="15189" max="15189" width="4.42578125" style="642" bestFit="1" customWidth="1"/>
    <col min="15190" max="15190" width="5.140625" style="642" bestFit="1" customWidth="1"/>
    <col min="15191" max="15191" width="4.85546875" style="642" bestFit="1" customWidth="1"/>
    <col min="15192" max="15192" width="5" style="642" bestFit="1" customWidth="1"/>
    <col min="15193" max="15194" width="5.28515625" style="642" bestFit="1" customWidth="1"/>
    <col min="15195" max="15195" width="5" style="642" bestFit="1" customWidth="1"/>
    <col min="15196" max="15196" width="4.42578125" style="642" bestFit="1" customWidth="1"/>
    <col min="15197" max="15197" width="4.5703125" style="642" bestFit="1" customWidth="1"/>
    <col min="15198" max="15199" width="5.140625" style="642" bestFit="1" customWidth="1"/>
    <col min="15200" max="15200" width="4.85546875" style="642" bestFit="1" customWidth="1"/>
    <col min="15201" max="15201" width="5.42578125" style="642" bestFit="1" customWidth="1"/>
    <col min="15202" max="15202" width="0" style="642" hidden="1" customWidth="1"/>
    <col min="15203" max="15203" width="6.5703125" style="642" bestFit="1" customWidth="1"/>
    <col min="15204" max="15344" width="9.140625" style="642"/>
    <col min="15345" max="15345" width="6" style="642" customWidth="1"/>
    <col min="15346" max="15346" width="1.5703125" style="642" bestFit="1" customWidth="1"/>
    <col min="15347" max="15347" width="5.42578125" style="642" bestFit="1" customWidth="1"/>
    <col min="15348" max="15348" width="20.28515625" style="642" customWidth="1"/>
    <col min="15349" max="15349" width="7.28515625" style="642" customWidth="1"/>
    <col min="15350" max="15350" width="5.28515625" style="642" customWidth="1"/>
    <col min="15351" max="15351" width="6.5703125" style="642" customWidth="1"/>
    <col min="15352" max="15352" width="4.42578125" style="642" customWidth="1"/>
    <col min="15353" max="15353" width="8.28515625" style="642" customWidth="1"/>
    <col min="15354" max="15354" width="4.7109375" style="642" customWidth="1"/>
    <col min="15355" max="15355" width="5.7109375" style="642" customWidth="1"/>
    <col min="15356" max="15356" width="8" style="642" customWidth="1"/>
    <col min="15357" max="15357" width="6.85546875" style="642" customWidth="1"/>
    <col min="15358" max="15358" width="6.140625" style="642" customWidth="1"/>
    <col min="15359" max="15360" width="8.28515625" style="642" customWidth="1"/>
    <col min="15361" max="15362" width="5.85546875" style="642" customWidth="1"/>
    <col min="15363" max="15363" width="7" style="642" customWidth="1"/>
    <col min="15364" max="15364" width="5.85546875" style="642" customWidth="1"/>
    <col min="15365" max="15365" width="6.42578125" style="642" customWidth="1"/>
    <col min="15366" max="15366" width="1.7109375" style="642" customWidth="1"/>
    <col min="15367" max="15368" width="6.42578125" style="642" customWidth="1"/>
    <col min="15369" max="15369" width="1.7109375" style="642" customWidth="1"/>
    <col min="15370" max="15370" width="6.42578125" style="642" customWidth="1"/>
    <col min="15371" max="15371" width="6.85546875" style="642" customWidth="1"/>
    <col min="15372" max="15372" width="5.7109375" style="642" customWidth="1"/>
    <col min="15373" max="15373" width="3.28515625" style="642" customWidth="1"/>
    <col min="15374" max="15374" width="4" style="642" customWidth="1"/>
    <col min="15375" max="15375" width="14" style="642" customWidth="1"/>
    <col min="15376" max="15376" width="9.140625" style="642" customWidth="1"/>
    <col min="15377" max="15377" width="9.5703125" style="642" customWidth="1"/>
    <col min="15378" max="15378" width="1.5703125" style="642" customWidth="1"/>
    <col min="15379" max="15379" width="5.42578125" style="642" customWidth="1"/>
    <col min="15380" max="15380" width="19.140625" style="642" customWidth="1"/>
    <col min="15381" max="15381" width="7.28515625" style="642" customWidth="1"/>
    <col min="15382" max="15382" width="5.28515625" style="642" customWidth="1"/>
    <col min="15383" max="15383" width="4" style="642" customWidth="1"/>
    <col min="15384" max="15388" width="4.85546875" style="642" customWidth="1"/>
    <col min="15389" max="15389" width="6.85546875" style="642" customWidth="1"/>
    <col min="15390" max="15390" width="5.7109375" style="642" customWidth="1"/>
    <col min="15391" max="15391" width="7.7109375" style="642" customWidth="1"/>
    <col min="15392" max="15392" width="6.85546875" style="642" customWidth="1"/>
    <col min="15393" max="15393" width="5.140625" style="642" customWidth="1"/>
    <col min="15394" max="15394" width="7.85546875" style="642" customWidth="1"/>
    <col min="15395" max="15395" width="4.42578125" style="642" customWidth="1"/>
    <col min="15396" max="15396" width="6.85546875" style="642" customWidth="1"/>
    <col min="15397" max="15398" width="8" style="642" customWidth="1"/>
    <col min="15399" max="15399" width="6" style="642" customWidth="1"/>
    <col min="15400" max="15400" width="3.140625" style="642" customWidth="1"/>
    <col min="15401" max="15401" width="6" style="642" customWidth="1"/>
    <col min="15402" max="15402" width="5.5703125" style="642" customWidth="1"/>
    <col min="15403" max="15403" width="6.7109375" style="642" customWidth="1"/>
    <col min="15404" max="15404" width="6.85546875" style="642" customWidth="1"/>
    <col min="15405" max="15405" width="8.140625" style="642" customWidth="1"/>
    <col min="15406" max="15406" width="4.42578125" style="642" customWidth="1"/>
    <col min="15407" max="15407" width="7.140625" style="642" customWidth="1"/>
    <col min="15408" max="15408" width="6.5703125" style="642" customWidth="1"/>
    <col min="15409" max="15409" width="6.42578125" style="642" customWidth="1"/>
    <col min="15410" max="15410" width="8.28515625" style="642" customWidth="1"/>
    <col min="15411" max="15411" width="5.42578125" style="642" customWidth="1"/>
    <col min="15412" max="15412" width="7.5703125" style="642" customWidth="1"/>
    <col min="15413" max="15413" width="5.140625" style="642" customWidth="1"/>
    <col min="15414" max="15416" width="9.140625" style="642" customWidth="1"/>
    <col min="15417" max="15417" width="9.140625" style="642"/>
    <col min="15418" max="15418" width="19.7109375" style="642" customWidth="1"/>
    <col min="15419" max="15419" width="6.5703125" style="642" customWidth="1"/>
    <col min="15420" max="15420" width="3.5703125" style="642" bestFit="1" customWidth="1"/>
    <col min="15421" max="15421" width="6.85546875" style="642" bestFit="1" customWidth="1"/>
    <col min="15422" max="15424" width="5.85546875" style="642" customWidth="1"/>
    <col min="15425" max="15425" width="6" style="642" bestFit="1" customWidth="1"/>
    <col min="15426" max="15428" width="0" style="642" hidden="1" customWidth="1"/>
    <col min="15429" max="15429" width="6" style="642" bestFit="1" customWidth="1"/>
    <col min="15430" max="15430" width="6.85546875" style="642" bestFit="1" customWidth="1"/>
    <col min="15431" max="15431" width="7" style="642" bestFit="1" customWidth="1"/>
    <col min="15432" max="15432" width="6" style="642" bestFit="1" customWidth="1"/>
    <col min="15433" max="15433" width="4.42578125" style="642" bestFit="1" customWidth="1"/>
    <col min="15434" max="15434" width="6" style="642" bestFit="1" customWidth="1"/>
    <col min="15435" max="15435" width="6.28515625" style="642" bestFit="1" customWidth="1"/>
    <col min="15436" max="15442" width="4.85546875" style="642" bestFit="1" customWidth="1"/>
    <col min="15443" max="15443" width="5" style="642" bestFit="1" customWidth="1"/>
    <col min="15444" max="15444" width="4.85546875" style="642" bestFit="1" customWidth="1"/>
    <col min="15445" max="15445" width="4.42578125" style="642" bestFit="1" customWidth="1"/>
    <col min="15446" max="15446" width="5.140625" style="642" bestFit="1" customWidth="1"/>
    <col min="15447" max="15447" width="4.85546875" style="642" bestFit="1" customWidth="1"/>
    <col min="15448" max="15448" width="5" style="642" bestFit="1" customWidth="1"/>
    <col min="15449" max="15450" width="5.28515625" style="642" bestFit="1" customWidth="1"/>
    <col min="15451" max="15451" width="5" style="642" bestFit="1" customWidth="1"/>
    <col min="15452" max="15452" width="4.42578125" style="642" bestFit="1" customWidth="1"/>
    <col min="15453" max="15453" width="4.5703125" style="642" bestFit="1" customWidth="1"/>
    <col min="15454" max="15455" width="5.140625" style="642" bestFit="1" customWidth="1"/>
    <col min="15456" max="15456" width="4.85546875" style="642" bestFit="1" customWidth="1"/>
    <col min="15457" max="15457" width="5.42578125" style="642" bestFit="1" customWidth="1"/>
    <col min="15458" max="15458" width="0" style="642" hidden="1" customWidth="1"/>
    <col min="15459" max="15459" width="6.5703125" style="642" bestFit="1" customWidth="1"/>
    <col min="15460" max="15600" width="9.140625" style="642"/>
    <col min="15601" max="15601" width="6" style="642" customWidth="1"/>
    <col min="15602" max="15602" width="1.5703125" style="642" bestFit="1" customWidth="1"/>
    <col min="15603" max="15603" width="5.42578125" style="642" bestFit="1" customWidth="1"/>
    <col min="15604" max="15604" width="20.28515625" style="642" customWidth="1"/>
    <col min="15605" max="15605" width="7.28515625" style="642" customWidth="1"/>
    <col min="15606" max="15606" width="5.28515625" style="642" customWidth="1"/>
    <col min="15607" max="15607" width="6.5703125" style="642" customWidth="1"/>
    <col min="15608" max="15608" width="4.42578125" style="642" customWidth="1"/>
    <col min="15609" max="15609" width="8.28515625" style="642" customWidth="1"/>
    <col min="15610" max="15610" width="4.7109375" style="642" customWidth="1"/>
    <col min="15611" max="15611" width="5.7109375" style="642" customWidth="1"/>
    <col min="15612" max="15612" width="8" style="642" customWidth="1"/>
    <col min="15613" max="15613" width="6.85546875" style="642" customWidth="1"/>
    <col min="15614" max="15614" width="6.140625" style="642" customWidth="1"/>
    <col min="15615" max="15616" width="8.28515625" style="642" customWidth="1"/>
    <col min="15617" max="15618" width="5.85546875" style="642" customWidth="1"/>
    <col min="15619" max="15619" width="7" style="642" customWidth="1"/>
    <col min="15620" max="15620" width="5.85546875" style="642" customWidth="1"/>
    <col min="15621" max="15621" width="6.42578125" style="642" customWidth="1"/>
    <col min="15622" max="15622" width="1.7109375" style="642" customWidth="1"/>
    <col min="15623" max="15624" width="6.42578125" style="642" customWidth="1"/>
    <col min="15625" max="15625" width="1.7109375" style="642" customWidth="1"/>
    <col min="15626" max="15626" width="6.42578125" style="642" customWidth="1"/>
    <col min="15627" max="15627" width="6.85546875" style="642" customWidth="1"/>
    <col min="15628" max="15628" width="5.7109375" style="642" customWidth="1"/>
    <col min="15629" max="15629" width="3.28515625" style="642" customWidth="1"/>
    <col min="15630" max="15630" width="4" style="642" customWidth="1"/>
    <col min="15631" max="15631" width="14" style="642" customWidth="1"/>
    <col min="15632" max="15632" width="9.140625" style="642" customWidth="1"/>
    <col min="15633" max="15633" width="9.5703125" style="642" customWidth="1"/>
    <col min="15634" max="15634" width="1.5703125" style="642" customWidth="1"/>
    <col min="15635" max="15635" width="5.42578125" style="642" customWidth="1"/>
    <col min="15636" max="15636" width="19.140625" style="642" customWidth="1"/>
    <col min="15637" max="15637" width="7.28515625" style="642" customWidth="1"/>
    <col min="15638" max="15638" width="5.28515625" style="642" customWidth="1"/>
    <col min="15639" max="15639" width="4" style="642" customWidth="1"/>
    <col min="15640" max="15644" width="4.85546875" style="642" customWidth="1"/>
    <col min="15645" max="15645" width="6.85546875" style="642" customWidth="1"/>
    <col min="15646" max="15646" width="5.7109375" style="642" customWidth="1"/>
    <col min="15647" max="15647" width="7.7109375" style="642" customWidth="1"/>
    <col min="15648" max="15648" width="6.85546875" style="642" customWidth="1"/>
    <col min="15649" max="15649" width="5.140625" style="642" customWidth="1"/>
    <col min="15650" max="15650" width="7.85546875" style="642" customWidth="1"/>
    <col min="15651" max="15651" width="4.42578125" style="642" customWidth="1"/>
    <col min="15652" max="15652" width="6.85546875" style="642" customWidth="1"/>
    <col min="15653" max="15654" width="8" style="642" customWidth="1"/>
    <col min="15655" max="15655" width="6" style="642" customWidth="1"/>
    <col min="15656" max="15656" width="3.140625" style="642" customWidth="1"/>
    <col min="15657" max="15657" width="6" style="642" customWidth="1"/>
    <col min="15658" max="15658" width="5.5703125" style="642" customWidth="1"/>
    <col min="15659" max="15659" width="6.7109375" style="642" customWidth="1"/>
    <col min="15660" max="15660" width="6.85546875" style="642" customWidth="1"/>
    <col min="15661" max="15661" width="8.140625" style="642" customWidth="1"/>
    <col min="15662" max="15662" width="4.42578125" style="642" customWidth="1"/>
    <col min="15663" max="15663" width="7.140625" style="642" customWidth="1"/>
    <col min="15664" max="15664" width="6.5703125" style="642" customWidth="1"/>
    <col min="15665" max="15665" width="6.42578125" style="642" customWidth="1"/>
    <col min="15666" max="15666" width="8.28515625" style="642" customWidth="1"/>
    <col min="15667" max="15667" width="5.42578125" style="642" customWidth="1"/>
    <col min="15668" max="15668" width="7.5703125" style="642" customWidth="1"/>
    <col min="15669" max="15669" width="5.140625" style="642" customWidth="1"/>
    <col min="15670" max="15672" width="9.140625" style="642" customWidth="1"/>
    <col min="15673" max="15673" width="9.140625" style="642"/>
    <col min="15674" max="15674" width="19.7109375" style="642" customWidth="1"/>
    <col min="15675" max="15675" width="6.5703125" style="642" customWidth="1"/>
    <col min="15676" max="15676" width="3.5703125" style="642" bestFit="1" customWidth="1"/>
    <col min="15677" max="15677" width="6.85546875" style="642" bestFit="1" customWidth="1"/>
    <col min="15678" max="15680" width="5.85546875" style="642" customWidth="1"/>
    <col min="15681" max="15681" width="6" style="642" bestFit="1" customWidth="1"/>
    <col min="15682" max="15684" width="0" style="642" hidden="1" customWidth="1"/>
    <col min="15685" max="15685" width="6" style="642" bestFit="1" customWidth="1"/>
    <col min="15686" max="15686" width="6.85546875" style="642" bestFit="1" customWidth="1"/>
    <col min="15687" max="15687" width="7" style="642" bestFit="1" customWidth="1"/>
    <col min="15688" max="15688" width="6" style="642" bestFit="1" customWidth="1"/>
    <col min="15689" max="15689" width="4.42578125" style="642" bestFit="1" customWidth="1"/>
    <col min="15690" max="15690" width="6" style="642" bestFit="1" customWidth="1"/>
    <col min="15691" max="15691" width="6.28515625" style="642" bestFit="1" customWidth="1"/>
    <col min="15692" max="15698" width="4.85546875" style="642" bestFit="1" customWidth="1"/>
    <col min="15699" max="15699" width="5" style="642" bestFit="1" customWidth="1"/>
    <col min="15700" max="15700" width="4.85546875" style="642" bestFit="1" customWidth="1"/>
    <col min="15701" max="15701" width="4.42578125" style="642" bestFit="1" customWidth="1"/>
    <col min="15702" max="15702" width="5.140625" style="642" bestFit="1" customWidth="1"/>
    <col min="15703" max="15703" width="4.85546875" style="642" bestFit="1" customWidth="1"/>
    <col min="15704" max="15704" width="5" style="642" bestFit="1" customWidth="1"/>
    <col min="15705" max="15706" width="5.28515625" style="642" bestFit="1" customWidth="1"/>
    <col min="15707" max="15707" width="5" style="642" bestFit="1" customWidth="1"/>
    <col min="15708" max="15708" width="4.42578125" style="642" bestFit="1" customWidth="1"/>
    <col min="15709" max="15709" width="4.5703125" style="642" bestFit="1" customWidth="1"/>
    <col min="15710" max="15711" width="5.140625" style="642" bestFit="1" customWidth="1"/>
    <col min="15712" max="15712" width="4.85546875" style="642" bestFit="1" customWidth="1"/>
    <col min="15713" max="15713" width="5.42578125" style="642" bestFit="1" customWidth="1"/>
    <col min="15714" max="15714" width="0" style="642" hidden="1" customWidth="1"/>
    <col min="15715" max="15715" width="6.5703125" style="642" bestFit="1" customWidth="1"/>
    <col min="15716" max="15856" width="9.140625" style="642"/>
    <col min="15857" max="15857" width="6" style="642" customWidth="1"/>
    <col min="15858" max="15858" width="1.5703125" style="642" bestFit="1" customWidth="1"/>
    <col min="15859" max="15859" width="5.42578125" style="642" bestFit="1" customWidth="1"/>
    <col min="15860" max="15860" width="20.28515625" style="642" customWidth="1"/>
    <col min="15861" max="15861" width="7.28515625" style="642" customWidth="1"/>
    <col min="15862" max="15862" width="5.28515625" style="642" customWidth="1"/>
    <col min="15863" max="15863" width="6.5703125" style="642" customWidth="1"/>
    <col min="15864" max="15864" width="4.42578125" style="642" customWidth="1"/>
    <col min="15865" max="15865" width="8.28515625" style="642" customWidth="1"/>
    <col min="15866" max="15866" width="4.7109375" style="642" customWidth="1"/>
    <col min="15867" max="15867" width="5.7109375" style="642" customWidth="1"/>
    <col min="15868" max="15868" width="8" style="642" customWidth="1"/>
    <col min="15869" max="15869" width="6.85546875" style="642" customWidth="1"/>
    <col min="15870" max="15870" width="6.140625" style="642" customWidth="1"/>
    <col min="15871" max="15872" width="8.28515625" style="642" customWidth="1"/>
    <col min="15873" max="15874" width="5.85546875" style="642" customWidth="1"/>
    <col min="15875" max="15875" width="7" style="642" customWidth="1"/>
    <col min="15876" max="15876" width="5.85546875" style="642" customWidth="1"/>
    <col min="15877" max="15877" width="6.42578125" style="642" customWidth="1"/>
    <col min="15878" max="15878" width="1.7109375" style="642" customWidth="1"/>
    <col min="15879" max="15880" width="6.42578125" style="642" customWidth="1"/>
    <col min="15881" max="15881" width="1.7109375" style="642" customWidth="1"/>
    <col min="15882" max="15882" width="6.42578125" style="642" customWidth="1"/>
    <col min="15883" max="15883" width="6.85546875" style="642" customWidth="1"/>
    <col min="15884" max="15884" width="5.7109375" style="642" customWidth="1"/>
    <col min="15885" max="15885" width="3.28515625" style="642" customWidth="1"/>
    <col min="15886" max="15886" width="4" style="642" customWidth="1"/>
    <col min="15887" max="15887" width="14" style="642" customWidth="1"/>
    <col min="15888" max="15888" width="9.140625" style="642" customWidth="1"/>
    <col min="15889" max="15889" width="9.5703125" style="642" customWidth="1"/>
    <col min="15890" max="15890" width="1.5703125" style="642" customWidth="1"/>
    <col min="15891" max="15891" width="5.42578125" style="642" customWidth="1"/>
    <col min="15892" max="15892" width="19.140625" style="642" customWidth="1"/>
    <col min="15893" max="15893" width="7.28515625" style="642" customWidth="1"/>
    <col min="15894" max="15894" width="5.28515625" style="642" customWidth="1"/>
    <col min="15895" max="15895" width="4" style="642" customWidth="1"/>
    <col min="15896" max="15900" width="4.85546875" style="642" customWidth="1"/>
    <col min="15901" max="15901" width="6.85546875" style="642" customWidth="1"/>
    <col min="15902" max="15902" width="5.7109375" style="642" customWidth="1"/>
    <col min="15903" max="15903" width="7.7109375" style="642" customWidth="1"/>
    <col min="15904" max="15904" width="6.85546875" style="642" customWidth="1"/>
    <col min="15905" max="15905" width="5.140625" style="642" customWidth="1"/>
    <col min="15906" max="15906" width="7.85546875" style="642" customWidth="1"/>
    <col min="15907" max="15907" width="4.42578125" style="642" customWidth="1"/>
    <col min="15908" max="15908" width="6.85546875" style="642" customWidth="1"/>
    <col min="15909" max="15910" width="8" style="642" customWidth="1"/>
    <col min="15911" max="15911" width="6" style="642" customWidth="1"/>
    <col min="15912" max="15912" width="3.140625" style="642" customWidth="1"/>
    <col min="15913" max="15913" width="6" style="642" customWidth="1"/>
    <col min="15914" max="15914" width="5.5703125" style="642" customWidth="1"/>
    <col min="15915" max="15915" width="6.7109375" style="642" customWidth="1"/>
    <col min="15916" max="15916" width="6.85546875" style="642" customWidth="1"/>
    <col min="15917" max="15917" width="8.140625" style="642" customWidth="1"/>
    <col min="15918" max="15918" width="4.42578125" style="642" customWidth="1"/>
    <col min="15919" max="15919" width="7.140625" style="642" customWidth="1"/>
    <col min="15920" max="15920" width="6.5703125" style="642" customWidth="1"/>
    <col min="15921" max="15921" width="6.42578125" style="642" customWidth="1"/>
    <col min="15922" max="15922" width="8.28515625" style="642" customWidth="1"/>
    <col min="15923" max="15923" width="5.42578125" style="642" customWidth="1"/>
    <col min="15924" max="15924" width="7.5703125" style="642" customWidth="1"/>
    <col min="15925" max="15925" width="5.140625" style="642" customWidth="1"/>
    <col min="15926" max="15928" width="9.140625" style="642" customWidth="1"/>
    <col min="15929" max="15929" width="9.140625" style="642"/>
    <col min="15930" max="15930" width="19.7109375" style="642" customWidth="1"/>
    <col min="15931" max="15931" width="6.5703125" style="642" customWidth="1"/>
    <col min="15932" max="15932" width="3.5703125" style="642" bestFit="1" customWidth="1"/>
    <col min="15933" max="15933" width="6.85546875" style="642" bestFit="1" customWidth="1"/>
    <col min="15934" max="15936" width="5.85546875" style="642" customWidth="1"/>
    <col min="15937" max="15937" width="6" style="642" bestFit="1" customWidth="1"/>
    <col min="15938" max="15940" width="0" style="642" hidden="1" customWidth="1"/>
    <col min="15941" max="15941" width="6" style="642" bestFit="1" customWidth="1"/>
    <col min="15942" max="15942" width="6.85546875" style="642" bestFit="1" customWidth="1"/>
    <col min="15943" max="15943" width="7" style="642" bestFit="1" customWidth="1"/>
    <col min="15944" max="15944" width="6" style="642" bestFit="1" customWidth="1"/>
    <col min="15945" max="15945" width="4.42578125" style="642" bestFit="1" customWidth="1"/>
    <col min="15946" max="15946" width="6" style="642" bestFit="1" customWidth="1"/>
    <col min="15947" max="15947" width="6.28515625" style="642" bestFit="1" customWidth="1"/>
    <col min="15948" max="15954" width="4.85546875" style="642" bestFit="1" customWidth="1"/>
    <col min="15955" max="15955" width="5" style="642" bestFit="1" customWidth="1"/>
    <col min="15956" max="15956" width="4.85546875" style="642" bestFit="1" customWidth="1"/>
    <col min="15957" max="15957" width="4.42578125" style="642" bestFit="1" customWidth="1"/>
    <col min="15958" max="15958" width="5.140625" style="642" bestFit="1" customWidth="1"/>
    <col min="15959" max="15959" width="4.85546875" style="642" bestFit="1" customWidth="1"/>
    <col min="15960" max="15960" width="5" style="642" bestFit="1" customWidth="1"/>
    <col min="15961" max="15962" width="5.28515625" style="642" bestFit="1" customWidth="1"/>
    <col min="15963" max="15963" width="5" style="642" bestFit="1" customWidth="1"/>
    <col min="15964" max="15964" width="4.42578125" style="642" bestFit="1" customWidth="1"/>
    <col min="15965" max="15965" width="4.5703125" style="642" bestFit="1" customWidth="1"/>
    <col min="15966" max="15967" width="5.140625" style="642" bestFit="1" customWidth="1"/>
    <col min="15968" max="15968" width="4.85546875" style="642" bestFit="1" customWidth="1"/>
    <col min="15969" max="15969" width="5.42578125" style="642" bestFit="1" customWidth="1"/>
    <col min="15970" max="15970" width="0" style="642" hidden="1" customWidth="1"/>
    <col min="15971" max="15971" width="6.5703125" style="642" bestFit="1" customWidth="1"/>
    <col min="15972" max="16112" width="9.140625" style="642"/>
    <col min="16113" max="16113" width="6" style="642" customWidth="1"/>
    <col min="16114" max="16114" width="1.5703125" style="642" bestFit="1" customWidth="1"/>
    <col min="16115" max="16115" width="5.42578125" style="642" bestFit="1" customWidth="1"/>
    <col min="16116" max="16116" width="20.28515625" style="642" customWidth="1"/>
    <col min="16117" max="16117" width="7.28515625" style="642" customWidth="1"/>
    <col min="16118" max="16118" width="5.28515625" style="642" customWidth="1"/>
    <col min="16119" max="16119" width="6.5703125" style="642" customWidth="1"/>
    <col min="16120" max="16120" width="4.42578125" style="642" customWidth="1"/>
    <col min="16121" max="16121" width="8.28515625" style="642" customWidth="1"/>
    <col min="16122" max="16122" width="4.7109375" style="642" customWidth="1"/>
    <col min="16123" max="16123" width="5.7109375" style="642" customWidth="1"/>
    <col min="16124" max="16124" width="8" style="642" customWidth="1"/>
    <col min="16125" max="16125" width="6.85546875" style="642" customWidth="1"/>
    <col min="16126" max="16126" width="6.140625" style="642" customWidth="1"/>
    <col min="16127" max="16128" width="8.28515625" style="642" customWidth="1"/>
    <col min="16129" max="16130" width="5.85546875" style="642" customWidth="1"/>
    <col min="16131" max="16131" width="7" style="642" customWidth="1"/>
    <col min="16132" max="16132" width="5.85546875" style="642" customWidth="1"/>
    <col min="16133" max="16133" width="6.42578125" style="642" customWidth="1"/>
    <col min="16134" max="16134" width="1.7109375" style="642" customWidth="1"/>
    <col min="16135" max="16136" width="6.42578125" style="642" customWidth="1"/>
    <col min="16137" max="16137" width="1.7109375" style="642" customWidth="1"/>
    <col min="16138" max="16138" width="6.42578125" style="642" customWidth="1"/>
    <col min="16139" max="16139" width="6.85546875" style="642" customWidth="1"/>
    <col min="16140" max="16140" width="5.7109375" style="642" customWidth="1"/>
    <col min="16141" max="16141" width="3.28515625" style="642" customWidth="1"/>
    <col min="16142" max="16142" width="4" style="642" customWidth="1"/>
    <col min="16143" max="16143" width="14" style="642" customWidth="1"/>
    <col min="16144" max="16144" width="9.140625" style="642" customWidth="1"/>
    <col min="16145" max="16145" width="9.5703125" style="642" customWidth="1"/>
    <col min="16146" max="16146" width="1.5703125" style="642" customWidth="1"/>
    <col min="16147" max="16147" width="5.42578125" style="642" customWidth="1"/>
    <col min="16148" max="16148" width="19.140625" style="642" customWidth="1"/>
    <col min="16149" max="16149" width="7.28515625" style="642" customWidth="1"/>
    <col min="16150" max="16150" width="5.28515625" style="642" customWidth="1"/>
    <col min="16151" max="16151" width="4" style="642" customWidth="1"/>
    <col min="16152" max="16156" width="4.85546875" style="642" customWidth="1"/>
    <col min="16157" max="16157" width="6.85546875" style="642" customWidth="1"/>
    <col min="16158" max="16158" width="5.7109375" style="642" customWidth="1"/>
    <col min="16159" max="16159" width="7.7109375" style="642" customWidth="1"/>
    <col min="16160" max="16160" width="6.85546875" style="642" customWidth="1"/>
    <col min="16161" max="16161" width="5.140625" style="642" customWidth="1"/>
    <col min="16162" max="16162" width="7.85546875" style="642" customWidth="1"/>
    <col min="16163" max="16163" width="4.42578125" style="642" customWidth="1"/>
    <col min="16164" max="16164" width="6.85546875" style="642" customWidth="1"/>
    <col min="16165" max="16166" width="8" style="642" customWidth="1"/>
    <col min="16167" max="16167" width="6" style="642" customWidth="1"/>
    <col min="16168" max="16168" width="3.140625" style="642" customWidth="1"/>
    <col min="16169" max="16169" width="6" style="642" customWidth="1"/>
    <col min="16170" max="16170" width="5.5703125" style="642" customWidth="1"/>
    <col min="16171" max="16171" width="6.7109375" style="642" customWidth="1"/>
    <col min="16172" max="16172" width="6.85546875" style="642" customWidth="1"/>
    <col min="16173" max="16173" width="8.140625" style="642" customWidth="1"/>
    <col min="16174" max="16174" width="4.42578125" style="642" customWidth="1"/>
    <col min="16175" max="16175" width="7.140625" style="642" customWidth="1"/>
    <col min="16176" max="16176" width="6.5703125" style="642" customWidth="1"/>
    <col min="16177" max="16177" width="6.42578125" style="642" customWidth="1"/>
    <col min="16178" max="16178" width="8.28515625" style="642" customWidth="1"/>
    <col min="16179" max="16179" width="5.42578125" style="642" customWidth="1"/>
    <col min="16180" max="16180" width="7.5703125" style="642" customWidth="1"/>
    <col min="16181" max="16181" width="5.140625" style="642" customWidth="1"/>
    <col min="16182" max="16184" width="9.140625" style="642" customWidth="1"/>
    <col min="16185" max="16185" width="9.140625" style="642"/>
    <col min="16186" max="16186" width="19.7109375" style="642" customWidth="1"/>
    <col min="16187" max="16187" width="6.5703125" style="642" customWidth="1"/>
    <col min="16188" max="16188" width="3.5703125" style="642" bestFit="1" customWidth="1"/>
    <col min="16189" max="16189" width="6.85546875" style="642" bestFit="1" customWidth="1"/>
    <col min="16190" max="16192" width="5.85546875" style="642" customWidth="1"/>
    <col min="16193" max="16193" width="6" style="642" bestFit="1" customWidth="1"/>
    <col min="16194" max="16196" width="0" style="642" hidden="1" customWidth="1"/>
    <col min="16197" max="16197" width="6" style="642" bestFit="1" customWidth="1"/>
    <col min="16198" max="16198" width="6.85546875" style="642" bestFit="1" customWidth="1"/>
    <col min="16199" max="16199" width="7" style="642" bestFit="1" customWidth="1"/>
    <col min="16200" max="16200" width="6" style="642" bestFit="1" customWidth="1"/>
    <col min="16201" max="16201" width="4.42578125" style="642" bestFit="1" customWidth="1"/>
    <col min="16202" max="16202" width="6" style="642" bestFit="1" customWidth="1"/>
    <col min="16203" max="16203" width="6.28515625" style="642" bestFit="1" customWidth="1"/>
    <col min="16204" max="16210" width="4.85546875" style="642" bestFit="1" customWidth="1"/>
    <col min="16211" max="16211" width="5" style="642" bestFit="1" customWidth="1"/>
    <col min="16212" max="16212" width="4.85546875" style="642" bestFit="1" customWidth="1"/>
    <col min="16213" max="16213" width="4.42578125" style="642" bestFit="1" customWidth="1"/>
    <col min="16214" max="16214" width="5.140625" style="642" bestFit="1" customWidth="1"/>
    <col min="16215" max="16215" width="4.85546875" style="642" bestFit="1" customWidth="1"/>
    <col min="16216" max="16216" width="5" style="642" bestFit="1" customWidth="1"/>
    <col min="16217" max="16218" width="5.28515625" style="642" bestFit="1" customWidth="1"/>
    <col min="16219" max="16219" width="5" style="642" bestFit="1" customWidth="1"/>
    <col min="16220" max="16220" width="4.42578125" style="642" bestFit="1" customWidth="1"/>
    <col min="16221" max="16221" width="4.5703125" style="642" bestFit="1" customWidth="1"/>
    <col min="16222" max="16223" width="5.140625" style="642" bestFit="1" customWidth="1"/>
    <col min="16224" max="16224" width="4.85546875" style="642" bestFit="1" customWidth="1"/>
    <col min="16225" max="16225" width="5.42578125" style="642" bestFit="1" customWidth="1"/>
    <col min="16226" max="16226" width="0" style="642" hidden="1" customWidth="1"/>
    <col min="16227" max="16227" width="6.5703125" style="642" bestFit="1" customWidth="1"/>
    <col min="16228" max="16384" width="9.140625" style="642"/>
  </cols>
  <sheetData>
    <row r="1" spans="1:124" x14ac:dyDescent="0.25">
      <c r="A1" s="1176"/>
      <c r="B1" s="1067"/>
      <c r="C1" s="1067"/>
      <c r="D1" s="1067"/>
      <c r="E1" s="1067"/>
      <c r="F1" s="1067"/>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177"/>
      <c r="AF1" s="1177"/>
      <c r="AG1" s="1177"/>
      <c r="AH1" s="1177"/>
      <c r="AI1" s="1176"/>
      <c r="AJ1" s="1178"/>
      <c r="AK1" s="1178"/>
      <c r="AL1" s="1178"/>
      <c r="AM1" s="1067"/>
      <c r="AN1" s="1067"/>
      <c r="AO1" s="1067"/>
      <c r="AP1" s="1067"/>
      <c r="AQ1" s="1067"/>
      <c r="AR1" s="1068"/>
      <c r="AS1" s="1068"/>
      <c r="AT1" s="1068"/>
      <c r="AU1" s="1068"/>
      <c r="AV1" s="1068"/>
      <c r="AW1" s="1068"/>
      <c r="AX1" s="1068"/>
      <c r="AY1" s="1068"/>
      <c r="AZ1" s="1068"/>
      <c r="BA1" s="1068"/>
      <c r="BB1" s="1068"/>
      <c r="BC1" s="1068"/>
      <c r="BD1" s="1068"/>
      <c r="BE1" s="1068"/>
      <c r="BF1" s="1068"/>
      <c r="BG1" s="1068"/>
      <c r="BH1" s="1068"/>
      <c r="BI1" s="1068"/>
      <c r="BJ1" s="1068"/>
      <c r="BK1" s="1068"/>
      <c r="BL1" s="1068"/>
      <c r="BM1" s="1068"/>
      <c r="BN1" s="1068"/>
      <c r="BO1" s="1068"/>
      <c r="BP1" s="1068"/>
      <c r="BQ1" s="1068"/>
      <c r="BR1" s="1068"/>
      <c r="BS1" s="1068"/>
      <c r="BT1" s="1177"/>
      <c r="BU1" s="1176"/>
      <c r="BV1" s="1178"/>
      <c r="BW1" s="1178"/>
      <c r="BX1" s="1178"/>
      <c r="BY1" s="1178"/>
      <c r="BZ1" s="52"/>
      <c r="CA1" s="1178"/>
      <c r="CB1" s="1178"/>
      <c r="CC1" s="1067"/>
      <c r="CD1" s="1067"/>
      <c r="CE1" s="1067"/>
      <c r="CF1" s="1067"/>
      <c r="CG1" s="1067"/>
      <c r="CH1" s="1067"/>
      <c r="CI1" s="1067"/>
      <c r="CJ1" s="1068"/>
      <c r="CK1" s="1068"/>
      <c r="CL1" s="1068"/>
      <c r="CM1" s="1068"/>
      <c r="CN1" s="1068"/>
      <c r="CO1" s="1068"/>
      <c r="CP1" s="1068"/>
      <c r="CQ1" s="1068"/>
      <c r="CR1" s="1068"/>
      <c r="CS1" s="1068"/>
      <c r="CT1" s="1068"/>
      <c r="CU1" s="1068"/>
      <c r="CV1" s="1068"/>
      <c r="CW1" s="1068"/>
      <c r="CX1" s="1068"/>
      <c r="CY1" s="1068"/>
      <c r="CZ1" s="1068"/>
      <c r="DA1" s="1068"/>
      <c r="DB1" s="1068"/>
      <c r="DC1" s="1068"/>
      <c r="DD1" s="1068"/>
      <c r="DE1" s="1068"/>
      <c r="DF1" s="1068"/>
      <c r="DG1" s="1178"/>
      <c r="DH1" s="1178"/>
      <c r="DI1" s="1178"/>
      <c r="DJ1" s="1178"/>
      <c r="DK1" s="1178"/>
      <c r="DL1" s="1178"/>
      <c r="DM1" s="1178"/>
      <c r="DN1" s="1178"/>
      <c r="DO1" s="1178"/>
      <c r="DP1" s="1178"/>
      <c r="DQ1" s="1178"/>
      <c r="DR1" s="1178"/>
      <c r="DS1" s="1178"/>
      <c r="DT1" s="1176"/>
    </row>
    <row r="2" spans="1:124" x14ac:dyDescent="0.25">
      <c r="A2" s="1176"/>
      <c r="B2" s="1863" t="s">
        <v>40</v>
      </c>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5"/>
      <c r="AL2" s="1178"/>
      <c r="AM2" s="1866" t="s">
        <v>41</v>
      </c>
      <c r="AN2" s="1867"/>
      <c r="AO2" s="1867"/>
      <c r="AP2" s="1867"/>
      <c r="AQ2" s="1867"/>
      <c r="AR2" s="1867"/>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c r="BP2" s="1867"/>
      <c r="BQ2" s="1867"/>
      <c r="BR2" s="1867"/>
      <c r="BS2" s="1867"/>
      <c r="BT2" s="1867"/>
      <c r="BU2" s="1867"/>
      <c r="BV2" s="1867"/>
      <c r="BW2" s="1867"/>
      <c r="BX2" s="1867"/>
      <c r="BY2" s="1867"/>
      <c r="BZ2" s="52"/>
      <c r="CA2" s="1178"/>
      <c r="CB2" s="1178"/>
      <c r="CC2" s="1866" t="s">
        <v>41</v>
      </c>
      <c r="CD2" s="1867"/>
      <c r="CE2" s="1867"/>
      <c r="CF2" s="1867"/>
      <c r="CG2" s="1867"/>
      <c r="CH2" s="1867"/>
      <c r="CI2" s="1867"/>
      <c r="CJ2" s="1867"/>
      <c r="CK2" s="1867"/>
      <c r="CL2" s="1867"/>
      <c r="CM2" s="1867"/>
      <c r="CN2" s="1867"/>
      <c r="CO2" s="1867"/>
      <c r="CP2" s="1867"/>
      <c r="CQ2" s="1867"/>
      <c r="CR2" s="1867"/>
      <c r="CS2" s="1867"/>
      <c r="CT2" s="1867"/>
      <c r="CU2" s="1867"/>
      <c r="CV2" s="1867"/>
      <c r="CW2" s="1867"/>
      <c r="CX2" s="1867"/>
      <c r="CY2" s="1867"/>
      <c r="CZ2" s="1867"/>
      <c r="DA2" s="1867"/>
      <c r="DB2" s="1867"/>
      <c r="DC2" s="1867"/>
      <c r="DD2" s="1867"/>
      <c r="DE2" s="1867"/>
      <c r="DF2" s="1867"/>
      <c r="DG2" s="1867"/>
      <c r="DH2" s="1867"/>
      <c r="DI2" s="1867"/>
      <c r="DJ2" s="1867"/>
      <c r="DK2" s="1867"/>
      <c r="DL2" s="1867"/>
      <c r="DM2" s="1867"/>
      <c r="DN2" s="1867"/>
      <c r="DO2" s="1867"/>
      <c r="DP2" s="1867"/>
      <c r="DQ2" s="1867"/>
      <c r="DR2" s="1867"/>
      <c r="DS2" s="1868"/>
      <c r="DT2" s="1176"/>
    </row>
    <row r="3" spans="1:124" x14ac:dyDescent="0.25">
      <c r="A3" s="1176"/>
      <c r="B3" s="1179"/>
      <c r="C3" s="1180"/>
      <c r="D3" s="1180"/>
      <c r="E3" s="1180"/>
      <c r="F3" s="1180"/>
      <c r="G3" s="1181"/>
      <c r="H3" s="1181"/>
      <c r="I3" s="1181"/>
      <c r="J3" s="1181"/>
      <c r="K3" s="1181"/>
      <c r="L3" s="1181"/>
      <c r="M3" s="1181"/>
      <c r="N3" s="1181"/>
      <c r="O3" s="1181"/>
      <c r="P3" s="1181"/>
      <c r="Q3" s="1182"/>
      <c r="R3" s="1179"/>
      <c r="S3" s="1183"/>
      <c r="T3" s="1183"/>
      <c r="U3" s="1183"/>
      <c r="V3" s="1183"/>
      <c r="W3" s="1183"/>
      <c r="X3" s="1183"/>
      <c r="Y3" s="1183"/>
      <c r="Z3" s="1181"/>
      <c r="AA3" s="1181"/>
      <c r="AB3" s="1181"/>
      <c r="AC3" s="1181"/>
      <c r="AD3" s="1181"/>
      <c r="AE3" s="1181"/>
      <c r="AF3" s="1181"/>
      <c r="AG3" s="1181"/>
      <c r="AH3" s="1181"/>
      <c r="AI3" s="1184"/>
      <c r="AJ3" s="1184"/>
      <c r="AK3" s="1180"/>
      <c r="AL3" s="1069"/>
      <c r="AM3" s="1176"/>
      <c r="AN3" s="1176"/>
      <c r="AO3" s="1176"/>
      <c r="AP3" s="1176"/>
      <c r="AQ3" s="1176"/>
      <c r="AR3" s="1176"/>
      <c r="AS3" s="1176"/>
      <c r="AT3" s="1176"/>
      <c r="AU3" s="1176"/>
      <c r="AV3" s="1176"/>
      <c r="AW3" s="1176"/>
      <c r="AX3" s="1176"/>
      <c r="AY3" s="1176"/>
      <c r="AZ3" s="1176"/>
      <c r="BA3" s="1176"/>
      <c r="BB3" s="1176"/>
      <c r="BC3" s="1176"/>
      <c r="BD3" s="1176"/>
      <c r="BE3" s="1176"/>
      <c r="BF3" s="1176"/>
      <c r="BG3" s="1176"/>
      <c r="BH3" s="1176"/>
      <c r="BI3" s="1176"/>
      <c r="BJ3" s="1176"/>
      <c r="BK3" s="1176"/>
      <c r="BL3" s="1176"/>
      <c r="BM3" s="1176"/>
      <c r="BN3" s="1176"/>
      <c r="BO3" s="1176"/>
      <c r="BP3" s="1176"/>
      <c r="BQ3" s="1176"/>
      <c r="BR3" s="1176"/>
      <c r="BS3" s="1176"/>
      <c r="BT3" s="1176"/>
      <c r="BU3" s="1176"/>
      <c r="BV3" s="1176"/>
      <c r="BW3" s="1176"/>
      <c r="BX3" s="1176"/>
      <c r="BY3" s="1176"/>
      <c r="BZ3" s="52"/>
      <c r="CA3" s="1178"/>
      <c r="CB3" s="1178"/>
      <c r="CC3" s="1176"/>
      <c r="CD3" s="1176"/>
      <c r="CE3" s="1176"/>
      <c r="CF3" s="1176"/>
      <c r="CG3" s="1176"/>
      <c r="CH3" s="1176"/>
      <c r="CI3" s="1176"/>
      <c r="CJ3" s="1176"/>
      <c r="CK3" s="1176"/>
      <c r="CL3" s="1176"/>
      <c r="CM3" s="1176"/>
      <c r="CN3" s="1176"/>
      <c r="CO3" s="1176"/>
      <c r="CP3" s="1176"/>
      <c r="CQ3" s="1176"/>
      <c r="CR3" s="1176"/>
      <c r="CS3" s="1176"/>
      <c r="CT3" s="1176"/>
      <c r="CU3" s="1176"/>
      <c r="CV3" s="1069"/>
      <c r="CW3" s="1069"/>
      <c r="CX3" s="1069"/>
      <c r="CY3" s="1176"/>
      <c r="CZ3" s="1176"/>
      <c r="DA3" s="1176"/>
      <c r="DB3" s="1176"/>
      <c r="DC3" s="1176"/>
      <c r="DD3" s="1176"/>
      <c r="DE3" s="1176"/>
      <c r="DF3" s="1176"/>
      <c r="DG3" s="1176"/>
      <c r="DH3" s="1176"/>
      <c r="DI3" s="1176"/>
      <c r="DJ3" s="1176"/>
      <c r="DK3" s="1176"/>
      <c r="DL3" s="1176"/>
      <c r="DM3" s="1176"/>
      <c r="DN3" s="1176"/>
      <c r="DO3" s="1176"/>
      <c r="DP3" s="1176"/>
      <c r="DQ3" s="1176"/>
      <c r="DR3" s="1176"/>
      <c r="DS3" s="1176"/>
      <c r="DT3" s="1176"/>
    </row>
    <row r="4" spans="1:124" x14ac:dyDescent="0.25">
      <c r="A4" s="1185"/>
      <c r="B4" s="1803" t="s">
        <v>42</v>
      </c>
      <c r="C4" s="1804"/>
      <c r="D4" s="1804"/>
      <c r="E4" s="1804"/>
      <c r="F4" s="1804"/>
      <c r="G4" s="1804"/>
      <c r="H4" s="1844"/>
      <c r="I4" s="1831" t="s">
        <v>43</v>
      </c>
      <c r="J4" s="1804"/>
      <c r="K4" s="1804"/>
      <c r="L4" s="1804"/>
      <c r="M4" s="1804"/>
      <c r="N4" s="1844"/>
      <c r="O4" s="1843" t="s">
        <v>44</v>
      </c>
      <c r="P4" s="1819"/>
      <c r="Q4" s="1869"/>
      <c r="R4" s="1870" t="s">
        <v>45</v>
      </c>
      <c r="S4" s="1831" t="s">
        <v>46</v>
      </c>
      <c r="T4" s="1804"/>
      <c r="U4" s="1804"/>
      <c r="V4" s="1804"/>
      <c r="W4" s="1804"/>
      <c r="X4" s="1804"/>
      <c r="Y4" s="1804"/>
      <c r="Z4" s="1804"/>
      <c r="AA4" s="1804"/>
      <c r="AB4" s="1804"/>
      <c r="AC4" s="1804"/>
      <c r="AD4" s="1804"/>
      <c r="AE4" s="1804"/>
      <c r="AF4" s="1804"/>
      <c r="AG4" s="1804"/>
      <c r="AH4" s="1804"/>
      <c r="AI4" s="1804"/>
      <c r="AJ4" s="1804"/>
      <c r="AK4" s="1873" t="s">
        <v>47</v>
      </c>
      <c r="AL4" s="1069"/>
      <c r="AM4" s="1876" t="s">
        <v>48</v>
      </c>
      <c r="AN4" s="1877"/>
      <c r="AO4" s="1877"/>
      <c r="AP4" s="1877"/>
      <c r="AQ4" s="1877"/>
      <c r="AR4" s="1877"/>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c r="BP4" s="1877"/>
      <c r="BQ4" s="1877"/>
      <c r="BR4" s="1877"/>
      <c r="BS4" s="1877"/>
      <c r="BT4" s="1877"/>
      <c r="BU4" s="1877"/>
      <c r="BV4" s="1877"/>
      <c r="BW4" s="1877"/>
      <c r="BX4" s="1877"/>
      <c r="BY4" s="1878"/>
      <c r="BZ4" s="52"/>
      <c r="CA4" s="1178"/>
      <c r="CB4" s="1178"/>
      <c r="CC4" s="1876" t="s">
        <v>49</v>
      </c>
      <c r="CD4" s="1877"/>
      <c r="CE4" s="1877"/>
      <c r="CF4" s="1877"/>
      <c r="CG4" s="1877"/>
      <c r="CH4" s="1877"/>
      <c r="CI4" s="1877"/>
      <c r="CJ4" s="1877"/>
      <c r="CK4" s="1877"/>
      <c r="CL4" s="1877"/>
      <c r="CM4" s="1877"/>
      <c r="CN4" s="1877"/>
      <c r="CO4" s="1877"/>
      <c r="CP4" s="1877"/>
      <c r="CQ4" s="1877"/>
      <c r="CR4" s="1877"/>
      <c r="CS4" s="1877"/>
      <c r="CT4" s="1877"/>
      <c r="CU4" s="1877"/>
      <c r="CV4" s="1877"/>
      <c r="CW4" s="1877"/>
      <c r="CX4" s="1877"/>
      <c r="CY4" s="1877"/>
      <c r="CZ4" s="1877"/>
      <c r="DA4" s="1877"/>
      <c r="DB4" s="1877"/>
      <c r="DC4" s="1877"/>
      <c r="DD4" s="1877"/>
      <c r="DE4" s="1877"/>
      <c r="DF4" s="1877"/>
      <c r="DG4" s="1877"/>
      <c r="DH4" s="1877"/>
      <c r="DI4" s="1877"/>
      <c r="DJ4" s="1877"/>
      <c r="DK4" s="1877"/>
      <c r="DL4" s="1877"/>
      <c r="DM4" s="1877"/>
      <c r="DN4" s="1877"/>
      <c r="DO4" s="1877"/>
      <c r="DP4" s="1877"/>
      <c r="DQ4" s="1877"/>
      <c r="DR4" s="1877"/>
      <c r="DS4" s="1878"/>
      <c r="DT4" s="1176"/>
    </row>
    <row r="5" spans="1:124" x14ac:dyDescent="0.25">
      <c r="A5" s="1185"/>
      <c r="B5" s="1879" t="s">
        <v>50</v>
      </c>
      <c r="C5" s="1880"/>
      <c r="D5" s="1880"/>
      <c r="E5" s="1857" t="s">
        <v>7177</v>
      </c>
      <c r="F5" s="1857" t="s">
        <v>52</v>
      </c>
      <c r="G5" s="1857" t="s">
        <v>42</v>
      </c>
      <c r="H5" s="1857" t="s">
        <v>53</v>
      </c>
      <c r="I5" s="1858" t="s">
        <v>54</v>
      </c>
      <c r="J5" s="1812" t="s">
        <v>55</v>
      </c>
      <c r="K5" s="1860"/>
      <c r="L5" s="1813"/>
      <c r="M5" s="1861" t="s">
        <v>56</v>
      </c>
      <c r="N5" s="1862"/>
      <c r="O5" s="1858" t="s">
        <v>57</v>
      </c>
      <c r="P5" s="1857" t="s">
        <v>58</v>
      </c>
      <c r="Q5" s="1857" t="s">
        <v>59</v>
      </c>
      <c r="R5" s="1871"/>
      <c r="S5" s="1858" t="s">
        <v>60</v>
      </c>
      <c r="T5" s="1858" t="s">
        <v>61</v>
      </c>
      <c r="U5" s="1857" t="s">
        <v>62</v>
      </c>
      <c r="V5" s="1858" t="s">
        <v>63</v>
      </c>
      <c r="W5" s="1845" t="s">
        <v>64</v>
      </c>
      <c r="X5" s="1846"/>
      <c r="Y5" s="1847"/>
      <c r="Z5" s="1845" t="s">
        <v>65</v>
      </c>
      <c r="AA5" s="1846"/>
      <c r="AB5" s="1847"/>
      <c r="AC5" s="1845" t="s">
        <v>66</v>
      </c>
      <c r="AD5" s="1846"/>
      <c r="AE5" s="1847"/>
      <c r="AF5" s="1845" t="s">
        <v>6716</v>
      </c>
      <c r="AG5" s="1846"/>
      <c r="AH5" s="1847"/>
      <c r="AI5" s="1848" t="s">
        <v>67</v>
      </c>
      <c r="AJ5" s="1849"/>
      <c r="AK5" s="1874"/>
      <c r="AL5" s="1186"/>
      <c r="AM5" s="1803" t="s">
        <v>50</v>
      </c>
      <c r="AN5" s="1804"/>
      <c r="AO5" s="1844"/>
      <c r="AP5" s="1837" t="s">
        <v>7177</v>
      </c>
      <c r="AQ5" s="1837" t="s">
        <v>52</v>
      </c>
      <c r="AR5" s="1850" t="str">
        <f>G5</f>
        <v>Trecho</v>
      </c>
      <c r="AS5" s="1852" t="s">
        <v>67</v>
      </c>
      <c r="AT5" s="1853"/>
      <c r="AU5" s="1853"/>
      <c r="AV5" s="1853"/>
      <c r="AW5" s="1853"/>
      <c r="AX5" s="1854"/>
      <c r="AY5" s="1855" t="s">
        <v>2911</v>
      </c>
      <c r="AZ5" s="1856"/>
      <c r="BA5" s="1804" t="s">
        <v>66</v>
      </c>
      <c r="BB5" s="1844"/>
      <c r="BC5" s="1829" t="s">
        <v>68</v>
      </c>
      <c r="BD5" s="1831" t="s">
        <v>69</v>
      </c>
      <c r="BE5" s="1804"/>
      <c r="BF5" s="1804"/>
      <c r="BG5" s="1804"/>
      <c r="BH5" s="1805"/>
      <c r="BI5" s="1841" t="s">
        <v>70</v>
      </c>
      <c r="BJ5" s="1829" t="s">
        <v>71</v>
      </c>
      <c r="BK5" s="1843" t="s">
        <v>72</v>
      </c>
      <c r="BL5" s="1819"/>
      <c r="BM5" s="1819"/>
      <c r="BN5" s="1820"/>
      <c r="BO5" s="1821" t="s">
        <v>73</v>
      </c>
      <c r="BP5" s="1822"/>
      <c r="BQ5" s="1832" t="s">
        <v>74</v>
      </c>
      <c r="BR5" s="1833"/>
      <c r="BS5" s="1833"/>
      <c r="BT5" s="1833"/>
      <c r="BU5" s="1833"/>
      <c r="BV5" s="1833"/>
      <c r="BW5" s="1833"/>
      <c r="BX5" s="1833"/>
      <c r="BY5" s="1834"/>
      <c r="BZ5" s="52"/>
      <c r="CA5" s="1178"/>
      <c r="CB5" s="1178"/>
      <c r="CC5" s="1835" t="s">
        <v>75</v>
      </c>
      <c r="CD5" s="1837" t="str">
        <f>E5</f>
        <v>Via</v>
      </c>
      <c r="CE5" s="1837" t="s">
        <v>52</v>
      </c>
      <c r="CF5" s="1153"/>
      <c r="CG5" s="1837" t="s">
        <v>76</v>
      </c>
      <c r="CH5" s="1829" t="s">
        <v>77</v>
      </c>
      <c r="CI5" s="1829" t="s">
        <v>68</v>
      </c>
      <c r="CJ5" s="1829" t="s">
        <v>78</v>
      </c>
      <c r="CK5" s="1831" t="s">
        <v>69</v>
      </c>
      <c r="CL5" s="1804"/>
      <c r="CM5" s="1804"/>
      <c r="CN5" s="1804"/>
      <c r="CO5" s="1805"/>
      <c r="CP5" s="1814" t="s">
        <v>79</v>
      </c>
      <c r="CQ5" s="1816" t="s">
        <v>80</v>
      </c>
      <c r="CR5" s="1818" t="s">
        <v>72</v>
      </c>
      <c r="CS5" s="1819"/>
      <c r="CT5" s="1819"/>
      <c r="CU5" s="1820"/>
      <c r="CV5" s="1803" t="s">
        <v>81</v>
      </c>
      <c r="CW5" s="1804"/>
      <c r="CX5" s="1804"/>
      <c r="CY5" s="1804"/>
      <c r="CZ5" s="1804"/>
      <c r="DA5" s="1804"/>
      <c r="DB5" s="1804"/>
      <c r="DC5" s="1804"/>
      <c r="DD5" s="1804"/>
      <c r="DE5" s="1804"/>
      <c r="DF5" s="1804"/>
      <c r="DG5" s="1804"/>
      <c r="DH5" s="1804"/>
      <c r="DI5" s="1804"/>
      <c r="DJ5" s="1804"/>
      <c r="DK5" s="1804"/>
      <c r="DL5" s="1804"/>
      <c r="DM5" s="1804"/>
      <c r="DN5" s="1804"/>
      <c r="DO5" s="1804"/>
      <c r="DP5" s="1804"/>
      <c r="DQ5" s="1804"/>
      <c r="DR5" s="1804"/>
      <c r="DS5" s="1805"/>
      <c r="DT5" s="1176"/>
    </row>
    <row r="6" spans="1:124" ht="27" x14ac:dyDescent="0.25">
      <c r="A6" s="1185"/>
      <c r="B6" s="1152" t="s">
        <v>82</v>
      </c>
      <c r="C6" s="1154" t="s">
        <v>0</v>
      </c>
      <c r="D6" s="1154" t="s">
        <v>83</v>
      </c>
      <c r="E6" s="1838"/>
      <c r="F6" s="1838"/>
      <c r="G6" s="1838"/>
      <c r="H6" s="1838"/>
      <c r="I6" s="1859"/>
      <c r="J6" s="1155" t="s">
        <v>6717</v>
      </c>
      <c r="K6" s="1155" t="s">
        <v>84</v>
      </c>
      <c r="L6" s="1155" t="s">
        <v>85</v>
      </c>
      <c r="M6" s="1155" t="s">
        <v>86</v>
      </c>
      <c r="N6" s="1155" t="s">
        <v>87</v>
      </c>
      <c r="O6" s="1859"/>
      <c r="P6" s="1838"/>
      <c r="Q6" s="1838"/>
      <c r="R6" s="1872"/>
      <c r="S6" s="1859"/>
      <c r="T6" s="1859"/>
      <c r="U6" s="1838"/>
      <c r="V6" s="1859"/>
      <c r="W6" s="1187" t="s">
        <v>88</v>
      </c>
      <c r="X6" s="1187"/>
      <c r="Y6" s="1188" t="s">
        <v>89</v>
      </c>
      <c r="Z6" s="1187" t="s">
        <v>88</v>
      </c>
      <c r="AA6" s="1187"/>
      <c r="AB6" s="1188" t="s">
        <v>89</v>
      </c>
      <c r="AC6" s="1187" t="s">
        <v>88</v>
      </c>
      <c r="AD6" s="1187"/>
      <c r="AE6" s="1188" t="s">
        <v>89</v>
      </c>
      <c r="AF6" s="1187" t="s">
        <v>88</v>
      </c>
      <c r="AG6" s="1187"/>
      <c r="AH6" s="1188" t="s">
        <v>89</v>
      </c>
      <c r="AI6" s="1189" t="s">
        <v>90</v>
      </c>
      <c r="AJ6" s="1189" t="s">
        <v>91</v>
      </c>
      <c r="AK6" s="1875"/>
      <c r="AL6" s="1190"/>
      <c r="AM6" s="70" t="s">
        <v>82</v>
      </c>
      <c r="AN6" s="1158" t="s">
        <v>0</v>
      </c>
      <c r="AO6" s="1158" t="s">
        <v>83</v>
      </c>
      <c r="AP6" s="1838"/>
      <c r="AQ6" s="1838"/>
      <c r="AR6" s="1851">
        <f>G6</f>
        <v>0</v>
      </c>
      <c r="AS6" s="1191" t="s">
        <v>90</v>
      </c>
      <c r="AT6" s="71">
        <v>40</v>
      </c>
      <c r="AU6" s="1192">
        <v>60</v>
      </c>
      <c r="AV6" s="1192">
        <v>80</v>
      </c>
      <c r="AW6" s="1192">
        <v>100</v>
      </c>
      <c r="AX6" s="1193">
        <v>120</v>
      </c>
      <c r="AY6" s="1194" t="s">
        <v>3166</v>
      </c>
      <c r="AZ6" s="1195" t="s">
        <v>2912</v>
      </c>
      <c r="BA6" s="1192" t="s">
        <v>88</v>
      </c>
      <c r="BB6" s="71" t="s">
        <v>89</v>
      </c>
      <c r="BC6" s="1840"/>
      <c r="BD6" s="1188" t="s">
        <v>92</v>
      </c>
      <c r="BE6" s="1188" t="s">
        <v>93</v>
      </c>
      <c r="BF6" s="1806" t="s">
        <v>94</v>
      </c>
      <c r="BG6" s="1807"/>
      <c r="BH6" s="916" t="s">
        <v>95</v>
      </c>
      <c r="BI6" s="1842"/>
      <c r="BJ6" s="1840"/>
      <c r="BK6" s="1159" t="s">
        <v>96</v>
      </c>
      <c r="BL6" s="1808" t="s">
        <v>97</v>
      </c>
      <c r="BM6" s="1809"/>
      <c r="BN6" s="1156" t="s">
        <v>98</v>
      </c>
      <c r="BO6" s="72" t="s">
        <v>99</v>
      </c>
      <c r="BP6" s="73" t="s">
        <v>100</v>
      </c>
      <c r="BQ6" s="74" t="s">
        <v>101</v>
      </c>
      <c r="BR6" s="75" t="s">
        <v>15</v>
      </c>
      <c r="BS6" s="76" t="s">
        <v>102</v>
      </c>
      <c r="BT6" s="76" t="s">
        <v>103</v>
      </c>
      <c r="BU6" s="76" t="s">
        <v>104</v>
      </c>
      <c r="BV6" s="76" t="s">
        <v>105</v>
      </c>
      <c r="BW6" s="76" t="s">
        <v>106</v>
      </c>
      <c r="BX6" s="76" t="s">
        <v>107</v>
      </c>
      <c r="BY6" s="77" t="s">
        <v>108</v>
      </c>
      <c r="BZ6" s="52"/>
      <c r="CA6" s="917"/>
      <c r="CB6" s="1178"/>
      <c r="CC6" s="1836"/>
      <c r="CD6" s="1838">
        <f>E6</f>
        <v>0</v>
      </c>
      <c r="CE6" s="1839"/>
      <c r="CF6" s="1157"/>
      <c r="CG6" s="1839"/>
      <c r="CH6" s="1830"/>
      <c r="CI6" s="1830"/>
      <c r="CJ6" s="1830"/>
      <c r="CK6" s="756" t="s">
        <v>92</v>
      </c>
      <c r="CL6" s="1157" t="s">
        <v>93</v>
      </c>
      <c r="CM6" s="1810" t="s">
        <v>94</v>
      </c>
      <c r="CN6" s="1811"/>
      <c r="CO6" s="755" t="s">
        <v>95</v>
      </c>
      <c r="CP6" s="1815"/>
      <c r="CQ6" s="1817"/>
      <c r="CR6" s="756" t="s">
        <v>96</v>
      </c>
      <c r="CS6" s="1812" t="s">
        <v>97</v>
      </c>
      <c r="CT6" s="1813"/>
      <c r="CU6" s="755" t="s">
        <v>98</v>
      </c>
      <c r="CV6" s="704" t="str">
        <f>DZ23</f>
        <v>BLS 01</v>
      </c>
      <c r="CW6" s="705" t="str">
        <f>EA23</f>
        <v>BLS 02</v>
      </c>
      <c r="CX6" s="705" t="str">
        <f>EB23</f>
        <v>BLC 02</v>
      </c>
      <c r="CY6" s="705" t="str">
        <f>EC23</f>
        <v>BL IV</v>
      </c>
      <c r="CZ6" s="705" t="str">
        <f>EJ23</f>
        <v>CLP 03</v>
      </c>
      <c r="DA6" s="705" t="str">
        <f>EK23</f>
        <v>CLP 04</v>
      </c>
      <c r="DB6" s="705" t="str">
        <f>EL23</f>
        <v>PVI 03</v>
      </c>
      <c r="DC6" s="705" t="str">
        <f>EM23</f>
        <v>PVI 04</v>
      </c>
      <c r="DD6" s="705" t="str">
        <f>EO23</f>
        <v>PVI 06</v>
      </c>
      <c r="DE6" s="705" t="s">
        <v>110</v>
      </c>
      <c r="DF6" s="705" t="str">
        <f>EI23</f>
        <v>BL =&gt; PV</v>
      </c>
      <c r="DG6" s="705" t="str">
        <f>ED23</f>
        <v>BC I</v>
      </c>
      <c r="DH6" s="705" t="str">
        <f>EE23</f>
        <v>BC II</v>
      </c>
      <c r="DI6" s="705" t="str">
        <f>EF23</f>
        <v>BC III</v>
      </c>
      <c r="DJ6" s="705" t="str">
        <f>EG23</f>
        <v>BC IV</v>
      </c>
      <c r="DK6" s="705" t="str">
        <f>EH23</f>
        <v>BC V</v>
      </c>
      <c r="DL6" s="705" t="str">
        <f>EP23</f>
        <v>DEB 01</v>
      </c>
      <c r="DM6" s="705" t="str">
        <f>EQ23</f>
        <v>DEB 02</v>
      </c>
      <c r="DN6" s="705" t="str">
        <f>ER23</f>
        <v>DEB 03</v>
      </c>
      <c r="DO6" s="705" t="str">
        <f>ES23</f>
        <v>DEB 04</v>
      </c>
      <c r="DP6" s="706" t="str">
        <f>ET23</f>
        <v>DEB 05</v>
      </c>
      <c r="DQ6" s="1196" t="s">
        <v>3339</v>
      </c>
      <c r="DR6" s="1197" t="s">
        <v>111</v>
      </c>
      <c r="DS6" s="1198" t="s">
        <v>112</v>
      </c>
      <c r="DT6" s="707"/>
    </row>
    <row r="7" spans="1:124" x14ac:dyDescent="0.25">
      <c r="A7" s="1176">
        <f t="shared" ref="A7:A8" si="0">J7</f>
        <v>0</v>
      </c>
      <c r="B7" s="1199" t="s">
        <v>7201</v>
      </c>
      <c r="C7" s="1200"/>
      <c r="D7" s="1200"/>
      <c r="E7" s="1200"/>
      <c r="F7" s="1200"/>
      <c r="G7" s="1200"/>
      <c r="H7" s="1201"/>
      <c r="I7" s="886"/>
      <c r="J7" s="886"/>
      <c r="K7" s="886"/>
      <c r="L7" s="886"/>
      <c r="M7" s="887"/>
      <c r="N7" s="887"/>
      <c r="O7" s="886"/>
      <c r="P7" s="887"/>
      <c r="Q7" s="887"/>
      <c r="R7" s="1202"/>
      <c r="S7" s="886"/>
      <c r="T7" s="887"/>
      <c r="U7" s="889"/>
      <c r="V7" s="887"/>
      <c r="W7" s="890"/>
      <c r="X7" s="890"/>
      <c r="Y7" s="890"/>
      <c r="Z7" s="890"/>
      <c r="AA7" s="890"/>
      <c r="AB7" s="890"/>
      <c r="AC7" s="890"/>
      <c r="AD7" s="890"/>
      <c r="AE7" s="890"/>
      <c r="AF7" s="890"/>
      <c r="AG7" s="890"/>
      <c r="AH7" s="890"/>
      <c r="AI7" s="891"/>
      <c r="AJ7" s="1203"/>
      <c r="AK7" s="1204"/>
      <c r="AL7" s="1190"/>
      <c r="AM7" s="936" t="str">
        <f>B7</f>
        <v>COLETOR 02</v>
      </c>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205"/>
      <c r="BZ7" s="52"/>
      <c r="CA7" s="895"/>
      <c r="CB7" s="1178"/>
      <c r="CC7" s="1199" t="str">
        <f>B7</f>
        <v>COLETOR 02</v>
      </c>
      <c r="CD7" s="1200"/>
      <c r="CE7" s="1200"/>
      <c r="CF7" s="1200"/>
      <c r="CG7" s="1200"/>
      <c r="CH7" s="896"/>
      <c r="CI7" s="896"/>
      <c r="CJ7" s="896"/>
      <c r="CK7" s="896"/>
      <c r="CL7" s="896"/>
      <c r="CM7" s="896"/>
      <c r="CN7" s="896"/>
      <c r="CO7" s="896"/>
      <c r="CP7" s="896"/>
      <c r="CQ7" s="896"/>
      <c r="CR7" s="896"/>
      <c r="CS7" s="896"/>
      <c r="CT7" s="896"/>
      <c r="CU7" s="896"/>
      <c r="CV7" s="896"/>
      <c r="CW7" s="896"/>
      <c r="CX7" s="896"/>
      <c r="CY7" s="896"/>
      <c r="CZ7" s="1206"/>
      <c r="DA7" s="1206"/>
      <c r="DB7" s="1206"/>
      <c r="DC7" s="1206"/>
      <c r="DD7" s="1206"/>
      <c r="DE7" s="1206"/>
      <c r="DF7" s="1206"/>
      <c r="DG7" s="1206"/>
      <c r="DH7" s="1206"/>
      <c r="DI7" s="1206"/>
      <c r="DJ7" s="1206"/>
      <c r="DK7" s="1206"/>
      <c r="DL7" s="1206"/>
      <c r="DM7" s="1206"/>
      <c r="DN7" s="1206"/>
      <c r="DO7" s="1206"/>
      <c r="DP7" s="1206"/>
      <c r="DQ7" s="1206"/>
      <c r="DR7" s="1206"/>
      <c r="DS7" s="1207"/>
      <c r="DT7" s="896"/>
    </row>
    <row r="8" spans="1:124" x14ac:dyDescent="0.25">
      <c r="A8" s="1176">
        <f t="shared" si="0"/>
        <v>1</v>
      </c>
      <c r="B8" s="1208" t="s">
        <v>7202</v>
      </c>
      <c r="C8" s="1209" t="s">
        <v>0</v>
      </c>
      <c r="D8" s="1209" t="s">
        <v>7199</v>
      </c>
      <c r="E8" s="1210" t="s">
        <v>7200</v>
      </c>
      <c r="F8" s="1210" t="s">
        <v>7520</v>
      </c>
      <c r="G8" s="1211" t="s">
        <v>7203</v>
      </c>
      <c r="H8" s="1212">
        <v>1</v>
      </c>
      <c r="I8" s="1212">
        <v>0.6</v>
      </c>
      <c r="J8" s="1213">
        <v>1</v>
      </c>
      <c r="K8" s="1212">
        <v>2500</v>
      </c>
      <c r="L8" s="1212">
        <f t="shared" ref="L8" si="1">K8/10000</f>
        <v>0.25</v>
      </c>
      <c r="M8" s="928">
        <f t="shared" ref="M8" si="2">I8*L8</f>
        <v>0.15</v>
      </c>
      <c r="N8" s="928">
        <f>M8</f>
        <v>0.15</v>
      </c>
      <c r="O8" s="1214">
        <v>10</v>
      </c>
      <c r="P8" s="928">
        <f>($Z$16*(($AE$10)^$Z$17)/((O8+$Z$18)^$Z$19))</f>
        <v>158.36000000000001</v>
      </c>
      <c r="Q8" s="928">
        <f t="shared" ref="Q8" si="3">1000*(N8*P8)/360</f>
        <v>65.98</v>
      </c>
      <c r="R8" s="1215">
        <f t="shared" ref="R8" si="4">Q8/U8</f>
        <v>0.04</v>
      </c>
      <c r="S8" s="1212">
        <f t="shared" ref="S8" si="5">((Z8-AB8)/H8)*100</f>
        <v>99</v>
      </c>
      <c r="T8" s="928">
        <f t="shared" ref="T8" si="6">14.23*((U8/1000)^0.25)*((S8/100)^0.38)</f>
        <v>16.61</v>
      </c>
      <c r="U8" s="1216">
        <f t="shared" ref="U8" si="7">1000*AI8*(54.978*(AJ8^2)*((AJ8/4)^0.667)*(SQRT(S8/100)))</f>
        <v>1884.2</v>
      </c>
      <c r="V8" s="928">
        <f t="shared" ref="V8" si="8">H8/T8/60</f>
        <v>0</v>
      </c>
      <c r="W8" s="1217">
        <v>856.39</v>
      </c>
      <c r="X8" s="1217"/>
      <c r="Y8" s="1217">
        <v>856.4</v>
      </c>
      <c r="Z8" s="1364">
        <f>W8-AC8</f>
        <v>855.39</v>
      </c>
      <c r="AA8" s="1365"/>
      <c r="AB8" s="1364">
        <f t="shared" ref="AB8" si="9">Y8-AE8</f>
        <v>854.4</v>
      </c>
      <c r="AC8" s="1217">
        <v>1</v>
      </c>
      <c r="AD8" s="1217"/>
      <c r="AE8" s="1217">
        <v>2</v>
      </c>
      <c r="AF8" s="1217">
        <f>W8-Z8-AJ8*1.2</f>
        <v>0.52</v>
      </c>
      <c r="AG8" s="1217"/>
      <c r="AH8" s="1217">
        <f>Y8-AB8-AJ8*1.2</f>
        <v>1.52</v>
      </c>
      <c r="AI8" s="1218">
        <v>1</v>
      </c>
      <c r="AJ8" s="1219">
        <v>0.4</v>
      </c>
      <c r="AK8" s="1220"/>
      <c r="AL8" s="1221"/>
      <c r="AM8" s="1222" t="str">
        <f t="shared" ref="AM8" si="10">B8</f>
        <v>BL29</v>
      </c>
      <c r="AN8" s="1223" t="str">
        <f t="shared" ref="AN8" si="11">C8</f>
        <v>-</v>
      </c>
      <c r="AO8" s="1223" t="str">
        <f t="shared" ref="AO8" si="12">D8</f>
        <v>CL08</v>
      </c>
      <c r="AP8" s="1224" t="str">
        <f t="shared" ref="AP8" si="13">E8</f>
        <v>TREVO</v>
      </c>
      <c r="AQ8" s="1225" t="str">
        <f t="shared" ref="AQ8" si="14">F8</f>
        <v>Exsitente</v>
      </c>
      <c r="AR8" s="1226" t="str">
        <f t="shared" ref="AR8" si="15">G8</f>
        <v>T44</v>
      </c>
      <c r="AS8" s="711">
        <f t="shared" ref="AS8" si="16">AI8</f>
        <v>1</v>
      </c>
      <c r="AT8" s="712">
        <f t="shared" ref="AT8:AX8" si="17">IF($AQ8="Novo",IF($AJ8*100=AT$6,$AS8*$H8,0),0)</f>
        <v>0</v>
      </c>
      <c r="AU8" s="712">
        <f t="shared" si="17"/>
        <v>0</v>
      </c>
      <c r="AV8" s="712">
        <f t="shared" si="17"/>
        <v>0</v>
      </c>
      <c r="AW8" s="712">
        <f t="shared" si="17"/>
        <v>0</v>
      </c>
      <c r="AX8" s="724">
        <f t="shared" si="17"/>
        <v>0</v>
      </c>
      <c r="AY8" s="722"/>
      <c r="AZ8" s="713"/>
      <c r="BA8" s="81">
        <f t="shared" ref="BA8" si="18">AC8</f>
        <v>1</v>
      </c>
      <c r="BB8" s="714">
        <f t="shared" ref="BB8" si="19">AE8</f>
        <v>2</v>
      </c>
      <c r="BC8" s="80">
        <f>IF(AT8=0,0,AT$19)+IF(AU8=0,0,AU$19)+IF(AV8=0,0,AV$19)+IF(AW8=0,0,AW$19)+IF(AX8=0,0,AX$19)</f>
        <v>0</v>
      </c>
      <c r="BD8" s="709">
        <f t="shared" ref="BD8" si="20">IF(AQ8="Novo",SUM(AT8:AX8)*BC8*AVERAGE(BA8:BB8),0)-BE8</f>
        <v>0</v>
      </c>
      <c r="BE8" s="709">
        <f t="shared" ref="BE8" si="21">IF(AND(AQ8="Novo",AVERAGE(BA8:BB8)&gt;1.5),SUM(AT8:AX8)*BC8*(AVERAGE(BA8:BB8)-1.5),0)</f>
        <v>0</v>
      </c>
      <c r="BF8" s="710">
        <v>0</v>
      </c>
      <c r="BG8" s="715">
        <f t="shared" ref="BG8" si="22">SUM(BD8:BE8)*BF8</f>
        <v>0</v>
      </c>
      <c r="BH8" s="82">
        <f t="shared" ref="BH8" si="23">SUM(BD8:BE8)-BG8</f>
        <v>0</v>
      </c>
      <c r="BI8" s="83">
        <f>IF(AT8=0,0,AT$20)+IF(AU8=0,0,AU$20)+IF(AV8=0,0,AV$20)+IF(AW8=0,0,AW$20)+IF(AX8=0,0,AX$20)</f>
        <v>0</v>
      </c>
      <c r="BJ8" s="716">
        <f>BI8*SUM(AT8:AX8)</f>
        <v>0</v>
      </c>
      <c r="BK8" s="80">
        <f>BD8-BJ8</f>
        <v>0</v>
      </c>
      <c r="BL8" s="715" t="s">
        <v>113</v>
      </c>
      <c r="BM8" s="715">
        <f>IF(BL8="S",BK8,IF(BL8="P",BK8*0.5,0))</f>
        <v>0</v>
      </c>
      <c r="BN8" s="84">
        <f t="shared" ref="BN8" si="24">BK8-BM8</f>
        <v>0</v>
      </c>
      <c r="BO8" s="717">
        <v>0.05</v>
      </c>
      <c r="BP8" s="718">
        <f t="shared" ref="BP8" si="25">IF(AQ8="Novo",BO8*SUM(AT8:AX8)*BC8,0)</f>
        <v>0</v>
      </c>
      <c r="BQ8" s="719">
        <f t="shared" ref="BQ8" si="26">IF(AQ8="Novo",SUM(AT8:AX8)*BC8,0)</f>
        <v>0</v>
      </c>
      <c r="BR8" s="85">
        <v>0</v>
      </c>
      <c r="BS8" s="86">
        <f t="shared" ref="BS8" si="27">BR8*BQ8/100</f>
        <v>0</v>
      </c>
      <c r="BT8" s="86">
        <f t="shared" ref="BT8" si="28">IF(BR8&gt;0,0.3,0)</f>
        <v>0</v>
      </c>
      <c r="BU8" s="86">
        <f t="shared" ref="BU8" si="29">BT8*BS8</f>
        <v>0</v>
      </c>
      <c r="BV8" s="86">
        <f t="shared" ref="BV8" si="30">BS8</f>
        <v>0</v>
      </c>
      <c r="BW8" s="86">
        <f t="shared" ref="BW8" si="31">BV8</f>
        <v>0</v>
      </c>
      <c r="BX8" s="86">
        <f t="shared" ref="BX8" si="32">IF(BR8&gt;0,0.05,0)</f>
        <v>0</v>
      </c>
      <c r="BY8" s="720">
        <f>BX8*BW8*2.5</f>
        <v>0</v>
      </c>
      <c r="BZ8" s="52"/>
      <c r="CA8" s="943"/>
      <c r="CB8" s="1178"/>
      <c r="CC8" s="1208" t="str">
        <f t="shared" ref="CC8" si="33">AM8</f>
        <v>BL29</v>
      </c>
      <c r="CD8" s="1227" t="str">
        <f>E8</f>
        <v>TREVO</v>
      </c>
      <c r="CE8" s="1227" t="str">
        <f>F8</f>
        <v>Exsitente</v>
      </c>
      <c r="CF8" s="1227">
        <v>1</v>
      </c>
      <c r="CG8" s="1227" t="str">
        <f>HLOOKUP(CF8,$DZ$22:$EY$26,2,0)</f>
        <v>BLS 01</v>
      </c>
      <c r="CH8" s="1228">
        <f t="shared" ref="CH8" si="34">IF(CE8="Novo",AC8,0)</f>
        <v>0</v>
      </c>
      <c r="CI8" s="1229">
        <f>IF(CE8="Novo",HLOOKUP(CF8,$DZ$22:$ET$26,4),0)</f>
        <v>0</v>
      </c>
      <c r="CJ8" s="1229">
        <f>IF(CE8="Novo",HLOOKUP(CF8,$DZ$22:$ET$26,3),0)</f>
        <v>0</v>
      </c>
      <c r="CK8" s="1230">
        <f t="shared" ref="CK8" si="35">IF(CE8="Novo",CJ8*CI8*CH8-CL8,0)</f>
        <v>0</v>
      </c>
      <c r="CL8" s="1230">
        <f t="shared" ref="CL8" si="36">IF(CH8&gt;1.5,CJ8*CI8*(CH8-1.5),0)</f>
        <v>0</v>
      </c>
      <c r="CM8" s="1231">
        <f>BF8</f>
        <v>0</v>
      </c>
      <c r="CN8" s="1232">
        <f t="shared" ref="CN8" si="37">SUM(CK8:CL8)*CM8</f>
        <v>0</v>
      </c>
      <c r="CO8" s="860">
        <f t="shared" ref="CO8" si="38">SUM(CK8:CL8)-CN8</f>
        <v>0</v>
      </c>
      <c r="CP8" s="861">
        <f>IF(CE8="Novo",HLOOKUP(CF8,$DZ$22:$ET$26,7),0)</f>
        <v>0</v>
      </c>
      <c r="CQ8" s="1229">
        <f>CP8*CH8</f>
        <v>0</v>
      </c>
      <c r="CR8" s="1229">
        <f>CK8+CL8-CQ8</f>
        <v>0</v>
      </c>
      <c r="CS8" s="1232" t="str">
        <f t="shared" ref="CS8" si="39">BL8</f>
        <v>S</v>
      </c>
      <c r="CT8" s="1232">
        <f t="shared" ref="CT8" si="40">IF(CS8="S",CR8,IF(CS8="P",CR8*0.5,0))</f>
        <v>0</v>
      </c>
      <c r="CU8" s="860">
        <f t="shared" ref="CU8" si="41">CR8-CT8</f>
        <v>0</v>
      </c>
      <c r="CV8" s="862">
        <f t="shared" ref="CV8:DD8" si="42">IF($CE8="novo",IF($CG8=CV$6,1,0),0)</f>
        <v>0</v>
      </c>
      <c r="CW8" s="863">
        <f t="shared" si="42"/>
        <v>0</v>
      </c>
      <c r="CX8" s="863">
        <f t="shared" si="42"/>
        <v>0</v>
      </c>
      <c r="CY8" s="863">
        <f t="shared" si="42"/>
        <v>0</v>
      </c>
      <c r="CZ8" s="863">
        <f t="shared" si="42"/>
        <v>0</v>
      </c>
      <c r="DA8" s="863">
        <f t="shared" si="42"/>
        <v>0</v>
      </c>
      <c r="DB8" s="863">
        <f t="shared" si="42"/>
        <v>0</v>
      </c>
      <c r="DC8" s="863">
        <f t="shared" si="42"/>
        <v>0</v>
      </c>
      <c r="DD8" s="863">
        <f t="shared" si="42"/>
        <v>0</v>
      </c>
      <c r="DE8" s="1325">
        <f>IF(DB8&gt;0,IF(CH8&gt;#REF!,CH8-#REF!,0))+IF(DC8&gt;0,IF(CH8&gt;#REF!,CH8-#REF!,0)+IF(DD8&gt;0,IF(CH8&gt;#REF!,CH8-#REF!,0)))</f>
        <v>0</v>
      </c>
      <c r="DF8" s="863">
        <f t="shared" ref="DF8:DK8" si="43">IF($CE8="novo",IF($CG8=DF$6,1,0),0)</f>
        <v>0</v>
      </c>
      <c r="DG8" s="863">
        <f t="shared" si="43"/>
        <v>0</v>
      </c>
      <c r="DH8" s="863">
        <f t="shared" si="43"/>
        <v>0</v>
      </c>
      <c r="DI8" s="863">
        <f t="shared" si="43"/>
        <v>0</v>
      </c>
      <c r="DJ8" s="863">
        <f t="shared" si="43"/>
        <v>0</v>
      </c>
      <c r="DK8" s="863">
        <f t="shared" si="43"/>
        <v>0</v>
      </c>
      <c r="DL8" s="863">
        <f t="shared" ref="DL8" si="44">DG8</f>
        <v>0</v>
      </c>
      <c r="DM8" s="863">
        <f t="shared" ref="DM8" si="45">DH8</f>
        <v>0</v>
      </c>
      <c r="DN8" s="863">
        <f t="shared" ref="DN8" si="46">DI8</f>
        <v>0</v>
      </c>
      <c r="DO8" s="863">
        <f t="shared" ref="DO8" si="47">DJ8</f>
        <v>0</v>
      </c>
      <c r="DP8" s="863">
        <f t="shared" ref="DP8" si="48">DK8</f>
        <v>0</v>
      </c>
      <c r="DQ8" s="863">
        <f t="shared" ref="DQ8" si="49">IF($CG8=DQ$6,1,0)</f>
        <v>0</v>
      </c>
      <c r="DR8" s="863">
        <f t="shared" ref="DR8" si="50">IF($CE8="novo",IF($CG8=DR$6,1,0),0)</f>
        <v>0</v>
      </c>
      <c r="DS8" s="864">
        <f t="shared" ref="DS8" si="51">IF($CG8=DS$6,1,0)</f>
        <v>0</v>
      </c>
      <c r="DT8" s="708">
        <f t="shared" ref="DT8" si="52">SUM(CV8:DS8)</f>
        <v>0</v>
      </c>
    </row>
    <row r="9" spans="1:124" x14ac:dyDescent="0.25">
      <c r="A9" s="1176"/>
      <c r="B9" s="1233"/>
      <c r="C9" s="1234"/>
      <c r="D9" s="1234"/>
      <c r="E9" s="1235"/>
      <c r="F9" s="1235"/>
      <c r="G9" s="1236"/>
      <c r="H9" s="1236"/>
      <c r="I9" s="1237"/>
      <c r="J9" s="1237"/>
      <c r="K9" s="1237"/>
      <c r="L9" s="1237"/>
      <c r="M9" s="1238"/>
      <c r="N9" s="1238"/>
      <c r="O9" s="1239"/>
      <c r="P9" s="1238"/>
      <c r="Q9" s="1238"/>
      <c r="R9" s="1240"/>
      <c r="S9" s="1237"/>
      <c r="T9" s="1238"/>
      <c r="U9" s="1241"/>
      <c r="V9" s="1238"/>
      <c r="W9" s="1137"/>
      <c r="X9" s="1137"/>
      <c r="Y9" s="1137"/>
      <c r="Z9" s="1137"/>
      <c r="AA9" s="1137"/>
      <c r="AB9" s="1137"/>
      <c r="AC9" s="1137"/>
      <c r="AD9" s="1137"/>
      <c r="AE9" s="1137"/>
      <c r="AF9" s="1242"/>
      <c r="AG9" s="1242"/>
      <c r="AH9" s="1242"/>
      <c r="AI9" s="1243"/>
      <c r="AJ9" s="1244"/>
      <c r="AK9" s="1245"/>
      <c r="AL9" s="1221"/>
      <c r="AM9" s="1246"/>
      <c r="AN9" s="1247"/>
      <c r="AO9" s="1247"/>
      <c r="AP9" s="1248"/>
      <c r="AQ9" s="1248"/>
      <c r="AR9" s="1249"/>
      <c r="AS9" s="865"/>
      <c r="AT9" s="866"/>
      <c r="AU9" s="866"/>
      <c r="AV9" s="866"/>
      <c r="AW9" s="866"/>
      <c r="AX9" s="867"/>
      <c r="AY9" s="868"/>
      <c r="AZ9" s="429"/>
      <c r="BA9" s="869"/>
      <c r="BB9" s="870"/>
      <c r="BC9" s="871"/>
      <c r="BD9" s="870"/>
      <c r="BE9" s="870"/>
      <c r="BF9" s="872"/>
      <c r="BG9" s="873"/>
      <c r="BH9" s="874"/>
      <c r="BI9" s="875"/>
      <c r="BJ9" s="871"/>
      <c r="BK9" s="871"/>
      <c r="BL9" s="873"/>
      <c r="BM9" s="873"/>
      <c r="BN9" s="876"/>
      <c r="BO9" s="877"/>
      <c r="BP9" s="878"/>
      <c r="BQ9" s="879"/>
      <c r="BR9" s="880"/>
      <c r="BS9" s="881"/>
      <c r="BT9" s="881"/>
      <c r="BU9" s="881"/>
      <c r="BV9" s="881"/>
      <c r="BW9" s="881"/>
      <c r="BX9" s="881"/>
      <c r="BY9" s="882"/>
      <c r="BZ9" s="52"/>
      <c r="CA9" s="943"/>
      <c r="CB9" s="1178"/>
      <c r="CC9" s="1208"/>
      <c r="CD9" s="1227"/>
      <c r="CE9" s="1227"/>
      <c r="CF9" s="1227"/>
      <c r="CG9" s="1227"/>
      <c r="CH9" s="1228"/>
      <c r="CI9" s="1229"/>
      <c r="CJ9" s="1229"/>
      <c r="CK9" s="1230"/>
      <c r="CL9" s="1230"/>
      <c r="CM9" s="1231"/>
      <c r="CN9" s="1232"/>
      <c r="CO9" s="860"/>
      <c r="CP9" s="861"/>
      <c r="CQ9" s="1229"/>
      <c r="CR9" s="1229"/>
      <c r="CS9" s="1232"/>
      <c r="CT9" s="1232"/>
      <c r="CU9" s="860"/>
      <c r="CV9" s="862"/>
      <c r="CW9" s="863"/>
      <c r="CX9" s="863"/>
      <c r="CY9" s="863"/>
      <c r="CZ9" s="863"/>
      <c r="DA9" s="863"/>
      <c r="DB9" s="863"/>
      <c r="DC9" s="863"/>
      <c r="DD9" s="863"/>
      <c r="DE9" s="1325"/>
      <c r="DF9" s="863"/>
      <c r="DG9" s="863"/>
      <c r="DH9" s="863"/>
      <c r="DI9" s="863"/>
      <c r="DJ9" s="863"/>
      <c r="DK9" s="863"/>
      <c r="DL9" s="863"/>
      <c r="DM9" s="863"/>
      <c r="DN9" s="863"/>
      <c r="DO9" s="863"/>
      <c r="DP9" s="863"/>
      <c r="DQ9" s="863"/>
      <c r="DR9" s="863"/>
      <c r="DS9" s="864">
        <v>2</v>
      </c>
      <c r="DT9" s="708">
        <f t="shared" ref="DT9" si="53">SUM(CV9:DS9)</f>
        <v>2</v>
      </c>
    </row>
    <row r="10" spans="1:124" x14ac:dyDescent="0.25">
      <c r="A10" s="1176"/>
      <c r="B10" s="1250" t="s">
        <v>115</v>
      </c>
      <c r="C10" s="1251"/>
      <c r="D10" s="1252"/>
      <c r="E10" s="1252"/>
      <c r="F10" s="1252"/>
      <c r="G10" s="1253"/>
      <c r="H10" s="1251"/>
      <c r="I10" s="1252"/>
      <c r="J10" s="1252"/>
      <c r="K10" s="1252"/>
      <c r="L10" s="1254"/>
      <c r="M10" s="1254"/>
      <c r="N10" s="1252" t="s">
        <v>116</v>
      </c>
      <c r="O10" s="1179"/>
      <c r="P10" s="1179"/>
      <c r="Q10" s="1179"/>
      <c r="R10" s="1176"/>
      <c r="S10" s="1176"/>
      <c r="T10" s="1176"/>
      <c r="U10" s="1176"/>
      <c r="V10" s="1254"/>
      <c r="W10" s="1254"/>
      <c r="X10" s="1254"/>
      <c r="Y10" s="1254"/>
      <c r="Z10" s="1179" t="s">
        <v>117</v>
      </c>
      <c r="AA10" s="1179"/>
      <c r="AB10" s="1254"/>
      <c r="AC10" s="1254"/>
      <c r="AD10" s="1254"/>
      <c r="AE10" s="1255">
        <v>10</v>
      </c>
      <c r="AF10" s="1255"/>
      <c r="AG10" s="1255"/>
      <c r="AH10" s="1255"/>
      <c r="AI10" s="1179" t="s">
        <v>118</v>
      </c>
      <c r="AJ10" s="1176"/>
      <c r="AK10" s="1176"/>
      <c r="AL10" s="1221"/>
      <c r="AM10" s="1823" t="s">
        <v>114</v>
      </c>
      <c r="AN10" s="1824"/>
      <c r="AO10" s="1824"/>
      <c r="AP10" s="1824"/>
      <c r="AQ10" s="1825"/>
      <c r="AR10" s="1256"/>
      <c r="AS10" s="334"/>
      <c r="AT10" s="335">
        <f>SUM(AT7:AT9)</f>
        <v>0</v>
      </c>
      <c r="AU10" s="335">
        <f>SUM(AU7:AU9)</f>
        <v>0</v>
      </c>
      <c r="AV10" s="335">
        <f>SUM(AV7:AV9)</f>
        <v>0</v>
      </c>
      <c r="AW10" s="335">
        <f>SUM(AW7:AW9)</f>
        <v>0</v>
      </c>
      <c r="AX10" s="725">
        <f>SUM(AX7:AX9)</f>
        <v>0</v>
      </c>
      <c r="AY10" s="723" t="e">
        <f>SUM(#REF!)</f>
        <v>#REF!</v>
      </c>
      <c r="AZ10" s="428" t="e">
        <f>SUM(#REF!)</f>
        <v>#REF!</v>
      </c>
      <c r="BA10" s="336"/>
      <c r="BB10" s="337"/>
      <c r="BC10" s="338"/>
      <c r="BD10" s="337">
        <f>SUM(BD7:BD9)</f>
        <v>0</v>
      </c>
      <c r="BE10" s="337">
        <f>SUM(BE7:BE9)</f>
        <v>0</v>
      </c>
      <c r="BF10" s="339"/>
      <c r="BG10" s="337">
        <f>SUM(BG7:BG9)</f>
        <v>0</v>
      </c>
      <c r="BH10" s="337">
        <f>SUM(BH7:BH9)</f>
        <v>0</v>
      </c>
      <c r="BI10" s="721"/>
      <c r="BJ10" s="338"/>
      <c r="BK10" s="340">
        <f>SUM(BK7:BK9)</f>
        <v>0</v>
      </c>
      <c r="BL10" s="340"/>
      <c r="BM10" s="340">
        <f>SUM(BM7:BM9)</f>
        <v>0</v>
      </c>
      <c r="BN10" s="341"/>
      <c r="BO10" s="342"/>
      <c r="BP10" s="1257">
        <f>SUM(BP7:BP9)</f>
        <v>0</v>
      </c>
      <c r="BQ10" s="343">
        <f>SUM(BQ7:BQ9)</f>
        <v>0</v>
      </c>
      <c r="BR10" s="344"/>
      <c r="BS10" s="345">
        <f>SUM(BS7:BS9)</f>
        <v>0</v>
      </c>
      <c r="BT10" s="345"/>
      <c r="BU10" s="345">
        <f>SUM(BU7:BU9)</f>
        <v>0</v>
      </c>
      <c r="BV10" s="345">
        <f>SUM(BV7:BV9)</f>
        <v>0</v>
      </c>
      <c r="BW10" s="345">
        <f>SUM(BW7:BW9)</f>
        <v>0</v>
      </c>
      <c r="BX10" s="345"/>
      <c r="BY10" s="346">
        <f>SUM(BY7:BY9)</f>
        <v>0</v>
      </c>
      <c r="BZ10" s="52"/>
      <c r="CA10" s="943"/>
      <c r="CB10" s="1178"/>
      <c r="CC10" s="1826" t="s">
        <v>114</v>
      </c>
      <c r="CD10" s="1827"/>
      <c r="CE10" s="1827"/>
      <c r="CF10" s="1827"/>
      <c r="CG10" s="1827"/>
      <c r="CH10" s="1827"/>
      <c r="CI10" s="1827"/>
      <c r="CJ10" s="1828"/>
      <c r="CK10" s="1258">
        <f>SUM(CK7:CK9)</f>
        <v>0</v>
      </c>
      <c r="CL10" s="1258">
        <f>SUM(CL7:CL9)</f>
        <v>0</v>
      </c>
      <c r="CM10" s="1259"/>
      <c r="CN10" s="1259">
        <f>SUM(CN7:CN9)</f>
        <v>0</v>
      </c>
      <c r="CO10" s="1258">
        <f>SUM(CO7:CO9)</f>
        <v>0</v>
      </c>
      <c r="CP10" s="1260"/>
      <c r="CQ10" s="1261"/>
      <c r="CR10" s="1258">
        <f>SUM(CR7:CR9)</f>
        <v>0</v>
      </c>
      <c r="CS10" s="1259"/>
      <c r="CT10" s="1258">
        <f t="shared" ref="CT10:DT10" si="54">SUM(CT7:CT9)</f>
        <v>0</v>
      </c>
      <c r="CU10" s="1262">
        <f t="shared" si="54"/>
        <v>0</v>
      </c>
      <c r="CV10" s="1263">
        <f t="shared" si="54"/>
        <v>0</v>
      </c>
      <c r="CW10" s="1263">
        <f t="shared" si="54"/>
        <v>0</v>
      </c>
      <c r="CX10" s="1263">
        <f t="shared" si="54"/>
        <v>0</v>
      </c>
      <c r="CY10" s="1263">
        <f t="shared" si="54"/>
        <v>0</v>
      </c>
      <c r="CZ10" s="1263">
        <f t="shared" si="54"/>
        <v>0</v>
      </c>
      <c r="DA10" s="1263">
        <f t="shared" si="54"/>
        <v>0</v>
      </c>
      <c r="DB10" s="1263">
        <f t="shared" si="54"/>
        <v>0</v>
      </c>
      <c r="DC10" s="1263">
        <f t="shared" si="54"/>
        <v>0</v>
      </c>
      <c r="DD10" s="1263">
        <f t="shared" si="54"/>
        <v>0</v>
      </c>
      <c r="DE10" s="1326">
        <f t="shared" si="54"/>
        <v>0</v>
      </c>
      <c r="DF10" s="1263">
        <f t="shared" si="54"/>
        <v>0</v>
      </c>
      <c r="DG10" s="1263">
        <f t="shared" si="54"/>
        <v>0</v>
      </c>
      <c r="DH10" s="1263">
        <f t="shared" si="54"/>
        <v>0</v>
      </c>
      <c r="DI10" s="1263">
        <f t="shared" si="54"/>
        <v>0</v>
      </c>
      <c r="DJ10" s="1263">
        <f t="shared" si="54"/>
        <v>0</v>
      </c>
      <c r="DK10" s="1263">
        <f t="shared" si="54"/>
        <v>0</v>
      </c>
      <c r="DL10" s="1263">
        <f t="shared" si="54"/>
        <v>0</v>
      </c>
      <c r="DM10" s="1263">
        <f t="shared" si="54"/>
        <v>0</v>
      </c>
      <c r="DN10" s="1263">
        <f t="shared" si="54"/>
        <v>0</v>
      </c>
      <c r="DO10" s="1263">
        <f t="shared" si="54"/>
        <v>0</v>
      </c>
      <c r="DP10" s="1263">
        <f t="shared" si="54"/>
        <v>0</v>
      </c>
      <c r="DQ10" s="1263">
        <f t="shared" si="54"/>
        <v>0</v>
      </c>
      <c r="DR10" s="1263">
        <f t="shared" si="54"/>
        <v>0</v>
      </c>
      <c r="DS10" s="1264">
        <f t="shared" si="54"/>
        <v>2</v>
      </c>
      <c r="DT10" s="708">
        <f t="shared" si="54"/>
        <v>2</v>
      </c>
    </row>
    <row r="11" spans="1:124" x14ac:dyDescent="0.25">
      <c r="A11" s="1176"/>
      <c r="B11" s="1250" t="s">
        <v>119</v>
      </c>
      <c r="C11" s="1251"/>
      <c r="D11" s="1252"/>
      <c r="E11" s="1252"/>
      <c r="F11" s="1252"/>
      <c r="G11" s="1253"/>
      <c r="H11" s="1251"/>
      <c r="I11" s="1252"/>
      <c r="J11" s="1252"/>
      <c r="K11" s="1252"/>
      <c r="L11" s="1254"/>
      <c r="M11" s="1254"/>
      <c r="N11" s="1252" t="s">
        <v>120</v>
      </c>
      <c r="O11" s="1179"/>
      <c r="P11" s="1179"/>
      <c r="Q11" s="1254"/>
      <c r="R11" s="1176"/>
      <c r="S11" s="1176"/>
      <c r="T11" s="1176"/>
      <c r="U11" s="1176"/>
      <c r="V11" s="1254"/>
      <c r="W11" s="1254"/>
      <c r="X11" s="1254"/>
      <c r="Y11" s="1254"/>
      <c r="Z11" s="1179" t="s">
        <v>121</v>
      </c>
      <c r="AA11" s="1179"/>
      <c r="AB11" s="1254"/>
      <c r="AC11" s="1254"/>
      <c r="AD11" s="1254"/>
      <c r="AE11" s="1179"/>
      <c r="AF11" s="1179"/>
      <c r="AG11" s="1179"/>
      <c r="AH11" s="1179"/>
      <c r="AI11" s="1179"/>
      <c r="AJ11" s="1265"/>
      <c r="AK11" s="1179"/>
      <c r="AL11" s="1221"/>
      <c r="AM11" s="1251"/>
      <c r="AN11" s="1251"/>
      <c r="AO11" s="1251"/>
      <c r="AP11" s="1176"/>
      <c r="AQ11" s="1251"/>
      <c r="AR11" s="1254"/>
      <c r="AS11" s="1266"/>
      <c r="AT11" s="94"/>
      <c r="AU11" s="94"/>
      <c r="AV11" s="94"/>
      <c r="AW11" s="94"/>
      <c r="AX11" s="94"/>
      <c r="AY11" s="94"/>
      <c r="AZ11" s="94"/>
      <c r="BA11" s="95"/>
      <c r="BB11" s="95"/>
      <c r="BC11" s="96"/>
      <c r="BD11" s="95"/>
      <c r="BE11" s="95"/>
      <c r="BF11" s="95"/>
      <c r="BG11" s="95"/>
      <c r="BH11" s="95"/>
      <c r="BI11" s="96"/>
      <c r="BJ11" s="96"/>
      <c r="BK11" s="96"/>
      <c r="BL11" s="96"/>
      <c r="BM11" s="96"/>
      <c r="BN11" s="96"/>
      <c r="BO11" s="97"/>
      <c r="BP11" s="97"/>
      <c r="BQ11" s="96"/>
      <c r="BR11" s="98"/>
      <c r="BS11" s="97"/>
      <c r="BT11" s="97"/>
      <c r="BU11" s="97"/>
      <c r="BV11" s="97"/>
      <c r="BW11" s="97"/>
      <c r="BX11" s="97"/>
      <c r="BY11" s="97"/>
      <c r="BZ11" s="52"/>
      <c r="CA11" s="943"/>
      <c r="CB11" s="1267"/>
      <c r="CC11" s="1251"/>
      <c r="CD11" s="1268"/>
      <c r="CE11" s="1268"/>
      <c r="CF11" s="1268"/>
      <c r="CG11" s="1268"/>
      <c r="CH11" s="1268"/>
      <c r="CI11" s="1268"/>
      <c r="CJ11" s="1268"/>
      <c r="CK11" s="95"/>
      <c r="CL11" s="95"/>
      <c r="CM11" s="96"/>
      <c r="CN11" s="96"/>
      <c r="CO11" s="95"/>
      <c r="CP11" s="96"/>
      <c r="CQ11" s="96"/>
      <c r="CR11" s="95"/>
      <c r="CS11" s="96"/>
      <c r="CT11" s="95"/>
      <c r="CU11" s="95"/>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431"/>
      <c r="DT11" s="432">
        <f>SUM(CV10:DS10)</f>
        <v>2</v>
      </c>
    </row>
    <row r="12" spans="1:124" x14ac:dyDescent="0.25">
      <c r="A12" s="1176"/>
      <c r="B12" s="1250" t="s">
        <v>122</v>
      </c>
      <c r="C12" s="1251"/>
      <c r="D12" s="1252"/>
      <c r="E12" s="1252"/>
      <c r="F12" s="1252"/>
      <c r="G12" s="1253"/>
      <c r="H12" s="1251"/>
      <c r="I12" s="1252"/>
      <c r="J12" s="1252"/>
      <c r="K12" s="1252"/>
      <c r="L12" s="1254"/>
      <c r="M12" s="1254"/>
      <c r="N12" s="1252" t="s">
        <v>123</v>
      </c>
      <c r="O12" s="1179"/>
      <c r="P12" s="1179"/>
      <c r="Q12" s="1254"/>
      <c r="R12" s="1254"/>
      <c r="S12" s="1254"/>
      <c r="T12" s="1254"/>
      <c r="U12" s="1254"/>
      <c r="V12" s="1254"/>
      <c r="W12" s="1254"/>
      <c r="X12" s="1254"/>
      <c r="Y12" s="1254"/>
      <c r="Z12" s="1269" t="s">
        <v>124</v>
      </c>
      <c r="AA12" s="1269"/>
      <c r="AB12" s="1270">
        <v>1.7000000000000001E-2</v>
      </c>
      <c r="AC12" s="1179"/>
      <c r="AD12" s="1179"/>
      <c r="AE12" s="1179"/>
      <c r="AF12" s="1179"/>
      <c r="AG12" s="1179"/>
      <c r="AH12" s="1179"/>
      <c r="AI12" s="1179"/>
      <c r="AJ12" s="1265"/>
      <c r="AL12" s="1271">
        <v>1</v>
      </c>
      <c r="AM12" s="1267" t="str">
        <f>MEMORIA!E12</f>
        <v>ESTR. DE LINHA TAQUARAL</v>
      </c>
      <c r="AN12" s="1272"/>
      <c r="AO12" s="1272"/>
      <c r="AP12" s="1272"/>
      <c r="AQ12" s="1273"/>
      <c r="AR12" s="1274"/>
      <c r="AS12" s="1275"/>
      <c r="AT12" s="1276">
        <f ca="1">SUMIF($AP$7:$BY$9,$AM12,AT$7:AT$9)</f>
        <v>0</v>
      </c>
      <c r="AU12" s="1277">
        <f ca="1">SUMIF($AP$7:$BY$9,$AM12,AU$7:AU$9)</f>
        <v>0</v>
      </c>
      <c r="AV12" s="1277">
        <f ca="1">SUMIF($AP$7:$BY$9,$AM12,AV$7:AV$9)</f>
        <v>0</v>
      </c>
      <c r="AW12" s="1277">
        <f ca="1">SUMIF($AP$7:$BY$9,$AM12,AW$7:AW$9)</f>
        <v>0</v>
      </c>
      <c r="AX12" s="1278">
        <f ca="1">SUMIF($AP$7:$BY$9,$AM12,AX$7:AX$9)</f>
        <v>0</v>
      </c>
      <c r="AY12" s="1279" t="e">
        <f>SUMIF(#REF!,$AM12,#REF!)</f>
        <v>#REF!</v>
      </c>
      <c r="AZ12" s="1280" t="e">
        <f>SUMIF(#REF!,$AM12,#REF!)</f>
        <v>#REF!</v>
      </c>
      <c r="BA12" s="100"/>
      <c r="BB12" s="1281"/>
      <c r="BC12" s="1282"/>
      <c r="BD12" s="1281">
        <f ca="1">SUMIF($AP$7:$BY$9,$AM12,BD$7:BD$9)</f>
        <v>0</v>
      </c>
      <c r="BE12" s="1281">
        <f ca="1">SUMIF($AP$7:$BY$9,$AM12,BE$7:BE$9)</f>
        <v>0</v>
      </c>
      <c r="BF12" s="103"/>
      <c r="BG12" s="1281">
        <f ca="1">SUMIF($AP$7:$BY$9,$AM12,BG$7:BG$9)</f>
        <v>0</v>
      </c>
      <c r="BH12" s="1281">
        <f ca="1">SUMIF($AP$7:$BY$9,$AM12,BH$7:BH$9)</f>
        <v>0</v>
      </c>
      <c r="BI12" s="1283"/>
      <c r="BJ12" s="1282"/>
      <c r="BK12" s="1284">
        <f ca="1">SUMIF($AP$7:$BY$9,$AM12,BK$7:BK$9)</f>
        <v>0</v>
      </c>
      <c r="BL12" s="1284"/>
      <c r="BM12" s="1284">
        <f ca="1">SUMIF($AP$7:$BY$9,$AM12,BM$7:BM$9)</f>
        <v>0</v>
      </c>
      <c r="BN12" s="105"/>
      <c r="BO12" s="106"/>
      <c r="BP12" s="1285">
        <f ca="1">SUMIF($AP$7:$BY$9,$AM12,BP$7:BP$9)</f>
        <v>0</v>
      </c>
      <c r="BQ12" s="108">
        <f ca="1">SUMIF($AP$7:$BY$9,$AM12,BQ$7:BQ$9)</f>
        <v>0</v>
      </c>
      <c r="BR12" s="109"/>
      <c r="BS12" s="110">
        <f ca="1">SUMIF($AP$7:$BY$9,$AM12,BS$7:BS$9)</f>
        <v>0</v>
      </c>
      <c r="BT12" s="110"/>
      <c r="BU12" s="110">
        <f ca="1">SUMIF($AP$7:$BY$9,$AM12,BU$7:BU$9)</f>
        <v>0</v>
      </c>
      <c r="BV12" s="110">
        <f ca="1">SUMIF($AP$7:$BY$9,$AM12,BV$7:BV$9)</f>
        <v>0</v>
      </c>
      <c r="BW12" s="110">
        <f ca="1">SUMIF($AP$7:$BY$9,$AM12,BW$7:BW$9)</f>
        <v>0</v>
      </c>
      <c r="BX12" s="110"/>
      <c r="BY12" s="1286">
        <f ca="1">SUMIF($AP$7:$BY$9,$AM12,BY$7:BY$9)</f>
        <v>0</v>
      </c>
      <c r="BZ12" s="52"/>
      <c r="CA12" s="89"/>
      <c r="CB12" s="1287">
        <f>AL12</f>
        <v>1</v>
      </c>
      <c r="CC12" s="1288" t="str">
        <f>AM12</f>
        <v>ESTR. DE LINHA TAQUARAL</v>
      </c>
      <c r="CD12" s="347"/>
      <c r="CE12" s="347"/>
      <c r="CF12" s="268"/>
      <c r="CG12" s="347"/>
      <c r="CH12" s="347"/>
      <c r="CI12" s="347"/>
      <c r="CJ12" s="348"/>
      <c r="CK12" s="1289">
        <f ca="1">SUMIF($CD$7:$DS$9,$CC12,CK$7:CK$9)</f>
        <v>0</v>
      </c>
      <c r="CL12" s="1289">
        <f ca="1">SUMIF($CD$7:$DS$9,$CC12,CL$7:CL$9)</f>
        <v>0</v>
      </c>
      <c r="CM12" s="348"/>
      <c r="CN12" s="1289"/>
      <c r="CO12" s="1289">
        <f ca="1">SUMIF($CD$7:$DS$9,$CC12,CO$7:CO$9)</f>
        <v>0</v>
      </c>
      <c r="CP12" s="349"/>
      <c r="CQ12" s="350"/>
      <c r="CR12" s="1289">
        <f ca="1">SUMIF($CD$7:$DS$9,$CC12,CR$7:CR$9)</f>
        <v>0</v>
      </c>
      <c r="CS12" s="350"/>
      <c r="CT12" s="1289">
        <f ca="1">SUMIF($CD$7:$DS$9,$CC12,CT$7:CT$9)</f>
        <v>0</v>
      </c>
      <c r="CU12" s="351"/>
      <c r="CV12" s="1290">
        <f t="shared" ref="CV12:DS12" ca="1" si="55">SUMIF($CD$7:$DS$9,$CC12,CV$7:CV$9)</f>
        <v>0</v>
      </c>
      <c r="CW12" s="1290">
        <f t="shared" ca="1" si="55"/>
        <v>0</v>
      </c>
      <c r="CX12" s="1290">
        <f t="shared" ca="1" si="55"/>
        <v>0</v>
      </c>
      <c r="CY12" s="1290">
        <f t="shared" ca="1" si="55"/>
        <v>0</v>
      </c>
      <c r="CZ12" s="1290">
        <f t="shared" ca="1" si="55"/>
        <v>0</v>
      </c>
      <c r="DA12" s="1290">
        <f t="shared" ca="1" si="55"/>
        <v>0</v>
      </c>
      <c r="DB12" s="1290">
        <f t="shared" ca="1" si="55"/>
        <v>0</v>
      </c>
      <c r="DC12" s="1290">
        <f t="shared" ca="1" si="55"/>
        <v>0</v>
      </c>
      <c r="DD12" s="1290">
        <f t="shared" ca="1" si="55"/>
        <v>0</v>
      </c>
      <c r="DE12" s="1290">
        <f t="shared" ca="1" si="55"/>
        <v>0</v>
      </c>
      <c r="DF12" s="1290">
        <f t="shared" ca="1" si="55"/>
        <v>0</v>
      </c>
      <c r="DG12" s="1290">
        <f t="shared" ca="1" si="55"/>
        <v>0</v>
      </c>
      <c r="DH12" s="1290">
        <f t="shared" ca="1" si="55"/>
        <v>0</v>
      </c>
      <c r="DI12" s="1290">
        <f t="shared" ca="1" si="55"/>
        <v>0</v>
      </c>
      <c r="DJ12" s="1290">
        <f t="shared" ca="1" si="55"/>
        <v>0</v>
      </c>
      <c r="DK12" s="1290">
        <f t="shared" ca="1" si="55"/>
        <v>0</v>
      </c>
      <c r="DL12" s="1290">
        <f t="shared" ca="1" si="55"/>
        <v>0</v>
      </c>
      <c r="DM12" s="1290">
        <f t="shared" ca="1" si="55"/>
        <v>0</v>
      </c>
      <c r="DN12" s="1290">
        <f t="shared" ca="1" si="55"/>
        <v>0</v>
      </c>
      <c r="DO12" s="1290">
        <f t="shared" ca="1" si="55"/>
        <v>0</v>
      </c>
      <c r="DP12" s="1290">
        <f t="shared" ca="1" si="55"/>
        <v>0</v>
      </c>
      <c r="DQ12" s="1290">
        <f t="shared" ca="1" si="55"/>
        <v>0</v>
      </c>
      <c r="DR12" s="1290">
        <f t="shared" ca="1" si="55"/>
        <v>0</v>
      </c>
      <c r="DS12" s="1291">
        <f t="shared" ca="1" si="55"/>
        <v>0</v>
      </c>
      <c r="DT12" s="432"/>
    </row>
    <row r="13" spans="1:124" x14ac:dyDescent="0.25">
      <c r="A13" s="1176"/>
      <c r="B13" s="1250" t="s">
        <v>125</v>
      </c>
      <c r="C13" s="1251"/>
      <c r="D13" s="1252"/>
      <c r="E13" s="1252"/>
      <c r="F13" s="1252"/>
      <c r="G13" s="1253"/>
      <c r="H13" s="1251"/>
      <c r="I13" s="1252"/>
      <c r="J13" s="1252"/>
      <c r="K13" s="1252"/>
      <c r="L13" s="1254"/>
      <c r="M13" s="1254"/>
      <c r="N13" s="1252" t="s">
        <v>126</v>
      </c>
      <c r="O13" s="1179"/>
      <c r="P13" s="1179"/>
      <c r="Q13" s="1254"/>
      <c r="R13" s="1254"/>
      <c r="S13" s="1254"/>
      <c r="T13" s="1254"/>
      <c r="U13" s="1254"/>
      <c r="V13" s="1254"/>
      <c r="W13" s="1254"/>
      <c r="X13" s="1254"/>
      <c r="Y13" s="1254"/>
      <c r="Z13" s="1252" t="s">
        <v>130</v>
      </c>
      <c r="AA13" s="1179"/>
      <c r="AB13" s="1292"/>
      <c r="AC13" s="1179"/>
      <c r="AD13" s="1179"/>
      <c r="AE13" s="1179"/>
      <c r="AF13" s="1179"/>
      <c r="AG13" s="1179"/>
      <c r="AH13" s="1179"/>
      <c r="AI13" s="1179"/>
      <c r="AJ13" s="1265"/>
      <c r="AK13" s="1179"/>
      <c r="AL13" s="1287">
        <v>2</v>
      </c>
      <c r="AM13" s="1288"/>
      <c r="AN13" s="1272"/>
      <c r="AO13" s="1272"/>
      <c r="AP13" s="1272"/>
      <c r="AQ13" s="1273"/>
      <c r="AR13" s="1293"/>
      <c r="AS13" s="865"/>
      <c r="AT13" s="1276"/>
      <c r="AU13" s="866"/>
      <c r="AV13" s="866"/>
      <c r="AW13" s="866"/>
      <c r="AX13" s="1294"/>
      <c r="AY13" s="1295"/>
      <c r="AZ13" s="429"/>
      <c r="BA13" s="100"/>
      <c r="BB13" s="101"/>
      <c r="BC13" s="102"/>
      <c r="BD13" s="101"/>
      <c r="BE13" s="101"/>
      <c r="BF13" s="103"/>
      <c r="BG13" s="101"/>
      <c r="BH13" s="101"/>
      <c r="BI13" s="1283"/>
      <c r="BJ13" s="102"/>
      <c r="BK13" s="104"/>
      <c r="BL13" s="104"/>
      <c r="BM13" s="104"/>
      <c r="BN13" s="105"/>
      <c r="BO13" s="106"/>
      <c r="BP13" s="107"/>
      <c r="BQ13" s="108"/>
      <c r="BR13" s="109"/>
      <c r="BS13" s="110"/>
      <c r="BT13" s="110"/>
      <c r="BU13" s="110"/>
      <c r="BV13" s="110"/>
      <c r="BW13" s="110"/>
      <c r="BX13" s="110"/>
      <c r="BY13" s="111"/>
      <c r="BZ13" s="52"/>
      <c r="CA13" s="1296"/>
      <c r="CB13" s="1287">
        <f t="shared" ref="CB13:CB15" si="56">AL13</f>
        <v>2</v>
      </c>
      <c r="CC13" s="1288"/>
      <c r="CD13" s="347"/>
      <c r="CE13" s="347"/>
      <c r="CF13" s="268"/>
      <c r="CG13" s="347"/>
      <c r="CH13" s="347"/>
      <c r="CI13" s="347"/>
      <c r="CJ13" s="348"/>
      <c r="CK13" s="1289"/>
      <c r="CL13" s="1289"/>
      <c r="CM13" s="348"/>
      <c r="CN13" s="1297"/>
      <c r="CO13" s="1297"/>
      <c r="CP13" s="1298"/>
      <c r="CQ13" s="1299"/>
      <c r="CR13" s="1289"/>
      <c r="CS13" s="1299"/>
      <c r="CT13" s="1289"/>
      <c r="CU13" s="1300"/>
      <c r="CV13" s="1301"/>
      <c r="CW13" s="1290"/>
      <c r="CX13" s="1290"/>
      <c r="CY13" s="1290"/>
      <c r="CZ13" s="1290"/>
      <c r="DA13" s="1290"/>
      <c r="DB13" s="1290"/>
      <c r="DC13" s="1290"/>
      <c r="DD13" s="1290"/>
      <c r="DE13" s="1290"/>
      <c r="DF13" s="1290"/>
      <c r="DG13" s="1290"/>
      <c r="DH13" s="1290"/>
      <c r="DI13" s="1290"/>
      <c r="DJ13" s="1290"/>
      <c r="DK13" s="1290"/>
      <c r="DL13" s="1290"/>
      <c r="DM13" s="1290"/>
      <c r="DN13" s="1290"/>
      <c r="DO13" s="1290"/>
      <c r="DP13" s="1290"/>
      <c r="DQ13" s="1290"/>
      <c r="DR13" s="1290"/>
      <c r="DS13" s="1291"/>
      <c r="DT13" s="432"/>
    </row>
    <row r="14" spans="1:124" x14ac:dyDescent="0.25">
      <c r="A14" s="1176"/>
      <c r="B14" s="1250" t="s">
        <v>127</v>
      </c>
      <c r="C14" s="1251"/>
      <c r="D14" s="1252"/>
      <c r="E14" s="1252"/>
      <c r="F14" s="1252"/>
      <c r="G14" s="1253"/>
      <c r="H14" s="1251"/>
      <c r="I14" s="1252"/>
      <c r="J14" s="1252"/>
      <c r="K14" s="1252"/>
      <c r="L14" s="1254"/>
      <c r="M14" s="1254"/>
      <c r="N14" s="1252" t="s">
        <v>128</v>
      </c>
      <c r="O14" s="1179"/>
      <c r="P14" s="1179"/>
      <c r="Q14" s="1254"/>
      <c r="R14" s="1179"/>
      <c r="S14" s="1254"/>
      <c r="T14" s="1254"/>
      <c r="U14" s="1254"/>
      <c r="V14" s="1254"/>
      <c r="W14" s="1254"/>
      <c r="X14" s="1254"/>
      <c r="Y14" s="1254"/>
      <c r="Z14" s="1302" t="s">
        <v>129</v>
      </c>
      <c r="AA14" s="1179"/>
      <c r="AB14" s="1292"/>
      <c r="AC14" s="1179"/>
      <c r="AD14" s="1179"/>
      <c r="AE14" s="1179"/>
      <c r="AF14" s="1179"/>
      <c r="AG14" s="1179"/>
      <c r="AH14" s="1179"/>
      <c r="AI14" s="1265"/>
      <c r="AJ14" s="1265"/>
      <c r="AK14" s="1265"/>
      <c r="AL14" s="1287">
        <v>3</v>
      </c>
      <c r="AM14" s="1288"/>
      <c r="AN14" s="1272"/>
      <c r="AO14" s="1272"/>
      <c r="AP14" s="1272"/>
      <c r="AQ14" s="1273"/>
      <c r="AR14" s="1293"/>
      <c r="AS14" s="865"/>
      <c r="AT14" s="1276"/>
      <c r="AU14" s="866"/>
      <c r="AV14" s="866"/>
      <c r="AW14" s="866"/>
      <c r="AX14" s="1294"/>
      <c r="AY14" s="1295"/>
      <c r="AZ14" s="429"/>
      <c r="BA14" s="100"/>
      <c r="BB14" s="101"/>
      <c r="BC14" s="102"/>
      <c r="BD14" s="101"/>
      <c r="BE14" s="101"/>
      <c r="BF14" s="103"/>
      <c r="BG14" s="101"/>
      <c r="BH14" s="101"/>
      <c r="BI14" s="1283"/>
      <c r="BJ14" s="102"/>
      <c r="BK14" s="104"/>
      <c r="BL14" s="104"/>
      <c r="BM14" s="104"/>
      <c r="BN14" s="105"/>
      <c r="BO14" s="106"/>
      <c r="BP14" s="107"/>
      <c r="BQ14" s="108"/>
      <c r="BR14" s="109"/>
      <c r="BS14" s="110"/>
      <c r="BT14" s="110"/>
      <c r="BU14" s="110"/>
      <c r="BV14" s="110"/>
      <c r="BW14" s="110"/>
      <c r="BX14" s="110"/>
      <c r="BY14" s="111"/>
      <c r="BZ14" s="52"/>
      <c r="CA14" s="1296"/>
      <c r="CB14" s="1287">
        <f t="shared" si="56"/>
        <v>3</v>
      </c>
      <c r="CC14" s="1288"/>
      <c r="CD14" s="347"/>
      <c r="CE14" s="347"/>
      <c r="CF14" s="268"/>
      <c r="CG14" s="347"/>
      <c r="CH14" s="347"/>
      <c r="CI14" s="347"/>
      <c r="CJ14" s="348"/>
      <c r="CK14" s="1289"/>
      <c r="CL14" s="1289"/>
      <c r="CM14" s="348"/>
      <c r="CN14" s="1297"/>
      <c r="CO14" s="1297"/>
      <c r="CP14" s="1298"/>
      <c r="CQ14" s="1299"/>
      <c r="CR14" s="1289"/>
      <c r="CS14" s="1299"/>
      <c r="CT14" s="1289"/>
      <c r="CU14" s="1300"/>
      <c r="CV14" s="1301"/>
      <c r="CW14" s="1290"/>
      <c r="CX14" s="1290"/>
      <c r="CY14" s="1290"/>
      <c r="CZ14" s="1290"/>
      <c r="DA14" s="1290"/>
      <c r="DB14" s="1290"/>
      <c r="DC14" s="1290"/>
      <c r="DD14" s="1290"/>
      <c r="DE14" s="1290"/>
      <c r="DF14" s="1290"/>
      <c r="DG14" s="1290"/>
      <c r="DH14" s="1290"/>
      <c r="DI14" s="1290"/>
      <c r="DJ14" s="1290"/>
      <c r="DK14" s="1290"/>
      <c r="DL14" s="1290"/>
      <c r="DM14" s="1290"/>
      <c r="DN14" s="1290"/>
      <c r="DO14" s="1290"/>
      <c r="DP14" s="1290"/>
      <c r="DQ14" s="1290"/>
      <c r="DR14" s="1290"/>
      <c r="DS14" s="1291"/>
      <c r="DT14" s="432"/>
    </row>
    <row r="15" spans="1:124" x14ac:dyDescent="0.25">
      <c r="A15" s="1176"/>
      <c r="C15" s="1251"/>
      <c r="D15" s="1252"/>
      <c r="E15" s="1252"/>
      <c r="F15" s="1252"/>
      <c r="G15" s="1253"/>
      <c r="H15" s="1251"/>
      <c r="I15" s="1252"/>
      <c r="J15" s="1252"/>
      <c r="K15" s="1252"/>
      <c r="L15" s="1254"/>
      <c r="M15" s="1254"/>
      <c r="O15" s="1179"/>
      <c r="P15" s="1179"/>
      <c r="Q15" s="1179"/>
      <c r="R15" s="1254"/>
      <c r="S15" s="1254"/>
      <c r="T15" s="1254"/>
      <c r="U15" s="1254"/>
      <c r="V15" s="1254"/>
      <c r="W15" s="1254"/>
      <c r="X15" s="1254"/>
      <c r="Y15" s="1254"/>
      <c r="Z15" s="1179"/>
      <c r="AA15" s="1179"/>
      <c r="AB15" s="1292"/>
      <c r="AC15" s="1292"/>
      <c r="AD15" s="1179"/>
      <c r="AE15" s="1179"/>
      <c r="AF15" s="1179"/>
      <c r="AG15" s="1179"/>
      <c r="AH15" s="1179"/>
      <c r="AI15" s="1265"/>
      <c r="AJ15" s="1265"/>
      <c r="AK15" s="1265"/>
      <c r="AL15" s="1287">
        <v>4</v>
      </c>
      <c r="AM15" s="1288"/>
      <c r="AN15" s="1272"/>
      <c r="AO15" s="1272"/>
      <c r="AP15" s="1272"/>
      <c r="AQ15" s="1273"/>
      <c r="AR15" s="1293"/>
      <c r="AS15" s="865"/>
      <c r="AT15" s="1276"/>
      <c r="AU15" s="866"/>
      <c r="AV15" s="866"/>
      <c r="AW15" s="866"/>
      <c r="AX15" s="1294"/>
      <c r="AY15" s="1295"/>
      <c r="AZ15" s="429"/>
      <c r="BA15" s="100"/>
      <c r="BB15" s="101"/>
      <c r="BC15" s="102"/>
      <c r="BD15" s="101"/>
      <c r="BE15" s="101"/>
      <c r="BF15" s="103"/>
      <c r="BG15" s="101"/>
      <c r="BH15" s="101"/>
      <c r="BI15" s="1283"/>
      <c r="BJ15" s="102"/>
      <c r="BK15" s="104"/>
      <c r="BL15" s="104"/>
      <c r="BM15" s="104"/>
      <c r="BN15" s="105"/>
      <c r="BO15" s="106"/>
      <c r="BP15" s="107"/>
      <c r="BQ15" s="108"/>
      <c r="BR15" s="109"/>
      <c r="BS15" s="110"/>
      <c r="BT15" s="110"/>
      <c r="BU15" s="110"/>
      <c r="BV15" s="110"/>
      <c r="BW15" s="110"/>
      <c r="BX15" s="110"/>
      <c r="BY15" s="111"/>
      <c r="BZ15" s="52"/>
      <c r="CA15" s="1296"/>
      <c r="CB15" s="1287">
        <f t="shared" si="56"/>
        <v>4</v>
      </c>
      <c r="CC15" s="1288"/>
      <c r="CD15" s="347"/>
      <c r="CE15" s="347"/>
      <c r="CF15" s="268"/>
      <c r="CG15" s="347"/>
      <c r="CH15" s="347"/>
      <c r="CI15" s="347"/>
      <c r="CJ15" s="348"/>
      <c r="CK15" s="1289"/>
      <c r="CL15" s="1289"/>
      <c r="CM15" s="348"/>
      <c r="CN15" s="1297"/>
      <c r="CO15" s="1297"/>
      <c r="CP15" s="1298"/>
      <c r="CQ15" s="1299"/>
      <c r="CR15" s="1289"/>
      <c r="CS15" s="1299"/>
      <c r="CT15" s="1289"/>
      <c r="CU15" s="1300"/>
      <c r="CV15" s="1301"/>
      <c r="CW15" s="1290"/>
      <c r="CX15" s="1290"/>
      <c r="CY15" s="1290"/>
      <c r="CZ15" s="1290"/>
      <c r="DA15" s="1290"/>
      <c r="DB15" s="1290"/>
      <c r="DC15" s="1290"/>
      <c r="DD15" s="1290"/>
      <c r="DE15" s="1290"/>
      <c r="DF15" s="1290"/>
      <c r="DG15" s="1290"/>
      <c r="DH15" s="1290"/>
      <c r="DI15" s="1290"/>
      <c r="DJ15" s="1290"/>
      <c r="DK15" s="1290"/>
      <c r="DL15" s="1290"/>
      <c r="DM15" s="1290"/>
      <c r="DN15" s="1290"/>
      <c r="DO15" s="1290"/>
      <c r="DP15" s="1290"/>
      <c r="DQ15" s="1290"/>
      <c r="DR15" s="1290"/>
      <c r="DS15" s="1291"/>
      <c r="DT15" s="432"/>
    </row>
    <row r="16" spans="1:124" x14ac:dyDescent="0.25">
      <c r="A16" s="1176"/>
      <c r="B16" s="117"/>
      <c r="C16" s="117"/>
      <c r="D16" s="117"/>
      <c r="E16" s="117"/>
      <c r="F16" s="117"/>
      <c r="G16" s="1303"/>
      <c r="H16" s="1303"/>
      <c r="I16" s="117"/>
      <c r="J16" s="117"/>
      <c r="K16" s="1212">
        <f>SUM(K7:K15)</f>
        <v>2500</v>
      </c>
      <c r="L16" s="117" t="s">
        <v>2595</v>
      </c>
      <c r="M16" s="117"/>
      <c r="N16" s="117"/>
      <c r="O16" s="117"/>
      <c r="P16" s="117"/>
      <c r="Q16" s="117"/>
      <c r="R16" s="414"/>
      <c r="S16" s="413"/>
      <c r="T16" s="413"/>
      <c r="U16" s="117"/>
      <c r="V16" s="117"/>
      <c r="W16" s="117"/>
      <c r="X16" s="117"/>
      <c r="Y16" s="117" t="s">
        <v>3318</v>
      </c>
      <c r="Z16" s="1304">
        <v>1688.6</v>
      </c>
      <c r="AA16" s="1304"/>
      <c r="AB16" s="1304">
        <v>839.5</v>
      </c>
      <c r="AC16" s="1304">
        <v>846.1</v>
      </c>
      <c r="AD16" s="117"/>
      <c r="AE16" s="117"/>
      <c r="AF16" s="117"/>
      <c r="AG16" s="117"/>
      <c r="AH16" s="117"/>
      <c r="AI16" s="117"/>
      <c r="AJ16" s="117"/>
      <c r="AK16" s="117"/>
      <c r="AL16" s="1287">
        <v>5</v>
      </c>
      <c r="AM16" s="1288" t="s">
        <v>2780</v>
      </c>
      <c r="AN16" s="1272"/>
      <c r="AO16" s="1272"/>
      <c r="AP16" s="1272"/>
      <c r="AQ16" s="1273"/>
      <c r="AR16" s="1293"/>
      <c r="AS16" s="1305"/>
      <c r="AT16" s="1306">
        <f ca="1">SUM(AT12:AT15)-AT10</f>
        <v>0</v>
      </c>
      <c r="AU16" s="1306">
        <f t="shared" ref="AU16:AX16" ca="1" si="57">SUM(AU12:AU15)-AU10</f>
        <v>0</v>
      </c>
      <c r="AV16" s="1306">
        <f t="shared" ca="1" si="57"/>
        <v>0</v>
      </c>
      <c r="AW16" s="1306">
        <f t="shared" ca="1" si="57"/>
        <v>0</v>
      </c>
      <c r="AX16" s="1307">
        <f t="shared" ca="1" si="57"/>
        <v>0</v>
      </c>
      <c r="AY16" s="1295" t="e">
        <f>SUM(AY12:AY12)-AY10</f>
        <v>#REF!</v>
      </c>
      <c r="AZ16" s="429" t="e">
        <f>SUM(AZ12:AZ12)-AZ10</f>
        <v>#REF!</v>
      </c>
      <c r="BA16" s="100"/>
      <c r="BB16" s="101"/>
      <c r="BC16" s="102"/>
      <c r="BD16" s="101">
        <f ca="1">SUM(BD12:BD15)-BD10</f>
        <v>0</v>
      </c>
      <c r="BE16" s="101">
        <f ca="1">SUM(BE12:BE15)-BE10</f>
        <v>0</v>
      </c>
      <c r="BF16" s="101">
        <f>SUM(BF12:BF12)-BF10</f>
        <v>0</v>
      </c>
      <c r="BG16" s="101">
        <f ca="1">SUM(BG12:BG15)-BG10</f>
        <v>0</v>
      </c>
      <c r="BH16" s="101">
        <f ca="1">SUM(BH12:BH15)-BH10</f>
        <v>0</v>
      </c>
      <c r="BI16" s="1283"/>
      <c r="BJ16" s="102"/>
      <c r="BK16" s="104">
        <f ca="1">SUM(BK12:BK15)-BK10</f>
        <v>0</v>
      </c>
      <c r="BL16" s="104"/>
      <c r="BM16" s="104">
        <f ca="1">SUM(BM12:BM15)-BM10</f>
        <v>0</v>
      </c>
      <c r="BN16" s="105"/>
      <c r="BO16" s="106"/>
      <c r="BP16" s="107">
        <f ca="1">SUM(BP12:BP15)-BP10</f>
        <v>0</v>
      </c>
      <c r="BQ16" s="108">
        <f ca="1">SUM(BQ12:BQ15)-BQ10</f>
        <v>0</v>
      </c>
      <c r="BR16" s="109"/>
      <c r="BS16" s="110">
        <f ca="1">SUM(BS12:BS15)-BS10</f>
        <v>0</v>
      </c>
      <c r="BT16" s="110"/>
      <c r="BU16" s="110">
        <f ca="1">SUM(BU12:BU15)-BU10</f>
        <v>0</v>
      </c>
      <c r="BV16" s="110">
        <f ca="1">SUM(BV12:BV15)-BV10</f>
        <v>0</v>
      </c>
      <c r="BW16" s="110">
        <f ca="1">SUM(BW12:BW15)-BW10</f>
        <v>0</v>
      </c>
      <c r="BX16" s="110"/>
      <c r="BY16" s="111">
        <f ca="1">SUM(BY12:BY15)-BY10</f>
        <v>0</v>
      </c>
      <c r="BZ16" s="52"/>
      <c r="CA16" s="1308"/>
      <c r="CB16" s="1287">
        <f>AL16</f>
        <v>5</v>
      </c>
      <c r="CC16" s="1288" t="s">
        <v>2780</v>
      </c>
      <c r="CD16" s="347"/>
      <c r="CE16" s="347"/>
      <c r="CF16" s="268"/>
      <c r="CG16" s="347"/>
      <c r="CH16" s="347"/>
      <c r="CI16" s="347"/>
      <c r="CJ16" s="348"/>
      <c r="CK16" s="1289">
        <f ca="1">SUM(CK12:CK15)-CK10</f>
        <v>0</v>
      </c>
      <c r="CL16" s="1289">
        <f ca="1">SUM(CL12:CL15)-CL10</f>
        <v>0</v>
      </c>
      <c r="CM16" s="348"/>
      <c r="CN16" s="1297">
        <f>SUM(CN12:CN12)-CN10</f>
        <v>0</v>
      </c>
      <c r="CO16" s="1297">
        <f ca="1">SUM(CO12:CO15)-CO10</f>
        <v>0</v>
      </c>
      <c r="CP16" s="1309"/>
      <c r="CQ16" s="1289"/>
      <c r="CR16" s="1289">
        <f ca="1">SUM(CR12:CR15)-CR10</f>
        <v>0</v>
      </c>
      <c r="CS16" s="1289"/>
      <c r="CT16" s="1289">
        <f ca="1">SUM(CT12:CT15)-CT10</f>
        <v>0</v>
      </c>
      <c r="CU16" s="1310">
        <f>SUM(CU12:CU12)-CU10</f>
        <v>0</v>
      </c>
      <c r="CV16" s="1301">
        <f t="shared" ref="CV16:DS16" ca="1" si="58">SUM(CV12:CV15)-CV10</f>
        <v>0</v>
      </c>
      <c r="CW16" s="1290">
        <f t="shared" ca="1" si="58"/>
        <v>0</v>
      </c>
      <c r="CX16" s="1290">
        <f t="shared" ca="1" si="58"/>
        <v>0</v>
      </c>
      <c r="CY16" s="1290">
        <f t="shared" ca="1" si="58"/>
        <v>0</v>
      </c>
      <c r="CZ16" s="1290">
        <f t="shared" ca="1" si="58"/>
        <v>0</v>
      </c>
      <c r="DA16" s="1290">
        <f t="shared" ca="1" si="58"/>
        <v>0</v>
      </c>
      <c r="DB16" s="1290">
        <f t="shared" ca="1" si="58"/>
        <v>0</v>
      </c>
      <c r="DC16" s="1290">
        <f t="shared" ca="1" si="58"/>
        <v>0</v>
      </c>
      <c r="DD16" s="1290">
        <f t="shared" ca="1" si="58"/>
        <v>0</v>
      </c>
      <c r="DE16" s="1290">
        <f t="shared" ca="1" si="58"/>
        <v>0</v>
      </c>
      <c r="DF16" s="1290">
        <f t="shared" ca="1" si="58"/>
        <v>0</v>
      </c>
      <c r="DG16" s="1290">
        <f t="shared" ca="1" si="58"/>
        <v>0</v>
      </c>
      <c r="DH16" s="1290">
        <f t="shared" ca="1" si="58"/>
        <v>0</v>
      </c>
      <c r="DI16" s="1290">
        <f t="shared" ca="1" si="58"/>
        <v>0</v>
      </c>
      <c r="DJ16" s="1290">
        <f t="shared" ca="1" si="58"/>
        <v>0</v>
      </c>
      <c r="DK16" s="1290">
        <f t="shared" ca="1" si="58"/>
        <v>0</v>
      </c>
      <c r="DL16" s="1290">
        <f t="shared" ca="1" si="58"/>
        <v>0</v>
      </c>
      <c r="DM16" s="1290">
        <f t="shared" ca="1" si="58"/>
        <v>0</v>
      </c>
      <c r="DN16" s="1290">
        <f t="shared" ca="1" si="58"/>
        <v>0</v>
      </c>
      <c r="DO16" s="1290">
        <f t="shared" ca="1" si="58"/>
        <v>0</v>
      </c>
      <c r="DP16" s="1290">
        <f t="shared" ca="1" si="58"/>
        <v>0</v>
      </c>
      <c r="DQ16" s="1290">
        <f t="shared" ca="1" si="58"/>
        <v>0</v>
      </c>
      <c r="DR16" s="1290">
        <f t="shared" ca="1" si="58"/>
        <v>0</v>
      </c>
      <c r="DS16" s="1291">
        <f t="shared" ca="1" si="58"/>
        <v>-2</v>
      </c>
      <c r="DT16" s="432"/>
    </row>
    <row r="17" spans="1:155" x14ac:dyDescent="0.25">
      <c r="A17" s="1176"/>
      <c r="B17" s="117"/>
      <c r="C17" s="117"/>
      <c r="D17" s="117"/>
      <c r="E17" s="117"/>
      <c r="F17" s="117"/>
      <c r="G17" s="122"/>
      <c r="H17" s="123"/>
      <c r="I17" s="117"/>
      <c r="J17" s="117"/>
      <c r="K17" s="1212">
        <f>K16/10000</f>
        <v>0.25</v>
      </c>
      <c r="L17" s="1303" t="s">
        <v>6718</v>
      </c>
      <c r="M17" s="1303"/>
      <c r="N17" s="1303"/>
      <c r="O17" s="1303"/>
      <c r="P17" s="1303"/>
      <c r="Q17" s="117"/>
      <c r="R17" s="414"/>
      <c r="S17" s="413"/>
      <c r="T17" s="413"/>
      <c r="U17" s="1303"/>
      <c r="V17" s="1303"/>
      <c r="W17" s="1303"/>
      <c r="X17" s="1303"/>
      <c r="Y17" s="1303" t="s">
        <v>3100</v>
      </c>
      <c r="Z17" s="1311">
        <v>0.13700000000000001</v>
      </c>
      <c r="AA17" s="1312"/>
      <c r="AB17" s="1311">
        <v>0.17299999999999999</v>
      </c>
      <c r="AC17" s="1311">
        <v>0.155</v>
      </c>
      <c r="AD17" s="1303"/>
      <c r="AE17" s="1303"/>
      <c r="AF17" s="1303"/>
      <c r="AG17" s="1303"/>
      <c r="AH17" s="1303"/>
      <c r="AI17" s="1303"/>
      <c r="AJ17" s="1303"/>
      <c r="AK17" s="1303"/>
      <c r="AL17" s="1251">
        <v>1</v>
      </c>
      <c r="AM17" s="1251">
        <v>2</v>
      </c>
      <c r="AN17" s="1251">
        <v>3</v>
      </c>
      <c r="AO17" s="1251">
        <v>4</v>
      </c>
      <c r="AP17" s="1251">
        <v>5</v>
      </c>
      <c r="AQ17" s="1251">
        <v>6</v>
      </c>
      <c r="AR17" s="1251">
        <v>7</v>
      </c>
      <c r="AS17" s="1251">
        <v>8</v>
      </c>
      <c r="AT17" s="1251">
        <v>9</v>
      </c>
      <c r="AU17" s="1251">
        <v>10</v>
      </c>
      <c r="AV17" s="1251">
        <v>11</v>
      </c>
      <c r="AW17" s="1251">
        <v>12</v>
      </c>
      <c r="AX17" s="1251">
        <v>13</v>
      </c>
      <c r="AY17" s="1251">
        <v>14</v>
      </c>
      <c r="AZ17" s="1251">
        <v>15</v>
      </c>
      <c r="BA17" s="1251">
        <v>16</v>
      </c>
      <c r="BB17" s="1251">
        <v>17</v>
      </c>
      <c r="BC17" s="1251">
        <v>18</v>
      </c>
      <c r="BD17" s="1251">
        <v>19</v>
      </c>
      <c r="BE17" s="1251">
        <v>20</v>
      </c>
      <c r="BF17" s="1251">
        <v>21</v>
      </c>
      <c r="BG17" s="1251">
        <v>22</v>
      </c>
      <c r="BH17" s="1251">
        <v>23</v>
      </c>
      <c r="BI17" s="1251">
        <v>24</v>
      </c>
      <c r="BJ17" s="1251">
        <v>25</v>
      </c>
      <c r="BK17" s="1251">
        <v>26</v>
      </c>
      <c r="BL17" s="1251">
        <v>27</v>
      </c>
      <c r="BM17" s="1251">
        <v>28</v>
      </c>
      <c r="BN17" s="1251">
        <v>29</v>
      </c>
      <c r="BO17" s="1251">
        <v>30</v>
      </c>
      <c r="BP17" s="1251">
        <v>31</v>
      </c>
      <c r="BQ17" s="1251">
        <v>32</v>
      </c>
      <c r="BR17" s="1251">
        <v>33</v>
      </c>
      <c r="BS17" s="1251">
        <v>34</v>
      </c>
      <c r="BT17" s="1251">
        <v>35</v>
      </c>
      <c r="BU17" s="1251">
        <v>36</v>
      </c>
      <c r="BV17" s="1251">
        <v>37</v>
      </c>
      <c r="BW17" s="1251">
        <v>38</v>
      </c>
      <c r="BX17" s="1251">
        <v>39</v>
      </c>
      <c r="BY17" s="1251">
        <v>40</v>
      </c>
      <c r="BZ17" s="1308"/>
      <c r="CA17" s="1303"/>
      <c r="CB17" s="1313">
        <v>1</v>
      </c>
      <c r="CC17" s="1314">
        <v>2</v>
      </c>
      <c r="CD17" s="1313">
        <v>3</v>
      </c>
      <c r="CE17" s="1314">
        <v>4</v>
      </c>
      <c r="CF17" s="1313">
        <v>5</v>
      </c>
      <c r="CG17" s="1314">
        <v>6</v>
      </c>
      <c r="CH17" s="1313">
        <v>7</v>
      </c>
      <c r="CI17" s="1314">
        <v>8</v>
      </c>
      <c r="CJ17" s="1313">
        <v>9</v>
      </c>
      <c r="CK17" s="1314">
        <v>10</v>
      </c>
      <c r="CL17" s="1313">
        <v>11</v>
      </c>
      <c r="CM17" s="1314">
        <v>12</v>
      </c>
      <c r="CN17" s="1313">
        <v>13</v>
      </c>
      <c r="CO17" s="1314">
        <v>14</v>
      </c>
      <c r="CP17" s="1313">
        <v>15</v>
      </c>
      <c r="CQ17" s="1314">
        <v>16</v>
      </c>
      <c r="CR17" s="1313">
        <v>17</v>
      </c>
      <c r="CS17" s="1314">
        <v>18</v>
      </c>
      <c r="CT17" s="1313">
        <v>19</v>
      </c>
      <c r="CU17" s="1314">
        <v>20</v>
      </c>
      <c r="CV17" s="1313">
        <v>21</v>
      </c>
      <c r="CW17" s="1314">
        <v>22</v>
      </c>
      <c r="CX17" s="1313">
        <v>23</v>
      </c>
      <c r="CY17" s="1314">
        <v>24</v>
      </c>
      <c r="CZ17" s="1313">
        <v>25</v>
      </c>
      <c r="DA17" s="1314">
        <v>26</v>
      </c>
      <c r="DB17" s="1313">
        <v>27</v>
      </c>
      <c r="DC17" s="1314">
        <v>28</v>
      </c>
      <c r="DD17" s="1313">
        <v>29</v>
      </c>
      <c r="DE17" s="1314">
        <v>30</v>
      </c>
      <c r="DF17" s="1313">
        <v>31</v>
      </c>
      <c r="DG17" s="1314">
        <v>32</v>
      </c>
      <c r="DH17" s="1313">
        <v>33</v>
      </c>
      <c r="DI17" s="1314">
        <v>34</v>
      </c>
      <c r="DJ17" s="1313">
        <v>35</v>
      </c>
      <c r="DK17" s="1314">
        <v>36</v>
      </c>
      <c r="DL17" s="1313">
        <v>37</v>
      </c>
      <c r="DM17" s="1314">
        <v>38</v>
      </c>
      <c r="DN17" s="1313">
        <v>39</v>
      </c>
      <c r="DO17" s="1314">
        <v>40</v>
      </c>
      <c r="DP17" s="1313">
        <v>41</v>
      </c>
      <c r="DQ17" s="1314">
        <v>42</v>
      </c>
      <c r="DR17" s="1313">
        <v>43</v>
      </c>
      <c r="DS17" s="1314">
        <v>44</v>
      </c>
      <c r="DT17" s="121"/>
    </row>
    <row r="18" spans="1:155" x14ac:dyDescent="0.25">
      <c r="A18" s="1176"/>
      <c r="B18" s="117"/>
      <c r="C18" s="117"/>
      <c r="D18" s="117"/>
      <c r="E18" s="117"/>
      <c r="F18" s="117"/>
      <c r="G18" s="122"/>
      <c r="H18" s="123"/>
      <c r="I18" s="117"/>
      <c r="J18" s="117"/>
      <c r="K18" s="1212">
        <f>K16/(1000*1000)</f>
        <v>0</v>
      </c>
      <c r="L18" s="1303" t="s">
        <v>6719</v>
      </c>
      <c r="M18" s="1303"/>
      <c r="N18" s="1303"/>
      <c r="O18" s="1303"/>
      <c r="P18" s="1303"/>
      <c r="Q18" s="1303"/>
      <c r="R18" s="1303"/>
      <c r="S18" s="1303"/>
      <c r="T18" s="1303"/>
      <c r="U18" s="1303"/>
      <c r="V18" s="1303"/>
      <c r="W18" s="1303"/>
      <c r="X18" s="1303"/>
      <c r="Y18" s="1303" t="s">
        <v>54</v>
      </c>
      <c r="Z18" s="1304">
        <v>16.98</v>
      </c>
      <c r="AA18" s="1315"/>
      <c r="AB18" s="1304">
        <v>9</v>
      </c>
      <c r="AC18" s="1304">
        <v>9.1999999999999993</v>
      </c>
      <c r="AD18" s="1303"/>
      <c r="AE18" s="1303"/>
      <c r="AF18" s="1303"/>
      <c r="AG18" s="1303"/>
      <c r="AH18" s="1303"/>
      <c r="AI18" s="1303"/>
      <c r="AJ18" s="1303"/>
      <c r="AK18" s="1303"/>
      <c r="AM18" s="1251"/>
      <c r="AN18" s="1251"/>
      <c r="AO18" s="1251"/>
      <c r="AP18" s="1251"/>
      <c r="AQ18" s="1251"/>
      <c r="AR18" s="1254"/>
      <c r="AS18" s="1176"/>
      <c r="AT18" s="643">
        <f>AT6</f>
        <v>40</v>
      </c>
      <c r="AU18" s="643">
        <f>AU6</f>
        <v>60</v>
      </c>
      <c r="AV18" s="643">
        <f>AV6</f>
        <v>80</v>
      </c>
      <c r="AW18" s="643">
        <f>AW6</f>
        <v>100</v>
      </c>
      <c r="AX18" s="643">
        <f>AX6</f>
        <v>120</v>
      </c>
      <c r="AY18" s="1316"/>
      <c r="AZ18" s="1316"/>
      <c r="BA18" s="95"/>
      <c r="BB18" s="95"/>
      <c r="BC18" s="96"/>
      <c r="BD18" s="95"/>
      <c r="BE18" s="95"/>
      <c r="BF18" s="95"/>
      <c r="BG18" s="95"/>
      <c r="BH18" s="95"/>
      <c r="BI18" s="96"/>
      <c r="BJ18" s="96"/>
      <c r="BK18" s="96"/>
      <c r="BL18" s="96"/>
      <c r="BM18" s="96"/>
      <c r="BN18" s="96"/>
      <c r="BO18" s="97"/>
      <c r="BP18" s="97"/>
      <c r="BQ18" s="96"/>
      <c r="BR18" s="96"/>
      <c r="BS18" s="97"/>
      <c r="BT18" s="97"/>
      <c r="BU18" s="97"/>
      <c r="BV18" s="97"/>
      <c r="BW18" s="97"/>
      <c r="BX18" s="97"/>
      <c r="BY18" s="97"/>
      <c r="BZ18" s="124"/>
      <c r="CA18" s="1303"/>
      <c r="CC18" s="1268"/>
      <c r="CD18" s="1268"/>
      <c r="CE18" s="1268"/>
      <c r="CF18" s="1268"/>
      <c r="CG18" s="1268"/>
      <c r="CH18" s="1268"/>
      <c r="CI18" s="1268"/>
      <c r="CJ18" s="1268"/>
      <c r="CK18" s="95"/>
      <c r="CL18" s="95"/>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row>
    <row r="19" spans="1:155" x14ac:dyDescent="0.25">
      <c r="A19" s="1176"/>
      <c r="B19" s="117"/>
      <c r="C19" s="117"/>
      <c r="D19" s="117"/>
      <c r="E19" s="117"/>
      <c r="F19" s="117"/>
      <c r="G19" s="122"/>
      <c r="H19" s="123"/>
      <c r="I19" s="117"/>
      <c r="J19" s="117"/>
      <c r="K19" s="117"/>
      <c r="L19" s="1303"/>
      <c r="M19" s="1303"/>
      <c r="N19" s="1303"/>
      <c r="O19" s="1303"/>
      <c r="P19" s="1303"/>
      <c r="Q19" s="1303"/>
      <c r="R19" s="1303"/>
      <c r="S19" s="1303"/>
      <c r="T19" s="1303"/>
      <c r="U19" s="1303"/>
      <c r="V19" s="1303"/>
      <c r="W19" s="1303"/>
      <c r="X19" s="1303"/>
      <c r="Y19" s="1303" t="s">
        <v>3319</v>
      </c>
      <c r="Z19" s="1311">
        <v>0.81399999999999995</v>
      </c>
      <c r="AA19" s="1312"/>
      <c r="AB19" s="1311">
        <v>0.7</v>
      </c>
      <c r="AC19" s="1311">
        <v>0.73899999999999999</v>
      </c>
      <c r="AD19" s="1303"/>
      <c r="AE19" s="1303"/>
      <c r="AF19" s="1303"/>
      <c r="AG19" s="1303"/>
      <c r="AH19" s="1303"/>
      <c r="AI19" s="1303"/>
      <c r="AJ19" s="1303"/>
      <c r="AK19" s="1303"/>
      <c r="AM19" s="1176"/>
      <c r="AN19" s="1176"/>
      <c r="AO19" s="1176"/>
      <c r="AP19" s="1176"/>
      <c r="AQ19" s="1176"/>
      <c r="AR19" s="1176"/>
      <c r="AS19" s="644" t="s">
        <v>131</v>
      </c>
      <c r="AT19" s="644">
        <f>(AT18*1.2+20+20)/100</f>
        <v>0.88</v>
      </c>
      <c r="AU19" s="644">
        <f>(AU18*1.2+20+20)/100</f>
        <v>1.1200000000000001</v>
      </c>
      <c r="AV19" s="644">
        <f>(AV18*1.2+20+20)/100</f>
        <v>1.36</v>
      </c>
      <c r="AW19" s="644">
        <f>(AW18*1.2+20+20)/100</f>
        <v>1.6</v>
      </c>
      <c r="AX19" s="644">
        <f>(AX18*1.2+20+20)/100</f>
        <v>1.84</v>
      </c>
      <c r="AY19" s="644"/>
      <c r="AZ19" s="644"/>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24"/>
      <c r="CA19" s="1303"/>
      <c r="CC19" s="1268"/>
      <c r="CD19" s="1268"/>
      <c r="CE19" s="1268"/>
      <c r="CF19" s="1268"/>
      <c r="CG19" s="1268"/>
      <c r="CH19" s="1268"/>
      <c r="CI19" s="1268"/>
      <c r="CJ19" s="1268"/>
      <c r="CK19" s="95"/>
      <c r="CL19" s="95"/>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row>
    <row r="20" spans="1:155" x14ac:dyDescent="0.25">
      <c r="A20" s="1176"/>
      <c r="B20" s="117"/>
      <c r="C20" s="117"/>
      <c r="D20" s="117"/>
      <c r="E20" s="117"/>
      <c r="F20" s="117"/>
      <c r="G20" s="122"/>
      <c r="H20" s="123"/>
      <c r="I20" s="117"/>
      <c r="J20" s="117"/>
      <c r="K20" s="117"/>
      <c r="L20" s="1303"/>
      <c r="M20" s="1303"/>
      <c r="N20" s="1303"/>
      <c r="O20" s="1303"/>
      <c r="P20" s="1303"/>
      <c r="Q20" s="1303"/>
      <c r="R20" s="1303"/>
      <c r="S20" s="1303"/>
      <c r="T20" s="1303"/>
      <c r="U20" s="1303"/>
      <c r="V20" s="1303"/>
      <c r="W20" s="1303"/>
      <c r="X20" s="1303"/>
      <c r="Y20" s="1303"/>
      <c r="Z20" s="1304" t="e">
        <f>#REF!</f>
        <v>#REF!</v>
      </c>
      <c r="AA20" s="1317"/>
      <c r="AB20" s="1304" t="e">
        <f>#REF!</f>
        <v>#REF!</v>
      </c>
      <c r="AC20" s="1304" t="e">
        <f>#REF!</f>
        <v>#REF!</v>
      </c>
      <c r="AD20" s="1303"/>
      <c r="AE20" s="1303"/>
      <c r="AF20" s="1303"/>
      <c r="AG20" s="1303"/>
      <c r="AH20" s="1303"/>
      <c r="AI20" s="1303"/>
      <c r="AJ20" s="1303"/>
      <c r="AK20" s="1303"/>
      <c r="AM20" s="1176"/>
      <c r="AN20" s="1176"/>
      <c r="AO20" s="1176"/>
      <c r="AP20" s="1176"/>
      <c r="AQ20" s="1176"/>
      <c r="AR20" s="1176"/>
      <c r="AS20" s="644" t="s">
        <v>113</v>
      </c>
      <c r="AT20" s="644">
        <f>3.14*((AT18/100*1.2)^2)/4</f>
        <v>0.18</v>
      </c>
      <c r="AU20" s="644">
        <f>3.14*((AU18/100*1.2)^2)/4</f>
        <v>0.41</v>
      </c>
      <c r="AV20" s="644">
        <f>3.14*((AV18/100*1.2)^2)/4</f>
        <v>0.72</v>
      </c>
      <c r="AW20" s="644">
        <f>3.14*((AW18/100*1.2)^2)/4</f>
        <v>1.1299999999999999</v>
      </c>
      <c r="AX20" s="644">
        <f>3.14*((AX18/100*1.2)^2)/4</f>
        <v>1.63</v>
      </c>
      <c r="AY20" s="644"/>
      <c r="AZ20" s="644"/>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24"/>
      <c r="CA20" s="1303"/>
      <c r="CC20" s="1268"/>
      <c r="CD20" s="1268"/>
      <c r="CE20" s="1268"/>
      <c r="CF20" s="1268"/>
      <c r="CG20" s="1268"/>
      <c r="CH20" s="1268"/>
      <c r="CI20" s="1268"/>
      <c r="CJ20" s="1268"/>
      <c r="CK20" s="95"/>
      <c r="CL20" s="95"/>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row>
    <row r="21" spans="1:155" x14ac:dyDescent="0.25">
      <c r="A21" s="1176"/>
      <c r="B21" s="117"/>
      <c r="C21" s="117"/>
      <c r="D21" s="117"/>
      <c r="E21" s="117"/>
      <c r="F21" s="117"/>
      <c r="G21" s="122"/>
      <c r="H21" s="123"/>
      <c r="I21" s="117"/>
      <c r="J21" s="117"/>
      <c r="K21" s="117"/>
      <c r="L21" s="1303"/>
      <c r="M21" s="1303"/>
      <c r="N21" s="1303"/>
      <c r="O21" s="1303"/>
      <c r="P21" s="1303"/>
      <c r="Q21" s="1303"/>
      <c r="R21" s="1303"/>
      <c r="S21" s="1303"/>
      <c r="T21" s="1303"/>
      <c r="U21" s="1303"/>
      <c r="V21" s="1303"/>
      <c r="W21" s="1303"/>
      <c r="X21" s="1303"/>
      <c r="Y21" s="122"/>
      <c r="Z21" s="1304" t="e">
        <f>($Z$16*(($AE$10)^$Z$17)/((Z20+$Z$18)^$Z$19))</f>
        <v>#REF!</v>
      </c>
      <c r="AA21" s="1304">
        <f t="shared" ref="AA21" si="59">($AB$16*(($AE$10)^$AB$17)/((AA20+$AB$18)^$AB$19))</f>
        <v>268.57</v>
      </c>
      <c r="AB21" s="1304" t="e">
        <f>($AB$16*(($AE$10)^$AB$17)/((AB20+$AB$18)^$AB$19))</f>
        <v>#REF!</v>
      </c>
      <c r="AC21" s="1304" t="e">
        <f>($AC$16*(($AE$10)^$AC$17)/((AC20+$AC$18)^$AC$19))</f>
        <v>#REF!</v>
      </c>
      <c r="AD21" s="1303"/>
      <c r="AE21" s="1303"/>
      <c r="AF21" s="1303"/>
      <c r="AG21" s="1303"/>
      <c r="AH21" s="1303"/>
      <c r="AI21" s="1303"/>
      <c r="AJ21" s="1303"/>
      <c r="AK21" s="1303"/>
      <c r="AM21" s="1303"/>
      <c r="AN21" s="1303"/>
      <c r="AO21" s="1303"/>
      <c r="AP21" s="1176"/>
      <c r="AQ21" s="1176"/>
      <c r="AR21" s="1176"/>
      <c r="BA21" s="1176"/>
      <c r="BB21" s="1176"/>
      <c r="BC21" s="1176"/>
      <c r="BD21" s="1176"/>
      <c r="BE21" s="1176"/>
      <c r="BF21" s="1176"/>
      <c r="BG21" s="1176"/>
      <c r="BH21" s="1176"/>
      <c r="BI21" s="1176"/>
      <c r="BJ21" s="1176"/>
      <c r="BK21" s="1176"/>
      <c r="BL21" s="1176"/>
      <c r="BM21" s="1176"/>
      <c r="BN21" s="1176"/>
      <c r="BO21" s="1176"/>
      <c r="BP21" s="1176"/>
      <c r="BQ21" s="1176"/>
      <c r="BR21" s="1176"/>
      <c r="BS21" s="1176"/>
      <c r="BT21" s="1176"/>
      <c r="BU21" s="1176"/>
      <c r="BV21" s="1176"/>
      <c r="BW21" s="1176"/>
      <c r="BX21" s="1176"/>
      <c r="BY21" s="1176"/>
      <c r="BZ21" s="124"/>
      <c r="CA21" s="1303"/>
      <c r="CC21" s="1268"/>
      <c r="CD21" s="1268"/>
      <c r="CE21" s="1268"/>
      <c r="CF21" s="1268"/>
      <c r="CG21" s="1268"/>
      <c r="CH21" s="1268"/>
      <c r="CI21" s="1268"/>
      <c r="CJ21" s="1268"/>
      <c r="CK21" s="95"/>
      <c r="CL21" s="95"/>
      <c r="CM21" s="96"/>
      <c r="CN21" s="96"/>
      <c r="CO21" s="96"/>
      <c r="CP21" s="96"/>
      <c r="CQ21" s="96"/>
      <c r="CR21" s="96"/>
      <c r="CS21" s="1308"/>
      <c r="CT21" s="1308"/>
      <c r="CU21" s="1308"/>
      <c r="CV21" s="1308"/>
      <c r="CW21" s="1308"/>
      <c r="CX21" s="1308"/>
      <c r="CY21" s="1308"/>
      <c r="CZ21" s="1308"/>
      <c r="DA21" s="1308"/>
      <c r="DB21" s="1308"/>
      <c r="DC21" s="1308"/>
      <c r="DD21" s="1308"/>
      <c r="DE21" s="1308"/>
      <c r="DF21" s="1308"/>
      <c r="DG21" s="1308"/>
      <c r="DH21" s="1308"/>
      <c r="DI21" s="1308"/>
      <c r="DJ21" s="1308"/>
      <c r="DK21" s="1308"/>
      <c r="DL21" s="1308"/>
      <c r="DM21" s="1308"/>
      <c r="DN21" s="1308"/>
      <c r="DO21" s="1308"/>
      <c r="DP21" s="1308"/>
      <c r="DQ21" s="1308"/>
      <c r="DR21" s="1308"/>
      <c r="DS21" s="1308"/>
      <c r="DT21" s="1308"/>
      <c r="DU21" s="1308"/>
      <c r="DV21" s="1308"/>
      <c r="DW21" s="1308"/>
      <c r="DX21" s="1308"/>
      <c r="DY21" s="1308"/>
      <c r="DZ21" s="1308"/>
      <c r="EA21" s="1308"/>
      <c r="EB21" s="1308"/>
      <c r="EC21" s="1176"/>
      <c r="ED21" s="1176"/>
      <c r="EE21" s="1176"/>
      <c r="EF21" s="1176"/>
      <c r="EG21" s="1176"/>
      <c r="EH21" s="1176"/>
      <c r="EI21" s="1176"/>
      <c r="EJ21" s="1176"/>
      <c r="EK21" s="1176"/>
      <c r="EL21" s="1176"/>
      <c r="EM21" s="1176"/>
      <c r="EN21" s="1176"/>
      <c r="EO21" s="1176"/>
      <c r="EP21" s="1176"/>
      <c r="EQ21" s="1176"/>
      <c r="ER21" s="1176"/>
      <c r="ES21" s="1176"/>
      <c r="ET21" s="1176"/>
      <c r="EU21" s="1176"/>
      <c r="EV21" s="1176"/>
      <c r="EW21" s="1176"/>
      <c r="EX21" s="121"/>
    </row>
    <row r="22" spans="1:155" x14ac:dyDescent="0.25">
      <c r="A22" s="1176"/>
      <c r="B22" s="117"/>
      <c r="C22" s="117"/>
      <c r="D22" s="117"/>
      <c r="E22" s="117"/>
      <c r="F22" s="117"/>
      <c r="G22" s="122"/>
      <c r="H22" s="123"/>
      <c r="I22" s="117"/>
      <c r="J22" s="117"/>
      <c r="K22" s="117"/>
      <c r="L22" s="1303"/>
      <c r="M22" s="1303"/>
      <c r="N22" s="1303"/>
      <c r="O22" s="1303"/>
      <c r="P22" s="1303"/>
      <c r="Q22" s="1303"/>
      <c r="R22" s="1303"/>
      <c r="S22" s="1303"/>
      <c r="T22" s="1303"/>
      <c r="U22" s="1303"/>
      <c r="V22" s="1303"/>
      <c r="W22" s="1303"/>
      <c r="X22" s="1303"/>
      <c r="Y22" s="1303"/>
      <c r="Z22" s="1303"/>
      <c r="AA22" s="1303"/>
      <c r="AB22" s="1303"/>
      <c r="AC22" s="1303"/>
      <c r="AD22" s="1303"/>
      <c r="AE22" s="1303"/>
      <c r="AF22" s="1303"/>
      <c r="AG22" s="1303"/>
      <c r="AH22" s="1303"/>
      <c r="AI22" s="1303"/>
      <c r="AJ22" s="1303"/>
      <c r="AK22" s="1303"/>
      <c r="AM22" s="1303"/>
      <c r="AN22" s="1303"/>
      <c r="AO22" s="1303"/>
      <c r="AP22" s="1176"/>
      <c r="AQ22" s="1176"/>
      <c r="AR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24"/>
      <c r="CA22" s="1303"/>
      <c r="CC22" s="1268"/>
      <c r="CD22" s="1268"/>
      <c r="CE22" s="1268"/>
      <c r="CF22" s="1268"/>
      <c r="CG22" s="1268"/>
      <c r="CH22" s="1268"/>
      <c r="CI22" s="1268"/>
      <c r="CJ22" s="1268"/>
      <c r="CK22" s="95"/>
      <c r="CL22" s="95"/>
      <c r="CM22" s="96"/>
      <c r="CN22" s="96"/>
      <c r="CO22" s="96"/>
      <c r="CP22" s="96"/>
      <c r="CQ22" s="96"/>
      <c r="CR22" s="96"/>
      <c r="CS22" s="1308"/>
      <c r="CT22" s="1308"/>
      <c r="CU22" s="1308"/>
      <c r="CV22" s="1308"/>
      <c r="CW22" s="1308"/>
      <c r="CX22" s="1308"/>
      <c r="CY22" s="1308"/>
      <c r="CZ22" s="1308"/>
      <c r="DA22" s="1308"/>
      <c r="DB22" s="1308"/>
      <c r="DC22" s="1308"/>
      <c r="DD22" s="1308"/>
      <c r="DE22" s="1308"/>
      <c r="DF22" s="1308"/>
      <c r="DG22" s="1308"/>
      <c r="DH22" s="1308"/>
      <c r="DI22" s="1308"/>
      <c r="DJ22" s="1308"/>
      <c r="DK22" s="1308"/>
      <c r="DL22" s="1308"/>
      <c r="DM22" s="1308"/>
      <c r="DN22" s="1308"/>
      <c r="DO22" s="1308"/>
      <c r="DP22" s="1308"/>
      <c r="DQ22" s="1308"/>
      <c r="DR22" s="1308"/>
      <c r="DS22" s="1308"/>
      <c r="DT22" s="1308"/>
      <c r="DU22" s="1308"/>
      <c r="DV22" s="1308"/>
      <c r="DW22" s="1308"/>
      <c r="DX22" s="1308"/>
      <c r="DY22" s="1308"/>
      <c r="DZ22" s="645">
        <v>1</v>
      </c>
      <c r="EA22" s="645">
        <f>DZ22+1</f>
        <v>2</v>
      </c>
      <c r="EB22" s="645">
        <f t="shared" ref="EB22:EU22" si="60">EA22+1</f>
        <v>3</v>
      </c>
      <c r="EC22" s="645">
        <f t="shared" si="60"/>
        <v>4</v>
      </c>
      <c r="ED22" s="645">
        <f t="shared" si="60"/>
        <v>5</v>
      </c>
      <c r="EE22" s="645">
        <f t="shared" si="60"/>
        <v>6</v>
      </c>
      <c r="EF22" s="645">
        <f t="shared" si="60"/>
        <v>7</v>
      </c>
      <c r="EG22" s="645">
        <f t="shared" si="60"/>
        <v>8</v>
      </c>
      <c r="EH22" s="645">
        <v>9</v>
      </c>
      <c r="EI22" s="645"/>
      <c r="EJ22" s="645">
        <f>EH22+1</f>
        <v>10</v>
      </c>
      <c r="EK22" s="645">
        <f t="shared" si="60"/>
        <v>11</v>
      </c>
      <c r="EL22" s="645">
        <f t="shared" si="60"/>
        <v>12</v>
      </c>
      <c r="EM22" s="645">
        <f t="shared" si="60"/>
        <v>13</v>
      </c>
      <c r="EN22" s="645">
        <f t="shared" si="60"/>
        <v>14</v>
      </c>
      <c r="EO22" s="645">
        <f t="shared" si="60"/>
        <v>15</v>
      </c>
      <c r="EP22" s="645">
        <f t="shared" si="60"/>
        <v>16</v>
      </c>
      <c r="EQ22" s="645">
        <f t="shared" si="60"/>
        <v>17</v>
      </c>
      <c r="ER22" s="645">
        <f t="shared" si="60"/>
        <v>18</v>
      </c>
      <c r="ES22" s="645">
        <f t="shared" si="60"/>
        <v>19</v>
      </c>
      <c r="ET22" s="645">
        <f t="shared" si="60"/>
        <v>20</v>
      </c>
      <c r="EU22" s="645">
        <f t="shared" si="60"/>
        <v>21</v>
      </c>
      <c r="EV22" s="645">
        <f>EU22+1</f>
        <v>22</v>
      </c>
      <c r="EW22" s="645">
        <f t="shared" ref="EW22:EX22" si="61">EV22+1</f>
        <v>23</v>
      </c>
      <c r="EX22" s="645">
        <f t="shared" si="61"/>
        <v>24</v>
      </c>
      <c r="EY22" s="645">
        <f>EX22+1</f>
        <v>25</v>
      </c>
    </row>
    <row r="23" spans="1:155" ht="22.5" x14ac:dyDescent="0.25">
      <c r="A23" s="1176"/>
      <c r="B23" s="117"/>
      <c r="C23" s="117"/>
      <c r="D23" s="117"/>
      <c r="E23" s="117"/>
      <c r="F23" s="117"/>
      <c r="G23" s="122"/>
      <c r="H23" s="123"/>
      <c r="I23" s="117"/>
      <c r="J23" s="117"/>
      <c r="K23" s="117"/>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M23" s="1303"/>
      <c r="AN23" s="1303"/>
      <c r="AO23" s="1303"/>
      <c r="AP23" s="1176"/>
      <c r="AQ23" s="1176"/>
      <c r="AR23" s="1176"/>
      <c r="BA23" s="1176"/>
      <c r="BB23" s="1176"/>
      <c r="BC23" s="1176"/>
      <c r="BD23" s="1176"/>
      <c r="BE23" s="1176"/>
      <c r="BF23" s="1176"/>
      <c r="BG23" s="1176"/>
      <c r="BH23" s="1176"/>
      <c r="BI23" s="1176"/>
      <c r="BJ23" s="1176"/>
      <c r="BK23" s="1176"/>
      <c r="BL23" s="1176"/>
      <c r="BM23" s="1176"/>
      <c r="BN23" s="1176"/>
      <c r="BO23" s="1176"/>
      <c r="BP23" s="1176"/>
      <c r="BQ23" s="1176"/>
      <c r="BR23" s="1176"/>
      <c r="BS23" s="1176"/>
      <c r="BT23" s="1176"/>
      <c r="BU23" s="1176"/>
      <c r="BV23" s="1176"/>
      <c r="BW23" s="1176"/>
      <c r="BX23" s="1176"/>
      <c r="BY23" s="1176"/>
      <c r="BZ23" s="124"/>
      <c r="CA23" s="1176"/>
      <c r="CC23" s="1268"/>
      <c r="CD23" s="1268"/>
      <c r="CE23" s="1268"/>
      <c r="CF23" s="1268"/>
      <c r="CG23" s="1268"/>
      <c r="CH23" s="1268"/>
      <c r="CI23" s="1268"/>
      <c r="CJ23" s="1268"/>
      <c r="CK23" s="95"/>
      <c r="CL23" s="95"/>
      <c r="CM23" s="96"/>
      <c r="CN23" s="96"/>
      <c r="CO23" s="96"/>
      <c r="CP23" s="96"/>
      <c r="CQ23" s="96"/>
      <c r="CR23" s="96"/>
      <c r="CS23" s="1176"/>
      <c r="CT23" s="1176"/>
      <c r="CU23" s="1176"/>
      <c r="CV23" s="1176"/>
      <c r="CW23" s="1176"/>
      <c r="CX23" s="1176"/>
      <c r="CY23" s="1176"/>
      <c r="CZ23" s="1176"/>
      <c r="DA23" s="1176"/>
      <c r="DB23" s="1176"/>
      <c r="DC23" s="1176"/>
      <c r="DD23" s="1176"/>
      <c r="DE23" s="1176"/>
      <c r="DF23" s="1176"/>
      <c r="DG23" s="1176"/>
      <c r="DH23" s="1176"/>
      <c r="DI23" s="1176"/>
      <c r="DJ23" s="1176"/>
      <c r="DK23" s="1176"/>
      <c r="DL23" s="1176"/>
      <c r="DM23" s="1176"/>
      <c r="DN23" s="1176"/>
      <c r="DO23" s="1176"/>
      <c r="DP23" s="1176"/>
      <c r="DQ23" s="1176"/>
      <c r="DR23" s="1176"/>
      <c r="DS23" s="1176"/>
      <c r="DT23" s="1176"/>
      <c r="DU23" s="1176"/>
      <c r="DV23" s="1176"/>
      <c r="DW23" s="1176"/>
      <c r="DX23" s="1176"/>
      <c r="DY23" s="1176"/>
      <c r="DZ23" s="1318" t="s">
        <v>6722</v>
      </c>
      <c r="EA23" s="1318" t="s">
        <v>6723</v>
      </c>
      <c r="EB23" s="1318" t="s">
        <v>6728</v>
      </c>
      <c r="EC23" s="1324" t="s">
        <v>2616</v>
      </c>
      <c r="ED23" s="1318" t="s">
        <v>132</v>
      </c>
      <c r="EE23" s="1318" t="s">
        <v>133</v>
      </c>
      <c r="EF23" s="1318" t="s">
        <v>134</v>
      </c>
      <c r="EG23" s="1318" t="s">
        <v>135</v>
      </c>
      <c r="EH23" s="1318" t="s">
        <v>136</v>
      </c>
      <c r="EI23" s="1318" t="s">
        <v>3338</v>
      </c>
      <c r="EJ23" s="1318" t="s">
        <v>6730</v>
      </c>
      <c r="EK23" s="1318" t="s">
        <v>6729</v>
      </c>
      <c r="EL23" s="1318" t="s">
        <v>6724</v>
      </c>
      <c r="EM23" s="1318" t="s">
        <v>6725</v>
      </c>
      <c r="EN23" s="1318" t="s">
        <v>6726</v>
      </c>
      <c r="EO23" s="1318" t="s">
        <v>6727</v>
      </c>
      <c r="EP23" s="1318" t="s">
        <v>6731</v>
      </c>
      <c r="EQ23" s="1318" t="s">
        <v>6732</v>
      </c>
      <c r="ER23" s="1318" t="s">
        <v>6733</v>
      </c>
      <c r="ES23" s="1318" t="s">
        <v>6734</v>
      </c>
      <c r="ET23" s="1318" t="s">
        <v>6735</v>
      </c>
      <c r="EU23" s="1318" t="s">
        <v>6736</v>
      </c>
      <c r="EV23" s="1318" t="s">
        <v>6737</v>
      </c>
      <c r="EW23" s="1319" t="str">
        <f>DQ6</f>
        <v>BL =&gt; CL</v>
      </c>
      <c r="EX23" s="1319" t="str">
        <f>DR6</f>
        <v>Correção</v>
      </c>
      <c r="EY23" s="1319" t="str">
        <f>DS6</f>
        <v>Reforma</v>
      </c>
    </row>
    <row r="24" spans="1:155" x14ac:dyDescent="0.25">
      <c r="A24" s="1176"/>
      <c r="B24" s="117"/>
      <c r="C24" s="117"/>
      <c r="D24" s="117"/>
      <c r="E24" s="117"/>
      <c r="F24" s="117"/>
      <c r="G24" s="122"/>
      <c r="H24" s="123"/>
      <c r="I24" s="117"/>
      <c r="J24" s="117"/>
      <c r="K24" s="117"/>
      <c r="L24" s="117"/>
      <c r="M24" s="1303"/>
      <c r="N24" s="1303"/>
      <c r="O24" s="1303"/>
      <c r="P24" s="1303"/>
      <c r="Q24" s="1303"/>
      <c r="R24" s="1303"/>
      <c r="S24" s="1303"/>
      <c r="T24" s="1303"/>
      <c r="U24" s="1303"/>
      <c r="V24" s="117"/>
      <c r="W24" s="117"/>
      <c r="X24" s="117"/>
      <c r="Y24" s="117"/>
      <c r="Z24" s="1303"/>
      <c r="AA24" s="1303"/>
      <c r="AB24" s="1303"/>
      <c r="AC24" s="1303"/>
      <c r="AD24" s="1303"/>
      <c r="AE24" s="1303"/>
      <c r="AF24" s="1303"/>
      <c r="AG24" s="1303"/>
      <c r="AH24" s="1303"/>
      <c r="AI24" s="1303"/>
      <c r="AJ24" s="1303"/>
      <c r="AK24" s="1303"/>
      <c r="AM24" s="1303"/>
      <c r="AN24" s="1303"/>
      <c r="AO24" s="1303"/>
      <c r="AP24" s="1176"/>
      <c r="AQ24" s="1176"/>
      <c r="AR24" s="1176"/>
      <c r="AS24" s="644"/>
      <c r="AT24" s="644"/>
      <c r="AU24" s="644"/>
      <c r="AV24" s="644"/>
      <c r="AW24" s="644"/>
      <c r="AX24" s="644"/>
      <c r="AY24" s="644"/>
      <c r="AZ24" s="644"/>
      <c r="BA24" s="1176"/>
      <c r="BB24" s="1176"/>
      <c r="BC24" s="1176"/>
      <c r="BD24" s="1176"/>
      <c r="BE24" s="1176"/>
      <c r="BF24" s="1176"/>
      <c r="BG24" s="1176"/>
      <c r="BH24" s="1176"/>
      <c r="BI24" s="1176"/>
      <c r="BJ24" s="1176"/>
      <c r="BK24" s="1176"/>
      <c r="BL24" s="1176"/>
      <c r="BM24" s="1176"/>
      <c r="BN24" s="1176"/>
      <c r="BO24" s="1176"/>
      <c r="BP24" s="1176"/>
      <c r="BQ24" s="1176"/>
      <c r="BR24" s="1176"/>
      <c r="BS24" s="1176"/>
      <c r="BT24" s="1176"/>
      <c r="BU24" s="1176"/>
      <c r="BV24" s="1176"/>
      <c r="BW24" s="1176"/>
      <c r="BX24" s="1176"/>
      <c r="BY24" s="1176"/>
      <c r="BZ24" s="124"/>
      <c r="CA24" s="1176"/>
      <c r="CC24" s="1268"/>
      <c r="CD24" s="1268"/>
      <c r="CE24" s="1268"/>
      <c r="CF24" s="1268"/>
      <c r="CG24" s="1268"/>
      <c r="CH24" s="1268"/>
      <c r="CI24" s="1268"/>
      <c r="CJ24" s="1268"/>
      <c r="CK24" s="95"/>
      <c r="CL24" s="95"/>
      <c r="CM24" s="96"/>
      <c r="CN24" s="96"/>
      <c r="CO24" s="96"/>
      <c r="CP24" s="96"/>
      <c r="CQ24" s="96"/>
      <c r="CR24" s="96"/>
      <c r="CS24" s="1303"/>
      <c r="CT24" s="1303"/>
      <c r="CU24" s="1303"/>
      <c r="CV24" s="1303"/>
      <c r="CW24" s="1303"/>
      <c r="CX24" s="1303"/>
      <c r="CY24" s="1303"/>
      <c r="CZ24" s="1303"/>
      <c r="DA24" s="1303"/>
      <c r="DB24" s="1303"/>
      <c r="DC24" s="1303"/>
      <c r="DD24" s="1303"/>
      <c r="DE24" s="1303"/>
      <c r="DF24" s="1303"/>
      <c r="DG24" s="1303"/>
      <c r="DH24" s="1303"/>
      <c r="DI24" s="1303"/>
      <c r="DJ24" s="1303"/>
      <c r="DK24" s="1303"/>
      <c r="DL24" s="1303"/>
      <c r="DM24" s="1303"/>
      <c r="DN24" s="1303"/>
      <c r="DO24" s="1303"/>
      <c r="DP24" s="1303"/>
      <c r="DQ24" s="1303"/>
      <c r="DR24" s="1303"/>
      <c r="DS24" s="1303"/>
      <c r="DT24" s="1303"/>
      <c r="DU24" s="1303"/>
      <c r="DV24" s="1303"/>
      <c r="DW24" s="1303"/>
      <c r="DX24" s="1303"/>
      <c r="DY24" s="1303"/>
      <c r="DZ24" s="644">
        <v>1.35</v>
      </c>
      <c r="EA24" s="644">
        <v>1.55</v>
      </c>
      <c r="EB24" s="644">
        <v>1.8</v>
      </c>
      <c r="EC24" s="646">
        <v>1.7</v>
      </c>
      <c r="ED24" s="644">
        <v>1.3</v>
      </c>
      <c r="EE24" s="644">
        <v>1.7</v>
      </c>
      <c r="EF24" s="644">
        <v>2</v>
      </c>
      <c r="EG24" s="644">
        <v>2.2999999999999998</v>
      </c>
      <c r="EH24" s="644">
        <v>2.6</v>
      </c>
      <c r="EI24" s="644"/>
      <c r="EJ24" s="644">
        <v>1.8</v>
      </c>
      <c r="EK24" s="644">
        <v>1.8</v>
      </c>
      <c r="EL24" s="644">
        <v>1.8</v>
      </c>
      <c r="EM24" s="644">
        <v>1.8</v>
      </c>
      <c r="EN24" s="644">
        <v>1.8</v>
      </c>
      <c r="EO24" s="644">
        <v>1.8</v>
      </c>
      <c r="EP24" s="644">
        <v>0</v>
      </c>
      <c r="EQ24" s="644">
        <v>0</v>
      </c>
      <c r="ER24" s="644">
        <v>0</v>
      </c>
      <c r="ES24" s="644">
        <v>0</v>
      </c>
      <c r="ET24" s="644">
        <v>0</v>
      </c>
      <c r="EU24" s="644">
        <v>0</v>
      </c>
      <c r="EV24" s="644">
        <v>0</v>
      </c>
      <c r="EW24" s="644">
        <v>0</v>
      </c>
      <c r="EX24" s="644">
        <v>0</v>
      </c>
    </row>
    <row r="25" spans="1:155" x14ac:dyDescent="0.25">
      <c r="A25" s="1176"/>
      <c r="B25" s="117"/>
      <c r="C25" s="117"/>
      <c r="D25" s="117"/>
      <c r="E25" s="117"/>
      <c r="F25" s="117"/>
      <c r="G25" s="122"/>
      <c r="H25" s="123"/>
      <c r="I25" s="117"/>
      <c r="J25" s="117"/>
      <c r="K25" s="117"/>
      <c r="L25" s="117"/>
      <c r="M25" s="1176"/>
      <c r="N25" s="1176"/>
      <c r="O25" s="1176"/>
      <c r="P25" s="1176"/>
      <c r="Q25" s="1176"/>
      <c r="R25" s="1176"/>
      <c r="S25" s="1176"/>
      <c r="T25" s="1176"/>
      <c r="U25" s="1176"/>
      <c r="V25" s="117"/>
      <c r="W25" s="117"/>
      <c r="X25" s="117"/>
      <c r="Y25" s="117"/>
      <c r="Z25" s="1176"/>
      <c r="AA25" s="1176"/>
      <c r="AB25" s="1176"/>
      <c r="AC25" s="1176"/>
      <c r="AD25" s="1176"/>
      <c r="AE25" s="1176"/>
      <c r="AF25" s="1176"/>
      <c r="AG25" s="1176"/>
      <c r="AH25" s="1176"/>
      <c r="AI25" s="1176"/>
      <c r="AJ25" s="1176"/>
      <c r="AK25" s="1303"/>
      <c r="AM25" s="1303"/>
      <c r="AN25" s="1303"/>
      <c r="AO25" s="1303"/>
      <c r="AP25" s="1303"/>
      <c r="AQ25" s="1303"/>
      <c r="AR25" s="1303"/>
      <c r="AS25" s="1303"/>
      <c r="AT25" s="1303"/>
      <c r="AU25" s="1303"/>
      <c r="AV25" s="1303"/>
      <c r="AW25" s="1303"/>
      <c r="AX25" s="1303"/>
      <c r="AY25" s="1303"/>
      <c r="AZ25" s="1303"/>
      <c r="BA25" s="1176"/>
      <c r="BB25" s="1176"/>
      <c r="BC25" s="1176"/>
      <c r="BD25" s="1176"/>
      <c r="BE25" s="1176"/>
      <c r="BF25" s="1176"/>
      <c r="BG25" s="1176"/>
      <c r="BH25" s="1176"/>
      <c r="BI25" s="1176"/>
      <c r="BJ25" s="1176"/>
      <c r="BK25" s="1176"/>
      <c r="BL25" s="1176"/>
      <c r="BM25" s="1176"/>
      <c r="BN25" s="1176"/>
      <c r="BO25" s="1176"/>
      <c r="BP25" s="1176"/>
      <c r="BQ25" s="1176"/>
      <c r="BR25" s="1176"/>
      <c r="BS25" s="1176"/>
      <c r="BT25" s="1176"/>
      <c r="BU25" s="1176"/>
      <c r="BV25" s="1176"/>
      <c r="BW25" s="1176"/>
      <c r="BX25" s="1176"/>
      <c r="BY25" s="1176"/>
      <c r="BZ25" s="124"/>
      <c r="CA25" s="1176"/>
      <c r="CC25" s="1268"/>
      <c r="CD25" s="1268"/>
      <c r="CE25" s="1268"/>
      <c r="CF25" s="1268"/>
      <c r="CG25" s="1268"/>
      <c r="CH25" s="1268"/>
      <c r="CI25" s="1268"/>
      <c r="CJ25" s="1268"/>
      <c r="CK25" s="95"/>
      <c r="CL25" s="95"/>
      <c r="CM25" s="96"/>
      <c r="CN25" s="96"/>
      <c r="CO25" s="96"/>
      <c r="CP25" s="96"/>
      <c r="CQ25" s="96"/>
      <c r="CR25" s="96"/>
      <c r="CS25" s="1303"/>
      <c r="CT25" s="1303"/>
      <c r="CU25" s="1303"/>
      <c r="CV25" s="1303"/>
      <c r="CW25" s="1303"/>
      <c r="CX25" s="1303"/>
      <c r="CY25" s="1303"/>
      <c r="CZ25" s="1303"/>
      <c r="DA25" s="1303"/>
      <c r="DB25" s="1303"/>
      <c r="DC25" s="1303"/>
      <c r="DD25" s="1303"/>
      <c r="DE25" s="1303"/>
      <c r="DF25" s="1303"/>
      <c r="DG25" s="1303"/>
      <c r="DH25" s="1303"/>
      <c r="DI25" s="1303"/>
      <c r="DJ25" s="1303"/>
      <c r="DK25" s="1303"/>
      <c r="DL25" s="1303"/>
      <c r="DM25" s="1303"/>
      <c r="DN25" s="1303"/>
      <c r="DO25" s="1303"/>
      <c r="DP25" s="1303"/>
      <c r="DQ25" s="1303"/>
      <c r="DR25" s="1303"/>
      <c r="DS25" s="1303"/>
      <c r="DT25" s="1303"/>
      <c r="DU25" s="1303"/>
      <c r="DV25" s="1303"/>
      <c r="DW25" s="1303"/>
      <c r="DX25" s="1303"/>
      <c r="DY25" s="1303">
        <f>CB17</f>
        <v>1</v>
      </c>
      <c r="DZ25" s="644">
        <v>1.55</v>
      </c>
      <c r="EA25" s="644">
        <v>1.55</v>
      </c>
      <c r="EB25" s="644">
        <v>1.8</v>
      </c>
      <c r="EC25" s="646">
        <v>1.7</v>
      </c>
      <c r="ED25" s="644">
        <v>1.55</v>
      </c>
      <c r="EE25" s="644">
        <v>1.95</v>
      </c>
      <c r="EF25" s="644">
        <v>2.2000000000000002</v>
      </c>
      <c r="EG25" s="644">
        <v>2.4500000000000002</v>
      </c>
      <c r="EH25" s="644">
        <v>2.7</v>
      </c>
      <c r="EI25" s="644"/>
      <c r="EJ25" s="644">
        <v>1.8</v>
      </c>
      <c r="EK25" s="644">
        <v>1.8</v>
      </c>
      <c r="EL25" s="644">
        <v>1.8</v>
      </c>
      <c r="EM25" s="644">
        <v>1.8</v>
      </c>
      <c r="EN25" s="644">
        <v>1.8</v>
      </c>
      <c r="EO25" s="644">
        <v>1.8</v>
      </c>
      <c r="EP25" s="644">
        <v>0</v>
      </c>
      <c r="EQ25" s="644">
        <v>0</v>
      </c>
      <c r="ER25" s="644">
        <v>0</v>
      </c>
      <c r="ES25" s="644">
        <v>0</v>
      </c>
      <c r="ET25" s="644">
        <v>0</v>
      </c>
      <c r="EU25" s="644">
        <v>0</v>
      </c>
      <c r="EV25" s="644">
        <v>0</v>
      </c>
      <c r="EW25" s="644">
        <v>0</v>
      </c>
      <c r="EX25" s="644">
        <v>0</v>
      </c>
      <c r="EY25" s="644">
        <v>0</v>
      </c>
    </row>
    <row r="26" spans="1:155" x14ac:dyDescent="0.25">
      <c r="A26" s="1176"/>
      <c r="B26" s="117"/>
      <c r="C26" s="117"/>
      <c r="D26" s="117"/>
      <c r="E26" s="117"/>
      <c r="F26" s="117"/>
      <c r="G26" s="122"/>
      <c r="H26" s="123"/>
      <c r="I26" s="1303"/>
      <c r="J26" s="1303"/>
      <c r="K26" s="1303"/>
      <c r="L26" s="1303"/>
      <c r="M26" s="1303"/>
      <c r="N26" s="1303"/>
      <c r="O26" s="1303"/>
      <c r="P26" s="1303"/>
      <c r="Q26" s="1303"/>
      <c r="R26" s="1303"/>
      <c r="S26" s="1303"/>
      <c r="T26" s="1303"/>
      <c r="U26" s="1303"/>
      <c r="V26" s="117"/>
      <c r="W26" s="117"/>
      <c r="X26" s="117"/>
      <c r="Y26" s="1179"/>
      <c r="Z26" s="1303"/>
      <c r="AA26" s="1303"/>
      <c r="AB26" s="1303"/>
      <c r="AC26" s="1303"/>
      <c r="AD26" s="1303"/>
      <c r="AE26" s="1303"/>
      <c r="AF26" s="1303"/>
      <c r="AG26" s="1303"/>
      <c r="AH26" s="1303"/>
      <c r="AI26" s="1303"/>
      <c r="AJ26" s="1303"/>
      <c r="AK26" s="1303"/>
      <c r="AM26" s="1303"/>
      <c r="AN26" s="1303"/>
      <c r="AO26" s="1303"/>
      <c r="AP26" s="1303"/>
      <c r="AQ26" s="1303"/>
      <c r="AR26" s="1303"/>
      <c r="AS26" s="1303"/>
      <c r="AT26" s="1303"/>
      <c r="AU26" s="1303"/>
      <c r="AV26" s="1303"/>
      <c r="AW26" s="1303"/>
      <c r="AX26" s="1303"/>
      <c r="AY26" s="1303"/>
      <c r="AZ26" s="1303"/>
      <c r="BA26" s="1176"/>
      <c r="BB26" s="1176"/>
      <c r="BC26" s="1176"/>
      <c r="BD26" s="1176"/>
      <c r="BE26" s="1176"/>
      <c r="BF26" s="1176"/>
      <c r="BG26" s="1176"/>
      <c r="BH26" s="1176"/>
      <c r="BI26" s="1176"/>
      <c r="BJ26" s="1176"/>
      <c r="BK26" s="1176"/>
      <c r="BL26" s="1176"/>
      <c r="BM26" s="1176"/>
      <c r="BN26" s="1176"/>
      <c r="BO26" s="1176"/>
      <c r="BP26" s="1176"/>
      <c r="BQ26" s="1176"/>
      <c r="BR26" s="1176"/>
      <c r="BS26" s="1176"/>
      <c r="BT26" s="1176"/>
      <c r="BU26" s="1176"/>
      <c r="BV26" s="1176"/>
      <c r="BW26" s="1176"/>
      <c r="BX26" s="1176"/>
      <c r="BY26" s="1176"/>
      <c r="BZ26" s="124"/>
      <c r="CA26" s="1176"/>
      <c r="CC26" s="1268"/>
      <c r="CD26" s="1268"/>
      <c r="CE26" s="1268"/>
      <c r="CF26" s="1268"/>
      <c r="CG26" s="1268"/>
      <c r="CH26" s="1268"/>
      <c r="CI26" s="1268"/>
      <c r="CJ26" s="1268"/>
      <c r="CK26" s="95"/>
      <c r="CL26" s="95"/>
      <c r="CM26" s="96"/>
      <c r="CN26" s="96"/>
      <c r="CO26" s="96"/>
      <c r="CP26" s="96"/>
      <c r="CQ26" s="96"/>
      <c r="CR26" s="96"/>
      <c r="CS26" s="1303"/>
      <c r="CT26" s="1303"/>
      <c r="CU26" s="1303"/>
      <c r="CV26" s="1303"/>
      <c r="CW26" s="1303"/>
      <c r="CX26" s="1303"/>
      <c r="CY26" s="1303"/>
      <c r="CZ26" s="1303"/>
      <c r="DA26" s="1303"/>
      <c r="DB26" s="1303"/>
      <c r="DC26" s="1303"/>
      <c r="DD26" s="1303"/>
      <c r="DE26" s="1303"/>
      <c r="DF26" s="1303"/>
      <c r="DG26" s="1303"/>
      <c r="DH26" s="1303"/>
      <c r="DI26" s="1303"/>
      <c r="DJ26" s="1303"/>
      <c r="DK26" s="1303"/>
      <c r="DL26" s="1303"/>
      <c r="DM26" s="1303"/>
      <c r="DN26" s="1303"/>
      <c r="DO26" s="1303"/>
      <c r="DP26" s="1303"/>
      <c r="DQ26" s="1303"/>
      <c r="DR26" s="1303"/>
      <c r="DS26" s="1303"/>
      <c r="DT26" s="1303"/>
      <c r="DU26" s="1303"/>
      <c r="DV26" s="1303"/>
      <c r="DW26" s="1303"/>
      <c r="DX26" s="1303"/>
      <c r="DY26" s="1303" t="s">
        <v>137</v>
      </c>
      <c r="DZ26" s="644">
        <f t="shared" ref="DZ26:EH26" si="62">DZ24-0.4</f>
        <v>0.95</v>
      </c>
      <c r="EA26" s="644">
        <f t="shared" si="62"/>
        <v>1.1499999999999999</v>
      </c>
      <c r="EB26" s="644">
        <f t="shared" si="62"/>
        <v>1.4</v>
      </c>
      <c r="EC26" s="644">
        <f t="shared" si="62"/>
        <v>1.3</v>
      </c>
      <c r="ED26" s="644">
        <f t="shared" si="62"/>
        <v>0.9</v>
      </c>
      <c r="EE26" s="644">
        <f t="shared" si="62"/>
        <v>1.3</v>
      </c>
      <c r="EF26" s="644">
        <f t="shared" si="62"/>
        <v>1.6</v>
      </c>
      <c r="EG26" s="644">
        <f t="shared" si="62"/>
        <v>1.9</v>
      </c>
      <c r="EH26" s="644">
        <f t="shared" si="62"/>
        <v>2.2000000000000002</v>
      </c>
      <c r="EI26" s="644"/>
      <c r="EJ26" s="644">
        <f t="shared" ref="EJ26:EO26" si="63">EJ24-0.4</f>
        <v>1.4</v>
      </c>
      <c r="EK26" s="644">
        <f t="shared" si="63"/>
        <v>1.4</v>
      </c>
      <c r="EL26" s="644">
        <f t="shared" si="63"/>
        <v>1.4</v>
      </c>
      <c r="EM26" s="644">
        <f t="shared" si="63"/>
        <v>1.4</v>
      </c>
      <c r="EN26" s="644">
        <f t="shared" si="63"/>
        <v>1.4</v>
      </c>
      <c r="EO26" s="644">
        <f t="shared" si="63"/>
        <v>1.4</v>
      </c>
      <c r="EP26" s="647"/>
      <c r="EQ26" s="644"/>
      <c r="ER26" s="644"/>
      <c r="ES26" s="644"/>
      <c r="ET26" s="644"/>
      <c r="EU26" s="647"/>
      <c r="EV26" s="647"/>
      <c r="EW26" s="647"/>
      <c r="EX26" s="121"/>
      <c r="EY26" s="644">
        <v>0</v>
      </c>
    </row>
  </sheetData>
  <mergeCells count="63">
    <mergeCell ref="B2:AK2"/>
    <mergeCell ref="AM2:BY2"/>
    <mergeCell ref="CC2:DS2"/>
    <mergeCell ref="B4:H4"/>
    <mergeCell ref="I4:N4"/>
    <mergeCell ref="O4:Q4"/>
    <mergeCell ref="R4:R6"/>
    <mergeCell ref="S4:AJ4"/>
    <mergeCell ref="AK4:AK6"/>
    <mergeCell ref="AM4:BY4"/>
    <mergeCell ref="V5:V6"/>
    <mergeCell ref="CC4:DS4"/>
    <mergeCell ref="B5:D5"/>
    <mergeCell ref="E5:E6"/>
    <mergeCell ref="F5:F6"/>
    <mergeCell ref="G5:G6"/>
    <mergeCell ref="H5:H6"/>
    <mergeCell ref="I5:I6"/>
    <mergeCell ref="J5:L5"/>
    <mergeCell ref="M5:N5"/>
    <mergeCell ref="O5:O6"/>
    <mergeCell ref="P5:P6"/>
    <mergeCell ref="Q5:Q6"/>
    <mergeCell ref="S5:S6"/>
    <mergeCell ref="T5:T6"/>
    <mergeCell ref="U5:U6"/>
    <mergeCell ref="BA5:BB5"/>
    <mergeCell ref="W5:Y5"/>
    <mergeCell ref="Z5:AB5"/>
    <mergeCell ref="AC5:AE5"/>
    <mergeCell ref="AF5:AH5"/>
    <mergeCell ref="AI5:AJ5"/>
    <mergeCell ref="AM5:AO5"/>
    <mergeCell ref="AP5:AP6"/>
    <mergeCell ref="AQ5:AQ6"/>
    <mergeCell ref="AR5:AR6"/>
    <mergeCell ref="AS5:AX5"/>
    <mergeCell ref="AY5:AZ5"/>
    <mergeCell ref="AM10:AQ10"/>
    <mergeCell ref="CC10:CJ10"/>
    <mergeCell ref="CI5:CI6"/>
    <mergeCell ref="CJ5:CJ6"/>
    <mergeCell ref="CK5:CO5"/>
    <mergeCell ref="BQ5:BY5"/>
    <mergeCell ref="CC5:CC6"/>
    <mergeCell ref="CD5:CD6"/>
    <mergeCell ref="CE5:CE6"/>
    <mergeCell ref="CG5:CG6"/>
    <mergeCell ref="CH5:CH6"/>
    <mergeCell ref="BC5:BC6"/>
    <mergeCell ref="BD5:BH5"/>
    <mergeCell ref="BI5:BI6"/>
    <mergeCell ref="BJ5:BJ6"/>
    <mergeCell ref="BK5:BN5"/>
    <mergeCell ref="CV5:DS5"/>
    <mergeCell ref="BF6:BG6"/>
    <mergeCell ref="BL6:BM6"/>
    <mergeCell ref="CM6:CN6"/>
    <mergeCell ref="CS6:CT6"/>
    <mergeCell ref="CP5:CP6"/>
    <mergeCell ref="CQ5:CQ6"/>
    <mergeCell ref="CR5:CU5"/>
    <mergeCell ref="BO5:BP5"/>
  </mergeCells>
  <phoneticPr fontId="32" type="noConversion"/>
  <conditionalFormatting sqref="AB13:AB15">
    <cfRule type="cellIs" dxfId="69" priority="42" stopIfTrue="1" operator="lessThan">
      <formula>0</formula>
    </cfRule>
  </conditionalFormatting>
  <conditionalFormatting sqref="CV10:DS10">
    <cfRule type="cellIs" dxfId="68" priority="41" operator="equal">
      <formula>0</formula>
    </cfRule>
  </conditionalFormatting>
  <conditionalFormatting sqref="AC15">
    <cfRule type="cellIs" dxfId="67" priority="17" stopIfTrue="1" operator="lessThan">
      <formula>0</formula>
    </cfRule>
  </conditionalFormatting>
  <conditionalFormatting sqref="CV9:DS9">
    <cfRule type="cellIs" dxfId="66" priority="4" operator="equal">
      <formula>0</formula>
    </cfRule>
  </conditionalFormatting>
  <conditionalFormatting sqref="CV8:DS8">
    <cfRule type="cellIs" dxfId="65" priority="3" operator="equal">
      <formula>0</formula>
    </cfRule>
  </conditionalFormatting>
  <conditionalFormatting sqref="T8">
    <cfRule type="cellIs" dxfId="64" priority="2" operator="greaterThan">
      <formula>6</formula>
    </cfRule>
  </conditionalFormatting>
  <conditionalFormatting sqref="R8">
    <cfRule type="cellIs" dxfId="63" priority="1" operator="greaterThan">
      <formula>0.85</formula>
    </cfRule>
  </conditionalFormatting>
  <printOptions horizontalCentered="1"/>
  <pageMargins left="0.51181102362204722" right="0.51181102362204722" top="0.94488188976377963" bottom="0.86614173228346458" header="0.31496062992125984" footer="0.31496062992125984"/>
  <pageSetup paperSize="8" scale="77" fitToHeight="0" orientation="landscape" r:id="rId1"/>
  <headerFooter>
    <oddHeader>&amp;C&amp;G</oddHeader>
    <oddFooter xml:space="preserve">&amp;L&amp;G&amp;R&amp;8geoviasdep@gmail.com
CNPJ 13.771.804/0001-36
(49) 3312-0413
Avenida Brasília, 2400 - Sala 05
Centro – Pinhalzinho – SC CEP – 89870-000
</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R57"/>
  <sheetViews>
    <sheetView view="pageBreakPreview" zoomScaleNormal="100" zoomScaleSheetLayoutView="100" workbookViewId="0"/>
  </sheetViews>
  <sheetFormatPr defaultRowHeight="15" x14ac:dyDescent="0.25"/>
  <cols>
    <col min="2" max="2" width="8.140625" customWidth="1"/>
    <col min="3" max="3" width="1.5703125" bestFit="1" customWidth="1"/>
    <col min="4" max="4" width="4.7109375" bestFit="1" customWidth="1"/>
    <col min="5" max="5" width="20.42578125" customWidth="1"/>
    <col min="6" max="7" width="9.42578125" customWidth="1"/>
    <col min="8" max="8" width="10.5703125" customWidth="1"/>
    <col min="9" max="9" width="8.140625" customWidth="1"/>
    <col min="10" max="12" width="6.5703125" customWidth="1"/>
    <col min="13" max="14" width="4.42578125" customWidth="1"/>
    <col min="15" max="15" width="9.140625" bestFit="1" customWidth="1"/>
    <col min="16" max="16" width="8.140625" bestFit="1" customWidth="1"/>
    <col min="17" max="17" width="4.42578125" bestFit="1" customWidth="1"/>
    <col min="18" max="18" width="6.140625" bestFit="1" customWidth="1"/>
    <col min="19" max="19" width="4.42578125" customWidth="1"/>
    <col min="20" max="21" width="6.140625" bestFit="1" customWidth="1"/>
    <col min="22" max="22" width="6.85546875" bestFit="1" customWidth="1"/>
    <col min="23" max="23" width="6.5703125" customWidth="1"/>
    <col min="24" max="24" width="6.7109375" customWidth="1"/>
    <col min="25" max="26" width="6.140625" customWidth="1"/>
    <col min="27" max="27" width="8.85546875" customWidth="1"/>
    <col min="28" max="28" width="7.85546875" customWidth="1"/>
    <col min="29" max="29" width="8.85546875" customWidth="1"/>
    <col min="30" max="30" width="5.85546875" customWidth="1"/>
    <col min="31" max="31" width="5" customWidth="1"/>
    <col min="32" max="33" width="4.42578125" customWidth="1"/>
    <col min="34" max="34" width="5.28515625" customWidth="1"/>
    <col min="35" max="35" width="6" customWidth="1"/>
    <col min="36" max="36" width="5.5703125" customWidth="1"/>
    <col min="37" max="37" width="5.7109375" customWidth="1"/>
    <col min="38" max="38" width="8.42578125" customWidth="1"/>
    <col min="39" max="39" width="6.42578125" customWidth="1"/>
    <col min="40" max="40" width="1.7109375" customWidth="1"/>
    <col min="41" max="42" width="6.42578125" customWidth="1"/>
    <col min="43" max="43" width="1.7109375" customWidth="1"/>
    <col min="44" max="44" width="6.42578125" customWidth="1"/>
    <col min="45" max="45" width="6.85546875" customWidth="1"/>
    <col min="46" max="46" width="5.7109375" customWidth="1"/>
    <col min="47" max="47" width="11.42578125" customWidth="1"/>
    <col min="48" max="48" width="35.85546875" customWidth="1"/>
    <col min="49" max="49" width="5.140625" customWidth="1"/>
    <col min="50" max="50" width="5.5703125" customWidth="1"/>
    <col min="51" max="51" width="3.85546875" customWidth="1"/>
    <col min="52" max="53" width="7.7109375" customWidth="1"/>
    <col min="54" max="57" width="4.42578125" hidden="1" customWidth="1"/>
    <col min="58" max="58" width="2.5703125" hidden="1" customWidth="1"/>
    <col min="59" max="59" width="2.42578125" hidden="1" customWidth="1"/>
    <col min="60" max="63" width="4.42578125" hidden="1" customWidth="1"/>
    <col min="64" max="64" width="2.5703125" hidden="1" customWidth="1"/>
    <col min="65" max="65" width="2.42578125" hidden="1" customWidth="1"/>
    <col min="66" max="69" width="4.42578125" hidden="1" customWidth="1"/>
    <col min="70" max="70" width="5.28515625" hidden="1" customWidth="1"/>
    <col min="71" max="71" width="4.42578125" hidden="1" customWidth="1"/>
    <col min="72" max="72" width="6.140625" hidden="1" customWidth="1"/>
    <col min="73" max="75" width="4.42578125" hidden="1" customWidth="1"/>
    <col min="76" max="76" width="9.28515625" hidden="1" customWidth="1"/>
    <col min="77" max="77" width="4.42578125" hidden="1" customWidth="1"/>
    <col min="78" max="78" width="6.140625" hidden="1" customWidth="1"/>
    <col min="79" max="80" width="4.42578125" hidden="1" customWidth="1"/>
    <col min="81" max="81" width="5.85546875" hidden="1" customWidth="1"/>
    <col min="82" max="83" width="5.28515625" hidden="1" customWidth="1"/>
    <col min="84" max="84" width="6.140625" hidden="1" customWidth="1"/>
    <col min="85" max="85" width="5.42578125" hidden="1" customWidth="1"/>
    <col min="86" max="86" width="4.42578125" hidden="1" customWidth="1"/>
    <col min="87" max="87" width="6" hidden="1" customWidth="1"/>
    <col min="88" max="88" width="9.140625" hidden="1" customWidth="1"/>
    <col min="89" max="91" width="9.140625" customWidth="1"/>
    <col min="92" max="92" width="5.5703125" customWidth="1"/>
    <col min="93" max="93" width="1.5703125" customWidth="1"/>
    <col min="94" max="94" width="5.42578125" customWidth="1"/>
    <col min="95" max="95" width="16.28515625" customWidth="1"/>
    <col min="96" max="96" width="12.7109375" bestFit="1" customWidth="1"/>
    <col min="97" max="97" width="6" bestFit="1" customWidth="1"/>
    <col min="98" max="98" width="4" customWidth="1"/>
    <col min="99" max="100" width="4.7109375" customWidth="1"/>
    <col min="101" max="101" width="4" customWidth="1"/>
    <col min="102" max="107" width="4.42578125" customWidth="1"/>
    <col min="108" max="108" width="4.85546875" customWidth="1"/>
    <col min="109" max="109" width="6" customWidth="1"/>
    <col min="110" max="116" width="4.85546875" customWidth="1"/>
    <col min="117" max="122" width="5.28515625" customWidth="1"/>
    <col min="123" max="123" width="6.85546875" customWidth="1"/>
    <col min="124" max="124" width="5.7109375" customWidth="1"/>
    <col min="125" max="125" width="7.42578125" customWidth="1"/>
    <col min="126" max="126" width="8.140625" customWidth="1"/>
    <col min="127" max="127" width="6.85546875" customWidth="1"/>
    <col min="128" max="128" width="5.140625" customWidth="1"/>
    <col min="129" max="129" width="6.85546875" bestFit="1" customWidth="1"/>
    <col min="130" max="130" width="8.140625" customWidth="1"/>
    <col min="131" max="131" width="8" customWidth="1"/>
    <col min="132" max="132" width="6.7109375" customWidth="1"/>
    <col min="133" max="133" width="8.140625" customWidth="1"/>
    <col min="134" max="134" width="3.140625" customWidth="1"/>
    <col min="135" max="135" width="8.140625" customWidth="1"/>
    <col min="136" max="136" width="6.85546875" customWidth="1"/>
    <col min="137" max="139" width="9.140625" customWidth="1"/>
    <col min="140" max="140" width="7.28515625" customWidth="1"/>
    <col min="141" max="141" width="6.28515625" bestFit="1" customWidth="1"/>
    <col min="142" max="142" width="2.7109375" bestFit="1" customWidth="1"/>
    <col min="143" max="143" width="10.5703125" customWidth="1"/>
    <col min="144" max="144" width="9.42578125" customWidth="1"/>
    <col min="145" max="145" width="6.28515625" customWidth="1"/>
    <col min="146" max="146" width="9.85546875" customWidth="1"/>
    <col min="147" max="147" width="4.7109375" bestFit="1" customWidth="1"/>
    <col min="148" max="148" width="6.28515625" bestFit="1" customWidth="1"/>
    <col min="149" max="149" width="3.5703125" bestFit="1" customWidth="1"/>
    <col min="150" max="150" width="12.5703125" customWidth="1"/>
    <col min="151" max="151" width="9" bestFit="1" customWidth="1"/>
    <col min="152" max="152" width="6.85546875" customWidth="1"/>
    <col min="153" max="153" width="9.42578125" customWidth="1"/>
    <col min="154" max="154" width="8.140625" customWidth="1"/>
    <col min="155" max="155" width="7.28515625" customWidth="1"/>
    <col min="156" max="156" width="5.85546875" customWidth="1"/>
    <col min="157" max="157" width="6.7109375" customWidth="1"/>
    <col min="158" max="158" width="6.85546875" customWidth="1"/>
    <col min="159" max="159" width="7" customWidth="1"/>
    <col min="160" max="160" width="6.85546875" customWidth="1"/>
    <col min="161" max="161" width="4.42578125" customWidth="1"/>
    <col min="162" max="162" width="6.85546875" customWidth="1"/>
    <col min="163" max="163" width="6.28515625" customWidth="1"/>
    <col min="164" max="164" width="4.85546875" bestFit="1" customWidth="1"/>
    <col min="165" max="165" width="4.85546875" customWidth="1"/>
    <col min="166" max="171" width="4.85546875" bestFit="1" customWidth="1"/>
    <col min="172" max="172" width="5" bestFit="1" customWidth="1"/>
    <col min="173" max="173" width="5.7109375" bestFit="1" customWidth="1"/>
    <col min="174" max="182" width="5.7109375" customWidth="1"/>
    <col min="183" max="184" width="4.85546875" bestFit="1" customWidth="1"/>
    <col min="185" max="185" width="4.85546875" customWidth="1"/>
    <col min="186" max="190" width="4.85546875" bestFit="1" customWidth="1"/>
    <col min="191" max="192" width="4.85546875" customWidth="1"/>
    <col min="193" max="195" width="4.42578125" bestFit="1" customWidth="1"/>
    <col min="196" max="197" width="4.42578125" customWidth="1"/>
    <col min="198" max="198" width="4.42578125" bestFit="1" customWidth="1"/>
    <col min="200" max="200" width="11.42578125" bestFit="1" customWidth="1"/>
    <col min="315" max="315" width="6" customWidth="1"/>
    <col min="316" max="316" width="1.5703125" bestFit="1" customWidth="1"/>
    <col min="317" max="317" width="5.42578125" bestFit="1" customWidth="1"/>
    <col min="318" max="318" width="20.28515625" customWidth="1"/>
    <col min="319" max="319" width="7.28515625" customWidth="1"/>
    <col min="320" max="320" width="5.28515625" customWidth="1"/>
    <col min="321" max="321" width="6.5703125" customWidth="1"/>
    <col min="322" max="322" width="4.42578125" customWidth="1"/>
    <col min="323" max="323" width="8.28515625" customWidth="1"/>
    <col min="324" max="324" width="4.7109375" customWidth="1"/>
    <col min="325" max="325" width="5.7109375" customWidth="1"/>
    <col min="326" max="326" width="8" customWidth="1"/>
    <col min="327" max="327" width="6.85546875" customWidth="1"/>
    <col min="328" max="328" width="6.140625" customWidth="1"/>
    <col min="329" max="330" width="8.28515625" customWidth="1"/>
    <col min="331" max="332" width="5.85546875" customWidth="1"/>
    <col min="333" max="333" width="7" customWidth="1"/>
    <col min="334" max="334" width="5.85546875" customWidth="1"/>
    <col min="335" max="335" width="6.42578125" customWidth="1"/>
    <col min="336" max="336" width="1.7109375" customWidth="1"/>
    <col min="337" max="338" width="6.42578125" customWidth="1"/>
    <col min="339" max="339" width="1.7109375" customWidth="1"/>
    <col min="340" max="340" width="6.42578125" customWidth="1"/>
    <col min="341" max="341" width="6.85546875" customWidth="1"/>
    <col min="342" max="342" width="5.7109375" customWidth="1"/>
    <col min="343" max="343" width="3.28515625" customWidth="1"/>
    <col min="344" max="344" width="4" customWidth="1"/>
    <col min="345" max="345" width="14" customWidth="1"/>
    <col min="346" max="346" width="9.140625" customWidth="1"/>
    <col min="347" max="347" width="9.5703125" customWidth="1"/>
    <col min="348" max="348" width="1.5703125" customWidth="1"/>
    <col min="349" max="349" width="5.42578125" customWidth="1"/>
    <col min="350" max="350" width="19.140625" customWidth="1"/>
    <col min="351" max="351" width="7.28515625" customWidth="1"/>
    <col min="352" max="352" width="5.28515625" customWidth="1"/>
    <col min="353" max="353" width="4" customWidth="1"/>
    <col min="354" max="358" width="4.85546875" customWidth="1"/>
    <col min="359" max="359" width="6.85546875" customWidth="1"/>
    <col min="360" max="360" width="5.7109375" customWidth="1"/>
    <col min="361" max="361" width="7.7109375" customWidth="1"/>
    <col min="362" max="362" width="6.85546875" customWidth="1"/>
    <col min="363" max="363" width="5.140625" customWidth="1"/>
    <col min="364" max="364" width="7.85546875" customWidth="1"/>
    <col min="365" max="365" width="4.42578125" customWidth="1"/>
    <col min="366" max="366" width="6.85546875" customWidth="1"/>
    <col min="367" max="368" width="8" customWidth="1"/>
    <col min="369" max="369" width="6" customWidth="1"/>
    <col min="370" max="370" width="3.140625" customWidth="1"/>
    <col min="371" max="371" width="6" customWidth="1"/>
    <col min="372" max="372" width="5.5703125" customWidth="1"/>
    <col min="373" max="373" width="6.7109375" customWidth="1"/>
    <col min="374" max="374" width="6.85546875" customWidth="1"/>
    <col min="375" max="375" width="8.140625" customWidth="1"/>
    <col min="376" max="376" width="4.42578125" customWidth="1"/>
    <col min="377" max="377" width="7.140625" customWidth="1"/>
    <col min="378" max="378" width="6.5703125" customWidth="1"/>
    <col min="379" max="379" width="6.42578125" customWidth="1"/>
    <col min="380" max="380" width="8.28515625" customWidth="1"/>
    <col min="381" max="381" width="5.42578125" customWidth="1"/>
    <col min="382" max="382" width="7.5703125" customWidth="1"/>
    <col min="383" max="383" width="5.140625" customWidth="1"/>
    <col min="384" max="386" width="9.140625" customWidth="1"/>
    <col min="388" max="388" width="19.7109375" customWidth="1"/>
    <col min="389" max="389" width="6.5703125" customWidth="1"/>
    <col min="390" max="390" width="3.5703125" bestFit="1" customWidth="1"/>
    <col min="391" max="391" width="6.85546875" bestFit="1" customWidth="1"/>
    <col min="392" max="394" width="5.85546875" customWidth="1"/>
    <col min="395" max="395" width="6" bestFit="1" customWidth="1"/>
    <col min="396" max="398" width="0" hidden="1" customWidth="1"/>
    <col min="399" max="399" width="6" bestFit="1" customWidth="1"/>
    <col min="400" max="400" width="6.85546875" bestFit="1" customWidth="1"/>
    <col min="401" max="401" width="7" bestFit="1" customWidth="1"/>
    <col min="402" max="402" width="6" bestFit="1" customWidth="1"/>
    <col min="403" max="403" width="4.42578125" bestFit="1" customWidth="1"/>
    <col min="404" max="404" width="6" bestFit="1" customWidth="1"/>
    <col min="405" max="405" width="6.28515625" bestFit="1" customWidth="1"/>
    <col min="406" max="412" width="4.85546875" bestFit="1" customWidth="1"/>
    <col min="413" max="413" width="5" bestFit="1" customWidth="1"/>
    <col min="414" max="414" width="4.85546875" bestFit="1" customWidth="1"/>
    <col min="415" max="415" width="4.42578125" bestFit="1" customWidth="1"/>
    <col min="416" max="416" width="5.140625" bestFit="1" customWidth="1"/>
    <col min="417" max="417" width="4.85546875" bestFit="1" customWidth="1"/>
    <col min="418" max="418" width="5" bestFit="1" customWidth="1"/>
    <col min="419" max="420" width="5.28515625" bestFit="1" customWidth="1"/>
    <col min="421" max="421" width="5" bestFit="1" customWidth="1"/>
    <col min="422" max="422" width="4.42578125" bestFit="1" customWidth="1"/>
    <col min="423" max="423" width="4.5703125" bestFit="1" customWidth="1"/>
    <col min="424" max="425" width="5.140625" bestFit="1" customWidth="1"/>
    <col min="426" max="426" width="4.85546875" bestFit="1" customWidth="1"/>
    <col min="427" max="427" width="5.42578125" bestFit="1" customWidth="1"/>
    <col min="428" max="428" width="0" hidden="1" customWidth="1"/>
    <col min="429" max="429" width="6.5703125" bestFit="1" customWidth="1"/>
    <col min="571" max="571" width="6" customWidth="1"/>
    <col min="572" max="572" width="1.5703125" bestFit="1" customWidth="1"/>
    <col min="573" max="573" width="5.42578125" bestFit="1" customWidth="1"/>
    <col min="574" max="574" width="20.28515625" customWidth="1"/>
    <col min="575" max="575" width="7.28515625" customWidth="1"/>
    <col min="576" max="576" width="5.28515625" customWidth="1"/>
    <col min="577" max="577" width="6.5703125" customWidth="1"/>
    <col min="578" max="578" width="4.42578125" customWidth="1"/>
    <col min="579" max="579" width="8.28515625" customWidth="1"/>
    <col min="580" max="580" width="4.7109375" customWidth="1"/>
    <col min="581" max="581" width="5.7109375" customWidth="1"/>
    <col min="582" max="582" width="8" customWidth="1"/>
    <col min="583" max="583" width="6.85546875" customWidth="1"/>
    <col min="584" max="584" width="6.140625" customWidth="1"/>
    <col min="585" max="586" width="8.28515625" customWidth="1"/>
    <col min="587" max="588" width="5.85546875" customWidth="1"/>
    <col min="589" max="589" width="7" customWidth="1"/>
    <col min="590" max="590" width="5.85546875" customWidth="1"/>
    <col min="591" max="591" width="6.42578125" customWidth="1"/>
    <col min="592" max="592" width="1.7109375" customWidth="1"/>
    <col min="593" max="594" width="6.42578125" customWidth="1"/>
    <col min="595" max="595" width="1.7109375" customWidth="1"/>
    <col min="596" max="596" width="6.42578125" customWidth="1"/>
    <col min="597" max="597" width="6.85546875" customWidth="1"/>
    <col min="598" max="598" width="5.7109375" customWidth="1"/>
    <col min="599" max="599" width="3.28515625" customWidth="1"/>
    <col min="600" max="600" width="4" customWidth="1"/>
    <col min="601" max="601" width="14" customWidth="1"/>
    <col min="602" max="602" width="9.140625" customWidth="1"/>
    <col min="603" max="603" width="9.5703125" customWidth="1"/>
    <col min="604" max="604" width="1.5703125" customWidth="1"/>
    <col min="605" max="605" width="5.42578125" customWidth="1"/>
    <col min="606" max="606" width="19.140625" customWidth="1"/>
    <col min="607" max="607" width="7.28515625" customWidth="1"/>
    <col min="608" max="608" width="5.28515625" customWidth="1"/>
    <col min="609" max="609" width="4" customWidth="1"/>
    <col min="610" max="614" width="4.85546875" customWidth="1"/>
    <col min="615" max="615" width="6.85546875" customWidth="1"/>
    <col min="616" max="616" width="5.7109375" customWidth="1"/>
    <col min="617" max="617" width="7.7109375" customWidth="1"/>
    <col min="618" max="618" width="6.85546875" customWidth="1"/>
    <col min="619" max="619" width="5.140625" customWidth="1"/>
    <col min="620" max="620" width="7.85546875" customWidth="1"/>
    <col min="621" max="621" width="4.42578125" customWidth="1"/>
    <col min="622" max="622" width="6.85546875" customWidth="1"/>
    <col min="623" max="624" width="8" customWidth="1"/>
    <col min="625" max="625" width="6" customWidth="1"/>
    <col min="626" max="626" width="3.140625" customWidth="1"/>
    <col min="627" max="627" width="6" customWidth="1"/>
    <col min="628" max="628" width="5.5703125" customWidth="1"/>
    <col min="629" max="629" width="6.7109375" customWidth="1"/>
    <col min="630" max="630" width="6.85546875" customWidth="1"/>
    <col min="631" max="631" width="8.140625" customWidth="1"/>
    <col min="632" max="632" width="4.42578125" customWidth="1"/>
    <col min="633" max="633" width="7.140625" customWidth="1"/>
    <col min="634" max="634" width="6.5703125" customWidth="1"/>
    <col min="635" max="635" width="6.42578125" customWidth="1"/>
    <col min="636" max="636" width="8.28515625" customWidth="1"/>
    <col min="637" max="637" width="5.42578125" customWidth="1"/>
    <col min="638" max="638" width="7.5703125" customWidth="1"/>
    <col min="639" max="639" width="5.140625" customWidth="1"/>
    <col min="640" max="642" width="9.140625" customWidth="1"/>
    <col min="644" max="644" width="19.7109375" customWidth="1"/>
    <col min="645" max="645" width="6.5703125" customWidth="1"/>
    <col min="646" max="646" width="3.5703125" bestFit="1" customWidth="1"/>
    <col min="647" max="647" width="6.85546875" bestFit="1" customWidth="1"/>
    <col min="648" max="650" width="5.85546875" customWidth="1"/>
    <col min="651" max="651" width="6" bestFit="1" customWidth="1"/>
    <col min="652" max="654" width="0" hidden="1" customWidth="1"/>
    <col min="655" max="655" width="6" bestFit="1" customWidth="1"/>
    <col min="656" max="656" width="6.85546875" bestFit="1" customWidth="1"/>
    <col min="657" max="657" width="7" bestFit="1" customWidth="1"/>
    <col min="658" max="658" width="6" bestFit="1" customWidth="1"/>
    <col min="659" max="659" width="4.42578125" bestFit="1" customWidth="1"/>
    <col min="660" max="660" width="6" bestFit="1" customWidth="1"/>
    <col min="661" max="661" width="6.28515625" bestFit="1" customWidth="1"/>
    <col min="662" max="668" width="4.85546875" bestFit="1" customWidth="1"/>
    <col min="669" max="669" width="5" bestFit="1" customWidth="1"/>
    <col min="670" max="670" width="4.85546875" bestFit="1" customWidth="1"/>
    <col min="671" max="671" width="4.42578125" bestFit="1" customWidth="1"/>
    <col min="672" max="672" width="5.140625" bestFit="1" customWidth="1"/>
    <col min="673" max="673" width="4.85546875" bestFit="1" customWidth="1"/>
    <col min="674" max="674" width="5" bestFit="1" customWidth="1"/>
    <col min="675" max="676" width="5.28515625" bestFit="1" customWidth="1"/>
    <col min="677" max="677" width="5" bestFit="1" customWidth="1"/>
    <col min="678" max="678" width="4.42578125" bestFit="1" customWidth="1"/>
    <col min="679" max="679" width="4.5703125" bestFit="1" customWidth="1"/>
    <col min="680" max="681" width="5.140625" bestFit="1" customWidth="1"/>
    <col min="682" max="682" width="4.85546875" bestFit="1" customWidth="1"/>
    <col min="683" max="683" width="5.42578125" bestFit="1" customWidth="1"/>
    <col min="684" max="684" width="0" hidden="1" customWidth="1"/>
    <col min="685" max="685" width="6.5703125" bestFit="1" customWidth="1"/>
    <col min="827" max="827" width="6" customWidth="1"/>
    <col min="828" max="828" width="1.5703125" bestFit="1" customWidth="1"/>
    <col min="829" max="829" width="5.42578125" bestFit="1" customWidth="1"/>
    <col min="830" max="830" width="20.28515625" customWidth="1"/>
    <col min="831" max="831" width="7.28515625" customWidth="1"/>
    <col min="832" max="832" width="5.28515625" customWidth="1"/>
    <col min="833" max="833" width="6.5703125" customWidth="1"/>
    <col min="834" max="834" width="4.42578125" customWidth="1"/>
    <col min="835" max="835" width="8.28515625" customWidth="1"/>
    <col min="836" max="836" width="4.7109375" customWidth="1"/>
    <col min="837" max="837" width="5.7109375" customWidth="1"/>
    <col min="838" max="838" width="8" customWidth="1"/>
    <col min="839" max="839" width="6.85546875" customWidth="1"/>
    <col min="840" max="840" width="6.140625" customWidth="1"/>
    <col min="841" max="842" width="8.28515625" customWidth="1"/>
    <col min="843" max="844" width="5.85546875" customWidth="1"/>
    <col min="845" max="845" width="7" customWidth="1"/>
    <col min="846" max="846" width="5.85546875" customWidth="1"/>
    <col min="847" max="847" width="6.42578125" customWidth="1"/>
    <col min="848" max="848" width="1.7109375" customWidth="1"/>
    <col min="849" max="850" width="6.42578125" customWidth="1"/>
    <col min="851" max="851" width="1.7109375" customWidth="1"/>
    <col min="852" max="852" width="6.42578125" customWidth="1"/>
    <col min="853" max="853" width="6.85546875" customWidth="1"/>
    <col min="854" max="854" width="5.7109375" customWidth="1"/>
    <col min="855" max="855" width="3.28515625" customWidth="1"/>
    <col min="856" max="856" width="4" customWidth="1"/>
    <col min="857" max="857" width="14" customWidth="1"/>
    <col min="858" max="858" width="9.140625" customWidth="1"/>
    <col min="859" max="859" width="9.5703125" customWidth="1"/>
    <col min="860" max="860" width="1.5703125" customWidth="1"/>
    <col min="861" max="861" width="5.42578125" customWidth="1"/>
    <col min="862" max="862" width="19.140625" customWidth="1"/>
    <col min="863" max="863" width="7.28515625" customWidth="1"/>
    <col min="864" max="864" width="5.28515625" customWidth="1"/>
    <col min="865" max="865" width="4" customWidth="1"/>
    <col min="866" max="870" width="4.85546875" customWidth="1"/>
    <col min="871" max="871" width="6.85546875" customWidth="1"/>
    <col min="872" max="872" width="5.7109375" customWidth="1"/>
    <col min="873" max="873" width="7.7109375" customWidth="1"/>
    <col min="874" max="874" width="6.85546875" customWidth="1"/>
    <col min="875" max="875" width="5.140625" customWidth="1"/>
    <col min="876" max="876" width="7.85546875" customWidth="1"/>
    <col min="877" max="877" width="4.42578125" customWidth="1"/>
    <col min="878" max="878" width="6.85546875" customWidth="1"/>
    <col min="879" max="880" width="8" customWidth="1"/>
    <col min="881" max="881" width="6" customWidth="1"/>
    <col min="882" max="882" width="3.140625" customWidth="1"/>
    <col min="883" max="883" width="6" customWidth="1"/>
    <col min="884" max="884" width="5.5703125" customWidth="1"/>
    <col min="885" max="885" width="6.7109375" customWidth="1"/>
    <col min="886" max="886" width="6.85546875" customWidth="1"/>
    <col min="887" max="887" width="8.140625" customWidth="1"/>
    <col min="888" max="888" width="4.42578125" customWidth="1"/>
    <col min="889" max="889" width="7.140625" customWidth="1"/>
    <col min="890" max="890" width="6.5703125" customWidth="1"/>
    <col min="891" max="891" width="6.42578125" customWidth="1"/>
    <col min="892" max="892" width="8.28515625" customWidth="1"/>
    <col min="893" max="893" width="5.42578125" customWidth="1"/>
    <col min="894" max="894" width="7.5703125" customWidth="1"/>
    <col min="895" max="895" width="5.140625" customWidth="1"/>
    <col min="896" max="898" width="9.140625" customWidth="1"/>
    <col min="900" max="900" width="19.7109375" customWidth="1"/>
    <col min="901" max="901" width="6.5703125" customWidth="1"/>
    <col min="902" max="902" width="3.5703125" bestFit="1" customWidth="1"/>
    <col min="903" max="903" width="6.85546875" bestFit="1" customWidth="1"/>
    <col min="904" max="906" width="5.85546875" customWidth="1"/>
    <col min="907" max="907" width="6" bestFit="1" customWidth="1"/>
    <col min="908" max="910" width="0" hidden="1" customWidth="1"/>
    <col min="911" max="911" width="6" bestFit="1" customWidth="1"/>
    <col min="912" max="912" width="6.85546875" bestFit="1" customWidth="1"/>
    <col min="913" max="913" width="7" bestFit="1" customWidth="1"/>
    <col min="914" max="914" width="6" bestFit="1" customWidth="1"/>
    <col min="915" max="915" width="4.42578125" bestFit="1" customWidth="1"/>
    <col min="916" max="916" width="6" bestFit="1" customWidth="1"/>
    <col min="917" max="917" width="6.28515625" bestFit="1" customWidth="1"/>
    <col min="918" max="924" width="4.85546875" bestFit="1" customWidth="1"/>
    <col min="925" max="925" width="5" bestFit="1" customWidth="1"/>
    <col min="926" max="926" width="4.85546875" bestFit="1" customWidth="1"/>
    <col min="927" max="927" width="4.42578125" bestFit="1" customWidth="1"/>
    <col min="928" max="928" width="5.140625" bestFit="1" customWidth="1"/>
    <col min="929" max="929" width="4.85546875" bestFit="1" customWidth="1"/>
    <col min="930" max="930" width="5" bestFit="1" customWidth="1"/>
    <col min="931" max="932" width="5.28515625" bestFit="1" customWidth="1"/>
    <col min="933" max="933" width="5" bestFit="1" customWidth="1"/>
    <col min="934" max="934" width="4.42578125" bestFit="1" customWidth="1"/>
    <col min="935" max="935" width="4.5703125" bestFit="1" customWidth="1"/>
    <col min="936" max="937" width="5.140625" bestFit="1" customWidth="1"/>
    <col min="938" max="938" width="4.85546875" bestFit="1" customWidth="1"/>
    <col min="939" max="939" width="5.42578125" bestFit="1" customWidth="1"/>
    <col min="940" max="940" width="0" hidden="1" customWidth="1"/>
    <col min="941" max="941" width="6.5703125" bestFit="1" customWidth="1"/>
    <col min="1083" max="1083" width="6" customWidth="1"/>
    <col min="1084" max="1084" width="1.5703125" bestFit="1" customWidth="1"/>
    <col min="1085" max="1085" width="5.42578125" bestFit="1" customWidth="1"/>
    <col min="1086" max="1086" width="20.28515625" customWidth="1"/>
    <col min="1087" max="1087" width="7.28515625" customWidth="1"/>
    <col min="1088" max="1088" width="5.28515625" customWidth="1"/>
    <col min="1089" max="1089" width="6.5703125" customWidth="1"/>
    <col min="1090" max="1090" width="4.42578125" customWidth="1"/>
    <col min="1091" max="1091" width="8.28515625" customWidth="1"/>
    <col min="1092" max="1092" width="4.7109375" customWidth="1"/>
    <col min="1093" max="1093" width="5.7109375" customWidth="1"/>
    <col min="1094" max="1094" width="8" customWidth="1"/>
    <col min="1095" max="1095" width="6.85546875" customWidth="1"/>
    <col min="1096" max="1096" width="6.140625" customWidth="1"/>
    <col min="1097" max="1098" width="8.28515625" customWidth="1"/>
    <col min="1099" max="1100" width="5.85546875" customWidth="1"/>
    <col min="1101" max="1101" width="7" customWidth="1"/>
    <col min="1102" max="1102" width="5.85546875" customWidth="1"/>
    <col min="1103" max="1103" width="6.42578125" customWidth="1"/>
    <col min="1104" max="1104" width="1.7109375" customWidth="1"/>
    <col min="1105" max="1106" width="6.42578125" customWidth="1"/>
    <col min="1107" max="1107" width="1.7109375" customWidth="1"/>
    <col min="1108" max="1108" width="6.42578125" customWidth="1"/>
    <col min="1109" max="1109" width="6.85546875" customWidth="1"/>
    <col min="1110" max="1110" width="5.7109375" customWidth="1"/>
    <col min="1111" max="1111" width="3.28515625" customWidth="1"/>
    <col min="1112" max="1112" width="4" customWidth="1"/>
    <col min="1113" max="1113" width="14" customWidth="1"/>
    <col min="1114" max="1114" width="9.140625" customWidth="1"/>
    <col min="1115" max="1115" width="9.5703125" customWidth="1"/>
    <col min="1116" max="1116" width="1.5703125" customWidth="1"/>
    <col min="1117" max="1117" width="5.42578125" customWidth="1"/>
    <col min="1118" max="1118" width="19.140625" customWidth="1"/>
    <col min="1119" max="1119" width="7.28515625" customWidth="1"/>
    <col min="1120" max="1120" width="5.28515625" customWidth="1"/>
    <col min="1121" max="1121" width="4" customWidth="1"/>
    <col min="1122" max="1126" width="4.85546875" customWidth="1"/>
    <col min="1127" max="1127" width="6.85546875" customWidth="1"/>
    <col min="1128" max="1128" width="5.7109375" customWidth="1"/>
    <col min="1129" max="1129" width="7.7109375" customWidth="1"/>
    <col min="1130" max="1130" width="6.85546875" customWidth="1"/>
    <col min="1131" max="1131" width="5.140625" customWidth="1"/>
    <col min="1132" max="1132" width="7.85546875" customWidth="1"/>
    <col min="1133" max="1133" width="4.42578125" customWidth="1"/>
    <col min="1134" max="1134" width="6.85546875" customWidth="1"/>
    <col min="1135" max="1136" width="8" customWidth="1"/>
    <col min="1137" max="1137" width="6" customWidth="1"/>
    <col min="1138" max="1138" width="3.140625" customWidth="1"/>
    <col min="1139" max="1139" width="6" customWidth="1"/>
    <col min="1140" max="1140" width="5.5703125" customWidth="1"/>
    <col min="1141" max="1141" width="6.7109375" customWidth="1"/>
    <col min="1142" max="1142" width="6.85546875" customWidth="1"/>
    <col min="1143" max="1143" width="8.140625" customWidth="1"/>
    <col min="1144" max="1144" width="4.42578125" customWidth="1"/>
    <col min="1145" max="1145" width="7.140625" customWidth="1"/>
    <col min="1146" max="1146" width="6.5703125" customWidth="1"/>
    <col min="1147" max="1147" width="6.42578125" customWidth="1"/>
    <col min="1148" max="1148" width="8.28515625" customWidth="1"/>
    <col min="1149" max="1149" width="5.42578125" customWidth="1"/>
    <col min="1150" max="1150" width="7.5703125" customWidth="1"/>
    <col min="1151" max="1151" width="5.140625" customWidth="1"/>
    <col min="1152" max="1154" width="9.140625" customWidth="1"/>
    <col min="1156" max="1156" width="19.7109375" customWidth="1"/>
    <col min="1157" max="1157" width="6.5703125" customWidth="1"/>
    <col min="1158" max="1158" width="3.5703125" bestFit="1" customWidth="1"/>
    <col min="1159" max="1159" width="6.85546875" bestFit="1" customWidth="1"/>
    <col min="1160" max="1162" width="5.85546875" customWidth="1"/>
    <col min="1163" max="1163" width="6" bestFit="1" customWidth="1"/>
    <col min="1164" max="1166" width="0" hidden="1" customWidth="1"/>
    <col min="1167" max="1167" width="6" bestFit="1" customWidth="1"/>
    <col min="1168" max="1168" width="6.85546875" bestFit="1" customWidth="1"/>
    <col min="1169" max="1169" width="7" bestFit="1" customWidth="1"/>
    <col min="1170" max="1170" width="6" bestFit="1" customWidth="1"/>
    <col min="1171" max="1171" width="4.42578125" bestFit="1" customWidth="1"/>
    <col min="1172" max="1172" width="6" bestFit="1" customWidth="1"/>
    <col min="1173" max="1173" width="6.28515625" bestFit="1" customWidth="1"/>
    <col min="1174" max="1180" width="4.85546875" bestFit="1" customWidth="1"/>
    <col min="1181" max="1181" width="5" bestFit="1" customWidth="1"/>
    <col min="1182" max="1182" width="4.85546875" bestFit="1" customWidth="1"/>
    <col min="1183" max="1183" width="4.42578125" bestFit="1" customWidth="1"/>
    <col min="1184" max="1184" width="5.140625" bestFit="1" customWidth="1"/>
    <col min="1185" max="1185" width="4.85546875" bestFit="1" customWidth="1"/>
    <col min="1186" max="1186" width="5" bestFit="1" customWidth="1"/>
    <col min="1187" max="1188" width="5.28515625" bestFit="1" customWidth="1"/>
    <col min="1189" max="1189" width="5" bestFit="1" customWidth="1"/>
    <col min="1190" max="1190" width="4.42578125" bestFit="1" customWidth="1"/>
    <col min="1191" max="1191" width="4.5703125" bestFit="1" customWidth="1"/>
    <col min="1192" max="1193" width="5.140625" bestFit="1" customWidth="1"/>
    <col min="1194" max="1194" width="4.85546875" bestFit="1" customWidth="1"/>
    <col min="1195" max="1195" width="5.42578125" bestFit="1" customWidth="1"/>
    <col min="1196" max="1196" width="0" hidden="1" customWidth="1"/>
    <col min="1197" max="1197" width="6.5703125" bestFit="1" customWidth="1"/>
    <col min="1339" max="1339" width="6" customWidth="1"/>
    <col min="1340" max="1340" width="1.5703125" bestFit="1" customWidth="1"/>
    <col min="1341" max="1341" width="5.42578125" bestFit="1" customWidth="1"/>
    <col min="1342" max="1342" width="20.28515625" customWidth="1"/>
    <col min="1343" max="1343" width="7.28515625" customWidth="1"/>
    <col min="1344" max="1344" width="5.28515625" customWidth="1"/>
    <col min="1345" max="1345" width="6.5703125" customWidth="1"/>
    <col min="1346" max="1346" width="4.42578125" customWidth="1"/>
    <col min="1347" max="1347" width="8.28515625" customWidth="1"/>
    <col min="1348" max="1348" width="4.7109375" customWidth="1"/>
    <col min="1349" max="1349" width="5.7109375" customWidth="1"/>
    <col min="1350" max="1350" width="8" customWidth="1"/>
    <col min="1351" max="1351" width="6.85546875" customWidth="1"/>
    <col min="1352" max="1352" width="6.140625" customWidth="1"/>
    <col min="1353" max="1354" width="8.28515625" customWidth="1"/>
    <col min="1355" max="1356" width="5.85546875" customWidth="1"/>
    <col min="1357" max="1357" width="7" customWidth="1"/>
    <col min="1358" max="1358" width="5.85546875" customWidth="1"/>
    <col min="1359" max="1359" width="6.42578125" customWidth="1"/>
    <col min="1360" max="1360" width="1.7109375" customWidth="1"/>
    <col min="1361" max="1362" width="6.42578125" customWidth="1"/>
    <col min="1363" max="1363" width="1.7109375" customWidth="1"/>
    <col min="1364" max="1364" width="6.42578125" customWidth="1"/>
    <col min="1365" max="1365" width="6.85546875" customWidth="1"/>
    <col min="1366" max="1366" width="5.7109375" customWidth="1"/>
    <col min="1367" max="1367" width="3.28515625" customWidth="1"/>
    <col min="1368" max="1368" width="4" customWidth="1"/>
    <col min="1369" max="1369" width="14" customWidth="1"/>
    <col min="1370" max="1370" width="9.140625" customWidth="1"/>
    <col min="1371" max="1371" width="9.5703125" customWidth="1"/>
    <col min="1372" max="1372" width="1.5703125" customWidth="1"/>
    <col min="1373" max="1373" width="5.42578125" customWidth="1"/>
    <col min="1374" max="1374" width="19.140625" customWidth="1"/>
    <col min="1375" max="1375" width="7.28515625" customWidth="1"/>
    <col min="1376" max="1376" width="5.28515625" customWidth="1"/>
    <col min="1377" max="1377" width="4" customWidth="1"/>
    <col min="1378" max="1382" width="4.85546875" customWidth="1"/>
    <col min="1383" max="1383" width="6.85546875" customWidth="1"/>
    <col min="1384" max="1384" width="5.7109375" customWidth="1"/>
    <col min="1385" max="1385" width="7.7109375" customWidth="1"/>
    <col min="1386" max="1386" width="6.85546875" customWidth="1"/>
    <col min="1387" max="1387" width="5.140625" customWidth="1"/>
    <col min="1388" max="1388" width="7.85546875" customWidth="1"/>
    <col min="1389" max="1389" width="4.42578125" customWidth="1"/>
    <col min="1390" max="1390" width="6.85546875" customWidth="1"/>
    <col min="1391" max="1392" width="8" customWidth="1"/>
    <col min="1393" max="1393" width="6" customWidth="1"/>
    <col min="1394" max="1394" width="3.140625" customWidth="1"/>
    <col min="1395" max="1395" width="6" customWidth="1"/>
    <col min="1396" max="1396" width="5.5703125" customWidth="1"/>
    <col min="1397" max="1397" width="6.7109375" customWidth="1"/>
    <col min="1398" max="1398" width="6.85546875" customWidth="1"/>
    <col min="1399" max="1399" width="8.140625" customWidth="1"/>
    <col min="1400" max="1400" width="4.42578125" customWidth="1"/>
    <col min="1401" max="1401" width="7.140625" customWidth="1"/>
    <col min="1402" max="1402" width="6.5703125" customWidth="1"/>
    <col min="1403" max="1403" width="6.42578125" customWidth="1"/>
    <col min="1404" max="1404" width="8.28515625" customWidth="1"/>
    <col min="1405" max="1405" width="5.42578125" customWidth="1"/>
    <col min="1406" max="1406" width="7.5703125" customWidth="1"/>
    <col min="1407" max="1407" width="5.140625" customWidth="1"/>
    <col min="1408" max="1410" width="9.140625" customWidth="1"/>
    <col min="1412" max="1412" width="19.7109375" customWidth="1"/>
    <col min="1413" max="1413" width="6.5703125" customWidth="1"/>
    <col min="1414" max="1414" width="3.5703125" bestFit="1" customWidth="1"/>
    <col min="1415" max="1415" width="6.85546875" bestFit="1" customWidth="1"/>
    <col min="1416" max="1418" width="5.85546875" customWidth="1"/>
    <col min="1419" max="1419" width="6" bestFit="1" customWidth="1"/>
    <col min="1420" max="1422" width="0" hidden="1" customWidth="1"/>
    <col min="1423" max="1423" width="6" bestFit="1" customWidth="1"/>
    <col min="1424" max="1424" width="6.85546875" bestFit="1" customWidth="1"/>
    <col min="1425" max="1425" width="7" bestFit="1" customWidth="1"/>
    <col min="1426" max="1426" width="6" bestFit="1" customWidth="1"/>
    <col min="1427" max="1427" width="4.42578125" bestFit="1" customWidth="1"/>
    <col min="1428" max="1428" width="6" bestFit="1" customWidth="1"/>
    <col min="1429" max="1429" width="6.28515625" bestFit="1" customWidth="1"/>
    <col min="1430" max="1436" width="4.85546875" bestFit="1" customWidth="1"/>
    <col min="1437" max="1437" width="5" bestFit="1" customWidth="1"/>
    <col min="1438" max="1438" width="4.85546875" bestFit="1" customWidth="1"/>
    <col min="1439" max="1439" width="4.42578125" bestFit="1" customWidth="1"/>
    <col min="1440" max="1440" width="5.140625" bestFit="1" customWidth="1"/>
    <col min="1441" max="1441" width="4.85546875" bestFit="1" customWidth="1"/>
    <col min="1442" max="1442" width="5" bestFit="1" customWidth="1"/>
    <col min="1443" max="1444" width="5.28515625" bestFit="1" customWidth="1"/>
    <col min="1445" max="1445" width="5" bestFit="1" customWidth="1"/>
    <col min="1446" max="1446" width="4.42578125" bestFit="1" customWidth="1"/>
    <col min="1447" max="1447" width="4.5703125" bestFit="1" customWidth="1"/>
    <col min="1448" max="1449" width="5.140625" bestFit="1" customWidth="1"/>
    <col min="1450" max="1450" width="4.85546875" bestFit="1" customWidth="1"/>
    <col min="1451" max="1451" width="5.42578125" bestFit="1" customWidth="1"/>
    <col min="1452" max="1452" width="0" hidden="1" customWidth="1"/>
    <col min="1453" max="1453" width="6.5703125" bestFit="1" customWidth="1"/>
    <col min="1595" max="1595" width="6" customWidth="1"/>
    <col min="1596" max="1596" width="1.5703125" bestFit="1" customWidth="1"/>
    <col min="1597" max="1597" width="5.42578125" bestFit="1" customWidth="1"/>
    <col min="1598" max="1598" width="20.28515625" customWidth="1"/>
    <col min="1599" max="1599" width="7.28515625" customWidth="1"/>
    <col min="1600" max="1600" width="5.28515625" customWidth="1"/>
    <col min="1601" max="1601" width="6.5703125" customWidth="1"/>
    <col min="1602" max="1602" width="4.42578125" customWidth="1"/>
    <col min="1603" max="1603" width="8.28515625" customWidth="1"/>
    <col min="1604" max="1604" width="4.7109375" customWidth="1"/>
    <col min="1605" max="1605" width="5.7109375" customWidth="1"/>
    <col min="1606" max="1606" width="8" customWidth="1"/>
    <col min="1607" max="1607" width="6.85546875" customWidth="1"/>
    <col min="1608" max="1608" width="6.140625" customWidth="1"/>
    <col min="1609" max="1610" width="8.28515625" customWidth="1"/>
    <col min="1611" max="1612" width="5.85546875" customWidth="1"/>
    <col min="1613" max="1613" width="7" customWidth="1"/>
    <col min="1614" max="1614" width="5.85546875" customWidth="1"/>
    <col min="1615" max="1615" width="6.42578125" customWidth="1"/>
    <col min="1616" max="1616" width="1.7109375" customWidth="1"/>
    <col min="1617" max="1618" width="6.42578125" customWidth="1"/>
    <col min="1619" max="1619" width="1.7109375" customWidth="1"/>
    <col min="1620" max="1620" width="6.42578125" customWidth="1"/>
    <col min="1621" max="1621" width="6.85546875" customWidth="1"/>
    <col min="1622" max="1622" width="5.7109375" customWidth="1"/>
    <col min="1623" max="1623" width="3.28515625" customWidth="1"/>
    <col min="1624" max="1624" width="4" customWidth="1"/>
    <col min="1625" max="1625" width="14" customWidth="1"/>
    <col min="1626" max="1626" width="9.140625" customWidth="1"/>
    <col min="1627" max="1627" width="9.5703125" customWidth="1"/>
    <col min="1628" max="1628" width="1.5703125" customWidth="1"/>
    <col min="1629" max="1629" width="5.42578125" customWidth="1"/>
    <col min="1630" max="1630" width="19.140625" customWidth="1"/>
    <col min="1631" max="1631" width="7.28515625" customWidth="1"/>
    <col min="1632" max="1632" width="5.28515625" customWidth="1"/>
    <col min="1633" max="1633" width="4" customWidth="1"/>
    <col min="1634" max="1638" width="4.85546875" customWidth="1"/>
    <col min="1639" max="1639" width="6.85546875" customWidth="1"/>
    <col min="1640" max="1640" width="5.7109375" customWidth="1"/>
    <col min="1641" max="1641" width="7.7109375" customWidth="1"/>
    <col min="1642" max="1642" width="6.85546875" customWidth="1"/>
    <col min="1643" max="1643" width="5.140625" customWidth="1"/>
    <col min="1644" max="1644" width="7.85546875" customWidth="1"/>
    <col min="1645" max="1645" width="4.42578125" customWidth="1"/>
    <col min="1646" max="1646" width="6.85546875" customWidth="1"/>
    <col min="1647" max="1648" width="8" customWidth="1"/>
    <col min="1649" max="1649" width="6" customWidth="1"/>
    <col min="1650" max="1650" width="3.140625" customWidth="1"/>
    <col min="1651" max="1651" width="6" customWidth="1"/>
    <col min="1652" max="1652" width="5.5703125" customWidth="1"/>
    <col min="1653" max="1653" width="6.7109375" customWidth="1"/>
    <col min="1654" max="1654" width="6.85546875" customWidth="1"/>
    <col min="1655" max="1655" width="8.140625" customWidth="1"/>
    <col min="1656" max="1656" width="4.42578125" customWidth="1"/>
    <col min="1657" max="1657" width="7.140625" customWidth="1"/>
    <col min="1658" max="1658" width="6.5703125" customWidth="1"/>
    <col min="1659" max="1659" width="6.42578125" customWidth="1"/>
    <col min="1660" max="1660" width="8.28515625" customWidth="1"/>
    <col min="1661" max="1661" width="5.42578125" customWidth="1"/>
    <col min="1662" max="1662" width="7.5703125" customWidth="1"/>
    <col min="1663" max="1663" width="5.140625" customWidth="1"/>
    <col min="1664" max="1666" width="9.140625" customWidth="1"/>
    <col min="1668" max="1668" width="19.7109375" customWidth="1"/>
    <col min="1669" max="1669" width="6.5703125" customWidth="1"/>
    <col min="1670" max="1670" width="3.5703125" bestFit="1" customWidth="1"/>
    <col min="1671" max="1671" width="6.85546875" bestFit="1" customWidth="1"/>
    <col min="1672" max="1674" width="5.85546875" customWidth="1"/>
    <col min="1675" max="1675" width="6" bestFit="1" customWidth="1"/>
    <col min="1676" max="1678" width="0" hidden="1" customWidth="1"/>
    <col min="1679" max="1679" width="6" bestFit="1" customWidth="1"/>
    <col min="1680" max="1680" width="6.85546875" bestFit="1" customWidth="1"/>
    <col min="1681" max="1681" width="7" bestFit="1" customWidth="1"/>
    <col min="1682" max="1682" width="6" bestFit="1" customWidth="1"/>
    <col min="1683" max="1683" width="4.42578125" bestFit="1" customWidth="1"/>
    <col min="1684" max="1684" width="6" bestFit="1" customWidth="1"/>
    <col min="1685" max="1685" width="6.28515625" bestFit="1" customWidth="1"/>
    <col min="1686" max="1692" width="4.85546875" bestFit="1" customWidth="1"/>
    <col min="1693" max="1693" width="5" bestFit="1" customWidth="1"/>
    <col min="1694" max="1694" width="4.85546875" bestFit="1" customWidth="1"/>
    <col min="1695" max="1695" width="4.42578125" bestFit="1" customWidth="1"/>
    <col min="1696" max="1696" width="5.140625" bestFit="1" customWidth="1"/>
    <col min="1697" max="1697" width="4.85546875" bestFit="1" customWidth="1"/>
    <col min="1698" max="1698" width="5" bestFit="1" customWidth="1"/>
    <col min="1699" max="1700" width="5.28515625" bestFit="1" customWidth="1"/>
    <col min="1701" max="1701" width="5" bestFit="1" customWidth="1"/>
    <col min="1702" max="1702" width="4.42578125" bestFit="1" customWidth="1"/>
    <col min="1703" max="1703" width="4.5703125" bestFit="1" customWidth="1"/>
    <col min="1704" max="1705" width="5.140625" bestFit="1" customWidth="1"/>
    <col min="1706" max="1706" width="4.85546875" bestFit="1" customWidth="1"/>
    <col min="1707" max="1707" width="5.42578125" bestFit="1" customWidth="1"/>
    <col min="1708" max="1708" width="0" hidden="1" customWidth="1"/>
    <col min="1709" max="1709" width="6.5703125" bestFit="1" customWidth="1"/>
    <col min="1851" max="1851" width="6" customWidth="1"/>
    <col min="1852" max="1852" width="1.5703125" bestFit="1" customWidth="1"/>
    <col min="1853" max="1853" width="5.42578125" bestFit="1" customWidth="1"/>
    <col min="1854" max="1854" width="20.28515625" customWidth="1"/>
    <col min="1855" max="1855" width="7.28515625" customWidth="1"/>
    <col min="1856" max="1856" width="5.28515625" customWidth="1"/>
    <col min="1857" max="1857" width="6.5703125" customWidth="1"/>
    <col min="1858" max="1858" width="4.42578125" customWidth="1"/>
    <col min="1859" max="1859" width="8.28515625" customWidth="1"/>
    <col min="1860" max="1860" width="4.7109375" customWidth="1"/>
    <col min="1861" max="1861" width="5.7109375" customWidth="1"/>
    <col min="1862" max="1862" width="8" customWidth="1"/>
    <col min="1863" max="1863" width="6.85546875" customWidth="1"/>
    <col min="1864" max="1864" width="6.140625" customWidth="1"/>
    <col min="1865" max="1866" width="8.28515625" customWidth="1"/>
    <col min="1867" max="1868" width="5.85546875" customWidth="1"/>
    <col min="1869" max="1869" width="7" customWidth="1"/>
    <col min="1870" max="1870" width="5.85546875" customWidth="1"/>
    <col min="1871" max="1871" width="6.42578125" customWidth="1"/>
    <col min="1872" max="1872" width="1.7109375" customWidth="1"/>
    <col min="1873" max="1874" width="6.42578125" customWidth="1"/>
    <col min="1875" max="1875" width="1.7109375" customWidth="1"/>
    <col min="1876" max="1876" width="6.42578125" customWidth="1"/>
    <col min="1877" max="1877" width="6.85546875" customWidth="1"/>
    <col min="1878" max="1878" width="5.7109375" customWidth="1"/>
    <col min="1879" max="1879" width="3.28515625" customWidth="1"/>
    <col min="1880" max="1880" width="4" customWidth="1"/>
    <col min="1881" max="1881" width="14" customWidth="1"/>
    <col min="1882" max="1882" width="9.140625" customWidth="1"/>
    <col min="1883" max="1883" width="9.5703125" customWidth="1"/>
    <col min="1884" max="1884" width="1.5703125" customWidth="1"/>
    <col min="1885" max="1885" width="5.42578125" customWidth="1"/>
    <col min="1886" max="1886" width="19.140625" customWidth="1"/>
    <col min="1887" max="1887" width="7.28515625" customWidth="1"/>
    <col min="1888" max="1888" width="5.28515625" customWidth="1"/>
    <col min="1889" max="1889" width="4" customWidth="1"/>
    <col min="1890" max="1894" width="4.85546875" customWidth="1"/>
    <col min="1895" max="1895" width="6.85546875" customWidth="1"/>
    <col min="1896" max="1896" width="5.7109375" customWidth="1"/>
    <col min="1897" max="1897" width="7.7109375" customWidth="1"/>
    <col min="1898" max="1898" width="6.85546875" customWidth="1"/>
    <col min="1899" max="1899" width="5.140625" customWidth="1"/>
    <col min="1900" max="1900" width="7.85546875" customWidth="1"/>
    <col min="1901" max="1901" width="4.42578125" customWidth="1"/>
    <col min="1902" max="1902" width="6.85546875" customWidth="1"/>
    <col min="1903" max="1904" width="8" customWidth="1"/>
    <col min="1905" max="1905" width="6" customWidth="1"/>
    <col min="1906" max="1906" width="3.140625" customWidth="1"/>
    <col min="1907" max="1907" width="6" customWidth="1"/>
    <col min="1908" max="1908" width="5.5703125" customWidth="1"/>
    <col min="1909" max="1909" width="6.7109375" customWidth="1"/>
    <col min="1910" max="1910" width="6.85546875" customWidth="1"/>
    <col min="1911" max="1911" width="8.140625" customWidth="1"/>
    <col min="1912" max="1912" width="4.42578125" customWidth="1"/>
    <col min="1913" max="1913" width="7.140625" customWidth="1"/>
    <col min="1914" max="1914" width="6.5703125" customWidth="1"/>
    <col min="1915" max="1915" width="6.42578125" customWidth="1"/>
    <col min="1916" max="1916" width="8.28515625" customWidth="1"/>
    <col min="1917" max="1917" width="5.42578125" customWidth="1"/>
    <col min="1918" max="1918" width="7.5703125" customWidth="1"/>
    <col min="1919" max="1919" width="5.140625" customWidth="1"/>
    <col min="1920" max="1922" width="9.140625" customWidth="1"/>
    <col min="1924" max="1924" width="19.7109375" customWidth="1"/>
    <col min="1925" max="1925" width="6.5703125" customWidth="1"/>
    <col min="1926" max="1926" width="3.5703125" bestFit="1" customWidth="1"/>
    <col min="1927" max="1927" width="6.85546875" bestFit="1" customWidth="1"/>
    <col min="1928" max="1930" width="5.85546875" customWidth="1"/>
    <col min="1931" max="1931" width="6" bestFit="1" customWidth="1"/>
    <col min="1932" max="1934" width="0" hidden="1" customWidth="1"/>
    <col min="1935" max="1935" width="6" bestFit="1" customWidth="1"/>
    <col min="1936" max="1936" width="6.85546875" bestFit="1" customWidth="1"/>
    <col min="1937" max="1937" width="7" bestFit="1" customWidth="1"/>
    <col min="1938" max="1938" width="6" bestFit="1" customWidth="1"/>
    <col min="1939" max="1939" width="4.42578125" bestFit="1" customWidth="1"/>
    <col min="1940" max="1940" width="6" bestFit="1" customWidth="1"/>
    <col min="1941" max="1941" width="6.28515625" bestFit="1" customWidth="1"/>
    <col min="1942" max="1948" width="4.85546875" bestFit="1" customWidth="1"/>
    <col min="1949" max="1949" width="5" bestFit="1" customWidth="1"/>
    <col min="1950" max="1950" width="4.85546875" bestFit="1" customWidth="1"/>
    <col min="1951" max="1951" width="4.42578125" bestFit="1" customWidth="1"/>
    <col min="1952" max="1952" width="5.140625" bestFit="1" customWidth="1"/>
    <col min="1953" max="1953" width="4.85546875" bestFit="1" customWidth="1"/>
    <col min="1954" max="1954" width="5" bestFit="1" customWidth="1"/>
    <col min="1955" max="1956" width="5.28515625" bestFit="1" customWidth="1"/>
    <col min="1957" max="1957" width="5" bestFit="1" customWidth="1"/>
    <col min="1958" max="1958" width="4.42578125" bestFit="1" customWidth="1"/>
    <col min="1959" max="1959" width="4.5703125" bestFit="1" customWidth="1"/>
    <col min="1960" max="1961" width="5.140625" bestFit="1" customWidth="1"/>
    <col min="1962" max="1962" width="4.85546875" bestFit="1" customWidth="1"/>
    <col min="1963" max="1963" width="5.42578125" bestFit="1" customWidth="1"/>
    <col min="1964" max="1964" width="0" hidden="1" customWidth="1"/>
    <col min="1965" max="1965" width="6.5703125" bestFit="1" customWidth="1"/>
    <col min="2107" max="2107" width="6" customWidth="1"/>
    <col min="2108" max="2108" width="1.5703125" bestFit="1" customWidth="1"/>
    <col min="2109" max="2109" width="5.42578125" bestFit="1" customWidth="1"/>
    <col min="2110" max="2110" width="20.28515625" customWidth="1"/>
    <col min="2111" max="2111" width="7.28515625" customWidth="1"/>
    <col min="2112" max="2112" width="5.28515625" customWidth="1"/>
    <col min="2113" max="2113" width="6.5703125" customWidth="1"/>
    <col min="2114" max="2114" width="4.42578125" customWidth="1"/>
    <col min="2115" max="2115" width="8.28515625" customWidth="1"/>
    <col min="2116" max="2116" width="4.7109375" customWidth="1"/>
    <col min="2117" max="2117" width="5.7109375" customWidth="1"/>
    <col min="2118" max="2118" width="8" customWidth="1"/>
    <col min="2119" max="2119" width="6.85546875" customWidth="1"/>
    <col min="2120" max="2120" width="6.140625" customWidth="1"/>
    <col min="2121" max="2122" width="8.28515625" customWidth="1"/>
    <col min="2123" max="2124" width="5.85546875" customWidth="1"/>
    <col min="2125" max="2125" width="7" customWidth="1"/>
    <col min="2126" max="2126" width="5.85546875" customWidth="1"/>
    <col min="2127" max="2127" width="6.42578125" customWidth="1"/>
    <col min="2128" max="2128" width="1.7109375" customWidth="1"/>
    <col min="2129" max="2130" width="6.42578125" customWidth="1"/>
    <col min="2131" max="2131" width="1.7109375" customWidth="1"/>
    <col min="2132" max="2132" width="6.42578125" customWidth="1"/>
    <col min="2133" max="2133" width="6.85546875" customWidth="1"/>
    <col min="2134" max="2134" width="5.7109375" customWidth="1"/>
    <col min="2135" max="2135" width="3.28515625" customWidth="1"/>
    <col min="2136" max="2136" width="4" customWidth="1"/>
    <col min="2137" max="2137" width="14" customWidth="1"/>
    <col min="2138" max="2138" width="9.140625" customWidth="1"/>
    <col min="2139" max="2139" width="9.5703125" customWidth="1"/>
    <col min="2140" max="2140" width="1.5703125" customWidth="1"/>
    <col min="2141" max="2141" width="5.42578125" customWidth="1"/>
    <col min="2142" max="2142" width="19.140625" customWidth="1"/>
    <col min="2143" max="2143" width="7.28515625" customWidth="1"/>
    <col min="2144" max="2144" width="5.28515625" customWidth="1"/>
    <col min="2145" max="2145" width="4" customWidth="1"/>
    <col min="2146" max="2150" width="4.85546875" customWidth="1"/>
    <col min="2151" max="2151" width="6.85546875" customWidth="1"/>
    <col min="2152" max="2152" width="5.7109375" customWidth="1"/>
    <col min="2153" max="2153" width="7.7109375" customWidth="1"/>
    <col min="2154" max="2154" width="6.85546875" customWidth="1"/>
    <col min="2155" max="2155" width="5.140625" customWidth="1"/>
    <col min="2156" max="2156" width="7.85546875" customWidth="1"/>
    <col min="2157" max="2157" width="4.42578125" customWidth="1"/>
    <col min="2158" max="2158" width="6.85546875" customWidth="1"/>
    <col min="2159" max="2160" width="8" customWidth="1"/>
    <col min="2161" max="2161" width="6" customWidth="1"/>
    <col min="2162" max="2162" width="3.140625" customWidth="1"/>
    <col min="2163" max="2163" width="6" customWidth="1"/>
    <col min="2164" max="2164" width="5.5703125" customWidth="1"/>
    <col min="2165" max="2165" width="6.7109375" customWidth="1"/>
    <col min="2166" max="2166" width="6.85546875" customWidth="1"/>
    <col min="2167" max="2167" width="8.140625" customWidth="1"/>
    <col min="2168" max="2168" width="4.42578125" customWidth="1"/>
    <col min="2169" max="2169" width="7.140625" customWidth="1"/>
    <col min="2170" max="2170" width="6.5703125" customWidth="1"/>
    <col min="2171" max="2171" width="6.42578125" customWidth="1"/>
    <col min="2172" max="2172" width="8.28515625" customWidth="1"/>
    <col min="2173" max="2173" width="5.42578125" customWidth="1"/>
    <col min="2174" max="2174" width="7.5703125" customWidth="1"/>
    <col min="2175" max="2175" width="5.140625" customWidth="1"/>
    <col min="2176" max="2178" width="9.140625" customWidth="1"/>
    <col min="2180" max="2180" width="19.7109375" customWidth="1"/>
    <col min="2181" max="2181" width="6.5703125" customWidth="1"/>
    <col min="2182" max="2182" width="3.5703125" bestFit="1" customWidth="1"/>
    <col min="2183" max="2183" width="6.85546875" bestFit="1" customWidth="1"/>
    <col min="2184" max="2186" width="5.85546875" customWidth="1"/>
    <col min="2187" max="2187" width="6" bestFit="1" customWidth="1"/>
    <col min="2188" max="2190" width="0" hidden="1" customWidth="1"/>
    <col min="2191" max="2191" width="6" bestFit="1" customWidth="1"/>
    <col min="2192" max="2192" width="6.85546875" bestFit="1" customWidth="1"/>
    <col min="2193" max="2193" width="7" bestFit="1" customWidth="1"/>
    <col min="2194" max="2194" width="6" bestFit="1" customWidth="1"/>
    <col min="2195" max="2195" width="4.42578125" bestFit="1" customWidth="1"/>
    <col min="2196" max="2196" width="6" bestFit="1" customWidth="1"/>
    <col min="2197" max="2197" width="6.28515625" bestFit="1" customWidth="1"/>
    <col min="2198" max="2204" width="4.85546875" bestFit="1" customWidth="1"/>
    <col min="2205" max="2205" width="5" bestFit="1" customWidth="1"/>
    <col min="2206" max="2206" width="4.85546875" bestFit="1" customWidth="1"/>
    <col min="2207" max="2207" width="4.42578125" bestFit="1" customWidth="1"/>
    <col min="2208" max="2208" width="5.140625" bestFit="1" customWidth="1"/>
    <col min="2209" max="2209" width="4.85546875" bestFit="1" customWidth="1"/>
    <col min="2210" max="2210" width="5" bestFit="1" customWidth="1"/>
    <col min="2211" max="2212" width="5.28515625" bestFit="1" customWidth="1"/>
    <col min="2213" max="2213" width="5" bestFit="1" customWidth="1"/>
    <col min="2214" max="2214" width="4.42578125" bestFit="1" customWidth="1"/>
    <col min="2215" max="2215" width="4.5703125" bestFit="1" customWidth="1"/>
    <col min="2216" max="2217" width="5.140625" bestFit="1" customWidth="1"/>
    <col min="2218" max="2218" width="4.85546875" bestFit="1" customWidth="1"/>
    <col min="2219" max="2219" width="5.42578125" bestFit="1" customWidth="1"/>
    <col min="2220" max="2220" width="0" hidden="1" customWidth="1"/>
    <col min="2221" max="2221" width="6.5703125" bestFit="1" customWidth="1"/>
    <col min="2363" max="2363" width="6" customWidth="1"/>
    <col min="2364" max="2364" width="1.5703125" bestFit="1" customWidth="1"/>
    <col min="2365" max="2365" width="5.42578125" bestFit="1" customWidth="1"/>
    <col min="2366" max="2366" width="20.28515625" customWidth="1"/>
    <col min="2367" max="2367" width="7.28515625" customWidth="1"/>
    <col min="2368" max="2368" width="5.28515625" customWidth="1"/>
    <col min="2369" max="2369" width="6.5703125" customWidth="1"/>
    <col min="2370" max="2370" width="4.42578125" customWidth="1"/>
    <col min="2371" max="2371" width="8.28515625" customWidth="1"/>
    <col min="2372" max="2372" width="4.7109375" customWidth="1"/>
    <col min="2373" max="2373" width="5.7109375" customWidth="1"/>
    <col min="2374" max="2374" width="8" customWidth="1"/>
    <col min="2375" max="2375" width="6.85546875" customWidth="1"/>
    <col min="2376" max="2376" width="6.140625" customWidth="1"/>
    <col min="2377" max="2378" width="8.28515625" customWidth="1"/>
    <col min="2379" max="2380" width="5.85546875" customWidth="1"/>
    <col min="2381" max="2381" width="7" customWidth="1"/>
    <col min="2382" max="2382" width="5.85546875" customWidth="1"/>
    <col min="2383" max="2383" width="6.42578125" customWidth="1"/>
    <col min="2384" max="2384" width="1.7109375" customWidth="1"/>
    <col min="2385" max="2386" width="6.42578125" customWidth="1"/>
    <col min="2387" max="2387" width="1.7109375" customWidth="1"/>
    <col min="2388" max="2388" width="6.42578125" customWidth="1"/>
    <col min="2389" max="2389" width="6.85546875" customWidth="1"/>
    <col min="2390" max="2390" width="5.7109375" customWidth="1"/>
    <col min="2391" max="2391" width="3.28515625" customWidth="1"/>
    <col min="2392" max="2392" width="4" customWidth="1"/>
    <col min="2393" max="2393" width="14" customWidth="1"/>
    <col min="2394" max="2394" width="9.140625" customWidth="1"/>
    <col min="2395" max="2395" width="9.5703125" customWidth="1"/>
    <col min="2396" max="2396" width="1.5703125" customWidth="1"/>
    <col min="2397" max="2397" width="5.42578125" customWidth="1"/>
    <col min="2398" max="2398" width="19.140625" customWidth="1"/>
    <col min="2399" max="2399" width="7.28515625" customWidth="1"/>
    <col min="2400" max="2400" width="5.28515625" customWidth="1"/>
    <col min="2401" max="2401" width="4" customWidth="1"/>
    <col min="2402" max="2406" width="4.85546875" customWidth="1"/>
    <col min="2407" max="2407" width="6.85546875" customWidth="1"/>
    <col min="2408" max="2408" width="5.7109375" customWidth="1"/>
    <col min="2409" max="2409" width="7.7109375" customWidth="1"/>
    <col min="2410" max="2410" width="6.85546875" customWidth="1"/>
    <col min="2411" max="2411" width="5.140625" customWidth="1"/>
    <col min="2412" max="2412" width="7.85546875" customWidth="1"/>
    <col min="2413" max="2413" width="4.42578125" customWidth="1"/>
    <col min="2414" max="2414" width="6.85546875" customWidth="1"/>
    <col min="2415" max="2416" width="8" customWidth="1"/>
    <col min="2417" max="2417" width="6" customWidth="1"/>
    <col min="2418" max="2418" width="3.140625" customWidth="1"/>
    <col min="2419" max="2419" width="6" customWidth="1"/>
    <col min="2420" max="2420" width="5.5703125" customWidth="1"/>
    <col min="2421" max="2421" width="6.7109375" customWidth="1"/>
    <col min="2422" max="2422" width="6.85546875" customWidth="1"/>
    <col min="2423" max="2423" width="8.140625" customWidth="1"/>
    <col min="2424" max="2424" width="4.42578125" customWidth="1"/>
    <col min="2425" max="2425" width="7.140625" customWidth="1"/>
    <col min="2426" max="2426" width="6.5703125" customWidth="1"/>
    <col min="2427" max="2427" width="6.42578125" customWidth="1"/>
    <col min="2428" max="2428" width="8.28515625" customWidth="1"/>
    <col min="2429" max="2429" width="5.42578125" customWidth="1"/>
    <col min="2430" max="2430" width="7.5703125" customWidth="1"/>
    <col min="2431" max="2431" width="5.140625" customWidth="1"/>
    <col min="2432" max="2434" width="9.140625" customWidth="1"/>
    <col min="2436" max="2436" width="19.7109375" customWidth="1"/>
    <col min="2437" max="2437" width="6.5703125" customWidth="1"/>
    <col min="2438" max="2438" width="3.5703125" bestFit="1" customWidth="1"/>
    <col min="2439" max="2439" width="6.85546875" bestFit="1" customWidth="1"/>
    <col min="2440" max="2442" width="5.85546875" customWidth="1"/>
    <col min="2443" max="2443" width="6" bestFit="1" customWidth="1"/>
    <col min="2444" max="2446" width="0" hidden="1" customWidth="1"/>
    <col min="2447" max="2447" width="6" bestFit="1" customWidth="1"/>
    <col min="2448" max="2448" width="6.85546875" bestFit="1" customWidth="1"/>
    <col min="2449" max="2449" width="7" bestFit="1" customWidth="1"/>
    <col min="2450" max="2450" width="6" bestFit="1" customWidth="1"/>
    <col min="2451" max="2451" width="4.42578125" bestFit="1" customWidth="1"/>
    <col min="2452" max="2452" width="6" bestFit="1" customWidth="1"/>
    <col min="2453" max="2453" width="6.28515625" bestFit="1" customWidth="1"/>
    <col min="2454" max="2460" width="4.85546875" bestFit="1" customWidth="1"/>
    <col min="2461" max="2461" width="5" bestFit="1" customWidth="1"/>
    <col min="2462" max="2462" width="4.85546875" bestFit="1" customWidth="1"/>
    <col min="2463" max="2463" width="4.42578125" bestFit="1" customWidth="1"/>
    <col min="2464" max="2464" width="5.140625" bestFit="1" customWidth="1"/>
    <col min="2465" max="2465" width="4.85546875" bestFit="1" customWidth="1"/>
    <col min="2466" max="2466" width="5" bestFit="1" customWidth="1"/>
    <col min="2467" max="2468" width="5.28515625" bestFit="1" customWidth="1"/>
    <col min="2469" max="2469" width="5" bestFit="1" customWidth="1"/>
    <col min="2470" max="2470" width="4.42578125" bestFit="1" customWidth="1"/>
    <col min="2471" max="2471" width="4.5703125" bestFit="1" customWidth="1"/>
    <col min="2472" max="2473" width="5.140625" bestFit="1" customWidth="1"/>
    <col min="2474" max="2474" width="4.85546875" bestFit="1" customWidth="1"/>
    <col min="2475" max="2475" width="5.42578125" bestFit="1" customWidth="1"/>
    <col min="2476" max="2476" width="0" hidden="1" customWidth="1"/>
    <col min="2477" max="2477" width="6.5703125" bestFit="1" customWidth="1"/>
    <col min="2619" max="2619" width="6" customWidth="1"/>
    <col min="2620" max="2620" width="1.5703125" bestFit="1" customWidth="1"/>
    <col min="2621" max="2621" width="5.42578125" bestFit="1" customWidth="1"/>
    <col min="2622" max="2622" width="20.28515625" customWidth="1"/>
    <col min="2623" max="2623" width="7.28515625" customWidth="1"/>
    <col min="2624" max="2624" width="5.28515625" customWidth="1"/>
    <col min="2625" max="2625" width="6.5703125" customWidth="1"/>
    <col min="2626" max="2626" width="4.42578125" customWidth="1"/>
    <col min="2627" max="2627" width="8.28515625" customWidth="1"/>
    <col min="2628" max="2628" width="4.7109375" customWidth="1"/>
    <col min="2629" max="2629" width="5.7109375" customWidth="1"/>
    <col min="2630" max="2630" width="8" customWidth="1"/>
    <col min="2631" max="2631" width="6.85546875" customWidth="1"/>
    <col min="2632" max="2632" width="6.140625" customWidth="1"/>
    <col min="2633" max="2634" width="8.28515625" customWidth="1"/>
    <col min="2635" max="2636" width="5.85546875" customWidth="1"/>
    <col min="2637" max="2637" width="7" customWidth="1"/>
    <col min="2638" max="2638" width="5.85546875" customWidth="1"/>
    <col min="2639" max="2639" width="6.42578125" customWidth="1"/>
    <col min="2640" max="2640" width="1.7109375" customWidth="1"/>
    <col min="2641" max="2642" width="6.42578125" customWidth="1"/>
    <col min="2643" max="2643" width="1.7109375" customWidth="1"/>
    <col min="2644" max="2644" width="6.42578125" customWidth="1"/>
    <col min="2645" max="2645" width="6.85546875" customWidth="1"/>
    <col min="2646" max="2646" width="5.7109375" customWidth="1"/>
    <col min="2647" max="2647" width="3.28515625" customWidth="1"/>
    <col min="2648" max="2648" width="4" customWidth="1"/>
    <col min="2649" max="2649" width="14" customWidth="1"/>
    <col min="2650" max="2650" width="9.140625" customWidth="1"/>
    <col min="2651" max="2651" width="9.5703125" customWidth="1"/>
    <col min="2652" max="2652" width="1.5703125" customWidth="1"/>
    <col min="2653" max="2653" width="5.42578125" customWidth="1"/>
    <col min="2654" max="2654" width="19.140625" customWidth="1"/>
    <col min="2655" max="2655" width="7.28515625" customWidth="1"/>
    <col min="2656" max="2656" width="5.28515625" customWidth="1"/>
    <col min="2657" max="2657" width="4" customWidth="1"/>
    <col min="2658" max="2662" width="4.85546875" customWidth="1"/>
    <col min="2663" max="2663" width="6.85546875" customWidth="1"/>
    <col min="2664" max="2664" width="5.7109375" customWidth="1"/>
    <col min="2665" max="2665" width="7.7109375" customWidth="1"/>
    <col min="2666" max="2666" width="6.85546875" customWidth="1"/>
    <col min="2667" max="2667" width="5.140625" customWidth="1"/>
    <col min="2668" max="2668" width="7.85546875" customWidth="1"/>
    <col min="2669" max="2669" width="4.42578125" customWidth="1"/>
    <col min="2670" max="2670" width="6.85546875" customWidth="1"/>
    <col min="2671" max="2672" width="8" customWidth="1"/>
    <col min="2673" max="2673" width="6" customWidth="1"/>
    <col min="2674" max="2674" width="3.140625" customWidth="1"/>
    <col min="2675" max="2675" width="6" customWidth="1"/>
    <col min="2676" max="2676" width="5.5703125" customWidth="1"/>
    <col min="2677" max="2677" width="6.7109375" customWidth="1"/>
    <col min="2678" max="2678" width="6.85546875" customWidth="1"/>
    <col min="2679" max="2679" width="8.140625" customWidth="1"/>
    <col min="2680" max="2680" width="4.42578125" customWidth="1"/>
    <col min="2681" max="2681" width="7.140625" customWidth="1"/>
    <col min="2682" max="2682" width="6.5703125" customWidth="1"/>
    <col min="2683" max="2683" width="6.42578125" customWidth="1"/>
    <col min="2684" max="2684" width="8.28515625" customWidth="1"/>
    <col min="2685" max="2685" width="5.42578125" customWidth="1"/>
    <col min="2686" max="2686" width="7.5703125" customWidth="1"/>
    <col min="2687" max="2687" width="5.140625" customWidth="1"/>
    <col min="2688" max="2690" width="9.140625" customWidth="1"/>
    <col min="2692" max="2692" width="19.7109375" customWidth="1"/>
    <col min="2693" max="2693" width="6.5703125" customWidth="1"/>
    <col min="2694" max="2694" width="3.5703125" bestFit="1" customWidth="1"/>
    <col min="2695" max="2695" width="6.85546875" bestFit="1" customWidth="1"/>
    <col min="2696" max="2698" width="5.85546875" customWidth="1"/>
    <col min="2699" max="2699" width="6" bestFit="1" customWidth="1"/>
    <col min="2700" max="2702" width="0" hidden="1" customWidth="1"/>
    <col min="2703" max="2703" width="6" bestFit="1" customWidth="1"/>
    <col min="2704" max="2704" width="6.85546875" bestFit="1" customWidth="1"/>
    <col min="2705" max="2705" width="7" bestFit="1" customWidth="1"/>
    <col min="2706" max="2706" width="6" bestFit="1" customWidth="1"/>
    <col min="2707" max="2707" width="4.42578125" bestFit="1" customWidth="1"/>
    <col min="2708" max="2708" width="6" bestFit="1" customWidth="1"/>
    <col min="2709" max="2709" width="6.28515625" bestFit="1" customWidth="1"/>
    <col min="2710" max="2716" width="4.85546875" bestFit="1" customWidth="1"/>
    <col min="2717" max="2717" width="5" bestFit="1" customWidth="1"/>
    <col min="2718" max="2718" width="4.85546875" bestFit="1" customWidth="1"/>
    <col min="2719" max="2719" width="4.42578125" bestFit="1" customWidth="1"/>
    <col min="2720" max="2720" width="5.140625" bestFit="1" customWidth="1"/>
    <col min="2721" max="2721" width="4.85546875" bestFit="1" customWidth="1"/>
    <col min="2722" max="2722" width="5" bestFit="1" customWidth="1"/>
    <col min="2723" max="2724" width="5.28515625" bestFit="1" customWidth="1"/>
    <col min="2725" max="2725" width="5" bestFit="1" customWidth="1"/>
    <col min="2726" max="2726" width="4.42578125" bestFit="1" customWidth="1"/>
    <col min="2727" max="2727" width="4.5703125" bestFit="1" customWidth="1"/>
    <col min="2728" max="2729" width="5.140625" bestFit="1" customWidth="1"/>
    <col min="2730" max="2730" width="4.85546875" bestFit="1" customWidth="1"/>
    <col min="2731" max="2731" width="5.42578125" bestFit="1" customWidth="1"/>
    <col min="2732" max="2732" width="0" hidden="1" customWidth="1"/>
    <col min="2733" max="2733" width="6.5703125" bestFit="1" customWidth="1"/>
    <col min="2875" max="2875" width="6" customWidth="1"/>
    <col min="2876" max="2876" width="1.5703125" bestFit="1" customWidth="1"/>
    <col min="2877" max="2877" width="5.42578125" bestFit="1" customWidth="1"/>
    <col min="2878" max="2878" width="20.28515625" customWidth="1"/>
    <col min="2879" max="2879" width="7.28515625" customWidth="1"/>
    <col min="2880" max="2880" width="5.28515625" customWidth="1"/>
    <col min="2881" max="2881" width="6.5703125" customWidth="1"/>
    <col min="2882" max="2882" width="4.42578125" customWidth="1"/>
    <col min="2883" max="2883" width="8.28515625" customWidth="1"/>
    <col min="2884" max="2884" width="4.7109375" customWidth="1"/>
    <col min="2885" max="2885" width="5.7109375" customWidth="1"/>
    <col min="2886" max="2886" width="8" customWidth="1"/>
    <col min="2887" max="2887" width="6.85546875" customWidth="1"/>
    <col min="2888" max="2888" width="6.140625" customWidth="1"/>
    <col min="2889" max="2890" width="8.28515625" customWidth="1"/>
    <col min="2891" max="2892" width="5.85546875" customWidth="1"/>
    <col min="2893" max="2893" width="7" customWidth="1"/>
    <col min="2894" max="2894" width="5.85546875" customWidth="1"/>
    <col min="2895" max="2895" width="6.42578125" customWidth="1"/>
    <col min="2896" max="2896" width="1.7109375" customWidth="1"/>
    <col min="2897" max="2898" width="6.42578125" customWidth="1"/>
    <col min="2899" max="2899" width="1.7109375" customWidth="1"/>
    <col min="2900" max="2900" width="6.42578125" customWidth="1"/>
    <col min="2901" max="2901" width="6.85546875" customWidth="1"/>
    <col min="2902" max="2902" width="5.7109375" customWidth="1"/>
    <col min="2903" max="2903" width="3.28515625" customWidth="1"/>
    <col min="2904" max="2904" width="4" customWidth="1"/>
    <col min="2905" max="2905" width="14" customWidth="1"/>
    <col min="2906" max="2906" width="9.140625" customWidth="1"/>
    <col min="2907" max="2907" width="9.5703125" customWidth="1"/>
    <col min="2908" max="2908" width="1.5703125" customWidth="1"/>
    <col min="2909" max="2909" width="5.42578125" customWidth="1"/>
    <col min="2910" max="2910" width="19.140625" customWidth="1"/>
    <col min="2911" max="2911" width="7.28515625" customWidth="1"/>
    <col min="2912" max="2912" width="5.28515625" customWidth="1"/>
    <col min="2913" max="2913" width="4" customWidth="1"/>
    <col min="2914" max="2918" width="4.85546875" customWidth="1"/>
    <col min="2919" max="2919" width="6.85546875" customWidth="1"/>
    <col min="2920" max="2920" width="5.7109375" customWidth="1"/>
    <col min="2921" max="2921" width="7.7109375" customWidth="1"/>
    <col min="2922" max="2922" width="6.85546875" customWidth="1"/>
    <col min="2923" max="2923" width="5.140625" customWidth="1"/>
    <col min="2924" max="2924" width="7.85546875" customWidth="1"/>
    <col min="2925" max="2925" width="4.42578125" customWidth="1"/>
    <col min="2926" max="2926" width="6.85546875" customWidth="1"/>
    <col min="2927" max="2928" width="8" customWidth="1"/>
    <col min="2929" max="2929" width="6" customWidth="1"/>
    <col min="2930" max="2930" width="3.140625" customWidth="1"/>
    <col min="2931" max="2931" width="6" customWidth="1"/>
    <col min="2932" max="2932" width="5.5703125" customWidth="1"/>
    <col min="2933" max="2933" width="6.7109375" customWidth="1"/>
    <col min="2934" max="2934" width="6.85546875" customWidth="1"/>
    <col min="2935" max="2935" width="8.140625" customWidth="1"/>
    <col min="2936" max="2936" width="4.42578125" customWidth="1"/>
    <col min="2937" max="2937" width="7.140625" customWidth="1"/>
    <col min="2938" max="2938" width="6.5703125" customWidth="1"/>
    <col min="2939" max="2939" width="6.42578125" customWidth="1"/>
    <col min="2940" max="2940" width="8.28515625" customWidth="1"/>
    <col min="2941" max="2941" width="5.42578125" customWidth="1"/>
    <col min="2942" max="2942" width="7.5703125" customWidth="1"/>
    <col min="2943" max="2943" width="5.140625" customWidth="1"/>
    <col min="2944" max="2946" width="9.140625" customWidth="1"/>
    <col min="2948" max="2948" width="19.7109375" customWidth="1"/>
    <col min="2949" max="2949" width="6.5703125" customWidth="1"/>
    <col min="2950" max="2950" width="3.5703125" bestFit="1" customWidth="1"/>
    <col min="2951" max="2951" width="6.85546875" bestFit="1" customWidth="1"/>
    <col min="2952" max="2954" width="5.85546875" customWidth="1"/>
    <col min="2955" max="2955" width="6" bestFit="1" customWidth="1"/>
    <col min="2956" max="2958" width="0" hidden="1" customWidth="1"/>
    <col min="2959" max="2959" width="6" bestFit="1" customWidth="1"/>
    <col min="2960" max="2960" width="6.85546875" bestFit="1" customWidth="1"/>
    <col min="2961" max="2961" width="7" bestFit="1" customWidth="1"/>
    <col min="2962" max="2962" width="6" bestFit="1" customWidth="1"/>
    <col min="2963" max="2963" width="4.42578125" bestFit="1" customWidth="1"/>
    <col min="2964" max="2964" width="6" bestFit="1" customWidth="1"/>
    <col min="2965" max="2965" width="6.28515625" bestFit="1" customWidth="1"/>
    <col min="2966" max="2972" width="4.85546875" bestFit="1" customWidth="1"/>
    <col min="2973" max="2973" width="5" bestFit="1" customWidth="1"/>
    <col min="2974" max="2974" width="4.85546875" bestFit="1" customWidth="1"/>
    <col min="2975" max="2975" width="4.42578125" bestFit="1" customWidth="1"/>
    <col min="2976" max="2976" width="5.140625" bestFit="1" customWidth="1"/>
    <col min="2977" max="2977" width="4.85546875" bestFit="1" customWidth="1"/>
    <col min="2978" max="2978" width="5" bestFit="1" customWidth="1"/>
    <col min="2979" max="2980" width="5.28515625" bestFit="1" customWidth="1"/>
    <col min="2981" max="2981" width="5" bestFit="1" customWidth="1"/>
    <col min="2982" max="2982" width="4.42578125" bestFit="1" customWidth="1"/>
    <col min="2983" max="2983" width="4.5703125" bestFit="1" customWidth="1"/>
    <col min="2984" max="2985" width="5.140625" bestFit="1" customWidth="1"/>
    <col min="2986" max="2986" width="4.85546875" bestFit="1" customWidth="1"/>
    <col min="2987" max="2987" width="5.42578125" bestFit="1" customWidth="1"/>
    <col min="2988" max="2988" width="0" hidden="1" customWidth="1"/>
    <col min="2989" max="2989" width="6.5703125" bestFit="1" customWidth="1"/>
    <col min="3131" max="3131" width="6" customWidth="1"/>
    <col min="3132" max="3132" width="1.5703125" bestFit="1" customWidth="1"/>
    <col min="3133" max="3133" width="5.42578125" bestFit="1" customWidth="1"/>
    <col min="3134" max="3134" width="20.28515625" customWidth="1"/>
    <col min="3135" max="3135" width="7.28515625" customWidth="1"/>
    <col min="3136" max="3136" width="5.28515625" customWidth="1"/>
    <col min="3137" max="3137" width="6.5703125" customWidth="1"/>
    <col min="3138" max="3138" width="4.42578125" customWidth="1"/>
    <col min="3139" max="3139" width="8.28515625" customWidth="1"/>
    <col min="3140" max="3140" width="4.7109375" customWidth="1"/>
    <col min="3141" max="3141" width="5.7109375" customWidth="1"/>
    <col min="3142" max="3142" width="8" customWidth="1"/>
    <col min="3143" max="3143" width="6.85546875" customWidth="1"/>
    <col min="3144" max="3144" width="6.140625" customWidth="1"/>
    <col min="3145" max="3146" width="8.28515625" customWidth="1"/>
    <col min="3147" max="3148" width="5.85546875" customWidth="1"/>
    <col min="3149" max="3149" width="7" customWidth="1"/>
    <col min="3150" max="3150" width="5.85546875" customWidth="1"/>
    <col min="3151" max="3151" width="6.42578125" customWidth="1"/>
    <col min="3152" max="3152" width="1.7109375" customWidth="1"/>
    <col min="3153" max="3154" width="6.42578125" customWidth="1"/>
    <col min="3155" max="3155" width="1.7109375" customWidth="1"/>
    <col min="3156" max="3156" width="6.42578125" customWidth="1"/>
    <col min="3157" max="3157" width="6.85546875" customWidth="1"/>
    <col min="3158" max="3158" width="5.7109375" customWidth="1"/>
    <col min="3159" max="3159" width="3.28515625" customWidth="1"/>
    <col min="3160" max="3160" width="4" customWidth="1"/>
    <col min="3161" max="3161" width="14" customWidth="1"/>
    <col min="3162" max="3162" width="9.140625" customWidth="1"/>
    <col min="3163" max="3163" width="9.5703125" customWidth="1"/>
    <col min="3164" max="3164" width="1.5703125" customWidth="1"/>
    <col min="3165" max="3165" width="5.42578125" customWidth="1"/>
    <col min="3166" max="3166" width="19.140625" customWidth="1"/>
    <col min="3167" max="3167" width="7.28515625" customWidth="1"/>
    <col min="3168" max="3168" width="5.28515625" customWidth="1"/>
    <col min="3169" max="3169" width="4" customWidth="1"/>
    <col min="3170" max="3174" width="4.85546875" customWidth="1"/>
    <col min="3175" max="3175" width="6.85546875" customWidth="1"/>
    <col min="3176" max="3176" width="5.7109375" customWidth="1"/>
    <col min="3177" max="3177" width="7.7109375" customWidth="1"/>
    <col min="3178" max="3178" width="6.85546875" customWidth="1"/>
    <col min="3179" max="3179" width="5.140625" customWidth="1"/>
    <col min="3180" max="3180" width="7.85546875" customWidth="1"/>
    <col min="3181" max="3181" width="4.42578125" customWidth="1"/>
    <col min="3182" max="3182" width="6.85546875" customWidth="1"/>
    <col min="3183" max="3184" width="8" customWidth="1"/>
    <col min="3185" max="3185" width="6" customWidth="1"/>
    <col min="3186" max="3186" width="3.140625" customWidth="1"/>
    <col min="3187" max="3187" width="6" customWidth="1"/>
    <col min="3188" max="3188" width="5.5703125" customWidth="1"/>
    <col min="3189" max="3189" width="6.7109375" customWidth="1"/>
    <col min="3190" max="3190" width="6.85546875" customWidth="1"/>
    <col min="3191" max="3191" width="8.140625" customWidth="1"/>
    <col min="3192" max="3192" width="4.42578125" customWidth="1"/>
    <col min="3193" max="3193" width="7.140625" customWidth="1"/>
    <col min="3194" max="3194" width="6.5703125" customWidth="1"/>
    <col min="3195" max="3195" width="6.42578125" customWidth="1"/>
    <col min="3196" max="3196" width="8.28515625" customWidth="1"/>
    <col min="3197" max="3197" width="5.42578125" customWidth="1"/>
    <col min="3198" max="3198" width="7.5703125" customWidth="1"/>
    <col min="3199" max="3199" width="5.140625" customWidth="1"/>
    <col min="3200" max="3202" width="9.140625" customWidth="1"/>
    <col min="3204" max="3204" width="19.7109375" customWidth="1"/>
    <col min="3205" max="3205" width="6.5703125" customWidth="1"/>
    <col min="3206" max="3206" width="3.5703125" bestFit="1" customWidth="1"/>
    <col min="3207" max="3207" width="6.85546875" bestFit="1" customWidth="1"/>
    <col min="3208" max="3210" width="5.85546875" customWidth="1"/>
    <col min="3211" max="3211" width="6" bestFit="1" customWidth="1"/>
    <col min="3212" max="3214" width="0" hidden="1" customWidth="1"/>
    <col min="3215" max="3215" width="6" bestFit="1" customWidth="1"/>
    <col min="3216" max="3216" width="6.85546875" bestFit="1" customWidth="1"/>
    <col min="3217" max="3217" width="7" bestFit="1" customWidth="1"/>
    <col min="3218" max="3218" width="6" bestFit="1" customWidth="1"/>
    <col min="3219" max="3219" width="4.42578125" bestFit="1" customWidth="1"/>
    <col min="3220" max="3220" width="6" bestFit="1" customWidth="1"/>
    <col min="3221" max="3221" width="6.28515625" bestFit="1" customWidth="1"/>
    <col min="3222" max="3228" width="4.85546875" bestFit="1" customWidth="1"/>
    <col min="3229" max="3229" width="5" bestFit="1" customWidth="1"/>
    <col min="3230" max="3230" width="4.85546875" bestFit="1" customWidth="1"/>
    <col min="3231" max="3231" width="4.42578125" bestFit="1" customWidth="1"/>
    <col min="3232" max="3232" width="5.140625" bestFit="1" customWidth="1"/>
    <col min="3233" max="3233" width="4.85546875" bestFit="1" customWidth="1"/>
    <col min="3234" max="3234" width="5" bestFit="1" customWidth="1"/>
    <col min="3235" max="3236" width="5.28515625" bestFit="1" customWidth="1"/>
    <col min="3237" max="3237" width="5" bestFit="1" customWidth="1"/>
    <col min="3238" max="3238" width="4.42578125" bestFit="1" customWidth="1"/>
    <col min="3239" max="3239" width="4.5703125" bestFit="1" customWidth="1"/>
    <col min="3240" max="3241" width="5.140625" bestFit="1" customWidth="1"/>
    <col min="3242" max="3242" width="4.85546875" bestFit="1" customWidth="1"/>
    <col min="3243" max="3243" width="5.42578125" bestFit="1" customWidth="1"/>
    <col min="3244" max="3244" width="0" hidden="1" customWidth="1"/>
    <col min="3245" max="3245" width="6.5703125" bestFit="1" customWidth="1"/>
    <col min="3387" max="3387" width="6" customWidth="1"/>
    <col min="3388" max="3388" width="1.5703125" bestFit="1" customWidth="1"/>
    <col min="3389" max="3389" width="5.42578125" bestFit="1" customWidth="1"/>
    <col min="3390" max="3390" width="20.28515625" customWidth="1"/>
    <col min="3391" max="3391" width="7.28515625" customWidth="1"/>
    <col min="3392" max="3392" width="5.28515625" customWidth="1"/>
    <col min="3393" max="3393" width="6.5703125" customWidth="1"/>
    <col min="3394" max="3394" width="4.42578125" customWidth="1"/>
    <col min="3395" max="3395" width="8.28515625" customWidth="1"/>
    <col min="3396" max="3396" width="4.7109375" customWidth="1"/>
    <col min="3397" max="3397" width="5.7109375" customWidth="1"/>
    <col min="3398" max="3398" width="8" customWidth="1"/>
    <col min="3399" max="3399" width="6.85546875" customWidth="1"/>
    <col min="3400" max="3400" width="6.140625" customWidth="1"/>
    <col min="3401" max="3402" width="8.28515625" customWidth="1"/>
    <col min="3403" max="3404" width="5.85546875" customWidth="1"/>
    <col min="3405" max="3405" width="7" customWidth="1"/>
    <col min="3406" max="3406" width="5.85546875" customWidth="1"/>
    <col min="3407" max="3407" width="6.42578125" customWidth="1"/>
    <col min="3408" max="3408" width="1.7109375" customWidth="1"/>
    <col min="3409" max="3410" width="6.42578125" customWidth="1"/>
    <col min="3411" max="3411" width="1.7109375" customWidth="1"/>
    <col min="3412" max="3412" width="6.42578125" customWidth="1"/>
    <col min="3413" max="3413" width="6.85546875" customWidth="1"/>
    <col min="3414" max="3414" width="5.7109375" customWidth="1"/>
    <col min="3415" max="3415" width="3.28515625" customWidth="1"/>
    <col min="3416" max="3416" width="4" customWidth="1"/>
    <col min="3417" max="3417" width="14" customWidth="1"/>
    <col min="3418" max="3418" width="9.140625" customWidth="1"/>
    <col min="3419" max="3419" width="9.5703125" customWidth="1"/>
    <col min="3420" max="3420" width="1.5703125" customWidth="1"/>
    <col min="3421" max="3421" width="5.42578125" customWidth="1"/>
    <col min="3422" max="3422" width="19.140625" customWidth="1"/>
    <col min="3423" max="3423" width="7.28515625" customWidth="1"/>
    <col min="3424" max="3424" width="5.28515625" customWidth="1"/>
    <col min="3425" max="3425" width="4" customWidth="1"/>
    <col min="3426" max="3430" width="4.85546875" customWidth="1"/>
    <col min="3431" max="3431" width="6.85546875" customWidth="1"/>
    <col min="3432" max="3432" width="5.7109375" customWidth="1"/>
    <col min="3433" max="3433" width="7.7109375" customWidth="1"/>
    <col min="3434" max="3434" width="6.85546875" customWidth="1"/>
    <col min="3435" max="3435" width="5.140625" customWidth="1"/>
    <col min="3436" max="3436" width="7.85546875" customWidth="1"/>
    <col min="3437" max="3437" width="4.42578125" customWidth="1"/>
    <col min="3438" max="3438" width="6.85546875" customWidth="1"/>
    <col min="3439" max="3440" width="8" customWidth="1"/>
    <col min="3441" max="3441" width="6" customWidth="1"/>
    <col min="3442" max="3442" width="3.140625" customWidth="1"/>
    <col min="3443" max="3443" width="6" customWidth="1"/>
    <col min="3444" max="3444" width="5.5703125" customWidth="1"/>
    <col min="3445" max="3445" width="6.7109375" customWidth="1"/>
    <col min="3446" max="3446" width="6.85546875" customWidth="1"/>
    <col min="3447" max="3447" width="8.140625" customWidth="1"/>
    <col min="3448" max="3448" width="4.42578125" customWidth="1"/>
    <col min="3449" max="3449" width="7.140625" customWidth="1"/>
    <col min="3450" max="3450" width="6.5703125" customWidth="1"/>
    <col min="3451" max="3451" width="6.42578125" customWidth="1"/>
    <col min="3452" max="3452" width="8.28515625" customWidth="1"/>
    <col min="3453" max="3453" width="5.42578125" customWidth="1"/>
    <col min="3454" max="3454" width="7.5703125" customWidth="1"/>
    <col min="3455" max="3455" width="5.140625" customWidth="1"/>
    <col min="3456" max="3458" width="9.140625" customWidth="1"/>
    <col min="3460" max="3460" width="19.7109375" customWidth="1"/>
    <col min="3461" max="3461" width="6.5703125" customWidth="1"/>
    <col min="3462" max="3462" width="3.5703125" bestFit="1" customWidth="1"/>
    <col min="3463" max="3463" width="6.85546875" bestFit="1" customWidth="1"/>
    <col min="3464" max="3466" width="5.85546875" customWidth="1"/>
    <col min="3467" max="3467" width="6" bestFit="1" customWidth="1"/>
    <col min="3468" max="3470" width="0" hidden="1" customWidth="1"/>
    <col min="3471" max="3471" width="6" bestFit="1" customWidth="1"/>
    <col min="3472" max="3472" width="6.85546875" bestFit="1" customWidth="1"/>
    <col min="3473" max="3473" width="7" bestFit="1" customWidth="1"/>
    <col min="3474" max="3474" width="6" bestFit="1" customWidth="1"/>
    <col min="3475" max="3475" width="4.42578125" bestFit="1" customWidth="1"/>
    <col min="3476" max="3476" width="6" bestFit="1" customWidth="1"/>
    <col min="3477" max="3477" width="6.28515625" bestFit="1" customWidth="1"/>
    <col min="3478" max="3484" width="4.85546875" bestFit="1" customWidth="1"/>
    <col min="3485" max="3485" width="5" bestFit="1" customWidth="1"/>
    <col min="3486" max="3486" width="4.85546875" bestFit="1" customWidth="1"/>
    <col min="3487" max="3487" width="4.42578125" bestFit="1" customWidth="1"/>
    <col min="3488" max="3488" width="5.140625" bestFit="1" customWidth="1"/>
    <col min="3489" max="3489" width="4.85546875" bestFit="1" customWidth="1"/>
    <col min="3490" max="3490" width="5" bestFit="1" customWidth="1"/>
    <col min="3491" max="3492" width="5.28515625" bestFit="1" customWidth="1"/>
    <col min="3493" max="3493" width="5" bestFit="1" customWidth="1"/>
    <col min="3494" max="3494" width="4.42578125" bestFit="1" customWidth="1"/>
    <col min="3495" max="3495" width="4.5703125" bestFit="1" customWidth="1"/>
    <col min="3496" max="3497" width="5.140625" bestFit="1" customWidth="1"/>
    <col min="3498" max="3498" width="4.85546875" bestFit="1" customWidth="1"/>
    <col min="3499" max="3499" width="5.42578125" bestFit="1" customWidth="1"/>
    <col min="3500" max="3500" width="0" hidden="1" customWidth="1"/>
    <col min="3501" max="3501" width="6.5703125" bestFit="1" customWidth="1"/>
    <col min="3643" max="3643" width="6" customWidth="1"/>
    <col min="3644" max="3644" width="1.5703125" bestFit="1" customWidth="1"/>
    <col min="3645" max="3645" width="5.42578125" bestFit="1" customWidth="1"/>
    <col min="3646" max="3646" width="20.28515625" customWidth="1"/>
    <col min="3647" max="3647" width="7.28515625" customWidth="1"/>
    <col min="3648" max="3648" width="5.28515625" customWidth="1"/>
    <col min="3649" max="3649" width="6.5703125" customWidth="1"/>
    <col min="3650" max="3650" width="4.42578125" customWidth="1"/>
    <col min="3651" max="3651" width="8.28515625" customWidth="1"/>
    <col min="3652" max="3652" width="4.7109375" customWidth="1"/>
    <col min="3653" max="3653" width="5.7109375" customWidth="1"/>
    <col min="3654" max="3654" width="8" customWidth="1"/>
    <col min="3655" max="3655" width="6.85546875" customWidth="1"/>
    <col min="3656" max="3656" width="6.140625" customWidth="1"/>
    <col min="3657" max="3658" width="8.28515625" customWidth="1"/>
    <col min="3659" max="3660" width="5.85546875" customWidth="1"/>
    <col min="3661" max="3661" width="7" customWidth="1"/>
    <col min="3662" max="3662" width="5.85546875" customWidth="1"/>
    <col min="3663" max="3663" width="6.42578125" customWidth="1"/>
    <col min="3664" max="3664" width="1.7109375" customWidth="1"/>
    <col min="3665" max="3666" width="6.42578125" customWidth="1"/>
    <col min="3667" max="3667" width="1.7109375" customWidth="1"/>
    <col min="3668" max="3668" width="6.42578125" customWidth="1"/>
    <col min="3669" max="3669" width="6.85546875" customWidth="1"/>
    <col min="3670" max="3670" width="5.7109375" customWidth="1"/>
    <col min="3671" max="3671" width="3.28515625" customWidth="1"/>
    <col min="3672" max="3672" width="4" customWidth="1"/>
    <col min="3673" max="3673" width="14" customWidth="1"/>
    <col min="3674" max="3674" width="9.140625" customWidth="1"/>
    <col min="3675" max="3675" width="9.5703125" customWidth="1"/>
    <col min="3676" max="3676" width="1.5703125" customWidth="1"/>
    <col min="3677" max="3677" width="5.42578125" customWidth="1"/>
    <col min="3678" max="3678" width="19.140625" customWidth="1"/>
    <col min="3679" max="3679" width="7.28515625" customWidth="1"/>
    <col min="3680" max="3680" width="5.28515625" customWidth="1"/>
    <col min="3681" max="3681" width="4" customWidth="1"/>
    <col min="3682" max="3686" width="4.85546875" customWidth="1"/>
    <col min="3687" max="3687" width="6.85546875" customWidth="1"/>
    <col min="3688" max="3688" width="5.7109375" customWidth="1"/>
    <col min="3689" max="3689" width="7.7109375" customWidth="1"/>
    <col min="3690" max="3690" width="6.85546875" customWidth="1"/>
    <col min="3691" max="3691" width="5.140625" customWidth="1"/>
    <col min="3692" max="3692" width="7.85546875" customWidth="1"/>
    <col min="3693" max="3693" width="4.42578125" customWidth="1"/>
    <col min="3694" max="3694" width="6.85546875" customWidth="1"/>
    <col min="3695" max="3696" width="8" customWidth="1"/>
    <col min="3697" max="3697" width="6" customWidth="1"/>
    <col min="3698" max="3698" width="3.140625" customWidth="1"/>
    <col min="3699" max="3699" width="6" customWidth="1"/>
    <col min="3700" max="3700" width="5.5703125" customWidth="1"/>
    <col min="3701" max="3701" width="6.7109375" customWidth="1"/>
    <col min="3702" max="3702" width="6.85546875" customWidth="1"/>
    <col min="3703" max="3703" width="8.140625" customWidth="1"/>
    <col min="3704" max="3704" width="4.42578125" customWidth="1"/>
    <col min="3705" max="3705" width="7.140625" customWidth="1"/>
    <col min="3706" max="3706" width="6.5703125" customWidth="1"/>
    <col min="3707" max="3707" width="6.42578125" customWidth="1"/>
    <col min="3708" max="3708" width="8.28515625" customWidth="1"/>
    <col min="3709" max="3709" width="5.42578125" customWidth="1"/>
    <col min="3710" max="3710" width="7.5703125" customWidth="1"/>
    <col min="3711" max="3711" width="5.140625" customWidth="1"/>
    <col min="3712" max="3714" width="9.140625" customWidth="1"/>
    <col min="3716" max="3716" width="19.7109375" customWidth="1"/>
    <col min="3717" max="3717" width="6.5703125" customWidth="1"/>
    <col min="3718" max="3718" width="3.5703125" bestFit="1" customWidth="1"/>
    <col min="3719" max="3719" width="6.85546875" bestFit="1" customWidth="1"/>
    <col min="3720" max="3722" width="5.85546875" customWidth="1"/>
    <col min="3723" max="3723" width="6" bestFit="1" customWidth="1"/>
    <col min="3724" max="3726" width="0" hidden="1" customWidth="1"/>
    <col min="3727" max="3727" width="6" bestFit="1" customWidth="1"/>
    <col min="3728" max="3728" width="6.85546875" bestFit="1" customWidth="1"/>
    <col min="3729" max="3729" width="7" bestFit="1" customWidth="1"/>
    <col min="3730" max="3730" width="6" bestFit="1" customWidth="1"/>
    <col min="3731" max="3731" width="4.42578125" bestFit="1" customWidth="1"/>
    <col min="3732" max="3732" width="6" bestFit="1" customWidth="1"/>
    <col min="3733" max="3733" width="6.28515625" bestFit="1" customWidth="1"/>
    <col min="3734" max="3740" width="4.85546875" bestFit="1" customWidth="1"/>
    <col min="3741" max="3741" width="5" bestFit="1" customWidth="1"/>
    <col min="3742" max="3742" width="4.85546875" bestFit="1" customWidth="1"/>
    <col min="3743" max="3743" width="4.42578125" bestFit="1" customWidth="1"/>
    <col min="3744" max="3744" width="5.140625" bestFit="1" customWidth="1"/>
    <col min="3745" max="3745" width="4.85546875" bestFit="1" customWidth="1"/>
    <col min="3746" max="3746" width="5" bestFit="1" customWidth="1"/>
    <col min="3747" max="3748" width="5.28515625" bestFit="1" customWidth="1"/>
    <col min="3749" max="3749" width="5" bestFit="1" customWidth="1"/>
    <col min="3750" max="3750" width="4.42578125" bestFit="1" customWidth="1"/>
    <col min="3751" max="3751" width="4.5703125" bestFit="1" customWidth="1"/>
    <col min="3752" max="3753" width="5.140625" bestFit="1" customWidth="1"/>
    <col min="3754" max="3754" width="4.85546875" bestFit="1" customWidth="1"/>
    <col min="3755" max="3755" width="5.42578125" bestFit="1" customWidth="1"/>
    <col min="3756" max="3756" width="0" hidden="1" customWidth="1"/>
    <col min="3757" max="3757" width="6.5703125" bestFit="1" customWidth="1"/>
    <col min="3899" max="3899" width="6" customWidth="1"/>
    <col min="3900" max="3900" width="1.5703125" bestFit="1" customWidth="1"/>
    <col min="3901" max="3901" width="5.42578125" bestFit="1" customWidth="1"/>
    <col min="3902" max="3902" width="20.28515625" customWidth="1"/>
    <col min="3903" max="3903" width="7.28515625" customWidth="1"/>
    <col min="3904" max="3904" width="5.28515625" customWidth="1"/>
    <col min="3905" max="3905" width="6.5703125" customWidth="1"/>
    <col min="3906" max="3906" width="4.42578125" customWidth="1"/>
    <col min="3907" max="3907" width="8.28515625" customWidth="1"/>
    <col min="3908" max="3908" width="4.7109375" customWidth="1"/>
    <col min="3909" max="3909" width="5.7109375" customWidth="1"/>
    <col min="3910" max="3910" width="8" customWidth="1"/>
    <col min="3911" max="3911" width="6.85546875" customWidth="1"/>
    <col min="3912" max="3912" width="6.140625" customWidth="1"/>
    <col min="3913" max="3914" width="8.28515625" customWidth="1"/>
    <col min="3915" max="3916" width="5.85546875" customWidth="1"/>
    <col min="3917" max="3917" width="7" customWidth="1"/>
    <col min="3918" max="3918" width="5.85546875" customWidth="1"/>
    <col min="3919" max="3919" width="6.42578125" customWidth="1"/>
    <col min="3920" max="3920" width="1.7109375" customWidth="1"/>
    <col min="3921" max="3922" width="6.42578125" customWidth="1"/>
    <col min="3923" max="3923" width="1.7109375" customWidth="1"/>
    <col min="3924" max="3924" width="6.42578125" customWidth="1"/>
    <col min="3925" max="3925" width="6.85546875" customWidth="1"/>
    <col min="3926" max="3926" width="5.7109375" customWidth="1"/>
    <col min="3927" max="3927" width="3.28515625" customWidth="1"/>
    <col min="3928" max="3928" width="4" customWidth="1"/>
    <col min="3929" max="3929" width="14" customWidth="1"/>
    <col min="3930" max="3930" width="9.140625" customWidth="1"/>
    <col min="3931" max="3931" width="9.5703125" customWidth="1"/>
    <col min="3932" max="3932" width="1.5703125" customWidth="1"/>
    <col min="3933" max="3933" width="5.42578125" customWidth="1"/>
    <col min="3934" max="3934" width="19.140625" customWidth="1"/>
    <col min="3935" max="3935" width="7.28515625" customWidth="1"/>
    <col min="3936" max="3936" width="5.28515625" customWidth="1"/>
    <col min="3937" max="3937" width="4" customWidth="1"/>
    <col min="3938" max="3942" width="4.85546875" customWidth="1"/>
    <col min="3943" max="3943" width="6.85546875" customWidth="1"/>
    <col min="3944" max="3944" width="5.7109375" customWidth="1"/>
    <col min="3945" max="3945" width="7.7109375" customWidth="1"/>
    <col min="3946" max="3946" width="6.85546875" customWidth="1"/>
    <col min="3947" max="3947" width="5.140625" customWidth="1"/>
    <col min="3948" max="3948" width="7.85546875" customWidth="1"/>
    <col min="3949" max="3949" width="4.42578125" customWidth="1"/>
    <col min="3950" max="3950" width="6.85546875" customWidth="1"/>
    <col min="3951" max="3952" width="8" customWidth="1"/>
    <col min="3953" max="3953" width="6" customWidth="1"/>
    <col min="3954" max="3954" width="3.140625" customWidth="1"/>
    <col min="3955" max="3955" width="6" customWidth="1"/>
    <col min="3956" max="3956" width="5.5703125" customWidth="1"/>
    <col min="3957" max="3957" width="6.7109375" customWidth="1"/>
    <col min="3958" max="3958" width="6.85546875" customWidth="1"/>
    <col min="3959" max="3959" width="8.140625" customWidth="1"/>
    <col min="3960" max="3960" width="4.42578125" customWidth="1"/>
    <col min="3961" max="3961" width="7.140625" customWidth="1"/>
    <col min="3962" max="3962" width="6.5703125" customWidth="1"/>
    <col min="3963" max="3963" width="6.42578125" customWidth="1"/>
    <col min="3964" max="3964" width="8.28515625" customWidth="1"/>
    <col min="3965" max="3965" width="5.42578125" customWidth="1"/>
    <col min="3966" max="3966" width="7.5703125" customWidth="1"/>
    <col min="3967" max="3967" width="5.140625" customWidth="1"/>
    <col min="3968" max="3970" width="9.140625" customWidth="1"/>
    <col min="3972" max="3972" width="19.7109375" customWidth="1"/>
    <col min="3973" max="3973" width="6.5703125" customWidth="1"/>
    <col min="3974" max="3974" width="3.5703125" bestFit="1" customWidth="1"/>
    <col min="3975" max="3975" width="6.85546875" bestFit="1" customWidth="1"/>
    <col min="3976" max="3978" width="5.85546875" customWidth="1"/>
    <col min="3979" max="3979" width="6" bestFit="1" customWidth="1"/>
    <col min="3980" max="3982" width="0" hidden="1" customWidth="1"/>
    <col min="3983" max="3983" width="6" bestFit="1" customWidth="1"/>
    <col min="3984" max="3984" width="6.85546875" bestFit="1" customWidth="1"/>
    <col min="3985" max="3985" width="7" bestFit="1" customWidth="1"/>
    <col min="3986" max="3986" width="6" bestFit="1" customWidth="1"/>
    <col min="3987" max="3987" width="4.42578125" bestFit="1" customWidth="1"/>
    <col min="3988" max="3988" width="6" bestFit="1" customWidth="1"/>
    <col min="3989" max="3989" width="6.28515625" bestFit="1" customWidth="1"/>
    <col min="3990" max="3996" width="4.85546875" bestFit="1" customWidth="1"/>
    <col min="3997" max="3997" width="5" bestFit="1" customWidth="1"/>
    <col min="3998" max="3998" width="4.85546875" bestFit="1" customWidth="1"/>
    <col min="3999" max="3999" width="4.42578125" bestFit="1" customWidth="1"/>
    <col min="4000" max="4000" width="5.140625" bestFit="1" customWidth="1"/>
    <col min="4001" max="4001" width="4.85546875" bestFit="1" customWidth="1"/>
    <col min="4002" max="4002" width="5" bestFit="1" customWidth="1"/>
    <col min="4003" max="4004" width="5.28515625" bestFit="1" customWidth="1"/>
    <col min="4005" max="4005" width="5" bestFit="1" customWidth="1"/>
    <col min="4006" max="4006" width="4.42578125" bestFit="1" customWidth="1"/>
    <col min="4007" max="4007" width="4.5703125" bestFit="1" customWidth="1"/>
    <col min="4008" max="4009" width="5.140625" bestFit="1" customWidth="1"/>
    <col min="4010" max="4010" width="4.85546875" bestFit="1" customWidth="1"/>
    <col min="4011" max="4011" width="5.42578125" bestFit="1" customWidth="1"/>
    <col min="4012" max="4012" width="0" hidden="1" customWidth="1"/>
    <col min="4013" max="4013" width="6.5703125" bestFit="1" customWidth="1"/>
    <col min="4155" max="4155" width="6" customWidth="1"/>
    <col min="4156" max="4156" width="1.5703125" bestFit="1" customWidth="1"/>
    <col min="4157" max="4157" width="5.42578125" bestFit="1" customWidth="1"/>
    <col min="4158" max="4158" width="20.28515625" customWidth="1"/>
    <col min="4159" max="4159" width="7.28515625" customWidth="1"/>
    <col min="4160" max="4160" width="5.28515625" customWidth="1"/>
    <col min="4161" max="4161" width="6.5703125" customWidth="1"/>
    <col min="4162" max="4162" width="4.42578125" customWidth="1"/>
    <col min="4163" max="4163" width="8.28515625" customWidth="1"/>
    <col min="4164" max="4164" width="4.7109375" customWidth="1"/>
    <col min="4165" max="4165" width="5.7109375" customWidth="1"/>
    <col min="4166" max="4166" width="8" customWidth="1"/>
    <col min="4167" max="4167" width="6.85546875" customWidth="1"/>
    <col min="4168" max="4168" width="6.140625" customWidth="1"/>
    <col min="4169" max="4170" width="8.28515625" customWidth="1"/>
    <col min="4171" max="4172" width="5.85546875" customWidth="1"/>
    <col min="4173" max="4173" width="7" customWidth="1"/>
    <col min="4174" max="4174" width="5.85546875" customWidth="1"/>
    <col min="4175" max="4175" width="6.42578125" customWidth="1"/>
    <col min="4176" max="4176" width="1.7109375" customWidth="1"/>
    <col min="4177" max="4178" width="6.42578125" customWidth="1"/>
    <col min="4179" max="4179" width="1.7109375" customWidth="1"/>
    <col min="4180" max="4180" width="6.42578125" customWidth="1"/>
    <col min="4181" max="4181" width="6.85546875" customWidth="1"/>
    <col min="4182" max="4182" width="5.7109375" customWidth="1"/>
    <col min="4183" max="4183" width="3.28515625" customWidth="1"/>
    <col min="4184" max="4184" width="4" customWidth="1"/>
    <col min="4185" max="4185" width="14" customWidth="1"/>
    <col min="4186" max="4186" width="9.140625" customWidth="1"/>
    <col min="4187" max="4187" width="9.5703125" customWidth="1"/>
    <col min="4188" max="4188" width="1.5703125" customWidth="1"/>
    <col min="4189" max="4189" width="5.42578125" customWidth="1"/>
    <col min="4190" max="4190" width="19.140625" customWidth="1"/>
    <col min="4191" max="4191" width="7.28515625" customWidth="1"/>
    <col min="4192" max="4192" width="5.28515625" customWidth="1"/>
    <col min="4193" max="4193" width="4" customWidth="1"/>
    <col min="4194" max="4198" width="4.85546875" customWidth="1"/>
    <col min="4199" max="4199" width="6.85546875" customWidth="1"/>
    <col min="4200" max="4200" width="5.7109375" customWidth="1"/>
    <col min="4201" max="4201" width="7.7109375" customWidth="1"/>
    <col min="4202" max="4202" width="6.85546875" customWidth="1"/>
    <col min="4203" max="4203" width="5.140625" customWidth="1"/>
    <col min="4204" max="4204" width="7.85546875" customWidth="1"/>
    <col min="4205" max="4205" width="4.42578125" customWidth="1"/>
    <col min="4206" max="4206" width="6.85546875" customWidth="1"/>
    <col min="4207" max="4208" width="8" customWidth="1"/>
    <col min="4209" max="4209" width="6" customWidth="1"/>
    <col min="4210" max="4210" width="3.140625" customWidth="1"/>
    <col min="4211" max="4211" width="6" customWidth="1"/>
    <col min="4212" max="4212" width="5.5703125" customWidth="1"/>
    <col min="4213" max="4213" width="6.7109375" customWidth="1"/>
    <col min="4214" max="4214" width="6.85546875" customWidth="1"/>
    <col min="4215" max="4215" width="8.140625" customWidth="1"/>
    <col min="4216" max="4216" width="4.42578125" customWidth="1"/>
    <col min="4217" max="4217" width="7.140625" customWidth="1"/>
    <col min="4218" max="4218" width="6.5703125" customWidth="1"/>
    <col min="4219" max="4219" width="6.42578125" customWidth="1"/>
    <col min="4220" max="4220" width="8.28515625" customWidth="1"/>
    <col min="4221" max="4221" width="5.42578125" customWidth="1"/>
    <col min="4222" max="4222" width="7.5703125" customWidth="1"/>
    <col min="4223" max="4223" width="5.140625" customWidth="1"/>
    <col min="4224" max="4226" width="9.140625" customWidth="1"/>
    <col min="4228" max="4228" width="19.7109375" customWidth="1"/>
    <col min="4229" max="4229" width="6.5703125" customWidth="1"/>
    <col min="4230" max="4230" width="3.5703125" bestFit="1" customWidth="1"/>
    <col min="4231" max="4231" width="6.85546875" bestFit="1" customWidth="1"/>
    <col min="4232" max="4234" width="5.85546875" customWidth="1"/>
    <col min="4235" max="4235" width="6" bestFit="1" customWidth="1"/>
    <col min="4236" max="4238" width="0" hidden="1" customWidth="1"/>
    <col min="4239" max="4239" width="6" bestFit="1" customWidth="1"/>
    <col min="4240" max="4240" width="6.85546875" bestFit="1" customWidth="1"/>
    <col min="4241" max="4241" width="7" bestFit="1" customWidth="1"/>
    <col min="4242" max="4242" width="6" bestFit="1" customWidth="1"/>
    <col min="4243" max="4243" width="4.42578125" bestFit="1" customWidth="1"/>
    <col min="4244" max="4244" width="6" bestFit="1" customWidth="1"/>
    <col min="4245" max="4245" width="6.28515625" bestFit="1" customWidth="1"/>
    <col min="4246" max="4252" width="4.85546875" bestFit="1" customWidth="1"/>
    <col min="4253" max="4253" width="5" bestFit="1" customWidth="1"/>
    <col min="4254" max="4254" width="4.85546875" bestFit="1" customWidth="1"/>
    <col min="4255" max="4255" width="4.42578125" bestFit="1" customWidth="1"/>
    <col min="4256" max="4256" width="5.140625" bestFit="1" customWidth="1"/>
    <col min="4257" max="4257" width="4.85546875" bestFit="1" customWidth="1"/>
    <col min="4258" max="4258" width="5" bestFit="1" customWidth="1"/>
    <col min="4259" max="4260" width="5.28515625" bestFit="1" customWidth="1"/>
    <col min="4261" max="4261" width="5" bestFit="1" customWidth="1"/>
    <col min="4262" max="4262" width="4.42578125" bestFit="1" customWidth="1"/>
    <col min="4263" max="4263" width="4.5703125" bestFit="1" customWidth="1"/>
    <col min="4264" max="4265" width="5.140625" bestFit="1" customWidth="1"/>
    <col min="4266" max="4266" width="4.85546875" bestFit="1" customWidth="1"/>
    <col min="4267" max="4267" width="5.42578125" bestFit="1" customWidth="1"/>
    <col min="4268" max="4268" width="0" hidden="1" customWidth="1"/>
    <col min="4269" max="4269" width="6.5703125" bestFit="1" customWidth="1"/>
    <col min="4411" max="4411" width="6" customWidth="1"/>
    <col min="4412" max="4412" width="1.5703125" bestFit="1" customWidth="1"/>
    <col min="4413" max="4413" width="5.42578125" bestFit="1" customWidth="1"/>
    <col min="4414" max="4414" width="20.28515625" customWidth="1"/>
    <col min="4415" max="4415" width="7.28515625" customWidth="1"/>
    <col min="4416" max="4416" width="5.28515625" customWidth="1"/>
    <col min="4417" max="4417" width="6.5703125" customWidth="1"/>
    <col min="4418" max="4418" width="4.42578125" customWidth="1"/>
    <col min="4419" max="4419" width="8.28515625" customWidth="1"/>
    <col min="4420" max="4420" width="4.7109375" customWidth="1"/>
    <col min="4421" max="4421" width="5.7109375" customWidth="1"/>
    <col min="4422" max="4422" width="8" customWidth="1"/>
    <col min="4423" max="4423" width="6.85546875" customWidth="1"/>
    <col min="4424" max="4424" width="6.140625" customWidth="1"/>
    <col min="4425" max="4426" width="8.28515625" customWidth="1"/>
    <col min="4427" max="4428" width="5.85546875" customWidth="1"/>
    <col min="4429" max="4429" width="7" customWidth="1"/>
    <col min="4430" max="4430" width="5.85546875" customWidth="1"/>
    <col min="4431" max="4431" width="6.42578125" customWidth="1"/>
    <col min="4432" max="4432" width="1.7109375" customWidth="1"/>
    <col min="4433" max="4434" width="6.42578125" customWidth="1"/>
    <col min="4435" max="4435" width="1.7109375" customWidth="1"/>
    <col min="4436" max="4436" width="6.42578125" customWidth="1"/>
    <col min="4437" max="4437" width="6.85546875" customWidth="1"/>
    <col min="4438" max="4438" width="5.7109375" customWidth="1"/>
    <col min="4439" max="4439" width="3.28515625" customWidth="1"/>
    <col min="4440" max="4440" width="4" customWidth="1"/>
    <col min="4441" max="4441" width="14" customWidth="1"/>
    <col min="4442" max="4442" width="9.140625" customWidth="1"/>
    <col min="4443" max="4443" width="9.5703125" customWidth="1"/>
    <col min="4444" max="4444" width="1.5703125" customWidth="1"/>
    <col min="4445" max="4445" width="5.42578125" customWidth="1"/>
    <col min="4446" max="4446" width="19.140625" customWidth="1"/>
    <col min="4447" max="4447" width="7.28515625" customWidth="1"/>
    <col min="4448" max="4448" width="5.28515625" customWidth="1"/>
    <col min="4449" max="4449" width="4" customWidth="1"/>
    <col min="4450" max="4454" width="4.85546875" customWidth="1"/>
    <col min="4455" max="4455" width="6.85546875" customWidth="1"/>
    <col min="4456" max="4456" width="5.7109375" customWidth="1"/>
    <col min="4457" max="4457" width="7.7109375" customWidth="1"/>
    <col min="4458" max="4458" width="6.85546875" customWidth="1"/>
    <col min="4459" max="4459" width="5.140625" customWidth="1"/>
    <col min="4460" max="4460" width="7.85546875" customWidth="1"/>
    <col min="4461" max="4461" width="4.42578125" customWidth="1"/>
    <col min="4462" max="4462" width="6.85546875" customWidth="1"/>
    <col min="4463" max="4464" width="8" customWidth="1"/>
    <col min="4465" max="4465" width="6" customWidth="1"/>
    <col min="4466" max="4466" width="3.140625" customWidth="1"/>
    <col min="4467" max="4467" width="6" customWidth="1"/>
    <col min="4468" max="4468" width="5.5703125" customWidth="1"/>
    <col min="4469" max="4469" width="6.7109375" customWidth="1"/>
    <col min="4470" max="4470" width="6.85546875" customWidth="1"/>
    <col min="4471" max="4471" width="8.140625" customWidth="1"/>
    <col min="4472" max="4472" width="4.42578125" customWidth="1"/>
    <col min="4473" max="4473" width="7.140625" customWidth="1"/>
    <col min="4474" max="4474" width="6.5703125" customWidth="1"/>
    <col min="4475" max="4475" width="6.42578125" customWidth="1"/>
    <col min="4476" max="4476" width="8.28515625" customWidth="1"/>
    <col min="4477" max="4477" width="5.42578125" customWidth="1"/>
    <col min="4478" max="4478" width="7.5703125" customWidth="1"/>
    <col min="4479" max="4479" width="5.140625" customWidth="1"/>
    <col min="4480" max="4482" width="9.140625" customWidth="1"/>
    <col min="4484" max="4484" width="19.7109375" customWidth="1"/>
    <col min="4485" max="4485" width="6.5703125" customWidth="1"/>
    <col min="4486" max="4486" width="3.5703125" bestFit="1" customWidth="1"/>
    <col min="4487" max="4487" width="6.85546875" bestFit="1" customWidth="1"/>
    <col min="4488" max="4490" width="5.85546875" customWidth="1"/>
    <col min="4491" max="4491" width="6" bestFit="1" customWidth="1"/>
    <col min="4492" max="4494" width="0" hidden="1" customWidth="1"/>
    <col min="4495" max="4495" width="6" bestFit="1" customWidth="1"/>
    <col min="4496" max="4496" width="6.85546875" bestFit="1" customWidth="1"/>
    <col min="4497" max="4497" width="7" bestFit="1" customWidth="1"/>
    <col min="4498" max="4498" width="6" bestFit="1" customWidth="1"/>
    <col min="4499" max="4499" width="4.42578125" bestFit="1" customWidth="1"/>
    <col min="4500" max="4500" width="6" bestFit="1" customWidth="1"/>
    <col min="4501" max="4501" width="6.28515625" bestFit="1" customWidth="1"/>
    <col min="4502" max="4508" width="4.85546875" bestFit="1" customWidth="1"/>
    <col min="4509" max="4509" width="5" bestFit="1" customWidth="1"/>
    <col min="4510" max="4510" width="4.85546875" bestFit="1" customWidth="1"/>
    <col min="4511" max="4511" width="4.42578125" bestFit="1" customWidth="1"/>
    <col min="4512" max="4512" width="5.140625" bestFit="1" customWidth="1"/>
    <col min="4513" max="4513" width="4.85546875" bestFit="1" customWidth="1"/>
    <col min="4514" max="4514" width="5" bestFit="1" customWidth="1"/>
    <col min="4515" max="4516" width="5.28515625" bestFit="1" customWidth="1"/>
    <col min="4517" max="4517" width="5" bestFit="1" customWidth="1"/>
    <col min="4518" max="4518" width="4.42578125" bestFit="1" customWidth="1"/>
    <col min="4519" max="4519" width="4.5703125" bestFit="1" customWidth="1"/>
    <col min="4520" max="4521" width="5.140625" bestFit="1" customWidth="1"/>
    <col min="4522" max="4522" width="4.85546875" bestFit="1" customWidth="1"/>
    <col min="4523" max="4523" width="5.42578125" bestFit="1" customWidth="1"/>
    <col min="4524" max="4524" width="0" hidden="1" customWidth="1"/>
    <col min="4525" max="4525" width="6.5703125" bestFit="1" customWidth="1"/>
    <col min="4667" max="4667" width="6" customWidth="1"/>
    <col min="4668" max="4668" width="1.5703125" bestFit="1" customWidth="1"/>
    <col min="4669" max="4669" width="5.42578125" bestFit="1" customWidth="1"/>
    <col min="4670" max="4670" width="20.28515625" customWidth="1"/>
    <col min="4671" max="4671" width="7.28515625" customWidth="1"/>
    <col min="4672" max="4672" width="5.28515625" customWidth="1"/>
    <col min="4673" max="4673" width="6.5703125" customWidth="1"/>
    <col min="4674" max="4674" width="4.42578125" customWidth="1"/>
    <col min="4675" max="4675" width="8.28515625" customWidth="1"/>
    <col min="4676" max="4676" width="4.7109375" customWidth="1"/>
    <col min="4677" max="4677" width="5.7109375" customWidth="1"/>
    <col min="4678" max="4678" width="8" customWidth="1"/>
    <col min="4679" max="4679" width="6.85546875" customWidth="1"/>
    <col min="4680" max="4680" width="6.140625" customWidth="1"/>
    <col min="4681" max="4682" width="8.28515625" customWidth="1"/>
    <col min="4683" max="4684" width="5.85546875" customWidth="1"/>
    <col min="4685" max="4685" width="7" customWidth="1"/>
    <col min="4686" max="4686" width="5.85546875" customWidth="1"/>
    <col min="4687" max="4687" width="6.42578125" customWidth="1"/>
    <col min="4688" max="4688" width="1.7109375" customWidth="1"/>
    <col min="4689" max="4690" width="6.42578125" customWidth="1"/>
    <col min="4691" max="4691" width="1.7109375" customWidth="1"/>
    <col min="4692" max="4692" width="6.42578125" customWidth="1"/>
    <col min="4693" max="4693" width="6.85546875" customWidth="1"/>
    <col min="4694" max="4694" width="5.7109375" customWidth="1"/>
    <col min="4695" max="4695" width="3.28515625" customWidth="1"/>
    <col min="4696" max="4696" width="4" customWidth="1"/>
    <col min="4697" max="4697" width="14" customWidth="1"/>
    <col min="4698" max="4698" width="9.140625" customWidth="1"/>
    <col min="4699" max="4699" width="9.5703125" customWidth="1"/>
    <col min="4700" max="4700" width="1.5703125" customWidth="1"/>
    <col min="4701" max="4701" width="5.42578125" customWidth="1"/>
    <col min="4702" max="4702" width="19.140625" customWidth="1"/>
    <col min="4703" max="4703" width="7.28515625" customWidth="1"/>
    <col min="4704" max="4704" width="5.28515625" customWidth="1"/>
    <col min="4705" max="4705" width="4" customWidth="1"/>
    <col min="4706" max="4710" width="4.85546875" customWidth="1"/>
    <col min="4711" max="4711" width="6.85546875" customWidth="1"/>
    <col min="4712" max="4712" width="5.7109375" customWidth="1"/>
    <col min="4713" max="4713" width="7.7109375" customWidth="1"/>
    <col min="4714" max="4714" width="6.85546875" customWidth="1"/>
    <col min="4715" max="4715" width="5.140625" customWidth="1"/>
    <col min="4716" max="4716" width="7.85546875" customWidth="1"/>
    <col min="4717" max="4717" width="4.42578125" customWidth="1"/>
    <col min="4718" max="4718" width="6.85546875" customWidth="1"/>
    <col min="4719" max="4720" width="8" customWidth="1"/>
    <col min="4721" max="4721" width="6" customWidth="1"/>
    <col min="4722" max="4722" width="3.140625" customWidth="1"/>
    <col min="4723" max="4723" width="6" customWidth="1"/>
    <col min="4724" max="4724" width="5.5703125" customWidth="1"/>
    <col min="4725" max="4725" width="6.7109375" customWidth="1"/>
    <col min="4726" max="4726" width="6.85546875" customWidth="1"/>
    <col min="4727" max="4727" width="8.140625" customWidth="1"/>
    <col min="4728" max="4728" width="4.42578125" customWidth="1"/>
    <col min="4729" max="4729" width="7.140625" customWidth="1"/>
    <col min="4730" max="4730" width="6.5703125" customWidth="1"/>
    <col min="4731" max="4731" width="6.42578125" customWidth="1"/>
    <col min="4732" max="4732" width="8.28515625" customWidth="1"/>
    <col min="4733" max="4733" width="5.42578125" customWidth="1"/>
    <col min="4734" max="4734" width="7.5703125" customWidth="1"/>
    <col min="4735" max="4735" width="5.140625" customWidth="1"/>
    <col min="4736" max="4738" width="9.140625" customWidth="1"/>
    <col min="4740" max="4740" width="19.7109375" customWidth="1"/>
    <col min="4741" max="4741" width="6.5703125" customWidth="1"/>
    <col min="4742" max="4742" width="3.5703125" bestFit="1" customWidth="1"/>
    <col min="4743" max="4743" width="6.85546875" bestFit="1" customWidth="1"/>
    <col min="4744" max="4746" width="5.85546875" customWidth="1"/>
    <col min="4747" max="4747" width="6" bestFit="1" customWidth="1"/>
    <col min="4748" max="4750" width="0" hidden="1" customWidth="1"/>
    <col min="4751" max="4751" width="6" bestFit="1" customWidth="1"/>
    <col min="4752" max="4752" width="6.85546875" bestFit="1" customWidth="1"/>
    <col min="4753" max="4753" width="7" bestFit="1" customWidth="1"/>
    <col min="4754" max="4754" width="6" bestFit="1" customWidth="1"/>
    <col min="4755" max="4755" width="4.42578125" bestFit="1" customWidth="1"/>
    <col min="4756" max="4756" width="6" bestFit="1" customWidth="1"/>
    <col min="4757" max="4757" width="6.28515625" bestFit="1" customWidth="1"/>
    <col min="4758" max="4764" width="4.85546875" bestFit="1" customWidth="1"/>
    <col min="4765" max="4765" width="5" bestFit="1" customWidth="1"/>
    <col min="4766" max="4766" width="4.85546875" bestFit="1" customWidth="1"/>
    <col min="4767" max="4767" width="4.42578125" bestFit="1" customWidth="1"/>
    <col min="4768" max="4768" width="5.140625" bestFit="1" customWidth="1"/>
    <col min="4769" max="4769" width="4.85546875" bestFit="1" customWidth="1"/>
    <col min="4770" max="4770" width="5" bestFit="1" customWidth="1"/>
    <col min="4771" max="4772" width="5.28515625" bestFit="1" customWidth="1"/>
    <col min="4773" max="4773" width="5" bestFit="1" customWidth="1"/>
    <col min="4774" max="4774" width="4.42578125" bestFit="1" customWidth="1"/>
    <col min="4775" max="4775" width="4.5703125" bestFit="1" customWidth="1"/>
    <col min="4776" max="4777" width="5.140625" bestFit="1" customWidth="1"/>
    <col min="4778" max="4778" width="4.85546875" bestFit="1" customWidth="1"/>
    <col min="4779" max="4779" width="5.42578125" bestFit="1" customWidth="1"/>
    <col min="4780" max="4780" width="0" hidden="1" customWidth="1"/>
    <col min="4781" max="4781" width="6.5703125" bestFit="1" customWidth="1"/>
    <col min="4923" max="4923" width="6" customWidth="1"/>
    <col min="4924" max="4924" width="1.5703125" bestFit="1" customWidth="1"/>
    <col min="4925" max="4925" width="5.42578125" bestFit="1" customWidth="1"/>
    <col min="4926" max="4926" width="20.28515625" customWidth="1"/>
    <col min="4927" max="4927" width="7.28515625" customWidth="1"/>
    <col min="4928" max="4928" width="5.28515625" customWidth="1"/>
    <col min="4929" max="4929" width="6.5703125" customWidth="1"/>
    <col min="4930" max="4930" width="4.42578125" customWidth="1"/>
    <col min="4931" max="4931" width="8.28515625" customWidth="1"/>
    <col min="4932" max="4932" width="4.7109375" customWidth="1"/>
    <col min="4933" max="4933" width="5.7109375" customWidth="1"/>
    <col min="4934" max="4934" width="8" customWidth="1"/>
    <col min="4935" max="4935" width="6.85546875" customWidth="1"/>
    <col min="4936" max="4936" width="6.140625" customWidth="1"/>
    <col min="4937" max="4938" width="8.28515625" customWidth="1"/>
    <col min="4939" max="4940" width="5.85546875" customWidth="1"/>
    <col min="4941" max="4941" width="7" customWidth="1"/>
    <col min="4942" max="4942" width="5.85546875" customWidth="1"/>
    <col min="4943" max="4943" width="6.42578125" customWidth="1"/>
    <col min="4944" max="4944" width="1.7109375" customWidth="1"/>
    <col min="4945" max="4946" width="6.42578125" customWidth="1"/>
    <col min="4947" max="4947" width="1.7109375" customWidth="1"/>
    <col min="4948" max="4948" width="6.42578125" customWidth="1"/>
    <col min="4949" max="4949" width="6.85546875" customWidth="1"/>
    <col min="4950" max="4950" width="5.7109375" customWidth="1"/>
    <col min="4951" max="4951" width="3.28515625" customWidth="1"/>
    <col min="4952" max="4952" width="4" customWidth="1"/>
    <col min="4953" max="4953" width="14" customWidth="1"/>
    <col min="4954" max="4954" width="9.140625" customWidth="1"/>
    <col min="4955" max="4955" width="9.5703125" customWidth="1"/>
    <col min="4956" max="4956" width="1.5703125" customWidth="1"/>
    <col min="4957" max="4957" width="5.42578125" customWidth="1"/>
    <col min="4958" max="4958" width="19.140625" customWidth="1"/>
    <col min="4959" max="4959" width="7.28515625" customWidth="1"/>
    <col min="4960" max="4960" width="5.28515625" customWidth="1"/>
    <col min="4961" max="4961" width="4" customWidth="1"/>
    <col min="4962" max="4966" width="4.85546875" customWidth="1"/>
    <col min="4967" max="4967" width="6.85546875" customWidth="1"/>
    <col min="4968" max="4968" width="5.7109375" customWidth="1"/>
    <col min="4969" max="4969" width="7.7109375" customWidth="1"/>
    <col min="4970" max="4970" width="6.85546875" customWidth="1"/>
    <col min="4971" max="4971" width="5.140625" customWidth="1"/>
    <col min="4972" max="4972" width="7.85546875" customWidth="1"/>
    <col min="4973" max="4973" width="4.42578125" customWidth="1"/>
    <col min="4974" max="4974" width="6.85546875" customWidth="1"/>
    <col min="4975" max="4976" width="8" customWidth="1"/>
    <col min="4977" max="4977" width="6" customWidth="1"/>
    <col min="4978" max="4978" width="3.140625" customWidth="1"/>
    <col min="4979" max="4979" width="6" customWidth="1"/>
    <col min="4980" max="4980" width="5.5703125" customWidth="1"/>
    <col min="4981" max="4981" width="6.7109375" customWidth="1"/>
    <col min="4982" max="4982" width="6.85546875" customWidth="1"/>
    <col min="4983" max="4983" width="8.140625" customWidth="1"/>
    <col min="4984" max="4984" width="4.42578125" customWidth="1"/>
    <col min="4985" max="4985" width="7.140625" customWidth="1"/>
    <col min="4986" max="4986" width="6.5703125" customWidth="1"/>
    <col min="4987" max="4987" width="6.42578125" customWidth="1"/>
    <col min="4988" max="4988" width="8.28515625" customWidth="1"/>
    <col min="4989" max="4989" width="5.42578125" customWidth="1"/>
    <col min="4990" max="4990" width="7.5703125" customWidth="1"/>
    <col min="4991" max="4991" width="5.140625" customWidth="1"/>
    <col min="4992" max="4994" width="9.140625" customWidth="1"/>
    <col min="4996" max="4996" width="19.7109375" customWidth="1"/>
    <col min="4997" max="4997" width="6.5703125" customWidth="1"/>
    <col min="4998" max="4998" width="3.5703125" bestFit="1" customWidth="1"/>
    <col min="4999" max="4999" width="6.85546875" bestFit="1" customWidth="1"/>
    <col min="5000" max="5002" width="5.85546875" customWidth="1"/>
    <col min="5003" max="5003" width="6" bestFit="1" customWidth="1"/>
    <col min="5004" max="5006" width="0" hidden="1" customWidth="1"/>
    <col min="5007" max="5007" width="6" bestFit="1" customWidth="1"/>
    <col min="5008" max="5008" width="6.85546875" bestFit="1" customWidth="1"/>
    <col min="5009" max="5009" width="7" bestFit="1" customWidth="1"/>
    <col min="5010" max="5010" width="6" bestFit="1" customWidth="1"/>
    <col min="5011" max="5011" width="4.42578125" bestFit="1" customWidth="1"/>
    <col min="5012" max="5012" width="6" bestFit="1" customWidth="1"/>
    <col min="5013" max="5013" width="6.28515625" bestFit="1" customWidth="1"/>
    <col min="5014" max="5020" width="4.85546875" bestFit="1" customWidth="1"/>
    <col min="5021" max="5021" width="5" bestFit="1" customWidth="1"/>
    <col min="5022" max="5022" width="4.85546875" bestFit="1" customWidth="1"/>
    <col min="5023" max="5023" width="4.42578125" bestFit="1" customWidth="1"/>
    <col min="5024" max="5024" width="5.140625" bestFit="1" customWidth="1"/>
    <col min="5025" max="5025" width="4.85546875" bestFit="1" customWidth="1"/>
    <col min="5026" max="5026" width="5" bestFit="1" customWidth="1"/>
    <col min="5027" max="5028" width="5.28515625" bestFit="1" customWidth="1"/>
    <col min="5029" max="5029" width="5" bestFit="1" customWidth="1"/>
    <col min="5030" max="5030" width="4.42578125" bestFit="1" customWidth="1"/>
    <col min="5031" max="5031" width="4.5703125" bestFit="1" customWidth="1"/>
    <col min="5032" max="5033" width="5.140625" bestFit="1" customWidth="1"/>
    <col min="5034" max="5034" width="4.85546875" bestFit="1" customWidth="1"/>
    <col min="5035" max="5035" width="5.42578125" bestFit="1" customWidth="1"/>
    <col min="5036" max="5036" width="0" hidden="1" customWidth="1"/>
    <col min="5037" max="5037" width="6.5703125" bestFit="1" customWidth="1"/>
    <col min="5179" max="5179" width="6" customWidth="1"/>
    <col min="5180" max="5180" width="1.5703125" bestFit="1" customWidth="1"/>
    <col min="5181" max="5181" width="5.42578125" bestFit="1" customWidth="1"/>
    <col min="5182" max="5182" width="20.28515625" customWidth="1"/>
    <col min="5183" max="5183" width="7.28515625" customWidth="1"/>
    <col min="5184" max="5184" width="5.28515625" customWidth="1"/>
    <col min="5185" max="5185" width="6.5703125" customWidth="1"/>
    <col min="5186" max="5186" width="4.42578125" customWidth="1"/>
    <col min="5187" max="5187" width="8.28515625" customWidth="1"/>
    <col min="5188" max="5188" width="4.7109375" customWidth="1"/>
    <col min="5189" max="5189" width="5.7109375" customWidth="1"/>
    <col min="5190" max="5190" width="8" customWidth="1"/>
    <col min="5191" max="5191" width="6.85546875" customWidth="1"/>
    <col min="5192" max="5192" width="6.140625" customWidth="1"/>
    <col min="5193" max="5194" width="8.28515625" customWidth="1"/>
    <col min="5195" max="5196" width="5.85546875" customWidth="1"/>
    <col min="5197" max="5197" width="7" customWidth="1"/>
    <col min="5198" max="5198" width="5.85546875" customWidth="1"/>
    <col min="5199" max="5199" width="6.42578125" customWidth="1"/>
    <col min="5200" max="5200" width="1.7109375" customWidth="1"/>
    <col min="5201" max="5202" width="6.42578125" customWidth="1"/>
    <col min="5203" max="5203" width="1.7109375" customWidth="1"/>
    <col min="5204" max="5204" width="6.42578125" customWidth="1"/>
    <col min="5205" max="5205" width="6.85546875" customWidth="1"/>
    <col min="5206" max="5206" width="5.7109375" customWidth="1"/>
    <col min="5207" max="5207" width="3.28515625" customWidth="1"/>
    <col min="5208" max="5208" width="4" customWidth="1"/>
    <col min="5209" max="5209" width="14" customWidth="1"/>
    <col min="5210" max="5210" width="9.140625" customWidth="1"/>
    <col min="5211" max="5211" width="9.5703125" customWidth="1"/>
    <col min="5212" max="5212" width="1.5703125" customWidth="1"/>
    <col min="5213" max="5213" width="5.42578125" customWidth="1"/>
    <col min="5214" max="5214" width="19.140625" customWidth="1"/>
    <col min="5215" max="5215" width="7.28515625" customWidth="1"/>
    <col min="5216" max="5216" width="5.28515625" customWidth="1"/>
    <col min="5217" max="5217" width="4" customWidth="1"/>
    <col min="5218" max="5222" width="4.85546875" customWidth="1"/>
    <col min="5223" max="5223" width="6.85546875" customWidth="1"/>
    <col min="5224" max="5224" width="5.7109375" customWidth="1"/>
    <col min="5225" max="5225" width="7.7109375" customWidth="1"/>
    <col min="5226" max="5226" width="6.85546875" customWidth="1"/>
    <col min="5227" max="5227" width="5.140625" customWidth="1"/>
    <col min="5228" max="5228" width="7.85546875" customWidth="1"/>
    <col min="5229" max="5229" width="4.42578125" customWidth="1"/>
    <col min="5230" max="5230" width="6.85546875" customWidth="1"/>
    <col min="5231" max="5232" width="8" customWidth="1"/>
    <col min="5233" max="5233" width="6" customWidth="1"/>
    <col min="5234" max="5234" width="3.140625" customWidth="1"/>
    <col min="5235" max="5235" width="6" customWidth="1"/>
    <col min="5236" max="5236" width="5.5703125" customWidth="1"/>
    <col min="5237" max="5237" width="6.7109375" customWidth="1"/>
    <col min="5238" max="5238" width="6.85546875" customWidth="1"/>
    <col min="5239" max="5239" width="8.140625" customWidth="1"/>
    <col min="5240" max="5240" width="4.42578125" customWidth="1"/>
    <col min="5241" max="5241" width="7.140625" customWidth="1"/>
    <col min="5242" max="5242" width="6.5703125" customWidth="1"/>
    <col min="5243" max="5243" width="6.42578125" customWidth="1"/>
    <col min="5244" max="5244" width="8.28515625" customWidth="1"/>
    <col min="5245" max="5245" width="5.42578125" customWidth="1"/>
    <col min="5246" max="5246" width="7.5703125" customWidth="1"/>
    <col min="5247" max="5247" width="5.140625" customWidth="1"/>
    <col min="5248" max="5250" width="9.140625" customWidth="1"/>
    <col min="5252" max="5252" width="19.7109375" customWidth="1"/>
    <col min="5253" max="5253" width="6.5703125" customWidth="1"/>
    <col min="5254" max="5254" width="3.5703125" bestFit="1" customWidth="1"/>
    <col min="5255" max="5255" width="6.85546875" bestFit="1" customWidth="1"/>
    <col min="5256" max="5258" width="5.85546875" customWidth="1"/>
    <col min="5259" max="5259" width="6" bestFit="1" customWidth="1"/>
    <col min="5260" max="5262" width="0" hidden="1" customWidth="1"/>
    <col min="5263" max="5263" width="6" bestFit="1" customWidth="1"/>
    <col min="5264" max="5264" width="6.85546875" bestFit="1" customWidth="1"/>
    <col min="5265" max="5265" width="7" bestFit="1" customWidth="1"/>
    <col min="5266" max="5266" width="6" bestFit="1" customWidth="1"/>
    <col min="5267" max="5267" width="4.42578125" bestFit="1" customWidth="1"/>
    <col min="5268" max="5268" width="6" bestFit="1" customWidth="1"/>
    <col min="5269" max="5269" width="6.28515625" bestFit="1" customWidth="1"/>
    <col min="5270" max="5276" width="4.85546875" bestFit="1" customWidth="1"/>
    <col min="5277" max="5277" width="5" bestFit="1" customWidth="1"/>
    <col min="5278" max="5278" width="4.85546875" bestFit="1" customWidth="1"/>
    <col min="5279" max="5279" width="4.42578125" bestFit="1" customWidth="1"/>
    <col min="5280" max="5280" width="5.140625" bestFit="1" customWidth="1"/>
    <col min="5281" max="5281" width="4.85546875" bestFit="1" customWidth="1"/>
    <col min="5282" max="5282" width="5" bestFit="1" customWidth="1"/>
    <col min="5283" max="5284" width="5.28515625" bestFit="1" customWidth="1"/>
    <col min="5285" max="5285" width="5" bestFit="1" customWidth="1"/>
    <col min="5286" max="5286" width="4.42578125" bestFit="1" customWidth="1"/>
    <col min="5287" max="5287" width="4.5703125" bestFit="1" customWidth="1"/>
    <col min="5288" max="5289" width="5.140625" bestFit="1" customWidth="1"/>
    <col min="5290" max="5290" width="4.85546875" bestFit="1" customWidth="1"/>
    <col min="5291" max="5291" width="5.42578125" bestFit="1" customWidth="1"/>
    <col min="5292" max="5292" width="0" hidden="1" customWidth="1"/>
    <col min="5293" max="5293" width="6.5703125" bestFit="1" customWidth="1"/>
    <col min="5435" max="5435" width="6" customWidth="1"/>
    <col min="5436" max="5436" width="1.5703125" bestFit="1" customWidth="1"/>
    <col min="5437" max="5437" width="5.42578125" bestFit="1" customWidth="1"/>
    <col min="5438" max="5438" width="20.28515625" customWidth="1"/>
    <col min="5439" max="5439" width="7.28515625" customWidth="1"/>
    <col min="5440" max="5440" width="5.28515625" customWidth="1"/>
    <col min="5441" max="5441" width="6.5703125" customWidth="1"/>
    <col min="5442" max="5442" width="4.42578125" customWidth="1"/>
    <col min="5443" max="5443" width="8.28515625" customWidth="1"/>
    <col min="5444" max="5444" width="4.7109375" customWidth="1"/>
    <col min="5445" max="5445" width="5.7109375" customWidth="1"/>
    <col min="5446" max="5446" width="8" customWidth="1"/>
    <col min="5447" max="5447" width="6.85546875" customWidth="1"/>
    <col min="5448" max="5448" width="6.140625" customWidth="1"/>
    <col min="5449" max="5450" width="8.28515625" customWidth="1"/>
    <col min="5451" max="5452" width="5.85546875" customWidth="1"/>
    <col min="5453" max="5453" width="7" customWidth="1"/>
    <col min="5454" max="5454" width="5.85546875" customWidth="1"/>
    <col min="5455" max="5455" width="6.42578125" customWidth="1"/>
    <col min="5456" max="5456" width="1.7109375" customWidth="1"/>
    <col min="5457" max="5458" width="6.42578125" customWidth="1"/>
    <col min="5459" max="5459" width="1.7109375" customWidth="1"/>
    <col min="5460" max="5460" width="6.42578125" customWidth="1"/>
    <col min="5461" max="5461" width="6.85546875" customWidth="1"/>
    <col min="5462" max="5462" width="5.7109375" customWidth="1"/>
    <col min="5463" max="5463" width="3.28515625" customWidth="1"/>
    <col min="5464" max="5464" width="4" customWidth="1"/>
    <col min="5465" max="5465" width="14" customWidth="1"/>
    <col min="5466" max="5466" width="9.140625" customWidth="1"/>
    <col min="5467" max="5467" width="9.5703125" customWidth="1"/>
    <col min="5468" max="5468" width="1.5703125" customWidth="1"/>
    <col min="5469" max="5469" width="5.42578125" customWidth="1"/>
    <col min="5470" max="5470" width="19.140625" customWidth="1"/>
    <col min="5471" max="5471" width="7.28515625" customWidth="1"/>
    <col min="5472" max="5472" width="5.28515625" customWidth="1"/>
    <col min="5473" max="5473" width="4" customWidth="1"/>
    <col min="5474" max="5478" width="4.85546875" customWidth="1"/>
    <col min="5479" max="5479" width="6.85546875" customWidth="1"/>
    <col min="5480" max="5480" width="5.7109375" customWidth="1"/>
    <col min="5481" max="5481" width="7.7109375" customWidth="1"/>
    <col min="5482" max="5482" width="6.85546875" customWidth="1"/>
    <col min="5483" max="5483" width="5.140625" customWidth="1"/>
    <col min="5484" max="5484" width="7.85546875" customWidth="1"/>
    <col min="5485" max="5485" width="4.42578125" customWidth="1"/>
    <col min="5486" max="5486" width="6.85546875" customWidth="1"/>
    <col min="5487" max="5488" width="8" customWidth="1"/>
    <col min="5489" max="5489" width="6" customWidth="1"/>
    <col min="5490" max="5490" width="3.140625" customWidth="1"/>
    <col min="5491" max="5491" width="6" customWidth="1"/>
    <col min="5492" max="5492" width="5.5703125" customWidth="1"/>
    <col min="5493" max="5493" width="6.7109375" customWidth="1"/>
    <col min="5494" max="5494" width="6.85546875" customWidth="1"/>
    <col min="5495" max="5495" width="8.140625" customWidth="1"/>
    <col min="5496" max="5496" width="4.42578125" customWidth="1"/>
    <col min="5497" max="5497" width="7.140625" customWidth="1"/>
    <col min="5498" max="5498" width="6.5703125" customWidth="1"/>
    <col min="5499" max="5499" width="6.42578125" customWidth="1"/>
    <col min="5500" max="5500" width="8.28515625" customWidth="1"/>
    <col min="5501" max="5501" width="5.42578125" customWidth="1"/>
    <col min="5502" max="5502" width="7.5703125" customWidth="1"/>
    <col min="5503" max="5503" width="5.140625" customWidth="1"/>
    <col min="5504" max="5506" width="9.140625" customWidth="1"/>
    <col min="5508" max="5508" width="19.7109375" customWidth="1"/>
    <col min="5509" max="5509" width="6.5703125" customWidth="1"/>
    <col min="5510" max="5510" width="3.5703125" bestFit="1" customWidth="1"/>
    <col min="5511" max="5511" width="6.85546875" bestFit="1" customWidth="1"/>
    <col min="5512" max="5514" width="5.85546875" customWidth="1"/>
    <col min="5515" max="5515" width="6" bestFit="1" customWidth="1"/>
    <col min="5516" max="5518" width="0" hidden="1" customWidth="1"/>
    <col min="5519" max="5519" width="6" bestFit="1" customWidth="1"/>
    <col min="5520" max="5520" width="6.85546875" bestFit="1" customWidth="1"/>
    <col min="5521" max="5521" width="7" bestFit="1" customWidth="1"/>
    <col min="5522" max="5522" width="6" bestFit="1" customWidth="1"/>
    <col min="5523" max="5523" width="4.42578125" bestFit="1" customWidth="1"/>
    <col min="5524" max="5524" width="6" bestFit="1" customWidth="1"/>
    <col min="5525" max="5525" width="6.28515625" bestFit="1" customWidth="1"/>
    <col min="5526" max="5532" width="4.85546875" bestFit="1" customWidth="1"/>
    <col min="5533" max="5533" width="5" bestFit="1" customWidth="1"/>
    <col min="5534" max="5534" width="4.85546875" bestFit="1" customWidth="1"/>
    <col min="5535" max="5535" width="4.42578125" bestFit="1" customWidth="1"/>
    <col min="5536" max="5536" width="5.140625" bestFit="1" customWidth="1"/>
    <col min="5537" max="5537" width="4.85546875" bestFit="1" customWidth="1"/>
    <col min="5538" max="5538" width="5" bestFit="1" customWidth="1"/>
    <col min="5539" max="5540" width="5.28515625" bestFit="1" customWidth="1"/>
    <col min="5541" max="5541" width="5" bestFit="1" customWidth="1"/>
    <col min="5542" max="5542" width="4.42578125" bestFit="1" customWidth="1"/>
    <col min="5543" max="5543" width="4.5703125" bestFit="1" customWidth="1"/>
    <col min="5544" max="5545" width="5.140625" bestFit="1" customWidth="1"/>
    <col min="5546" max="5546" width="4.85546875" bestFit="1" customWidth="1"/>
    <col min="5547" max="5547" width="5.42578125" bestFit="1" customWidth="1"/>
    <col min="5548" max="5548" width="0" hidden="1" customWidth="1"/>
    <col min="5549" max="5549" width="6.5703125" bestFit="1" customWidth="1"/>
    <col min="5691" max="5691" width="6" customWidth="1"/>
    <col min="5692" max="5692" width="1.5703125" bestFit="1" customWidth="1"/>
    <col min="5693" max="5693" width="5.42578125" bestFit="1" customWidth="1"/>
    <col min="5694" max="5694" width="20.28515625" customWidth="1"/>
    <col min="5695" max="5695" width="7.28515625" customWidth="1"/>
    <col min="5696" max="5696" width="5.28515625" customWidth="1"/>
    <col min="5697" max="5697" width="6.5703125" customWidth="1"/>
    <col min="5698" max="5698" width="4.42578125" customWidth="1"/>
    <col min="5699" max="5699" width="8.28515625" customWidth="1"/>
    <col min="5700" max="5700" width="4.7109375" customWidth="1"/>
    <col min="5701" max="5701" width="5.7109375" customWidth="1"/>
    <col min="5702" max="5702" width="8" customWidth="1"/>
    <col min="5703" max="5703" width="6.85546875" customWidth="1"/>
    <col min="5704" max="5704" width="6.140625" customWidth="1"/>
    <col min="5705" max="5706" width="8.28515625" customWidth="1"/>
    <col min="5707" max="5708" width="5.85546875" customWidth="1"/>
    <col min="5709" max="5709" width="7" customWidth="1"/>
    <col min="5710" max="5710" width="5.85546875" customWidth="1"/>
    <col min="5711" max="5711" width="6.42578125" customWidth="1"/>
    <col min="5712" max="5712" width="1.7109375" customWidth="1"/>
    <col min="5713" max="5714" width="6.42578125" customWidth="1"/>
    <col min="5715" max="5715" width="1.7109375" customWidth="1"/>
    <col min="5716" max="5716" width="6.42578125" customWidth="1"/>
    <col min="5717" max="5717" width="6.85546875" customWidth="1"/>
    <col min="5718" max="5718" width="5.7109375" customWidth="1"/>
    <col min="5719" max="5719" width="3.28515625" customWidth="1"/>
    <col min="5720" max="5720" width="4" customWidth="1"/>
    <col min="5721" max="5721" width="14" customWidth="1"/>
    <col min="5722" max="5722" width="9.140625" customWidth="1"/>
    <col min="5723" max="5723" width="9.5703125" customWidth="1"/>
    <col min="5724" max="5724" width="1.5703125" customWidth="1"/>
    <col min="5725" max="5725" width="5.42578125" customWidth="1"/>
    <col min="5726" max="5726" width="19.140625" customWidth="1"/>
    <col min="5727" max="5727" width="7.28515625" customWidth="1"/>
    <col min="5728" max="5728" width="5.28515625" customWidth="1"/>
    <col min="5729" max="5729" width="4" customWidth="1"/>
    <col min="5730" max="5734" width="4.85546875" customWidth="1"/>
    <col min="5735" max="5735" width="6.85546875" customWidth="1"/>
    <col min="5736" max="5736" width="5.7109375" customWidth="1"/>
    <col min="5737" max="5737" width="7.7109375" customWidth="1"/>
    <col min="5738" max="5738" width="6.85546875" customWidth="1"/>
    <col min="5739" max="5739" width="5.140625" customWidth="1"/>
    <col min="5740" max="5740" width="7.85546875" customWidth="1"/>
    <col min="5741" max="5741" width="4.42578125" customWidth="1"/>
    <col min="5742" max="5742" width="6.85546875" customWidth="1"/>
    <col min="5743" max="5744" width="8" customWidth="1"/>
    <col min="5745" max="5745" width="6" customWidth="1"/>
    <col min="5746" max="5746" width="3.140625" customWidth="1"/>
    <col min="5747" max="5747" width="6" customWidth="1"/>
    <col min="5748" max="5748" width="5.5703125" customWidth="1"/>
    <col min="5749" max="5749" width="6.7109375" customWidth="1"/>
    <col min="5750" max="5750" width="6.85546875" customWidth="1"/>
    <col min="5751" max="5751" width="8.140625" customWidth="1"/>
    <col min="5752" max="5752" width="4.42578125" customWidth="1"/>
    <col min="5753" max="5753" width="7.140625" customWidth="1"/>
    <col min="5754" max="5754" width="6.5703125" customWidth="1"/>
    <col min="5755" max="5755" width="6.42578125" customWidth="1"/>
    <col min="5756" max="5756" width="8.28515625" customWidth="1"/>
    <col min="5757" max="5757" width="5.42578125" customWidth="1"/>
    <col min="5758" max="5758" width="7.5703125" customWidth="1"/>
    <col min="5759" max="5759" width="5.140625" customWidth="1"/>
    <col min="5760" max="5762" width="9.140625" customWidth="1"/>
    <col min="5764" max="5764" width="19.7109375" customWidth="1"/>
    <col min="5765" max="5765" width="6.5703125" customWidth="1"/>
    <col min="5766" max="5766" width="3.5703125" bestFit="1" customWidth="1"/>
    <col min="5767" max="5767" width="6.85546875" bestFit="1" customWidth="1"/>
    <col min="5768" max="5770" width="5.85546875" customWidth="1"/>
    <col min="5771" max="5771" width="6" bestFit="1" customWidth="1"/>
    <col min="5772" max="5774" width="0" hidden="1" customWidth="1"/>
    <col min="5775" max="5775" width="6" bestFit="1" customWidth="1"/>
    <col min="5776" max="5776" width="6.85546875" bestFit="1" customWidth="1"/>
    <col min="5777" max="5777" width="7" bestFit="1" customWidth="1"/>
    <col min="5778" max="5778" width="6" bestFit="1" customWidth="1"/>
    <col min="5779" max="5779" width="4.42578125" bestFit="1" customWidth="1"/>
    <col min="5780" max="5780" width="6" bestFit="1" customWidth="1"/>
    <col min="5781" max="5781" width="6.28515625" bestFit="1" customWidth="1"/>
    <col min="5782" max="5788" width="4.85546875" bestFit="1" customWidth="1"/>
    <col min="5789" max="5789" width="5" bestFit="1" customWidth="1"/>
    <col min="5790" max="5790" width="4.85546875" bestFit="1" customWidth="1"/>
    <col min="5791" max="5791" width="4.42578125" bestFit="1" customWidth="1"/>
    <col min="5792" max="5792" width="5.140625" bestFit="1" customWidth="1"/>
    <col min="5793" max="5793" width="4.85546875" bestFit="1" customWidth="1"/>
    <col min="5794" max="5794" width="5" bestFit="1" customWidth="1"/>
    <col min="5795" max="5796" width="5.28515625" bestFit="1" customWidth="1"/>
    <col min="5797" max="5797" width="5" bestFit="1" customWidth="1"/>
    <col min="5798" max="5798" width="4.42578125" bestFit="1" customWidth="1"/>
    <col min="5799" max="5799" width="4.5703125" bestFit="1" customWidth="1"/>
    <col min="5800" max="5801" width="5.140625" bestFit="1" customWidth="1"/>
    <col min="5802" max="5802" width="4.85546875" bestFit="1" customWidth="1"/>
    <col min="5803" max="5803" width="5.42578125" bestFit="1" customWidth="1"/>
    <col min="5804" max="5804" width="0" hidden="1" customWidth="1"/>
    <col min="5805" max="5805" width="6.5703125" bestFit="1" customWidth="1"/>
    <col min="5947" max="5947" width="6" customWidth="1"/>
    <col min="5948" max="5948" width="1.5703125" bestFit="1" customWidth="1"/>
    <col min="5949" max="5949" width="5.42578125" bestFit="1" customWidth="1"/>
    <col min="5950" max="5950" width="20.28515625" customWidth="1"/>
    <col min="5951" max="5951" width="7.28515625" customWidth="1"/>
    <col min="5952" max="5952" width="5.28515625" customWidth="1"/>
    <col min="5953" max="5953" width="6.5703125" customWidth="1"/>
    <col min="5954" max="5954" width="4.42578125" customWidth="1"/>
    <col min="5955" max="5955" width="8.28515625" customWidth="1"/>
    <col min="5956" max="5956" width="4.7109375" customWidth="1"/>
    <col min="5957" max="5957" width="5.7109375" customWidth="1"/>
    <col min="5958" max="5958" width="8" customWidth="1"/>
    <col min="5959" max="5959" width="6.85546875" customWidth="1"/>
    <col min="5960" max="5960" width="6.140625" customWidth="1"/>
    <col min="5961" max="5962" width="8.28515625" customWidth="1"/>
    <col min="5963" max="5964" width="5.85546875" customWidth="1"/>
    <col min="5965" max="5965" width="7" customWidth="1"/>
    <col min="5966" max="5966" width="5.85546875" customWidth="1"/>
    <col min="5967" max="5967" width="6.42578125" customWidth="1"/>
    <col min="5968" max="5968" width="1.7109375" customWidth="1"/>
    <col min="5969" max="5970" width="6.42578125" customWidth="1"/>
    <col min="5971" max="5971" width="1.7109375" customWidth="1"/>
    <col min="5972" max="5972" width="6.42578125" customWidth="1"/>
    <col min="5973" max="5973" width="6.85546875" customWidth="1"/>
    <col min="5974" max="5974" width="5.7109375" customWidth="1"/>
    <col min="5975" max="5975" width="3.28515625" customWidth="1"/>
    <col min="5976" max="5976" width="4" customWidth="1"/>
    <col min="5977" max="5977" width="14" customWidth="1"/>
    <col min="5978" max="5978" width="9.140625" customWidth="1"/>
    <col min="5979" max="5979" width="9.5703125" customWidth="1"/>
    <col min="5980" max="5980" width="1.5703125" customWidth="1"/>
    <col min="5981" max="5981" width="5.42578125" customWidth="1"/>
    <col min="5982" max="5982" width="19.140625" customWidth="1"/>
    <col min="5983" max="5983" width="7.28515625" customWidth="1"/>
    <col min="5984" max="5984" width="5.28515625" customWidth="1"/>
    <col min="5985" max="5985" width="4" customWidth="1"/>
    <col min="5986" max="5990" width="4.85546875" customWidth="1"/>
    <col min="5991" max="5991" width="6.85546875" customWidth="1"/>
    <col min="5992" max="5992" width="5.7109375" customWidth="1"/>
    <col min="5993" max="5993" width="7.7109375" customWidth="1"/>
    <col min="5994" max="5994" width="6.85546875" customWidth="1"/>
    <col min="5995" max="5995" width="5.140625" customWidth="1"/>
    <col min="5996" max="5996" width="7.85546875" customWidth="1"/>
    <col min="5997" max="5997" width="4.42578125" customWidth="1"/>
    <col min="5998" max="5998" width="6.85546875" customWidth="1"/>
    <col min="5999" max="6000" width="8" customWidth="1"/>
    <col min="6001" max="6001" width="6" customWidth="1"/>
    <col min="6002" max="6002" width="3.140625" customWidth="1"/>
    <col min="6003" max="6003" width="6" customWidth="1"/>
    <col min="6004" max="6004" width="5.5703125" customWidth="1"/>
    <col min="6005" max="6005" width="6.7109375" customWidth="1"/>
    <col min="6006" max="6006" width="6.85546875" customWidth="1"/>
    <col min="6007" max="6007" width="8.140625" customWidth="1"/>
    <col min="6008" max="6008" width="4.42578125" customWidth="1"/>
    <col min="6009" max="6009" width="7.140625" customWidth="1"/>
    <col min="6010" max="6010" width="6.5703125" customWidth="1"/>
    <col min="6011" max="6011" width="6.42578125" customWidth="1"/>
    <col min="6012" max="6012" width="8.28515625" customWidth="1"/>
    <col min="6013" max="6013" width="5.42578125" customWidth="1"/>
    <col min="6014" max="6014" width="7.5703125" customWidth="1"/>
    <col min="6015" max="6015" width="5.140625" customWidth="1"/>
    <col min="6016" max="6018" width="9.140625" customWidth="1"/>
    <col min="6020" max="6020" width="19.7109375" customWidth="1"/>
    <col min="6021" max="6021" width="6.5703125" customWidth="1"/>
    <col min="6022" max="6022" width="3.5703125" bestFit="1" customWidth="1"/>
    <col min="6023" max="6023" width="6.85546875" bestFit="1" customWidth="1"/>
    <col min="6024" max="6026" width="5.85546875" customWidth="1"/>
    <col min="6027" max="6027" width="6" bestFit="1" customWidth="1"/>
    <col min="6028" max="6030" width="0" hidden="1" customWidth="1"/>
    <col min="6031" max="6031" width="6" bestFit="1" customWidth="1"/>
    <col min="6032" max="6032" width="6.85546875" bestFit="1" customWidth="1"/>
    <col min="6033" max="6033" width="7" bestFit="1" customWidth="1"/>
    <col min="6034" max="6034" width="6" bestFit="1" customWidth="1"/>
    <col min="6035" max="6035" width="4.42578125" bestFit="1" customWidth="1"/>
    <col min="6036" max="6036" width="6" bestFit="1" customWidth="1"/>
    <col min="6037" max="6037" width="6.28515625" bestFit="1" customWidth="1"/>
    <col min="6038" max="6044" width="4.85546875" bestFit="1" customWidth="1"/>
    <col min="6045" max="6045" width="5" bestFit="1" customWidth="1"/>
    <col min="6046" max="6046" width="4.85546875" bestFit="1" customWidth="1"/>
    <col min="6047" max="6047" width="4.42578125" bestFit="1" customWidth="1"/>
    <col min="6048" max="6048" width="5.140625" bestFit="1" customWidth="1"/>
    <col min="6049" max="6049" width="4.85546875" bestFit="1" customWidth="1"/>
    <col min="6050" max="6050" width="5" bestFit="1" customWidth="1"/>
    <col min="6051" max="6052" width="5.28515625" bestFit="1" customWidth="1"/>
    <col min="6053" max="6053" width="5" bestFit="1" customWidth="1"/>
    <col min="6054" max="6054" width="4.42578125" bestFit="1" customWidth="1"/>
    <col min="6055" max="6055" width="4.5703125" bestFit="1" customWidth="1"/>
    <col min="6056" max="6057" width="5.140625" bestFit="1" customWidth="1"/>
    <col min="6058" max="6058" width="4.85546875" bestFit="1" customWidth="1"/>
    <col min="6059" max="6059" width="5.42578125" bestFit="1" customWidth="1"/>
    <col min="6060" max="6060" width="0" hidden="1" customWidth="1"/>
    <col min="6061" max="6061" width="6.5703125" bestFit="1" customWidth="1"/>
    <col min="6203" max="6203" width="6" customWidth="1"/>
    <col min="6204" max="6204" width="1.5703125" bestFit="1" customWidth="1"/>
    <col min="6205" max="6205" width="5.42578125" bestFit="1" customWidth="1"/>
    <col min="6206" max="6206" width="20.28515625" customWidth="1"/>
    <col min="6207" max="6207" width="7.28515625" customWidth="1"/>
    <col min="6208" max="6208" width="5.28515625" customWidth="1"/>
    <col min="6209" max="6209" width="6.5703125" customWidth="1"/>
    <col min="6210" max="6210" width="4.42578125" customWidth="1"/>
    <col min="6211" max="6211" width="8.28515625" customWidth="1"/>
    <col min="6212" max="6212" width="4.7109375" customWidth="1"/>
    <col min="6213" max="6213" width="5.7109375" customWidth="1"/>
    <col min="6214" max="6214" width="8" customWidth="1"/>
    <col min="6215" max="6215" width="6.85546875" customWidth="1"/>
    <col min="6216" max="6216" width="6.140625" customWidth="1"/>
    <col min="6217" max="6218" width="8.28515625" customWidth="1"/>
    <col min="6219" max="6220" width="5.85546875" customWidth="1"/>
    <col min="6221" max="6221" width="7" customWidth="1"/>
    <col min="6222" max="6222" width="5.85546875" customWidth="1"/>
    <col min="6223" max="6223" width="6.42578125" customWidth="1"/>
    <col min="6224" max="6224" width="1.7109375" customWidth="1"/>
    <col min="6225" max="6226" width="6.42578125" customWidth="1"/>
    <col min="6227" max="6227" width="1.7109375" customWidth="1"/>
    <col min="6228" max="6228" width="6.42578125" customWidth="1"/>
    <col min="6229" max="6229" width="6.85546875" customWidth="1"/>
    <col min="6230" max="6230" width="5.7109375" customWidth="1"/>
    <col min="6231" max="6231" width="3.28515625" customWidth="1"/>
    <col min="6232" max="6232" width="4" customWidth="1"/>
    <col min="6233" max="6233" width="14" customWidth="1"/>
    <col min="6234" max="6234" width="9.140625" customWidth="1"/>
    <col min="6235" max="6235" width="9.5703125" customWidth="1"/>
    <col min="6236" max="6236" width="1.5703125" customWidth="1"/>
    <col min="6237" max="6237" width="5.42578125" customWidth="1"/>
    <col min="6238" max="6238" width="19.140625" customWidth="1"/>
    <col min="6239" max="6239" width="7.28515625" customWidth="1"/>
    <col min="6240" max="6240" width="5.28515625" customWidth="1"/>
    <col min="6241" max="6241" width="4" customWidth="1"/>
    <col min="6242" max="6246" width="4.85546875" customWidth="1"/>
    <col min="6247" max="6247" width="6.85546875" customWidth="1"/>
    <col min="6248" max="6248" width="5.7109375" customWidth="1"/>
    <col min="6249" max="6249" width="7.7109375" customWidth="1"/>
    <col min="6250" max="6250" width="6.85546875" customWidth="1"/>
    <col min="6251" max="6251" width="5.140625" customWidth="1"/>
    <col min="6252" max="6252" width="7.85546875" customWidth="1"/>
    <col min="6253" max="6253" width="4.42578125" customWidth="1"/>
    <col min="6254" max="6254" width="6.85546875" customWidth="1"/>
    <col min="6255" max="6256" width="8" customWidth="1"/>
    <col min="6257" max="6257" width="6" customWidth="1"/>
    <col min="6258" max="6258" width="3.140625" customWidth="1"/>
    <col min="6259" max="6259" width="6" customWidth="1"/>
    <col min="6260" max="6260" width="5.5703125" customWidth="1"/>
    <col min="6261" max="6261" width="6.7109375" customWidth="1"/>
    <col min="6262" max="6262" width="6.85546875" customWidth="1"/>
    <col min="6263" max="6263" width="8.140625" customWidth="1"/>
    <col min="6264" max="6264" width="4.42578125" customWidth="1"/>
    <col min="6265" max="6265" width="7.140625" customWidth="1"/>
    <col min="6266" max="6266" width="6.5703125" customWidth="1"/>
    <col min="6267" max="6267" width="6.42578125" customWidth="1"/>
    <col min="6268" max="6268" width="8.28515625" customWidth="1"/>
    <col min="6269" max="6269" width="5.42578125" customWidth="1"/>
    <col min="6270" max="6270" width="7.5703125" customWidth="1"/>
    <col min="6271" max="6271" width="5.140625" customWidth="1"/>
    <col min="6272" max="6274" width="9.140625" customWidth="1"/>
    <col min="6276" max="6276" width="19.7109375" customWidth="1"/>
    <col min="6277" max="6277" width="6.5703125" customWidth="1"/>
    <col min="6278" max="6278" width="3.5703125" bestFit="1" customWidth="1"/>
    <col min="6279" max="6279" width="6.85546875" bestFit="1" customWidth="1"/>
    <col min="6280" max="6282" width="5.85546875" customWidth="1"/>
    <col min="6283" max="6283" width="6" bestFit="1" customWidth="1"/>
    <col min="6284" max="6286" width="0" hidden="1" customWidth="1"/>
    <col min="6287" max="6287" width="6" bestFit="1" customWidth="1"/>
    <col min="6288" max="6288" width="6.85546875" bestFit="1" customWidth="1"/>
    <col min="6289" max="6289" width="7" bestFit="1" customWidth="1"/>
    <col min="6290" max="6290" width="6" bestFit="1" customWidth="1"/>
    <col min="6291" max="6291" width="4.42578125" bestFit="1" customWidth="1"/>
    <col min="6292" max="6292" width="6" bestFit="1" customWidth="1"/>
    <col min="6293" max="6293" width="6.28515625" bestFit="1" customWidth="1"/>
    <col min="6294" max="6300" width="4.85546875" bestFit="1" customWidth="1"/>
    <col min="6301" max="6301" width="5" bestFit="1" customWidth="1"/>
    <col min="6302" max="6302" width="4.85546875" bestFit="1" customWidth="1"/>
    <col min="6303" max="6303" width="4.42578125" bestFit="1" customWidth="1"/>
    <col min="6304" max="6304" width="5.140625" bestFit="1" customWidth="1"/>
    <col min="6305" max="6305" width="4.85546875" bestFit="1" customWidth="1"/>
    <col min="6306" max="6306" width="5" bestFit="1" customWidth="1"/>
    <col min="6307" max="6308" width="5.28515625" bestFit="1" customWidth="1"/>
    <col min="6309" max="6309" width="5" bestFit="1" customWidth="1"/>
    <col min="6310" max="6310" width="4.42578125" bestFit="1" customWidth="1"/>
    <col min="6311" max="6311" width="4.5703125" bestFit="1" customWidth="1"/>
    <col min="6312" max="6313" width="5.140625" bestFit="1" customWidth="1"/>
    <col min="6314" max="6314" width="4.85546875" bestFit="1" customWidth="1"/>
    <col min="6315" max="6315" width="5.42578125" bestFit="1" customWidth="1"/>
    <col min="6316" max="6316" width="0" hidden="1" customWidth="1"/>
    <col min="6317" max="6317" width="6.5703125" bestFit="1" customWidth="1"/>
    <col min="6459" max="6459" width="6" customWidth="1"/>
    <col min="6460" max="6460" width="1.5703125" bestFit="1" customWidth="1"/>
    <col min="6461" max="6461" width="5.42578125" bestFit="1" customWidth="1"/>
    <col min="6462" max="6462" width="20.28515625" customWidth="1"/>
    <col min="6463" max="6463" width="7.28515625" customWidth="1"/>
    <col min="6464" max="6464" width="5.28515625" customWidth="1"/>
    <col min="6465" max="6465" width="6.5703125" customWidth="1"/>
    <col min="6466" max="6466" width="4.42578125" customWidth="1"/>
    <col min="6467" max="6467" width="8.28515625" customWidth="1"/>
    <col min="6468" max="6468" width="4.7109375" customWidth="1"/>
    <col min="6469" max="6469" width="5.7109375" customWidth="1"/>
    <col min="6470" max="6470" width="8" customWidth="1"/>
    <col min="6471" max="6471" width="6.85546875" customWidth="1"/>
    <col min="6472" max="6472" width="6.140625" customWidth="1"/>
    <col min="6473" max="6474" width="8.28515625" customWidth="1"/>
    <col min="6475" max="6476" width="5.85546875" customWidth="1"/>
    <col min="6477" max="6477" width="7" customWidth="1"/>
    <col min="6478" max="6478" width="5.85546875" customWidth="1"/>
    <col min="6479" max="6479" width="6.42578125" customWidth="1"/>
    <col min="6480" max="6480" width="1.7109375" customWidth="1"/>
    <col min="6481" max="6482" width="6.42578125" customWidth="1"/>
    <col min="6483" max="6483" width="1.7109375" customWidth="1"/>
    <col min="6484" max="6484" width="6.42578125" customWidth="1"/>
    <col min="6485" max="6485" width="6.85546875" customWidth="1"/>
    <col min="6486" max="6486" width="5.7109375" customWidth="1"/>
    <col min="6487" max="6487" width="3.28515625" customWidth="1"/>
    <col min="6488" max="6488" width="4" customWidth="1"/>
    <col min="6489" max="6489" width="14" customWidth="1"/>
    <col min="6490" max="6490" width="9.140625" customWidth="1"/>
    <col min="6491" max="6491" width="9.5703125" customWidth="1"/>
    <col min="6492" max="6492" width="1.5703125" customWidth="1"/>
    <col min="6493" max="6493" width="5.42578125" customWidth="1"/>
    <col min="6494" max="6494" width="19.140625" customWidth="1"/>
    <col min="6495" max="6495" width="7.28515625" customWidth="1"/>
    <col min="6496" max="6496" width="5.28515625" customWidth="1"/>
    <col min="6497" max="6497" width="4" customWidth="1"/>
    <col min="6498" max="6502" width="4.85546875" customWidth="1"/>
    <col min="6503" max="6503" width="6.85546875" customWidth="1"/>
    <col min="6504" max="6504" width="5.7109375" customWidth="1"/>
    <col min="6505" max="6505" width="7.7109375" customWidth="1"/>
    <col min="6506" max="6506" width="6.85546875" customWidth="1"/>
    <col min="6507" max="6507" width="5.140625" customWidth="1"/>
    <col min="6508" max="6508" width="7.85546875" customWidth="1"/>
    <col min="6509" max="6509" width="4.42578125" customWidth="1"/>
    <col min="6510" max="6510" width="6.85546875" customWidth="1"/>
    <col min="6511" max="6512" width="8" customWidth="1"/>
    <col min="6513" max="6513" width="6" customWidth="1"/>
    <col min="6514" max="6514" width="3.140625" customWidth="1"/>
    <col min="6515" max="6515" width="6" customWidth="1"/>
    <col min="6516" max="6516" width="5.5703125" customWidth="1"/>
    <col min="6517" max="6517" width="6.7109375" customWidth="1"/>
    <col min="6518" max="6518" width="6.85546875" customWidth="1"/>
    <col min="6519" max="6519" width="8.140625" customWidth="1"/>
    <col min="6520" max="6520" width="4.42578125" customWidth="1"/>
    <col min="6521" max="6521" width="7.140625" customWidth="1"/>
    <col min="6522" max="6522" width="6.5703125" customWidth="1"/>
    <col min="6523" max="6523" width="6.42578125" customWidth="1"/>
    <col min="6524" max="6524" width="8.28515625" customWidth="1"/>
    <col min="6525" max="6525" width="5.42578125" customWidth="1"/>
    <col min="6526" max="6526" width="7.5703125" customWidth="1"/>
    <col min="6527" max="6527" width="5.140625" customWidth="1"/>
    <col min="6528" max="6530" width="9.140625" customWidth="1"/>
    <col min="6532" max="6532" width="19.7109375" customWidth="1"/>
    <col min="6533" max="6533" width="6.5703125" customWidth="1"/>
    <col min="6534" max="6534" width="3.5703125" bestFit="1" customWidth="1"/>
    <col min="6535" max="6535" width="6.85546875" bestFit="1" customWidth="1"/>
    <col min="6536" max="6538" width="5.85546875" customWidth="1"/>
    <col min="6539" max="6539" width="6" bestFit="1" customWidth="1"/>
    <col min="6540" max="6542" width="0" hidden="1" customWidth="1"/>
    <col min="6543" max="6543" width="6" bestFit="1" customWidth="1"/>
    <col min="6544" max="6544" width="6.85546875" bestFit="1" customWidth="1"/>
    <col min="6545" max="6545" width="7" bestFit="1" customWidth="1"/>
    <col min="6546" max="6546" width="6" bestFit="1" customWidth="1"/>
    <col min="6547" max="6547" width="4.42578125" bestFit="1" customWidth="1"/>
    <col min="6548" max="6548" width="6" bestFit="1" customWidth="1"/>
    <col min="6549" max="6549" width="6.28515625" bestFit="1" customWidth="1"/>
    <col min="6550" max="6556" width="4.85546875" bestFit="1" customWidth="1"/>
    <col min="6557" max="6557" width="5" bestFit="1" customWidth="1"/>
    <col min="6558" max="6558" width="4.85546875" bestFit="1" customWidth="1"/>
    <col min="6559" max="6559" width="4.42578125" bestFit="1" customWidth="1"/>
    <col min="6560" max="6560" width="5.140625" bestFit="1" customWidth="1"/>
    <col min="6561" max="6561" width="4.85546875" bestFit="1" customWidth="1"/>
    <col min="6562" max="6562" width="5" bestFit="1" customWidth="1"/>
    <col min="6563" max="6564" width="5.28515625" bestFit="1" customWidth="1"/>
    <col min="6565" max="6565" width="5" bestFit="1" customWidth="1"/>
    <col min="6566" max="6566" width="4.42578125" bestFit="1" customWidth="1"/>
    <col min="6567" max="6567" width="4.5703125" bestFit="1" customWidth="1"/>
    <col min="6568" max="6569" width="5.140625" bestFit="1" customWidth="1"/>
    <col min="6570" max="6570" width="4.85546875" bestFit="1" customWidth="1"/>
    <col min="6571" max="6571" width="5.42578125" bestFit="1" customWidth="1"/>
    <col min="6572" max="6572" width="0" hidden="1" customWidth="1"/>
    <col min="6573" max="6573" width="6.5703125" bestFit="1" customWidth="1"/>
    <col min="6715" max="6715" width="6" customWidth="1"/>
    <col min="6716" max="6716" width="1.5703125" bestFit="1" customWidth="1"/>
    <col min="6717" max="6717" width="5.42578125" bestFit="1" customWidth="1"/>
    <col min="6718" max="6718" width="20.28515625" customWidth="1"/>
    <col min="6719" max="6719" width="7.28515625" customWidth="1"/>
    <col min="6720" max="6720" width="5.28515625" customWidth="1"/>
    <col min="6721" max="6721" width="6.5703125" customWidth="1"/>
    <col min="6722" max="6722" width="4.42578125" customWidth="1"/>
    <col min="6723" max="6723" width="8.28515625" customWidth="1"/>
    <col min="6724" max="6724" width="4.7109375" customWidth="1"/>
    <col min="6725" max="6725" width="5.7109375" customWidth="1"/>
    <col min="6726" max="6726" width="8" customWidth="1"/>
    <col min="6727" max="6727" width="6.85546875" customWidth="1"/>
    <col min="6728" max="6728" width="6.140625" customWidth="1"/>
    <col min="6729" max="6730" width="8.28515625" customWidth="1"/>
    <col min="6731" max="6732" width="5.85546875" customWidth="1"/>
    <col min="6733" max="6733" width="7" customWidth="1"/>
    <col min="6734" max="6734" width="5.85546875" customWidth="1"/>
    <col min="6735" max="6735" width="6.42578125" customWidth="1"/>
    <col min="6736" max="6736" width="1.7109375" customWidth="1"/>
    <col min="6737" max="6738" width="6.42578125" customWidth="1"/>
    <col min="6739" max="6739" width="1.7109375" customWidth="1"/>
    <col min="6740" max="6740" width="6.42578125" customWidth="1"/>
    <col min="6741" max="6741" width="6.85546875" customWidth="1"/>
    <col min="6742" max="6742" width="5.7109375" customWidth="1"/>
    <col min="6743" max="6743" width="3.28515625" customWidth="1"/>
    <col min="6744" max="6744" width="4" customWidth="1"/>
    <col min="6745" max="6745" width="14" customWidth="1"/>
    <col min="6746" max="6746" width="9.140625" customWidth="1"/>
    <col min="6747" max="6747" width="9.5703125" customWidth="1"/>
    <col min="6748" max="6748" width="1.5703125" customWidth="1"/>
    <col min="6749" max="6749" width="5.42578125" customWidth="1"/>
    <col min="6750" max="6750" width="19.140625" customWidth="1"/>
    <col min="6751" max="6751" width="7.28515625" customWidth="1"/>
    <col min="6752" max="6752" width="5.28515625" customWidth="1"/>
    <col min="6753" max="6753" width="4" customWidth="1"/>
    <col min="6754" max="6758" width="4.85546875" customWidth="1"/>
    <col min="6759" max="6759" width="6.85546875" customWidth="1"/>
    <col min="6760" max="6760" width="5.7109375" customWidth="1"/>
    <col min="6761" max="6761" width="7.7109375" customWidth="1"/>
    <col min="6762" max="6762" width="6.85546875" customWidth="1"/>
    <col min="6763" max="6763" width="5.140625" customWidth="1"/>
    <col min="6764" max="6764" width="7.85546875" customWidth="1"/>
    <col min="6765" max="6765" width="4.42578125" customWidth="1"/>
    <col min="6766" max="6766" width="6.85546875" customWidth="1"/>
    <col min="6767" max="6768" width="8" customWidth="1"/>
    <col min="6769" max="6769" width="6" customWidth="1"/>
    <col min="6770" max="6770" width="3.140625" customWidth="1"/>
    <col min="6771" max="6771" width="6" customWidth="1"/>
    <col min="6772" max="6772" width="5.5703125" customWidth="1"/>
    <col min="6773" max="6773" width="6.7109375" customWidth="1"/>
    <col min="6774" max="6774" width="6.85546875" customWidth="1"/>
    <col min="6775" max="6775" width="8.140625" customWidth="1"/>
    <col min="6776" max="6776" width="4.42578125" customWidth="1"/>
    <col min="6777" max="6777" width="7.140625" customWidth="1"/>
    <col min="6778" max="6778" width="6.5703125" customWidth="1"/>
    <col min="6779" max="6779" width="6.42578125" customWidth="1"/>
    <col min="6780" max="6780" width="8.28515625" customWidth="1"/>
    <col min="6781" max="6781" width="5.42578125" customWidth="1"/>
    <col min="6782" max="6782" width="7.5703125" customWidth="1"/>
    <col min="6783" max="6783" width="5.140625" customWidth="1"/>
    <col min="6784" max="6786" width="9.140625" customWidth="1"/>
    <col min="6788" max="6788" width="19.7109375" customWidth="1"/>
    <col min="6789" max="6789" width="6.5703125" customWidth="1"/>
    <col min="6790" max="6790" width="3.5703125" bestFit="1" customWidth="1"/>
    <col min="6791" max="6791" width="6.85546875" bestFit="1" customWidth="1"/>
    <col min="6792" max="6794" width="5.85546875" customWidth="1"/>
    <col min="6795" max="6795" width="6" bestFit="1" customWidth="1"/>
    <col min="6796" max="6798" width="0" hidden="1" customWidth="1"/>
    <col min="6799" max="6799" width="6" bestFit="1" customWidth="1"/>
    <col min="6800" max="6800" width="6.85546875" bestFit="1" customWidth="1"/>
    <col min="6801" max="6801" width="7" bestFit="1" customWidth="1"/>
    <col min="6802" max="6802" width="6" bestFit="1" customWidth="1"/>
    <col min="6803" max="6803" width="4.42578125" bestFit="1" customWidth="1"/>
    <col min="6804" max="6804" width="6" bestFit="1" customWidth="1"/>
    <col min="6805" max="6805" width="6.28515625" bestFit="1" customWidth="1"/>
    <col min="6806" max="6812" width="4.85546875" bestFit="1" customWidth="1"/>
    <col min="6813" max="6813" width="5" bestFit="1" customWidth="1"/>
    <col min="6814" max="6814" width="4.85546875" bestFit="1" customWidth="1"/>
    <col min="6815" max="6815" width="4.42578125" bestFit="1" customWidth="1"/>
    <col min="6816" max="6816" width="5.140625" bestFit="1" customWidth="1"/>
    <col min="6817" max="6817" width="4.85546875" bestFit="1" customWidth="1"/>
    <col min="6818" max="6818" width="5" bestFit="1" customWidth="1"/>
    <col min="6819" max="6820" width="5.28515625" bestFit="1" customWidth="1"/>
    <col min="6821" max="6821" width="5" bestFit="1" customWidth="1"/>
    <col min="6822" max="6822" width="4.42578125" bestFit="1" customWidth="1"/>
    <col min="6823" max="6823" width="4.5703125" bestFit="1" customWidth="1"/>
    <col min="6824" max="6825" width="5.140625" bestFit="1" customWidth="1"/>
    <col min="6826" max="6826" width="4.85546875" bestFit="1" customWidth="1"/>
    <col min="6827" max="6827" width="5.42578125" bestFit="1" customWidth="1"/>
    <col min="6828" max="6828" width="0" hidden="1" customWidth="1"/>
    <col min="6829" max="6829" width="6.5703125" bestFit="1" customWidth="1"/>
    <col min="6971" max="6971" width="6" customWidth="1"/>
    <col min="6972" max="6972" width="1.5703125" bestFit="1" customWidth="1"/>
    <col min="6973" max="6973" width="5.42578125" bestFit="1" customWidth="1"/>
    <col min="6974" max="6974" width="20.28515625" customWidth="1"/>
    <col min="6975" max="6975" width="7.28515625" customWidth="1"/>
    <col min="6976" max="6976" width="5.28515625" customWidth="1"/>
    <col min="6977" max="6977" width="6.5703125" customWidth="1"/>
    <col min="6978" max="6978" width="4.42578125" customWidth="1"/>
    <col min="6979" max="6979" width="8.28515625" customWidth="1"/>
    <col min="6980" max="6980" width="4.7109375" customWidth="1"/>
    <col min="6981" max="6981" width="5.7109375" customWidth="1"/>
    <col min="6982" max="6982" width="8" customWidth="1"/>
    <col min="6983" max="6983" width="6.85546875" customWidth="1"/>
    <col min="6984" max="6984" width="6.140625" customWidth="1"/>
    <col min="6985" max="6986" width="8.28515625" customWidth="1"/>
    <col min="6987" max="6988" width="5.85546875" customWidth="1"/>
    <col min="6989" max="6989" width="7" customWidth="1"/>
    <col min="6990" max="6990" width="5.85546875" customWidth="1"/>
    <col min="6991" max="6991" width="6.42578125" customWidth="1"/>
    <col min="6992" max="6992" width="1.7109375" customWidth="1"/>
    <col min="6993" max="6994" width="6.42578125" customWidth="1"/>
    <col min="6995" max="6995" width="1.7109375" customWidth="1"/>
    <col min="6996" max="6996" width="6.42578125" customWidth="1"/>
    <col min="6997" max="6997" width="6.85546875" customWidth="1"/>
    <col min="6998" max="6998" width="5.7109375" customWidth="1"/>
    <col min="6999" max="6999" width="3.28515625" customWidth="1"/>
    <col min="7000" max="7000" width="4" customWidth="1"/>
    <col min="7001" max="7001" width="14" customWidth="1"/>
    <col min="7002" max="7002" width="9.140625" customWidth="1"/>
    <col min="7003" max="7003" width="9.5703125" customWidth="1"/>
    <col min="7004" max="7004" width="1.5703125" customWidth="1"/>
    <col min="7005" max="7005" width="5.42578125" customWidth="1"/>
    <col min="7006" max="7006" width="19.140625" customWidth="1"/>
    <col min="7007" max="7007" width="7.28515625" customWidth="1"/>
    <col min="7008" max="7008" width="5.28515625" customWidth="1"/>
    <col min="7009" max="7009" width="4" customWidth="1"/>
    <col min="7010" max="7014" width="4.85546875" customWidth="1"/>
    <col min="7015" max="7015" width="6.85546875" customWidth="1"/>
    <col min="7016" max="7016" width="5.7109375" customWidth="1"/>
    <col min="7017" max="7017" width="7.7109375" customWidth="1"/>
    <col min="7018" max="7018" width="6.85546875" customWidth="1"/>
    <col min="7019" max="7019" width="5.140625" customWidth="1"/>
    <col min="7020" max="7020" width="7.85546875" customWidth="1"/>
    <col min="7021" max="7021" width="4.42578125" customWidth="1"/>
    <col min="7022" max="7022" width="6.85546875" customWidth="1"/>
    <col min="7023" max="7024" width="8" customWidth="1"/>
    <col min="7025" max="7025" width="6" customWidth="1"/>
    <col min="7026" max="7026" width="3.140625" customWidth="1"/>
    <col min="7027" max="7027" width="6" customWidth="1"/>
    <col min="7028" max="7028" width="5.5703125" customWidth="1"/>
    <col min="7029" max="7029" width="6.7109375" customWidth="1"/>
    <col min="7030" max="7030" width="6.85546875" customWidth="1"/>
    <col min="7031" max="7031" width="8.140625" customWidth="1"/>
    <col min="7032" max="7032" width="4.42578125" customWidth="1"/>
    <col min="7033" max="7033" width="7.140625" customWidth="1"/>
    <col min="7034" max="7034" width="6.5703125" customWidth="1"/>
    <col min="7035" max="7035" width="6.42578125" customWidth="1"/>
    <col min="7036" max="7036" width="8.28515625" customWidth="1"/>
    <col min="7037" max="7037" width="5.42578125" customWidth="1"/>
    <col min="7038" max="7038" width="7.5703125" customWidth="1"/>
    <col min="7039" max="7039" width="5.140625" customWidth="1"/>
    <col min="7040" max="7042" width="9.140625" customWidth="1"/>
    <col min="7044" max="7044" width="19.7109375" customWidth="1"/>
    <col min="7045" max="7045" width="6.5703125" customWidth="1"/>
    <col min="7046" max="7046" width="3.5703125" bestFit="1" customWidth="1"/>
    <col min="7047" max="7047" width="6.85546875" bestFit="1" customWidth="1"/>
    <col min="7048" max="7050" width="5.85546875" customWidth="1"/>
    <col min="7051" max="7051" width="6" bestFit="1" customWidth="1"/>
    <col min="7052" max="7054" width="0" hidden="1" customWidth="1"/>
    <col min="7055" max="7055" width="6" bestFit="1" customWidth="1"/>
    <col min="7056" max="7056" width="6.85546875" bestFit="1" customWidth="1"/>
    <col min="7057" max="7057" width="7" bestFit="1" customWidth="1"/>
    <col min="7058" max="7058" width="6" bestFit="1" customWidth="1"/>
    <col min="7059" max="7059" width="4.42578125" bestFit="1" customWidth="1"/>
    <col min="7060" max="7060" width="6" bestFit="1" customWidth="1"/>
    <col min="7061" max="7061" width="6.28515625" bestFit="1" customWidth="1"/>
    <col min="7062" max="7068" width="4.85546875" bestFit="1" customWidth="1"/>
    <col min="7069" max="7069" width="5" bestFit="1" customWidth="1"/>
    <col min="7070" max="7070" width="4.85546875" bestFit="1" customWidth="1"/>
    <col min="7071" max="7071" width="4.42578125" bestFit="1" customWidth="1"/>
    <col min="7072" max="7072" width="5.140625" bestFit="1" customWidth="1"/>
    <col min="7073" max="7073" width="4.85546875" bestFit="1" customWidth="1"/>
    <col min="7074" max="7074" width="5" bestFit="1" customWidth="1"/>
    <col min="7075" max="7076" width="5.28515625" bestFit="1" customWidth="1"/>
    <col min="7077" max="7077" width="5" bestFit="1" customWidth="1"/>
    <col min="7078" max="7078" width="4.42578125" bestFit="1" customWidth="1"/>
    <col min="7079" max="7079" width="4.5703125" bestFit="1" customWidth="1"/>
    <col min="7080" max="7081" width="5.140625" bestFit="1" customWidth="1"/>
    <col min="7082" max="7082" width="4.85546875" bestFit="1" customWidth="1"/>
    <col min="7083" max="7083" width="5.42578125" bestFit="1" customWidth="1"/>
    <col min="7084" max="7084" width="0" hidden="1" customWidth="1"/>
    <col min="7085" max="7085" width="6.5703125" bestFit="1" customWidth="1"/>
    <col min="7227" max="7227" width="6" customWidth="1"/>
    <col min="7228" max="7228" width="1.5703125" bestFit="1" customWidth="1"/>
    <col min="7229" max="7229" width="5.42578125" bestFit="1" customWidth="1"/>
    <col min="7230" max="7230" width="20.28515625" customWidth="1"/>
    <col min="7231" max="7231" width="7.28515625" customWidth="1"/>
    <col min="7232" max="7232" width="5.28515625" customWidth="1"/>
    <col min="7233" max="7233" width="6.5703125" customWidth="1"/>
    <col min="7234" max="7234" width="4.42578125" customWidth="1"/>
    <col min="7235" max="7235" width="8.28515625" customWidth="1"/>
    <col min="7236" max="7236" width="4.7109375" customWidth="1"/>
    <col min="7237" max="7237" width="5.7109375" customWidth="1"/>
    <col min="7238" max="7238" width="8" customWidth="1"/>
    <col min="7239" max="7239" width="6.85546875" customWidth="1"/>
    <col min="7240" max="7240" width="6.140625" customWidth="1"/>
    <col min="7241" max="7242" width="8.28515625" customWidth="1"/>
    <col min="7243" max="7244" width="5.85546875" customWidth="1"/>
    <col min="7245" max="7245" width="7" customWidth="1"/>
    <col min="7246" max="7246" width="5.85546875" customWidth="1"/>
    <col min="7247" max="7247" width="6.42578125" customWidth="1"/>
    <col min="7248" max="7248" width="1.7109375" customWidth="1"/>
    <col min="7249" max="7250" width="6.42578125" customWidth="1"/>
    <col min="7251" max="7251" width="1.7109375" customWidth="1"/>
    <col min="7252" max="7252" width="6.42578125" customWidth="1"/>
    <col min="7253" max="7253" width="6.85546875" customWidth="1"/>
    <col min="7254" max="7254" width="5.7109375" customWidth="1"/>
    <col min="7255" max="7255" width="3.28515625" customWidth="1"/>
    <col min="7256" max="7256" width="4" customWidth="1"/>
    <col min="7257" max="7257" width="14" customWidth="1"/>
    <col min="7258" max="7258" width="9.140625" customWidth="1"/>
    <col min="7259" max="7259" width="9.5703125" customWidth="1"/>
    <col min="7260" max="7260" width="1.5703125" customWidth="1"/>
    <col min="7261" max="7261" width="5.42578125" customWidth="1"/>
    <col min="7262" max="7262" width="19.140625" customWidth="1"/>
    <col min="7263" max="7263" width="7.28515625" customWidth="1"/>
    <col min="7264" max="7264" width="5.28515625" customWidth="1"/>
    <col min="7265" max="7265" width="4" customWidth="1"/>
    <col min="7266" max="7270" width="4.85546875" customWidth="1"/>
    <col min="7271" max="7271" width="6.85546875" customWidth="1"/>
    <col min="7272" max="7272" width="5.7109375" customWidth="1"/>
    <col min="7273" max="7273" width="7.7109375" customWidth="1"/>
    <col min="7274" max="7274" width="6.85546875" customWidth="1"/>
    <col min="7275" max="7275" width="5.140625" customWidth="1"/>
    <col min="7276" max="7276" width="7.85546875" customWidth="1"/>
    <col min="7277" max="7277" width="4.42578125" customWidth="1"/>
    <col min="7278" max="7278" width="6.85546875" customWidth="1"/>
    <col min="7279" max="7280" width="8" customWidth="1"/>
    <col min="7281" max="7281" width="6" customWidth="1"/>
    <col min="7282" max="7282" width="3.140625" customWidth="1"/>
    <col min="7283" max="7283" width="6" customWidth="1"/>
    <col min="7284" max="7284" width="5.5703125" customWidth="1"/>
    <col min="7285" max="7285" width="6.7109375" customWidth="1"/>
    <col min="7286" max="7286" width="6.85546875" customWidth="1"/>
    <col min="7287" max="7287" width="8.140625" customWidth="1"/>
    <col min="7288" max="7288" width="4.42578125" customWidth="1"/>
    <col min="7289" max="7289" width="7.140625" customWidth="1"/>
    <col min="7290" max="7290" width="6.5703125" customWidth="1"/>
    <col min="7291" max="7291" width="6.42578125" customWidth="1"/>
    <col min="7292" max="7292" width="8.28515625" customWidth="1"/>
    <col min="7293" max="7293" width="5.42578125" customWidth="1"/>
    <col min="7294" max="7294" width="7.5703125" customWidth="1"/>
    <col min="7295" max="7295" width="5.140625" customWidth="1"/>
    <col min="7296" max="7298" width="9.140625" customWidth="1"/>
    <col min="7300" max="7300" width="19.7109375" customWidth="1"/>
    <col min="7301" max="7301" width="6.5703125" customWidth="1"/>
    <col min="7302" max="7302" width="3.5703125" bestFit="1" customWidth="1"/>
    <col min="7303" max="7303" width="6.85546875" bestFit="1" customWidth="1"/>
    <col min="7304" max="7306" width="5.85546875" customWidth="1"/>
    <col min="7307" max="7307" width="6" bestFit="1" customWidth="1"/>
    <col min="7308" max="7310" width="0" hidden="1" customWidth="1"/>
    <col min="7311" max="7311" width="6" bestFit="1" customWidth="1"/>
    <col min="7312" max="7312" width="6.85546875" bestFit="1" customWidth="1"/>
    <col min="7313" max="7313" width="7" bestFit="1" customWidth="1"/>
    <col min="7314" max="7314" width="6" bestFit="1" customWidth="1"/>
    <col min="7315" max="7315" width="4.42578125" bestFit="1" customWidth="1"/>
    <col min="7316" max="7316" width="6" bestFit="1" customWidth="1"/>
    <col min="7317" max="7317" width="6.28515625" bestFit="1" customWidth="1"/>
    <col min="7318" max="7324" width="4.85546875" bestFit="1" customWidth="1"/>
    <col min="7325" max="7325" width="5" bestFit="1" customWidth="1"/>
    <col min="7326" max="7326" width="4.85546875" bestFit="1" customWidth="1"/>
    <col min="7327" max="7327" width="4.42578125" bestFit="1" customWidth="1"/>
    <col min="7328" max="7328" width="5.140625" bestFit="1" customWidth="1"/>
    <col min="7329" max="7329" width="4.85546875" bestFit="1" customWidth="1"/>
    <col min="7330" max="7330" width="5" bestFit="1" customWidth="1"/>
    <col min="7331" max="7332" width="5.28515625" bestFit="1" customWidth="1"/>
    <col min="7333" max="7333" width="5" bestFit="1" customWidth="1"/>
    <col min="7334" max="7334" width="4.42578125" bestFit="1" customWidth="1"/>
    <col min="7335" max="7335" width="4.5703125" bestFit="1" customWidth="1"/>
    <col min="7336" max="7337" width="5.140625" bestFit="1" customWidth="1"/>
    <col min="7338" max="7338" width="4.85546875" bestFit="1" customWidth="1"/>
    <col min="7339" max="7339" width="5.42578125" bestFit="1" customWidth="1"/>
    <col min="7340" max="7340" width="0" hidden="1" customWidth="1"/>
    <col min="7341" max="7341" width="6.5703125" bestFit="1" customWidth="1"/>
    <col min="7483" max="7483" width="6" customWidth="1"/>
    <col min="7484" max="7484" width="1.5703125" bestFit="1" customWidth="1"/>
    <col min="7485" max="7485" width="5.42578125" bestFit="1" customWidth="1"/>
    <col min="7486" max="7486" width="20.28515625" customWidth="1"/>
    <col min="7487" max="7487" width="7.28515625" customWidth="1"/>
    <col min="7488" max="7488" width="5.28515625" customWidth="1"/>
    <col min="7489" max="7489" width="6.5703125" customWidth="1"/>
    <col min="7490" max="7490" width="4.42578125" customWidth="1"/>
    <col min="7491" max="7491" width="8.28515625" customWidth="1"/>
    <col min="7492" max="7492" width="4.7109375" customWidth="1"/>
    <col min="7493" max="7493" width="5.7109375" customWidth="1"/>
    <col min="7494" max="7494" width="8" customWidth="1"/>
    <col min="7495" max="7495" width="6.85546875" customWidth="1"/>
    <col min="7496" max="7496" width="6.140625" customWidth="1"/>
    <col min="7497" max="7498" width="8.28515625" customWidth="1"/>
    <col min="7499" max="7500" width="5.85546875" customWidth="1"/>
    <col min="7501" max="7501" width="7" customWidth="1"/>
    <col min="7502" max="7502" width="5.85546875" customWidth="1"/>
    <col min="7503" max="7503" width="6.42578125" customWidth="1"/>
    <col min="7504" max="7504" width="1.7109375" customWidth="1"/>
    <col min="7505" max="7506" width="6.42578125" customWidth="1"/>
    <col min="7507" max="7507" width="1.7109375" customWidth="1"/>
    <col min="7508" max="7508" width="6.42578125" customWidth="1"/>
    <col min="7509" max="7509" width="6.85546875" customWidth="1"/>
    <col min="7510" max="7510" width="5.7109375" customWidth="1"/>
    <col min="7511" max="7511" width="3.28515625" customWidth="1"/>
    <col min="7512" max="7512" width="4" customWidth="1"/>
    <col min="7513" max="7513" width="14" customWidth="1"/>
    <col min="7514" max="7514" width="9.140625" customWidth="1"/>
    <col min="7515" max="7515" width="9.5703125" customWidth="1"/>
    <col min="7516" max="7516" width="1.5703125" customWidth="1"/>
    <col min="7517" max="7517" width="5.42578125" customWidth="1"/>
    <col min="7518" max="7518" width="19.140625" customWidth="1"/>
    <col min="7519" max="7519" width="7.28515625" customWidth="1"/>
    <col min="7520" max="7520" width="5.28515625" customWidth="1"/>
    <col min="7521" max="7521" width="4" customWidth="1"/>
    <col min="7522" max="7526" width="4.85546875" customWidth="1"/>
    <col min="7527" max="7527" width="6.85546875" customWidth="1"/>
    <col min="7528" max="7528" width="5.7109375" customWidth="1"/>
    <col min="7529" max="7529" width="7.7109375" customWidth="1"/>
    <col min="7530" max="7530" width="6.85546875" customWidth="1"/>
    <col min="7531" max="7531" width="5.140625" customWidth="1"/>
    <col min="7532" max="7532" width="7.85546875" customWidth="1"/>
    <col min="7533" max="7533" width="4.42578125" customWidth="1"/>
    <col min="7534" max="7534" width="6.85546875" customWidth="1"/>
    <col min="7535" max="7536" width="8" customWidth="1"/>
    <col min="7537" max="7537" width="6" customWidth="1"/>
    <col min="7538" max="7538" width="3.140625" customWidth="1"/>
    <col min="7539" max="7539" width="6" customWidth="1"/>
    <col min="7540" max="7540" width="5.5703125" customWidth="1"/>
    <col min="7541" max="7541" width="6.7109375" customWidth="1"/>
    <col min="7542" max="7542" width="6.85546875" customWidth="1"/>
    <col min="7543" max="7543" width="8.140625" customWidth="1"/>
    <col min="7544" max="7544" width="4.42578125" customWidth="1"/>
    <col min="7545" max="7545" width="7.140625" customWidth="1"/>
    <col min="7546" max="7546" width="6.5703125" customWidth="1"/>
    <col min="7547" max="7547" width="6.42578125" customWidth="1"/>
    <col min="7548" max="7548" width="8.28515625" customWidth="1"/>
    <col min="7549" max="7549" width="5.42578125" customWidth="1"/>
    <col min="7550" max="7550" width="7.5703125" customWidth="1"/>
    <col min="7551" max="7551" width="5.140625" customWidth="1"/>
    <col min="7552" max="7554" width="9.140625" customWidth="1"/>
    <col min="7556" max="7556" width="19.7109375" customWidth="1"/>
    <col min="7557" max="7557" width="6.5703125" customWidth="1"/>
    <col min="7558" max="7558" width="3.5703125" bestFit="1" customWidth="1"/>
    <col min="7559" max="7559" width="6.85546875" bestFit="1" customWidth="1"/>
    <col min="7560" max="7562" width="5.85546875" customWidth="1"/>
    <col min="7563" max="7563" width="6" bestFit="1" customWidth="1"/>
    <col min="7564" max="7566" width="0" hidden="1" customWidth="1"/>
    <col min="7567" max="7567" width="6" bestFit="1" customWidth="1"/>
    <col min="7568" max="7568" width="6.85546875" bestFit="1" customWidth="1"/>
    <col min="7569" max="7569" width="7" bestFit="1" customWidth="1"/>
    <col min="7570" max="7570" width="6" bestFit="1" customWidth="1"/>
    <col min="7571" max="7571" width="4.42578125" bestFit="1" customWidth="1"/>
    <col min="7572" max="7572" width="6" bestFit="1" customWidth="1"/>
    <col min="7573" max="7573" width="6.28515625" bestFit="1" customWidth="1"/>
    <col min="7574" max="7580" width="4.85546875" bestFit="1" customWidth="1"/>
    <col min="7581" max="7581" width="5" bestFit="1" customWidth="1"/>
    <col min="7582" max="7582" width="4.85546875" bestFit="1" customWidth="1"/>
    <col min="7583" max="7583" width="4.42578125" bestFit="1" customWidth="1"/>
    <col min="7584" max="7584" width="5.140625" bestFit="1" customWidth="1"/>
    <col min="7585" max="7585" width="4.85546875" bestFit="1" customWidth="1"/>
    <col min="7586" max="7586" width="5" bestFit="1" customWidth="1"/>
    <col min="7587" max="7588" width="5.28515625" bestFit="1" customWidth="1"/>
    <col min="7589" max="7589" width="5" bestFit="1" customWidth="1"/>
    <col min="7590" max="7590" width="4.42578125" bestFit="1" customWidth="1"/>
    <col min="7591" max="7591" width="4.5703125" bestFit="1" customWidth="1"/>
    <col min="7592" max="7593" width="5.140625" bestFit="1" customWidth="1"/>
    <col min="7594" max="7594" width="4.85546875" bestFit="1" customWidth="1"/>
    <col min="7595" max="7595" width="5.42578125" bestFit="1" customWidth="1"/>
    <col min="7596" max="7596" width="0" hidden="1" customWidth="1"/>
    <col min="7597" max="7597" width="6.5703125" bestFit="1" customWidth="1"/>
    <col min="7739" max="7739" width="6" customWidth="1"/>
    <col min="7740" max="7740" width="1.5703125" bestFit="1" customWidth="1"/>
    <col min="7741" max="7741" width="5.42578125" bestFit="1" customWidth="1"/>
    <col min="7742" max="7742" width="20.28515625" customWidth="1"/>
    <col min="7743" max="7743" width="7.28515625" customWidth="1"/>
    <col min="7744" max="7744" width="5.28515625" customWidth="1"/>
    <col min="7745" max="7745" width="6.5703125" customWidth="1"/>
    <col min="7746" max="7746" width="4.42578125" customWidth="1"/>
    <col min="7747" max="7747" width="8.28515625" customWidth="1"/>
    <col min="7748" max="7748" width="4.7109375" customWidth="1"/>
    <col min="7749" max="7749" width="5.7109375" customWidth="1"/>
    <col min="7750" max="7750" width="8" customWidth="1"/>
    <col min="7751" max="7751" width="6.85546875" customWidth="1"/>
    <col min="7752" max="7752" width="6.140625" customWidth="1"/>
    <col min="7753" max="7754" width="8.28515625" customWidth="1"/>
    <col min="7755" max="7756" width="5.85546875" customWidth="1"/>
    <col min="7757" max="7757" width="7" customWidth="1"/>
    <col min="7758" max="7758" width="5.85546875" customWidth="1"/>
    <col min="7759" max="7759" width="6.42578125" customWidth="1"/>
    <col min="7760" max="7760" width="1.7109375" customWidth="1"/>
    <col min="7761" max="7762" width="6.42578125" customWidth="1"/>
    <col min="7763" max="7763" width="1.7109375" customWidth="1"/>
    <col min="7764" max="7764" width="6.42578125" customWidth="1"/>
    <col min="7765" max="7765" width="6.85546875" customWidth="1"/>
    <col min="7766" max="7766" width="5.7109375" customWidth="1"/>
    <col min="7767" max="7767" width="3.28515625" customWidth="1"/>
    <col min="7768" max="7768" width="4" customWidth="1"/>
    <col min="7769" max="7769" width="14" customWidth="1"/>
    <col min="7770" max="7770" width="9.140625" customWidth="1"/>
    <col min="7771" max="7771" width="9.5703125" customWidth="1"/>
    <col min="7772" max="7772" width="1.5703125" customWidth="1"/>
    <col min="7773" max="7773" width="5.42578125" customWidth="1"/>
    <col min="7774" max="7774" width="19.140625" customWidth="1"/>
    <col min="7775" max="7775" width="7.28515625" customWidth="1"/>
    <col min="7776" max="7776" width="5.28515625" customWidth="1"/>
    <col min="7777" max="7777" width="4" customWidth="1"/>
    <col min="7778" max="7782" width="4.85546875" customWidth="1"/>
    <col min="7783" max="7783" width="6.85546875" customWidth="1"/>
    <col min="7784" max="7784" width="5.7109375" customWidth="1"/>
    <col min="7785" max="7785" width="7.7109375" customWidth="1"/>
    <col min="7786" max="7786" width="6.85546875" customWidth="1"/>
    <col min="7787" max="7787" width="5.140625" customWidth="1"/>
    <col min="7788" max="7788" width="7.85546875" customWidth="1"/>
    <col min="7789" max="7789" width="4.42578125" customWidth="1"/>
    <col min="7790" max="7790" width="6.85546875" customWidth="1"/>
    <col min="7791" max="7792" width="8" customWidth="1"/>
    <col min="7793" max="7793" width="6" customWidth="1"/>
    <col min="7794" max="7794" width="3.140625" customWidth="1"/>
    <col min="7795" max="7795" width="6" customWidth="1"/>
    <col min="7796" max="7796" width="5.5703125" customWidth="1"/>
    <col min="7797" max="7797" width="6.7109375" customWidth="1"/>
    <col min="7798" max="7798" width="6.85546875" customWidth="1"/>
    <col min="7799" max="7799" width="8.140625" customWidth="1"/>
    <col min="7800" max="7800" width="4.42578125" customWidth="1"/>
    <col min="7801" max="7801" width="7.140625" customWidth="1"/>
    <col min="7802" max="7802" width="6.5703125" customWidth="1"/>
    <col min="7803" max="7803" width="6.42578125" customWidth="1"/>
    <col min="7804" max="7804" width="8.28515625" customWidth="1"/>
    <col min="7805" max="7805" width="5.42578125" customWidth="1"/>
    <col min="7806" max="7806" width="7.5703125" customWidth="1"/>
    <col min="7807" max="7807" width="5.140625" customWidth="1"/>
    <col min="7808" max="7810" width="9.140625" customWidth="1"/>
    <col min="7812" max="7812" width="19.7109375" customWidth="1"/>
    <col min="7813" max="7813" width="6.5703125" customWidth="1"/>
    <col min="7814" max="7814" width="3.5703125" bestFit="1" customWidth="1"/>
    <col min="7815" max="7815" width="6.85546875" bestFit="1" customWidth="1"/>
    <col min="7816" max="7818" width="5.85546875" customWidth="1"/>
    <col min="7819" max="7819" width="6" bestFit="1" customWidth="1"/>
    <col min="7820" max="7822" width="0" hidden="1" customWidth="1"/>
    <col min="7823" max="7823" width="6" bestFit="1" customWidth="1"/>
    <col min="7824" max="7824" width="6.85546875" bestFit="1" customWidth="1"/>
    <col min="7825" max="7825" width="7" bestFit="1" customWidth="1"/>
    <col min="7826" max="7826" width="6" bestFit="1" customWidth="1"/>
    <col min="7827" max="7827" width="4.42578125" bestFit="1" customWidth="1"/>
    <col min="7828" max="7828" width="6" bestFit="1" customWidth="1"/>
    <col min="7829" max="7829" width="6.28515625" bestFit="1" customWidth="1"/>
    <col min="7830" max="7836" width="4.85546875" bestFit="1" customWidth="1"/>
    <col min="7837" max="7837" width="5" bestFit="1" customWidth="1"/>
    <col min="7838" max="7838" width="4.85546875" bestFit="1" customWidth="1"/>
    <col min="7839" max="7839" width="4.42578125" bestFit="1" customWidth="1"/>
    <col min="7840" max="7840" width="5.140625" bestFit="1" customWidth="1"/>
    <col min="7841" max="7841" width="4.85546875" bestFit="1" customWidth="1"/>
    <col min="7842" max="7842" width="5" bestFit="1" customWidth="1"/>
    <col min="7843" max="7844" width="5.28515625" bestFit="1" customWidth="1"/>
    <col min="7845" max="7845" width="5" bestFit="1" customWidth="1"/>
    <col min="7846" max="7846" width="4.42578125" bestFit="1" customWidth="1"/>
    <col min="7847" max="7847" width="4.5703125" bestFit="1" customWidth="1"/>
    <col min="7848" max="7849" width="5.140625" bestFit="1" customWidth="1"/>
    <col min="7850" max="7850" width="4.85546875" bestFit="1" customWidth="1"/>
    <col min="7851" max="7851" width="5.42578125" bestFit="1" customWidth="1"/>
    <col min="7852" max="7852" width="0" hidden="1" customWidth="1"/>
    <col min="7853" max="7853" width="6.5703125" bestFit="1" customWidth="1"/>
    <col min="7995" max="7995" width="6" customWidth="1"/>
    <col min="7996" max="7996" width="1.5703125" bestFit="1" customWidth="1"/>
    <col min="7997" max="7997" width="5.42578125" bestFit="1" customWidth="1"/>
    <col min="7998" max="7998" width="20.28515625" customWidth="1"/>
    <col min="7999" max="7999" width="7.28515625" customWidth="1"/>
    <col min="8000" max="8000" width="5.28515625" customWidth="1"/>
    <col min="8001" max="8001" width="6.5703125" customWidth="1"/>
    <col min="8002" max="8002" width="4.42578125" customWidth="1"/>
    <col min="8003" max="8003" width="8.28515625" customWidth="1"/>
    <col min="8004" max="8004" width="4.7109375" customWidth="1"/>
    <col min="8005" max="8005" width="5.7109375" customWidth="1"/>
    <col min="8006" max="8006" width="8" customWidth="1"/>
    <col min="8007" max="8007" width="6.85546875" customWidth="1"/>
    <col min="8008" max="8008" width="6.140625" customWidth="1"/>
    <col min="8009" max="8010" width="8.28515625" customWidth="1"/>
    <col min="8011" max="8012" width="5.85546875" customWidth="1"/>
    <col min="8013" max="8013" width="7" customWidth="1"/>
    <col min="8014" max="8014" width="5.85546875" customWidth="1"/>
    <col min="8015" max="8015" width="6.42578125" customWidth="1"/>
    <col min="8016" max="8016" width="1.7109375" customWidth="1"/>
    <col min="8017" max="8018" width="6.42578125" customWidth="1"/>
    <col min="8019" max="8019" width="1.7109375" customWidth="1"/>
    <col min="8020" max="8020" width="6.42578125" customWidth="1"/>
    <col min="8021" max="8021" width="6.85546875" customWidth="1"/>
    <col min="8022" max="8022" width="5.7109375" customWidth="1"/>
    <col min="8023" max="8023" width="3.28515625" customWidth="1"/>
    <col min="8024" max="8024" width="4" customWidth="1"/>
    <col min="8025" max="8025" width="14" customWidth="1"/>
    <col min="8026" max="8026" width="9.140625" customWidth="1"/>
    <col min="8027" max="8027" width="9.5703125" customWidth="1"/>
    <col min="8028" max="8028" width="1.5703125" customWidth="1"/>
    <col min="8029" max="8029" width="5.42578125" customWidth="1"/>
    <col min="8030" max="8030" width="19.140625" customWidth="1"/>
    <col min="8031" max="8031" width="7.28515625" customWidth="1"/>
    <col min="8032" max="8032" width="5.28515625" customWidth="1"/>
    <col min="8033" max="8033" width="4" customWidth="1"/>
    <col min="8034" max="8038" width="4.85546875" customWidth="1"/>
    <col min="8039" max="8039" width="6.85546875" customWidth="1"/>
    <col min="8040" max="8040" width="5.7109375" customWidth="1"/>
    <col min="8041" max="8041" width="7.7109375" customWidth="1"/>
    <col min="8042" max="8042" width="6.85546875" customWidth="1"/>
    <col min="8043" max="8043" width="5.140625" customWidth="1"/>
    <col min="8044" max="8044" width="7.85546875" customWidth="1"/>
    <col min="8045" max="8045" width="4.42578125" customWidth="1"/>
    <col min="8046" max="8046" width="6.85546875" customWidth="1"/>
    <col min="8047" max="8048" width="8" customWidth="1"/>
    <col min="8049" max="8049" width="6" customWidth="1"/>
    <col min="8050" max="8050" width="3.140625" customWidth="1"/>
    <col min="8051" max="8051" width="6" customWidth="1"/>
    <col min="8052" max="8052" width="5.5703125" customWidth="1"/>
    <col min="8053" max="8053" width="6.7109375" customWidth="1"/>
    <col min="8054" max="8054" width="6.85546875" customWidth="1"/>
    <col min="8055" max="8055" width="8.140625" customWidth="1"/>
    <col min="8056" max="8056" width="4.42578125" customWidth="1"/>
    <col min="8057" max="8057" width="7.140625" customWidth="1"/>
    <col min="8058" max="8058" width="6.5703125" customWidth="1"/>
    <col min="8059" max="8059" width="6.42578125" customWidth="1"/>
    <col min="8060" max="8060" width="8.28515625" customWidth="1"/>
    <col min="8061" max="8061" width="5.42578125" customWidth="1"/>
    <col min="8062" max="8062" width="7.5703125" customWidth="1"/>
    <col min="8063" max="8063" width="5.140625" customWidth="1"/>
    <col min="8064" max="8066" width="9.140625" customWidth="1"/>
    <col min="8068" max="8068" width="19.7109375" customWidth="1"/>
    <col min="8069" max="8069" width="6.5703125" customWidth="1"/>
    <col min="8070" max="8070" width="3.5703125" bestFit="1" customWidth="1"/>
    <col min="8071" max="8071" width="6.85546875" bestFit="1" customWidth="1"/>
    <col min="8072" max="8074" width="5.85546875" customWidth="1"/>
    <col min="8075" max="8075" width="6" bestFit="1" customWidth="1"/>
    <col min="8076" max="8078" width="0" hidden="1" customWidth="1"/>
    <col min="8079" max="8079" width="6" bestFit="1" customWidth="1"/>
    <col min="8080" max="8080" width="6.85546875" bestFit="1" customWidth="1"/>
    <col min="8081" max="8081" width="7" bestFit="1" customWidth="1"/>
    <col min="8082" max="8082" width="6" bestFit="1" customWidth="1"/>
    <col min="8083" max="8083" width="4.42578125" bestFit="1" customWidth="1"/>
    <col min="8084" max="8084" width="6" bestFit="1" customWidth="1"/>
    <col min="8085" max="8085" width="6.28515625" bestFit="1" customWidth="1"/>
    <col min="8086" max="8092" width="4.85546875" bestFit="1" customWidth="1"/>
    <col min="8093" max="8093" width="5" bestFit="1" customWidth="1"/>
    <col min="8094" max="8094" width="4.85546875" bestFit="1" customWidth="1"/>
    <col min="8095" max="8095" width="4.42578125" bestFit="1" customWidth="1"/>
    <col min="8096" max="8096" width="5.140625" bestFit="1" customWidth="1"/>
    <col min="8097" max="8097" width="4.85546875" bestFit="1" customWidth="1"/>
    <col min="8098" max="8098" width="5" bestFit="1" customWidth="1"/>
    <col min="8099" max="8100" width="5.28515625" bestFit="1" customWidth="1"/>
    <col min="8101" max="8101" width="5" bestFit="1" customWidth="1"/>
    <col min="8102" max="8102" width="4.42578125" bestFit="1" customWidth="1"/>
    <col min="8103" max="8103" width="4.5703125" bestFit="1" customWidth="1"/>
    <col min="8104" max="8105" width="5.140625" bestFit="1" customWidth="1"/>
    <col min="8106" max="8106" width="4.85546875" bestFit="1" customWidth="1"/>
    <col min="8107" max="8107" width="5.42578125" bestFit="1" customWidth="1"/>
    <col min="8108" max="8108" width="0" hidden="1" customWidth="1"/>
    <col min="8109" max="8109" width="6.5703125" bestFit="1" customWidth="1"/>
    <col min="8251" max="8251" width="6" customWidth="1"/>
    <col min="8252" max="8252" width="1.5703125" bestFit="1" customWidth="1"/>
    <col min="8253" max="8253" width="5.42578125" bestFit="1" customWidth="1"/>
    <col min="8254" max="8254" width="20.28515625" customWidth="1"/>
    <col min="8255" max="8255" width="7.28515625" customWidth="1"/>
    <col min="8256" max="8256" width="5.28515625" customWidth="1"/>
    <col min="8257" max="8257" width="6.5703125" customWidth="1"/>
    <col min="8258" max="8258" width="4.42578125" customWidth="1"/>
    <col min="8259" max="8259" width="8.28515625" customWidth="1"/>
    <col min="8260" max="8260" width="4.7109375" customWidth="1"/>
    <col min="8261" max="8261" width="5.7109375" customWidth="1"/>
    <col min="8262" max="8262" width="8" customWidth="1"/>
    <col min="8263" max="8263" width="6.85546875" customWidth="1"/>
    <col min="8264" max="8264" width="6.140625" customWidth="1"/>
    <col min="8265" max="8266" width="8.28515625" customWidth="1"/>
    <col min="8267" max="8268" width="5.85546875" customWidth="1"/>
    <col min="8269" max="8269" width="7" customWidth="1"/>
    <col min="8270" max="8270" width="5.85546875" customWidth="1"/>
    <col min="8271" max="8271" width="6.42578125" customWidth="1"/>
    <col min="8272" max="8272" width="1.7109375" customWidth="1"/>
    <col min="8273" max="8274" width="6.42578125" customWidth="1"/>
    <col min="8275" max="8275" width="1.7109375" customWidth="1"/>
    <col min="8276" max="8276" width="6.42578125" customWidth="1"/>
    <col min="8277" max="8277" width="6.85546875" customWidth="1"/>
    <col min="8278" max="8278" width="5.7109375" customWidth="1"/>
    <col min="8279" max="8279" width="3.28515625" customWidth="1"/>
    <col min="8280" max="8280" width="4" customWidth="1"/>
    <col min="8281" max="8281" width="14" customWidth="1"/>
    <col min="8282" max="8282" width="9.140625" customWidth="1"/>
    <col min="8283" max="8283" width="9.5703125" customWidth="1"/>
    <col min="8284" max="8284" width="1.5703125" customWidth="1"/>
    <col min="8285" max="8285" width="5.42578125" customWidth="1"/>
    <col min="8286" max="8286" width="19.140625" customWidth="1"/>
    <col min="8287" max="8287" width="7.28515625" customWidth="1"/>
    <col min="8288" max="8288" width="5.28515625" customWidth="1"/>
    <col min="8289" max="8289" width="4" customWidth="1"/>
    <col min="8290" max="8294" width="4.85546875" customWidth="1"/>
    <col min="8295" max="8295" width="6.85546875" customWidth="1"/>
    <col min="8296" max="8296" width="5.7109375" customWidth="1"/>
    <col min="8297" max="8297" width="7.7109375" customWidth="1"/>
    <col min="8298" max="8298" width="6.85546875" customWidth="1"/>
    <col min="8299" max="8299" width="5.140625" customWidth="1"/>
    <col min="8300" max="8300" width="7.85546875" customWidth="1"/>
    <col min="8301" max="8301" width="4.42578125" customWidth="1"/>
    <col min="8302" max="8302" width="6.85546875" customWidth="1"/>
    <col min="8303" max="8304" width="8" customWidth="1"/>
    <col min="8305" max="8305" width="6" customWidth="1"/>
    <col min="8306" max="8306" width="3.140625" customWidth="1"/>
    <col min="8307" max="8307" width="6" customWidth="1"/>
    <col min="8308" max="8308" width="5.5703125" customWidth="1"/>
    <col min="8309" max="8309" width="6.7109375" customWidth="1"/>
    <col min="8310" max="8310" width="6.85546875" customWidth="1"/>
    <col min="8311" max="8311" width="8.140625" customWidth="1"/>
    <col min="8312" max="8312" width="4.42578125" customWidth="1"/>
    <col min="8313" max="8313" width="7.140625" customWidth="1"/>
    <col min="8314" max="8314" width="6.5703125" customWidth="1"/>
    <col min="8315" max="8315" width="6.42578125" customWidth="1"/>
    <col min="8316" max="8316" width="8.28515625" customWidth="1"/>
    <col min="8317" max="8317" width="5.42578125" customWidth="1"/>
    <col min="8318" max="8318" width="7.5703125" customWidth="1"/>
    <col min="8319" max="8319" width="5.140625" customWidth="1"/>
    <col min="8320" max="8322" width="9.140625" customWidth="1"/>
    <col min="8324" max="8324" width="19.7109375" customWidth="1"/>
    <col min="8325" max="8325" width="6.5703125" customWidth="1"/>
    <col min="8326" max="8326" width="3.5703125" bestFit="1" customWidth="1"/>
    <col min="8327" max="8327" width="6.85546875" bestFit="1" customWidth="1"/>
    <col min="8328" max="8330" width="5.85546875" customWidth="1"/>
    <col min="8331" max="8331" width="6" bestFit="1" customWidth="1"/>
    <col min="8332" max="8334" width="0" hidden="1" customWidth="1"/>
    <col min="8335" max="8335" width="6" bestFit="1" customWidth="1"/>
    <col min="8336" max="8336" width="6.85546875" bestFit="1" customWidth="1"/>
    <col min="8337" max="8337" width="7" bestFit="1" customWidth="1"/>
    <col min="8338" max="8338" width="6" bestFit="1" customWidth="1"/>
    <col min="8339" max="8339" width="4.42578125" bestFit="1" customWidth="1"/>
    <col min="8340" max="8340" width="6" bestFit="1" customWidth="1"/>
    <col min="8341" max="8341" width="6.28515625" bestFit="1" customWidth="1"/>
    <col min="8342" max="8348" width="4.85546875" bestFit="1" customWidth="1"/>
    <col min="8349" max="8349" width="5" bestFit="1" customWidth="1"/>
    <col min="8350" max="8350" width="4.85546875" bestFit="1" customWidth="1"/>
    <col min="8351" max="8351" width="4.42578125" bestFit="1" customWidth="1"/>
    <col min="8352" max="8352" width="5.140625" bestFit="1" customWidth="1"/>
    <col min="8353" max="8353" width="4.85546875" bestFit="1" customWidth="1"/>
    <col min="8354" max="8354" width="5" bestFit="1" customWidth="1"/>
    <col min="8355" max="8356" width="5.28515625" bestFit="1" customWidth="1"/>
    <col min="8357" max="8357" width="5" bestFit="1" customWidth="1"/>
    <col min="8358" max="8358" width="4.42578125" bestFit="1" customWidth="1"/>
    <col min="8359" max="8359" width="4.5703125" bestFit="1" customWidth="1"/>
    <col min="8360" max="8361" width="5.140625" bestFit="1" customWidth="1"/>
    <col min="8362" max="8362" width="4.85546875" bestFit="1" customWidth="1"/>
    <col min="8363" max="8363" width="5.42578125" bestFit="1" customWidth="1"/>
    <col min="8364" max="8364" width="0" hidden="1" customWidth="1"/>
    <col min="8365" max="8365" width="6.5703125" bestFit="1" customWidth="1"/>
    <col min="8507" max="8507" width="6" customWidth="1"/>
    <col min="8508" max="8508" width="1.5703125" bestFit="1" customWidth="1"/>
    <col min="8509" max="8509" width="5.42578125" bestFit="1" customWidth="1"/>
    <col min="8510" max="8510" width="20.28515625" customWidth="1"/>
    <col min="8511" max="8511" width="7.28515625" customWidth="1"/>
    <col min="8512" max="8512" width="5.28515625" customWidth="1"/>
    <col min="8513" max="8513" width="6.5703125" customWidth="1"/>
    <col min="8514" max="8514" width="4.42578125" customWidth="1"/>
    <col min="8515" max="8515" width="8.28515625" customWidth="1"/>
    <col min="8516" max="8516" width="4.7109375" customWidth="1"/>
    <col min="8517" max="8517" width="5.7109375" customWidth="1"/>
    <col min="8518" max="8518" width="8" customWidth="1"/>
    <col min="8519" max="8519" width="6.85546875" customWidth="1"/>
    <col min="8520" max="8520" width="6.140625" customWidth="1"/>
    <col min="8521" max="8522" width="8.28515625" customWidth="1"/>
    <col min="8523" max="8524" width="5.85546875" customWidth="1"/>
    <col min="8525" max="8525" width="7" customWidth="1"/>
    <col min="8526" max="8526" width="5.85546875" customWidth="1"/>
    <col min="8527" max="8527" width="6.42578125" customWidth="1"/>
    <col min="8528" max="8528" width="1.7109375" customWidth="1"/>
    <col min="8529" max="8530" width="6.42578125" customWidth="1"/>
    <col min="8531" max="8531" width="1.7109375" customWidth="1"/>
    <col min="8532" max="8532" width="6.42578125" customWidth="1"/>
    <col min="8533" max="8533" width="6.85546875" customWidth="1"/>
    <col min="8534" max="8534" width="5.7109375" customWidth="1"/>
    <col min="8535" max="8535" width="3.28515625" customWidth="1"/>
    <col min="8536" max="8536" width="4" customWidth="1"/>
    <col min="8537" max="8537" width="14" customWidth="1"/>
    <col min="8538" max="8538" width="9.140625" customWidth="1"/>
    <col min="8539" max="8539" width="9.5703125" customWidth="1"/>
    <col min="8540" max="8540" width="1.5703125" customWidth="1"/>
    <col min="8541" max="8541" width="5.42578125" customWidth="1"/>
    <col min="8542" max="8542" width="19.140625" customWidth="1"/>
    <col min="8543" max="8543" width="7.28515625" customWidth="1"/>
    <col min="8544" max="8544" width="5.28515625" customWidth="1"/>
    <col min="8545" max="8545" width="4" customWidth="1"/>
    <col min="8546" max="8550" width="4.85546875" customWidth="1"/>
    <col min="8551" max="8551" width="6.85546875" customWidth="1"/>
    <col min="8552" max="8552" width="5.7109375" customWidth="1"/>
    <col min="8553" max="8553" width="7.7109375" customWidth="1"/>
    <col min="8554" max="8554" width="6.85546875" customWidth="1"/>
    <col min="8555" max="8555" width="5.140625" customWidth="1"/>
    <col min="8556" max="8556" width="7.85546875" customWidth="1"/>
    <col min="8557" max="8557" width="4.42578125" customWidth="1"/>
    <col min="8558" max="8558" width="6.85546875" customWidth="1"/>
    <col min="8559" max="8560" width="8" customWidth="1"/>
    <col min="8561" max="8561" width="6" customWidth="1"/>
    <col min="8562" max="8562" width="3.140625" customWidth="1"/>
    <col min="8563" max="8563" width="6" customWidth="1"/>
    <col min="8564" max="8564" width="5.5703125" customWidth="1"/>
    <col min="8565" max="8565" width="6.7109375" customWidth="1"/>
    <col min="8566" max="8566" width="6.85546875" customWidth="1"/>
    <col min="8567" max="8567" width="8.140625" customWidth="1"/>
    <col min="8568" max="8568" width="4.42578125" customWidth="1"/>
    <col min="8569" max="8569" width="7.140625" customWidth="1"/>
    <col min="8570" max="8570" width="6.5703125" customWidth="1"/>
    <col min="8571" max="8571" width="6.42578125" customWidth="1"/>
    <col min="8572" max="8572" width="8.28515625" customWidth="1"/>
    <col min="8573" max="8573" width="5.42578125" customWidth="1"/>
    <col min="8574" max="8574" width="7.5703125" customWidth="1"/>
    <col min="8575" max="8575" width="5.140625" customWidth="1"/>
    <col min="8576" max="8578" width="9.140625" customWidth="1"/>
    <col min="8580" max="8580" width="19.7109375" customWidth="1"/>
    <col min="8581" max="8581" width="6.5703125" customWidth="1"/>
    <col min="8582" max="8582" width="3.5703125" bestFit="1" customWidth="1"/>
    <col min="8583" max="8583" width="6.85546875" bestFit="1" customWidth="1"/>
    <col min="8584" max="8586" width="5.85546875" customWidth="1"/>
    <col min="8587" max="8587" width="6" bestFit="1" customWidth="1"/>
    <col min="8588" max="8590" width="0" hidden="1" customWidth="1"/>
    <col min="8591" max="8591" width="6" bestFit="1" customWidth="1"/>
    <col min="8592" max="8592" width="6.85546875" bestFit="1" customWidth="1"/>
    <col min="8593" max="8593" width="7" bestFit="1" customWidth="1"/>
    <col min="8594" max="8594" width="6" bestFit="1" customWidth="1"/>
    <col min="8595" max="8595" width="4.42578125" bestFit="1" customWidth="1"/>
    <col min="8596" max="8596" width="6" bestFit="1" customWidth="1"/>
    <col min="8597" max="8597" width="6.28515625" bestFit="1" customWidth="1"/>
    <col min="8598" max="8604" width="4.85546875" bestFit="1" customWidth="1"/>
    <col min="8605" max="8605" width="5" bestFit="1" customWidth="1"/>
    <col min="8606" max="8606" width="4.85546875" bestFit="1" customWidth="1"/>
    <col min="8607" max="8607" width="4.42578125" bestFit="1" customWidth="1"/>
    <col min="8608" max="8608" width="5.140625" bestFit="1" customWidth="1"/>
    <col min="8609" max="8609" width="4.85546875" bestFit="1" customWidth="1"/>
    <col min="8610" max="8610" width="5" bestFit="1" customWidth="1"/>
    <col min="8611" max="8612" width="5.28515625" bestFit="1" customWidth="1"/>
    <col min="8613" max="8613" width="5" bestFit="1" customWidth="1"/>
    <col min="8614" max="8614" width="4.42578125" bestFit="1" customWidth="1"/>
    <col min="8615" max="8615" width="4.5703125" bestFit="1" customWidth="1"/>
    <col min="8616" max="8617" width="5.140625" bestFit="1" customWidth="1"/>
    <col min="8618" max="8618" width="4.85546875" bestFit="1" customWidth="1"/>
    <col min="8619" max="8619" width="5.42578125" bestFit="1" customWidth="1"/>
    <col min="8620" max="8620" width="0" hidden="1" customWidth="1"/>
    <col min="8621" max="8621" width="6.5703125" bestFit="1" customWidth="1"/>
    <col min="8763" max="8763" width="6" customWidth="1"/>
    <col min="8764" max="8764" width="1.5703125" bestFit="1" customWidth="1"/>
    <col min="8765" max="8765" width="5.42578125" bestFit="1" customWidth="1"/>
    <col min="8766" max="8766" width="20.28515625" customWidth="1"/>
    <col min="8767" max="8767" width="7.28515625" customWidth="1"/>
    <col min="8768" max="8768" width="5.28515625" customWidth="1"/>
    <col min="8769" max="8769" width="6.5703125" customWidth="1"/>
    <col min="8770" max="8770" width="4.42578125" customWidth="1"/>
    <col min="8771" max="8771" width="8.28515625" customWidth="1"/>
    <col min="8772" max="8772" width="4.7109375" customWidth="1"/>
    <col min="8773" max="8773" width="5.7109375" customWidth="1"/>
    <col min="8774" max="8774" width="8" customWidth="1"/>
    <col min="8775" max="8775" width="6.85546875" customWidth="1"/>
    <col min="8776" max="8776" width="6.140625" customWidth="1"/>
    <col min="8777" max="8778" width="8.28515625" customWidth="1"/>
    <col min="8779" max="8780" width="5.85546875" customWidth="1"/>
    <col min="8781" max="8781" width="7" customWidth="1"/>
    <col min="8782" max="8782" width="5.85546875" customWidth="1"/>
    <col min="8783" max="8783" width="6.42578125" customWidth="1"/>
    <col min="8784" max="8784" width="1.7109375" customWidth="1"/>
    <col min="8785" max="8786" width="6.42578125" customWidth="1"/>
    <col min="8787" max="8787" width="1.7109375" customWidth="1"/>
    <col min="8788" max="8788" width="6.42578125" customWidth="1"/>
    <col min="8789" max="8789" width="6.85546875" customWidth="1"/>
    <col min="8790" max="8790" width="5.7109375" customWidth="1"/>
    <col min="8791" max="8791" width="3.28515625" customWidth="1"/>
    <col min="8792" max="8792" width="4" customWidth="1"/>
    <col min="8793" max="8793" width="14" customWidth="1"/>
    <col min="8794" max="8794" width="9.140625" customWidth="1"/>
    <col min="8795" max="8795" width="9.5703125" customWidth="1"/>
    <col min="8796" max="8796" width="1.5703125" customWidth="1"/>
    <col min="8797" max="8797" width="5.42578125" customWidth="1"/>
    <col min="8798" max="8798" width="19.140625" customWidth="1"/>
    <col min="8799" max="8799" width="7.28515625" customWidth="1"/>
    <col min="8800" max="8800" width="5.28515625" customWidth="1"/>
    <col min="8801" max="8801" width="4" customWidth="1"/>
    <col min="8802" max="8806" width="4.85546875" customWidth="1"/>
    <col min="8807" max="8807" width="6.85546875" customWidth="1"/>
    <col min="8808" max="8808" width="5.7109375" customWidth="1"/>
    <col min="8809" max="8809" width="7.7109375" customWidth="1"/>
    <col min="8810" max="8810" width="6.85546875" customWidth="1"/>
    <col min="8811" max="8811" width="5.140625" customWidth="1"/>
    <col min="8812" max="8812" width="7.85546875" customWidth="1"/>
    <col min="8813" max="8813" width="4.42578125" customWidth="1"/>
    <col min="8814" max="8814" width="6.85546875" customWidth="1"/>
    <col min="8815" max="8816" width="8" customWidth="1"/>
    <col min="8817" max="8817" width="6" customWidth="1"/>
    <col min="8818" max="8818" width="3.140625" customWidth="1"/>
    <col min="8819" max="8819" width="6" customWidth="1"/>
    <col min="8820" max="8820" width="5.5703125" customWidth="1"/>
    <col min="8821" max="8821" width="6.7109375" customWidth="1"/>
    <col min="8822" max="8822" width="6.85546875" customWidth="1"/>
    <col min="8823" max="8823" width="8.140625" customWidth="1"/>
    <col min="8824" max="8824" width="4.42578125" customWidth="1"/>
    <col min="8825" max="8825" width="7.140625" customWidth="1"/>
    <col min="8826" max="8826" width="6.5703125" customWidth="1"/>
    <col min="8827" max="8827" width="6.42578125" customWidth="1"/>
    <col min="8828" max="8828" width="8.28515625" customWidth="1"/>
    <col min="8829" max="8829" width="5.42578125" customWidth="1"/>
    <col min="8830" max="8830" width="7.5703125" customWidth="1"/>
    <col min="8831" max="8831" width="5.140625" customWidth="1"/>
    <col min="8832" max="8834" width="9.140625" customWidth="1"/>
    <col min="8836" max="8836" width="19.7109375" customWidth="1"/>
    <col min="8837" max="8837" width="6.5703125" customWidth="1"/>
    <col min="8838" max="8838" width="3.5703125" bestFit="1" customWidth="1"/>
    <col min="8839" max="8839" width="6.85546875" bestFit="1" customWidth="1"/>
    <col min="8840" max="8842" width="5.85546875" customWidth="1"/>
    <col min="8843" max="8843" width="6" bestFit="1" customWidth="1"/>
    <col min="8844" max="8846" width="0" hidden="1" customWidth="1"/>
    <col min="8847" max="8847" width="6" bestFit="1" customWidth="1"/>
    <col min="8848" max="8848" width="6.85546875" bestFit="1" customWidth="1"/>
    <col min="8849" max="8849" width="7" bestFit="1" customWidth="1"/>
    <col min="8850" max="8850" width="6" bestFit="1" customWidth="1"/>
    <col min="8851" max="8851" width="4.42578125" bestFit="1" customWidth="1"/>
    <col min="8852" max="8852" width="6" bestFit="1" customWidth="1"/>
    <col min="8853" max="8853" width="6.28515625" bestFit="1" customWidth="1"/>
    <col min="8854" max="8860" width="4.85546875" bestFit="1" customWidth="1"/>
    <col min="8861" max="8861" width="5" bestFit="1" customWidth="1"/>
    <col min="8862" max="8862" width="4.85546875" bestFit="1" customWidth="1"/>
    <col min="8863" max="8863" width="4.42578125" bestFit="1" customWidth="1"/>
    <col min="8864" max="8864" width="5.140625" bestFit="1" customWidth="1"/>
    <col min="8865" max="8865" width="4.85546875" bestFit="1" customWidth="1"/>
    <col min="8866" max="8866" width="5" bestFit="1" customWidth="1"/>
    <col min="8867" max="8868" width="5.28515625" bestFit="1" customWidth="1"/>
    <col min="8869" max="8869" width="5" bestFit="1" customWidth="1"/>
    <col min="8870" max="8870" width="4.42578125" bestFit="1" customWidth="1"/>
    <col min="8871" max="8871" width="4.5703125" bestFit="1" customWidth="1"/>
    <col min="8872" max="8873" width="5.140625" bestFit="1" customWidth="1"/>
    <col min="8874" max="8874" width="4.85546875" bestFit="1" customWidth="1"/>
    <col min="8875" max="8875" width="5.42578125" bestFit="1" customWidth="1"/>
    <col min="8876" max="8876" width="0" hidden="1" customWidth="1"/>
    <col min="8877" max="8877" width="6.5703125" bestFit="1" customWidth="1"/>
    <col min="9019" max="9019" width="6" customWidth="1"/>
    <col min="9020" max="9020" width="1.5703125" bestFit="1" customWidth="1"/>
    <col min="9021" max="9021" width="5.42578125" bestFit="1" customWidth="1"/>
    <col min="9022" max="9022" width="20.28515625" customWidth="1"/>
    <col min="9023" max="9023" width="7.28515625" customWidth="1"/>
    <col min="9024" max="9024" width="5.28515625" customWidth="1"/>
    <col min="9025" max="9025" width="6.5703125" customWidth="1"/>
    <col min="9026" max="9026" width="4.42578125" customWidth="1"/>
    <col min="9027" max="9027" width="8.28515625" customWidth="1"/>
    <col min="9028" max="9028" width="4.7109375" customWidth="1"/>
    <col min="9029" max="9029" width="5.7109375" customWidth="1"/>
    <col min="9030" max="9030" width="8" customWidth="1"/>
    <col min="9031" max="9031" width="6.85546875" customWidth="1"/>
    <col min="9032" max="9032" width="6.140625" customWidth="1"/>
    <col min="9033" max="9034" width="8.28515625" customWidth="1"/>
    <col min="9035" max="9036" width="5.85546875" customWidth="1"/>
    <col min="9037" max="9037" width="7" customWidth="1"/>
    <col min="9038" max="9038" width="5.85546875" customWidth="1"/>
    <col min="9039" max="9039" width="6.42578125" customWidth="1"/>
    <col min="9040" max="9040" width="1.7109375" customWidth="1"/>
    <col min="9041" max="9042" width="6.42578125" customWidth="1"/>
    <col min="9043" max="9043" width="1.7109375" customWidth="1"/>
    <col min="9044" max="9044" width="6.42578125" customWidth="1"/>
    <col min="9045" max="9045" width="6.85546875" customWidth="1"/>
    <col min="9046" max="9046" width="5.7109375" customWidth="1"/>
    <col min="9047" max="9047" width="3.28515625" customWidth="1"/>
    <col min="9048" max="9048" width="4" customWidth="1"/>
    <col min="9049" max="9049" width="14" customWidth="1"/>
    <col min="9050" max="9050" width="9.140625" customWidth="1"/>
    <col min="9051" max="9051" width="9.5703125" customWidth="1"/>
    <col min="9052" max="9052" width="1.5703125" customWidth="1"/>
    <col min="9053" max="9053" width="5.42578125" customWidth="1"/>
    <col min="9054" max="9054" width="19.140625" customWidth="1"/>
    <col min="9055" max="9055" width="7.28515625" customWidth="1"/>
    <col min="9056" max="9056" width="5.28515625" customWidth="1"/>
    <col min="9057" max="9057" width="4" customWidth="1"/>
    <col min="9058" max="9062" width="4.85546875" customWidth="1"/>
    <col min="9063" max="9063" width="6.85546875" customWidth="1"/>
    <col min="9064" max="9064" width="5.7109375" customWidth="1"/>
    <col min="9065" max="9065" width="7.7109375" customWidth="1"/>
    <col min="9066" max="9066" width="6.85546875" customWidth="1"/>
    <col min="9067" max="9067" width="5.140625" customWidth="1"/>
    <col min="9068" max="9068" width="7.85546875" customWidth="1"/>
    <col min="9069" max="9069" width="4.42578125" customWidth="1"/>
    <col min="9070" max="9070" width="6.85546875" customWidth="1"/>
    <col min="9071" max="9072" width="8" customWidth="1"/>
    <col min="9073" max="9073" width="6" customWidth="1"/>
    <col min="9074" max="9074" width="3.140625" customWidth="1"/>
    <col min="9075" max="9075" width="6" customWidth="1"/>
    <col min="9076" max="9076" width="5.5703125" customWidth="1"/>
    <col min="9077" max="9077" width="6.7109375" customWidth="1"/>
    <col min="9078" max="9078" width="6.85546875" customWidth="1"/>
    <col min="9079" max="9079" width="8.140625" customWidth="1"/>
    <col min="9080" max="9080" width="4.42578125" customWidth="1"/>
    <col min="9081" max="9081" width="7.140625" customWidth="1"/>
    <col min="9082" max="9082" width="6.5703125" customWidth="1"/>
    <col min="9083" max="9083" width="6.42578125" customWidth="1"/>
    <col min="9084" max="9084" width="8.28515625" customWidth="1"/>
    <col min="9085" max="9085" width="5.42578125" customWidth="1"/>
    <col min="9086" max="9086" width="7.5703125" customWidth="1"/>
    <col min="9087" max="9087" width="5.140625" customWidth="1"/>
    <col min="9088" max="9090" width="9.140625" customWidth="1"/>
    <col min="9092" max="9092" width="19.7109375" customWidth="1"/>
    <col min="9093" max="9093" width="6.5703125" customWidth="1"/>
    <col min="9094" max="9094" width="3.5703125" bestFit="1" customWidth="1"/>
    <col min="9095" max="9095" width="6.85546875" bestFit="1" customWidth="1"/>
    <col min="9096" max="9098" width="5.85546875" customWidth="1"/>
    <col min="9099" max="9099" width="6" bestFit="1" customWidth="1"/>
    <col min="9100" max="9102" width="0" hidden="1" customWidth="1"/>
    <col min="9103" max="9103" width="6" bestFit="1" customWidth="1"/>
    <col min="9104" max="9104" width="6.85546875" bestFit="1" customWidth="1"/>
    <col min="9105" max="9105" width="7" bestFit="1" customWidth="1"/>
    <col min="9106" max="9106" width="6" bestFit="1" customWidth="1"/>
    <col min="9107" max="9107" width="4.42578125" bestFit="1" customWidth="1"/>
    <col min="9108" max="9108" width="6" bestFit="1" customWidth="1"/>
    <col min="9109" max="9109" width="6.28515625" bestFit="1" customWidth="1"/>
    <col min="9110" max="9116" width="4.85546875" bestFit="1" customWidth="1"/>
    <col min="9117" max="9117" width="5" bestFit="1" customWidth="1"/>
    <col min="9118" max="9118" width="4.85546875" bestFit="1" customWidth="1"/>
    <col min="9119" max="9119" width="4.42578125" bestFit="1" customWidth="1"/>
    <col min="9120" max="9120" width="5.140625" bestFit="1" customWidth="1"/>
    <col min="9121" max="9121" width="4.85546875" bestFit="1" customWidth="1"/>
    <col min="9122" max="9122" width="5" bestFit="1" customWidth="1"/>
    <col min="9123" max="9124" width="5.28515625" bestFit="1" customWidth="1"/>
    <col min="9125" max="9125" width="5" bestFit="1" customWidth="1"/>
    <col min="9126" max="9126" width="4.42578125" bestFit="1" customWidth="1"/>
    <col min="9127" max="9127" width="4.5703125" bestFit="1" customWidth="1"/>
    <col min="9128" max="9129" width="5.140625" bestFit="1" customWidth="1"/>
    <col min="9130" max="9130" width="4.85546875" bestFit="1" customWidth="1"/>
    <col min="9131" max="9131" width="5.42578125" bestFit="1" customWidth="1"/>
    <col min="9132" max="9132" width="0" hidden="1" customWidth="1"/>
    <col min="9133" max="9133" width="6.5703125" bestFit="1" customWidth="1"/>
    <col min="9275" max="9275" width="6" customWidth="1"/>
    <col min="9276" max="9276" width="1.5703125" bestFit="1" customWidth="1"/>
    <col min="9277" max="9277" width="5.42578125" bestFit="1" customWidth="1"/>
    <col min="9278" max="9278" width="20.28515625" customWidth="1"/>
    <col min="9279" max="9279" width="7.28515625" customWidth="1"/>
    <col min="9280" max="9280" width="5.28515625" customWidth="1"/>
    <col min="9281" max="9281" width="6.5703125" customWidth="1"/>
    <col min="9282" max="9282" width="4.42578125" customWidth="1"/>
    <col min="9283" max="9283" width="8.28515625" customWidth="1"/>
    <col min="9284" max="9284" width="4.7109375" customWidth="1"/>
    <col min="9285" max="9285" width="5.7109375" customWidth="1"/>
    <col min="9286" max="9286" width="8" customWidth="1"/>
    <col min="9287" max="9287" width="6.85546875" customWidth="1"/>
    <col min="9288" max="9288" width="6.140625" customWidth="1"/>
    <col min="9289" max="9290" width="8.28515625" customWidth="1"/>
    <col min="9291" max="9292" width="5.85546875" customWidth="1"/>
    <col min="9293" max="9293" width="7" customWidth="1"/>
    <col min="9294" max="9294" width="5.85546875" customWidth="1"/>
    <col min="9295" max="9295" width="6.42578125" customWidth="1"/>
    <col min="9296" max="9296" width="1.7109375" customWidth="1"/>
    <col min="9297" max="9298" width="6.42578125" customWidth="1"/>
    <col min="9299" max="9299" width="1.7109375" customWidth="1"/>
    <col min="9300" max="9300" width="6.42578125" customWidth="1"/>
    <col min="9301" max="9301" width="6.85546875" customWidth="1"/>
    <col min="9302" max="9302" width="5.7109375" customWidth="1"/>
    <col min="9303" max="9303" width="3.28515625" customWidth="1"/>
    <col min="9304" max="9304" width="4" customWidth="1"/>
    <col min="9305" max="9305" width="14" customWidth="1"/>
    <col min="9306" max="9306" width="9.140625" customWidth="1"/>
    <col min="9307" max="9307" width="9.5703125" customWidth="1"/>
    <col min="9308" max="9308" width="1.5703125" customWidth="1"/>
    <col min="9309" max="9309" width="5.42578125" customWidth="1"/>
    <col min="9310" max="9310" width="19.140625" customWidth="1"/>
    <col min="9311" max="9311" width="7.28515625" customWidth="1"/>
    <col min="9312" max="9312" width="5.28515625" customWidth="1"/>
    <col min="9313" max="9313" width="4" customWidth="1"/>
    <col min="9314" max="9318" width="4.85546875" customWidth="1"/>
    <col min="9319" max="9319" width="6.85546875" customWidth="1"/>
    <col min="9320" max="9320" width="5.7109375" customWidth="1"/>
    <col min="9321" max="9321" width="7.7109375" customWidth="1"/>
    <col min="9322" max="9322" width="6.85546875" customWidth="1"/>
    <col min="9323" max="9323" width="5.140625" customWidth="1"/>
    <col min="9324" max="9324" width="7.85546875" customWidth="1"/>
    <col min="9325" max="9325" width="4.42578125" customWidth="1"/>
    <col min="9326" max="9326" width="6.85546875" customWidth="1"/>
    <col min="9327" max="9328" width="8" customWidth="1"/>
    <col min="9329" max="9329" width="6" customWidth="1"/>
    <col min="9330" max="9330" width="3.140625" customWidth="1"/>
    <col min="9331" max="9331" width="6" customWidth="1"/>
    <col min="9332" max="9332" width="5.5703125" customWidth="1"/>
    <col min="9333" max="9333" width="6.7109375" customWidth="1"/>
    <col min="9334" max="9334" width="6.85546875" customWidth="1"/>
    <col min="9335" max="9335" width="8.140625" customWidth="1"/>
    <col min="9336" max="9336" width="4.42578125" customWidth="1"/>
    <col min="9337" max="9337" width="7.140625" customWidth="1"/>
    <col min="9338" max="9338" width="6.5703125" customWidth="1"/>
    <col min="9339" max="9339" width="6.42578125" customWidth="1"/>
    <col min="9340" max="9340" width="8.28515625" customWidth="1"/>
    <col min="9341" max="9341" width="5.42578125" customWidth="1"/>
    <col min="9342" max="9342" width="7.5703125" customWidth="1"/>
    <col min="9343" max="9343" width="5.140625" customWidth="1"/>
    <col min="9344" max="9346" width="9.140625" customWidth="1"/>
    <col min="9348" max="9348" width="19.7109375" customWidth="1"/>
    <col min="9349" max="9349" width="6.5703125" customWidth="1"/>
    <col min="9350" max="9350" width="3.5703125" bestFit="1" customWidth="1"/>
    <col min="9351" max="9351" width="6.85546875" bestFit="1" customWidth="1"/>
    <col min="9352" max="9354" width="5.85546875" customWidth="1"/>
    <col min="9355" max="9355" width="6" bestFit="1" customWidth="1"/>
    <col min="9356" max="9358" width="0" hidden="1" customWidth="1"/>
    <col min="9359" max="9359" width="6" bestFit="1" customWidth="1"/>
    <col min="9360" max="9360" width="6.85546875" bestFit="1" customWidth="1"/>
    <col min="9361" max="9361" width="7" bestFit="1" customWidth="1"/>
    <col min="9362" max="9362" width="6" bestFit="1" customWidth="1"/>
    <col min="9363" max="9363" width="4.42578125" bestFit="1" customWidth="1"/>
    <col min="9364" max="9364" width="6" bestFit="1" customWidth="1"/>
    <col min="9365" max="9365" width="6.28515625" bestFit="1" customWidth="1"/>
    <col min="9366" max="9372" width="4.85546875" bestFit="1" customWidth="1"/>
    <col min="9373" max="9373" width="5" bestFit="1" customWidth="1"/>
    <col min="9374" max="9374" width="4.85546875" bestFit="1" customWidth="1"/>
    <col min="9375" max="9375" width="4.42578125" bestFit="1" customWidth="1"/>
    <col min="9376" max="9376" width="5.140625" bestFit="1" customWidth="1"/>
    <col min="9377" max="9377" width="4.85546875" bestFit="1" customWidth="1"/>
    <col min="9378" max="9378" width="5" bestFit="1" customWidth="1"/>
    <col min="9379" max="9380" width="5.28515625" bestFit="1" customWidth="1"/>
    <col min="9381" max="9381" width="5" bestFit="1" customWidth="1"/>
    <col min="9382" max="9382" width="4.42578125" bestFit="1" customWidth="1"/>
    <col min="9383" max="9383" width="4.5703125" bestFit="1" customWidth="1"/>
    <col min="9384" max="9385" width="5.140625" bestFit="1" customWidth="1"/>
    <col min="9386" max="9386" width="4.85546875" bestFit="1" customWidth="1"/>
    <col min="9387" max="9387" width="5.42578125" bestFit="1" customWidth="1"/>
    <col min="9388" max="9388" width="0" hidden="1" customWidth="1"/>
    <col min="9389" max="9389" width="6.5703125" bestFit="1" customWidth="1"/>
    <col min="9531" max="9531" width="6" customWidth="1"/>
    <col min="9532" max="9532" width="1.5703125" bestFit="1" customWidth="1"/>
    <col min="9533" max="9533" width="5.42578125" bestFit="1" customWidth="1"/>
    <col min="9534" max="9534" width="20.28515625" customWidth="1"/>
    <col min="9535" max="9535" width="7.28515625" customWidth="1"/>
    <col min="9536" max="9536" width="5.28515625" customWidth="1"/>
    <col min="9537" max="9537" width="6.5703125" customWidth="1"/>
    <col min="9538" max="9538" width="4.42578125" customWidth="1"/>
    <col min="9539" max="9539" width="8.28515625" customWidth="1"/>
    <col min="9540" max="9540" width="4.7109375" customWidth="1"/>
    <col min="9541" max="9541" width="5.7109375" customWidth="1"/>
    <col min="9542" max="9542" width="8" customWidth="1"/>
    <col min="9543" max="9543" width="6.85546875" customWidth="1"/>
    <col min="9544" max="9544" width="6.140625" customWidth="1"/>
    <col min="9545" max="9546" width="8.28515625" customWidth="1"/>
    <col min="9547" max="9548" width="5.85546875" customWidth="1"/>
    <col min="9549" max="9549" width="7" customWidth="1"/>
    <col min="9550" max="9550" width="5.85546875" customWidth="1"/>
    <col min="9551" max="9551" width="6.42578125" customWidth="1"/>
    <col min="9552" max="9552" width="1.7109375" customWidth="1"/>
    <col min="9553" max="9554" width="6.42578125" customWidth="1"/>
    <col min="9555" max="9555" width="1.7109375" customWidth="1"/>
    <col min="9556" max="9556" width="6.42578125" customWidth="1"/>
    <col min="9557" max="9557" width="6.85546875" customWidth="1"/>
    <col min="9558" max="9558" width="5.7109375" customWidth="1"/>
    <col min="9559" max="9559" width="3.28515625" customWidth="1"/>
    <col min="9560" max="9560" width="4" customWidth="1"/>
    <col min="9561" max="9561" width="14" customWidth="1"/>
    <col min="9562" max="9562" width="9.140625" customWidth="1"/>
    <col min="9563" max="9563" width="9.5703125" customWidth="1"/>
    <col min="9564" max="9564" width="1.5703125" customWidth="1"/>
    <col min="9565" max="9565" width="5.42578125" customWidth="1"/>
    <col min="9566" max="9566" width="19.140625" customWidth="1"/>
    <col min="9567" max="9567" width="7.28515625" customWidth="1"/>
    <col min="9568" max="9568" width="5.28515625" customWidth="1"/>
    <col min="9569" max="9569" width="4" customWidth="1"/>
    <col min="9570" max="9574" width="4.85546875" customWidth="1"/>
    <col min="9575" max="9575" width="6.85546875" customWidth="1"/>
    <col min="9576" max="9576" width="5.7109375" customWidth="1"/>
    <col min="9577" max="9577" width="7.7109375" customWidth="1"/>
    <col min="9578" max="9578" width="6.85546875" customWidth="1"/>
    <col min="9579" max="9579" width="5.140625" customWidth="1"/>
    <col min="9580" max="9580" width="7.85546875" customWidth="1"/>
    <col min="9581" max="9581" width="4.42578125" customWidth="1"/>
    <col min="9582" max="9582" width="6.85546875" customWidth="1"/>
    <col min="9583" max="9584" width="8" customWidth="1"/>
    <col min="9585" max="9585" width="6" customWidth="1"/>
    <col min="9586" max="9586" width="3.140625" customWidth="1"/>
    <col min="9587" max="9587" width="6" customWidth="1"/>
    <col min="9588" max="9588" width="5.5703125" customWidth="1"/>
    <col min="9589" max="9589" width="6.7109375" customWidth="1"/>
    <col min="9590" max="9590" width="6.85546875" customWidth="1"/>
    <col min="9591" max="9591" width="8.140625" customWidth="1"/>
    <col min="9592" max="9592" width="4.42578125" customWidth="1"/>
    <col min="9593" max="9593" width="7.140625" customWidth="1"/>
    <col min="9594" max="9594" width="6.5703125" customWidth="1"/>
    <col min="9595" max="9595" width="6.42578125" customWidth="1"/>
    <col min="9596" max="9596" width="8.28515625" customWidth="1"/>
    <col min="9597" max="9597" width="5.42578125" customWidth="1"/>
    <col min="9598" max="9598" width="7.5703125" customWidth="1"/>
    <col min="9599" max="9599" width="5.140625" customWidth="1"/>
    <col min="9600" max="9602" width="9.140625" customWidth="1"/>
    <col min="9604" max="9604" width="19.7109375" customWidth="1"/>
    <col min="9605" max="9605" width="6.5703125" customWidth="1"/>
    <col min="9606" max="9606" width="3.5703125" bestFit="1" customWidth="1"/>
    <col min="9607" max="9607" width="6.85546875" bestFit="1" customWidth="1"/>
    <col min="9608" max="9610" width="5.85546875" customWidth="1"/>
    <col min="9611" max="9611" width="6" bestFit="1" customWidth="1"/>
    <col min="9612" max="9614" width="0" hidden="1" customWidth="1"/>
    <col min="9615" max="9615" width="6" bestFit="1" customWidth="1"/>
    <col min="9616" max="9616" width="6.85546875" bestFit="1" customWidth="1"/>
    <col min="9617" max="9617" width="7" bestFit="1" customWidth="1"/>
    <col min="9618" max="9618" width="6" bestFit="1" customWidth="1"/>
    <col min="9619" max="9619" width="4.42578125" bestFit="1" customWidth="1"/>
    <col min="9620" max="9620" width="6" bestFit="1" customWidth="1"/>
    <col min="9621" max="9621" width="6.28515625" bestFit="1" customWidth="1"/>
    <col min="9622" max="9628" width="4.85546875" bestFit="1" customWidth="1"/>
    <col min="9629" max="9629" width="5" bestFit="1" customWidth="1"/>
    <col min="9630" max="9630" width="4.85546875" bestFit="1" customWidth="1"/>
    <col min="9631" max="9631" width="4.42578125" bestFit="1" customWidth="1"/>
    <col min="9632" max="9632" width="5.140625" bestFit="1" customWidth="1"/>
    <col min="9633" max="9633" width="4.85546875" bestFit="1" customWidth="1"/>
    <col min="9634" max="9634" width="5" bestFit="1" customWidth="1"/>
    <col min="9635" max="9636" width="5.28515625" bestFit="1" customWidth="1"/>
    <col min="9637" max="9637" width="5" bestFit="1" customWidth="1"/>
    <col min="9638" max="9638" width="4.42578125" bestFit="1" customWidth="1"/>
    <col min="9639" max="9639" width="4.5703125" bestFit="1" customWidth="1"/>
    <col min="9640" max="9641" width="5.140625" bestFit="1" customWidth="1"/>
    <col min="9642" max="9642" width="4.85546875" bestFit="1" customWidth="1"/>
    <col min="9643" max="9643" width="5.42578125" bestFit="1" customWidth="1"/>
    <col min="9644" max="9644" width="0" hidden="1" customWidth="1"/>
    <col min="9645" max="9645" width="6.5703125" bestFit="1" customWidth="1"/>
    <col min="9787" max="9787" width="6" customWidth="1"/>
    <col min="9788" max="9788" width="1.5703125" bestFit="1" customWidth="1"/>
    <col min="9789" max="9789" width="5.42578125" bestFit="1" customWidth="1"/>
    <col min="9790" max="9790" width="20.28515625" customWidth="1"/>
    <col min="9791" max="9791" width="7.28515625" customWidth="1"/>
    <col min="9792" max="9792" width="5.28515625" customWidth="1"/>
    <col min="9793" max="9793" width="6.5703125" customWidth="1"/>
    <col min="9794" max="9794" width="4.42578125" customWidth="1"/>
    <col min="9795" max="9795" width="8.28515625" customWidth="1"/>
    <col min="9796" max="9796" width="4.7109375" customWidth="1"/>
    <col min="9797" max="9797" width="5.7109375" customWidth="1"/>
    <col min="9798" max="9798" width="8" customWidth="1"/>
    <col min="9799" max="9799" width="6.85546875" customWidth="1"/>
    <col min="9800" max="9800" width="6.140625" customWidth="1"/>
    <col min="9801" max="9802" width="8.28515625" customWidth="1"/>
    <col min="9803" max="9804" width="5.85546875" customWidth="1"/>
    <col min="9805" max="9805" width="7" customWidth="1"/>
    <col min="9806" max="9806" width="5.85546875" customWidth="1"/>
    <col min="9807" max="9807" width="6.42578125" customWidth="1"/>
    <col min="9808" max="9808" width="1.7109375" customWidth="1"/>
    <col min="9809" max="9810" width="6.42578125" customWidth="1"/>
    <col min="9811" max="9811" width="1.7109375" customWidth="1"/>
    <col min="9812" max="9812" width="6.42578125" customWidth="1"/>
    <col min="9813" max="9813" width="6.85546875" customWidth="1"/>
    <col min="9814" max="9814" width="5.7109375" customWidth="1"/>
    <col min="9815" max="9815" width="3.28515625" customWidth="1"/>
    <col min="9816" max="9816" width="4" customWidth="1"/>
    <col min="9817" max="9817" width="14" customWidth="1"/>
    <col min="9818" max="9818" width="9.140625" customWidth="1"/>
    <col min="9819" max="9819" width="9.5703125" customWidth="1"/>
    <col min="9820" max="9820" width="1.5703125" customWidth="1"/>
    <col min="9821" max="9821" width="5.42578125" customWidth="1"/>
    <col min="9822" max="9822" width="19.140625" customWidth="1"/>
    <col min="9823" max="9823" width="7.28515625" customWidth="1"/>
    <col min="9824" max="9824" width="5.28515625" customWidth="1"/>
    <col min="9825" max="9825" width="4" customWidth="1"/>
    <col min="9826" max="9830" width="4.85546875" customWidth="1"/>
    <col min="9831" max="9831" width="6.85546875" customWidth="1"/>
    <col min="9832" max="9832" width="5.7109375" customWidth="1"/>
    <col min="9833" max="9833" width="7.7109375" customWidth="1"/>
    <col min="9834" max="9834" width="6.85546875" customWidth="1"/>
    <col min="9835" max="9835" width="5.140625" customWidth="1"/>
    <col min="9836" max="9836" width="7.85546875" customWidth="1"/>
    <col min="9837" max="9837" width="4.42578125" customWidth="1"/>
    <col min="9838" max="9838" width="6.85546875" customWidth="1"/>
    <col min="9839" max="9840" width="8" customWidth="1"/>
    <col min="9841" max="9841" width="6" customWidth="1"/>
    <col min="9842" max="9842" width="3.140625" customWidth="1"/>
    <col min="9843" max="9843" width="6" customWidth="1"/>
    <col min="9844" max="9844" width="5.5703125" customWidth="1"/>
    <col min="9845" max="9845" width="6.7109375" customWidth="1"/>
    <col min="9846" max="9846" width="6.85546875" customWidth="1"/>
    <col min="9847" max="9847" width="8.140625" customWidth="1"/>
    <col min="9848" max="9848" width="4.42578125" customWidth="1"/>
    <col min="9849" max="9849" width="7.140625" customWidth="1"/>
    <col min="9850" max="9850" width="6.5703125" customWidth="1"/>
    <col min="9851" max="9851" width="6.42578125" customWidth="1"/>
    <col min="9852" max="9852" width="8.28515625" customWidth="1"/>
    <col min="9853" max="9853" width="5.42578125" customWidth="1"/>
    <col min="9854" max="9854" width="7.5703125" customWidth="1"/>
    <col min="9855" max="9855" width="5.140625" customWidth="1"/>
    <col min="9856" max="9858" width="9.140625" customWidth="1"/>
    <col min="9860" max="9860" width="19.7109375" customWidth="1"/>
    <col min="9861" max="9861" width="6.5703125" customWidth="1"/>
    <col min="9862" max="9862" width="3.5703125" bestFit="1" customWidth="1"/>
    <col min="9863" max="9863" width="6.85546875" bestFit="1" customWidth="1"/>
    <col min="9864" max="9866" width="5.85546875" customWidth="1"/>
    <col min="9867" max="9867" width="6" bestFit="1" customWidth="1"/>
    <col min="9868" max="9870" width="0" hidden="1" customWidth="1"/>
    <col min="9871" max="9871" width="6" bestFit="1" customWidth="1"/>
    <col min="9872" max="9872" width="6.85546875" bestFit="1" customWidth="1"/>
    <col min="9873" max="9873" width="7" bestFit="1" customWidth="1"/>
    <col min="9874" max="9874" width="6" bestFit="1" customWidth="1"/>
    <col min="9875" max="9875" width="4.42578125" bestFit="1" customWidth="1"/>
    <col min="9876" max="9876" width="6" bestFit="1" customWidth="1"/>
    <col min="9877" max="9877" width="6.28515625" bestFit="1" customWidth="1"/>
    <col min="9878" max="9884" width="4.85546875" bestFit="1" customWidth="1"/>
    <col min="9885" max="9885" width="5" bestFit="1" customWidth="1"/>
    <col min="9886" max="9886" width="4.85546875" bestFit="1" customWidth="1"/>
    <col min="9887" max="9887" width="4.42578125" bestFit="1" customWidth="1"/>
    <col min="9888" max="9888" width="5.140625" bestFit="1" customWidth="1"/>
    <col min="9889" max="9889" width="4.85546875" bestFit="1" customWidth="1"/>
    <col min="9890" max="9890" width="5" bestFit="1" customWidth="1"/>
    <col min="9891" max="9892" width="5.28515625" bestFit="1" customWidth="1"/>
    <col min="9893" max="9893" width="5" bestFit="1" customWidth="1"/>
    <col min="9894" max="9894" width="4.42578125" bestFit="1" customWidth="1"/>
    <col min="9895" max="9895" width="4.5703125" bestFit="1" customWidth="1"/>
    <col min="9896" max="9897" width="5.140625" bestFit="1" customWidth="1"/>
    <col min="9898" max="9898" width="4.85546875" bestFit="1" customWidth="1"/>
    <col min="9899" max="9899" width="5.42578125" bestFit="1" customWidth="1"/>
    <col min="9900" max="9900" width="0" hidden="1" customWidth="1"/>
    <col min="9901" max="9901" width="6.5703125" bestFit="1" customWidth="1"/>
    <col min="10043" max="10043" width="6" customWidth="1"/>
    <col min="10044" max="10044" width="1.5703125" bestFit="1" customWidth="1"/>
    <col min="10045" max="10045" width="5.42578125" bestFit="1" customWidth="1"/>
    <col min="10046" max="10046" width="20.28515625" customWidth="1"/>
    <col min="10047" max="10047" width="7.28515625" customWidth="1"/>
    <col min="10048" max="10048" width="5.28515625" customWidth="1"/>
    <col min="10049" max="10049" width="6.5703125" customWidth="1"/>
    <col min="10050" max="10050" width="4.42578125" customWidth="1"/>
    <col min="10051" max="10051" width="8.28515625" customWidth="1"/>
    <col min="10052" max="10052" width="4.7109375" customWidth="1"/>
    <col min="10053" max="10053" width="5.7109375" customWidth="1"/>
    <col min="10054" max="10054" width="8" customWidth="1"/>
    <col min="10055" max="10055" width="6.85546875" customWidth="1"/>
    <col min="10056" max="10056" width="6.140625" customWidth="1"/>
    <col min="10057" max="10058" width="8.28515625" customWidth="1"/>
    <col min="10059" max="10060" width="5.85546875" customWidth="1"/>
    <col min="10061" max="10061" width="7" customWidth="1"/>
    <col min="10062" max="10062" width="5.85546875" customWidth="1"/>
    <col min="10063" max="10063" width="6.42578125" customWidth="1"/>
    <col min="10064" max="10064" width="1.7109375" customWidth="1"/>
    <col min="10065" max="10066" width="6.42578125" customWidth="1"/>
    <col min="10067" max="10067" width="1.7109375" customWidth="1"/>
    <col min="10068" max="10068" width="6.42578125" customWidth="1"/>
    <col min="10069" max="10069" width="6.85546875" customWidth="1"/>
    <col min="10070" max="10070" width="5.7109375" customWidth="1"/>
    <col min="10071" max="10071" width="3.28515625" customWidth="1"/>
    <col min="10072" max="10072" width="4" customWidth="1"/>
    <col min="10073" max="10073" width="14" customWidth="1"/>
    <col min="10074" max="10074" width="9.140625" customWidth="1"/>
    <col min="10075" max="10075" width="9.5703125" customWidth="1"/>
    <col min="10076" max="10076" width="1.5703125" customWidth="1"/>
    <col min="10077" max="10077" width="5.42578125" customWidth="1"/>
    <col min="10078" max="10078" width="19.140625" customWidth="1"/>
    <col min="10079" max="10079" width="7.28515625" customWidth="1"/>
    <col min="10080" max="10080" width="5.28515625" customWidth="1"/>
    <col min="10081" max="10081" width="4" customWidth="1"/>
    <col min="10082" max="10086" width="4.85546875" customWidth="1"/>
    <col min="10087" max="10087" width="6.85546875" customWidth="1"/>
    <col min="10088" max="10088" width="5.7109375" customWidth="1"/>
    <col min="10089" max="10089" width="7.7109375" customWidth="1"/>
    <col min="10090" max="10090" width="6.85546875" customWidth="1"/>
    <col min="10091" max="10091" width="5.140625" customWidth="1"/>
    <col min="10092" max="10092" width="7.85546875" customWidth="1"/>
    <col min="10093" max="10093" width="4.42578125" customWidth="1"/>
    <col min="10094" max="10094" width="6.85546875" customWidth="1"/>
    <col min="10095" max="10096" width="8" customWidth="1"/>
    <col min="10097" max="10097" width="6" customWidth="1"/>
    <col min="10098" max="10098" width="3.140625" customWidth="1"/>
    <col min="10099" max="10099" width="6" customWidth="1"/>
    <col min="10100" max="10100" width="5.5703125" customWidth="1"/>
    <col min="10101" max="10101" width="6.7109375" customWidth="1"/>
    <col min="10102" max="10102" width="6.85546875" customWidth="1"/>
    <col min="10103" max="10103" width="8.140625" customWidth="1"/>
    <col min="10104" max="10104" width="4.42578125" customWidth="1"/>
    <col min="10105" max="10105" width="7.140625" customWidth="1"/>
    <col min="10106" max="10106" width="6.5703125" customWidth="1"/>
    <col min="10107" max="10107" width="6.42578125" customWidth="1"/>
    <col min="10108" max="10108" width="8.28515625" customWidth="1"/>
    <col min="10109" max="10109" width="5.42578125" customWidth="1"/>
    <col min="10110" max="10110" width="7.5703125" customWidth="1"/>
    <col min="10111" max="10111" width="5.140625" customWidth="1"/>
    <col min="10112" max="10114" width="9.140625" customWidth="1"/>
    <col min="10116" max="10116" width="19.7109375" customWidth="1"/>
    <col min="10117" max="10117" width="6.5703125" customWidth="1"/>
    <col min="10118" max="10118" width="3.5703125" bestFit="1" customWidth="1"/>
    <col min="10119" max="10119" width="6.85546875" bestFit="1" customWidth="1"/>
    <col min="10120" max="10122" width="5.85546875" customWidth="1"/>
    <col min="10123" max="10123" width="6" bestFit="1" customWidth="1"/>
    <col min="10124" max="10126" width="0" hidden="1" customWidth="1"/>
    <col min="10127" max="10127" width="6" bestFit="1" customWidth="1"/>
    <col min="10128" max="10128" width="6.85546875" bestFit="1" customWidth="1"/>
    <col min="10129" max="10129" width="7" bestFit="1" customWidth="1"/>
    <col min="10130" max="10130" width="6" bestFit="1" customWidth="1"/>
    <col min="10131" max="10131" width="4.42578125" bestFit="1" customWidth="1"/>
    <col min="10132" max="10132" width="6" bestFit="1" customWidth="1"/>
    <col min="10133" max="10133" width="6.28515625" bestFit="1" customWidth="1"/>
    <col min="10134" max="10140" width="4.85546875" bestFit="1" customWidth="1"/>
    <col min="10141" max="10141" width="5" bestFit="1" customWidth="1"/>
    <col min="10142" max="10142" width="4.85546875" bestFit="1" customWidth="1"/>
    <col min="10143" max="10143" width="4.42578125" bestFit="1" customWidth="1"/>
    <col min="10144" max="10144" width="5.140625" bestFit="1" customWidth="1"/>
    <col min="10145" max="10145" width="4.85546875" bestFit="1" customWidth="1"/>
    <col min="10146" max="10146" width="5" bestFit="1" customWidth="1"/>
    <col min="10147" max="10148" width="5.28515625" bestFit="1" customWidth="1"/>
    <col min="10149" max="10149" width="5" bestFit="1" customWidth="1"/>
    <col min="10150" max="10150" width="4.42578125" bestFit="1" customWidth="1"/>
    <col min="10151" max="10151" width="4.5703125" bestFit="1" customWidth="1"/>
    <col min="10152" max="10153" width="5.140625" bestFit="1" customWidth="1"/>
    <col min="10154" max="10154" width="4.85546875" bestFit="1" customWidth="1"/>
    <col min="10155" max="10155" width="5.42578125" bestFit="1" customWidth="1"/>
    <col min="10156" max="10156" width="0" hidden="1" customWidth="1"/>
    <col min="10157" max="10157" width="6.5703125" bestFit="1" customWidth="1"/>
    <col min="10299" max="10299" width="6" customWidth="1"/>
    <col min="10300" max="10300" width="1.5703125" bestFit="1" customWidth="1"/>
    <col min="10301" max="10301" width="5.42578125" bestFit="1" customWidth="1"/>
    <col min="10302" max="10302" width="20.28515625" customWidth="1"/>
    <col min="10303" max="10303" width="7.28515625" customWidth="1"/>
    <col min="10304" max="10304" width="5.28515625" customWidth="1"/>
    <col min="10305" max="10305" width="6.5703125" customWidth="1"/>
    <col min="10306" max="10306" width="4.42578125" customWidth="1"/>
    <col min="10307" max="10307" width="8.28515625" customWidth="1"/>
    <col min="10308" max="10308" width="4.7109375" customWidth="1"/>
    <col min="10309" max="10309" width="5.7109375" customWidth="1"/>
    <col min="10310" max="10310" width="8" customWidth="1"/>
    <col min="10311" max="10311" width="6.85546875" customWidth="1"/>
    <col min="10312" max="10312" width="6.140625" customWidth="1"/>
    <col min="10313" max="10314" width="8.28515625" customWidth="1"/>
    <col min="10315" max="10316" width="5.85546875" customWidth="1"/>
    <col min="10317" max="10317" width="7" customWidth="1"/>
    <col min="10318" max="10318" width="5.85546875" customWidth="1"/>
    <col min="10319" max="10319" width="6.42578125" customWidth="1"/>
    <col min="10320" max="10320" width="1.7109375" customWidth="1"/>
    <col min="10321" max="10322" width="6.42578125" customWidth="1"/>
    <col min="10323" max="10323" width="1.7109375" customWidth="1"/>
    <col min="10324" max="10324" width="6.42578125" customWidth="1"/>
    <col min="10325" max="10325" width="6.85546875" customWidth="1"/>
    <col min="10326" max="10326" width="5.7109375" customWidth="1"/>
    <col min="10327" max="10327" width="3.28515625" customWidth="1"/>
    <col min="10328" max="10328" width="4" customWidth="1"/>
    <col min="10329" max="10329" width="14" customWidth="1"/>
    <col min="10330" max="10330" width="9.140625" customWidth="1"/>
    <col min="10331" max="10331" width="9.5703125" customWidth="1"/>
    <col min="10332" max="10332" width="1.5703125" customWidth="1"/>
    <col min="10333" max="10333" width="5.42578125" customWidth="1"/>
    <col min="10334" max="10334" width="19.140625" customWidth="1"/>
    <col min="10335" max="10335" width="7.28515625" customWidth="1"/>
    <col min="10336" max="10336" width="5.28515625" customWidth="1"/>
    <col min="10337" max="10337" width="4" customWidth="1"/>
    <col min="10338" max="10342" width="4.85546875" customWidth="1"/>
    <col min="10343" max="10343" width="6.85546875" customWidth="1"/>
    <col min="10344" max="10344" width="5.7109375" customWidth="1"/>
    <col min="10345" max="10345" width="7.7109375" customWidth="1"/>
    <col min="10346" max="10346" width="6.85546875" customWidth="1"/>
    <col min="10347" max="10347" width="5.140625" customWidth="1"/>
    <col min="10348" max="10348" width="7.85546875" customWidth="1"/>
    <col min="10349" max="10349" width="4.42578125" customWidth="1"/>
    <col min="10350" max="10350" width="6.85546875" customWidth="1"/>
    <col min="10351" max="10352" width="8" customWidth="1"/>
    <col min="10353" max="10353" width="6" customWidth="1"/>
    <col min="10354" max="10354" width="3.140625" customWidth="1"/>
    <col min="10355" max="10355" width="6" customWidth="1"/>
    <col min="10356" max="10356" width="5.5703125" customWidth="1"/>
    <col min="10357" max="10357" width="6.7109375" customWidth="1"/>
    <col min="10358" max="10358" width="6.85546875" customWidth="1"/>
    <col min="10359" max="10359" width="8.140625" customWidth="1"/>
    <col min="10360" max="10360" width="4.42578125" customWidth="1"/>
    <col min="10361" max="10361" width="7.140625" customWidth="1"/>
    <col min="10362" max="10362" width="6.5703125" customWidth="1"/>
    <col min="10363" max="10363" width="6.42578125" customWidth="1"/>
    <col min="10364" max="10364" width="8.28515625" customWidth="1"/>
    <col min="10365" max="10365" width="5.42578125" customWidth="1"/>
    <col min="10366" max="10366" width="7.5703125" customWidth="1"/>
    <col min="10367" max="10367" width="5.140625" customWidth="1"/>
    <col min="10368" max="10370" width="9.140625" customWidth="1"/>
    <col min="10372" max="10372" width="19.7109375" customWidth="1"/>
    <col min="10373" max="10373" width="6.5703125" customWidth="1"/>
    <col min="10374" max="10374" width="3.5703125" bestFit="1" customWidth="1"/>
    <col min="10375" max="10375" width="6.85546875" bestFit="1" customWidth="1"/>
    <col min="10376" max="10378" width="5.85546875" customWidth="1"/>
    <col min="10379" max="10379" width="6" bestFit="1" customWidth="1"/>
    <col min="10380" max="10382" width="0" hidden="1" customWidth="1"/>
    <col min="10383" max="10383" width="6" bestFit="1" customWidth="1"/>
    <col min="10384" max="10384" width="6.85546875" bestFit="1" customWidth="1"/>
    <col min="10385" max="10385" width="7" bestFit="1" customWidth="1"/>
    <col min="10386" max="10386" width="6" bestFit="1" customWidth="1"/>
    <col min="10387" max="10387" width="4.42578125" bestFit="1" customWidth="1"/>
    <col min="10388" max="10388" width="6" bestFit="1" customWidth="1"/>
    <col min="10389" max="10389" width="6.28515625" bestFit="1" customWidth="1"/>
    <col min="10390" max="10396" width="4.85546875" bestFit="1" customWidth="1"/>
    <col min="10397" max="10397" width="5" bestFit="1" customWidth="1"/>
    <col min="10398" max="10398" width="4.85546875" bestFit="1" customWidth="1"/>
    <col min="10399" max="10399" width="4.42578125" bestFit="1" customWidth="1"/>
    <col min="10400" max="10400" width="5.140625" bestFit="1" customWidth="1"/>
    <col min="10401" max="10401" width="4.85546875" bestFit="1" customWidth="1"/>
    <col min="10402" max="10402" width="5" bestFit="1" customWidth="1"/>
    <col min="10403" max="10404" width="5.28515625" bestFit="1" customWidth="1"/>
    <col min="10405" max="10405" width="5" bestFit="1" customWidth="1"/>
    <col min="10406" max="10406" width="4.42578125" bestFit="1" customWidth="1"/>
    <col min="10407" max="10407" width="4.5703125" bestFit="1" customWidth="1"/>
    <col min="10408" max="10409" width="5.140625" bestFit="1" customWidth="1"/>
    <col min="10410" max="10410" width="4.85546875" bestFit="1" customWidth="1"/>
    <col min="10411" max="10411" width="5.42578125" bestFit="1" customWidth="1"/>
    <col min="10412" max="10412" width="0" hidden="1" customWidth="1"/>
    <col min="10413" max="10413" width="6.5703125" bestFit="1" customWidth="1"/>
    <col min="10555" max="10555" width="6" customWidth="1"/>
    <col min="10556" max="10556" width="1.5703125" bestFit="1" customWidth="1"/>
    <col min="10557" max="10557" width="5.42578125" bestFit="1" customWidth="1"/>
    <col min="10558" max="10558" width="20.28515625" customWidth="1"/>
    <col min="10559" max="10559" width="7.28515625" customWidth="1"/>
    <col min="10560" max="10560" width="5.28515625" customWidth="1"/>
    <col min="10561" max="10561" width="6.5703125" customWidth="1"/>
    <col min="10562" max="10562" width="4.42578125" customWidth="1"/>
    <col min="10563" max="10563" width="8.28515625" customWidth="1"/>
    <col min="10564" max="10564" width="4.7109375" customWidth="1"/>
    <col min="10565" max="10565" width="5.7109375" customWidth="1"/>
    <col min="10566" max="10566" width="8" customWidth="1"/>
    <col min="10567" max="10567" width="6.85546875" customWidth="1"/>
    <col min="10568" max="10568" width="6.140625" customWidth="1"/>
    <col min="10569" max="10570" width="8.28515625" customWidth="1"/>
    <col min="10571" max="10572" width="5.85546875" customWidth="1"/>
    <col min="10573" max="10573" width="7" customWidth="1"/>
    <col min="10574" max="10574" width="5.85546875" customWidth="1"/>
    <col min="10575" max="10575" width="6.42578125" customWidth="1"/>
    <col min="10576" max="10576" width="1.7109375" customWidth="1"/>
    <col min="10577" max="10578" width="6.42578125" customWidth="1"/>
    <col min="10579" max="10579" width="1.7109375" customWidth="1"/>
    <col min="10580" max="10580" width="6.42578125" customWidth="1"/>
    <col min="10581" max="10581" width="6.85546875" customWidth="1"/>
    <col min="10582" max="10582" width="5.7109375" customWidth="1"/>
    <col min="10583" max="10583" width="3.28515625" customWidth="1"/>
    <col min="10584" max="10584" width="4" customWidth="1"/>
    <col min="10585" max="10585" width="14" customWidth="1"/>
    <col min="10586" max="10586" width="9.140625" customWidth="1"/>
    <col min="10587" max="10587" width="9.5703125" customWidth="1"/>
    <col min="10588" max="10588" width="1.5703125" customWidth="1"/>
    <col min="10589" max="10589" width="5.42578125" customWidth="1"/>
    <col min="10590" max="10590" width="19.140625" customWidth="1"/>
    <col min="10591" max="10591" width="7.28515625" customWidth="1"/>
    <col min="10592" max="10592" width="5.28515625" customWidth="1"/>
    <col min="10593" max="10593" width="4" customWidth="1"/>
    <col min="10594" max="10598" width="4.85546875" customWidth="1"/>
    <col min="10599" max="10599" width="6.85546875" customWidth="1"/>
    <col min="10600" max="10600" width="5.7109375" customWidth="1"/>
    <col min="10601" max="10601" width="7.7109375" customWidth="1"/>
    <col min="10602" max="10602" width="6.85546875" customWidth="1"/>
    <col min="10603" max="10603" width="5.140625" customWidth="1"/>
    <col min="10604" max="10604" width="7.85546875" customWidth="1"/>
    <col min="10605" max="10605" width="4.42578125" customWidth="1"/>
    <col min="10606" max="10606" width="6.85546875" customWidth="1"/>
    <col min="10607" max="10608" width="8" customWidth="1"/>
    <col min="10609" max="10609" width="6" customWidth="1"/>
    <col min="10610" max="10610" width="3.140625" customWidth="1"/>
    <col min="10611" max="10611" width="6" customWidth="1"/>
    <col min="10612" max="10612" width="5.5703125" customWidth="1"/>
    <col min="10613" max="10613" width="6.7109375" customWidth="1"/>
    <col min="10614" max="10614" width="6.85546875" customWidth="1"/>
    <col min="10615" max="10615" width="8.140625" customWidth="1"/>
    <col min="10616" max="10616" width="4.42578125" customWidth="1"/>
    <col min="10617" max="10617" width="7.140625" customWidth="1"/>
    <col min="10618" max="10618" width="6.5703125" customWidth="1"/>
    <col min="10619" max="10619" width="6.42578125" customWidth="1"/>
    <col min="10620" max="10620" width="8.28515625" customWidth="1"/>
    <col min="10621" max="10621" width="5.42578125" customWidth="1"/>
    <col min="10622" max="10622" width="7.5703125" customWidth="1"/>
    <col min="10623" max="10623" width="5.140625" customWidth="1"/>
    <col min="10624" max="10626" width="9.140625" customWidth="1"/>
    <col min="10628" max="10628" width="19.7109375" customWidth="1"/>
    <col min="10629" max="10629" width="6.5703125" customWidth="1"/>
    <col min="10630" max="10630" width="3.5703125" bestFit="1" customWidth="1"/>
    <col min="10631" max="10631" width="6.85546875" bestFit="1" customWidth="1"/>
    <col min="10632" max="10634" width="5.85546875" customWidth="1"/>
    <col min="10635" max="10635" width="6" bestFit="1" customWidth="1"/>
    <col min="10636" max="10638" width="0" hidden="1" customWidth="1"/>
    <col min="10639" max="10639" width="6" bestFit="1" customWidth="1"/>
    <col min="10640" max="10640" width="6.85546875" bestFit="1" customWidth="1"/>
    <col min="10641" max="10641" width="7" bestFit="1" customWidth="1"/>
    <col min="10642" max="10642" width="6" bestFit="1" customWidth="1"/>
    <col min="10643" max="10643" width="4.42578125" bestFit="1" customWidth="1"/>
    <col min="10644" max="10644" width="6" bestFit="1" customWidth="1"/>
    <col min="10645" max="10645" width="6.28515625" bestFit="1" customWidth="1"/>
    <col min="10646" max="10652" width="4.85546875" bestFit="1" customWidth="1"/>
    <col min="10653" max="10653" width="5" bestFit="1" customWidth="1"/>
    <col min="10654" max="10654" width="4.85546875" bestFit="1" customWidth="1"/>
    <col min="10655" max="10655" width="4.42578125" bestFit="1" customWidth="1"/>
    <col min="10656" max="10656" width="5.140625" bestFit="1" customWidth="1"/>
    <col min="10657" max="10657" width="4.85546875" bestFit="1" customWidth="1"/>
    <col min="10658" max="10658" width="5" bestFit="1" customWidth="1"/>
    <col min="10659" max="10660" width="5.28515625" bestFit="1" customWidth="1"/>
    <col min="10661" max="10661" width="5" bestFit="1" customWidth="1"/>
    <col min="10662" max="10662" width="4.42578125" bestFit="1" customWidth="1"/>
    <col min="10663" max="10663" width="4.5703125" bestFit="1" customWidth="1"/>
    <col min="10664" max="10665" width="5.140625" bestFit="1" customWidth="1"/>
    <col min="10666" max="10666" width="4.85546875" bestFit="1" customWidth="1"/>
    <col min="10667" max="10667" width="5.42578125" bestFit="1" customWidth="1"/>
    <col min="10668" max="10668" width="0" hidden="1" customWidth="1"/>
    <col min="10669" max="10669" width="6.5703125" bestFit="1" customWidth="1"/>
    <col min="10811" max="10811" width="6" customWidth="1"/>
    <col min="10812" max="10812" width="1.5703125" bestFit="1" customWidth="1"/>
    <col min="10813" max="10813" width="5.42578125" bestFit="1" customWidth="1"/>
    <col min="10814" max="10814" width="20.28515625" customWidth="1"/>
    <col min="10815" max="10815" width="7.28515625" customWidth="1"/>
    <col min="10816" max="10816" width="5.28515625" customWidth="1"/>
    <col min="10817" max="10817" width="6.5703125" customWidth="1"/>
    <col min="10818" max="10818" width="4.42578125" customWidth="1"/>
    <col min="10819" max="10819" width="8.28515625" customWidth="1"/>
    <col min="10820" max="10820" width="4.7109375" customWidth="1"/>
    <col min="10821" max="10821" width="5.7109375" customWidth="1"/>
    <col min="10822" max="10822" width="8" customWidth="1"/>
    <col min="10823" max="10823" width="6.85546875" customWidth="1"/>
    <col min="10824" max="10824" width="6.140625" customWidth="1"/>
    <col min="10825" max="10826" width="8.28515625" customWidth="1"/>
    <col min="10827" max="10828" width="5.85546875" customWidth="1"/>
    <col min="10829" max="10829" width="7" customWidth="1"/>
    <col min="10830" max="10830" width="5.85546875" customWidth="1"/>
    <col min="10831" max="10831" width="6.42578125" customWidth="1"/>
    <col min="10832" max="10832" width="1.7109375" customWidth="1"/>
    <col min="10833" max="10834" width="6.42578125" customWidth="1"/>
    <col min="10835" max="10835" width="1.7109375" customWidth="1"/>
    <col min="10836" max="10836" width="6.42578125" customWidth="1"/>
    <col min="10837" max="10837" width="6.85546875" customWidth="1"/>
    <col min="10838" max="10838" width="5.7109375" customWidth="1"/>
    <col min="10839" max="10839" width="3.28515625" customWidth="1"/>
    <col min="10840" max="10840" width="4" customWidth="1"/>
    <col min="10841" max="10841" width="14" customWidth="1"/>
    <col min="10842" max="10842" width="9.140625" customWidth="1"/>
    <col min="10843" max="10843" width="9.5703125" customWidth="1"/>
    <col min="10844" max="10844" width="1.5703125" customWidth="1"/>
    <col min="10845" max="10845" width="5.42578125" customWidth="1"/>
    <col min="10846" max="10846" width="19.140625" customWidth="1"/>
    <col min="10847" max="10847" width="7.28515625" customWidth="1"/>
    <col min="10848" max="10848" width="5.28515625" customWidth="1"/>
    <col min="10849" max="10849" width="4" customWidth="1"/>
    <col min="10850" max="10854" width="4.85546875" customWidth="1"/>
    <col min="10855" max="10855" width="6.85546875" customWidth="1"/>
    <col min="10856" max="10856" width="5.7109375" customWidth="1"/>
    <col min="10857" max="10857" width="7.7109375" customWidth="1"/>
    <col min="10858" max="10858" width="6.85546875" customWidth="1"/>
    <col min="10859" max="10859" width="5.140625" customWidth="1"/>
    <col min="10860" max="10860" width="7.85546875" customWidth="1"/>
    <col min="10861" max="10861" width="4.42578125" customWidth="1"/>
    <col min="10862" max="10862" width="6.85546875" customWidth="1"/>
    <col min="10863" max="10864" width="8" customWidth="1"/>
    <col min="10865" max="10865" width="6" customWidth="1"/>
    <col min="10866" max="10866" width="3.140625" customWidth="1"/>
    <col min="10867" max="10867" width="6" customWidth="1"/>
    <col min="10868" max="10868" width="5.5703125" customWidth="1"/>
    <col min="10869" max="10869" width="6.7109375" customWidth="1"/>
    <col min="10870" max="10870" width="6.85546875" customWidth="1"/>
    <col min="10871" max="10871" width="8.140625" customWidth="1"/>
    <col min="10872" max="10872" width="4.42578125" customWidth="1"/>
    <col min="10873" max="10873" width="7.140625" customWidth="1"/>
    <col min="10874" max="10874" width="6.5703125" customWidth="1"/>
    <col min="10875" max="10875" width="6.42578125" customWidth="1"/>
    <col min="10876" max="10876" width="8.28515625" customWidth="1"/>
    <col min="10877" max="10877" width="5.42578125" customWidth="1"/>
    <col min="10878" max="10878" width="7.5703125" customWidth="1"/>
    <col min="10879" max="10879" width="5.140625" customWidth="1"/>
    <col min="10880" max="10882" width="9.140625" customWidth="1"/>
    <col min="10884" max="10884" width="19.7109375" customWidth="1"/>
    <col min="10885" max="10885" width="6.5703125" customWidth="1"/>
    <col min="10886" max="10886" width="3.5703125" bestFit="1" customWidth="1"/>
    <col min="10887" max="10887" width="6.85546875" bestFit="1" customWidth="1"/>
    <col min="10888" max="10890" width="5.85546875" customWidth="1"/>
    <col min="10891" max="10891" width="6" bestFit="1" customWidth="1"/>
    <col min="10892" max="10894" width="0" hidden="1" customWidth="1"/>
    <col min="10895" max="10895" width="6" bestFit="1" customWidth="1"/>
    <col min="10896" max="10896" width="6.85546875" bestFit="1" customWidth="1"/>
    <col min="10897" max="10897" width="7" bestFit="1" customWidth="1"/>
    <col min="10898" max="10898" width="6" bestFit="1" customWidth="1"/>
    <col min="10899" max="10899" width="4.42578125" bestFit="1" customWidth="1"/>
    <col min="10900" max="10900" width="6" bestFit="1" customWidth="1"/>
    <col min="10901" max="10901" width="6.28515625" bestFit="1" customWidth="1"/>
    <col min="10902" max="10908" width="4.85546875" bestFit="1" customWidth="1"/>
    <col min="10909" max="10909" width="5" bestFit="1" customWidth="1"/>
    <col min="10910" max="10910" width="4.85546875" bestFit="1" customWidth="1"/>
    <col min="10911" max="10911" width="4.42578125" bestFit="1" customWidth="1"/>
    <col min="10912" max="10912" width="5.140625" bestFit="1" customWidth="1"/>
    <col min="10913" max="10913" width="4.85546875" bestFit="1" customWidth="1"/>
    <col min="10914" max="10914" width="5" bestFit="1" customWidth="1"/>
    <col min="10915" max="10916" width="5.28515625" bestFit="1" customWidth="1"/>
    <col min="10917" max="10917" width="5" bestFit="1" customWidth="1"/>
    <col min="10918" max="10918" width="4.42578125" bestFit="1" customWidth="1"/>
    <col min="10919" max="10919" width="4.5703125" bestFit="1" customWidth="1"/>
    <col min="10920" max="10921" width="5.140625" bestFit="1" customWidth="1"/>
    <col min="10922" max="10922" width="4.85546875" bestFit="1" customWidth="1"/>
    <col min="10923" max="10923" width="5.42578125" bestFit="1" customWidth="1"/>
    <col min="10924" max="10924" width="0" hidden="1" customWidth="1"/>
    <col min="10925" max="10925" width="6.5703125" bestFit="1" customWidth="1"/>
    <col min="11067" max="11067" width="6" customWidth="1"/>
    <col min="11068" max="11068" width="1.5703125" bestFit="1" customWidth="1"/>
    <col min="11069" max="11069" width="5.42578125" bestFit="1" customWidth="1"/>
    <col min="11070" max="11070" width="20.28515625" customWidth="1"/>
    <col min="11071" max="11071" width="7.28515625" customWidth="1"/>
    <col min="11072" max="11072" width="5.28515625" customWidth="1"/>
    <col min="11073" max="11073" width="6.5703125" customWidth="1"/>
    <col min="11074" max="11074" width="4.42578125" customWidth="1"/>
    <col min="11075" max="11075" width="8.28515625" customWidth="1"/>
    <col min="11076" max="11076" width="4.7109375" customWidth="1"/>
    <col min="11077" max="11077" width="5.7109375" customWidth="1"/>
    <col min="11078" max="11078" width="8" customWidth="1"/>
    <col min="11079" max="11079" width="6.85546875" customWidth="1"/>
    <col min="11080" max="11080" width="6.140625" customWidth="1"/>
    <col min="11081" max="11082" width="8.28515625" customWidth="1"/>
    <col min="11083" max="11084" width="5.85546875" customWidth="1"/>
    <col min="11085" max="11085" width="7" customWidth="1"/>
    <col min="11086" max="11086" width="5.85546875" customWidth="1"/>
    <col min="11087" max="11087" width="6.42578125" customWidth="1"/>
    <col min="11088" max="11088" width="1.7109375" customWidth="1"/>
    <col min="11089" max="11090" width="6.42578125" customWidth="1"/>
    <col min="11091" max="11091" width="1.7109375" customWidth="1"/>
    <col min="11092" max="11092" width="6.42578125" customWidth="1"/>
    <col min="11093" max="11093" width="6.85546875" customWidth="1"/>
    <col min="11094" max="11094" width="5.7109375" customWidth="1"/>
    <col min="11095" max="11095" width="3.28515625" customWidth="1"/>
    <col min="11096" max="11096" width="4" customWidth="1"/>
    <col min="11097" max="11097" width="14" customWidth="1"/>
    <col min="11098" max="11098" width="9.140625" customWidth="1"/>
    <col min="11099" max="11099" width="9.5703125" customWidth="1"/>
    <col min="11100" max="11100" width="1.5703125" customWidth="1"/>
    <col min="11101" max="11101" width="5.42578125" customWidth="1"/>
    <col min="11102" max="11102" width="19.140625" customWidth="1"/>
    <col min="11103" max="11103" width="7.28515625" customWidth="1"/>
    <col min="11104" max="11104" width="5.28515625" customWidth="1"/>
    <col min="11105" max="11105" width="4" customWidth="1"/>
    <col min="11106" max="11110" width="4.85546875" customWidth="1"/>
    <col min="11111" max="11111" width="6.85546875" customWidth="1"/>
    <col min="11112" max="11112" width="5.7109375" customWidth="1"/>
    <col min="11113" max="11113" width="7.7109375" customWidth="1"/>
    <col min="11114" max="11114" width="6.85546875" customWidth="1"/>
    <col min="11115" max="11115" width="5.140625" customWidth="1"/>
    <col min="11116" max="11116" width="7.85546875" customWidth="1"/>
    <col min="11117" max="11117" width="4.42578125" customWidth="1"/>
    <col min="11118" max="11118" width="6.85546875" customWidth="1"/>
    <col min="11119" max="11120" width="8" customWidth="1"/>
    <col min="11121" max="11121" width="6" customWidth="1"/>
    <col min="11122" max="11122" width="3.140625" customWidth="1"/>
    <col min="11123" max="11123" width="6" customWidth="1"/>
    <col min="11124" max="11124" width="5.5703125" customWidth="1"/>
    <col min="11125" max="11125" width="6.7109375" customWidth="1"/>
    <col min="11126" max="11126" width="6.85546875" customWidth="1"/>
    <col min="11127" max="11127" width="8.140625" customWidth="1"/>
    <col min="11128" max="11128" width="4.42578125" customWidth="1"/>
    <col min="11129" max="11129" width="7.140625" customWidth="1"/>
    <col min="11130" max="11130" width="6.5703125" customWidth="1"/>
    <col min="11131" max="11131" width="6.42578125" customWidth="1"/>
    <col min="11132" max="11132" width="8.28515625" customWidth="1"/>
    <col min="11133" max="11133" width="5.42578125" customWidth="1"/>
    <col min="11134" max="11134" width="7.5703125" customWidth="1"/>
    <col min="11135" max="11135" width="5.140625" customWidth="1"/>
    <col min="11136" max="11138" width="9.140625" customWidth="1"/>
    <col min="11140" max="11140" width="19.7109375" customWidth="1"/>
    <col min="11141" max="11141" width="6.5703125" customWidth="1"/>
    <col min="11142" max="11142" width="3.5703125" bestFit="1" customWidth="1"/>
    <col min="11143" max="11143" width="6.85546875" bestFit="1" customWidth="1"/>
    <col min="11144" max="11146" width="5.85546875" customWidth="1"/>
    <col min="11147" max="11147" width="6" bestFit="1" customWidth="1"/>
    <col min="11148" max="11150" width="0" hidden="1" customWidth="1"/>
    <col min="11151" max="11151" width="6" bestFit="1" customWidth="1"/>
    <col min="11152" max="11152" width="6.85546875" bestFit="1" customWidth="1"/>
    <col min="11153" max="11153" width="7" bestFit="1" customWidth="1"/>
    <col min="11154" max="11154" width="6" bestFit="1" customWidth="1"/>
    <col min="11155" max="11155" width="4.42578125" bestFit="1" customWidth="1"/>
    <col min="11156" max="11156" width="6" bestFit="1" customWidth="1"/>
    <col min="11157" max="11157" width="6.28515625" bestFit="1" customWidth="1"/>
    <col min="11158" max="11164" width="4.85546875" bestFit="1" customWidth="1"/>
    <col min="11165" max="11165" width="5" bestFit="1" customWidth="1"/>
    <col min="11166" max="11166" width="4.85546875" bestFit="1" customWidth="1"/>
    <col min="11167" max="11167" width="4.42578125" bestFit="1" customWidth="1"/>
    <col min="11168" max="11168" width="5.140625" bestFit="1" customWidth="1"/>
    <col min="11169" max="11169" width="4.85546875" bestFit="1" customWidth="1"/>
    <col min="11170" max="11170" width="5" bestFit="1" customWidth="1"/>
    <col min="11171" max="11172" width="5.28515625" bestFit="1" customWidth="1"/>
    <col min="11173" max="11173" width="5" bestFit="1" customWidth="1"/>
    <col min="11174" max="11174" width="4.42578125" bestFit="1" customWidth="1"/>
    <col min="11175" max="11175" width="4.5703125" bestFit="1" customWidth="1"/>
    <col min="11176" max="11177" width="5.140625" bestFit="1" customWidth="1"/>
    <col min="11178" max="11178" width="4.85546875" bestFit="1" customWidth="1"/>
    <col min="11179" max="11179" width="5.42578125" bestFit="1" customWidth="1"/>
    <col min="11180" max="11180" width="0" hidden="1" customWidth="1"/>
    <col min="11181" max="11181" width="6.5703125" bestFit="1" customWidth="1"/>
    <col min="11323" max="11323" width="6" customWidth="1"/>
    <col min="11324" max="11324" width="1.5703125" bestFit="1" customWidth="1"/>
    <col min="11325" max="11325" width="5.42578125" bestFit="1" customWidth="1"/>
    <col min="11326" max="11326" width="20.28515625" customWidth="1"/>
    <col min="11327" max="11327" width="7.28515625" customWidth="1"/>
    <col min="11328" max="11328" width="5.28515625" customWidth="1"/>
    <col min="11329" max="11329" width="6.5703125" customWidth="1"/>
    <col min="11330" max="11330" width="4.42578125" customWidth="1"/>
    <col min="11331" max="11331" width="8.28515625" customWidth="1"/>
    <col min="11332" max="11332" width="4.7109375" customWidth="1"/>
    <col min="11333" max="11333" width="5.7109375" customWidth="1"/>
    <col min="11334" max="11334" width="8" customWidth="1"/>
    <col min="11335" max="11335" width="6.85546875" customWidth="1"/>
    <col min="11336" max="11336" width="6.140625" customWidth="1"/>
    <col min="11337" max="11338" width="8.28515625" customWidth="1"/>
    <col min="11339" max="11340" width="5.85546875" customWidth="1"/>
    <col min="11341" max="11341" width="7" customWidth="1"/>
    <col min="11342" max="11342" width="5.85546875" customWidth="1"/>
    <col min="11343" max="11343" width="6.42578125" customWidth="1"/>
    <col min="11344" max="11344" width="1.7109375" customWidth="1"/>
    <col min="11345" max="11346" width="6.42578125" customWidth="1"/>
    <col min="11347" max="11347" width="1.7109375" customWidth="1"/>
    <col min="11348" max="11348" width="6.42578125" customWidth="1"/>
    <col min="11349" max="11349" width="6.85546875" customWidth="1"/>
    <col min="11350" max="11350" width="5.7109375" customWidth="1"/>
    <col min="11351" max="11351" width="3.28515625" customWidth="1"/>
    <col min="11352" max="11352" width="4" customWidth="1"/>
    <col min="11353" max="11353" width="14" customWidth="1"/>
    <col min="11354" max="11354" width="9.140625" customWidth="1"/>
    <col min="11355" max="11355" width="9.5703125" customWidth="1"/>
    <col min="11356" max="11356" width="1.5703125" customWidth="1"/>
    <col min="11357" max="11357" width="5.42578125" customWidth="1"/>
    <col min="11358" max="11358" width="19.140625" customWidth="1"/>
    <col min="11359" max="11359" width="7.28515625" customWidth="1"/>
    <col min="11360" max="11360" width="5.28515625" customWidth="1"/>
    <col min="11361" max="11361" width="4" customWidth="1"/>
    <col min="11362" max="11366" width="4.85546875" customWidth="1"/>
    <col min="11367" max="11367" width="6.85546875" customWidth="1"/>
    <col min="11368" max="11368" width="5.7109375" customWidth="1"/>
    <col min="11369" max="11369" width="7.7109375" customWidth="1"/>
    <col min="11370" max="11370" width="6.85546875" customWidth="1"/>
    <col min="11371" max="11371" width="5.140625" customWidth="1"/>
    <col min="11372" max="11372" width="7.85546875" customWidth="1"/>
    <col min="11373" max="11373" width="4.42578125" customWidth="1"/>
    <col min="11374" max="11374" width="6.85546875" customWidth="1"/>
    <col min="11375" max="11376" width="8" customWidth="1"/>
    <col min="11377" max="11377" width="6" customWidth="1"/>
    <col min="11378" max="11378" width="3.140625" customWidth="1"/>
    <col min="11379" max="11379" width="6" customWidth="1"/>
    <col min="11380" max="11380" width="5.5703125" customWidth="1"/>
    <col min="11381" max="11381" width="6.7109375" customWidth="1"/>
    <col min="11382" max="11382" width="6.85546875" customWidth="1"/>
    <col min="11383" max="11383" width="8.140625" customWidth="1"/>
    <col min="11384" max="11384" width="4.42578125" customWidth="1"/>
    <col min="11385" max="11385" width="7.140625" customWidth="1"/>
    <col min="11386" max="11386" width="6.5703125" customWidth="1"/>
    <col min="11387" max="11387" width="6.42578125" customWidth="1"/>
    <col min="11388" max="11388" width="8.28515625" customWidth="1"/>
    <col min="11389" max="11389" width="5.42578125" customWidth="1"/>
    <col min="11390" max="11390" width="7.5703125" customWidth="1"/>
    <col min="11391" max="11391" width="5.140625" customWidth="1"/>
    <col min="11392" max="11394" width="9.140625" customWidth="1"/>
    <col min="11396" max="11396" width="19.7109375" customWidth="1"/>
    <col min="11397" max="11397" width="6.5703125" customWidth="1"/>
    <col min="11398" max="11398" width="3.5703125" bestFit="1" customWidth="1"/>
    <col min="11399" max="11399" width="6.85546875" bestFit="1" customWidth="1"/>
    <col min="11400" max="11402" width="5.85546875" customWidth="1"/>
    <col min="11403" max="11403" width="6" bestFit="1" customWidth="1"/>
    <col min="11404" max="11406" width="0" hidden="1" customWidth="1"/>
    <col min="11407" max="11407" width="6" bestFit="1" customWidth="1"/>
    <col min="11408" max="11408" width="6.85546875" bestFit="1" customWidth="1"/>
    <col min="11409" max="11409" width="7" bestFit="1" customWidth="1"/>
    <col min="11410" max="11410" width="6" bestFit="1" customWidth="1"/>
    <col min="11411" max="11411" width="4.42578125" bestFit="1" customWidth="1"/>
    <col min="11412" max="11412" width="6" bestFit="1" customWidth="1"/>
    <col min="11413" max="11413" width="6.28515625" bestFit="1" customWidth="1"/>
    <col min="11414" max="11420" width="4.85546875" bestFit="1" customWidth="1"/>
    <col min="11421" max="11421" width="5" bestFit="1" customWidth="1"/>
    <col min="11422" max="11422" width="4.85546875" bestFit="1" customWidth="1"/>
    <col min="11423" max="11423" width="4.42578125" bestFit="1" customWidth="1"/>
    <col min="11424" max="11424" width="5.140625" bestFit="1" customWidth="1"/>
    <col min="11425" max="11425" width="4.85546875" bestFit="1" customWidth="1"/>
    <col min="11426" max="11426" width="5" bestFit="1" customWidth="1"/>
    <col min="11427" max="11428" width="5.28515625" bestFit="1" customWidth="1"/>
    <col min="11429" max="11429" width="5" bestFit="1" customWidth="1"/>
    <col min="11430" max="11430" width="4.42578125" bestFit="1" customWidth="1"/>
    <col min="11431" max="11431" width="4.5703125" bestFit="1" customWidth="1"/>
    <col min="11432" max="11433" width="5.140625" bestFit="1" customWidth="1"/>
    <col min="11434" max="11434" width="4.85546875" bestFit="1" customWidth="1"/>
    <col min="11435" max="11435" width="5.42578125" bestFit="1" customWidth="1"/>
    <col min="11436" max="11436" width="0" hidden="1" customWidth="1"/>
    <col min="11437" max="11437" width="6.5703125" bestFit="1" customWidth="1"/>
    <col min="11579" max="11579" width="6" customWidth="1"/>
    <col min="11580" max="11580" width="1.5703125" bestFit="1" customWidth="1"/>
    <col min="11581" max="11581" width="5.42578125" bestFit="1" customWidth="1"/>
    <col min="11582" max="11582" width="20.28515625" customWidth="1"/>
    <col min="11583" max="11583" width="7.28515625" customWidth="1"/>
    <col min="11584" max="11584" width="5.28515625" customWidth="1"/>
    <col min="11585" max="11585" width="6.5703125" customWidth="1"/>
    <col min="11586" max="11586" width="4.42578125" customWidth="1"/>
    <col min="11587" max="11587" width="8.28515625" customWidth="1"/>
    <col min="11588" max="11588" width="4.7109375" customWidth="1"/>
    <col min="11589" max="11589" width="5.7109375" customWidth="1"/>
    <col min="11590" max="11590" width="8" customWidth="1"/>
    <col min="11591" max="11591" width="6.85546875" customWidth="1"/>
    <col min="11592" max="11592" width="6.140625" customWidth="1"/>
    <col min="11593" max="11594" width="8.28515625" customWidth="1"/>
    <col min="11595" max="11596" width="5.85546875" customWidth="1"/>
    <col min="11597" max="11597" width="7" customWidth="1"/>
    <col min="11598" max="11598" width="5.85546875" customWidth="1"/>
    <col min="11599" max="11599" width="6.42578125" customWidth="1"/>
    <col min="11600" max="11600" width="1.7109375" customWidth="1"/>
    <col min="11601" max="11602" width="6.42578125" customWidth="1"/>
    <col min="11603" max="11603" width="1.7109375" customWidth="1"/>
    <col min="11604" max="11604" width="6.42578125" customWidth="1"/>
    <col min="11605" max="11605" width="6.85546875" customWidth="1"/>
    <col min="11606" max="11606" width="5.7109375" customWidth="1"/>
    <col min="11607" max="11607" width="3.28515625" customWidth="1"/>
    <col min="11608" max="11608" width="4" customWidth="1"/>
    <col min="11609" max="11609" width="14" customWidth="1"/>
    <col min="11610" max="11610" width="9.140625" customWidth="1"/>
    <col min="11611" max="11611" width="9.5703125" customWidth="1"/>
    <col min="11612" max="11612" width="1.5703125" customWidth="1"/>
    <col min="11613" max="11613" width="5.42578125" customWidth="1"/>
    <col min="11614" max="11614" width="19.140625" customWidth="1"/>
    <col min="11615" max="11615" width="7.28515625" customWidth="1"/>
    <col min="11616" max="11616" width="5.28515625" customWidth="1"/>
    <col min="11617" max="11617" width="4" customWidth="1"/>
    <col min="11618" max="11622" width="4.85546875" customWidth="1"/>
    <col min="11623" max="11623" width="6.85546875" customWidth="1"/>
    <col min="11624" max="11624" width="5.7109375" customWidth="1"/>
    <col min="11625" max="11625" width="7.7109375" customWidth="1"/>
    <col min="11626" max="11626" width="6.85546875" customWidth="1"/>
    <col min="11627" max="11627" width="5.140625" customWidth="1"/>
    <col min="11628" max="11628" width="7.85546875" customWidth="1"/>
    <col min="11629" max="11629" width="4.42578125" customWidth="1"/>
    <col min="11630" max="11630" width="6.85546875" customWidth="1"/>
    <col min="11631" max="11632" width="8" customWidth="1"/>
    <col min="11633" max="11633" width="6" customWidth="1"/>
    <col min="11634" max="11634" width="3.140625" customWidth="1"/>
    <col min="11635" max="11635" width="6" customWidth="1"/>
    <col min="11636" max="11636" width="5.5703125" customWidth="1"/>
    <col min="11637" max="11637" width="6.7109375" customWidth="1"/>
    <col min="11638" max="11638" width="6.85546875" customWidth="1"/>
    <col min="11639" max="11639" width="8.140625" customWidth="1"/>
    <col min="11640" max="11640" width="4.42578125" customWidth="1"/>
    <col min="11641" max="11641" width="7.140625" customWidth="1"/>
    <col min="11642" max="11642" width="6.5703125" customWidth="1"/>
    <col min="11643" max="11643" width="6.42578125" customWidth="1"/>
    <col min="11644" max="11644" width="8.28515625" customWidth="1"/>
    <col min="11645" max="11645" width="5.42578125" customWidth="1"/>
    <col min="11646" max="11646" width="7.5703125" customWidth="1"/>
    <col min="11647" max="11647" width="5.140625" customWidth="1"/>
    <col min="11648" max="11650" width="9.140625" customWidth="1"/>
    <col min="11652" max="11652" width="19.7109375" customWidth="1"/>
    <col min="11653" max="11653" width="6.5703125" customWidth="1"/>
    <col min="11654" max="11654" width="3.5703125" bestFit="1" customWidth="1"/>
    <col min="11655" max="11655" width="6.85546875" bestFit="1" customWidth="1"/>
    <col min="11656" max="11658" width="5.85546875" customWidth="1"/>
    <col min="11659" max="11659" width="6" bestFit="1" customWidth="1"/>
    <col min="11660" max="11662" width="0" hidden="1" customWidth="1"/>
    <col min="11663" max="11663" width="6" bestFit="1" customWidth="1"/>
    <col min="11664" max="11664" width="6.85546875" bestFit="1" customWidth="1"/>
    <col min="11665" max="11665" width="7" bestFit="1" customWidth="1"/>
    <col min="11666" max="11666" width="6" bestFit="1" customWidth="1"/>
    <col min="11667" max="11667" width="4.42578125" bestFit="1" customWidth="1"/>
    <col min="11668" max="11668" width="6" bestFit="1" customWidth="1"/>
    <col min="11669" max="11669" width="6.28515625" bestFit="1" customWidth="1"/>
    <col min="11670" max="11676" width="4.85546875" bestFit="1" customWidth="1"/>
    <col min="11677" max="11677" width="5" bestFit="1" customWidth="1"/>
    <col min="11678" max="11678" width="4.85546875" bestFit="1" customWidth="1"/>
    <col min="11679" max="11679" width="4.42578125" bestFit="1" customWidth="1"/>
    <col min="11680" max="11680" width="5.140625" bestFit="1" customWidth="1"/>
    <col min="11681" max="11681" width="4.85546875" bestFit="1" customWidth="1"/>
    <col min="11682" max="11682" width="5" bestFit="1" customWidth="1"/>
    <col min="11683" max="11684" width="5.28515625" bestFit="1" customWidth="1"/>
    <col min="11685" max="11685" width="5" bestFit="1" customWidth="1"/>
    <col min="11686" max="11686" width="4.42578125" bestFit="1" customWidth="1"/>
    <col min="11687" max="11687" width="4.5703125" bestFit="1" customWidth="1"/>
    <col min="11688" max="11689" width="5.140625" bestFit="1" customWidth="1"/>
    <col min="11690" max="11690" width="4.85546875" bestFit="1" customWidth="1"/>
    <col min="11691" max="11691" width="5.42578125" bestFit="1" customWidth="1"/>
    <col min="11692" max="11692" width="0" hidden="1" customWidth="1"/>
    <col min="11693" max="11693" width="6.5703125" bestFit="1" customWidth="1"/>
    <col min="11835" max="11835" width="6" customWidth="1"/>
    <col min="11836" max="11836" width="1.5703125" bestFit="1" customWidth="1"/>
    <col min="11837" max="11837" width="5.42578125" bestFit="1" customWidth="1"/>
    <col min="11838" max="11838" width="20.28515625" customWidth="1"/>
    <col min="11839" max="11839" width="7.28515625" customWidth="1"/>
    <col min="11840" max="11840" width="5.28515625" customWidth="1"/>
    <col min="11841" max="11841" width="6.5703125" customWidth="1"/>
    <col min="11842" max="11842" width="4.42578125" customWidth="1"/>
    <col min="11843" max="11843" width="8.28515625" customWidth="1"/>
    <col min="11844" max="11844" width="4.7109375" customWidth="1"/>
    <col min="11845" max="11845" width="5.7109375" customWidth="1"/>
    <col min="11846" max="11846" width="8" customWidth="1"/>
    <col min="11847" max="11847" width="6.85546875" customWidth="1"/>
    <col min="11848" max="11848" width="6.140625" customWidth="1"/>
    <col min="11849" max="11850" width="8.28515625" customWidth="1"/>
    <col min="11851" max="11852" width="5.85546875" customWidth="1"/>
    <col min="11853" max="11853" width="7" customWidth="1"/>
    <col min="11854" max="11854" width="5.85546875" customWidth="1"/>
    <col min="11855" max="11855" width="6.42578125" customWidth="1"/>
    <col min="11856" max="11856" width="1.7109375" customWidth="1"/>
    <col min="11857" max="11858" width="6.42578125" customWidth="1"/>
    <col min="11859" max="11859" width="1.7109375" customWidth="1"/>
    <col min="11860" max="11860" width="6.42578125" customWidth="1"/>
    <col min="11861" max="11861" width="6.85546875" customWidth="1"/>
    <col min="11862" max="11862" width="5.7109375" customWidth="1"/>
    <col min="11863" max="11863" width="3.28515625" customWidth="1"/>
    <col min="11864" max="11864" width="4" customWidth="1"/>
    <col min="11865" max="11865" width="14" customWidth="1"/>
    <col min="11866" max="11866" width="9.140625" customWidth="1"/>
    <col min="11867" max="11867" width="9.5703125" customWidth="1"/>
    <col min="11868" max="11868" width="1.5703125" customWidth="1"/>
    <col min="11869" max="11869" width="5.42578125" customWidth="1"/>
    <col min="11870" max="11870" width="19.140625" customWidth="1"/>
    <col min="11871" max="11871" width="7.28515625" customWidth="1"/>
    <col min="11872" max="11872" width="5.28515625" customWidth="1"/>
    <col min="11873" max="11873" width="4" customWidth="1"/>
    <col min="11874" max="11878" width="4.85546875" customWidth="1"/>
    <col min="11879" max="11879" width="6.85546875" customWidth="1"/>
    <col min="11880" max="11880" width="5.7109375" customWidth="1"/>
    <col min="11881" max="11881" width="7.7109375" customWidth="1"/>
    <col min="11882" max="11882" width="6.85546875" customWidth="1"/>
    <col min="11883" max="11883" width="5.140625" customWidth="1"/>
    <col min="11884" max="11884" width="7.85546875" customWidth="1"/>
    <col min="11885" max="11885" width="4.42578125" customWidth="1"/>
    <col min="11886" max="11886" width="6.85546875" customWidth="1"/>
    <col min="11887" max="11888" width="8" customWidth="1"/>
    <col min="11889" max="11889" width="6" customWidth="1"/>
    <col min="11890" max="11890" width="3.140625" customWidth="1"/>
    <col min="11891" max="11891" width="6" customWidth="1"/>
    <col min="11892" max="11892" width="5.5703125" customWidth="1"/>
    <col min="11893" max="11893" width="6.7109375" customWidth="1"/>
    <col min="11894" max="11894" width="6.85546875" customWidth="1"/>
    <col min="11895" max="11895" width="8.140625" customWidth="1"/>
    <col min="11896" max="11896" width="4.42578125" customWidth="1"/>
    <col min="11897" max="11897" width="7.140625" customWidth="1"/>
    <col min="11898" max="11898" width="6.5703125" customWidth="1"/>
    <col min="11899" max="11899" width="6.42578125" customWidth="1"/>
    <col min="11900" max="11900" width="8.28515625" customWidth="1"/>
    <col min="11901" max="11901" width="5.42578125" customWidth="1"/>
    <col min="11902" max="11902" width="7.5703125" customWidth="1"/>
    <col min="11903" max="11903" width="5.140625" customWidth="1"/>
    <col min="11904" max="11906" width="9.140625" customWidth="1"/>
    <col min="11908" max="11908" width="19.7109375" customWidth="1"/>
    <col min="11909" max="11909" width="6.5703125" customWidth="1"/>
    <col min="11910" max="11910" width="3.5703125" bestFit="1" customWidth="1"/>
    <col min="11911" max="11911" width="6.85546875" bestFit="1" customWidth="1"/>
    <col min="11912" max="11914" width="5.85546875" customWidth="1"/>
    <col min="11915" max="11915" width="6" bestFit="1" customWidth="1"/>
    <col min="11916" max="11918" width="0" hidden="1" customWidth="1"/>
    <col min="11919" max="11919" width="6" bestFit="1" customWidth="1"/>
    <col min="11920" max="11920" width="6.85546875" bestFit="1" customWidth="1"/>
    <col min="11921" max="11921" width="7" bestFit="1" customWidth="1"/>
    <col min="11922" max="11922" width="6" bestFit="1" customWidth="1"/>
    <col min="11923" max="11923" width="4.42578125" bestFit="1" customWidth="1"/>
    <col min="11924" max="11924" width="6" bestFit="1" customWidth="1"/>
    <col min="11925" max="11925" width="6.28515625" bestFit="1" customWidth="1"/>
    <col min="11926" max="11932" width="4.85546875" bestFit="1" customWidth="1"/>
    <col min="11933" max="11933" width="5" bestFit="1" customWidth="1"/>
    <col min="11934" max="11934" width="4.85546875" bestFit="1" customWidth="1"/>
    <col min="11935" max="11935" width="4.42578125" bestFit="1" customWidth="1"/>
    <col min="11936" max="11936" width="5.140625" bestFit="1" customWidth="1"/>
    <col min="11937" max="11937" width="4.85546875" bestFit="1" customWidth="1"/>
    <col min="11938" max="11938" width="5" bestFit="1" customWidth="1"/>
    <col min="11939" max="11940" width="5.28515625" bestFit="1" customWidth="1"/>
    <col min="11941" max="11941" width="5" bestFit="1" customWidth="1"/>
    <col min="11942" max="11942" width="4.42578125" bestFit="1" customWidth="1"/>
    <col min="11943" max="11943" width="4.5703125" bestFit="1" customWidth="1"/>
    <col min="11944" max="11945" width="5.140625" bestFit="1" customWidth="1"/>
    <col min="11946" max="11946" width="4.85546875" bestFit="1" customWidth="1"/>
    <col min="11947" max="11947" width="5.42578125" bestFit="1" customWidth="1"/>
    <col min="11948" max="11948" width="0" hidden="1" customWidth="1"/>
    <col min="11949" max="11949" width="6.5703125" bestFit="1" customWidth="1"/>
    <col min="12091" max="12091" width="6" customWidth="1"/>
    <col min="12092" max="12092" width="1.5703125" bestFit="1" customWidth="1"/>
    <col min="12093" max="12093" width="5.42578125" bestFit="1" customWidth="1"/>
    <col min="12094" max="12094" width="20.28515625" customWidth="1"/>
    <col min="12095" max="12095" width="7.28515625" customWidth="1"/>
    <col min="12096" max="12096" width="5.28515625" customWidth="1"/>
    <col min="12097" max="12097" width="6.5703125" customWidth="1"/>
    <col min="12098" max="12098" width="4.42578125" customWidth="1"/>
    <col min="12099" max="12099" width="8.28515625" customWidth="1"/>
    <col min="12100" max="12100" width="4.7109375" customWidth="1"/>
    <col min="12101" max="12101" width="5.7109375" customWidth="1"/>
    <col min="12102" max="12102" width="8" customWidth="1"/>
    <col min="12103" max="12103" width="6.85546875" customWidth="1"/>
    <col min="12104" max="12104" width="6.140625" customWidth="1"/>
    <col min="12105" max="12106" width="8.28515625" customWidth="1"/>
    <col min="12107" max="12108" width="5.85546875" customWidth="1"/>
    <col min="12109" max="12109" width="7" customWidth="1"/>
    <col min="12110" max="12110" width="5.85546875" customWidth="1"/>
    <col min="12111" max="12111" width="6.42578125" customWidth="1"/>
    <col min="12112" max="12112" width="1.7109375" customWidth="1"/>
    <col min="12113" max="12114" width="6.42578125" customWidth="1"/>
    <col min="12115" max="12115" width="1.7109375" customWidth="1"/>
    <col min="12116" max="12116" width="6.42578125" customWidth="1"/>
    <col min="12117" max="12117" width="6.85546875" customWidth="1"/>
    <col min="12118" max="12118" width="5.7109375" customWidth="1"/>
    <col min="12119" max="12119" width="3.28515625" customWidth="1"/>
    <col min="12120" max="12120" width="4" customWidth="1"/>
    <col min="12121" max="12121" width="14" customWidth="1"/>
    <col min="12122" max="12122" width="9.140625" customWidth="1"/>
    <col min="12123" max="12123" width="9.5703125" customWidth="1"/>
    <col min="12124" max="12124" width="1.5703125" customWidth="1"/>
    <col min="12125" max="12125" width="5.42578125" customWidth="1"/>
    <col min="12126" max="12126" width="19.140625" customWidth="1"/>
    <col min="12127" max="12127" width="7.28515625" customWidth="1"/>
    <col min="12128" max="12128" width="5.28515625" customWidth="1"/>
    <col min="12129" max="12129" width="4" customWidth="1"/>
    <col min="12130" max="12134" width="4.85546875" customWidth="1"/>
    <col min="12135" max="12135" width="6.85546875" customWidth="1"/>
    <col min="12136" max="12136" width="5.7109375" customWidth="1"/>
    <col min="12137" max="12137" width="7.7109375" customWidth="1"/>
    <col min="12138" max="12138" width="6.85546875" customWidth="1"/>
    <col min="12139" max="12139" width="5.140625" customWidth="1"/>
    <col min="12140" max="12140" width="7.85546875" customWidth="1"/>
    <col min="12141" max="12141" width="4.42578125" customWidth="1"/>
    <col min="12142" max="12142" width="6.85546875" customWidth="1"/>
    <col min="12143" max="12144" width="8" customWidth="1"/>
    <col min="12145" max="12145" width="6" customWidth="1"/>
    <col min="12146" max="12146" width="3.140625" customWidth="1"/>
    <col min="12147" max="12147" width="6" customWidth="1"/>
    <col min="12148" max="12148" width="5.5703125" customWidth="1"/>
    <col min="12149" max="12149" width="6.7109375" customWidth="1"/>
    <col min="12150" max="12150" width="6.85546875" customWidth="1"/>
    <col min="12151" max="12151" width="8.140625" customWidth="1"/>
    <col min="12152" max="12152" width="4.42578125" customWidth="1"/>
    <col min="12153" max="12153" width="7.140625" customWidth="1"/>
    <col min="12154" max="12154" width="6.5703125" customWidth="1"/>
    <col min="12155" max="12155" width="6.42578125" customWidth="1"/>
    <col min="12156" max="12156" width="8.28515625" customWidth="1"/>
    <col min="12157" max="12157" width="5.42578125" customWidth="1"/>
    <col min="12158" max="12158" width="7.5703125" customWidth="1"/>
    <col min="12159" max="12159" width="5.140625" customWidth="1"/>
    <col min="12160" max="12162" width="9.140625" customWidth="1"/>
    <col min="12164" max="12164" width="19.7109375" customWidth="1"/>
    <col min="12165" max="12165" width="6.5703125" customWidth="1"/>
    <col min="12166" max="12166" width="3.5703125" bestFit="1" customWidth="1"/>
    <col min="12167" max="12167" width="6.85546875" bestFit="1" customWidth="1"/>
    <col min="12168" max="12170" width="5.85546875" customWidth="1"/>
    <col min="12171" max="12171" width="6" bestFit="1" customWidth="1"/>
    <col min="12172" max="12174" width="0" hidden="1" customWidth="1"/>
    <col min="12175" max="12175" width="6" bestFit="1" customWidth="1"/>
    <col min="12176" max="12176" width="6.85546875" bestFit="1" customWidth="1"/>
    <col min="12177" max="12177" width="7" bestFit="1" customWidth="1"/>
    <col min="12178" max="12178" width="6" bestFit="1" customWidth="1"/>
    <col min="12179" max="12179" width="4.42578125" bestFit="1" customWidth="1"/>
    <col min="12180" max="12180" width="6" bestFit="1" customWidth="1"/>
    <col min="12181" max="12181" width="6.28515625" bestFit="1" customWidth="1"/>
    <col min="12182" max="12188" width="4.85546875" bestFit="1" customWidth="1"/>
    <col min="12189" max="12189" width="5" bestFit="1" customWidth="1"/>
    <col min="12190" max="12190" width="4.85546875" bestFit="1" customWidth="1"/>
    <col min="12191" max="12191" width="4.42578125" bestFit="1" customWidth="1"/>
    <col min="12192" max="12192" width="5.140625" bestFit="1" customWidth="1"/>
    <col min="12193" max="12193" width="4.85546875" bestFit="1" customWidth="1"/>
    <col min="12194" max="12194" width="5" bestFit="1" customWidth="1"/>
    <col min="12195" max="12196" width="5.28515625" bestFit="1" customWidth="1"/>
    <col min="12197" max="12197" width="5" bestFit="1" customWidth="1"/>
    <col min="12198" max="12198" width="4.42578125" bestFit="1" customWidth="1"/>
    <col min="12199" max="12199" width="4.5703125" bestFit="1" customWidth="1"/>
    <col min="12200" max="12201" width="5.140625" bestFit="1" customWidth="1"/>
    <col min="12202" max="12202" width="4.85546875" bestFit="1" customWidth="1"/>
    <col min="12203" max="12203" width="5.42578125" bestFit="1" customWidth="1"/>
    <col min="12204" max="12204" width="0" hidden="1" customWidth="1"/>
    <col min="12205" max="12205" width="6.5703125" bestFit="1" customWidth="1"/>
    <col min="12347" max="12347" width="6" customWidth="1"/>
    <col min="12348" max="12348" width="1.5703125" bestFit="1" customWidth="1"/>
    <col min="12349" max="12349" width="5.42578125" bestFit="1" customWidth="1"/>
    <col min="12350" max="12350" width="20.28515625" customWidth="1"/>
    <col min="12351" max="12351" width="7.28515625" customWidth="1"/>
    <col min="12352" max="12352" width="5.28515625" customWidth="1"/>
    <col min="12353" max="12353" width="6.5703125" customWidth="1"/>
    <col min="12354" max="12354" width="4.42578125" customWidth="1"/>
    <col min="12355" max="12355" width="8.28515625" customWidth="1"/>
    <col min="12356" max="12356" width="4.7109375" customWidth="1"/>
    <col min="12357" max="12357" width="5.7109375" customWidth="1"/>
    <col min="12358" max="12358" width="8" customWidth="1"/>
    <col min="12359" max="12359" width="6.85546875" customWidth="1"/>
    <col min="12360" max="12360" width="6.140625" customWidth="1"/>
    <col min="12361" max="12362" width="8.28515625" customWidth="1"/>
    <col min="12363" max="12364" width="5.85546875" customWidth="1"/>
    <col min="12365" max="12365" width="7" customWidth="1"/>
    <col min="12366" max="12366" width="5.85546875" customWidth="1"/>
    <col min="12367" max="12367" width="6.42578125" customWidth="1"/>
    <col min="12368" max="12368" width="1.7109375" customWidth="1"/>
    <col min="12369" max="12370" width="6.42578125" customWidth="1"/>
    <col min="12371" max="12371" width="1.7109375" customWidth="1"/>
    <col min="12372" max="12372" width="6.42578125" customWidth="1"/>
    <col min="12373" max="12373" width="6.85546875" customWidth="1"/>
    <col min="12374" max="12374" width="5.7109375" customWidth="1"/>
    <col min="12375" max="12375" width="3.28515625" customWidth="1"/>
    <col min="12376" max="12376" width="4" customWidth="1"/>
    <col min="12377" max="12377" width="14" customWidth="1"/>
    <col min="12378" max="12378" width="9.140625" customWidth="1"/>
    <col min="12379" max="12379" width="9.5703125" customWidth="1"/>
    <col min="12380" max="12380" width="1.5703125" customWidth="1"/>
    <col min="12381" max="12381" width="5.42578125" customWidth="1"/>
    <col min="12382" max="12382" width="19.140625" customWidth="1"/>
    <col min="12383" max="12383" width="7.28515625" customWidth="1"/>
    <col min="12384" max="12384" width="5.28515625" customWidth="1"/>
    <col min="12385" max="12385" width="4" customWidth="1"/>
    <col min="12386" max="12390" width="4.85546875" customWidth="1"/>
    <col min="12391" max="12391" width="6.85546875" customWidth="1"/>
    <col min="12392" max="12392" width="5.7109375" customWidth="1"/>
    <col min="12393" max="12393" width="7.7109375" customWidth="1"/>
    <col min="12394" max="12394" width="6.85546875" customWidth="1"/>
    <col min="12395" max="12395" width="5.140625" customWidth="1"/>
    <col min="12396" max="12396" width="7.85546875" customWidth="1"/>
    <col min="12397" max="12397" width="4.42578125" customWidth="1"/>
    <col min="12398" max="12398" width="6.85546875" customWidth="1"/>
    <col min="12399" max="12400" width="8" customWidth="1"/>
    <col min="12401" max="12401" width="6" customWidth="1"/>
    <col min="12402" max="12402" width="3.140625" customWidth="1"/>
    <col min="12403" max="12403" width="6" customWidth="1"/>
    <col min="12404" max="12404" width="5.5703125" customWidth="1"/>
    <col min="12405" max="12405" width="6.7109375" customWidth="1"/>
    <col min="12406" max="12406" width="6.85546875" customWidth="1"/>
    <col min="12407" max="12407" width="8.140625" customWidth="1"/>
    <col min="12408" max="12408" width="4.42578125" customWidth="1"/>
    <col min="12409" max="12409" width="7.140625" customWidth="1"/>
    <col min="12410" max="12410" width="6.5703125" customWidth="1"/>
    <col min="12411" max="12411" width="6.42578125" customWidth="1"/>
    <col min="12412" max="12412" width="8.28515625" customWidth="1"/>
    <col min="12413" max="12413" width="5.42578125" customWidth="1"/>
    <col min="12414" max="12414" width="7.5703125" customWidth="1"/>
    <col min="12415" max="12415" width="5.140625" customWidth="1"/>
    <col min="12416" max="12418" width="9.140625" customWidth="1"/>
    <col min="12420" max="12420" width="19.7109375" customWidth="1"/>
    <col min="12421" max="12421" width="6.5703125" customWidth="1"/>
    <col min="12422" max="12422" width="3.5703125" bestFit="1" customWidth="1"/>
    <col min="12423" max="12423" width="6.85546875" bestFit="1" customWidth="1"/>
    <col min="12424" max="12426" width="5.85546875" customWidth="1"/>
    <col min="12427" max="12427" width="6" bestFit="1" customWidth="1"/>
    <col min="12428" max="12430" width="0" hidden="1" customWidth="1"/>
    <col min="12431" max="12431" width="6" bestFit="1" customWidth="1"/>
    <col min="12432" max="12432" width="6.85546875" bestFit="1" customWidth="1"/>
    <col min="12433" max="12433" width="7" bestFit="1" customWidth="1"/>
    <col min="12434" max="12434" width="6" bestFit="1" customWidth="1"/>
    <col min="12435" max="12435" width="4.42578125" bestFit="1" customWidth="1"/>
    <col min="12436" max="12436" width="6" bestFit="1" customWidth="1"/>
    <col min="12437" max="12437" width="6.28515625" bestFit="1" customWidth="1"/>
    <col min="12438" max="12444" width="4.85546875" bestFit="1" customWidth="1"/>
    <col min="12445" max="12445" width="5" bestFit="1" customWidth="1"/>
    <col min="12446" max="12446" width="4.85546875" bestFit="1" customWidth="1"/>
    <col min="12447" max="12447" width="4.42578125" bestFit="1" customWidth="1"/>
    <col min="12448" max="12448" width="5.140625" bestFit="1" customWidth="1"/>
    <col min="12449" max="12449" width="4.85546875" bestFit="1" customWidth="1"/>
    <col min="12450" max="12450" width="5" bestFit="1" customWidth="1"/>
    <col min="12451" max="12452" width="5.28515625" bestFit="1" customWidth="1"/>
    <col min="12453" max="12453" width="5" bestFit="1" customWidth="1"/>
    <col min="12454" max="12454" width="4.42578125" bestFit="1" customWidth="1"/>
    <col min="12455" max="12455" width="4.5703125" bestFit="1" customWidth="1"/>
    <col min="12456" max="12457" width="5.140625" bestFit="1" customWidth="1"/>
    <col min="12458" max="12458" width="4.85546875" bestFit="1" customWidth="1"/>
    <col min="12459" max="12459" width="5.42578125" bestFit="1" customWidth="1"/>
    <col min="12460" max="12460" width="0" hidden="1" customWidth="1"/>
    <col min="12461" max="12461" width="6.5703125" bestFit="1" customWidth="1"/>
    <col min="12603" max="12603" width="6" customWidth="1"/>
    <col min="12604" max="12604" width="1.5703125" bestFit="1" customWidth="1"/>
    <col min="12605" max="12605" width="5.42578125" bestFit="1" customWidth="1"/>
    <col min="12606" max="12606" width="20.28515625" customWidth="1"/>
    <col min="12607" max="12607" width="7.28515625" customWidth="1"/>
    <col min="12608" max="12608" width="5.28515625" customWidth="1"/>
    <col min="12609" max="12609" width="6.5703125" customWidth="1"/>
    <col min="12610" max="12610" width="4.42578125" customWidth="1"/>
    <col min="12611" max="12611" width="8.28515625" customWidth="1"/>
    <col min="12612" max="12612" width="4.7109375" customWidth="1"/>
    <col min="12613" max="12613" width="5.7109375" customWidth="1"/>
    <col min="12614" max="12614" width="8" customWidth="1"/>
    <col min="12615" max="12615" width="6.85546875" customWidth="1"/>
    <col min="12616" max="12616" width="6.140625" customWidth="1"/>
    <col min="12617" max="12618" width="8.28515625" customWidth="1"/>
    <col min="12619" max="12620" width="5.85546875" customWidth="1"/>
    <col min="12621" max="12621" width="7" customWidth="1"/>
    <col min="12622" max="12622" width="5.85546875" customWidth="1"/>
    <col min="12623" max="12623" width="6.42578125" customWidth="1"/>
    <col min="12624" max="12624" width="1.7109375" customWidth="1"/>
    <col min="12625" max="12626" width="6.42578125" customWidth="1"/>
    <col min="12627" max="12627" width="1.7109375" customWidth="1"/>
    <col min="12628" max="12628" width="6.42578125" customWidth="1"/>
    <col min="12629" max="12629" width="6.85546875" customWidth="1"/>
    <col min="12630" max="12630" width="5.7109375" customWidth="1"/>
    <col min="12631" max="12631" width="3.28515625" customWidth="1"/>
    <col min="12632" max="12632" width="4" customWidth="1"/>
    <col min="12633" max="12633" width="14" customWidth="1"/>
    <col min="12634" max="12634" width="9.140625" customWidth="1"/>
    <col min="12635" max="12635" width="9.5703125" customWidth="1"/>
    <col min="12636" max="12636" width="1.5703125" customWidth="1"/>
    <col min="12637" max="12637" width="5.42578125" customWidth="1"/>
    <col min="12638" max="12638" width="19.140625" customWidth="1"/>
    <col min="12639" max="12639" width="7.28515625" customWidth="1"/>
    <col min="12640" max="12640" width="5.28515625" customWidth="1"/>
    <col min="12641" max="12641" width="4" customWidth="1"/>
    <col min="12642" max="12646" width="4.85546875" customWidth="1"/>
    <col min="12647" max="12647" width="6.85546875" customWidth="1"/>
    <col min="12648" max="12648" width="5.7109375" customWidth="1"/>
    <col min="12649" max="12649" width="7.7109375" customWidth="1"/>
    <col min="12650" max="12650" width="6.85546875" customWidth="1"/>
    <col min="12651" max="12651" width="5.140625" customWidth="1"/>
    <col min="12652" max="12652" width="7.85546875" customWidth="1"/>
    <col min="12653" max="12653" width="4.42578125" customWidth="1"/>
    <col min="12654" max="12654" width="6.85546875" customWidth="1"/>
    <col min="12655" max="12656" width="8" customWidth="1"/>
    <col min="12657" max="12657" width="6" customWidth="1"/>
    <col min="12658" max="12658" width="3.140625" customWidth="1"/>
    <col min="12659" max="12659" width="6" customWidth="1"/>
    <col min="12660" max="12660" width="5.5703125" customWidth="1"/>
    <col min="12661" max="12661" width="6.7109375" customWidth="1"/>
    <col min="12662" max="12662" width="6.85546875" customWidth="1"/>
    <col min="12663" max="12663" width="8.140625" customWidth="1"/>
    <col min="12664" max="12664" width="4.42578125" customWidth="1"/>
    <col min="12665" max="12665" width="7.140625" customWidth="1"/>
    <col min="12666" max="12666" width="6.5703125" customWidth="1"/>
    <col min="12667" max="12667" width="6.42578125" customWidth="1"/>
    <col min="12668" max="12668" width="8.28515625" customWidth="1"/>
    <col min="12669" max="12669" width="5.42578125" customWidth="1"/>
    <col min="12670" max="12670" width="7.5703125" customWidth="1"/>
    <col min="12671" max="12671" width="5.140625" customWidth="1"/>
    <col min="12672" max="12674" width="9.140625" customWidth="1"/>
    <col min="12676" max="12676" width="19.7109375" customWidth="1"/>
    <col min="12677" max="12677" width="6.5703125" customWidth="1"/>
    <col min="12678" max="12678" width="3.5703125" bestFit="1" customWidth="1"/>
    <col min="12679" max="12679" width="6.85546875" bestFit="1" customWidth="1"/>
    <col min="12680" max="12682" width="5.85546875" customWidth="1"/>
    <col min="12683" max="12683" width="6" bestFit="1" customWidth="1"/>
    <col min="12684" max="12686" width="0" hidden="1" customWidth="1"/>
    <col min="12687" max="12687" width="6" bestFit="1" customWidth="1"/>
    <col min="12688" max="12688" width="6.85546875" bestFit="1" customWidth="1"/>
    <col min="12689" max="12689" width="7" bestFit="1" customWidth="1"/>
    <col min="12690" max="12690" width="6" bestFit="1" customWidth="1"/>
    <col min="12691" max="12691" width="4.42578125" bestFit="1" customWidth="1"/>
    <col min="12692" max="12692" width="6" bestFit="1" customWidth="1"/>
    <col min="12693" max="12693" width="6.28515625" bestFit="1" customWidth="1"/>
    <col min="12694" max="12700" width="4.85546875" bestFit="1" customWidth="1"/>
    <col min="12701" max="12701" width="5" bestFit="1" customWidth="1"/>
    <col min="12702" max="12702" width="4.85546875" bestFit="1" customWidth="1"/>
    <col min="12703" max="12703" width="4.42578125" bestFit="1" customWidth="1"/>
    <col min="12704" max="12704" width="5.140625" bestFit="1" customWidth="1"/>
    <col min="12705" max="12705" width="4.85546875" bestFit="1" customWidth="1"/>
    <col min="12706" max="12706" width="5" bestFit="1" customWidth="1"/>
    <col min="12707" max="12708" width="5.28515625" bestFit="1" customWidth="1"/>
    <col min="12709" max="12709" width="5" bestFit="1" customWidth="1"/>
    <col min="12710" max="12710" width="4.42578125" bestFit="1" customWidth="1"/>
    <col min="12711" max="12711" width="4.5703125" bestFit="1" customWidth="1"/>
    <col min="12712" max="12713" width="5.140625" bestFit="1" customWidth="1"/>
    <col min="12714" max="12714" width="4.85546875" bestFit="1" customWidth="1"/>
    <col min="12715" max="12715" width="5.42578125" bestFit="1" customWidth="1"/>
    <col min="12716" max="12716" width="0" hidden="1" customWidth="1"/>
    <col min="12717" max="12717" width="6.5703125" bestFit="1" customWidth="1"/>
    <col min="12859" max="12859" width="6" customWidth="1"/>
    <col min="12860" max="12860" width="1.5703125" bestFit="1" customWidth="1"/>
    <col min="12861" max="12861" width="5.42578125" bestFit="1" customWidth="1"/>
    <col min="12862" max="12862" width="20.28515625" customWidth="1"/>
    <col min="12863" max="12863" width="7.28515625" customWidth="1"/>
    <col min="12864" max="12864" width="5.28515625" customWidth="1"/>
    <col min="12865" max="12865" width="6.5703125" customWidth="1"/>
    <col min="12866" max="12866" width="4.42578125" customWidth="1"/>
    <col min="12867" max="12867" width="8.28515625" customWidth="1"/>
    <col min="12868" max="12868" width="4.7109375" customWidth="1"/>
    <col min="12869" max="12869" width="5.7109375" customWidth="1"/>
    <col min="12870" max="12870" width="8" customWidth="1"/>
    <col min="12871" max="12871" width="6.85546875" customWidth="1"/>
    <col min="12872" max="12872" width="6.140625" customWidth="1"/>
    <col min="12873" max="12874" width="8.28515625" customWidth="1"/>
    <col min="12875" max="12876" width="5.85546875" customWidth="1"/>
    <col min="12877" max="12877" width="7" customWidth="1"/>
    <col min="12878" max="12878" width="5.85546875" customWidth="1"/>
    <col min="12879" max="12879" width="6.42578125" customWidth="1"/>
    <col min="12880" max="12880" width="1.7109375" customWidth="1"/>
    <col min="12881" max="12882" width="6.42578125" customWidth="1"/>
    <col min="12883" max="12883" width="1.7109375" customWidth="1"/>
    <col min="12884" max="12884" width="6.42578125" customWidth="1"/>
    <col min="12885" max="12885" width="6.85546875" customWidth="1"/>
    <col min="12886" max="12886" width="5.7109375" customWidth="1"/>
    <col min="12887" max="12887" width="3.28515625" customWidth="1"/>
    <col min="12888" max="12888" width="4" customWidth="1"/>
    <col min="12889" max="12889" width="14" customWidth="1"/>
    <col min="12890" max="12890" width="9.140625" customWidth="1"/>
    <col min="12891" max="12891" width="9.5703125" customWidth="1"/>
    <col min="12892" max="12892" width="1.5703125" customWidth="1"/>
    <col min="12893" max="12893" width="5.42578125" customWidth="1"/>
    <col min="12894" max="12894" width="19.140625" customWidth="1"/>
    <col min="12895" max="12895" width="7.28515625" customWidth="1"/>
    <col min="12896" max="12896" width="5.28515625" customWidth="1"/>
    <col min="12897" max="12897" width="4" customWidth="1"/>
    <col min="12898" max="12902" width="4.85546875" customWidth="1"/>
    <col min="12903" max="12903" width="6.85546875" customWidth="1"/>
    <col min="12904" max="12904" width="5.7109375" customWidth="1"/>
    <col min="12905" max="12905" width="7.7109375" customWidth="1"/>
    <col min="12906" max="12906" width="6.85546875" customWidth="1"/>
    <col min="12907" max="12907" width="5.140625" customWidth="1"/>
    <col min="12908" max="12908" width="7.85546875" customWidth="1"/>
    <col min="12909" max="12909" width="4.42578125" customWidth="1"/>
    <col min="12910" max="12910" width="6.85546875" customWidth="1"/>
    <col min="12911" max="12912" width="8" customWidth="1"/>
    <col min="12913" max="12913" width="6" customWidth="1"/>
    <col min="12914" max="12914" width="3.140625" customWidth="1"/>
    <col min="12915" max="12915" width="6" customWidth="1"/>
    <col min="12916" max="12916" width="5.5703125" customWidth="1"/>
    <col min="12917" max="12917" width="6.7109375" customWidth="1"/>
    <col min="12918" max="12918" width="6.85546875" customWidth="1"/>
    <col min="12919" max="12919" width="8.140625" customWidth="1"/>
    <col min="12920" max="12920" width="4.42578125" customWidth="1"/>
    <col min="12921" max="12921" width="7.140625" customWidth="1"/>
    <col min="12922" max="12922" width="6.5703125" customWidth="1"/>
    <col min="12923" max="12923" width="6.42578125" customWidth="1"/>
    <col min="12924" max="12924" width="8.28515625" customWidth="1"/>
    <col min="12925" max="12925" width="5.42578125" customWidth="1"/>
    <col min="12926" max="12926" width="7.5703125" customWidth="1"/>
    <col min="12927" max="12927" width="5.140625" customWidth="1"/>
    <col min="12928" max="12930" width="9.140625" customWidth="1"/>
    <col min="12932" max="12932" width="19.7109375" customWidth="1"/>
    <col min="12933" max="12933" width="6.5703125" customWidth="1"/>
    <col min="12934" max="12934" width="3.5703125" bestFit="1" customWidth="1"/>
    <col min="12935" max="12935" width="6.85546875" bestFit="1" customWidth="1"/>
    <col min="12936" max="12938" width="5.85546875" customWidth="1"/>
    <col min="12939" max="12939" width="6" bestFit="1" customWidth="1"/>
    <col min="12940" max="12942" width="0" hidden="1" customWidth="1"/>
    <col min="12943" max="12943" width="6" bestFit="1" customWidth="1"/>
    <col min="12944" max="12944" width="6.85546875" bestFit="1" customWidth="1"/>
    <col min="12945" max="12945" width="7" bestFit="1" customWidth="1"/>
    <col min="12946" max="12946" width="6" bestFit="1" customWidth="1"/>
    <col min="12947" max="12947" width="4.42578125" bestFit="1" customWidth="1"/>
    <col min="12948" max="12948" width="6" bestFit="1" customWidth="1"/>
    <col min="12949" max="12949" width="6.28515625" bestFit="1" customWidth="1"/>
    <col min="12950" max="12956" width="4.85546875" bestFit="1" customWidth="1"/>
    <col min="12957" max="12957" width="5" bestFit="1" customWidth="1"/>
    <col min="12958" max="12958" width="4.85546875" bestFit="1" customWidth="1"/>
    <col min="12959" max="12959" width="4.42578125" bestFit="1" customWidth="1"/>
    <col min="12960" max="12960" width="5.140625" bestFit="1" customWidth="1"/>
    <col min="12961" max="12961" width="4.85546875" bestFit="1" customWidth="1"/>
    <col min="12962" max="12962" width="5" bestFit="1" customWidth="1"/>
    <col min="12963" max="12964" width="5.28515625" bestFit="1" customWidth="1"/>
    <col min="12965" max="12965" width="5" bestFit="1" customWidth="1"/>
    <col min="12966" max="12966" width="4.42578125" bestFit="1" customWidth="1"/>
    <col min="12967" max="12967" width="4.5703125" bestFit="1" customWidth="1"/>
    <col min="12968" max="12969" width="5.140625" bestFit="1" customWidth="1"/>
    <col min="12970" max="12970" width="4.85546875" bestFit="1" customWidth="1"/>
    <col min="12971" max="12971" width="5.42578125" bestFit="1" customWidth="1"/>
    <col min="12972" max="12972" width="0" hidden="1" customWidth="1"/>
    <col min="12973" max="12973" width="6.5703125" bestFit="1" customWidth="1"/>
    <col min="13115" max="13115" width="6" customWidth="1"/>
    <col min="13116" max="13116" width="1.5703125" bestFit="1" customWidth="1"/>
    <col min="13117" max="13117" width="5.42578125" bestFit="1" customWidth="1"/>
    <col min="13118" max="13118" width="20.28515625" customWidth="1"/>
    <col min="13119" max="13119" width="7.28515625" customWidth="1"/>
    <col min="13120" max="13120" width="5.28515625" customWidth="1"/>
    <col min="13121" max="13121" width="6.5703125" customWidth="1"/>
    <col min="13122" max="13122" width="4.42578125" customWidth="1"/>
    <col min="13123" max="13123" width="8.28515625" customWidth="1"/>
    <col min="13124" max="13124" width="4.7109375" customWidth="1"/>
    <col min="13125" max="13125" width="5.7109375" customWidth="1"/>
    <col min="13126" max="13126" width="8" customWidth="1"/>
    <col min="13127" max="13127" width="6.85546875" customWidth="1"/>
    <col min="13128" max="13128" width="6.140625" customWidth="1"/>
    <col min="13129" max="13130" width="8.28515625" customWidth="1"/>
    <col min="13131" max="13132" width="5.85546875" customWidth="1"/>
    <col min="13133" max="13133" width="7" customWidth="1"/>
    <col min="13134" max="13134" width="5.85546875" customWidth="1"/>
    <col min="13135" max="13135" width="6.42578125" customWidth="1"/>
    <col min="13136" max="13136" width="1.7109375" customWidth="1"/>
    <col min="13137" max="13138" width="6.42578125" customWidth="1"/>
    <col min="13139" max="13139" width="1.7109375" customWidth="1"/>
    <col min="13140" max="13140" width="6.42578125" customWidth="1"/>
    <col min="13141" max="13141" width="6.85546875" customWidth="1"/>
    <col min="13142" max="13142" width="5.7109375" customWidth="1"/>
    <col min="13143" max="13143" width="3.28515625" customWidth="1"/>
    <col min="13144" max="13144" width="4" customWidth="1"/>
    <col min="13145" max="13145" width="14" customWidth="1"/>
    <col min="13146" max="13146" width="9.140625" customWidth="1"/>
    <col min="13147" max="13147" width="9.5703125" customWidth="1"/>
    <col min="13148" max="13148" width="1.5703125" customWidth="1"/>
    <col min="13149" max="13149" width="5.42578125" customWidth="1"/>
    <col min="13150" max="13150" width="19.140625" customWidth="1"/>
    <col min="13151" max="13151" width="7.28515625" customWidth="1"/>
    <col min="13152" max="13152" width="5.28515625" customWidth="1"/>
    <col min="13153" max="13153" width="4" customWidth="1"/>
    <col min="13154" max="13158" width="4.85546875" customWidth="1"/>
    <col min="13159" max="13159" width="6.85546875" customWidth="1"/>
    <col min="13160" max="13160" width="5.7109375" customWidth="1"/>
    <col min="13161" max="13161" width="7.7109375" customWidth="1"/>
    <col min="13162" max="13162" width="6.85546875" customWidth="1"/>
    <col min="13163" max="13163" width="5.140625" customWidth="1"/>
    <col min="13164" max="13164" width="7.85546875" customWidth="1"/>
    <col min="13165" max="13165" width="4.42578125" customWidth="1"/>
    <col min="13166" max="13166" width="6.85546875" customWidth="1"/>
    <col min="13167" max="13168" width="8" customWidth="1"/>
    <col min="13169" max="13169" width="6" customWidth="1"/>
    <col min="13170" max="13170" width="3.140625" customWidth="1"/>
    <col min="13171" max="13171" width="6" customWidth="1"/>
    <col min="13172" max="13172" width="5.5703125" customWidth="1"/>
    <col min="13173" max="13173" width="6.7109375" customWidth="1"/>
    <col min="13174" max="13174" width="6.85546875" customWidth="1"/>
    <col min="13175" max="13175" width="8.140625" customWidth="1"/>
    <col min="13176" max="13176" width="4.42578125" customWidth="1"/>
    <col min="13177" max="13177" width="7.140625" customWidth="1"/>
    <col min="13178" max="13178" width="6.5703125" customWidth="1"/>
    <col min="13179" max="13179" width="6.42578125" customWidth="1"/>
    <col min="13180" max="13180" width="8.28515625" customWidth="1"/>
    <col min="13181" max="13181" width="5.42578125" customWidth="1"/>
    <col min="13182" max="13182" width="7.5703125" customWidth="1"/>
    <col min="13183" max="13183" width="5.140625" customWidth="1"/>
    <col min="13184" max="13186" width="9.140625" customWidth="1"/>
    <col min="13188" max="13188" width="19.7109375" customWidth="1"/>
    <col min="13189" max="13189" width="6.5703125" customWidth="1"/>
    <col min="13190" max="13190" width="3.5703125" bestFit="1" customWidth="1"/>
    <col min="13191" max="13191" width="6.85546875" bestFit="1" customWidth="1"/>
    <col min="13192" max="13194" width="5.85546875" customWidth="1"/>
    <col min="13195" max="13195" width="6" bestFit="1" customWidth="1"/>
    <col min="13196" max="13198" width="0" hidden="1" customWidth="1"/>
    <col min="13199" max="13199" width="6" bestFit="1" customWidth="1"/>
    <col min="13200" max="13200" width="6.85546875" bestFit="1" customWidth="1"/>
    <col min="13201" max="13201" width="7" bestFit="1" customWidth="1"/>
    <col min="13202" max="13202" width="6" bestFit="1" customWidth="1"/>
    <col min="13203" max="13203" width="4.42578125" bestFit="1" customWidth="1"/>
    <col min="13204" max="13204" width="6" bestFit="1" customWidth="1"/>
    <col min="13205" max="13205" width="6.28515625" bestFit="1" customWidth="1"/>
    <col min="13206" max="13212" width="4.85546875" bestFit="1" customWidth="1"/>
    <col min="13213" max="13213" width="5" bestFit="1" customWidth="1"/>
    <col min="13214" max="13214" width="4.85546875" bestFit="1" customWidth="1"/>
    <col min="13215" max="13215" width="4.42578125" bestFit="1" customWidth="1"/>
    <col min="13216" max="13216" width="5.140625" bestFit="1" customWidth="1"/>
    <col min="13217" max="13217" width="4.85546875" bestFit="1" customWidth="1"/>
    <col min="13218" max="13218" width="5" bestFit="1" customWidth="1"/>
    <col min="13219" max="13220" width="5.28515625" bestFit="1" customWidth="1"/>
    <col min="13221" max="13221" width="5" bestFit="1" customWidth="1"/>
    <col min="13222" max="13222" width="4.42578125" bestFit="1" customWidth="1"/>
    <col min="13223" max="13223" width="4.5703125" bestFit="1" customWidth="1"/>
    <col min="13224" max="13225" width="5.140625" bestFit="1" customWidth="1"/>
    <col min="13226" max="13226" width="4.85546875" bestFit="1" customWidth="1"/>
    <col min="13227" max="13227" width="5.42578125" bestFit="1" customWidth="1"/>
    <col min="13228" max="13228" width="0" hidden="1" customWidth="1"/>
    <col min="13229" max="13229" width="6.5703125" bestFit="1" customWidth="1"/>
    <col min="13371" max="13371" width="6" customWidth="1"/>
    <col min="13372" max="13372" width="1.5703125" bestFit="1" customWidth="1"/>
    <col min="13373" max="13373" width="5.42578125" bestFit="1" customWidth="1"/>
    <col min="13374" max="13374" width="20.28515625" customWidth="1"/>
    <col min="13375" max="13375" width="7.28515625" customWidth="1"/>
    <col min="13376" max="13376" width="5.28515625" customWidth="1"/>
    <col min="13377" max="13377" width="6.5703125" customWidth="1"/>
    <col min="13378" max="13378" width="4.42578125" customWidth="1"/>
    <col min="13379" max="13379" width="8.28515625" customWidth="1"/>
    <col min="13380" max="13380" width="4.7109375" customWidth="1"/>
    <col min="13381" max="13381" width="5.7109375" customWidth="1"/>
    <col min="13382" max="13382" width="8" customWidth="1"/>
    <col min="13383" max="13383" width="6.85546875" customWidth="1"/>
    <col min="13384" max="13384" width="6.140625" customWidth="1"/>
    <col min="13385" max="13386" width="8.28515625" customWidth="1"/>
    <col min="13387" max="13388" width="5.85546875" customWidth="1"/>
    <col min="13389" max="13389" width="7" customWidth="1"/>
    <col min="13390" max="13390" width="5.85546875" customWidth="1"/>
    <col min="13391" max="13391" width="6.42578125" customWidth="1"/>
    <col min="13392" max="13392" width="1.7109375" customWidth="1"/>
    <col min="13393" max="13394" width="6.42578125" customWidth="1"/>
    <col min="13395" max="13395" width="1.7109375" customWidth="1"/>
    <col min="13396" max="13396" width="6.42578125" customWidth="1"/>
    <col min="13397" max="13397" width="6.85546875" customWidth="1"/>
    <col min="13398" max="13398" width="5.7109375" customWidth="1"/>
    <col min="13399" max="13399" width="3.28515625" customWidth="1"/>
    <col min="13400" max="13400" width="4" customWidth="1"/>
    <col min="13401" max="13401" width="14" customWidth="1"/>
    <col min="13402" max="13402" width="9.140625" customWidth="1"/>
    <col min="13403" max="13403" width="9.5703125" customWidth="1"/>
    <col min="13404" max="13404" width="1.5703125" customWidth="1"/>
    <col min="13405" max="13405" width="5.42578125" customWidth="1"/>
    <col min="13406" max="13406" width="19.140625" customWidth="1"/>
    <col min="13407" max="13407" width="7.28515625" customWidth="1"/>
    <col min="13408" max="13408" width="5.28515625" customWidth="1"/>
    <col min="13409" max="13409" width="4" customWidth="1"/>
    <col min="13410" max="13414" width="4.85546875" customWidth="1"/>
    <col min="13415" max="13415" width="6.85546875" customWidth="1"/>
    <col min="13416" max="13416" width="5.7109375" customWidth="1"/>
    <col min="13417" max="13417" width="7.7109375" customWidth="1"/>
    <col min="13418" max="13418" width="6.85546875" customWidth="1"/>
    <col min="13419" max="13419" width="5.140625" customWidth="1"/>
    <col min="13420" max="13420" width="7.85546875" customWidth="1"/>
    <col min="13421" max="13421" width="4.42578125" customWidth="1"/>
    <col min="13422" max="13422" width="6.85546875" customWidth="1"/>
    <col min="13423" max="13424" width="8" customWidth="1"/>
    <col min="13425" max="13425" width="6" customWidth="1"/>
    <col min="13426" max="13426" width="3.140625" customWidth="1"/>
    <col min="13427" max="13427" width="6" customWidth="1"/>
    <col min="13428" max="13428" width="5.5703125" customWidth="1"/>
    <col min="13429" max="13429" width="6.7109375" customWidth="1"/>
    <col min="13430" max="13430" width="6.85546875" customWidth="1"/>
    <col min="13431" max="13431" width="8.140625" customWidth="1"/>
    <col min="13432" max="13432" width="4.42578125" customWidth="1"/>
    <col min="13433" max="13433" width="7.140625" customWidth="1"/>
    <col min="13434" max="13434" width="6.5703125" customWidth="1"/>
    <col min="13435" max="13435" width="6.42578125" customWidth="1"/>
    <col min="13436" max="13436" width="8.28515625" customWidth="1"/>
    <col min="13437" max="13437" width="5.42578125" customWidth="1"/>
    <col min="13438" max="13438" width="7.5703125" customWidth="1"/>
    <col min="13439" max="13439" width="5.140625" customWidth="1"/>
    <col min="13440" max="13442" width="9.140625" customWidth="1"/>
    <col min="13444" max="13444" width="19.7109375" customWidth="1"/>
    <col min="13445" max="13445" width="6.5703125" customWidth="1"/>
    <col min="13446" max="13446" width="3.5703125" bestFit="1" customWidth="1"/>
    <col min="13447" max="13447" width="6.85546875" bestFit="1" customWidth="1"/>
    <col min="13448" max="13450" width="5.85546875" customWidth="1"/>
    <col min="13451" max="13451" width="6" bestFit="1" customWidth="1"/>
    <col min="13452" max="13454" width="0" hidden="1" customWidth="1"/>
    <col min="13455" max="13455" width="6" bestFit="1" customWidth="1"/>
    <col min="13456" max="13456" width="6.85546875" bestFit="1" customWidth="1"/>
    <col min="13457" max="13457" width="7" bestFit="1" customWidth="1"/>
    <col min="13458" max="13458" width="6" bestFit="1" customWidth="1"/>
    <col min="13459" max="13459" width="4.42578125" bestFit="1" customWidth="1"/>
    <col min="13460" max="13460" width="6" bestFit="1" customWidth="1"/>
    <col min="13461" max="13461" width="6.28515625" bestFit="1" customWidth="1"/>
    <col min="13462" max="13468" width="4.85546875" bestFit="1" customWidth="1"/>
    <col min="13469" max="13469" width="5" bestFit="1" customWidth="1"/>
    <col min="13470" max="13470" width="4.85546875" bestFit="1" customWidth="1"/>
    <col min="13471" max="13471" width="4.42578125" bestFit="1" customWidth="1"/>
    <col min="13472" max="13472" width="5.140625" bestFit="1" customWidth="1"/>
    <col min="13473" max="13473" width="4.85546875" bestFit="1" customWidth="1"/>
    <col min="13474" max="13474" width="5" bestFit="1" customWidth="1"/>
    <col min="13475" max="13476" width="5.28515625" bestFit="1" customWidth="1"/>
    <col min="13477" max="13477" width="5" bestFit="1" customWidth="1"/>
    <col min="13478" max="13478" width="4.42578125" bestFit="1" customWidth="1"/>
    <col min="13479" max="13479" width="4.5703125" bestFit="1" customWidth="1"/>
    <col min="13480" max="13481" width="5.140625" bestFit="1" customWidth="1"/>
    <col min="13482" max="13482" width="4.85546875" bestFit="1" customWidth="1"/>
    <col min="13483" max="13483" width="5.42578125" bestFit="1" customWidth="1"/>
    <col min="13484" max="13484" width="0" hidden="1" customWidth="1"/>
    <col min="13485" max="13485" width="6.5703125" bestFit="1" customWidth="1"/>
    <col min="13627" max="13627" width="6" customWidth="1"/>
    <col min="13628" max="13628" width="1.5703125" bestFit="1" customWidth="1"/>
    <col min="13629" max="13629" width="5.42578125" bestFit="1" customWidth="1"/>
    <col min="13630" max="13630" width="20.28515625" customWidth="1"/>
    <col min="13631" max="13631" width="7.28515625" customWidth="1"/>
    <col min="13632" max="13632" width="5.28515625" customWidth="1"/>
    <col min="13633" max="13633" width="6.5703125" customWidth="1"/>
    <col min="13634" max="13634" width="4.42578125" customWidth="1"/>
    <col min="13635" max="13635" width="8.28515625" customWidth="1"/>
    <col min="13636" max="13636" width="4.7109375" customWidth="1"/>
    <col min="13637" max="13637" width="5.7109375" customWidth="1"/>
    <col min="13638" max="13638" width="8" customWidth="1"/>
    <col min="13639" max="13639" width="6.85546875" customWidth="1"/>
    <col min="13640" max="13640" width="6.140625" customWidth="1"/>
    <col min="13641" max="13642" width="8.28515625" customWidth="1"/>
    <col min="13643" max="13644" width="5.85546875" customWidth="1"/>
    <col min="13645" max="13645" width="7" customWidth="1"/>
    <col min="13646" max="13646" width="5.85546875" customWidth="1"/>
    <col min="13647" max="13647" width="6.42578125" customWidth="1"/>
    <col min="13648" max="13648" width="1.7109375" customWidth="1"/>
    <col min="13649" max="13650" width="6.42578125" customWidth="1"/>
    <col min="13651" max="13651" width="1.7109375" customWidth="1"/>
    <col min="13652" max="13652" width="6.42578125" customWidth="1"/>
    <col min="13653" max="13653" width="6.85546875" customWidth="1"/>
    <col min="13654" max="13654" width="5.7109375" customWidth="1"/>
    <col min="13655" max="13655" width="3.28515625" customWidth="1"/>
    <col min="13656" max="13656" width="4" customWidth="1"/>
    <col min="13657" max="13657" width="14" customWidth="1"/>
    <col min="13658" max="13658" width="9.140625" customWidth="1"/>
    <col min="13659" max="13659" width="9.5703125" customWidth="1"/>
    <col min="13660" max="13660" width="1.5703125" customWidth="1"/>
    <col min="13661" max="13661" width="5.42578125" customWidth="1"/>
    <col min="13662" max="13662" width="19.140625" customWidth="1"/>
    <col min="13663" max="13663" width="7.28515625" customWidth="1"/>
    <col min="13664" max="13664" width="5.28515625" customWidth="1"/>
    <col min="13665" max="13665" width="4" customWidth="1"/>
    <col min="13666" max="13670" width="4.85546875" customWidth="1"/>
    <col min="13671" max="13671" width="6.85546875" customWidth="1"/>
    <col min="13672" max="13672" width="5.7109375" customWidth="1"/>
    <col min="13673" max="13673" width="7.7109375" customWidth="1"/>
    <col min="13674" max="13674" width="6.85546875" customWidth="1"/>
    <col min="13675" max="13675" width="5.140625" customWidth="1"/>
    <col min="13676" max="13676" width="7.85546875" customWidth="1"/>
    <col min="13677" max="13677" width="4.42578125" customWidth="1"/>
    <col min="13678" max="13678" width="6.85546875" customWidth="1"/>
    <col min="13679" max="13680" width="8" customWidth="1"/>
    <col min="13681" max="13681" width="6" customWidth="1"/>
    <col min="13682" max="13682" width="3.140625" customWidth="1"/>
    <col min="13683" max="13683" width="6" customWidth="1"/>
    <col min="13684" max="13684" width="5.5703125" customWidth="1"/>
    <col min="13685" max="13685" width="6.7109375" customWidth="1"/>
    <col min="13686" max="13686" width="6.85546875" customWidth="1"/>
    <col min="13687" max="13687" width="8.140625" customWidth="1"/>
    <col min="13688" max="13688" width="4.42578125" customWidth="1"/>
    <col min="13689" max="13689" width="7.140625" customWidth="1"/>
    <col min="13690" max="13690" width="6.5703125" customWidth="1"/>
    <col min="13691" max="13691" width="6.42578125" customWidth="1"/>
    <col min="13692" max="13692" width="8.28515625" customWidth="1"/>
    <col min="13693" max="13693" width="5.42578125" customWidth="1"/>
    <col min="13694" max="13694" width="7.5703125" customWidth="1"/>
    <col min="13695" max="13695" width="5.140625" customWidth="1"/>
    <col min="13696" max="13698" width="9.140625" customWidth="1"/>
    <col min="13700" max="13700" width="19.7109375" customWidth="1"/>
    <col min="13701" max="13701" width="6.5703125" customWidth="1"/>
    <col min="13702" max="13702" width="3.5703125" bestFit="1" customWidth="1"/>
    <col min="13703" max="13703" width="6.85546875" bestFit="1" customWidth="1"/>
    <col min="13704" max="13706" width="5.85546875" customWidth="1"/>
    <col min="13707" max="13707" width="6" bestFit="1" customWidth="1"/>
    <col min="13708" max="13710" width="0" hidden="1" customWidth="1"/>
    <col min="13711" max="13711" width="6" bestFit="1" customWidth="1"/>
    <col min="13712" max="13712" width="6.85546875" bestFit="1" customWidth="1"/>
    <col min="13713" max="13713" width="7" bestFit="1" customWidth="1"/>
    <col min="13714" max="13714" width="6" bestFit="1" customWidth="1"/>
    <col min="13715" max="13715" width="4.42578125" bestFit="1" customWidth="1"/>
    <col min="13716" max="13716" width="6" bestFit="1" customWidth="1"/>
    <col min="13717" max="13717" width="6.28515625" bestFit="1" customWidth="1"/>
    <col min="13718" max="13724" width="4.85546875" bestFit="1" customWidth="1"/>
    <col min="13725" max="13725" width="5" bestFit="1" customWidth="1"/>
    <col min="13726" max="13726" width="4.85546875" bestFit="1" customWidth="1"/>
    <col min="13727" max="13727" width="4.42578125" bestFit="1" customWidth="1"/>
    <col min="13728" max="13728" width="5.140625" bestFit="1" customWidth="1"/>
    <col min="13729" max="13729" width="4.85546875" bestFit="1" customWidth="1"/>
    <col min="13730" max="13730" width="5" bestFit="1" customWidth="1"/>
    <col min="13731" max="13732" width="5.28515625" bestFit="1" customWidth="1"/>
    <col min="13733" max="13733" width="5" bestFit="1" customWidth="1"/>
    <col min="13734" max="13734" width="4.42578125" bestFit="1" customWidth="1"/>
    <col min="13735" max="13735" width="4.5703125" bestFit="1" customWidth="1"/>
    <col min="13736" max="13737" width="5.140625" bestFit="1" customWidth="1"/>
    <col min="13738" max="13738" width="4.85546875" bestFit="1" customWidth="1"/>
    <col min="13739" max="13739" width="5.42578125" bestFit="1" customWidth="1"/>
    <col min="13740" max="13740" width="0" hidden="1" customWidth="1"/>
    <col min="13741" max="13741" width="6.5703125" bestFit="1" customWidth="1"/>
    <col min="13883" max="13883" width="6" customWidth="1"/>
    <col min="13884" max="13884" width="1.5703125" bestFit="1" customWidth="1"/>
    <col min="13885" max="13885" width="5.42578125" bestFit="1" customWidth="1"/>
    <col min="13886" max="13886" width="20.28515625" customWidth="1"/>
    <col min="13887" max="13887" width="7.28515625" customWidth="1"/>
    <col min="13888" max="13888" width="5.28515625" customWidth="1"/>
    <col min="13889" max="13889" width="6.5703125" customWidth="1"/>
    <col min="13890" max="13890" width="4.42578125" customWidth="1"/>
    <col min="13891" max="13891" width="8.28515625" customWidth="1"/>
    <col min="13892" max="13892" width="4.7109375" customWidth="1"/>
    <col min="13893" max="13893" width="5.7109375" customWidth="1"/>
    <col min="13894" max="13894" width="8" customWidth="1"/>
    <col min="13895" max="13895" width="6.85546875" customWidth="1"/>
    <col min="13896" max="13896" width="6.140625" customWidth="1"/>
    <col min="13897" max="13898" width="8.28515625" customWidth="1"/>
    <col min="13899" max="13900" width="5.85546875" customWidth="1"/>
    <col min="13901" max="13901" width="7" customWidth="1"/>
    <col min="13902" max="13902" width="5.85546875" customWidth="1"/>
    <col min="13903" max="13903" width="6.42578125" customWidth="1"/>
    <col min="13904" max="13904" width="1.7109375" customWidth="1"/>
    <col min="13905" max="13906" width="6.42578125" customWidth="1"/>
    <col min="13907" max="13907" width="1.7109375" customWidth="1"/>
    <col min="13908" max="13908" width="6.42578125" customWidth="1"/>
    <col min="13909" max="13909" width="6.85546875" customWidth="1"/>
    <col min="13910" max="13910" width="5.7109375" customWidth="1"/>
    <col min="13911" max="13911" width="3.28515625" customWidth="1"/>
    <col min="13912" max="13912" width="4" customWidth="1"/>
    <col min="13913" max="13913" width="14" customWidth="1"/>
    <col min="13914" max="13914" width="9.140625" customWidth="1"/>
    <col min="13915" max="13915" width="9.5703125" customWidth="1"/>
    <col min="13916" max="13916" width="1.5703125" customWidth="1"/>
    <col min="13917" max="13917" width="5.42578125" customWidth="1"/>
    <col min="13918" max="13918" width="19.140625" customWidth="1"/>
    <col min="13919" max="13919" width="7.28515625" customWidth="1"/>
    <col min="13920" max="13920" width="5.28515625" customWidth="1"/>
    <col min="13921" max="13921" width="4" customWidth="1"/>
    <col min="13922" max="13926" width="4.85546875" customWidth="1"/>
    <col min="13927" max="13927" width="6.85546875" customWidth="1"/>
    <col min="13928" max="13928" width="5.7109375" customWidth="1"/>
    <col min="13929" max="13929" width="7.7109375" customWidth="1"/>
    <col min="13930" max="13930" width="6.85546875" customWidth="1"/>
    <col min="13931" max="13931" width="5.140625" customWidth="1"/>
    <col min="13932" max="13932" width="7.85546875" customWidth="1"/>
    <col min="13933" max="13933" width="4.42578125" customWidth="1"/>
    <col min="13934" max="13934" width="6.85546875" customWidth="1"/>
    <col min="13935" max="13936" width="8" customWidth="1"/>
    <col min="13937" max="13937" width="6" customWidth="1"/>
    <col min="13938" max="13938" width="3.140625" customWidth="1"/>
    <col min="13939" max="13939" width="6" customWidth="1"/>
    <col min="13940" max="13940" width="5.5703125" customWidth="1"/>
    <col min="13941" max="13941" width="6.7109375" customWidth="1"/>
    <col min="13942" max="13942" width="6.85546875" customWidth="1"/>
    <col min="13943" max="13943" width="8.140625" customWidth="1"/>
    <col min="13944" max="13944" width="4.42578125" customWidth="1"/>
    <col min="13945" max="13945" width="7.140625" customWidth="1"/>
    <col min="13946" max="13946" width="6.5703125" customWidth="1"/>
    <col min="13947" max="13947" width="6.42578125" customWidth="1"/>
    <col min="13948" max="13948" width="8.28515625" customWidth="1"/>
    <col min="13949" max="13949" width="5.42578125" customWidth="1"/>
    <col min="13950" max="13950" width="7.5703125" customWidth="1"/>
    <col min="13951" max="13951" width="5.140625" customWidth="1"/>
    <col min="13952" max="13954" width="9.140625" customWidth="1"/>
    <col min="13956" max="13956" width="19.7109375" customWidth="1"/>
    <col min="13957" max="13957" width="6.5703125" customWidth="1"/>
    <col min="13958" max="13958" width="3.5703125" bestFit="1" customWidth="1"/>
    <col min="13959" max="13959" width="6.85546875" bestFit="1" customWidth="1"/>
    <col min="13960" max="13962" width="5.85546875" customWidth="1"/>
    <col min="13963" max="13963" width="6" bestFit="1" customWidth="1"/>
    <col min="13964" max="13966" width="0" hidden="1" customWidth="1"/>
    <col min="13967" max="13967" width="6" bestFit="1" customWidth="1"/>
    <col min="13968" max="13968" width="6.85546875" bestFit="1" customWidth="1"/>
    <col min="13969" max="13969" width="7" bestFit="1" customWidth="1"/>
    <col min="13970" max="13970" width="6" bestFit="1" customWidth="1"/>
    <col min="13971" max="13971" width="4.42578125" bestFit="1" customWidth="1"/>
    <col min="13972" max="13972" width="6" bestFit="1" customWidth="1"/>
    <col min="13973" max="13973" width="6.28515625" bestFit="1" customWidth="1"/>
    <col min="13974" max="13980" width="4.85546875" bestFit="1" customWidth="1"/>
    <col min="13981" max="13981" width="5" bestFit="1" customWidth="1"/>
    <col min="13982" max="13982" width="4.85546875" bestFit="1" customWidth="1"/>
    <col min="13983" max="13983" width="4.42578125" bestFit="1" customWidth="1"/>
    <col min="13984" max="13984" width="5.140625" bestFit="1" customWidth="1"/>
    <col min="13985" max="13985" width="4.85546875" bestFit="1" customWidth="1"/>
    <col min="13986" max="13986" width="5" bestFit="1" customWidth="1"/>
    <col min="13987" max="13988" width="5.28515625" bestFit="1" customWidth="1"/>
    <col min="13989" max="13989" width="5" bestFit="1" customWidth="1"/>
    <col min="13990" max="13990" width="4.42578125" bestFit="1" customWidth="1"/>
    <col min="13991" max="13991" width="4.5703125" bestFit="1" customWidth="1"/>
    <col min="13992" max="13993" width="5.140625" bestFit="1" customWidth="1"/>
    <col min="13994" max="13994" width="4.85546875" bestFit="1" customWidth="1"/>
    <col min="13995" max="13995" width="5.42578125" bestFit="1" customWidth="1"/>
    <col min="13996" max="13996" width="0" hidden="1" customWidth="1"/>
    <col min="13997" max="13997" width="6.5703125" bestFit="1" customWidth="1"/>
    <col min="14139" max="14139" width="6" customWidth="1"/>
    <col min="14140" max="14140" width="1.5703125" bestFit="1" customWidth="1"/>
    <col min="14141" max="14141" width="5.42578125" bestFit="1" customWidth="1"/>
    <col min="14142" max="14142" width="20.28515625" customWidth="1"/>
    <col min="14143" max="14143" width="7.28515625" customWidth="1"/>
    <col min="14144" max="14144" width="5.28515625" customWidth="1"/>
    <col min="14145" max="14145" width="6.5703125" customWidth="1"/>
    <col min="14146" max="14146" width="4.42578125" customWidth="1"/>
    <col min="14147" max="14147" width="8.28515625" customWidth="1"/>
    <col min="14148" max="14148" width="4.7109375" customWidth="1"/>
    <col min="14149" max="14149" width="5.7109375" customWidth="1"/>
    <col min="14150" max="14150" width="8" customWidth="1"/>
    <col min="14151" max="14151" width="6.85546875" customWidth="1"/>
    <col min="14152" max="14152" width="6.140625" customWidth="1"/>
    <col min="14153" max="14154" width="8.28515625" customWidth="1"/>
    <col min="14155" max="14156" width="5.85546875" customWidth="1"/>
    <col min="14157" max="14157" width="7" customWidth="1"/>
    <col min="14158" max="14158" width="5.85546875" customWidth="1"/>
    <col min="14159" max="14159" width="6.42578125" customWidth="1"/>
    <col min="14160" max="14160" width="1.7109375" customWidth="1"/>
    <col min="14161" max="14162" width="6.42578125" customWidth="1"/>
    <col min="14163" max="14163" width="1.7109375" customWidth="1"/>
    <col min="14164" max="14164" width="6.42578125" customWidth="1"/>
    <col min="14165" max="14165" width="6.85546875" customWidth="1"/>
    <col min="14166" max="14166" width="5.7109375" customWidth="1"/>
    <col min="14167" max="14167" width="3.28515625" customWidth="1"/>
    <col min="14168" max="14168" width="4" customWidth="1"/>
    <col min="14169" max="14169" width="14" customWidth="1"/>
    <col min="14170" max="14170" width="9.140625" customWidth="1"/>
    <col min="14171" max="14171" width="9.5703125" customWidth="1"/>
    <col min="14172" max="14172" width="1.5703125" customWidth="1"/>
    <col min="14173" max="14173" width="5.42578125" customWidth="1"/>
    <col min="14174" max="14174" width="19.140625" customWidth="1"/>
    <col min="14175" max="14175" width="7.28515625" customWidth="1"/>
    <col min="14176" max="14176" width="5.28515625" customWidth="1"/>
    <col min="14177" max="14177" width="4" customWidth="1"/>
    <col min="14178" max="14182" width="4.85546875" customWidth="1"/>
    <col min="14183" max="14183" width="6.85546875" customWidth="1"/>
    <col min="14184" max="14184" width="5.7109375" customWidth="1"/>
    <col min="14185" max="14185" width="7.7109375" customWidth="1"/>
    <col min="14186" max="14186" width="6.85546875" customWidth="1"/>
    <col min="14187" max="14187" width="5.140625" customWidth="1"/>
    <col min="14188" max="14188" width="7.85546875" customWidth="1"/>
    <col min="14189" max="14189" width="4.42578125" customWidth="1"/>
    <col min="14190" max="14190" width="6.85546875" customWidth="1"/>
    <col min="14191" max="14192" width="8" customWidth="1"/>
    <col min="14193" max="14193" width="6" customWidth="1"/>
    <col min="14194" max="14194" width="3.140625" customWidth="1"/>
    <col min="14195" max="14195" width="6" customWidth="1"/>
    <col min="14196" max="14196" width="5.5703125" customWidth="1"/>
    <col min="14197" max="14197" width="6.7109375" customWidth="1"/>
    <col min="14198" max="14198" width="6.85546875" customWidth="1"/>
    <col min="14199" max="14199" width="8.140625" customWidth="1"/>
    <col min="14200" max="14200" width="4.42578125" customWidth="1"/>
    <col min="14201" max="14201" width="7.140625" customWidth="1"/>
    <col min="14202" max="14202" width="6.5703125" customWidth="1"/>
    <col min="14203" max="14203" width="6.42578125" customWidth="1"/>
    <col min="14204" max="14204" width="8.28515625" customWidth="1"/>
    <col min="14205" max="14205" width="5.42578125" customWidth="1"/>
    <col min="14206" max="14206" width="7.5703125" customWidth="1"/>
    <col min="14207" max="14207" width="5.140625" customWidth="1"/>
    <col min="14208" max="14210" width="9.140625" customWidth="1"/>
    <col min="14212" max="14212" width="19.7109375" customWidth="1"/>
    <col min="14213" max="14213" width="6.5703125" customWidth="1"/>
    <col min="14214" max="14214" width="3.5703125" bestFit="1" customWidth="1"/>
    <col min="14215" max="14215" width="6.85546875" bestFit="1" customWidth="1"/>
    <col min="14216" max="14218" width="5.85546875" customWidth="1"/>
    <col min="14219" max="14219" width="6" bestFit="1" customWidth="1"/>
    <col min="14220" max="14222" width="0" hidden="1" customWidth="1"/>
    <col min="14223" max="14223" width="6" bestFit="1" customWidth="1"/>
    <col min="14224" max="14224" width="6.85546875" bestFit="1" customWidth="1"/>
    <col min="14225" max="14225" width="7" bestFit="1" customWidth="1"/>
    <col min="14226" max="14226" width="6" bestFit="1" customWidth="1"/>
    <col min="14227" max="14227" width="4.42578125" bestFit="1" customWidth="1"/>
    <col min="14228" max="14228" width="6" bestFit="1" customWidth="1"/>
    <col min="14229" max="14229" width="6.28515625" bestFit="1" customWidth="1"/>
    <col min="14230" max="14236" width="4.85546875" bestFit="1" customWidth="1"/>
    <col min="14237" max="14237" width="5" bestFit="1" customWidth="1"/>
    <col min="14238" max="14238" width="4.85546875" bestFit="1" customWidth="1"/>
    <col min="14239" max="14239" width="4.42578125" bestFit="1" customWidth="1"/>
    <col min="14240" max="14240" width="5.140625" bestFit="1" customWidth="1"/>
    <col min="14241" max="14241" width="4.85546875" bestFit="1" customWidth="1"/>
    <col min="14242" max="14242" width="5" bestFit="1" customWidth="1"/>
    <col min="14243" max="14244" width="5.28515625" bestFit="1" customWidth="1"/>
    <col min="14245" max="14245" width="5" bestFit="1" customWidth="1"/>
    <col min="14246" max="14246" width="4.42578125" bestFit="1" customWidth="1"/>
    <col min="14247" max="14247" width="4.5703125" bestFit="1" customWidth="1"/>
    <col min="14248" max="14249" width="5.140625" bestFit="1" customWidth="1"/>
    <col min="14250" max="14250" width="4.85546875" bestFit="1" customWidth="1"/>
    <col min="14251" max="14251" width="5.42578125" bestFit="1" customWidth="1"/>
    <col min="14252" max="14252" width="0" hidden="1" customWidth="1"/>
    <col min="14253" max="14253" width="6.5703125" bestFit="1" customWidth="1"/>
    <col min="14395" max="14395" width="6" customWidth="1"/>
    <col min="14396" max="14396" width="1.5703125" bestFit="1" customWidth="1"/>
    <col min="14397" max="14397" width="5.42578125" bestFit="1" customWidth="1"/>
    <col min="14398" max="14398" width="20.28515625" customWidth="1"/>
    <col min="14399" max="14399" width="7.28515625" customWidth="1"/>
    <col min="14400" max="14400" width="5.28515625" customWidth="1"/>
    <col min="14401" max="14401" width="6.5703125" customWidth="1"/>
    <col min="14402" max="14402" width="4.42578125" customWidth="1"/>
    <col min="14403" max="14403" width="8.28515625" customWidth="1"/>
    <col min="14404" max="14404" width="4.7109375" customWidth="1"/>
    <col min="14405" max="14405" width="5.7109375" customWidth="1"/>
    <col min="14406" max="14406" width="8" customWidth="1"/>
    <col min="14407" max="14407" width="6.85546875" customWidth="1"/>
    <col min="14408" max="14408" width="6.140625" customWidth="1"/>
    <col min="14409" max="14410" width="8.28515625" customWidth="1"/>
    <col min="14411" max="14412" width="5.85546875" customWidth="1"/>
    <col min="14413" max="14413" width="7" customWidth="1"/>
    <col min="14414" max="14414" width="5.85546875" customWidth="1"/>
    <col min="14415" max="14415" width="6.42578125" customWidth="1"/>
    <col min="14416" max="14416" width="1.7109375" customWidth="1"/>
    <col min="14417" max="14418" width="6.42578125" customWidth="1"/>
    <col min="14419" max="14419" width="1.7109375" customWidth="1"/>
    <col min="14420" max="14420" width="6.42578125" customWidth="1"/>
    <col min="14421" max="14421" width="6.85546875" customWidth="1"/>
    <col min="14422" max="14422" width="5.7109375" customWidth="1"/>
    <col min="14423" max="14423" width="3.28515625" customWidth="1"/>
    <col min="14424" max="14424" width="4" customWidth="1"/>
    <col min="14425" max="14425" width="14" customWidth="1"/>
    <col min="14426" max="14426" width="9.140625" customWidth="1"/>
    <col min="14427" max="14427" width="9.5703125" customWidth="1"/>
    <col min="14428" max="14428" width="1.5703125" customWidth="1"/>
    <col min="14429" max="14429" width="5.42578125" customWidth="1"/>
    <col min="14430" max="14430" width="19.140625" customWidth="1"/>
    <col min="14431" max="14431" width="7.28515625" customWidth="1"/>
    <col min="14432" max="14432" width="5.28515625" customWidth="1"/>
    <col min="14433" max="14433" width="4" customWidth="1"/>
    <col min="14434" max="14438" width="4.85546875" customWidth="1"/>
    <col min="14439" max="14439" width="6.85546875" customWidth="1"/>
    <col min="14440" max="14440" width="5.7109375" customWidth="1"/>
    <col min="14441" max="14441" width="7.7109375" customWidth="1"/>
    <col min="14442" max="14442" width="6.85546875" customWidth="1"/>
    <col min="14443" max="14443" width="5.140625" customWidth="1"/>
    <col min="14444" max="14444" width="7.85546875" customWidth="1"/>
    <col min="14445" max="14445" width="4.42578125" customWidth="1"/>
    <col min="14446" max="14446" width="6.85546875" customWidth="1"/>
    <col min="14447" max="14448" width="8" customWidth="1"/>
    <col min="14449" max="14449" width="6" customWidth="1"/>
    <col min="14450" max="14450" width="3.140625" customWidth="1"/>
    <col min="14451" max="14451" width="6" customWidth="1"/>
    <col min="14452" max="14452" width="5.5703125" customWidth="1"/>
    <col min="14453" max="14453" width="6.7109375" customWidth="1"/>
    <col min="14454" max="14454" width="6.85546875" customWidth="1"/>
    <col min="14455" max="14455" width="8.140625" customWidth="1"/>
    <col min="14456" max="14456" width="4.42578125" customWidth="1"/>
    <col min="14457" max="14457" width="7.140625" customWidth="1"/>
    <col min="14458" max="14458" width="6.5703125" customWidth="1"/>
    <col min="14459" max="14459" width="6.42578125" customWidth="1"/>
    <col min="14460" max="14460" width="8.28515625" customWidth="1"/>
    <col min="14461" max="14461" width="5.42578125" customWidth="1"/>
    <col min="14462" max="14462" width="7.5703125" customWidth="1"/>
    <col min="14463" max="14463" width="5.140625" customWidth="1"/>
    <col min="14464" max="14466" width="9.140625" customWidth="1"/>
    <col min="14468" max="14468" width="19.7109375" customWidth="1"/>
    <col min="14469" max="14469" width="6.5703125" customWidth="1"/>
    <col min="14470" max="14470" width="3.5703125" bestFit="1" customWidth="1"/>
    <col min="14471" max="14471" width="6.85546875" bestFit="1" customWidth="1"/>
    <col min="14472" max="14474" width="5.85546875" customWidth="1"/>
    <col min="14475" max="14475" width="6" bestFit="1" customWidth="1"/>
    <col min="14476" max="14478" width="0" hidden="1" customWidth="1"/>
    <col min="14479" max="14479" width="6" bestFit="1" customWidth="1"/>
    <col min="14480" max="14480" width="6.85546875" bestFit="1" customWidth="1"/>
    <col min="14481" max="14481" width="7" bestFit="1" customWidth="1"/>
    <col min="14482" max="14482" width="6" bestFit="1" customWidth="1"/>
    <col min="14483" max="14483" width="4.42578125" bestFit="1" customWidth="1"/>
    <col min="14484" max="14484" width="6" bestFit="1" customWidth="1"/>
    <col min="14485" max="14485" width="6.28515625" bestFit="1" customWidth="1"/>
    <col min="14486" max="14492" width="4.85546875" bestFit="1" customWidth="1"/>
    <col min="14493" max="14493" width="5" bestFit="1" customWidth="1"/>
    <col min="14494" max="14494" width="4.85546875" bestFit="1" customWidth="1"/>
    <col min="14495" max="14495" width="4.42578125" bestFit="1" customWidth="1"/>
    <col min="14496" max="14496" width="5.140625" bestFit="1" customWidth="1"/>
    <col min="14497" max="14497" width="4.85546875" bestFit="1" customWidth="1"/>
    <col min="14498" max="14498" width="5" bestFit="1" customWidth="1"/>
    <col min="14499" max="14500" width="5.28515625" bestFit="1" customWidth="1"/>
    <col min="14501" max="14501" width="5" bestFit="1" customWidth="1"/>
    <col min="14502" max="14502" width="4.42578125" bestFit="1" customWidth="1"/>
    <col min="14503" max="14503" width="4.5703125" bestFit="1" customWidth="1"/>
    <col min="14504" max="14505" width="5.140625" bestFit="1" customWidth="1"/>
    <col min="14506" max="14506" width="4.85546875" bestFit="1" customWidth="1"/>
    <col min="14507" max="14507" width="5.42578125" bestFit="1" customWidth="1"/>
    <col min="14508" max="14508" width="0" hidden="1" customWidth="1"/>
    <col min="14509" max="14509" width="6.5703125" bestFit="1" customWidth="1"/>
    <col min="14651" max="14651" width="6" customWidth="1"/>
    <col min="14652" max="14652" width="1.5703125" bestFit="1" customWidth="1"/>
    <col min="14653" max="14653" width="5.42578125" bestFit="1" customWidth="1"/>
    <col min="14654" max="14654" width="20.28515625" customWidth="1"/>
    <col min="14655" max="14655" width="7.28515625" customWidth="1"/>
    <col min="14656" max="14656" width="5.28515625" customWidth="1"/>
    <col min="14657" max="14657" width="6.5703125" customWidth="1"/>
    <col min="14658" max="14658" width="4.42578125" customWidth="1"/>
    <col min="14659" max="14659" width="8.28515625" customWidth="1"/>
    <col min="14660" max="14660" width="4.7109375" customWidth="1"/>
    <col min="14661" max="14661" width="5.7109375" customWidth="1"/>
    <col min="14662" max="14662" width="8" customWidth="1"/>
    <col min="14663" max="14663" width="6.85546875" customWidth="1"/>
    <col min="14664" max="14664" width="6.140625" customWidth="1"/>
    <col min="14665" max="14666" width="8.28515625" customWidth="1"/>
    <col min="14667" max="14668" width="5.85546875" customWidth="1"/>
    <col min="14669" max="14669" width="7" customWidth="1"/>
    <col min="14670" max="14670" width="5.85546875" customWidth="1"/>
    <col min="14671" max="14671" width="6.42578125" customWidth="1"/>
    <col min="14672" max="14672" width="1.7109375" customWidth="1"/>
    <col min="14673" max="14674" width="6.42578125" customWidth="1"/>
    <col min="14675" max="14675" width="1.7109375" customWidth="1"/>
    <col min="14676" max="14676" width="6.42578125" customWidth="1"/>
    <col min="14677" max="14677" width="6.85546875" customWidth="1"/>
    <col min="14678" max="14678" width="5.7109375" customWidth="1"/>
    <col min="14679" max="14679" width="3.28515625" customWidth="1"/>
    <col min="14680" max="14680" width="4" customWidth="1"/>
    <col min="14681" max="14681" width="14" customWidth="1"/>
    <col min="14682" max="14682" width="9.140625" customWidth="1"/>
    <col min="14683" max="14683" width="9.5703125" customWidth="1"/>
    <col min="14684" max="14684" width="1.5703125" customWidth="1"/>
    <col min="14685" max="14685" width="5.42578125" customWidth="1"/>
    <col min="14686" max="14686" width="19.140625" customWidth="1"/>
    <col min="14687" max="14687" width="7.28515625" customWidth="1"/>
    <col min="14688" max="14688" width="5.28515625" customWidth="1"/>
    <col min="14689" max="14689" width="4" customWidth="1"/>
    <col min="14690" max="14694" width="4.85546875" customWidth="1"/>
    <col min="14695" max="14695" width="6.85546875" customWidth="1"/>
    <col min="14696" max="14696" width="5.7109375" customWidth="1"/>
    <col min="14697" max="14697" width="7.7109375" customWidth="1"/>
    <col min="14698" max="14698" width="6.85546875" customWidth="1"/>
    <col min="14699" max="14699" width="5.140625" customWidth="1"/>
    <col min="14700" max="14700" width="7.85546875" customWidth="1"/>
    <col min="14701" max="14701" width="4.42578125" customWidth="1"/>
    <col min="14702" max="14702" width="6.85546875" customWidth="1"/>
    <col min="14703" max="14704" width="8" customWidth="1"/>
    <col min="14705" max="14705" width="6" customWidth="1"/>
    <col min="14706" max="14706" width="3.140625" customWidth="1"/>
    <col min="14707" max="14707" width="6" customWidth="1"/>
    <col min="14708" max="14708" width="5.5703125" customWidth="1"/>
    <col min="14709" max="14709" width="6.7109375" customWidth="1"/>
    <col min="14710" max="14710" width="6.85546875" customWidth="1"/>
    <col min="14711" max="14711" width="8.140625" customWidth="1"/>
    <col min="14712" max="14712" width="4.42578125" customWidth="1"/>
    <col min="14713" max="14713" width="7.140625" customWidth="1"/>
    <col min="14714" max="14714" width="6.5703125" customWidth="1"/>
    <col min="14715" max="14715" width="6.42578125" customWidth="1"/>
    <col min="14716" max="14716" width="8.28515625" customWidth="1"/>
    <col min="14717" max="14717" width="5.42578125" customWidth="1"/>
    <col min="14718" max="14718" width="7.5703125" customWidth="1"/>
    <col min="14719" max="14719" width="5.140625" customWidth="1"/>
    <col min="14720" max="14722" width="9.140625" customWidth="1"/>
    <col min="14724" max="14724" width="19.7109375" customWidth="1"/>
    <col min="14725" max="14725" width="6.5703125" customWidth="1"/>
    <col min="14726" max="14726" width="3.5703125" bestFit="1" customWidth="1"/>
    <col min="14727" max="14727" width="6.85546875" bestFit="1" customWidth="1"/>
    <col min="14728" max="14730" width="5.85546875" customWidth="1"/>
    <col min="14731" max="14731" width="6" bestFit="1" customWidth="1"/>
    <col min="14732" max="14734" width="0" hidden="1" customWidth="1"/>
    <col min="14735" max="14735" width="6" bestFit="1" customWidth="1"/>
    <col min="14736" max="14736" width="6.85546875" bestFit="1" customWidth="1"/>
    <col min="14737" max="14737" width="7" bestFit="1" customWidth="1"/>
    <col min="14738" max="14738" width="6" bestFit="1" customWidth="1"/>
    <col min="14739" max="14739" width="4.42578125" bestFit="1" customWidth="1"/>
    <col min="14740" max="14740" width="6" bestFit="1" customWidth="1"/>
    <col min="14741" max="14741" width="6.28515625" bestFit="1" customWidth="1"/>
    <col min="14742" max="14748" width="4.85546875" bestFit="1" customWidth="1"/>
    <col min="14749" max="14749" width="5" bestFit="1" customWidth="1"/>
    <col min="14750" max="14750" width="4.85546875" bestFit="1" customWidth="1"/>
    <col min="14751" max="14751" width="4.42578125" bestFit="1" customWidth="1"/>
    <col min="14752" max="14752" width="5.140625" bestFit="1" customWidth="1"/>
    <col min="14753" max="14753" width="4.85546875" bestFit="1" customWidth="1"/>
    <col min="14754" max="14754" width="5" bestFit="1" customWidth="1"/>
    <col min="14755" max="14756" width="5.28515625" bestFit="1" customWidth="1"/>
    <col min="14757" max="14757" width="5" bestFit="1" customWidth="1"/>
    <col min="14758" max="14758" width="4.42578125" bestFit="1" customWidth="1"/>
    <col min="14759" max="14759" width="4.5703125" bestFit="1" customWidth="1"/>
    <col min="14760" max="14761" width="5.140625" bestFit="1" customWidth="1"/>
    <col min="14762" max="14762" width="4.85546875" bestFit="1" customWidth="1"/>
    <col min="14763" max="14763" width="5.42578125" bestFit="1" customWidth="1"/>
    <col min="14764" max="14764" width="0" hidden="1" customWidth="1"/>
    <col min="14765" max="14765" width="6.5703125" bestFit="1" customWidth="1"/>
    <col min="14907" max="14907" width="6" customWidth="1"/>
    <col min="14908" max="14908" width="1.5703125" bestFit="1" customWidth="1"/>
    <col min="14909" max="14909" width="5.42578125" bestFit="1" customWidth="1"/>
    <col min="14910" max="14910" width="20.28515625" customWidth="1"/>
    <col min="14911" max="14911" width="7.28515625" customWidth="1"/>
    <col min="14912" max="14912" width="5.28515625" customWidth="1"/>
    <col min="14913" max="14913" width="6.5703125" customWidth="1"/>
    <col min="14914" max="14914" width="4.42578125" customWidth="1"/>
    <col min="14915" max="14915" width="8.28515625" customWidth="1"/>
    <col min="14916" max="14916" width="4.7109375" customWidth="1"/>
    <col min="14917" max="14917" width="5.7109375" customWidth="1"/>
    <col min="14918" max="14918" width="8" customWidth="1"/>
    <col min="14919" max="14919" width="6.85546875" customWidth="1"/>
    <col min="14920" max="14920" width="6.140625" customWidth="1"/>
    <col min="14921" max="14922" width="8.28515625" customWidth="1"/>
    <col min="14923" max="14924" width="5.85546875" customWidth="1"/>
    <col min="14925" max="14925" width="7" customWidth="1"/>
    <col min="14926" max="14926" width="5.85546875" customWidth="1"/>
    <col min="14927" max="14927" width="6.42578125" customWidth="1"/>
    <col min="14928" max="14928" width="1.7109375" customWidth="1"/>
    <col min="14929" max="14930" width="6.42578125" customWidth="1"/>
    <col min="14931" max="14931" width="1.7109375" customWidth="1"/>
    <col min="14932" max="14932" width="6.42578125" customWidth="1"/>
    <col min="14933" max="14933" width="6.85546875" customWidth="1"/>
    <col min="14934" max="14934" width="5.7109375" customWidth="1"/>
    <col min="14935" max="14935" width="3.28515625" customWidth="1"/>
    <col min="14936" max="14936" width="4" customWidth="1"/>
    <col min="14937" max="14937" width="14" customWidth="1"/>
    <col min="14938" max="14938" width="9.140625" customWidth="1"/>
    <col min="14939" max="14939" width="9.5703125" customWidth="1"/>
    <col min="14940" max="14940" width="1.5703125" customWidth="1"/>
    <col min="14941" max="14941" width="5.42578125" customWidth="1"/>
    <col min="14942" max="14942" width="19.140625" customWidth="1"/>
    <col min="14943" max="14943" width="7.28515625" customWidth="1"/>
    <col min="14944" max="14944" width="5.28515625" customWidth="1"/>
    <col min="14945" max="14945" width="4" customWidth="1"/>
    <col min="14946" max="14950" width="4.85546875" customWidth="1"/>
    <col min="14951" max="14951" width="6.85546875" customWidth="1"/>
    <col min="14952" max="14952" width="5.7109375" customWidth="1"/>
    <col min="14953" max="14953" width="7.7109375" customWidth="1"/>
    <col min="14954" max="14954" width="6.85546875" customWidth="1"/>
    <col min="14955" max="14955" width="5.140625" customWidth="1"/>
    <col min="14956" max="14956" width="7.85546875" customWidth="1"/>
    <col min="14957" max="14957" width="4.42578125" customWidth="1"/>
    <col min="14958" max="14958" width="6.85546875" customWidth="1"/>
    <col min="14959" max="14960" width="8" customWidth="1"/>
    <col min="14961" max="14961" width="6" customWidth="1"/>
    <col min="14962" max="14962" width="3.140625" customWidth="1"/>
    <col min="14963" max="14963" width="6" customWidth="1"/>
    <col min="14964" max="14964" width="5.5703125" customWidth="1"/>
    <col min="14965" max="14965" width="6.7109375" customWidth="1"/>
    <col min="14966" max="14966" width="6.85546875" customWidth="1"/>
    <col min="14967" max="14967" width="8.140625" customWidth="1"/>
    <col min="14968" max="14968" width="4.42578125" customWidth="1"/>
    <col min="14969" max="14969" width="7.140625" customWidth="1"/>
    <col min="14970" max="14970" width="6.5703125" customWidth="1"/>
    <col min="14971" max="14971" width="6.42578125" customWidth="1"/>
    <col min="14972" max="14972" width="8.28515625" customWidth="1"/>
    <col min="14973" max="14973" width="5.42578125" customWidth="1"/>
    <col min="14974" max="14974" width="7.5703125" customWidth="1"/>
    <col min="14975" max="14975" width="5.140625" customWidth="1"/>
    <col min="14976" max="14978" width="9.140625" customWidth="1"/>
    <col min="14980" max="14980" width="19.7109375" customWidth="1"/>
    <col min="14981" max="14981" width="6.5703125" customWidth="1"/>
    <col min="14982" max="14982" width="3.5703125" bestFit="1" customWidth="1"/>
    <col min="14983" max="14983" width="6.85546875" bestFit="1" customWidth="1"/>
    <col min="14984" max="14986" width="5.85546875" customWidth="1"/>
    <col min="14987" max="14987" width="6" bestFit="1" customWidth="1"/>
    <col min="14988" max="14990" width="0" hidden="1" customWidth="1"/>
    <col min="14991" max="14991" width="6" bestFit="1" customWidth="1"/>
    <col min="14992" max="14992" width="6.85546875" bestFit="1" customWidth="1"/>
    <col min="14993" max="14993" width="7" bestFit="1" customWidth="1"/>
    <col min="14994" max="14994" width="6" bestFit="1" customWidth="1"/>
    <col min="14995" max="14995" width="4.42578125" bestFit="1" customWidth="1"/>
    <col min="14996" max="14996" width="6" bestFit="1" customWidth="1"/>
    <col min="14997" max="14997" width="6.28515625" bestFit="1" customWidth="1"/>
    <col min="14998" max="15004" width="4.85546875" bestFit="1" customWidth="1"/>
    <col min="15005" max="15005" width="5" bestFit="1" customWidth="1"/>
    <col min="15006" max="15006" width="4.85546875" bestFit="1" customWidth="1"/>
    <col min="15007" max="15007" width="4.42578125" bestFit="1" customWidth="1"/>
    <col min="15008" max="15008" width="5.140625" bestFit="1" customWidth="1"/>
    <col min="15009" max="15009" width="4.85546875" bestFit="1" customWidth="1"/>
    <col min="15010" max="15010" width="5" bestFit="1" customWidth="1"/>
    <col min="15011" max="15012" width="5.28515625" bestFit="1" customWidth="1"/>
    <col min="15013" max="15013" width="5" bestFit="1" customWidth="1"/>
    <col min="15014" max="15014" width="4.42578125" bestFit="1" customWidth="1"/>
    <col min="15015" max="15015" width="4.5703125" bestFit="1" customWidth="1"/>
    <col min="15016" max="15017" width="5.140625" bestFit="1" customWidth="1"/>
    <col min="15018" max="15018" width="4.85546875" bestFit="1" customWidth="1"/>
    <col min="15019" max="15019" width="5.42578125" bestFit="1" customWidth="1"/>
    <col min="15020" max="15020" width="0" hidden="1" customWidth="1"/>
    <col min="15021" max="15021" width="6.5703125" bestFit="1" customWidth="1"/>
    <col min="15163" max="15163" width="6" customWidth="1"/>
    <col min="15164" max="15164" width="1.5703125" bestFit="1" customWidth="1"/>
    <col min="15165" max="15165" width="5.42578125" bestFit="1" customWidth="1"/>
    <col min="15166" max="15166" width="20.28515625" customWidth="1"/>
    <col min="15167" max="15167" width="7.28515625" customWidth="1"/>
    <col min="15168" max="15168" width="5.28515625" customWidth="1"/>
    <col min="15169" max="15169" width="6.5703125" customWidth="1"/>
    <col min="15170" max="15170" width="4.42578125" customWidth="1"/>
    <col min="15171" max="15171" width="8.28515625" customWidth="1"/>
    <col min="15172" max="15172" width="4.7109375" customWidth="1"/>
    <col min="15173" max="15173" width="5.7109375" customWidth="1"/>
    <col min="15174" max="15174" width="8" customWidth="1"/>
    <col min="15175" max="15175" width="6.85546875" customWidth="1"/>
    <col min="15176" max="15176" width="6.140625" customWidth="1"/>
    <col min="15177" max="15178" width="8.28515625" customWidth="1"/>
    <col min="15179" max="15180" width="5.85546875" customWidth="1"/>
    <col min="15181" max="15181" width="7" customWidth="1"/>
    <col min="15182" max="15182" width="5.85546875" customWidth="1"/>
    <col min="15183" max="15183" width="6.42578125" customWidth="1"/>
    <col min="15184" max="15184" width="1.7109375" customWidth="1"/>
    <col min="15185" max="15186" width="6.42578125" customWidth="1"/>
    <col min="15187" max="15187" width="1.7109375" customWidth="1"/>
    <col min="15188" max="15188" width="6.42578125" customWidth="1"/>
    <col min="15189" max="15189" width="6.85546875" customWidth="1"/>
    <col min="15190" max="15190" width="5.7109375" customWidth="1"/>
    <col min="15191" max="15191" width="3.28515625" customWidth="1"/>
    <col min="15192" max="15192" width="4" customWidth="1"/>
    <col min="15193" max="15193" width="14" customWidth="1"/>
    <col min="15194" max="15194" width="9.140625" customWidth="1"/>
    <col min="15195" max="15195" width="9.5703125" customWidth="1"/>
    <col min="15196" max="15196" width="1.5703125" customWidth="1"/>
    <col min="15197" max="15197" width="5.42578125" customWidth="1"/>
    <col min="15198" max="15198" width="19.140625" customWidth="1"/>
    <col min="15199" max="15199" width="7.28515625" customWidth="1"/>
    <col min="15200" max="15200" width="5.28515625" customWidth="1"/>
    <col min="15201" max="15201" width="4" customWidth="1"/>
    <col min="15202" max="15206" width="4.85546875" customWidth="1"/>
    <col min="15207" max="15207" width="6.85546875" customWidth="1"/>
    <col min="15208" max="15208" width="5.7109375" customWidth="1"/>
    <col min="15209" max="15209" width="7.7109375" customWidth="1"/>
    <col min="15210" max="15210" width="6.85546875" customWidth="1"/>
    <col min="15211" max="15211" width="5.140625" customWidth="1"/>
    <col min="15212" max="15212" width="7.85546875" customWidth="1"/>
    <col min="15213" max="15213" width="4.42578125" customWidth="1"/>
    <col min="15214" max="15214" width="6.85546875" customWidth="1"/>
    <col min="15215" max="15216" width="8" customWidth="1"/>
    <col min="15217" max="15217" width="6" customWidth="1"/>
    <col min="15218" max="15218" width="3.140625" customWidth="1"/>
    <col min="15219" max="15219" width="6" customWidth="1"/>
    <col min="15220" max="15220" width="5.5703125" customWidth="1"/>
    <col min="15221" max="15221" width="6.7109375" customWidth="1"/>
    <col min="15222" max="15222" width="6.85546875" customWidth="1"/>
    <col min="15223" max="15223" width="8.140625" customWidth="1"/>
    <col min="15224" max="15224" width="4.42578125" customWidth="1"/>
    <col min="15225" max="15225" width="7.140625" customWidth="1"/>
    <col min="15226" max="15226" width="6.5703125" customWidth="1"/>
    <col min="15227" max="15227" width="6.42578125" customWidth="1"/>
    <col min="15228" max="15228" width="8.28515625" customWidth="1"/>
    <col min="15229" max="15229" width="5.42578125" customWidth="1"/>
    <col min="15230" max="15230" width="7.5703125" customWidth="1"/>
    <col min="15231" max="15231" width="5.140625" customWidth="1"/>
    <col min="15232" max="15234" width="9.140625" customWidth="1"/>
    <col min="15236" max="15236" width="19.7109375" customWidth="1"/>
    <col min="15237" max="15237" width="6.5703125" customWidth="1"/>
    <col min="15238" max="15238" width="3.5703125" bestFit="1" customWidth="1"/>
    <col min="15239" max="15239" width="6.85546875" bestFit="1" customWidth="1"/>
    <col min="15240" max="15242" width="5.85546875" customWidth="1"/>
    <col min="15243" max="15243" width="6" bestFit="1" customWidth="1"/>
    <col min="15244" max="15246" width="0" hidden="1" customWidth="1"/>
    <col min="15247" max="15247" width="6" bestFit="1" customWidth="1"/>
    <col min="15248" max="15248" width="6.85546875" bestFit="1" customWidth="1"/>
    <col min="15249" max="15249" width="7" bestFit="1" customWidth="1"/>
    <col min="15250" max="15250" width="6" bestFit="1" customWidth="1"/>
    <col min="15251" max="15251" width="4.42578125" bestFit="1" customWidth="1"/>
    <col min="15252" max="15252" width="6" bestFit="1" customWidth="1"/>
    <col min="15253" max="15253" width="6.28515625" bestFit="1" customWidth="1"/>
    <col min="15254" max="15260" width="4.85546875" bestFit="1" customWidth="1"/>
    <col min="15261" max="15261" width="5" bestFit="1" customWidth="1"/>
    <col min="15262" max="15262" width="4.85546875" bestFit="1" customWidth="1"/>
    <col min="15263" max="15263" width="4.42578125" bestFit="1" customWidth="1"/>
    <col min="15264" max="15264" width="5.140625" bestFit="1" customWidth="1"/>
    <col min="15265" max="15265" width="4.85546875" bestFit="1" customWidth="1"/>
    <col min="15266" max="15266" width="5" bestFit="1" customWidth="1"/>
    <col min="15267" max="15268" width="5.28515625" bestFit="1" customWidth="1"/>
    <col min="15269" max="15269" width="5" bestFit="1" customWidth="1"/>
    <col min="15270" max="15270" width="4.42578125" bestFit="1" customWidth="1"/>
    <col min="15271" max="15271" width="4.5703125" bestFit="1" customWidth="1"/>
    <col min="15272" max="15273" width="5.140625" bestFit="1" customWidth="1"/>
    <col min="15274" max="15274" width="4.85546875" bestFit="1" customWidth="1"/>
    <col min="15275" max="15275" width="5.42578125" bestFit="1" customWidth="1"/>
    <col min="15276" max="15276" width="0" hidden="1" customWidth="1"/>
    <col min="15277" max="15277" width="6.5703125" bestFit="1" customWidth="1"/>
    <col min="15419" max="15419" width="6" customWidth="1"/>
    <col min="15420" max="15420" width="1.5703125" bestFit="1" customWidth="1"/>
    <col min="15421" max="15421" width="5.42578125" bestFit="1" customWidth="1"/>
    <col min="15422" max="15422" width="20.28515625" customWidth="1"/>
    <col min="15423" max="15423" width="7.28515625" customWidth="1"/>
    <col min="15424" max="15424" width="5.28515625" customWidth="1"/>
    <col min="15425" max="15425" width="6.5703125" customWidth="1"/>
    <col min="15426" max="15426" width="4.42578125" customWidth="1"/>
    <col min="15427" max="15427" width="8.28515625" customWidth="1"/>
    <col min="15428" max="15428" width="4.7109375" customWidth="1"/>
    <col min="15429" max="15429" width="5.7109375" customWidth="1"/>
    <col min="15430" max="15430" width="8" customWidth="1"/>
    <col min="15431" max="15431" width="6.85546875" customWidth="1"/>
    <col min="15432" max="15432" width="6.140625" customWidth="1"/>
    <col min="15433" max="15434" width="8.28515625" customWidth="1"/>
    <col min="15435" max="15436" width="5.85546875" customWidth="1"/>
    <col min="15437" max="15437" width="7" customWidth="1"/>
    <col min="15438" max="15438" width="5.85546875" customWidth="1"/>
    <col min="15439" max="15439" width="6.42578125" customWidth="1"/>
    <col min="15440" max="15440" width="1.7109375" customWidth="1"/>
    <col min="15441" max="15442" width="6.42578125" customWidth="1"/>
    <col min="15443" max="15443" width="1.7109375" customWidth="1"/>
    <col min="15444" max="15444" width="6.42578125" customWidth="1"/>
    <col min="15445" max="15445" width="6.85546875" customWidth="1"/>
    <col min="15446" max="15446" width="5.7109375" customWidth="1"/>
    <col min="15447" max="15447" width="3.28515625" customWidth="1"/>
    <col min="15448" max="15448" width="4" customWidth="1"/>
    <col min="15449" max="15449" width="14" customWidth="1"/>
    <col min="15450" max="15450" width="9.140625" customWidth="1"/>
    <col min="15451" max="15451" width="9.5703125" customWidth="1"/>
    <col min="15452" max="15452" width="1.5703125" customWidth="1"/>
    <col min="15453" max="15453" width="5.42578125" customWidth="1"/>
    <col min="15454" max="15454" width="19.140625" customWidth="1"/>
    <col min="15455" max="15455" width="7.28515625" customWidth="1"/>
    <col min="15456" max="15456" width="5.28515625" customWidth="1"/>
    <col min="15457" max="15457" width="4" customWidth="1"/>
    <col min="15458" max="15462" width="4.85546875" customWidth="1"/>
    <col min="15463" max="15463" width="6.85546875" customWidth="1"/>
    <col min="15464" max="15464" width="5.7109375" customWidth="1"/>
    <col min="15465" max="15465" width="7.7109375" customWidth="1"/>
    <col min="15466" max="15466" width="6.85546875" customWidth="1"/>
    <col min="15467" max="15467" width="5.140625" customWidth="1"/>
    <col min="15468" max="15468" width="7.85546875" customWidth="1"/>
    <col min="15469" max="15469" width="4.42578125" customWidth="1"/>
    <col min="15470" max="15470" width="6.85546875" customWidth="1"/>
    <col min="15471" max="15472" width="8" customWidth="1"/>
    <col min="15473" max="15473" width="6" customWidth="1"/>
    <col min="15474" max="15474" width="3.140625" customWidth="1"/>
    <col min="15475" max="15475" width="6" customWidth="1"/>
    <col min="15476" max="15476" width="5.5703125" customWidth="1"/>
    <col min="15477" max="15477" width="6.7109375" customWidth="1"/>
    <col min="15478" max="15478" width="6.85546875" customWidth="1"/>
    <col min="15479" max="15479" width="8.140625" customWidth="1"/>
    <col min="15480" max="15480" width="4.42578125" customWidth="1"/>
    <col min="15481" max="15481" width="7.140625" customWidth="1"/>
    <col min="15482" max="15482" width="6.5703125" customWidth="1"/>
    <col min="15483" max="15483" width="6.42578125" customWidth="1"/>
    <col min="15484" max="15484" width="8.28515625" customWidth="1"/>
    <col min="15485" max="15485" width="5.42578125" customWidth="1"/>
    <col min="15486" max="15486" width="7.5703125" customWidth="1"/>
    <col min="15487" max="15487" width="5.140625" customWidth="1"/>
    <col min="15488" max="15490" width="9.140625" customWidth="1"/>
    <col min="15492" max="15492" width="19.7109375" customWidth="1"/>
    <col min="15493" max="15493" width="6.5703125" customWidth="1"/>
    <col min="15494" max="15494" width="3.5703125" bestFit="1" customWidth="1"/>
    <col min="15495" max="15495" width="6.85546875" bestFit="1" customWidth="1"/>
    <col min="15496" max="15498" width="5.85546875" customWidth="1"/>
    <col min="15499" max="15499" width="6" bestFit="1" customWidth="1"/>
    <col min="15500" max="15502" width="0" hidden="1" customWidth="1"/>
    <col min="15503" max="15503" width="6" bestFit="1" customWidth="1"/>
    <col min="15504" max="15504" width="6.85546875" bestFit="1" customWidth="1"/>
    <col min="15505" max="15505" width="7" bestFit="1" customWidth="1"/>
    <col min="15506" max="15506" width="6" bestFit="1" customWidth="1"/>
    <col min="15507" max="15507" width="4.42578125" bestFit="1" customWidth="1"/>
    <col min="15508" max="15508" width="6" bestFit="1" customWidth="1"/>
    <col min="15509" max="15509" width="6.28515625" bestFit="1" customWidth="1"/>
    <col min="15510" max="15516" width="4.85546875" bestFit="1" customWidth="1"/>
    <col min="15517" max="15517" width="5" bestFit="1" customWidth="1"/>
    <col min="15518" max="15518" width="4.85546875" bestFit="1" customWidth="1"/>
    <col min="15519" max="15519" width="4.42578125" bestFit="1" customWidth="1"/>
    <col min="15520" max="15520" width="5.140625" bestFit="1" customWidth="1"/>
    <col min="15521" max="15521" width="4.85546875" bestFit="1" customWidth="1"/>
    <col min="15522" max="15522" width="5" bestFit="1" customWidth="1"/>
    <col min="15523" max="15524" width="5.28515625" bestFit="1" customWidth="1"/>
    <col min="15525" max="15525" width="5" bestFit="1" customWidth="1"/>
    <col min="15526" max="15526" width="4.42578125" bestFit="1" customWidth="1"/>
    <col min="15527" max="15527" width="4.5703125" bestFit="1" customWidth="1"/>
    <col min="15528" max="15529" width="5.140625" bestFit="1" customWidth="1"/>
    <col min="15530" max="15530" width="4.85546875" bestFit="1" customWidth="1"/>
    <col min="15531" max="15531" width="5.42578125" bestFit="1" customWidth="1"/>
    <col min="15532" max="15532" width="0" hidden="1" customWidth="1"/>
    <col min="15533" max="15533" width="6.5703125" bestFit="1" customWidth="1"/>
    <col min="15675" max="15675" width="6" customWidth="1"/>
    <col min="15676" max="15676" width="1.5703125" bestFit="1" customWidth="1"/>
    <col min="15677" max="15677" width="5.42578125" bestFit="1" customWidth="1"/>
    <col min="15678" max="15678" width="20.28515625" customWidth="1"/>
    <col min="15679" max="15679" width="7.28515625" customWidth="1"/>
    <col min="15680" max="15680" width="5.28515625" customWidth="1"/>
    <col min="15681" max="15681" width="6.5703125" customWidth="1"/>
    <col min="15682" max="15682" width="4.42578125" customWidth="1"/>
    <col min="15683" max="15683" width="8.28515625" customWidth="1"/>
    <col min="15684" max="15684" width="4.7109375" customWidth="1"/>
    <col min="15685" max="15685" width="5.7109375" customWidth="1"/>
    <col min="15686" max="15686" width="8" customWidth="1"/>
    <col min="15687" max="15687" width="6.85546875" customWidth="1"/>
    <col min="15688" max="15688" width="6.140625" customWidth="1"/>
    <col min="15689" max="15690" width="8.28515625" customWidth="1"/>
    <col min="15691" max="15692" width="5.85546875" customWidth="1"/>
    <col min="15693" max="15693" width="7" customWidth="1"/>
    <col min="15694" max="15694" width="5.85546875" customWidth="1"/>
    <col min="15695" max="15695" width="6.42578125" customWidth="1"/>
    <col min="15696" max="15696" width="1.7109375" customWidth="1"/>
    <col min="15697" max="15698" width="6.42578125" customWidth="1"/>
    <col min="15699" max="15699" width="1.7109375" customWidth="1"/>
    <col min="15700" max="15700" width="6.42578125" customWidth="1"/>
    <col min="15701" max="15701" width="6.85546875" customWidth="1"/>
    <col min="15702" max="15702" width="5.7109375" customWidth="1"/>
    <col min="15703" max="15703" width="3.28515625" customWidth="1"/>
    <col min="15704" max="15704" width="4" customWidth="1"/>
    <col min="15705" max="15705" width="14" customWidth="1"/>
    <col min="15706" max="15706" width="9.140625" customWidth="1"/>
    <col min="15707" max="15707" width="9.5703125" customWidth="1"/>
    <col min="15708" max="15708" width="1.5703125" customWidth="1"/>
    <col min="15709" max="15709" width="5.42578125" customWidth="1"/>
    <col min="15710" max="15710" width="19.140625" customWidth="1"/>
    <col min="15711" max="15711" width="7.28515625" customWidth="1"/>
    <col min="15712" max="15712" width="5.28515625" customWidth="1"/>
    <col min="15713" max="15713" width="4" customWidth="1"/>
    <col min="15714" max="15718" width="4.85546875" customWidth="1"/>
    <col min="15719" max="15719" width="6.85546875" customWidth="1"/>
    <col min="15720" max="15720" width="5.7109375" customWidth="1"/>
    <col min="15721" max="15721" width="7.7109375" customWidth="1"/>
    <col min="15722" max="15722" width="6.85546875" customWidth="1"/>
    <col min="15723" max="15723" width="5.140625" customWidth="1"/>
    <col min="15724" max="15724" width="7.85546875" customWidth="1"/>
    <col min="15725" max="15725" width="4.42578125" customWidth="1"/>
    <col min="15726" max="15726" width="6.85546875" customWidth="1"/>
    <col min="15727" max="15728" width="8" customWidth="1"/>
    <col min="15729" max="15729" width="6" customWidth="1"/>
    <col min="15730" max="15730" width="3.140625" customWidth="1"/>
    <col min="15731" max="15731" width="6" customWidth="1"/>
    <col min="15732" max="15732" width="5.5703125" customWidth="1"/>
    <col min="15733" max="15733" width="6.7109375" customWidth="1"/>
    <col min="15734" max="15734" width="6.85546875" customWidth="1"/>
    <col min="15735" max="15735" width="8.140625" customWidth="1"/>
    <col min="15736" max="15736" width="4.42578125" customWidth="1"/>
    <col min="15737" max="15737" width="7.140625" customWidth="1"/>
    <col min="15738" max="15738" width="6.5703125" customWidth="1"/>
    <col min="15739" max="15739" width="6.42578125" customWidth="1"/>
    <col min="15740" max="15740" width="8.28515625" customWidth="1"/>
    <col min="15741" max="15741" width="5.42578125" customWidth="1"/>
    <col min="15742" max="15742" width="7.5703125" customWidth="1"/>
    <col min="15743" max="15743" width="5.140625" customWidth="1"/>
    <col min="15744" max="15746" width="9.140625" customWidth="1"/>
    <col min="15748" max="15748" width="19.7109375" customWidth="1"/>
    <col min="15749" max="15749" width="6.5703125" customWidth="1"/>
    <col min="15750" max="15750" width="3.5703125" bestFit="1" customWidth="1"/>
    <col min="15751" max="15751" width="6.85546875" bestFit="1" customWidth="1"/>
    <col min="15752" max="15754" width="5.85546875" customWidth="1"/>
    <col min="15755" max="15755" width="6" bestFit="1" customWidth="1"/>
    <col min="15756" max="15758" width="0" hidden="1" customWidth="1"/>
    <col min="15759" max="15759" width="6" bestFit="1" customWidth="1"/>
    <col min="15760" max="15760" width="6.85546875" bestFit="1" customWidth="1"/>
    <col min="15761" max="15761" width="7" bestFit="1" customWidth="1"/>
    <col min="15762" max="15762" width="6" bestFit="1" customWidth="1"/>
    <col min="15763" max="15763" width="4.42578125" bestFit="1" customWidth="1"/>
    <col min="15764" max="15764" width="6" bestFit="1" customWidth="1"/>
    <col min="15765" max="15765" width="6.28515625" bestFit="1" customWidth="1"/>
    <col min="15766" max="15772" width="4.85546875" bestFit="1" customWidth="1"/>
    <col min="15773" max="15773" width="5" bestFit="1" customWidth="1"/>
    <col min="15774" max="15774" width="4.85546875" bestFit="1" customWidth="1"/>
    <col min="15775" max="15775" width="4.42578125" bestFit="1" customWidth="1"/>
    <col min="15776" max="15776" width="5.140625" bestFit="1" customWidth="1"/>
    <col min="15777" max="15777" width="4.85546875" bestFit="1" customWidth="1"/>
    <col min="15778" max="15778" width="5" bestFit="1" customWidth="1"/>
    <col min="15779" max="15780" width="5.28515625" bestFit="1" customWidth="1"/>
    <col min="15781" max="15781" width="5" bestFit="1" customWidth="1"/>
    <col min="15782" max="15782" width="4.42578125" bestFit="1" customWidth="1"/>
    <col min="15783" max="15783" width="4.5703125" bestFit="1" customWidth="1"/>
    <col min="15784" max="15785" width="5.140625" bestFit="1" customWidth="1"/>
    <col min="15786" max="15786" width="4.85546875" bestFit="1" customWidth="1"/>
    <col min="15787" max="15787" width="5.42578125" bestFit="1" customWidth="1"/>
    <col min="15788" max="15788" width="0" hidden="1" customWidth="1"/>
    <col min="15789" max="15789" width="6.5703125" bestFit="1" customWidth="1"/>
    <col min="15931" max="15931" width="6" customWidth="1"/>
    <col min="15932" max="15932" width="1.5703125" bestFit="1" customWidth="1"/>
    <col min="15933" max="15933" width="5.42578125" bestFit="1" customWidth="1"/>
    <col min="15934" max="15934" width="20.28515625" customWidth="1"/>
    <col min="15935" max="15935" width="7.28515625" customWidth="1"/>
    <col min="15936" max="15936" width="5.28515625" customWidth="1"/>
    <col min="15937" max="15937" width="6.5703125" customWidth="1"/>
    <col min="15938" max="15938" width="4.42578125" customWidth="1"/>
    <col min="15939" max="15939" width="8.28515625" customWidth="1"/>
    <col min="15940" max="15940" width="4.7109375" customWidth="1"/>
    <col min="15941" max="15941" width="5.7109375" customWidth="1"/>
    <col min="15942" max="15942" width="8" customWidth="1"/>
    <col min="15943" max="15943" width="6.85546875" customWidth="1"/>
    <col min="15944" max="15944" width="6.140625" customWidth="1"/>
    <col min="15945" max="15946" width="8.28515625" customWidth="1"/>
    <col min="15947" max="15948" width="5.85546875" customWidth="1"/>
    <col min="15949" max="15949" width="7" customWidth="1"/>
    <col min="15950" max="15950" width="5.85546875" customWidth="1"/>
    <col min="15951" max="15951" width="6.42578125" customWidth="1"/>
    <col min="15952" max="15952" width="1.7109375" customWidth="1"/>
    <col min="15953" max="15954" width="6.42578125" customWidth="1"/>
    <col min="15955" max="15955" width="1.7109375" customWidth="1"/>
    <col min="15956" max="15956" width="6.42578125" customWidth="1"/>
    <col min="15957" max="15957" width="6.85546875" customWidth="1"/>
    <col min="15958" max="15958" width="5.7109375" customWidth="1"/>
    <col min="15959" max="15959" width="3.28515625" customWidth="1"/>
    <col min="15960" max="15960" width="4" customWidth="1"/>
    <col min="15961" max="15961" width="14" customWidth="1"/>
    <col min="15962" max="15962" width="9.140625" customWidth="1"/>
    <col min="15963" max="15963" width="9.5703125" customWidth="1"/>
    <col min="15964" max="15964" width="1.5703125" customWidth="1"/>
    <col min="15965" max="15965" width="5.42578125" customWidth="1"/>
    <col min="15966" max="15966" width="19.140625" customWidth="1"/>
    <col min="15967" max="15967" width="7.28515625" customWidth="1"/>
    <col min="15968" max="15968" width="5.28515625" customWidth="1"/>
    <col min="15969" max="15969" width="4" customWidth="1"/>
    <col min="15970" max="15974" width="4.85546875" customWidth="1"/>
    <col min="15975" max="15975" width="6.85546875" customWidth="1"/>
    <col min="15976" max="15976" width="5.7109375" customWidth="1"/>
    <col min="15977" max="15977" width="7.7109375" customWidth="1"/>
    <col min="15978" max="15978" width="6.85546875" customWidth="1"/>
    <col min="15979" max="15979" width="5.140625" customWidth="1"/>
    <col min="15980" max="15980" width="7.85546875" customWidth="1"/>
    <col min="15981" max="15981" width="4.42578125" customWidth="1"/>
    <col min="15982" max="15982" width="6.85546875" customWidth="1"/>
    <col min="15983" max="15984" width="8" customWidth="1"/>
    <col min="15985" max="15985" width="6" customWidth="1"/>
    <col min="15986" max="15986" width="3.140625" customWidth="1"/>
    <col min="15987" max="15987" width="6" customWidth="1"/>
    <col min="15988" max="15988" width="5.5703125" customWidth="1"/>
    <col min="15989" max="15989" width="6.7109375" customWidth="1"/>
    <col min="15990" max="15990" width="6.85546875" customWidth="1"/>
    <col min="15991" max="15991" width="8.140625" customWidth="1"/>
    <col min="15992" max="15992" width="4.42578125" customWidth="1"/>
    <col min="15993" max="15993" width="7.140625" customWidth="1"/>
    <col min="15994" max="15994" width="6.5703125" customWidth="1"/>
    <col min="15995" max="15995" width="6.42578125" customWidth="1"/>
    <col min="15996" max="15996" width="8.28515625" customWidth="1"/>
    <col min="15997" max="15997" width="5.42578125" customWidth="1"/>
    <col min="15998" max="15998" width="7.5703125" customWidth="1"/>
    <col min="15999" max="15999" width="5.140625" customWidth="1"/>
    <col min="16000" max="16002" width="9.140625" customWidth="1"/>
    <col min="16004" max="16004" width="19.7109375" customWidth="1"/>
    <col min="16005" max="16005" width="6.5703125" customWidth="1"/>
    <col min="16006" max="16006" width="3.5703125" bestFit="1" customWidth="1"/>
    <col min="16007" max="16007" width="6.85546875" bestFit="1" customWidth="1"/>
    <col min="16008" max="16010" width="5.85546875" customWidth="1"/>
    <col min="16011" max="16011" width="6" bestFit="1" customWidth="1"/>
    <col min="16012" max="16014" width="0" hidden="1" customWidth="1"/>
    <col min="16015" max="16015" width="6" bestFit="1" customWidth="1"/>
    <col min="16016" max="16016" width="6.85546875" bestFit="1" customWidth="1"/>
    <col min="16017" max="16017" width="7" bestFit="1" customWidth="1"/>
    <col min="16018" max="16018" width="6" bestFit="1" customWidth="1"/>
    <col min="16019" max="16019" width="4.42578125" bestFit="1" customWidth="1"/>
    <col min="16020" max="16020" width="6" bestFit="1" customWidth="1"/>
    <col min="16021" max="16021" width="6.28515625" bestFit="1" customWidth="1"/>
    <col min="16022" max="16028" width="4.85546875" bestFit="1" customWidth="1"/>
    <col min="16029" max="16029" width="5" bestFit="1" customWidth="1"/>
    <col min="16030" max="16030" width="4.85546875" bestFit="1" customWidth="1"/>
    <col min="16031" max="16031" width="4.42578125" bestFit="1" customWidth="1"/>
    <col min="16032" max="16032" width="5.140625" bestFit="1" customWidth="1"/>
    <col min="16033" max="16033" width="4.85546875" bestFit="1" customWidth="1"/>
    <col min="16034" max="16034" width="5" bestFit="1" customWidth="1"/>
    <col min="16035" max="16036" width="5.28515625" bestFit="1" customWidth="1"/>
    <col min="16037" max="16037" width="5" bestFit="1" customWidth="1"/>
    <col min="16038" max="16038" width="4.42578125" bestFit="1" customWidth="1"/>
    <col min="16039" max="16039" width="4.5703125" bestFit="1" customWidth="1"/>
    <col min="16040" max="16041" width="5.140625" bestFit="1" customWidth="1"/>
    <col min="16042" max="16042" width="4.85546875" bestFit="1" customWidth="1"/>
    <col min="16043" max="16043" width="5.42578125" bestFit="1" customWidth="1"/>
    <col min="16044" max="16044" width="0" hidden="1" customWidth="1"/>
    <col min="16045" max="16045" width="6.5703125" bestFit="1" customWidth="1"/>
    <col min="16187" max="16187" width="6" customWidth="1"/>
    <col min="16188" max="16188" width="1.5703125" bestFit="1" customWidth="1"/>
    <col min="16189" max="16189" width="5.42578125" bestFit="1" customWidth="1"/>
    <col min="16190" max="16190" width="20.28515625" customWidth="1"/>
    <col min="16191" max="16191" width="7.28515625" customWidth="1"/>
    <col min="16192" max="16192" width="5.28515625" customWidth="1"/>
    <col min="16193" max="16193" width="6.5703125" customWidth="1"/>
    <col min="16194" max="16194" width="4.42578125" customWidth="1"/>
    <col min="16195" max="16195" width="8.28515625" customWidth="1"/>
    <col min="16196" max="16196" width="4.7109375" customWidth="1"/>
    <col min="16197" max="16197" width="5.7109375" customWidth="1"/>
    <col min="16198" max="16198" width="8" customWidth="1"/>
    <col min="16199" max="16199" width="6.85546875" customWidth="1"/>
    <col min="16200" max="16200" width="6.140625" customWidth="1"/>
    <col min="16201" max="16202" width="8.28515625" customWidth="1"/>
    <col min="16203" max="16204" width="5.85546875" customWidth="1"/>
    <col min="16205" max="16205" width="7" customWidth="1"/>
    <col min="16206" max="16206" width="5.85546875" customWidth="1"/>
    <col min="16207" max="16207" width="6.42578125" customWidth="1"/>
    <col min="16208" max="16208" width="1.7109375" customWidth="1"/>
    <col min="16209" max="16210" width="6.42578125" customWidth="1"/>
    <col min="16211" max="16211" width="1.7109375" customWidth="1"/>
    <col min="16212" max="16212" width="6.42578125" customWidth="1"/>
    <col min="16213" max="16213" width="6.85546875" customWidth="1"/>
    <col min="16214" max="16214" width="5.7109375" customWidth="1"/>
    <col min="16215" max="16215" width="3.28515625" customWidth="1"/>
    <col min="16216" max="16216" width="4" customWidth="1"/>
    <col min="16217" max="16217" width="14" customWidth="1"/>
    <col min="16218" max="16218" width="9.140625" customWidth="1"/>
    <col min="16219" max="16219" width="9.5703125" customWidth="1"/>
    <col min="16220" max="16220" width="1.5703125" customWidth="1"/>
    <col min="16221" max="16221" width="5.42578125" customWidth="1"/>
    <col min="16222" max="16222" width="19.140625" customWidth="1"/>
    <col min="16223" max="16223" width="7.28515625" customWidth="1"/>
    <col min="16224" max="16224" width="5.28515625" customWidth="1"/>
    <col min="16225" max="16225" width="4" customWidth="1"/>
    <col min="16226" max="16230" width="4.85546875" customWidth="1"/>
    <col min="16231" max="16231" width="6.85546875" customWidth="1"/>
    <col min="16232" max="16232" width="5.7109375" customWidth="1"/>
    <col min="16233" max="16233" width="7.7109375" customWidth="1"/>
    <col min="16234" max="16234" width="6.85546875" customWidth="1"/>
    <col min="16235" max="16235" width="5.140625" customWidth="1"/>
    <col min="16236" max="16236" width="7.85546875" customWidth="1"/>
    <col min="16237" max="16237" width="4.42578125" customWidth="1"/>
    <col min="16238" max="16238" width="6.85546875" customWidth="1"/>
    <col min="16239" max="16240" width="8" customWidth="1"/>
    <col min="16241" max="16241" width="6" customWidth="1"/>
    <col min="16242" max="16242" width="3.140625" customWidth="1"/>
    <col min="16243" max="16243" width="6" customWidth="1"/>
    <col min="16244" max="16244" width="5.5703125" customWidth="1"/>
    <col min="16245" max="16245" width="6.7109375" customWidth="1"/>
    <col min="16246" max="16246" width="6.85546875" customWidth="1"/>
    <col min="16247" max="16247" width="8.140625" customWidth="1"/>
    <col min="16248" max="16248" width="4.42578125" customWidth="1"/>
    <col min="16249" max="16249" width="7.140625" customWidth="1"/>
    <col min="16250" max="16250" width="6.5703125" customWidth="1"/>
    <col min="16251" max="16251" width="6.42578125" customWidth="1"/>
    <col min="16252" max="16252" width="8.28515625" customWidth="1"/>
    <col min="16253" max="16253" width="5.42578125" customWidth="1"/>
    <col min="16254" max="16254" width="7.5703125" customWidth="1"/>
    <col min="16255" max="16255" width="5.140625" customWidth="1"/>
    <col min="16256" max="16258" width="9.140625" customWidth="1"/>
    <col min="16260" max="16260" width="19.7109375" customWidth="1"/>
    <col min="16261" max="16261" width="6.5703125" customWidth="1"/>
    <col min="16262" max="16262" width="3.5703125" bestFit="1" customWidth="1"/>
    <col min="16263" max="16263" width="6.85546875" bestFit="1" customWidth="1"/>
    <col min="16264" max="16266" width="5.85546875" customWidth="1"/>
    <col min="16267" max="16267" width="6" bestFit="1" customWidth="1"/>
    <col min="16268" max="16270" width="0" hidden="1" customWidth="1"/>
    <col min="16271" max="16271" width="6" bestFit="1" customWidth="1"/>
    <col min="16272" max="16272" width="6.85546875" bestFit="1" customWidth="1"/>
    <col min="16273" max="16273" width="7" bestFit="1" customWidth="1"/>
    <col min="16274" max="16274" width="6" bestFit="1" customWidth="1"/>
    <col min="16275" max="16275" width="4.42578125" bestFit="1" customWidth="1"/>
    <col min="16276" max="16276" width="6" bestFit="1" customWidth="1"/>
    <col min="16277" max="16277" width="6.28515625" bestFit="1" customWidth="1"/>
    <col min="16278" max="16284" width="4.85546875" bestFit="1" customWidth="1"/>
    <col min="16285" max="16285" width="5" bestFit="1" customWidth="1"/>
    <col min="16286" max="16286" width="4.85546875" bestFit="1" customWidth="1"/>
    <col min="16287" max="16287" width="4.42578125" bestFit="1" customWidth="1"/>
    <col min="16288" max="16288" width="5.140625" bestFit="1" customWidth="1"/>
    <col min="16289" max="16289" width="4.85546875" bestFit="1" customWidth="1"/>
    <col min="16290" max="16290" width="5" bestFit="1" customWidth="1"/>
    <col min="16291" max="16292" width="5.28515625" bestFit="1" customWidth="1"/>
    <col min="16293" max="16293" width="5" bestFit="1" customWidth="1"/>
    <col min="16294" max="16294" width="4.42578125" bestFit="1" customWidth="1"/>
    <col min="16295" max="16295" width="4.5703125" bestFit="1" customWidth="1"/>
    <col min="16296" max="16297" width="5.140625" bestFit="1" customWidth="1"/>
    <col min="16298" max="16298" width="4.85546875" bestFit="1" customWidth="1"/>
    <col min="16299" max="16299" width="5.42578125" bestFit="1" customWidth="1"/>
    <col min="16300" max="16300" width="0" hidden="1" customWidth="1"/>
    <col min="16301" max="16301" width="6.5703125" bestFit="1" customWidth="1"/>
  </cols>
  <sheetData>
    <row r="1" spans="1:200" x14ac:dyDescent="0.25">
      <c r="A1" s="50"/>
      <c r="B1" s="53"/>
      <c r="C1" s="53"/>
      <c r="D1" s="53"/>
      <c r="E1" s="53"/>
      <c r="F1" s="53"/>
      <c r="G1" s="53"/>
      <c r="H1" s="53"/>
      <c r="I1" s="5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6"/>
      <c r="AU1" s="50"/>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3"/>
      <c r="CO1" s="53"/>
      <c r="CP1" s="53"/>
      <c r="CQ1" s="53"/>
      <c r="CR1" s="53"/>
      <c r="CS1" s="54"/>
      <c r="CT1" s="54"/>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2"/>
      <c r="EH1" s="51"/>
      <c r="EI1" s="51"/>
      <c r="EJ1" s="53"/>
      <c r="EK1" s="53"/>
      <c r="EL1" s="53"/>
      <c r="EM1" s="53"/>
      <c r="EN1" s="53"/>
      <c r="EO1" s="53"/>
      <c r="EP1" s="53"/>
      <c r="EQ1" s="53"/>
      <c r="ER1" s="53"/>
      <c r="ES1" s="53"/>
      <c r="ET1" s="53"/>
      <c r="EU1" s="53"/>
      <c r="EV1" s="53"/>
      <c r="EW1" s="53"/>
      <c r="EX1" s="55"/>
      <c r="EY1" s="55"/>
      <c r="EZ1" s="55"/>
      <c r="FA1" s="55"/>
      <c r="FB1" s="55"/>
      <c r="FC1" s="55"/>
      <c r="FD1" s="55"/>
      <c r="FE1" s="55"/>
      <c r="FF1" s="55"/>
      <c r="FG1" s="55"/>
      <c r="FH1" s="55"/>
      <c r="FI1" s="55"/>
      <c r="FJ1" s="55"/>
      <c r="FK1" s="55"/>
      <c r="FL1" s="55"/>
      <c r="FM1" s="55"/>
      <c r="FN1" s="55"/>
      <c r="FO1" s="55"/>
      <c r="FP1" s="55"/>
      <c r="FQ1" s="55"/>
      <c r="FR1" s="55"/>
      <c r="FS1" s="55"/>
      <c r="FT1" s="51"/>
      <c r="FU1" s="51"/>
      <c r="FV1" s="51"/>
      <c r="FW1" s="51"/>
      <c r="FX1" s="51"/>
      <c r="FY1" s="51"/>
      <c r="FZ1" s="51"/>
      <c r="GA1" s="51"/>
      <c r="GB1" s="51"/>
      <c r="GC1" s="51"/>
      <c r="GD1" s="51"/>
      <c r="GE1" s="51"/>
      <c r="GF1" s="51"/>
      <c r="GG1" s="51"/>
      <c r="GH1" s="51"/>
      <c r="GI1" s="51"/>
      <c r="GJ1" s="51"/>
      <c r="GK1" s="51"/>
      <c r="GL1" s="51"/>
      <c r="GM1" s="51"/>
      <c r="GN1" s="51"/>
      <c r="GO1" s="51"/>
      <c r="GP1" s="51"/>
    </row>
    <row r="2" spans="1:200" x14ac:dyDescent="0.25">
      <c r="A2" s="50"/>
      <c r="B2" s="1863" t="s">
        <v>5071</v>
      </c>
      <c r="C2" s="1864"/>
      <c r="D2" s="1864"/>
      <c r="E2" s="1864"/>
      <c r="F2" s="1864"/>
      <c r="G2" s="1864"/>
      <c r="H2" s="1864"/>
      <c r="I2" s="1864"/>
      <c r="J2" s="1864"/>
      <c r="K2" s="1864"/>
      <c r="L2" s="1864"/>
      <c r="M2" s="1864"/>
      <c r="N2" s="1951"/>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1864"/>
      <c r="AO2" s="1864"/>
      <c r="AP2" s="1864"/>
      <c r="AQ2" s="1864"/>
      <c r="AR2" s="1864"/>
      <c r="AS2" s="1864"/>
      <c r="AT2" s="1864"/>
      <c r="AU2" s="1864"/>
      <c r="AV2" s="1865"/>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51"/>
      <c r="CM2" s="51"/>
      <c r="CN2" s="1866" t="s">
        <v>5072</v>
      </c>
      <c r="CO2" s="1867"/>
      <c r="CP2" s="1867"/>
      <c r="CQ2" s="1867"/>
      <c r="CR2" s="1867"/>
      <c r="CS2" s="1867"/>
      <c r="CT2" s="1867"/>
      <c r="CU2" s="1867"/>
      <c r="CV2" s="1867"/>
      <c r="CW2" s="1867"/>
      <c r="CX2" s="1867"/>
      <c r="CY2" s="1867"/>
      <c r="CZ2" s="1867"/>
      <c r="DA2" s="1867"/>
      <c r="DB2" s="1867"/>
      <c r="DC2" s="1867"/>
      <c r="DD2" s="1867"/>
      <c r="DE2" s="1867"/>
      <c r="DF2" s="1867"/>
      <c r="DG2" s="1867"/>
      <c r="DH2" s="1867"/>
      <c r="DI2" s="1867"/>
      <c r="DJ2" s="1867"/>
      <c r="DK2" s="1867"/>
      <c r="DL2" s="1867"/>
      <c r="DM2" s="1867"/>
      <c r="DN2" s="1867"/>
      <c r="DO2" s="1867"/>
      <c r="DP2" s="1867"/>
      <c r="DQ2" s="1867"/>
      <c r="DR2" s="1867"/>
      <c r="DS2" s="1867"/>
      <c r="DT2" s="1867"/>
      <c r="DU2" s="1867"/>
      <c r="DV2" s="1867"/>
      <c r="DW2" s="1867"/>
      <c r="DX2" s="1867"/>
      <c r="DY2" s="1867"/>
      <c r="DZ2" s="1867"/>
      <c r="EA2" s="1867"/>
      <c r="EB2" s="1867"/>
      <c r="EC2" s="1867"/>
      <c r="ED2" s="1867"/>
      <c r="EE2" s="1867"/>
      <c r="EF2" s="1867"/>
      <c r="EG2" s="52"/>
      <c r="EH2" s="51"/>
      <c r="EI2" s="51"/>
      <c r="EJ2" s="1866" t="s">
        <v>5073</v>
      </c>
      <c r="EK2" s="1867"/>
      <c r="EL2" s="1867"/>
      <c r="EM2" s="1867"/>
      <c r="EN2" s="1867"/>
      <c r="EO2" s="1867"/>
      <c r="EP2" s="1867"/>
      <c r="EQ2" s="1867"/>
      <c r="ER2" s="1867"/>
      <c r="ES2" s="1867"/>
      <c r="ET2" s="1867"/>
      <c r="EU2" s="1867"/>
      <c r="EV2" s="1867"/>
      <c r="EW2" s="1867"/>
      <c r="EX2" s="1867"/>
      <c r="EY2" s="1867"/>
      <c r="EZ2" s="1867"/>
      <c r="FA2" s="1867"/>
      <c r="FB2" s="1867"/>
      <c r="FC2" s="1867"/>
      <c r="FD2" s="1867"/>
      <c r="FE2" s="1867"/>
      <c r="FF2" s="1867"/>
      <c r="FG2" s="1867"/>
      <c r="FH2" s="1867"/>
      <c r="FI2" s="1867"/>
      <c r="FJ2" s="1867"/>
      <c r="FK2" s="1867"/>
      <c r="FL2" s="1867"/>
      <c r="FM2" s="1867"/>
      <c r="FN2" s="1867"/>
      <c r="FO2" s="1867"/>
      <c r="FP2" s="1867"/>
      <c r="FQ2" s="1867"/>
      <c r="FR2" s="1867"/>
      <c r="FS2" s="1867"/>
      <c r="FT2" s="1867"/>
      <c r="FU2" s="1867"/>
      <c r="FV2" s="1867"/>
      <c r="FW2" s="1867"/>
      <c r="FX2" s="1867"/>
      <c r="FY2" s="1867"/>
      <c r="FZ2" s="1867"/>
      <c r="GA2" s="1867"/>
      <c r="GB2" s="1867"/>
      <c r="GC2" s="1867"/>
      <c r="GD2" s="1867"/>
      <c r="GE2" s="1867"/>
      <c r="GF2" s="1867"/>
      <c r="GG2" s="1867"/>
      <c r="GH2" s="1867"/>
      <c r="GI2" s="1867"/>
      <c r="GJ2" s="1867"/>
      <c r="GK2" s="1867"/>
      <c r="GL2" s="1867"/>
      <c r="GM2" s="1867"/>
      <c r="GN2" s="1867"/>
      <c r="GO2" s="1867"/>
      <c r="GP2" s="1868"/>
    </row>
    <row r="3" spans="1:200" x14ac:dyDescent="0.25">
      <c r="A3" s="50"/>
      <c r="B3" s="57"/>
      <c r="C3" s="58"/>
      <c r="D3" s="58"/>
      <c r="E3" s="58"/>
      <c r="F3" s="58"/>
      <c r="G3" s="58"/>
      <c r="H3" s="58"/>
      <c r="I3" s="59"/>
      <c r="J3" s="60"/>
      <c r="K3" s="60"/>
      <c r="L3" s="60"/>
      <c r="M3" s="60"/>
      <c r="N3" s="60"/>
      <c r="O3" s="60"/>
      <c r="P3" s="60"/>
      <c r="Q3" s="60"/>
      <c r="R3" s="60"/>
      <c r="S3" s="60"/>
      <c r="T3" s="60"/>
      <c r="U3" s="60"/>
      <c r="V3" s="60"/>
      <c r="W3" s="60"/>
      <c r="X3" s="60"/>
      <c r="Y3" s="60"/>
      <c r="Z3" s="61"/>
      <c r="AA3" s="61"/>
      <c r="AB3" s="57"/>
      <c r="AC3" s="62"/>
      <c r="AD3" s="62"/>
      <c r="AE3" s="62"/>
      <c r="AF3" s="62"/>
      <c r="AG3" s="62"/>
      <c r="AH3" s="62"/>
      <c r="AI3" s="62"/>
      <c r="AJ3" s="62"/>
      <c r="AK3" s="62"/>
      <c r="AL3" s="62"/>
      <c r="AM3" s="62"/>
      <c r="AN3" s="62"/>
      <c r="AO3" s="62"/>
      <c r="AP3" s="60"/>
      <c r="AQ3" s="60"/>
      <c r="AR3" s="60"/>
      <c r="AS3" s="60"/>
      <c r="AT3" s="60"/>
      <c r="AU3" s="63"/>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5"/>
      <c r="CM3" s="65"/>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2"/>
      <c r="EH3" s="51"/>
      <c r="EI3" s="51"/>
      <c r="EJ3" s="50"/>
      <c r="EK3" s="50"/>
      <c r="EL3" s="50"/>
      <c r="EM3" s="50"/>
      <c r="EN3" s="50"/>
      <c r="EO3" s="50"/>
      <c r="EP3" s="50"/>
      <c r="EQ3" s="50"/>
      <c r="ER3" s="50"/>
      <c r="ES3" s="50"/>
      <c r="ET3" s="50"/>
      <c r="EU3" s="50"/>
      <c r="EV3" s="50"/>
      <c r="EW3" s="50"/>
      <c r="EX3" s="50"/>
      <c r="EY3" s="50"/>
      <c r="EZ3" s="50"/>
      <c r="FA3" s="50"/>
      <c r="FB3" s="50"/>
      <c r="FC3" s="50"/>
      <c r="FD3" s="50"/>
      <c r="FE3" s="50"/>
      <c r="FF3" s="50"/>
      <c r="FG3" s="50"/>
      <c r="FH3" s="66"/>
      <c r="FI3" s="66"/>
      <c r="FJ3" s="66"/>
      <c r="FK3" s="66"/>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row>
    <row r="4" spans="1:200" ht="15" customHeight="1" x14ac:dyDescent="0.25">
      <c r="A4" s="67"/>
      <c r="B4" s="1803" t="s">
        <v>42</v>
      </c>
      <c r="C4" s="1804"/>
      <c r="D4" s="1804"/>
      <c r="E4" s="1804"/>
      <c r="F4" s="1804"/>
      <c r="G4" s="1804"/>
      <c r="H4" s="1804"/>
      <c r="I4" s="1804"/>
      <c r="J4" s="1950"/>
      <c r="K4" s="1126"/>
      <c r="L4" s="1126"/>
      <c r="M4" s="1966" t="s">
        <v>5074</v>
      </c>
      <c r="N4" s="1966"/>
      <c r="O4" s="1966"/>
      <c r="P4" s="1966"/>
      <c r="Q4" s="1966"/>
      <c r="R4" s="1966"/>
      <c r="S4" s="1966"/>
      <c r="T4" s="1966"/>
      <c r="U4" s="1966"/>
      <c r="V4" s="1966"/>
      <c r="W4" s="1967" t="s">
        <v>5075</v>
      </c>
      <c r="X4" s="1967" t="s">
        <v>5076</v>
      </c>
      <c r="Y4" s="1968" t="s">
        <v>44</v>
      </c>
      <c r="Z4" s="1970" t="s">
        <v>5077</v>
      </c>
      <c r="AA4" s="1970"/>
      <c r="AB4" s="1971" t="s">
        <v>45</v>
      </c>
      <c r="AC4" s="1923" t="s">
        <v>46</v>
      </c>
      <c r="AD4" s="1924"/>
      <c r="AE4" s="1924"/>
      <c r="AF4" s="1924"/>
      <c r="AG4" s="1924"/>
      <c r="AH4" s="1924"/>
      <c r="AI4" s="1924"/>
      <c r="AJ4" s="1924"/>
      <c r="AK4" s="1924"/>
      <c r="AL4" s="1924"/>
      <c r="AM4" s="1924"/>
      <c r="AN4" s="1924"/>
      <c r="AO4" s="1924"/>
      <c r="AP4" s="1924"/>
      <c r="AQ4" s="1924"/>
      <c r="AR4" s="1924"/>
      <c r="AS4" s="1924"/>
      <c r="AT4" s="1924"/>
      <c r="AU4" s="1924"/>
      <c r="AV4" s="1974" t="s">
        <v>47</v>
      </c>
      <c r="AW4" s="899"/>
      <c r="AX4" s="899"/>
      <c r="AY4" s="899"/>
      <c r="AZ4" s="899"/>
      <c r="BA4" s="899"/>
      <c r="BB4" s="1624" t="s">
        <v>5078</v>
      </c>
      <c r="BC4" s="1977"/>
      <c r="BD4" s="1977"/>
      <c r="BE4" s="1977"/>
      <c r="BF4" s="1977"/>
      <c r="BG4" s="1977"/>
      <c r="BH4" s="1977"/>
      <c r="BI4" s="1977"/>
      <c r="BJ4" s="1977"/>
      <c r="BK4" s="1977"/>
      <c r="BL4" s="1977"/>
      <c r="BM4" s="1977"/>
      <c r="BN4" s="1977"/>
      <c r="BO4" s="1977"/>
      <c r="BP4" s="1977"/>
      <c r="BQ4" s="1977"/>
      <c r="BR4" s="1977"/>
      <c r="BS4" s="1977"/>
      <c r="BT4" s="1977"/>
      <c r="BU4" s="1625"/>
      <c r="BV4" s="1624" t="s">
        <v>5079</v>
      </c>
      <c r="BW4" s="1977"/>
      <c r="BX4" s="1977"/>
      <c r="BY4" s="1977"/>
      <c r="BZ4" s="1977"/>
      <c r="CA4" s="1977"/>
      <c r="CB4" s="1977"/>
      <c r="CC4" s="1977"/>
      <c r="CD4" s="1977"/>
      <c r="CE4" s="1977"/>
      <c r="CF4" s="1977"/>
      <c r="CG4" s="1977"/>
      <c r="CH4" s="1977"/>
      <c r="CI4" s="1977"/>
      <c r="CJ4" s="1625"/>
      <c r="CK4" s="847"/>
      <c r="CL4" s="66"/>
      <c r="CM4" s="66"/>
      <c r="CN4" s="1876" t="s">
        <v>48</v>
      </c>
      <c r="CO4" s="1877"/>
      <c r="CP4" s="1877"/>
      <c r="CQ4" s="1877"/>
      <c r="CR4" s="1877"/>
      <c r="CS4" s="1877"/>
      <c r="CT4" s="1877"/>
      <c r="CU4" s="1877"/>
      <c r="CV4" s="1877"/>
      <c r="CW4" s="1877"/>
      <c r="CX4" s="1877"/>
      <c r="CY4" s="1877"/>
      <c r="CZ4" s="1877"/>
      <c r="DA4" s="1877"/>
      <c r="DB4" s="1877"/>
      <c r="DC4" s="1877"/>
      <c r="DD4" s="1877"/>
      <c r="DE4" s="1877"/>
      <c r="DF4" s="1877"/>
      <c r="DG4" s="1877"/>
      <c r="DH4" s="1877"/>
      <c r="DI4" s="1877"/>
      <c r="DJ4" s="1877"/>
      <c r="DK4" s="1877"/>
      <c r="DL4" s="1877"/>
      <c r="DM4" s="1877"/>
      <c r="DN4" s="1877"/>
      <c r="DO4" s="1877"/>
      <c r="DP4" s="1877"/>
      <c r="DQ4" s="1877"/>
      <c r="DR4" s="1877"/>
      <c r="DS4" s="1877"/>
      <c r="DT4" s="1877"/>
      <c r="DU4" s="1877"/>
      <c r="DV4" s="1877"/>
      <c r="DW4" s="1877"/>
      <c r="DX4" s="1877"/>
      <c r="DY4" s="1877"/>
      <c r="DZ4" s="1877"/>
      <c r="EA4" s="1877"/>
      <c r="EB4" s="1877"/>
      <c r="EC4" s="1877"/>
      <c r="ED4" s="1877"/>
      <c r="EE4" s="1877"/>
      <c r="EF4" s="1877"/>
      <c r="EG4" s="52"/>
      <c r="EH4" s="51"/>
      <c r="EI4" s="51"/>
      <c r="EJ4" s="1876" t="s">
        <v>49</v>
      </c>
      <c r="EK4" s="1877"/>
      <c r="EL4" s="1877"/>
      <c r="EM4" s="1877"/>
      <c r="EN4" s="1877"/>
      <c r="EO4" s="1877"/>
      <c r="EP4" s="1877"/>
      <c r="EQ4" s="1877"/>
      <c r="ER4" s="1877"/>
      <c r="ES4" s="1877"/>
      <c r="ET4" s="1877"/>
      <c r="EU4" s="1877"/>
      <c r="EV4" s="1877"/>
      <c r="EW4" s="1877"/>
      <c r="EX4" s="1877"/>
      <c r="EY4" s="1877"/>
      <c r="EZ4" s="1877"/>
      <c r="FA4" s="1877"/>
      <c r="FB4" s="1877"/>
      <c r="FC4" s="1877"/>
      <c r="FD4" s="1877"/>
      <c r="FE4" s="1877"/>
      <c r="FF4" s="1877"/>
      <c r="FG4" s="1877"/>
      <c r="FH4" s="1877"/>
      <c r="FI4" s="1877"/>
      <c r="FJ4" s="1877"/>
      <c r="FK4" s="1877"/>
      <c r="FL4" s="1877"/>
      <c r="FM4" s="1877"/>
      <c r="FN4" s="1877"/>
      <c r="FO4" s="1877"/>
      <c r="FP4" s="1877"/>
      <c r="FQ4" s="1877"/>
      <c r="FR4" s="1877"/>
      <c r="FS4" s="1877"/>
      <c r="FT4" s="1877"/>
      <c r="FU4" s="1877"/>
      <c r="FV4" s="1877"/>
      <c r="FW4" s="1877"/>
      <c r="FX4" s="1877"/>
      <c r="FY4" s="1877"/>
      <c r="FZ4" s="1877"/>
      <c r="GA4" s="1877"/>
      <c r="GB4" s="1877"/>
      <c r="GC4" s="1877"/>
      <c r="GD4" s="1877"/>
      <c r="GE4" s="1877"/>
      <c r="GF4" s="1877"/>
      <c r="GG4" s="1877"/>
      <c r="GH4" s="1877"/>
      <c r="GI4" s="1877"/>
      <c r="GJ4" s="1877"/>
      <c r="GK4" s="1877"/>
      <c r="GL4" s="1877"/>
      <c r="GM4" s="1877"/>
      <c r="GN4" s="1877"/>
      <c r="GO4" s="1877"/>
      <c r="GP4" s="1878"/>
    </row>
    <row r="5" spans="1:200" ht="22.5" customHeight="1" x14ac:dyDescent="0.25">
      <c r="A5" s="67"/>
      <c r="B5" s="1879" t="s">
        <v>50</v>
      </c>
      <c r="C5" s="1880"/>
      <c r="D5" s="1880"/>
      <c r="E5" s="1857" t="s">
        <v>7177</v>
      </c>
      <c r="F5" s="1857" t="s">
        <v>2799</v>
      </c>
      <c r="G5" s="1857" t="s">
        <v>6494</v>
      </c>
      <c r="H5" s="1857" t="s">
        <v>52</v>
      </c>
      <c r="I5" s="1857" t="s">
        <v>42</v>
      </c>
      <c r="J5" s="1845" t="s">
        <v>6495</v>
      </c>
      <c r="K5" s="1846"/>
      <c r="L5" s="1847"/>
      <c r="M5" s="1944" t="s">
        <v>54</v>
      </c>
      <c r="N5" s="1960" t="s">
        <v>55</v>
      </c>
      <c r="O5" s="1961"/>
      <c r="P5" s="1961"/>
      <c r="Q5" s="1962"/>
      <c r="R5" s="1944" t="s">
        <v>5080</v>
      </c>
      <c r="S5" s="1944"/>
      <c r="T5" s="1944" t="s">
        <v>5081</v>
      </c>
      <c r="U5" s="1944"/>
      <c r="V5" s="1944"/>
      <c r="W5" s="1944"/>
      <c r="X5" s="1944"/>
      <c r="Y5" s="1969"/>
      <c r="Z5" s="1945" t="s">
        <v>5082</v>
      </c>
      <c r="AA5" s="1945"/>
      <c r="AB5" s="1972"/>
      <c r="AC5" s="1946" t="s">
        <v>76</v>
      </c>
      <c r="AD5" s="1946" t="s">
        <v>5083</v>
      </c>
      <c r="AE5" s="1978" t="s">
        <v>5084</v>
      </c>
      <c r="AF5" s="1979"/>
      <c r="AG5" s="1980"/>
      <c r="AH5" s="900" t="s">
        <v>60</v>
      </c>
      <c r="AI5" s="900" t="s">
        <v>61</v>
      </c>
      <c r="AJ5" s="900" t="s">
        <v>3318</v>
      </c>
      <c r="AK5" s="1902" t="s">
        <v>62</v>
      </c>
      <c r="AL5" s="1956"/>
      <c r="AM5" s="1981" t="s">
        <v>64</v>
      </c>
      <c r="AN5" s="1904"/>
      <c r="AO5" s="1982"/>
      <c r="AP5" s="1981" t="s">
        <v>65</v>
      </c>
      <c r="AQ5" s="1904"/>
      <c r="AR5" s="1982"/>
      <c r="AS5" s="1981" t="s">
        <v>66</v>
      </c>
      <c r="AT5" s="1982"/>
      <c r="AU5" s="1987" t="s">
        <v>5085</v>
      </c>
      <c r="AV5" s="1975"/>
      <c r="AW5" s="899"/>
      <c r="AX5" s="899"/>
      <c r="AY5" s="899"/>
      <c r="AZ5" s="899"/>
      <c r="BA5" s="899"/>
      <c r="BB5" s="1990" t="s">
        <v>5086</v>
      </c>
      <c r="BC5" s="1943"/>
      <c r="BD5" s="1943" t="s">
        <v>5087</v>
      </c>
      <c r="BE5" s="1943"/>
      <c r="BF5" s="1943"/>
      <c r="BG5" s="1943"/>
      <c r="BH5" s="1943"/>
      <c r="BI5" s="1943"/>
      <c r="BJ5" s="1943" t="s">
        <v>5088</v>
      </c>
      <c r="BK5" s="1943"/>
      <c r="BL5" s="1943"/>
      <c r="BM5" s="1943"/>
      <c r="BN5" s="1943" t="s">
        <v>5089</v>
      </c>
      <c r="BO5" s="1943"/>
      <c r="BP5" s="1943"/>
      <c r="BQ5" s="1943"/>
      <c r="BR5" s="1943" t="s">
        <v>5090</v>
      </c>
      <c r="BS5" s="1943"/>
      <c r="BT5" s="1943"/>
      <c r="BU5" s="1949"/>
      <c r="BV5" s="901"/>
      <c r="BW5" s="902"/>
      <c r="BX5" s="902"/>
      <c r="BY5" s="902"/>
      <c r="BZ5" s="902"/>
      <c r="CA5" s="902"/>
      <c r="CB5" s="902"/>
      <c r="CC5" s="902"/>
      <c r="CD5" s="902"/>
      <c r="CE5" s="902"/>
      <c r="CF5" s="902"/>
      <c r="CG5" s="902"/>
      <c r="CH5" s="902"/>
      <c r="CI5" s="902"/>
      <c r="CJ5" s="903"/>
      <c r="CK5" s="246"/>
      <c r="CL5" s="68"/>
      <c r="CM5" s="68"/>
      <c r="CN5" s="1803" t="s">
        <v>50</v>
      </c>
      <c r="CO5" s="1804"/>
      <c r="CP5" s="1950"/>
      <c r="CQ5" s="1837" t="s">
        <v>7177</v>
      </c>
      <c r="CR5" s="1837" t="s">
        <v>52</v>
      </c>
      <c r="CS5" s="1837" t="str">
        <f>I5</f>
        <v>Trecho</v>
      </c>
      <c r="CT5" s="1931" t="s">
        <v>5091</v>
      </c>
      <c r="CU5" s="1931"/>
      <c r="CV5" s="1931"/>
      <c r="CW5" s="1932"/>
      <c r="CX5" s="1890" t="s">
        <v>5092</v>
      </c>
      <c r="CY5" s="1890"/>
      <c r="CZ5" s="1890"/>
      <c r="DA5" s="1890" t="s">
        <v>5093</v>
      </c>
      <c r="DB5" s="1890"/>
      <c r="DC5" s="1890"/>
      <c r="DD5" s="1890" t="s">
        <v>5094</v>
      </c>
      <c r="DE5" s="1890"/>
      <c r="DF5" s="1890"/>
      <c r="DG5" s="1890" t="s">
        <v>5095</v>
      </c>
      <c r="DH5" s="1890"/>
      <c r="DI5" s="1890"/>
      <c r="DJ5" s="1890" t="s">
        <v>5096</v>
      </c>
      <c r="DK5" s="1890"/>
      <c r="DL5" s="1890"/>
      <c r="DM5" s="1894" t="s">
        <v>7218</v>
      </c>
      <c r="DN5" s="1895"/>
      <c r="DO5" s="1895"/>
      <c r="DP5" s="1895"/>
      <c r="DQ5" s="1895"/>
      <c r="DR5" s="1895"/>
      <c r="DS5" s="1924" t="s">
        <v>66</v>
      </c>
      <c r="DT5" s="1927"/>
      <c r="DU5" s="1829" t="s">
        <v>68</v>
      </c>
      <c r="DV5" s="1923" t="s">
        <v>69</v>
      </c>
      <c r="DW5" s="1924"/>
      <c r="DX5" s="1924"/>
      <c r="DY5" s="1924"/>
      <c r="DZ5" s="1925"/>
      <c r="EA5" s="1841" t="s">
        <v>5097</v>
      </c>
      <c r="EB5" s="1829" t="s">
        <v>71</v>
      </c>
      <c r="EC5" s="1843" t="s">
        <v>72</v>
      </c>
      <c r="ED5" s="1819"/>
      <c r="EE5" s="1819"/>
      <c r="EF5" s="1820"/>
      <c r="EG5" s="52"/>
      <c r="EH5" s="51"/>
      <c r="EI5" s="51"/>
      <c r="EJ5" s="1881" t="s">
        <v>75</v>
      </c>
      <c r="EK5" s="1882"/>
      <c r="EL5" s="1882"/>
      <c r="EM5" s="1882"/>
      <c r="EN5" s="1882"/>
      <c r="EO5" s="1882"/>
      <c r="EP5" s="1882"/>
      <c r="EQ5" s="1882"/>
      <c r="ER5" s="1882"/>
      <c r="ES5" s="1882"/>
      <c r="ET5" s="1882"/>
      <c r="EU5" s="1882"/>
      <c r="EV5" s="1882"/>
      <c r="EW5" s="1883"/>
      <c r="EX5" s="1906" t="s">
        <v>69</v>
      </c>
      <c r="EY5" s="1907"/>
      <c r="EZ5" s="1907"/>
      <c r="FA5" s="1907"/>
      <c r="FB5" s="1908"/>
      <c r="FC5" s="1816" t="s">
        <v>80</v>
      </c>
      <c r="FD5" s="1912" t="s">
        <v>72</v>
      </c>
      <c r="FE5" s="1913"/>
      <c r="FF5" s="1913"/>
      <c r="FG5" s="1914"/>
      <c r="FH5" s="1918" t="s">
        <v>5098</v>
      </c>
      <c r="FI5" s="1919"/>
      <c r="FJ5" s="1919"/>
      <c r="FK5" s="1919"/>
      <c r="FL5" s="1919"/>
      <c r="FM5" s="1919"/>
      <c r="FN5" s="1919"/>
      <c r="FO5" s="1919"/>
      <c r="FP5" s="1919"/>
      <c r="FQ5" s="1919"/>
      <c r="FR5" s="1919"/>
      <c r="FS5" s="1919"/>
      <c r="FT5" s="1919"/>
      <c r="FU5" s="1919"/>
      <c r="FV5" s="1919"/>
      <c r="FW5" s="1919"/>
      <c r="FX5" s="1919"/>
      <c r="FY5" s="1919"/>
      <c r="FZ5" s="1919"/>
      <c r="GA5" s="1920" t="s">
        <v>5099</v>
      </c>
      <c r="GB5" s="1919"/>
      <c r="GC5" s="1919"/>
      <c r="GD5" s="1919"/>
      <c r="GE5" s="1919"/>
      <c r="GF5" s="1919"/>
      <c r="GG5" s="1919"/>
      <c r="GH5" s="1921"/>
      <c r="GI5" s="1985" t="s">
        <v>7214</v>
      </c>
      <c r="GJ5" s="1921"/>
      <c r="GK5" s="1919" t="s">
        <v>5100</v>
      </c>
      <c r="GL5" s="1919"/>
      <c r="GM5" s="1919"/>
      <c r="GN5" s="1919"/>
      <c r="GO5" s="1919"/>
      <c r="GP5" s="1922"/>
    </row>
    <row r="6" spans="1:200" ht="18" customHeight="1" x14ac:dyDescent="0.25">
      <c r="A6" s="67"/>
      <c r="B6" s="1983" t="s">
        <v>82</v>
      </c>
      <c r="C6" s="1857" t="s">
        <v>0</v>
      </c>
      <c r="D6" s="1857" t="s">
        <v>83</v>
      </c>
      <c r="E6" s="1839"/>
      <c r="F6" s="1839"/>
      <c r="G6" s="1839"/>
      <c r="H6" s="1839"/>
      <c r="I6" s="1839"/>
      <c r="J6" s="1839" t="s">
        <v>96</v>
      </c>
      <c r="K6" s="1839" t="s">
        <v>6497</v>
      </c>
      <c r="L6" s="1839" t="s">
        <v>6496</v>
      </c>
      <c r="M6" s="1946"/>
      <c r="N6" s="1946" t="s">
        <v>90</v>
      </c>
      <c r="O6" s="1946" t="s">
        <v>84</v>
      </c>
      <c r="P6" s="1946" t="s">
        <v>85</v>
      </c>
      <c r="Q6" s="1946" t="s">
        <v>5101</v>
      </c>
      <c r="R6" s="1946" t="s">
        <v>5102</v>
      </c>
      <c r="S6" s="1946" t="s">
        <v>16</v>
      </c>
      <c r="T6" s="900" t="s">
        <v>5103</v>
      </c>
      <c r="U6" s="900" t="s">
        <v>5104</v>
      </c>
      <c r="V6" s="900" t="s">
        <v>5105</v>
      </c>
      <c r="W6" s="900" t="s">
        <v>5106</v>
      </c>
      <c r="X6" s="900" t="s">
        <v>1940</v>
      </c>
      <c r="Y6" s="904" t="s">
        <v>58</v>
      </c>
      <c r="Z6" s="1958" t="s">
        <v>5107</v>
      </c>
      <c r="AA6" s="1964" t="s">
        <v>5108</v>
      </c>
      <c r="AB6" s="1972"/>
      <c r="AC6" s="1947"/>
      <c r="AD6" s="1947"/>
      <c r="AE6" s="1991" t="s">
        <v>3100</v>
      </c>
      <c r="AF6" s="1941" t="s">
        <v>588</v>
      </c>
      <c r="AG6" s="1952" t="s">
        <v>91</v>
      </c>
      <c r="AH6" s="1947" t="s">
        <v>5109</v>
      </c>
      <c r="AI6" s="1947" t="s">
        <v>5110</v>
      </c>
      <c r="AJ6" s="1956" t="s">
        <v>84</v>
      </c>
      <c r="AK6" s="1958" t="s">
        <v>5107</v>
      </c>
      <c r="AL6" s="1964" t="s">
        <v>5108</v>
      </c>
      <c r="AM6" s="1954" t="s">
        <v>88</v>
      </c>
      <c r="AN6" s="1954"/>
      <c r="AO6" s="1956" t="s">
        <v>89</v>
      </c>
      <c r="AP6" s="1954" t="s">
        <v>88</v>
      </c>
      <c r="AQ6" s="1954"/>
      <c r="AR6" s="1956" t="s">
        <v>89</v>
      </c>
      <c r="AS6" s="1958" t="s">
        <v>88</v>
      </c>
      <c r="AT6" s="1964" t="s">
        <v>89</v>
      </c>
      <c r="AU6" s="1988"/>
      <c r="AV6" s="1975"/>
      <c r="AW6" s="899"/>
      <c r="AX6" s="899"/>
      <c r="AY6" s="899"/>
      <c r="AZ6" s="899"/>
      <c r="BA6" s="899"/>
      <c r="BB6" s="905"/>
      <c r="BC6" s="906"/>
      <c r="BD6" s="906"/>
      <c r="BE6" s="906"/>
      <c r="BF6" s="906"/>
      <c r="BG6" s="906"/>
      <c r="BH6" s="906"/>
      <c r="BI6" s="906"/>
      <c r="BJ6" s="906"/>
      <c r="BK6" s="906"/>
      <c r="BL6" s="906"/>
      <c r="BM6" s="906"/>
      <c r="BN6" s="906"/>
      <c r="BO6" s="906"/>
      <c r="BP6" s="906"/>
      <c r="BQ6" s="906"/>
      <c r="BR6" s="906"/>
      <c r="BS6" s="906"/>
      <c r="BT6" s="906"/>
      <c r="BU6" s="907"/>
      <c r="BV6" s="237"/>
      <c r="BW6" s="246"/>
      <c r="BX6" s="246"/>
      <c r="BY6" s="246"/>
      <c r="BZ6" s="246"/>
      <c r="CA6" s="246"/>
      <c r="CB6" s="246"/>
      <c r="CC6" s="246"/>
      <c r="CD6" s="246"/>
      <c r="CE6" s="246"/>
      <c r="CF6" s="246"/>
      <c r="CG6" s="246"/>
      <c r="CH6" s="246"/>
      <c r="CI6" s="246"/>
      <c r="CJ6" s="247"/>
      <c r="CK6" s="246"/>
      <c r="CL6" s="68"/>
      <c r="CM6" s="68"/>
      <c r="CN6" s="1933" t="s">
        <v>82</v>
      </c>
      <c r="CO6" s="1935" t="s">
        <v>0</v>
      </c>
      <c r="CP6" s="1937" t="s">
        <v>83</v>
      </c>
      <c r="CQ6" s="1839"/>
      <c r="CR6" s="1839"/>
      <c r="CS6" s="1839"/>
      <c r="CT6" s="1939">
        <v>60</v>
      </c>
      <c r="CU6" s="1896">
        <v>80</v>
      </c>
      <c r="CV6" s="1896">
        <v>100</v>
      </c>
      <c r="CW6" s="1896">
        <v>120</v>
      </c>
      <c r="CX6" s="1928">
        <f t="shared" ref="CX6:DC6" si="0">CU6</f>
        <v>80</v>
      </c>
      <c r="CY6" s="1896">
        <f t="shared" si="0"/>
        <v>100</v>
      </c>
      <c r="CZ6" s="1896">
        <f t="shared" si="0"/>
        <v>120</v>
      </c>
      <c r="DA6" s="1928">
        <f t="shared" si="0"/>
        <v>80</v>
      </c>
      <c r="DB6" s="1896">
        <f t="shared" si="0"/>
        <v>100</v>
      </c>
      <c r="DC6" s="1896">
        <f t="shared" si="0"/>
        <v>120</v>
      </c>
      <c r="DD6" s="1896" t="str">
        <f t="shared" ref="DD6:DK6" si="1">CONCATENATE(DD22,"x",DD23)</f>
        <v>1,5x1,5</v>
      </c>
      <c r="DE6" s="1896" t="str">
        <f t="shared" si="1"/>
        <v>2x2</v>
      </c>
      <c r="DF6" s="1896" t="str">
        <f t="shared" si="1"/>
        <v>2,5x2,5</v>
      </c>
      <c r="DG6" s="1896" t="str">
        <f t="shared" si="1"/>
        <v>1,5x1,5</v>
      </c>
      <c r="DH6" s="1896" t="str">
        <f t="shared" si="1"/>
        <v>2x2</v>
      </c>
      <c r="DI6" s="1896" t="str">
        <f t="shared" si="1"/>
        <v>2,5x2,5</v>
      </c>
      <c r="DJ6" s="1896" t="str">
        <f t="shared" si="1"/>
        <v>1,5x1,5</v>
      </c>
      <c r="DK6" s="1896" t="str">
        <f t="shared" si="1"/>
        <v>2x2</v>
      </c>
      <c r="DL6" s="1896" t="str">
        <f>DI6</f>
        <v>2,5x2,5</v>
      </c>
      <c r="DM6" s="1986" t="s">
        <v>5130</v>
      </c>
      <c r="DN6" s="1986" t="s">
        <v>6194</v>
      </c>
      <c r="DO6" s="1986" t="s">
        <v>6684</v>
      </c>
      <c r="DP6" s="1986" t="s">
        <v>7221</v>
      </c>
      <c r="DQ6" s="1986" t="s">
        <v>7219</v>
      </c>
      <c r="DR6" s="1986" t="s">
        <v>7220</v>
      </c>
      <c r="DS6" s="1896" t="s">
        <v>88</v>
      </c>
      <c r="DT6" s="1898" t="s">
        <v>89</v>
      </c>
      <c r="DU6" s="1830"/>
      <c r="DV6" s="1900" t="s">
        <v>92</v>
      </c>
      <c r="DW6" s="1902" t="s">
        <v>93</v>
      </c>
      <c r="DX6" s="1904" t="s">
        <v>94</v>
      </c>
      <c r="DY6" s="1904"/>
      <c r="DZ6" s="908" t="s">
        <v>95</v>
      </c>
      <c r="EA6" s="1926"/>
      <c r="EB6" s="1830"/>
      <c r="EC6" s="1900" t="s">
        <v>96</v>
      </c>
      <c r="ED6" s="1858" t="s">
        <v>97</v>
      </c>
      <c r="EE6" s="1812"/>
      <c r="EF6" s="1885" t="s">
        <v>98</v>
      </c>
      <c r="EG6" s="52"/>
      <c r="EH6" s="51"/>
      <c r="EI6" s="51"/>
      <c r="EJ6" s="1887" t="str">
        <f>AM6</f>
        <v>Montante</v>
      </c>
      <c r="EK6" s="1888"/>
      <c r="EL6" s="1888"/>
      <c r="EM6" s="1888"/>
      <c r="EN6" s="1888"/>
      <c r="EO6" s="1888"/>
      <c r="EP6" s="1889"/>
      <c r="EQ6" s="1887" t="str">
        <f>AT6</f>
        <v>Jusante</v>
      </c>
      <c r="ER6" s="1888"/>
      <c r="ES6" s="1888"/>
      <c r="ET6" s="1888"/>
      <c r="EU6" s="1888"/>
      <c r="EV6" s="1888"/>
      <c r="EW6" s="1889"/>
      <c r="EX6" s="1909"/>
      <c r="EY6" s="1910"/>
      <c r="EZ6" s="1910"/>
      <c r="FA6" s="1910"/>
      <c r="FB6" s="1911"/>
      <c r="FC6" s="1817"/>
      <c r="FD6" s="1915"/>
      <c r="FE6" s="1916"/>
      <c r="FF6" s="1916"/>
      <c r="FG6" s="1917"/>
      <c r="FH6" s="1892" t="s">
        <v>5091</v>
      </c>
      <c r="FI6" s="1892"/>
      <c r="FJ6" s="1892"/>
      <c r="FK6" s="1893"/>
      <c r="FL6" s="1890" t="s">
        <v>5092</v>
      </c>
      <c r="FM6" s="1890"/>
      <c r="FN6" s="1890"/>
      <c r="FO6" s="1891" t="s">
        <v>5093</v>
      </c>
      <c r="FP6" s="1892"/>
      <c r="FQ6" s="1893"/>
      <c r="FR6" s="1890" t="s">
        <v>5094</v>
      </c>
      <c r="FS6" s="1890"/>
      <c r="FT6" s="1890"/>
      <c r="FU6" s="1891" t="s">
        <v>5095</v>
      </c>
      <c r="FV6" s="1892"/>
      <c r="FW6" s="1893"/>
      <c r="FX6" s="1890" t="s">
        <v>5096</v>
      </c>
      <c r="FY6" s="1890"/>
      <c r="FZ6" s="1894"/>
      <c r="GA6" s="1890" t="s">
        <v>5111</v>
      </c>
      <c r="GB6" s="1890"/>
      <c r="GC6" s="1890"/>
      <c r="GD6" s="1890"/>
      <c r="GE6" s="1890" t="s">
        <v>6498</v>
      </c>
      <c r="GF6" s="1890"/>
      <c r="GG6" s="1890"/>
      <c r="GH6" s="1890"/>
      <c r="GI6" s="1380" t="s">
        <v>7216</v>
      </c>
      <c r="GJ6" s="1380" t="s">
        <v>7215</v>
      </c>
      <c r="GK6" s="1895" t="s">
        <v>5112</v>
      </c>
      <c r="GL6" s="1895"/>
      <c r="GM6" s="1895"/>
      <c r="GN6" s="1895"/>
      <c r="GO6" s="1895"/>
      <c r="GP6" s="1895"/>
    </row>
    <row r="7" spans="1:200" ht="18" customHeight="1" x14ac:dyDescent="0.25">
      <c r="A7" s="67"/>
      <c r="B7" s="1984"/>
      <c r="C7" s="1838"/>
      <c r="D7" s="1838"/>
      <c r="E7" s="1838"/>
      <c r="F7" s="1838"/>
      <c r="G7" s="1838"/>
      <c r="H7" s="1838"/>
      <c r="I7" s="1838"/>
      <c r="J7" s="1838"/>
      <c r="K7" s="1838"/>
      <c r="L7" s="1838"/>
      <c r="M7" s="1963"/>
      <c r="N7" s="1948"/>
      <c r="O7" s="1948"/>
      <c r="P7" s="1948"/>
      <c r="Q7" s="1948"/>
      <c r="R7" s="1948"/>
      <c r="S7" s="1948"/>
      <c r="T7" s="909" t="s">
        <v>5102</v>
      </c>
      <c r="U7" s="909" t="s">
        <v>5102</v>
      </c>
      <c r="V7" s="909" t="s">
        <v>5102</v>
      </c>
      <c r="W7" s="909" t="s">
        <v>5113</v>
      </c>
      <c r="X7" s="909" t="s">
        <v>5114</v>
      </c>
      <c r="Y7" s="910" t="s">
        <v>5115</v>
      </c>
      <c r="Z7" s="1959"/>
      <c r="AA7" s="1965"/>
      <c r="AB7" s="1973"/>
      <c r="AC7" s="1948"/>
      <c r="AD7" s="1948"/>
      <c r="AE7" s="1992"/>
      <c r="AF7" s="1942"/>
      <c r="AG7" s="1953"/>
      <c r="AH7" s="1948"/>
      <c r="AI7" s="1948"/>
      <c r="AJ7" s="1957"/>
      <c r="AK7" s="1959"/>
      <c r="AL7" s="1965"/>
      <c r="AM7" s="1955"/>
      <c r="AN7" s="1955"/>
      <c r="AO7" s="1957"/>
      <c r="AP7" s="1955"/>
      <c r="AQ7" s="1955"/>
      <c r="AR7" s="1957"/>
      <c r="AS7" s="1959"/>
      <c r="AT7" s="1965"/>
      <c r="AU7" s="1989"/>
      <c r="AV7" s="1976"/>
      <c r="AW7" s="899"/>
      <c r="AX7" s="899"/>
      <c r="AY7" s="899"/>
      <c r="AZ7" s="899"/>
      <c r="BA7" s="899"/>
      <c r="BB7" s="911" t="s">
        <v>3100</v>
      </c>
      <c r="BC7" s="912" t="s">
        <v>588</v>
      </c>
      <c r="BD7" s="912" t="s">
        <v>149</v>
      </c>
      <c r="BE7" s="912" t="s">
        <v>137</v>
      </c>
      <c r="BF7" s="912" t="s">
        <v>2598</v>
      </c>
      <c r="BG7" s="912" t="s">
        <v>5116</v>
      </c>
      <c r="BH7" s="912" t="s">
        <v>3318</v>
      </c>
      <c r="BI7" s="912" t="s">
        <v>5117</v>
      </c>
      <c r="BJ7" s="912" t="s">
        <v>149</v>
      </c>
      <c r="BK7" s="912" t="s">
        <v>137</v>
      </c>
      <c r="BL7" s="912" t="s">
        <v>2598</v>
      </c>
      <c r="BM7" s="912" t="s">
        <v>5116</v>
      </c>
      <c r="BN7" s="912" t="s">
        <v>5118</v>
      </c>
      <c r="BO7" s="912" t="s">
        <v>3318</v>
      </c>
      <c r="BP7" s="912" t="s">
        <v>5118</v>
      </c>
      <c r="BQ7" s="912" t="s">
        <v>2567</v>
      </c>
      <c r="BR7" s="912" t="s">
        <v>5116</v>
      </c>
      <c r="BS7" s="912" t="s">
        <v>2567</v>
      </c>
      <c r="BT7" s="912" t="s">
        <v>58</v>
      </c>
      <c r="BU7" s="913" t="s">
        <v>61</v>
      </c>
      <c r="BV7" s="911" t="s">
        <v>3319</v>
      </c>
      <c r="BW7" s="912" t="s">
        <v>5119</v>
      </c>
      <c r="BX7" s="912" t="s">
        <v>5120</v>
      </c>
      <c r="BY7" s="912" t="s">
        <v>5121</v>
      </c>
      <c r="BZ7" s="912" t="s">
        <v>5121</v>
      </c>
      <c r="CA7" s="912" t="s">
        <v>3318</v>
      </c>
      <c r="CB7" s="912" t="s">
        <v>5118</v>
      </c>
      <c r="CC7" s="912" t="s">
        <v>2567</v>
      </c>
      <c r="CD7" s="912" t="s">
        <v>5116</v>
      </c>
      <c r="CE7" s="912" t="s">
        <v>5122</v>
      </c>
      <c r="CF7" s="912" t="s">
        <v>5123</v>
      </c>
      <c r="CG7" s="912" t="s">
        <v>58</v>
      </c>
      <c r="CH7" s="912" t="s">
        <v>5124</v>
      </c>
      <c r="CI7" s="912" t="s">
        <v>5125</v>
      </c>
      <c r="CJ7" s="913" t="s">
        <v>5090</v>
      </c>
      <c r="CK7" s="61"/>
      <c r="CL7" s="69"/>
      <c r="CM7" s="69"/>
      <c r="CN7" s="1934"/>
      <c r="CO7" s="1936"/>
      <c r="CP7" s="1938"/>
      <c r="CQ7" s="1838"/>
      <c r="CR7" s="1838"/>
      <c r="CS7" s="1930">
        <f>I7</f>
        <v>0</v>
      </c>
      <c r="CT7" s="1940"/>
      <c r="CU7" s="1897"/>
      <c r="CV7" s="1897"/>
      <c r="CW7" s="1897"/>
      <c r="CX7" s="1929"/>
      <c r="CY7" s="1897"/>
      <c r="CZ7" s="1897"/>
      <c r="DA7" s="1929"/>
      <c r="DB7" s="1897"/>
      <c r="DC7" s="1897"/>
      <c r="DD7" s="1897"/>
      <c r="DE7" s="1897"/>
      <c r="DF7" s="1897"/>
      <c r="DG7" s="1897"/>
      <c r="DH7" s="1897"/>
      <c r="DI7" s="1897"/>
      <c r="DJ7" s="1897"/>
      <c r="DK7" s="1897"/>
      <c r="DL7" s="1897"/>
      <c r="DM7" s="1940"/>
      <c r="DN7" s="1940"/>
      <c r="DO7" s="1940"/>
      <c r="DP7" s="1940"/>
      <c r="DQ7" s="1940"/>
      <c r="DR7" s="1940"/>
      <c r="DS7" s="1897"/>
      <c r="DT7" s="1899"/>
      <c r="DU7" s="1840"/>
      <c r="DV7" s="1901"/>
      <c r="DW7" s="1903"/>
      <c r="DX7" s="914" t="s">
        <v>3225</v>
      </c>
      <c r="DY7" s="915" t="s">
        <v>5126</v>
      </c>
      <c r="DZ7" s="916" t="s">
        <v>5126</v>
      </c>
      <c r="EA7" s="1842"/>
      <c r="EB7" s="1840"/>
      <c r="EC7" s="1905"/>
      <c r="ED7" s="1840"/>
      <c r="EE7" s="1884"/>
      <c r="EF7" s="1886"/>
      <c r="EG7" s="52"/>
      <c r="EH7" s="917" t="s">
        <v>109</v>
      </c>
      <c r="EI7" s="51"/>
      <c r="EJ7" s="918" t="s">
        <v>5127</v>
      </c>
      <c r="EK7" s="919" t="s">
        <v>52</v>
      </c>
      <c r="EL7" s="919"/>
      <c r="EM7" s="920" t="s">
        <v>76</v>
      </c>
      <c r="EN7" s="920" t="s">
        <v>5128</v>
      </c>
      <c r="EO7" s="920" t="s">
        <v>68</v>
      </c>
      <c r="EP7" s="920" t="s">
        <v>78</v>
      </c>
      <c r="EQ7" s="918" t="s">
        <v>5127</v>
      </c>
      <c r="ER7" s="919" t="s">
        <v>52</v>
      </c>
      <c r="ES7" s="919"/>
      <c r="ET7" s="920" t="s">
        <v>76</v>
      </c>
      <c r="EU7" s="920" t="s">
        <v>5128</v>
      </c>
      <c r="EV7" s="920" t="s">
        <v>68</v>
      </c>
      <c r="EW7" s="920" t="s">
        <v>78</v>
      </c>
      <c r="EX7" s="754" t="s">
        <v>92</v>
      </c>
      <c r="EY7" s="753" t="s">
        <v>93</v>
      </c>
      <c r="EZ7" s="1810" t="s">
        <v>94</v>
      </c>
      <c r="FA7" s="1811"/>
      <c r="FB7" s="755" t="s">
        <v>95</v>
      </c>
      <c r="FC7" s="1817"/>
      <c r="FD7" s="754" t="s">
        <v>96</v>
      </c>
      <c r="FE7" s="1810" t="s">
        <v>97</v>
      </c>
      <c r="FF7" s="1811"/>
      <c r="FG7" s="755" t="s">
        <v>98</v>
      </c>
      <c r="FH7" s="921">
        <f t="shared" ref="FH7:FZ7" si="2">FH25</f>
        <v>60</v>
      </c>
      <c r="FI7" s="921">
        <f t="shared" si="2"/>
        <v>80</v>
      </c>
      <c r="FJ7" s="921">
        <f t="shared" si="2"/>
        <v>100</v>
      </c>
      <c r="FK7" s="922">
        <f t="shared" si="2"/>
        <v>120</v>
      </c>
      <c r="FL7" s="921">
        <f t="shared" si="2"/>
        <v>80</v>
      </c>
      <c r="FM7" s="921">
        <f t="shared" si="2"/>
        <v>100</v>
      </c>
      <c r="FN7" s="921">
        <f t="shared" si="2"/>
        <v>120</v>
      </c>
      <c r="FO7" s="923">
        <f t="shared" si="2"/>
        <v>80</v>
      </c>
      <c r="FP7" s="921">
        <f t="shared" si="2"/>
        <v>100</v>
      </c>
      <c r="FQ7" s="922">
        <f t="shared" si="2"/>
        <v>120</v>
      </c>
      <c r="FR7" s="921" t="str">
        <f t="shared" si="2"/>
        <v>1,5x1,5</v>
      </c>
      <c r="FS7" s="921" t="str">
        <f t="shared" si="2"/>
        <v>2x2</v>
      </c>
      <c r="FT7" s="921" t="str">
        <f t="shared" si="2"/>
        <v>2,5x2,5</v>
      </c>
      <c r="FU7" s="923" t="str">
        <f t="shared" si="2"/>
        <v>1,5x1,5</v>
      </c>
      <c r="FV7" s="921" t="str">
        <f t="shared" si="2"/>
        <v>2x2</v>
      </c>
      <c r="FW7" s="922" t="str">
        <f t="shared" si="2"/>
        <v>2,5x2,5</v>
      </c>
      <c r="FX7" s="921" t="str">
        <f t="shared" si="2"/>
        <v>1,5x1,5</v>
      </c>
      <c r="FY7" s="921" t="str">
        <f t="shared" si="2"/>
        <v>2x2</v>
      </c>
      <c r="FZ7" s="922" t="str">
        <f t="shared" si="2"/>
        <v>2,5x2,5</v>
      </c>
      <c r="GA7" s="921" t="str">
        <f>GA25</f>
        <v>01</v>
      </c>
      <c r="GB7" s="921" t="str">
        <f t="shared" ref="GB7:GJ7" si="3">GB25</f>
        <v>02</v>
      </c>
      <c r="GC7" s="921" t="str">
        <f t="shared" si="3"/>
        <v>03</v>
      </c>
      <c r="GD7" s="921" t="str">
        <f t="shared" si="3"/>
        <v>04</v>
      </c>
      <c r="GE7" s="921" t="str">
        <f>GE25</f>
        <v>01</v>
      </c>
      <c r="GF7" s="921" t="str">
        <f t="shared" si="3"/>
        <v>02</v>
      </c>
      <c r="GG7" s="921" t="str">
        <f t="shared" si="3"/>
        <v>03</v>
      </c>
      <c r="GH7" s="921" t="str">
        <f t="shared" si="3"/>
        <v>04</v>
      </c>
      <c r="GI7" s="921" t="str">
        <f t="shared" si="3"/>
        <v>04</v>
      </c>
      <c r="GJ7" s="921" t="str">
        <f t="shared" si="3"/>
        <v>04</v>
      </c>
      <c r="GK7" s="924" t="s">
        <v>5129</v>
      </c>
      <c r="GL7" s="924" t="s">
        <v>5130</v>
      </c>
      <c r="GM7" s="924" t="s">
        <v>5131</v>
      </c>
      <c r="GN7" s="924" t="s">
        <v>6194</v>
      </c>
      <c r="GO7" s="924" t="s">
        <v>6684</v>
      </c>
      <c r="GP7" s="925" t="s">
        <v>7217</v>
      </c>
    </row>
    <row r="8" spans="1:200" x14ac:dyDescent="0.25">
      <c r="A8" s="50"/>
      <c r="B8" s="883" t="s">
        <v>5918</v>
      </c>
      <c r="C8" s="884"/>
      <c r="D8" s="884"/>
      <c r="E8" s="884"/>
      <c r="F8" s="1124"/>
      <c r="G8" s="1124"/>
      <c r="H8" s="884"/>
      <c r="I8" s="884"/>
      <c r="J8" s="885"/>
      <c r="K8" s="885"/>
      <c r="L8" s="885"/>
      <c r="M8" s="886"/>
      <c r="N8" s="886"/>
      <c r="O8" s="886"/>
      <c r="P8" s="886"/>
      <c r="Q8" s="886"/>
      <c r="R8" s="887"/>
      <c r="S8" s="887"/>
      <c r="T8" s="887"/>
      <c r="U8" s="887"/>
      <c r="V8" s="887"/>
      <c r="W8" s="887"/>
      <c r="X8" s="887"/>
      <c r="Y8" s="887"/>
      <c r="Z8" s="887"/>
      <c r="AA8" s="887"/>
      <c r="AB8" s="888"/>
      <c r="AC8" s="886"/>
      <c r="AD8" s="886"/>
      <c r="AE8" s="886"/>
      <c r="AF8" s="886"/>
      <c r="AG8" s="886"/>
      <c r="AH8" s="886"/>
      <c r="AI8" s="887"/>
      <c r="AJ8" s="887"/>
      <c r="AK8" s="889"/>
      <c r="AL8" s="889"/>
      <c r="AM8" s="890"/>
      <c r="AN8" s="890"/>
      <c r="AO8" s="890"/>
      <c r="AP8" s="890"/>
      <c r="AQ8" s="890"/>
      <c r="AR8" s="890"/>
      <c r="AS8" s="890"/>
      <c r="AT8" s="890"/>
      <c r="AU8" s="891"/>
      <c r="AV8" s="892"/>
      <c r="AW8" s="926"/>
      <c r="AX8" s="926" t="s">
        <v>5132</v>
      </c>
      <c r="AY8" s="926" t="s">
        <v>76</v>
      </c>
      <c r="AZ8" s="926" t="s">
        <v>5133</v>
      </c>
      <c r="BA8" s="926"/>
      <c r="BB8" s="927"/>
      <c r="BC8" s="928"/>
      <c r="BD8" s="928"/>
      <c r="BE8" s="928"/>
      <c r="BF8" s="928"/>
      <c r="BG8" s="928"/>
      <c r="BH8" s="928"/>
      <c r="BI8" s="928"/>
      <c r="BJ8" s="928"/>
      <c r="BK8" s="928"/>
      <c r="BL8" s="928"/>
      <c r="BM8" s="928"/>
      <c r="BN8" s="928"/>
      <c r="BO8" s="928"/>
      <c r="BP8" s="928"/>
      <c r="BQ8" s="928"/>
      <c r="BR8" s="929"/>
      <c r="BS8" s="928"/>
      <c r="BT8" s="930"/>
      <c r="BU8" s="931"/>
      <c r="BV8" s="932"/>
      <c r="BW8" s="859"/>
      <c r="BX8" s="859"/>
      <c r="BY8" s="859"/>
      <c r="BZ8" s="859"/>
      <c r="CA8" s="859"/>
      <c r="CB8" s="859"/>
      <c r="CC8" s="859"/>
      <c r="CD8" s="933"/>
      <c r="CE8" s="859"/>
      <c r="CF8" s="859"/>
      <c r="CG8" s="934"/>
      <c r="CH8" s="859"/>
      <c r="CI8" s="859"/>
      <c r="CJ8" s="935"/>
      <c r="CK8" s="57"/>
      <c r="CL8" s="69"/>
      <c r="CM8" s="69"/>
      <c r="CN8" s="936" t="str">
        <f>B8</f>
        <v>DIMENSIONAMENTO BUEIROS NOVOS</v>
      </c>
      <c r="CO8" s="893"/>
      <c r="CP8" s="893"/>
      <c r="CQ8" s="893"/>
      <c r="CR8" s="893"/>
      <c r="CS8" s="893"/>
      <c r="CT8" s="893"/>
      <c r="CU8" s="894"/>
      <c r="CV8" s="894"/>
      <c r="CW8" s="894"/>
      <c r="CX8" s="894"/>
      <c r="CY8" s="894"/>
      <c r="CZ8" s="894"/>
      <c r="DA8" s="894"/>
      <c r="DB8" s="894"/>
      <c r="DC8" s="894"/>
      <c r="DD8" s="894"/>
      <c r="DE8" s="894"/>
      <c r="DF8" s="894"/>
      <c r="DG8" s="894"/>
      <c r="DH8" s="894"/>
      <c r="DI8" s="894"/>
      <c r="DJ8" s="894"/>
      <c r="DK8" s="894"/>
      <c r="DL8" s="894"/>
      <c r="DM8" s="894"/>
      <c r="DN8" s="894"/>
      <c r="DO8" s="894"/>
      <c r="DP8" s="894"/>
      <c r="DQ8" s="894"/>
      <c r="DR8" s="894"/>
      <c r="DS8" s="894"/>
      <c r="DT8" s="893"/>
      <c r="DU8" s="893"/>
      <c r="DV8" s="894"/>
      <c r="DW8" s="893"/>
      <c r="DX8" s="893"/>
      <c r="DY8" s="893"/>
      <c r="DZ8" s="893"/>
      <c r="EA8" s="893"/>
      <c r="EB8" s="893"/>
      <c r="EC8" s="893"/>
      <c r="ED8" s="893"/>
      <c r="EE8" s="893"/>
      <c r="EF8" s="893"/>
      <c r="EG8" s="52"/>
      <c r="EH8" s="895"/>
      <c r="EI8" s="51"/>
      <c r="EJ8" s="883" t="str">
        <f>CN8</f>
        <v>DIMENSIONAMENTO BUEIROS NOVOS</v>
      </c>
      <c r="EK8" s="884"/>
      <c r="EL8" s="884"/>
      <c r="EM8" s="884"/>
      <c r="EN8" s="884"/>
      <c r="EO8" s="884"/>
      <c r="EP8" s="884"/>
      <c r="EQ8" s="884"/>
      <c r="ER8" s="884"/>
      <c r="ES8" s="884"/>
      <c r="ET8" s="884"/>
      <c r="EU8" s="884"/>
      <c r="EV8" s="884"/>
      <c r="EW8" s="884"/>
      <c r="EX8" s="896"/>
      <c r="EY8" s="896"/>
      <c r="EZ8" s="896"/>
      <c r="FA8" s="896"/>
      <c r="FB8" s="896"/>
      <c r="FC8" s="896"/>
      <c r="FD8" s="896"/>
      <c r="FE8" s="896"/>
      <c r="FF8" s="896"/>
      <c r="FG8" s="896"/>
      <c r="FH8" s="896"/>
      <c r="FI8" s="896"/>
      <c r="FJ8" s="896"/>
      <c r="FK8" s="896"/>
      <c r="FL8" s="937"/>
      <c r="FM8" s="897"/>
      <c r="FN8" s="938"/>
      <c r="FO8" s="897"/>
      <c r="FP8" s="897"/>
      <c r="FQ8" s="897"/>
      <c r="FR8" s="939"/>
      <c r="FS8" s="897"/>
      <c r="FT8" s="938"/>
      <c r="FU8" s="897"/>
      <c r="FV8" s="897"/>
      <c r="FW8" s="897"/>
      <c r="FX8" s="939"/>
      <c r="FY8" s="897"/>
      <c r="FZ8" s="897"/>
      <c r="GA8" s="937"/>
      <c r="GB8" s="896"/>
      <c r="GC8" s="896"/>
      <c r="GD8" s="940"/>
      <c r="GE8" s="897"/>
      <c r="GF8" s="897"/>
      <c r="GG8" s="897"/>
      <c r="GH8" s="938"/>
      <c r="GI8" s="1406"/>
      <c r="GJ8" s="1406"/>
      <c r="GK8" s="897"/>
      <c r="GL8" s="897"/>
      <c r="GM8" s="897"/>
      <c r="GN8" s="897"/>
      <c r="GO8" s="897"/>
      <c r="GP8" s="941"/>
    </row>
    <row r="9" spans="1:200" ht="22.5" x14ac:dyDescent="0.25">
      <c r="A9" s="50"/>
      <c r="B9" s="78" t="s">
        <v>7198</v>
      </c>
      <c r="C9" s="1025" t="s">
        <v>0</v>
      </c>
      <c r="D9" s="1025" t="s">
        <v>4266</v>
      </c>
      <c r="E9" s="1122" t="str">
        <f>MEMORIA!E12</f>
        <v>ESTR. DE LINHA TAQUARAL</v>
      </c>
      <c r="F9" s="1125">
        <v>124</v>
      </c>
      <c r="G9" s="1125" t="s">
        <v>7194</v>
      </c>
      <c r="H9" s="1123" t="s">
        <v>109</v>
      </c>
      <c r="I9" s="1113" t="s">
        <v>7204</v>
      </c>
      <c r="J9" s="1026">
        <v>11</v>
      </c>
      <c r="K9" s="1127">
        <v>6</v>
      </c>
      <c r="L9" s="1127">
        <f>J9-K9</f>
        <v>5</v>
      </c>
      <c r="M9" s="1114">
        <v>0.4</v>
      </c>
      <c r="N9" s="1368">
        <v>1</v>
      </c>
      <c r="O9" s="1114">
        <v>63552</v>
      </c>
      <c r="P9" s="1114">
        <f>O9/10000</f>
        <v>6.36</v>
      </c>
      <c r="Q9" s="1114">
        <f>O9/(1000*1000)</f>
        <v>0.06</v>
      </c>
      <c r="R9" s="1114">
        <v>579</v>
      </c>
      <c r="S9" s="1110">
        <f>R9/1000</f>
        <v>0.57999999999999996</v>
      </c>
      <c r="T9" s="1110">
        <f>U9+V9</f>
        <v>651.69000000000005</v>
      </c>
      <c r="U9" s="1110">
        <f>AM9</f>
        <v>552.69000000000005</v>
      </c>
      <c r="V9" s="1114">
        <f>657-558</f>
        <v>99</v>
      </c>
      <c r="W9" s="1110">
        <f>57*((S9^3)/V9)^0.385</f>
        <v>5.18</v>
      </c>
      <c r="X9" s="1110">
        <f>$I$18</f>
        <v>25</v>
      </c>
      <c r="Y9" s="1110">
        <f t="shared" ref="Y9:Y15" si="4">IF(W9&lt;=$P$46,($P$48*X9^$P$49)/((W9+$P$50)^$P$51),($R$48*X9^$R$49)/((W9+$R$50)^$R$51))</f>
        <v>193.28</v>
      </c>
      <c r="Z9" s="1110">
        <f>0.278*Q9*Y9*M9</f>
        <v>1.29</v>
      </c>
      <c r="AA9" s="1110">
        <f>Z9*1000</f>
        <v>1290</v>
      </c>
      <c r="AB9" s="1115">
        <f>Z9/(AD9*AK9)</f>
        <v>0.71</v>
      </c>
      <c r="AC9" s="1114" t="s">
        <v>5134</v>
      </c>
      <c r="AD9" s="1114">
        <v>1</v>
      </c>
      <c r="AE9" s="1116"/>
      <c r="AF9" s="1116"/>
      <c r="AG9" s="1116">
        <v>0.8</v>
      </c>
      <c r="AH9" s="1109">
        <f>(AP9-AR9)/(J9)</f>
        <v>2.7E-2</v>
      </c>
      <c r="AI9" s="1110">
        <f>IF(AG9="",BU9,CJ9)</f>
        <v>4.79</v>
      </c>
      <c r="AJ9" s="1110">
        <f>IF(AG9="",BO9,CA9)</f>
        <v>0.38</v>
      </c>
      <c r="AK9" s="1111">
        <f>AJ9*AI9</f>
        <v>1.82</v>
      </c>
      <c r="AL9" s="1111">
        <f>AK9*1000</f>
        <v>1820</v>
      </c>
      <c r="AM9" s="1027">
        <v>552.69000000000005</v>
      </c>
      <c r="AN9" s="1027"/>
      <c r="AO9" s="1027">
        <v>551.83000000000004</v>
      </c>
      <c r="AP9" s="1027">
        <v>551.04999999999995</v>
      </c>
      <c r="AQ9" s="1027"/>
      <c r="AR9" s="1027">
        <v>550.75</v>
      </c>
      <c r="AS9" s="1027">
        <v>2</v>
      </c>
      <c r="AT9" s="1027">
        <f>AO9-AR9</f>
        <v>1.08</v>
      </c>
      <c r="AU9" s="1112" t="str">
        <f>CONCATENATE("B",AX9,AY9,"C ",AZ9,"m")</f>
        <v>BSTC d=0,8m</v>
      </c>
      <c r="AV9" s="1028"/>
      <c r="AW9" s="926"/>
      <c r="AX9" s="1008" t="str">
        <f>IF(AD9=1,"S",IF(AD9=2,"D","T"))</f>
        <v>S</v>
      </c>
      <c r="AY9" s="1008" t="str">
        <f>IF(AG9="","C","T")</f>
        <v>T</v>
      </c>
      <c r="AZ9" s="926" t="str">
        <f>IF(AG9="",CONCATENATE(AE9,"x",AF9),CONCATENATE("d=",AG9))</f>
        <v>d=0,8</v>
      </c>
      <c r="BA9" s="926"/>
      <c r="BB9" s="927">
        <f>AE9</f>
        <v>0</v>
      </c>
      <c r="BC9" s="928">
        <f>AF9</f>
        <v>0</v>
      </c>
      <c r="BD9" s="928">
        <f>BI9</f>
        <v>0</v>
      </c>
      <c r="BE9" s="928">
        <f>BB9</f>
        <v>0</v>
      </c>
      <c r="BF9" s="928">
        <v>0</v>
      </c>
      <c r="BG9" s="928">
        <v>0</v>
      </c>
      <c r="BH9" s="928">
        <f>BD9*(BE9+(0.5*BD9*(BF9+BG9)))</f>
        <v>0</v>
      </c>
      <c r="BI9" s="928">
        <f>BC9*0.8</f>
        <v>0</v>
      </c>
      <c r="BJ9" s="928">
        <f t="shared" ref="BJ9:BM14" si="5">BD9</f>
        <v>0</v>
      </c>
      <c r="BK9" s="928">
        <f t="shared" si="5"/>
        <v>0</v>
      </c>
      <c r="BL9" s="928">
        <f t="shared" si="5"/>
        <v>0</v>
      </c>
      <c r="BM9" s="928">
        <f t="shared" si="5"/>
        <v>0</v>
      </c>
      <c r="BN9" s="928">
        <f>BK9+BJ9*(((1+BL9^2)^0.5)+((1+BM9^2)^0.5))</f>
        <v>0</v>
      </c>
      <c r="BO9" s="928">
        <f>BH9</f>
        <v>0</v>
      </c>
      <c r="BP9" s="928">
        <f>BN9</f>
        <v>0</v>
      </c>
      <c r="BQ9" s="928" t="e">
        <f>BO9/BP9</f>
        <v>#DIV/0!</v>
      </c>
      <c r="BR9" s="929">
        <f>$I$19</f>
        <v>1.2999999999999999E-2</v>
      </c>
      <c r="BS9" s="928" t="e">
        <f>BQ9</f>
        <v>#DIV/0!</v>
      </c>
      <c r="BT9" s="930">
        <f>AH9</f>
        <v>2.7E-2</v>
      </c>
      <c r="BU9" s="931" t="e">
        <f>(1/BR9)*(BS9^(2/3))*BT9^0.5</f>
        <v>#DIV/0!</v>
      </c>
      <c r="BV9" s="932">
        <f>AG9</f>
        <v>0.8</v>
      </c>
      <c r="BW9" s="859">
        <f>(BV9*BX9)</f>
        <v>0.56000000000000005</v>
      </c>
      <c r="BX9" s="859">
        <v>0.7</v>
      </c>
      <c r="BY9" s="859">
        <f>(2*ACOS(1-(2*BX9)))</f>
        <v>3.96</v>
      </c>
      <c r="BZ9" s="859">
        <f>DEGREES(BY9)</f>
        <v>226.89</v>
      </c>
      <c r="CA9" s="859">
        <f>((BV9^2)*(BY9-SIN(BY9)))/8</f>
        <v>0.38</v>
      </c>
      <c r="CB9" s="859">
        <f>(BY9*BV9)/2</f>
        <v>1.58</v>
      </c>
      <c r="CC9" s="859">
        <f>(CA9/CB9)</f>
        <v>0.24</v>
      </c>
      <c r="CD9" s="929">
        <f>$I$19</f>
        <v>1.2999999999999999E-2</v>
      </c>
      <c r="CE9" s="859">
        <f>1/CD9</f>
        <v>76.92</v>
      </c>
      <c r="CF9" s="859">
        <f>(CC9^(2/3))</f>
        <v>0.39</v>
      </c>
      <c r="CG9" s="934">
        <f>AH9</f>
        <v>2.7E-2</v>
      </c>
      <c r="CH9" s="859">
        <f>SQRT(CG9)</f>
        <v>0.16</v>
      </c>
      <c r="CI9" s="859">
        <f>CA9*CE9*CF9*CH9</f>
        <v>1.82</v>
      </c>
      <c r="CJ9" s="935">
        <f>(CI9/CA9)</f>
        <v>4.79</v>
      </c>
      <c r="CK9" s="57"/>
      <c r="CL9" s="87">
        <v>1</v>
      </c>
      <c r="CM9" s="87"/>
      <c r="CN9" s="78" t="str">
        <f>B9</f>
        <v>CCS01</v>
      </c>
      <c r="CO9" s="1025" t="str">
        <f>C9</f>
        <v>-</v>
      </c>
      <c r="CP9" s="1025" t="str">
        <f>D9</f>
        <v>BC01</v>
      </c>
      <c r="CQ9" s="79" t="str">
        <f>E9</f>
        <v>ESTR. DE LINHA TAQUARAL</v>
      </c>
      <c r="CR9" s="79" t="str">
        <f>H9</f>
        <v>Novo</v>
      </c>
      <c r="CS9" s="1026" t="str">
        <f>I9</f>
        <v>OAC01</v>
      </c>
      <c r="CT9" s="1033">
        <f>IF($CR9="Novo",IF($AY9="C",0,IF(AND($AX9="S",$AG9*100=CT$6),$J9,0)),0)</f>
        <v>0</v>
      </c>
      <c r="CU9" s="1033">
        <f>IF($CR9="Novo",IF($AY9="C",0,IF(AND($AX9="S",$AG9*100=CU$6),$J9,0)),0)</f>
        <v>11</v>
      </c>
      <c r="CV9" s="1033">
        <f t="shared" ref="CV9:CW9" si="6">IF($CR9="Novo",IF($AY9="C",0,IF(AND($AX9="S",$AG9*100=CV$6),$J9,0)),0)</f>
        <v>0</v>
      </c>
      <c r="CW9" s="1033">
        <f t="shared" si="6"/>
        <v>0</v>
      </c>
      <c r="CX9" s="1033">
        <f>IF($AY9="C",0,IF(AND($AX9="D",$AG9*100=CX$6),$J9,0))</f>
        <v>0</v>
      </c>
      <c r="CY9" s="1033">
        <f>IF($AY9="C",0,IF(AND($AX9="D",$AG9*100=CY$6),$J9,0))</f>
        <v>0</v>
      </c>
      <c r="CZ9" s="1033">
        <f>IF($AY9="C",0,IF(AND($AX9="D",$AG9*100=CZ$6),$J9,0))</f>
        <v>0</v>
      </c>
      <c r="DA9" s="1033">
        <f>IF($AY9="C",0,IF(AND($AX9="T",$AG9*100=DA$6),$J9,0))</f>
        <v>0</v>
      </c>
      <c r="DB9" s="1033">
        <f>IF($AY9="C",0,IF(AND($AX9="T",$AG9*100=DB$6),$J9,0))</f>
        <v>0</v>
      </c>
      <c r="DC9" s="1033">
        <f>IF($AY9="C",0,IF(AND($AX9="T",$AG9*100=DC$6),$J9,0))</f>
        <v>0</v>
      </c>
      <c r="DD9" s="1033">
        <f>IF($AY9="T",0,IF(AND($AX9="S",$AZ9=DD$6),$J9,0))</f>
        <v>0</v>
      </c>
      <c r="DE9" s="1033">
        <f>IF($AY9="T",0,IF(AND($AX9="S",$AZ9=DE$6),$J9,0))</f>
        <v>0</v>
      </c>
      <c r="DF9" s="1033">
        <f>IF($AY9="T",0,IF(AND($AX9="S",$AZ9=DF$6),$J9,0))</f>
        <v>0</v>
      </c>
      <c r="DG9" s="1033">
        <f>IF($AY9="T",0,IF(AND($AX9="D",$AZ9=DG$6),$J9,0))</f>
        <v>0</v>
      </c>
      <c r="DH9" s="1033">
        <f>IF($AY9="T",0,IF(AND($AX9="D",$AZ9=DH$6),$J9,0))</f>
        <v>0</v>
      </c>
      <c r="DI9" s="1033">
        <f>IF($AY9="T",0,IF(AND($AX9="D",$AZ9=DI$6),$J9,0))</f>
        <v>0</v>
      </c>
      <c r="DJ9" s="1033">
        <f>IF($AY9="T",0,IF(AND($AX9="T",$AZ9=DJ$6),$J9,0))</f>
        <v>0</v>
      </c>
      <c r="DK9" s="1033">
        <f>IF($AY9="T",0,IF(AND($AX9="T",$AZ9=DK$6),$J9,0))</f>
        <v>0</v>
      </c>
      <c r="DL9" s="1033">
        <f>IF($AY9="T",0,IF(AND($AX9="T",$AZ9=DL$6),$J9,0))</f>
        <v>0</v>
      </c>
      <c r="DM9" s="1415"/>
      <c r="DN9" s="1415"/>
      <c r="DO9" s="1415"/>
      <c r="DP9" s="1415"/>
      <c r="DQ9" s="1415"/>
      <c r="DR9" s="1415"/>
      <c r="DS9" s="1034">
        <f>AS9</f>
        <v>2</v>
      </c>
      <c r="DT9" s="709">
        <f>AT9</f>
        <v>1.08</v>
      </c>
      <c r="DU9" s="80">
        <f t="shared" ref="DU9:DU15" si="7">IF(CT9=0,0,CT$20)+IF(CU9=0,0,CU$20)+IF(CV9=0,0,CV$20)+IF(CW9=0,0,CW$20)+IF(CX9=0,0,CX$20)+IF(CY9=0,0,CY$20)+IF(CZ9=0,0,CZ$20)+IF(DA9=0,0,DA$20)+IF(DB9=0,0,DB$20)+IF(DC9=0,0,DC$20)+IF(DD9=0,0,DD$20)+IF(DE9=0,0,DE$20)+IF(DF9=0,0,DF$20)+IF(DG9=0,0,DG$20)+IF(DH9=0,0,DH$20)+IF(DI9=0,0,DI$20)+IF(DJ9=0,0,DJ$20)+IF(DK9=0,0,DK$20)+IF(DL9=0,0,DL$20)</f>
        <v>1.8</v>
      </c>
      <c r="DV9" s="709">
        <f>IF(CR9="Novo",SUM(CT9:DL9)*DU9*AVERAGE(DS9:DT9),0)-DW9</f>
        <v>29.7</v>
      </c>
      <c r="DW9" s="709">
        <f>IF(AND(CR9="Novo",AVERAGE(DS9:DT9)&gt;1.5),SUM(CT9:DL9)*DU9*(AVERAGE(DS9:DT9)-1.5),0)</f>
        <v>0.79</v>
      </c>
      <c r="DX9" s="710">
        <v>0.2</v>
      </c>
      <c r="DY9" s="1035">
        <f>SUM(DV9:DW9)*DX9</f>
        <v>6.1</v>
      </c>
      <c r="DZ9" s="1036">
        <f>SUM(DV9:DW9)-DY9</f>
        <v>24.39</v>
      </c>
      <c r="EA9" s="80">
        <f t="shared" ref="EA9:EA15" si="8">IF(CT9=0,0,CT$21)+IF(CU9=0,0,CU$21)+IF(CV9=0,0,CV$21)+IF(CW9=0,0,CW$21)+IF(CX9=0,0,CX$21)+IF(CY9=0,0,CY$21)+IF(CZ9=0,0,CZ$21)+IF(DA9=0,0,DA$21)+IF(DB9=0,0,DB$21)+IF(DC9=0,0,DC$21)+IF(DD9=0,0,DD$21)+IF(DE9=0,0,DE$21)+IF(DF9=0,0,DF$21)+IF(DG9=0,0,DG$21)+IF(DH9=0,0,DH$21)+IF(DI9=0,0,DI$21)+IF(DJ9=0,0,DJ$21)+IF(DK9=0,0,DK$21)+IF(DL9=0,0,DL$21)</f>
        <v>0.7</v>
      </c>
      <c r="EB9" s="80">
        <f>EA9*SUM(CT9:DL9)</f>
        <v>7.7</v>
      </c>
      <c r="EC9" s="80">
        <f>DZ9+DY9-EB9</f>
        <v>22.79</v>
      </c>
      <c r="ED9" s="1035" t="s">
        <v>113</v>
      </c>
      <c r="EE9" s="1035">
        <f>IF(ED9="S",EC9,IF(ED9="P",EC9*0.5,0))</f>
        <v>22.79</v>
      </c>
      <c r="EF9" s="1037">
        <f>EC9-EE9</f>
        <v>0</v>
      </c>
      <c r="EG9" s="52"/>
      <c r="EH9" s="943">
        <f>IF(H9=$EH$7,J9,0)</f>
        <v>11</v>
      </c>
      <c r="EI9" s="51"/>
      <c r="EJ9" s="1046" t="str">
        <f>CN9</f>
        <v>CCS01</v>
      </c>
      <c r="EK9" s="1047" t="s">
        <v>109</v>
      </c>
      <c r="EL9" s="1048">
        <v>21</v>
      </c>
      <c r="EM9" s="1049" t="str">
        <f t="shared" ref="EM9:EM15" si="9">IF(EL9&lt;$GA$23,CONCATENATE("Boca ",AU9),CONCATENATE("CAIXA ",AU9))</f>
        <v>CAIXA BSTC d=0,8m</v>
      </c>
      <c r="EN9" s="1050">
        <f>IF(EK9="Novo",AS9,0)</f>
        <v>2</v>
      </c>
      <c r="EO9" s="80">
        <f t="shared" ref="EO9:EO15" si="10">IF(EK9="Novo",HLOOKUP(EL9,$FH$23:$GC$30,$FF$26),0)</f>
        <v>2.4</v>
      </c>
      <c r="EP9" s="1051">
        <f>IF(EK9="Novo",HLOOKUP(EL9,$FH$23:$GC$30,FF26),0)</f>
        <v>2.4</v>
      </c>
      <c r="EQ9" s="1052" t="str">
        <f>CP9</f>
        <v>BC01</v>
      </c>
      <c r="ER9" s="1047" t="s">
        <v>109</v>
      </c>
      <c r="ES9" s="1048">
        <v>2</v>
      </c>
      <c r="ET9" s="1049" t="str">
        <f t="shared" ref="ET9:ET15" si="11">IF(ES9&lt;$GA$23,CONCATENATE("Boca ",AU9),CONCATENATE("CAIXA ",AU9))</f>
        <v>Boca BSTC d=0,8m</v>
      </c>
      <c r="EU9" s="1053">
        <f>IF(ER9="Novo",AT9,0)</f>
        <v>1.08</v>
      </c>
      <c r="EV9" s="1054">
        <f t="shared" ref="EV9:EV15" si="12">IF(ER9="Novo",HLOOKUP(ES9,$FH$23:$GC$30,$FF$26),0)</f>
        <v>2.2999999999999998</v>
      </c>
      <c r="EW9" s="1054">
        <f>IF(ER9="Novo",HLOOKUP(ES9,$FH$23:$GC$30,FF26),0)</f>
        <v>2.2999999999999998</v>
      </c>
      <c r="EX9" s="709">
        <f>IF(EK9="Novo",EP9*EO9*EN9-EY9,0)*0.5+IF(EK9="Novo",EW9*EV9*EU9-EY9,0)*0.5</f>
        <v>7.18</v>
      </c>
      <c r="EY9" s="709">
        <f>IF(EN9&gt;1.5,EP9*EO9*(EN9-1.5),0)*0.5+IF(EU9&gt;1.5,EW9*EV9*(EU9-1.5),0)*0.5</f>
        <v>1.44</v>
      </c>
      <c r="EZ9" s="710">
        <f>DX9</f>
        <v>0.2</v>
      </c>
      <c r="FA9" s="1035">
        <f>SUM(EX9:EY9)*EZ9</f>
        <v>1.72</v>
      </c>
      <c r="FB9" s="1036">
        <f>SUM(EX9:EY9)-FA9</f>
        <v>6.9</v>
      </c>
      <c r="FC9" s="80">
        <f t="shared" ref="FC9:FC15" si="13">IF(EK9="Novo",HLOOKUP(EL9,$FH$23:$GC$30,$FF$29),0)*EN9*0.5+IF(ER9="Novo",HLOOKUP(ES9,$FH$23:$GC$30,$FF$28),0)*EU9*0.5</f>
        <v>4.0999999999999996</v>
      </c>
      <c r="FD9" s="80">
        <f>EX9-FC9</f>
        <v>3.08</v>
      </c>
      <c r="FE9" s="1035" t="str">
        <f>ED9</f>
        <v>S</v>
      </c>
      <c r="FF9" s="1035">
        <f>IF(FE9="S",FD9,IF(FE9="P",FD9*0.5,0))</f>
        <v>3.08</v>
      </c>
      <c r="FG9" s="1036">
        <f>FD9-FF9</f>
        <v>0</v>
      </c>
      <c r="FH9" s="862">
        <f t="shared" ref="FH9:FQ16" si="14">IF($EK9="novo",IF($EL9=FH$23,1,0),0)+IF($ER9="novo",IF($ES9=FH$23,1,0),0)</f>
        <v>0</v>
      </c>
      <c r="FI9" s="863">
        <f t="shared" si="14"/>
        <v>1</v>
      </c>
      <c r="FJ9" s="863">
        <f t="shared" si="14"/>
        <v>0</v>
      </c>
      <c r="FK9" s="1055">
        <f t="shared" si="14"/>
        <v>0</v>
      </c>
      <c r="FL9" s="1056">
        <f t="shared" si="14"/>
        <v>0</v>
      </c>
      <c r="FM9" s="863">
        <f t="shared" si="14"/>
        <v>0</v>
      </c>
      <c r="FN9" s="1057">
        <f t="shared" si="14"/>
        <v>0</v>
      </c>
      <c r="FO9" s="1058">
        <f t="shared" si="14"/>
        <v>0</v>
      </c>
      <c r="FP9" s="863">
        <f t="shared" si="14"/>
        <v>0</v>
      </c>
      <c r="FQ9" s="1055">
        <f t="shared" si="14"/>
        <v>0</v>
      </c>
      <c r="FR9" s="1056">
        <f t="shared" ref="FR9:FZ16" si="15">IF($EK9="novo",IF($EL9=FR$23,1,0),0)+IF($ER9="novo",IF($ES9=FR$23,1,0),0)</f>
        <v>0</v>
      </c>
      <c r="FS9" s="1056">
        <f t="shared" si="15"/>
        <v>0</v>
      </c>
      <c r="FT9" s="1057">
        <f t="shared" si="15"/>
        <v>0</v>
      </c>
      <c r="FU9" s="1058">
        <f t="shared" si="15"/>
        <v>0</v>
      </c>
      <c r="FV9" s="863">
        <f t="shared" si="15"/>
        <v>0</v>
      </c>
      <c r="FW9" s="1055">
        <f t="shared" si="15"/>
        <v>0</v>
      </c>
      <c r="FX9" s="1056">
        <f t="shared" si="15"/>
        <v>0</v>
      </c>
      <c r="FY9" s="863">
        <f t="shared" si="15"/>
        <v>0</v>
      </c>
      <c r="FZ9" s="1055">
        <f t="shared" si="15"/>
        <v>0</v>
      </c>
      <c r="GA9" s="1056">
        <f t="shared" ref="GA9:GA16" si="16">IF($EK9="novo",IF($EL9=GA$23,1,0),0)+IF($ER9="novo",IF(ES9=GA$23,1,0),0)</f>
        <v>0</v>
      </c>
      <c r="GB9" s="863">
        <f t="shared" ref="GB9:GB16" si="17">IF($EK9="novo",IF($EL9=GB$23,1,0),0)+IF($ER9="novo",IF(ES9=GB$23,1,0),0)</f>
        <v>1</v>
      </c>
      <c r="GC9" s="863">
        <f t="shared" ref="GC9:GC16" si="18">IF($EK9="novo",IF($EL9=GC$23,1,0),0)+IF($ER9="novo",IF(ES9=GC$23,1,0),0)</f>
        <v>0</v>
      </c>
      <c r="GD9" s="1057">
        <f t="shared" ref="GD9:GD16" si="19">IF($EK9="novo",IF($EL9=GD$23,1,0),0)+IF($ER9="novo",IF(ES9=GD$23,1,0),0)</f>
        <v>0</v>
      </c>
      <c r="GE9" s="1056">
        <f t="shared" ref="GE9:GE16" si="20">IF($EK9="novo",IF($EL9=GE$23,1,0),0)+IF($ER9="novo",IF(ES9=GE$23,1,0),0)</f>
        <v>0</v>
      </c>
      <c r="GF9" s="863">
        <f t="shared" ref="GF9:GF16" si="21">IF($EK9="novo",IF($EL9=GF$23,1,0),0)+IF($ER9="novo",IF(ES9=GF$23,1,0),0)</f>
        <v>0</v>
      </c>
      <c r="GG9" s="863">
        <f t="shared" ref="GG9:GG16" si="22">IF($EK9="novo",IF($EL9=GG$23,1,0),0)+IF($ER9="novo",IF(ES9=GG$23,1,0),0)</f>
        <v>0</v>
      </c>
      <c r="GH9" s="1057">
        <f t="shared" ref="GH9:GH16" si="23">IF($EK9="novo",IF($EL9=GH$23,1,0),0)+IF($ER9="novo",IF(ES9=GH$23,1,0),0)</f>
        <v>0</v>
      </c>
      <c r="GI9" s="1057">
        <f t="shared" ref="GI9:GI16" si="24">IF($EK9="novo",IF($EL9=GI$23,1,0),0)+IF($ER9="novo",IF(ES9=GI$23,1,0),0)</f>
        <v>0</v>
      </c>
      <c r="GJ9" s="1057">
        <f t="shared" ref="GJ9:GJ16" si="25">IF($EK9="novo",IF($EL9=GJ$23,1,0),0)+IF($ER9="novo",IF(ES9=GJ$23,1,0),0)</f>
        <v>0</v>
      </c>
      <c r="GK9" s="1407">
        <f>IF(FH9&gt;0,1,0)</f>
        <v>0</v>
      </c>
      <c r="GL9" s="1059">
        <f>IF(FI9&gt;0,1,0)</f>
        <v>1</v>
      </c>
      <c r="GM9" s="1059">
        <f>IF(FJ9&gt;0,1,0)</f>
        <v>0</v>
      </c>
      <c r="GN9" s="1059">
        <f>IF(FK9&gt;0,1,0)</f>
        <v>0</v>
      </c>
      <c r="GO9" s="1059">
        <f>IF(FM9&gt;0,1,0)</f>
        <v>0</v>
      </c>
      <c r="GP9" s="1408">
        <f>IF(FN9&gt;0,1,0)</f>
        <v>0</v>
      </c>
      <c r="GQ9" s="121" t="str">
        <f t="shared" ref="GQ9:GQ15" si="26">I9</f>
        <v>OAC01</v>
      </c>
      <c r="GR9" s="121" t="str">
        <f t="shared" ref="GR9:GR15" si="27">AU9</f>
        <v>BSTC d=0,8m</v>
      </c>
    </row>
    <row r="10" spans="1:200" ht="22.5" x14ac:dyDescent="0.25">
      <c r="A10" s="50"/>
      <c r="B10" s="78" t="s">
        <v>7516</v>
      </c>
      <c r="C10" s="1025" t="s">
        <v>0</v>
      </c>
      <c r="D10" s="1025" t="s">
        <v>7179</v>
      </c>
      <c r="E10" s="1122" t="str">
        <f>E9</f>
        <v>ESTR. DE LINHA TAQUARAL</v>
      </c>
      <c r="F10" s="1125">
        <v>410</v>
      </c>
      <c r="G10" s="1125" t="s">
        <v>7515</v>
      </c>
      <c r="H10" s="1123" t="s">
        <v>25018</v>
      </c>
      <c r="I10" s="1113" t="s">
        <v>7180</v>
      </c>
      <c r="J10" s="1026">
        <v>13</v>
      </c>
      <c r="K10" s="1127">
        <v>7.5</v>
      </c>
      <c r="L10" s="1127">
        <f t="shared" ref="L10:L13" si="28">J10-K10</f>
        <v>5.5</v>
      </c>
      <c r="M10" s="1114">
        <v>0.4</v>
      </c>
      <c r="N10" s="1368">
        <v>2</v>
      </c>
      <c r="O10" s="1114">
        <v>110509</v>
      </c>
      <c r="P10" s="1114">
        <f t="shared" ref="P10:P13" si="29">O10/10000</f>
        <v>11.05</v>
      </c>
      <c r="Q10" s="1114">
        <f t="shared" ref="Q10:Q13" si="30">O10/(1000*1000)</f>
        <v>0.11</v>
      </c>
      <c r="R10" s="1114">
        <v>613</v>
      </c>
      <c r="S10" s="1110">
        <f t="shared" ref="S10:S13" si="31">R10/1000</f>
        <v>0.61</v>
      </c>
      <c r="T10" s="1110">
        <f t="shared" ref="T10:T13" si="32">U10+V10</f>
        <v>699.65</v>
      </c>
      <c r="U10" s="1110">
        <f t="shared" ref="U10:U13" si="33">AM10</f>
        <v>577.65</v>
      </c>
      <c r="V10" s="1114">
        <f>706-584</f>
        <v>122</v>
      </c>
      <c r="W10" s="1110">
        <f t="shared" ref="W10:W13" si="34">57*((S10^3)/V10)^0.385</f>
        <v>5.07</v>
      </c>
      <c r="X10" s="1110">
        <f t="shared" ref="X10:X13" si="35">$I$18</f>
        <v>25</v>
      </c>
      <c r="Y10" s="1110">
        <f t="shared" si="4"/>
        <v>194.07</v>
      </c>
      <c r="Z10" s="1110">
        <f t="shared" ref="Z10:Z13" si="36">0.278*Q10*Y10*M10</f>
        <v>2.37</v>
      </c>
      <c r="AA10" s="1110">
        <f t="shared" ref="AA10:AA13" si="37">Z10*1000</f>
        <v>2370</v>
      </c>
      <c r="AB10" s="1115">
        <f t="shared" ref="AB10:AB13" si="38">Z10/(AD10*AK10)</f>
        <v>0.69</v>
      </c>
      <c r="AC10" s="1114" t="s">
        <v>5134</v>
      </c>
      <c r="AD10" s="1114">
        <v>1</v>
      </c>
      <c r="AE10" s="1116"/>
      <c r="AF10" s="1116"/>
      <c r="AG10" s="1116">
        <v>0.8</v>
      </c>
      <c r="AH10" s="1109">
        <f t="shared" ref="AH10:AH13" si="39">(AP10-AR10)/(J10)</f>
        <v>8.7999999999999995E-2</v>
      </c>
      <c r="AI10" s="1110">
        <f t="shared" ref="AI10:AI13" si="40">IF(AG10="",BU10,CJ10)</f>
        <v>9</v>
      </c>
      <c r="AJ10" s="1110">
        <f t="shared" ref="AJ10:AJ13" si="41">IF(AG10="",BO10,CA10)</f>
        <v>0.38</v>
      </c>
      <c r="AK10" s="1111">
        <f t="shared" ref="AK10:AK13" si="42">AJ10*AI10</f>
        <v>3.42</v>
      </c>
      <c r="AL10" s="1111">
        <f t="shared" ref="AL10:AL13" si="43">AK10*1000</f>
        <v>3420</v>
      </c>
      <c r="AM10" s="1027">
        <v>577.65</v>
      </c>
      <c r="AN10" s="1027"/>
      <c r="AO10" s="1027">
        <v>575.79999999999995</v>
      </c>
      <c r="AP10" s="1027">
        <v>576.15</v>
      </c>
      <c r="AQ10" s="1027"/>
      <c r="AR10" s="1027">
        <v>575</v>
      </c>
      <c r="AS10" s="1027">
        <f t="shared" ref="AS10:AS13" si="44">AM10-AP10</f>
        <v>1.5</v>
      </c>
      <c r="AT10" s="1027">
        <f t="shared" ref="AT10:AT13" si="45">AO10-AR10</f>
        <v>0.8</v>
      </c>
      <c r="AU10" s="1112" t="str">
        <f t="shared" ref="AU10:AU13" si="46">CONCATENATE("B",AX10,AY10,"C ",AZ10,"m")</f>
        <v>BSTC d=0,8m</v>
      </c>
      <c r="AV10" s="1028"/>
      <c r="AW10" s="926"/>
      <c r="AX10" s="1367" t="str">
        <f t="shared" ref="AX10:AX13" si="47">IF(AD10=1,"S",IF(AD10=2,"D","T"))</f>
        <v>S</v>
      </c>
      <c r="AY10" s="1367" t="str">
        <f t="shared" ref="AY10:AY13" si="48">IF(AG10="","C","T")</f>
        <v>T</v>
      </c>
      <c r="AZ10" s="926" t="str">
        <f t="shared" ref="AZ10:AZ13" si="49">IF(AG10="",CONCATENATE(AE10,"x",AF10),CONCATENATE("d=",AG10))</f>
        <v>d=0,8</v>
      </c>
      <c r="BA10" s="926"/>
      <c r="BB10" s="927">
        <f t="shared" ref="BB10:BB13" si="50">AE10</f>
        <v>0</v>
      </c>
      <c r="BC10" s="928">
        <f t="shared" ref="BC10:BC13" si="51">AF10</f>
        <v>0</v>
      </c>
      <c r="BD10" s="928">
        <f t="shared" ref="BD10:BD13" si="52">BI10</f>
        <v>0</v>
      </c>
      <c r="BE10" s="928">
        <f t="shared" ref="BE10:BE13" si="53">BB10</f>
        <v>0</v>
      </c>
      <c r="BF10" s="928">
        <v>0</v>
      </c>
      <c r="BG10" s="928">
        <v>0</v>
      </c>
      <c r="BH10" s="928">
        <f t="shared" ref="BH10:BH13" si="54">BD10*(BE10+(0.5*BD10*(BF10+BG10)))</f>
        <v>0</v>
      </c>
      <c r="BI10" s="928">
        <f t="shared" ref="BI10:BI13" si="55">BC10*0.8</f>
        <v>0</v>
      </c>
      <c r="BJ10" s="928">
        <f t="shared" ref="BJ10:BJ13" si="56">BD10</f>
        <v>0</v>
      </c>
      <c r="BK10" s="928">
        <f t="shared" ref="BK10:BK13" si="57">BE10</f>
        <v>0</v>
      </c>
      <c r="BL10" s="928">
        <f t="shared" ref="BL10:BL13" si="58">BF10</f>
        <v>0</v>
      </c>
      <c r="BM10" s="928">
        <f t="shared" ref="BM10:BM13" si="59">BG10</f>
        <v>0</v>
      </c>
      <c r="BN10" s="928">
        <f t="shared" ref="BN10:BN13" si="60">BK10+BJ10*(((1+BL10^2)^0.5)+((1+BM10^2)^0.5))</f>
        <v>0</v>
      </c>
      <c r="BO10" s="928">
        <f t="shared" ref="BO10:BO13" si="61">BH10</f>
        <v>0</v>
      </c>
      <c r="BP10" s="928">
        <f t="shared" ref="BP10:BP13" si="62">BN10</f>
        <v>0</v>
      </c>
      <c r="BQ10" s="928" t="e">
        <f t="shared" ref="BQ10:BQ13" si="63">BO10/BP10</f>
        <v>#DIV/0!</v>
      </c>
      <c r="BR10" s="929">
        <f t="shared" ref="BR10:BR13" si="64">$I$19</f>
        <v>1.2999999999999999E-2</v>
      </c>
      <c r="BS10" s="928" t="e">
        <f t="shared" ref="BS10:BS13" si="65">BQ10</f>
        <v>#DIV/0!</v>
      </c>
      <c r="BT10" s="930">
        <f t="shared" ref="BT10:BT13" si="66">AH10</f>
        <v>8.7999999999999995E-2</v>
      </c>
      <c r="BU10" s="931" t="e">
        <f t="shared" ref="BU10:BU13" si="67">(1/BR10)*(BS10^(2/3))*BT10^0.5</f>
        <v>#DIV/0!</v>
      </c>
      <c r="BV10" s="932">
        <f t="shared" ref="BV10:BV13" si="68">AG10</f>
        <v>0.8</v>
      </c>
      <c r="BW10" s="859">
        <f t="shared" ref="BW10:BW13" si="69">(BV10*BX10)</f>
        <v>0.56000000000000005</v>
      </c>
      <c r="BX10" s="859">
        <v>0.7</v>
      </c>
      <c r="BY10" s="859">
        <f t="shared" ref="BY10:BY13" si="70">(2*ACOS(1-(2*BX10)))</f>
        <v>3.96</v>
      </c>
      <c r="BZ10" s="859">
        <f t="shared" ref="BZ10:BZ13" si="71">DEGREES(BY10)</f>
        <v>226.89</v>
      </c>
      <c r="CA10" s="859">
        <f t="shared" ref="CA10:CA13" si="72">((BV10^2)*(BY10-SIN(BY10)))/8</f>
        <v>0.38</v>
      </c>
      <c r="CB10" s="859">
        <f t="shared" ref="CB10:CB13" si="73">(BY10*BV10)/2</f>
        <v>1.58</v>
      </c>
      <c r="CC10" s="859">
        <f t="shared" ref="CC10:CC13" si="74">(CA10/CB10)</f>
        <v>0.24</v>
      </c>
      <c r="CD10" s="929">
        <f t="shared" ref="CD10:CD13" si="75">$I$19</f>
        <v>1.2999999999999999E-2</v>
      </c>
      <c r="CE10" s="859">
        <f t="shared" ref="CE10:CE13" si="76">1/CD10</f>
        <v>76.92</v>
      </c>
      <c r="CF10" s="859">
        <f t="shared" ref="CF10:CF13" si="77">(CC10^(2/3))</f>
        <v>0.39</v>
      </c>
      <c r="CG10" s="934">
        <f t="shared" ref="CG10:CG13" si="78">AH10</f>
        <v>8.7999999999999995E-2</v>
      </c>
      <c r="CH10" s="859">
        <f t="shared" ref="CH10:CH13" si="79">SQRT(CG10)</f>
        <v>0.3</v>
      </c>
      <c r="CI10" s="859">
        <f t="shared" ref="CI10:CI13" si="80">CA10*CE10*CF10*CH10</f>
        <v>3.42</v>
      </c>
      <c r="CJ10" s="935">
        <f t="shared" ref="CJ10:CJ13" si="81">(CI10/CA10)</f>
        <v>9</v>
      </c>
      <c r="CK10" s="57"/>
      <c r="CL10" s="87">
        <v>1</v>
      </c>
      <c r="CM10" s="87"/>
      <c r="CN10" s="78" t="str">
        <f t="shared" ref="CN10:CN13" si="82">B10</f>
        <v>CCT01</v>
      </c>
      <c r="CO10" s="1025" t="str">
        <f t="shared" ref="CO10:CO13" si="83">C10</f>
        <v>-</v>
      </c>
      <c r="CP10" s="1025" t="str">
        <f t="shared" ref="CP10:CP13" si="84">D10</f>
        <v>BC02</v>
      </c>
      <c r="CQ10" s="79" t="str">
        <f t="shared" ref="CQ10:CQ13" si="85">E10</f>
        <v>ESTR. DE LINHA TAQUARAL</v>
      </c>
      <c r="CR10" s="79" t="str">
        <f t="shared" ref="CR10:CR13" si="86">H10</f>
        <v>Projetado</v>
      </c>
      <c r="CS10" s="1026" t="str">
        <f t="shared" ref="CS10:CS13" si="87">I10</f>
        <v>OAC02</v>
      </c>
      <c r="CT10" s="1033">
        <f t="shared" ref="CT10:CW15" si="88">IF($CR10="Novo",IF($AY10="C",0,IF(AND($AX10="S",$AG10*100=CT$6),$J10,0)),0)</f>
        <v>0</v>
      </c>
      <c r="CU10" s="1033">
        <f t="shared" si="88"/>
        <v>0</v>
      </c>
      <c r="CV10" s="1033">
        <f t="shared" si="88"/>
        <v>0</v>
      </c>
      <c r="CW10" s="1033">
        <f t="shared" si="88"/>
        <v>0</v>
      </c>
      <c r="CX10" s="1033">
        <f t="shared" ref="CX10:CZ13" si="89">IF($AY10="C",0,IF(AND($AX10="D",$AG10*100=CX$6),$J10,0))</f>
        <v>0</v>
      </c>
      <c r="CY10" s="1033">
        <f t="shared" si="89"/>
        <v>0</v>
      </c>
      <c r="CZ10" s="1033">
        <f t="shared" si="89"/>
        <v>0</v>
      </c>
      <c r="DA10" s="1033">
        <f t="shared" ref="DA10:DC13" si="90">IF($AY10="C",0,IF(AND($AX10="T",$AG10*100=DA$6),$J10,0))</f>
        <v>0</v>
      </c>
      <c r="DB10" s="1033">
        <f t="shared" si="90"/>
        <v>0</v>
      </c>
      <c r="DC10" s="1033">
        <f t="shared" si="90"/>
        <v>0</v>
      </c>
      <c r="DD10" s="1033">
        <f t="shared" ref="DD10:DF13" si="91">IF($AY10="T",0,IF(AND($AX10="S",$AZ10=DD$6),$J10,0))</f>
        <v>0</v>
      </c>
      <c r="DE10" s="1033">
        <f t="shared" si="91"/>
        <v>0</v>
      </c>
      <c r="DF10" s="1033">
        <f t="shared" si="91"/>
        <v>0</v>
      </c>
      <c r="DG10" s="1033">
        <f t="shared" ref="DG10:DI13" si="92">IF($AY10="T",0,IF(AND($AX10="D",$AZ10=DG$6),$J10,0))</f>
        <v>0</v>
      </c>
      <c r="DH10" s="1033">
        <f t="shared" si="92"/>
        <v>0</v>
      </c>
      <c r="DI10" s="1033">
        <f t="shared" si="92"/>
        <v>0</v>
      </c>
      <c r="DJ10" s="1033">
        <f t="shared" ref="DJ10:DL13" si="93">IF($AY10="T",0,IF(AND($AX10="T",$AZ10=DJ$6),$J10,0))</f>
        <v>0</v>
      </c>
      <c r="DK10" s="1033">
        <f t="shared" si="93"/>
        <v>0</v>
      </c>
      <c r="DL10" s="1033">
        <f t="shared" si="93"/>
        <v>0</v>
      </c>
      <c r="DM10" s="1415"/>
      <c r="DN10" s="1415"/>
      <c r="DO10" s="1415"/>
      <c r="DP10" s="1415"/>
      <c r="DQ10" s="1415"/>
      <c r="DR10" s="1415"/>
      <c r="DS10" s="1034">
        <f t="shared" ref="DS10:DS13" si="94">AS10</f>
        <v>1.5</v>
      </c>
      <c r="DT10" s="709">
        <f t="shared" ref="DT10:DT13" si="95">AT10</f>
        <v>0.8</v>
      </c>
      <c r="DU10" s="80">
        <f t="shared" si="7"/>
        <v>0</v>
      </c>
      <c r="DV10" s="709">
        <f t="shared" ref="DV10:DV13" si="96">IF(CR10="Novo",SUM(CT10:DL10)*DU10*AVERAGE(DS10:DT10),0)-DW10</f>
        <v>0</v>
      </c>
      <c r="DW10" s="709">
        <f t="shared" ref="DW10:DW13" si="97">IF(AND(CR10="Novo",AVERAGE(DS10:DT10)&gt;1.5),SUM(CT10:DL10)*DU10*(AVERAGE(DS10:DT10)-1.5),0)</f>
        <v>0</v>
      </c>
      <c r="DX10" s="710">
        <f>DX9</f>
        <v>0.2</v>
      </c>
      <c r="DY10" s="1035">
        <f t="shared" ref="DY10:DY13" si="98">SUM(DV10:DW10)*DX10</f>
        <v>0</v>
      </c>
      <c r="DZ10" s="1036">
        <f t="shared" ref="DZ10:DZ13" si="99">SUM(DV10:DW10)-DY10</f>
        <v>0</v>
      </c>
      <c r="EA10" s="80">
        <f t="shared" si="8"/>
        <v>0</v>
      </c>
      <c r="EB10" s="80">
        <f t="shared" ref="EB10:EB13" si="100">EA10*SUM(CT10:DL10)</f>
        <v>0</v>
      </c>
      <c r="EC10" s="80">
        <f t="shared" ref="EC10:EC13" si="101">DZ10+DY10-EB10</f>
        <v>0</v>
      </c>
      <c r="ED10" s="1035" t="s">
        <v>113</v>
      </c>
      <c r="EE10" s="1035">
        <f t="shared" ref="EE10:EE13" si="102">IF(ED10="S",EC10,IF(ED10="P",EC10*0.5,0))</f>
        <v>0</v>
      </c>
      <c r="EF10" s="1037">
        <f t="shared" ref="EF10:EF13" si="103">EC10-EE10</f>
        <v>0</v>
      </c>
      <c r="EG10" s="52"/>
      <c r="EH10" s="943">
        <f t="shared" ref="EH10:EH13" si="104">IF(H10=$EH$7,J10,0)</f>
        <v>0</v>
      </c>
      <c r="EI10" s="51"/>
      <c r="EJ10" s="1046" t="str">
        <f t="shared" ref="EJ10:EJ13" si="105">CN10</f>
        <v>CCT01</v>
      </c>
      <c r="EK10" s="1047" t="s">
        <v>25018</v>
      </c>
      <c r="EL10" s="1048">
        <v>25</v>
      </c>
      <c r="EM10" s="1049" t="str">
        <f t="shared" si="9"/>
        <v>CAIXA BSTC d=0,8m</v>
      </c>
      <c r="EN10" s="1050">
        <f t="shared" ref="EN10:EN13" si="106">IF(EK10="Novo",AS10,0)</f>
        <v>0</v>
      </c>
      <c r="EO10" s="80">
        <f t="shared" si="10"/>
        <v>0</v>
      </c>
      <c r="EP10" s="1051">
        <f>IF(EK10="Novo",HLOOKUP(EL10,$FH$23:$GC$30,FF27),0)</f>
        <v>0</v>
      </c>
      <c r="EQ10" s="1052" t="str">
        <f t="shared" ref="EQ10:EQ13" si="107">CP10</f>
        <v>BC02</v>
      </c>
      <c r="ER10" s="1047" t="str">
        <f>EK10</f>
        <v>Projetado</v>
      </c>
      <c r="ES10" s="1048">
        <v>2</v>
      </c>
      <c r="ET10" s="1049" t="str">
        <f t="shared" si="11"/>
        <v>Boca BSTC d=0,8m</v>
      </c>
      <c r="EU10" s="1053">
        <f t="shared" ref="EU10:EU13" si="108">IF(ER10="Novo",AT10,0)</f>
        <v>0</v>
      </c>
      <c r="EV10" s="1054">
        <f t="shared" si="12"/>
        <v>0</v>
      </c>
      <c r="EW10" s="1054">
        <f>IF(ER10="Novo",HLOOKUP(ES10,$FH$23:$GC$30,FF27),0)</f>
        <v>0</v>
      </c>
      <c r="EX10" s="709">
        <f t="shared" ref="EX10:EX13" si="109">IF(EK10="Novo",EP10*EO10*EN10-EY10,0)*0.5+IF(EK10="Novo",EW10*EV10*EU10-EY10,0)*0.5</f>
        <v>0</v>
      </c>
      <c r="EY10" s="709">
        <f t="shared" ref="EY10:EY13" si="110">IF(EN10&gt;1.5,EP10*EO10*(EN10-1.5),0)*0.5+IF(EU10&gt;1.5,EW10*EV10*(EU10-1.5),0)*0.5</f>
        <v>0</v>
      </c>
      <c r="EZ10" s="710">
        <f t="shared" ref="EZ10:EZ13" si="111">DX10</f>
        <v>0.2</v>
      </c>
      <c r="FA10" s="1035">
        <f t="shared" ref="FA10:FA13" si="112">SUM(EX10:EY10)*EZ10</f>
        <v>0</v>
      </c>
      <c r="FB10" s="1036">
        <f t="shared" ref="FB10:FB13" si="113">SUM(EX10:EY10)-FA10</f>
        <v>0</v>
      </c>
      <c r="FC10" s="80">
        <f t="shared" si="13"/>
        <v>0</v>
      </c>
      <c r="FD10" s="80">
        <f t="shared" ref="FD10:FD13" si="114">EX10-FC10</f>
        <v>0</v>
      </c>
      <c r="FE10" s="1035" t="str">
        <f t="shared" ref="FE10:FE13" si="115">ED10</f>
        <v>S</v>
      </c>
      <c r="FF10" s="1035">
        <f t="shared" ref="FF10:FF13" si="116">IF(FE10="S",FD10,IF(FE10="P",FD10*0.5,0))</f>
        <v>0</v>
      </c>
      <c r="FG10" s="1036">
        <f t="shared" ref="FG10:FG13" si="117">FD10-FF10</f>
        <v>0</v>
      </c>
      <c r="FH10" s="862">
        <f t="shared" si="14"/>
        <v>0</v>
      </c>
      <c r="FI10" s="863">
        <f t="shared" si="14"/>
        <v>0</v>
      </c>
      <c r="FJ10" s="863">
        <f t="shared" si="14"/>
        <v>0</v>
      </c>
      <c r="FK10" s="1055">
        <f t="shared" si="14"/>
        <v>0</v>
      </c>
      <c r="FL10" s="1056">
        <f t="shared" si="14"/>
        <v>0</v>
      </c>
      <c r="FM10" s="863">
        <f t="shared" si="14"/>
        <v>0</v>
      </c>
      <c r="FN10" s="1057">
        <f t="shared" si="14"/>
        <v>0</v>
      </c>
      <c r="FO10" s="1058">
        <f t="shared" si="14"/>
        <v>0</v>
      </c>
      <c r="FP10" s="863">
        <f t="shared" si="14"/>
        <v>0</v>
      </c>
      <c r="FQ10" s="1055">
        <f t="shared" si="14"/>
        <v>0</v>
      </c>
      <c r="FR10" s="1056">
        <f t="shared" si="15"/>
        <v>0</v>
      </c>
      <c r="FS10" s="1056">
        <f t="shared" si="15"/>
        <v>0</v>
      </c>
      <c r="FT10" s="1057">
        <f t="shared" si="15"/>
        <v>0</v>
      </c>
      <c r="FU10" s="1058">
        <f t="shared" si="15"/>
        <v>0</v>
      </c>
      <c r="FV10" s="863">
        <f t="shared" si="15"/>
        <v>0</v>
      </c>
      <c r="FW10" s="1055">
        <f t="shared" si="15"/>
        <v>0</v>
      </c>
      <c r="FX10" s="1056">
        <f t="shared" si="15"/>
        <v>0</v>
      </c>
      <c r="FY10" s="863">
        <f t="shared" si="15"/>
        <v>0</v>
      </c>
      <c r="FZ10" s="1055">
        <f t="shared" si="15"/>
        <v>0</v>
      </c>
      <c r="GA10" s="1056">
        <f t="shared" si="16"/>
        <v>0</v>
      </c>
      <c r="GB10" s="863">
        <f t="shared" si="17"/>
        <v>0</v>
      </c>
      <c r="GC10" s="863">
        <f t="shared" si="18"/>
        <v>0</v>
      </c>
      <c r="GD10" s="1057">
        <f t="shared" si="19"/>
        <v>0</v>
      </c>
      <c r="GE10" s="1056">
        <f t="shared" si="20"/>
        <v>0</v>
      </c>
      <c r="GF10" s="863">
        <f t="shared" si="21"/>
        <v>0</v>
      </c>
      <c r="GG10" s="863">
        <f t="shared" si="22"/>
        <v>0</v>
      </c>
      <c r="GH10" s="1057">
        <f t="shared" si="23"/>
        <v>0</v>
      </c>
      <c r="GI10" s="1057">
        <f t="shared" si="24"/>
        <v>0</v>
      </c>
      <c r="GJ10" s="1057">
        <f t="shared" si="25"/>
        <v>0</v>
      </c>
      <c r="GK10" s="1407">
        <f t="shared" ref="GK10:GK16" si="118">IF(FH10&gt;0,1,0)</f>
        <v>0</v>
      </c>
      <c r="GL10" s="1059">
        <f t="shared" ref="GL10:GL16" si="119">IF(FI10&gt;0,1,0)</f>
        <v>0</v>
      </c>
      <c r="GM10" s="1059">
        <f t="shared" ref="GM10:GM16" si="120">IF(FJ10&gt;0,1,0)</f>
        <v>0</v>
      </c>
      <c r="GN10" s="1059">
        <f t="shared" ref="GN10:GN16" si="121">IF(FK10&gt;0,1,0)</f>
        <v>0</v>
      </c>
      <c r="GO10" s="1059">
        <f t="shared" ref="GO10:GO16" si="122">IF(FM10&gt;0,1,0)</f>
        <v>0</v>
      </c>
      <c r="GP10" s="1408">
        <f t="shared" ref="GP10:GP16" si="123">IF(FN10&gt;0,1,0)</f>
        <v>0</v>
      </c>
      <c r="GQ10" s="121" t="str">
        <f t="shared" si="26"/>
        <v>OAC02</v>
      </c>
      <c r="GR10" s="121" t="str">
        <f t="shared" si="27"/>
        <v>BSTC d=0,8m</v>
      </c>
    </row>
    <row r="11" spans="1:200" ht="22.5" x14ac:dyDescent="0.25">
      <c r="A11" s="50"/>
      <c r="B11" s="78" t="s">
        <v>7178</v>
      </c>
      <c r="C11" s="1025" t="s">
        <v>0</v>
      </c>
      <c r="D11" s="1025" t="s">
        <v>7182</v>
      </c>
      <c r="E11" s="1122" t="str">
        <f>E10</f>
        <v>ESTR. DE LINHA TAQUARAL</v>
      </c>
      <c r="F11" s="1125">
        <v>602</v>
      </c>
      <c r="G11" s="1125" t="s">
        <v>7515</v>
      </c>
      <c r="H11" s="1123" t="str">
        <f>H10</f>
        <v>Projetado</v>
      </c>
      <c r="I11" s="1113" t="s">
        <v>7183</v>
      </c>
      <c r="J11" s="1026">
        <v>10</v>
      </c>
      <c r="K11" s="1127">
        <v>5.2</v>
      </c>
      <c r="L11" s="1127">
        <f t="shared" si="28"/>
        <v>4.8</v>
      </c>
      <c r="M11" s="1114">
        <v>0.4</v>
      </c>
      <c r="N11" s="1368">
        <v>3</v>
      </c>
      <c r="O11" s="1114">
        <v>16596</v>
      </c>
      <c r="P11" s="1114">
        <f t="shared" si="29"/>
        <v>1.66</v>
      </c>
      <c r="Q11" s="1114">
        <f t="shared" si="30"/>
        <v>0.02</v>
      </c>
      <c r="R11" s="1114">
        <v>809</v>
      </c>
      <c r="S11" s="1110">
        <f t="shared" si="31"/>
        <v>0.81</v>
      </c>
      <c r="T11" s="1110">
        <f t="shared" si="32"/>
        <v>744.65</v>
      </c>
      <c r="U11" s="1110">
        <f t="shared" si="33"/>
        <v>595.65</v>
      </c>
      <c r="V11" s="1114">
        <f>755-606</f>
        <v>149</v>
      </c>
      <c r="W11" s="1110">
        <f t="shared" si="34"/>
        <v>6.51</v>
      </c>
      <c r="X11" s="1110">
        <f t="shared" si="35"/>
        <v>25</v>
      </c>
      <c r="Y11" s="1110">
        <f t="shared" si="4"/>
        <v>184.3</v>
      </c>
      <c r="Z11" s="1110">
        <f t="shared" si="36"/>
        <v>0.41</v>
      </c>
      <c r="AA11" s="1110">
        <f t="shared" si="37"/>
        <v>410</v>
      </c>
      <c r="AB11" s="1115">
        <f t="shared" si="38"/>
        <v>0.32</v>
      </c>
      <c r="AC11" s="1114" t="s">
        <v>5134</v>
      </c>
      <c r="AD11" s="1114">
        <v>1</v>
      </c>
      <c r="AE11" s="1116"/>
      <c r="AF11" s="1116"/>
      <c r="AG11" s="1116">
        <v>0.6</v>
      </c>
      <c r="AH11" s="1109">
        <f t="shared" si="39"/>
        <v>6.3E-2</v>
      </c>
      <c r="AI11" s="1110">
        <f t="shared" si="40"/>
        <v>6.14</v>
      </c>
      <c r="AJ11" s="1110">
        <f t="shared" si="41"/>
        <v>0.21</v>
      </c>
      <c r="AK11" s="1111">
        <f t="shared" si="42"/>
        <v>1.29</v>
      </c>
      <c r="AL11" s="1111">
        <f t="shared" si="43"/>
        <v>1290</v>
      </c>
      <c r="AM11" s="1027">
        <v>595.65</v>
      </c>
      <c r="AN11" s="1027"/>
      <c r="AO11" s="1027">
        <v>594.16999999999996</v>
      </c>
      <c r="AP11" s="1027">
        <v>594</v>
      </c>
      <c r="AQ11" s="1027"/>
      <c r="AR11" s="1027">
        <v>593.37</v>
      </c>
      <c r="AS11" s="1027">
        <f t="shared" si="44"/>
        <v>1.65</v>
      </c>
      <c r="AT11" s="1027">
        <f t="shared" si="45"/>
        <v>0.8</v>
      </c>
      <c r="AU11" s="1112" t="str">
        <f t="shared" si="46"/>
        <v>BSTC d=0,6m</v>
      </c>
      <c r="AV11" s="1028"/>
      <c r="AW11" s="926"/>
      <c r="AX11" s="1367" t="str">
        <f t="shared" si="47"/>
        <v>S</v>
      </c>
      <c r="AY11" s="1367" t="str">
        <f t="shared" si="48"/>
        <v>T</v>
      </c>
      <c r="AZ11" s="926" t="str">
        <f t="shared" si="49"/>
        <v>d=0,6</v>
      </c>
      <c r="BA11" s="926"/>
      <c r="BB11" s="927">
        <f t="shared" si="50"/>
        <v>0</v>
      </c>
      <c r="BC11" s="928">
        <f t="shared" si="51"/>
        <v>0</v>
      </c>
      <c r="BD11" s="928">
        <f t="shared" si="52"/>
        <v>0</v>
      </c>
      <c r="BE11" s="928">
        <f t="shared" si="53"/>
        <v>0</v>
      </c>
      <c r="BF11" s="928">
        <v>0</v>
      </c>
      <c r="BG11" s="928">
        <v>0</v>
      </c>
      <c r="BH11" s="928">
        <f t="shared" si="54"/>
        <v>0</v>
      </c>
      <c r="BI11" s="928">
        <f t="shared" si="55"/>
        <v>0</v>
      </c>
      <c r="BJ11" s="928">
        <f t="shared" si="56"/>
        <v>0</v>
      </c>
      <c r="BK11" s="928">
        <f t="shared" si="57"/>
        <v>0</v>
      </c>
      <c r="BL11" s="928">
        <f t="shared" si="58"/>
        <v>0</v>
      </c>
      <c r="BM11" s="928">
        <f t="shared" si="59"/>
        <v>0</v>
      </c>
      <c r="BN11" s="928">
        <f t="shared" si="60"/>
        <v>0</v>
      </c>
      <c r="BO11" s="928">
        <f t="shared" si="61"/>
        <v>0</v>
      </c>
      <c r="BP11" s="928">
        <f t="shared" si="62"/>
        <v>0</v>
      </c>
      <c r="BQ11" s="928" t="e">
        <f t="shared" si="63"/>
        <v>#DIV/0!</v>
      </c>
      <c r="BR11" s="929">
        <f t="shared" si="64"/>
        <v>1.2999999999999999E-2</v>
      </c>
      <c r="BS11" s="928" t="e">
        <f t="shared" si="65"/>
        <v>#DIV/0!</v>
      </c>
      <c r="BT11" s="930">
        <f t="shared" si="66"/>
        <v>6.3E-2</v>
      </c>
      <c r="BU11" s="931" t="e">
        <f t="shared" si="67"/>
        <v>#DIV/0!</v>
      </c>
      <c r="BV11" s="932">
        <f t="shared" si="68"/>
        <v>0.6</v>
      </c>
      <c r="BW11" s="859">
        <f t="shared" si="69"/>
        <v>0.42</v>
      </c>
      <c r="BX11" s="859">
        <v>0.7</v>
      </c>
      <c r="BY11" s="859">
        <f t="shared" si="70"/>
        <v>3.96</v>
      </c>
      <c r="BZ11" s="859">
        <f t="shared" si="71"/>
        <v>226.89</v>
      </c>
      <c r="CA11" s="859">
        <f t="shared" si="72"/>
        <v>0.21</v>
      </c>
      <c r="CB11" s="859">
        <f t="shared" si="73"/>
        <v>1.19</v>
      </c>
      <c r="CC11" s="859">
        <f t="shared" si="74"/>
        <v>0.18</v>
      </c>
      <c r="CD11" s="929">
        <f t="shared" si="75"/>
        <v>1.2999999999999999E-2</v>
      </c>
      <c r="CE11" s="859">
        <f t="shared" si="76"/>
        <v>76.92</v>
      </c>
      <c r="CF11" s="859">
        <f t="shared" si="77"/>
        <v>0.32</v>
      </c>
      <c r="CG11" s="934">
        <f t="shared" si="78"/>
        <v>6.3E-2</v>
      </c>
      <c r="CH11" s="859">
        <f t="shared" si="79"/>
        <v>0.25</v>
      </c>
      <c r="CI11" s="859">
        <f t="shared" si="80"/>
        <v>1.29</v>
      </c>
      <c r="CJ11" s="935">
        <f t="shared" si="81"/>
        <v>6.14</v>
      </c>
      <c r="CK11" s="57"/>
      <c r="CL11" s="87">
        <v>1</v>
      </c>
      <c r="CM11" s="87"/>
      <c r="CN11" s="78" t="str">
        <f t="shared" si="82"/>
        <v>CCT02</v>
      </c>
      <c r="CO11" s="1025" t="str">
        <f t="shared" si="83"/>
        <v>-</v>
      </c>
      <c r="CP11" s="1025" t="str">
        <f t="shared" si="84"/>
        <v>BC03</v>
      </c>
      <c r="CQ11" s="79" t="str">
        <f t="shared" si="85"/>
        <v>ESTR. DE LINHA TAQUARAL</v>
      </c>
      <c r="CR11" s="79" t="str">
        <f t="shared" si="86"/>
        <v>Projetado</v>
      </c>
      <c r="CS11" s="1026" t="str">
        <f t="shared" si="87"/>
        <v>OAC03</v>
      </c>
      <c r="CT11" s="1033">
        <f t="shared" si="88"/>
        <v>0</v>
      </c>
      <c r="CU11" s="1033">
        <f t="shared" si="88"/>
        <v>0</v>
      </c>
      <c r="CV11" s="1033">
        <f t="shared" si="88"/>
        <v>0</v>
      </c>
      <c r="CW11" s="1033">
        <f t="shared" si="88"/>
        <v>0</v>
      </c>
      <c r="CX11" s="1033">
        <f t="shared" si="89"/>
        <v>0</v>
      </c>
      <c r="CY11" s="1033">
        <f t="shared" si="89"/>
        <v>0</v>
      </c>
      <c r="CZ11" s="1033">
        <f t="shared" si="89"/>
        <v>0</v>
      </c>
      <c r="DA11" s="1033">
        <f t="shared" si="90"/>
        <v>0</v>
      </c>
      <c r="DB11" s="1033">
        <f t="shared" si="90"/>
        <v>0</v>
      </c>
      <c r="DC11" s="1033">
        <f t="shared" si="90"/>
        <v>0</v>
      </c>
      <c r="DD11" s="1033">
        <f t="shared" si="91"/>
        <v>0</v>
      </c>
      <c r="DE11" s="1033">
        <f t="shared" si="91"/>
        <v>0</v>
      </c>
      <c r="DF11" s="1033">
        <f t="shared" si="91"/>
        <v>0</v>
      </c>
      <c r="DG11" s="1033">
        <f t="shared" si="92"/>
        <v>0</v>
      </c>
      <c r="DH11" s="1033">
        <f t="shared" si="92"/>
        <v>0</v>
      </c>
      <c r="DI11" s="1033">
        <f t="shared" si="92"/>
        <v>0</v>
      </c>
      <c r="DJ11" s="1033">
        <f t="shared" si="93"/>
        <v>0</v>
      </c>
      <c r="DK11" s="1033">
        <f t="shared" si="93"/>
        <v>0</v>
      </c>
      <c r="DL11" s="1033">
        <f t="shared" si="93"/>
        <v>0</v>
      </c>
      <c r="DM11" s="1415"/>
      <c r="DN11" s="1415"/>
      <c r="DO11" s="1415"/>
      <c r="DP11" s="1415"/>
      <c r="DQ11" s="1415"/>
      <c r="DR11" s="1415"/>
      <c r="DS11" s="1034">
        <f t="shared" si="94"/>
        <v>1.65</v>
      </c>
      <c r="DT11" s="709">
        <f t="shared" si="95"/>
        <v>0.8</v>
      </c>
      <c r="DU11" s="80">
        <f t="shared" si="7"/>
        <v>0</v>
      </c>
      <c r="DV11" s="709">
        <f>IF(CR11="Novo",SUM(CT11:DL11)*DU11*AVERAGE(DS11:DT11),0)-DW11</f>
        <v>0</v>
      </c>
      <c r="DW11" s="709">
        <f t="shared" si="97"/>
        <v>0</v>
      </c>
      <c r="DX11" s="710">
        <f t="shared" ref="DX11:DX15" si="124">DX10</f>
        <v>0.2</v>
      </c>
      <c r="DY11" s="1035">
        <f t="shared" si="98"/>
        <v>0</v>
      </c>
      <c r="DZ11" s="1036">
        <f t="shared" si="99"/>
        <v>0</v>
      </c>
      <c r="EA11" s="80">
        <f t="shared" si="8"/>
        <v>0</v>
      </c>
      <c r="EB11" s="80">
        <f t="shared" si="100"/>
        <v>0</v>
      </c>
      <c r="EC11" s="80">
        <f t="shared" si="101"/>
        <v>0</v>
      </c>
      <c r="ED11" s="1035" t="s">
        <v>113</v>
      </c>
      <c r="EE11" s="1035">
        <f t="shared" si="102"/>
        <v>0</v>
      </c>
      <c r="EF11" s="1037">
        <f t="shared" si="103"/>
        <v>0</v>
      </c>
      <c r="EG11" s="52"/>
      <c r="EH11" s="943">
        <f t="shared" si="104"/>
        <v>0</v>
      </c>
      <c r="EI11" s="51"/>
      <c r="EJ11" s="1046" t="str">
        <f t="shared" si="105"/>
        <v>CCT02</v>
      </c>
      <c r="EK11" s="1047" t="str">
        <f>EK10</f>
        <v>Projetado</v>
      </c>
      <c r="EL11" s="1048">
        <v>24</v>
      </c>
      <c r="EM11" s="1049" t="str">
        <f t="shared" si="9"/>
        <v>CAIXA BSTC d=0,6m</v>
      </c>
      <c r="EN11" s="1050">
        <f t="shared" si="106"/>
        <v>0</v>
      </c>
      <c r="EO11" s="80">
        <f t="shared" si="10"/>
        <v>0</v>
      </c>
      <c r="EP11" s="1051">
        <f>IF(EK11="Novo",HLOOKUP(EL11,$FH$23:$GC$30,FF28),0)</f>
        <v>0</v>
      </c>
      <c r="EQ11" s="1052" t="str">
        <f t="shared" si="107"/>
        <v>BC03</v>
      </c>
      <c r="ER11" s="1047" t="str">
        <f t="shared" ref="ER11:ER15" si="125">EK11</f>
        <v>Projetado</v>
      </c>
      <c r="ES11" s="1048">
        <v>1</v>
      </c>
      <c r="ET11" s="1049" t="str">
        <f t="shared" si="11"/>
        <v>Boca BSTC d=0,6m</v>
      </c>
      <c r="EU11" s="1053">
        <f t="shared" si="108"/>
        <v>0</v>
      </c>
      <c r="EV11" s="1054">
        <f t="shared" si="12"/>
        <v>0</v>
      </c>
      <c r="EW11" s="1054">
        <f>IF(ER11="Novo",HLOOKUP(ES11,$FH$23:$GC$30,FF28),0)</f>
        <v>0</v>
      </c>
      <c r="EX11" s="709">
        <f t="shared" si="109"/>
        <v>0</v>
      </c>
      <c r="EY11" s="709">
        <f t="shared" si="110"/>
        <v>0</v>
      </c>
      <c r="EZ11" s="710">
        <f t="shared" si="111"/>
        <v>0.2</v>
      </c>
      <c r="FA11" s="1035">
        <f t="shared" si="112"/>
        <v>0</v>
      </c>
      <c r="FB11" s="1036">
        <f t="shared" si="113"/>
        <v>0</v>
      </c>
      <c r="FC11" s="80">
        <f t="shared" si="13"/>
        <v>0</v>
      </c>
      <c r="FD11" s="80">
        <f t="shared" si="114"/>
        <v>0</v>
      </c>
      <c r="FE11" s="1035" t="str">
        <f t="shared" si="115"/>
        <v>S</v>
      </c>
      <c r="FF11" s="1035">
        <f t="shared" si="116"/>
        <v>0</v>
      </c>
      <c r="FG11" s="1036">
        <f t="shared" si="117"/>
        <v>0</v>
      </c>
      <c r="FH11" s="862">
        <f t="shared" si="14"/>
        <v>0</v>
      </c>
      <c r="FI11" s="863">
        <f t="shared" si="14"/>
        <v>0</v>
      </c>
      <c r="FJ11" s="863">
        <f t="shared" si="14"/>
        <v>0</v>
      </c>
      <c r="FK11" s="1055">
        <f t="shared" si="14"/>
        <v>0</v>
      </c>
      <c r="FL11" s="1056">
        <f t="shared" si="14"/>
        <v>0</v>
      </c>
      <c r="FM11" s="863">
        <f t="shared" si="14"/>
        <v>0</v>
      </c>
      <c r="FN11" s="1057">
        <f t="shared" si="14"/>
        <v>0</v>
      </c>
      <c r="FO11" s="1058">
        <f t="shared" si="14"/>
        <v>0</v>
      </c>
      <c r="FP11" s="863">
        <f t="shared" si="14"/>
        <v>0</v>
      </c>
      <c r="FQ11" s="1055">
        <f t="shared" si="14"/>
        <v>0</v>
      </c>
      <c r="FR11" s="1056">
        <f t="shared" si="15"/>
        <v>0</v>
      </c>
      <c r="FS11" s="1056">
        <f t="shared" si="15"/>
        <v>0</v>
      </c>
      <c r="FT11" s="1057">
        <f t="shared" si="15"/>
        <v>0</v>
      </c>
      <c r="FU11" s="1058">
        <f t="shared" si="15"/>
        <v>0</v>
      </c>
      <c r="FV11" s="863">
        <f t="shared" si="15"/>
        <v>0</v>
      </c>
      <c r="FW11" s="1055">
        <f t="shared" si="15"/>
        <v>0</v>
      </c>
      <c r="FX11" s="1056">
        <f t="shared" si="15"/>
        <v>0</v>
      </c>
      <c r="FY11" s="863">
        <f t="shared" si="15"/>
        <v>0</v>
      </c>
      <c r="FZ11" s="1055">
        <f t="shared" si="15"/>
        <v>0</v>
      </c>
      <c r="GA11" s="1056">
        <f t="shared" si="16"/>
        <v>0</v>
      </c>
      <c r="GB11" s="863">
        <f t="shared" si="17"/>
        <v>0</v>
      </c>
      <c r="GC11" s="863">
        <f t="shared" si="18"/>
        <v>0</v>
      </c>
      <c r="GD11" s="1057">
        <f t="shared" si="19"/>
        <v>0</v>
      </c>
      <c r="GE11" s="1056">
        <f t="shared" si="20"/>
        <v>0</v>
      </c>
      <c r="GF11" s="863">
        <f t="shared" si="21"/>
        <v>0</v>
      </c>
      <c r="GG11" s="863">
        <f t="shared" si="22"/>
        <v>0</v>
      </c>
      <c r="GH11" s="1057">
        <f t="shared" si="23"/>
        <v>0</v>
      </c>
      <c r="GI11" s="1057">
        <f t="shared" si="24"/>
        <v>0</v>
      </c>
      <c r="GJ11" s="1057">
        <f t="shared" si="25"/>
        <v>0</v>
      </c>
      <c r="GK11" s="1407">
        <f t="shared" si="118"/>
        <v>0</v>
      </c>
      <c r="GL11" s="1059">
        <f t="shared" si="119"/>
        <v>0</v>
      </c>
      <c r="GM11" s="1059">
        <f t="shared" si="120"/>
        <v>0</v>
      </c>
      <c r="GN11" s="1059">
        <f t="shared" si="121"/>
        <v>0</v>
      </c>
      <c r="GO11" s="1059">
        <f t="shared" si="122"/>
        <v>0</v>
      </c>
      <c r="GP11" s="1408">
        <f t="shared" si="123"/>
        <v>0</v>
      </c>
      <c r="GQ11" s="121" t="str">
        <f t="shared" si="26"/>
        <v>OAC03</v>
      </c>
      <c r="GR11" s="121" t="str">
        <f t="shared" si="27"/>
        <v>BSTC d=0,6m</v>
      </c>
    </row>
    <row r="12" spans="1:200" ht="22.5" x14ac:dyDescent="0.25">
      <c r="A12" s="50"/>
      <c r="B12" s="78" t="s">
        <v>7517</v>
      </c>
      <c r="C12" s="1025" t="s">
        <v>0</v>
      </c>
      <c r="D12" s="1025" t="s">
        <v>7185</v>
      </c>
      <c r="E12" s="1122" t="str">
        <f>E10</f>
        <v>ESTR. DE LINHA TAQUARAL</v>
      </c>
      <c r="F12" s="1125">
        <v>1027</v>
      </c>
      <c r="G12" s="1125" t="s">
        <v>7515</v>
      </c>
      <c r="H12" s="1123" t="str">
        <f>H11</f>
        <v>Projetado</v>
      </c>
      <c r="I12" s="1113" t="s">
        <v>7186</v>
      </c>
      <c r="J12" s="1026">
        <v>11</v>
      </c>
      <c r="K12" s="1127">
        <v>5.8</v>
      </c>
      <c r="L12" s="1127">
        <f t="shared" ref="L12" si="126">J12-K12</f>
        <v>5.2</v>
      </c>
      <c r="M12" s="1114">
        <v>0.4</v>
      </c>
      <c r="N12" s="1368">
        <v>4</v>
      </c>
      <c r="O12" s="1114">
        <v>93929</v>
      </c>
      <c r="P12" s="1114">
        <f t="shared" si="29"/>
        <v>9.39</v>
      </c>
      <c r="Q12" s="1114">
        <f t="shared" ref="Q12" si="127">O12/(1000*1000)</f>
        <v>0.09</v>
      </c>
      <c r="R12" s="1114">
        <v>589</v>
      </c>
      <c r="S12" s="1110">
        <f t="shared" si="31"/>
        <v>0.59</v>
      </c>
      <c r="T12" s="1110">
        <f t="shared" ref="T12" si="128">U12+V12</f>
        <v>761.92</v>
      </c>
      <c r="U12" s="1110">
        <f t="shared" ref="U12" si="129">AM12</f>
        <v>649.91999999999996</v>
      </c>
      <c r="V12" s="1114">
        <f>766-654</f>
        <v>112</v>
      </c>
      <c r="W12" s="1110">
        <f t="shared" ref="W12" si="130">57*((S12^3)/V12)^0.385</f>
        <v>5.04</v>
      </c>
      <c r="X12" s="1110">
        <f t="shared" si="35"/>
        <v>25</v>
      </c>
      <c r="Y12" s="1110">
        <f t="shared" si="4"/>
        <v>194.28</v>
      </c>
      <c r="Z12" s="1110">
        <f t="shared" ref="Z12" si="131">0.278*Q12*Y12*M12</f>
        <v>1.94</v>
      </c>
      <c r="AA12" s="1110">
        <f t="shared" si="37"/>
        <v>1940</v>
      </c>
      <c r="AB12" s="1115">
        <f t="shared" ref="AB12" si="132">Z12/(AD12*AK12)</f>
        <v>0.68</v>
      </c>
      <c r="AC12" s="1114" t="s">
        <v>5134</v>
      </c>
      <c r="AD12" s="1114">
        <v>1</v>
      </c>
      <c r="AE12" s="1116"/>
      <c r="AF12" s="1116"/>
      <c r="AG12" s="1116">
        <v>0.8</v>
      </c>
      <c r="AH12" s="1109">
        <f t="shared" ref="AH12" si="133">(AP12-AR12)/(J12)</f>
        <v>6.0999999999999999E-2</v>
      </c>
      <c r="AI12" s="1110">
        <f t="shared" ref="AI12" si="134">IF(AG12="",BU12,CJ12)</f>
        <v>7.5</v>
      </c>
      <c r="AJ12" s="1110">
        <f t="shared" ref="AJ12" si="135">IF(AG12="",BO12,CA12)</f>
        <v>0.38</v>
      </c>
      <c r="AK12" s="1111">
        <f t="shared" ref="AK12" si="136">AJ12*AI12</f>
        <v>2.85</v>
      </c>
      <c r="AL12" s="1111">
        <f t="shared" si="43"/>
        <v>2850</v>
      </c>
      <c r="AM12" s="1027">
        <v>649.91999999999996</v>
      </c>
      <c r="AN12" s="1027"/>
      <c r="AO12" s="1027">
        <v>648</v>
      </c>
      <c r="AP12" s="1027">
        <v>647.41999999999996</v>
      </c>
      <c r="AQ12" s="1027"/>
      <c r="AR12" s="1027">
        <v>646.75</v>
      </c>
      <c r="AS12" s="1027">
        <f t="shared" ref="AS12" si="137">AM12-AP12</f>
        <v>2.5</v>
      </c>
      <c r="AT12" s="1027">
        <f t="shared" ref="AT12" si="138">AO12-AR12</f>
        <v>1.25</v>
      </c>
      <c r="AU12" s="1112" t="str">
        <f t="shared" ref="AU12" si="139">CONCATENATE("B",AX12,AY12,"C ",AZ12,"m")</f>
        <v>BSTC d=0,8m</v>
      </c>
      <c r="AV12" s="1028"/>
      <c r="AW12" s="926"/>
      <c r="AX12" s="1367" t="str">
        <f t="shared" ref="AX12" si="140">IF(AD12=1,"S",IF(AD12=2,"D","T"))</f>
        <v>S</v>
      </c>
      <c r="AY12" s="1367" t="str">
        <f t="shared" ref="AY12" si="141">IF(AG12="","C","T")</f>
        <v>T</v>
      </c>
      <c r="AZ12" s="926" t="str">
        <f t="shared" ref="AZ12" si="142">IF(AG12="",CONCATENATE(AE12,"x",AF12),CONCATENATE("d=",AG12))</f>
        <v>d=0,8</v>
      </c>
      <c r="BA12" s="926"/>
      <c r="BB12" s="927">
        <f t="shared" ref="BB12" si="143">AE12</f>
        <v>0</v>
      </c>
      <c r="BC12" s="928">
        <f t="shared" ref="BC12" si="144">AF12</f>
        <v>0</v>
      </c>
      <c r="BD12" s="928">
        <f t="shared" ref="BD12" si="145">BI12</f>
        <v>0</v>
      </c>
      <c r="BE12" s="928">
        <f t="shared" ref="BE12" si="146">BB12</f>
        <v>0</v>
      </c>
      <c r="BF12" s="928">
        <v>0</v>
      </c>
      <c r="BG12" s="928">
        <v>0</v>
      </c>
      <c r="BH12" s="928">
        <f t="shared" ref="BH12" si="147">BD12*(BE12+(0.5*BD12*(BF12+BG12)))</f>
        <v>0</v>
      </c>
      <c r="BI12" s="928">
        <f t="shared" ref="BI12" si="148">BC12*0.8</f>
        <v>0</v>
      </c>
      <c r="BJ12" s="928">
        <f t="shared" ref="BJ12" si="149">BD12</f>
        <v>0</v>
      </c>
      <c r="BK12" s="928">
        <f t="shared" ref="BK12" si="150">BE12</f>
        <v>0</v>
      </c>
      <c r="BL12" s="928">
        <f t="shared" ref="BL12" si="151">BF12</f>
        <v>0</v>
      </c>
      <c r="BM12" s="928">
        <f t="shared" ref="BM12" si="152">BG12</f>
        <v>0</v>
      </c>
      <c r="BN12" s="928">
        <f t="shared" ref="BN12" si="153">BK12+BJ12*(((1+BL12^2)^0.5)+((1+BM12^2)^0.5))</f>
        <v>0</v>
      </c>
      <c r="BO12" s="928">
        <f t="shared" ref="BO12" si="154">BH12</f>
        <v>0</v>
      </c>
      <c r="BP12" s="928">
        <f t="shared" ref="BP12" si="155">BN12</f>
        <v>0</v>
      </c>
      <c r="BQ12" s="928" t="e">
        <f t="shared" ref="BQ12" si="156">BO12/BP12</f>
        <v>#DIV/0!</v>
      </c>
      <c r="BR12" s="929">
        <f t="shared" si="64"/>
        <v>1.2999999999999999E-2</v>
      </c>
      <c r="BS12" s="928" t="e">
        <f t="shared" ref="BS12" si="157">BQ12</f>
        <v>#DIV/0!</v>
      </c>
      <c r="BT12" s="930">
        <f t="shared" ref="BT12" si="158">AH12</f>
        <v>6.0999999999999999E-2</v>
      </c>
      <c r="BU12" s="931" t="e">
        <f t="shared" ref="BU12" si="159">(1/BR12)*(BS12^(2/3))*BT12^0.5</f>
        <v>#DIV/0!</v>
      </c>
      <c r="BV12" s="932">
        <f t="shared" ref="BV12" si="160">AG12</f>
        <v>0.8</v>
      </c>
      <c r="BW12" s="859">
        <f t="shared" si="69"/>
        <v>0.56000000000000005</v>
      </c>
      <c r="BX12" s="859">
        <v>0.7</v>
      </c>
      <c r="BY12" s="859">
        <f t="shared" si="70"/>
        <v>3.96</v>
      </c>
      <c r="BZ12" s="859">
        <f t="shared" si="71"/>
        <v>226.89</v>
      </c>
      <c r="CA12" s="859">
        <f t="shared" ref="CA12" si="161">((BV12^2)*(BY12-SIN(BY12)))/8</f>
        <v>0.38</v>
      </c>
      <c r="CB12" s="859">
        <f t="shared" ref="CB12" si="162">(BY12*BV12)/2</f>
        <v>1.58</v>
      </c>
      <c r="CC12" s="859">
        <f t="shared" ref="CC12" si="163">(CA12/CB12)</f>
        <v>0.24</v>
      </c>
      <c r="CD12" s="929">
        <f t="shared" si="75"/>
        <v>1.2999999999999999E-2</v>
      </c>
      <c r="CE12" s="859">
        <f t="shared" si="76"/>
        <v>76.92</v>
      </c>
      <c r="CF12" s="859">
        <f t="shared" ref="CF12" si="164">(CC12^(2/3))</f>
        <v>0.39</v>
      </c>
      <c r="CG12" s="934">
        <f t="shared" ref="CG12" si="165">AH12</f>
        <v>6.0999999999999999E-2</v>
      </c>
      <c r="CH12" s="859">
        <f t="shared" si="79"/>
        <v>0.25</v>
      </c>
      <c r="CI12" s="859">
        <f t="shared" ref="CI12" si="166">CA12*CE12*CF12*CH12</f>
        <v>2.85</v>
      </c>
      <c r="CJ12" s="935">
        <f t="shared" ref="CJ12" si="167">(CI12/CA12)</f>
        <v>7.5</v>
      </c>
      <c r="CK12" s="57"/>
      <c r="CL12" s="87">
        <v>1</v>
      </c>
      <c r="CM12" s="87"/>
      <c r="CN12" s="78" t="str">
        <f t="shared" ref="CN12" si="168">B12</f>
        <v>CCS02</v>
      </c>
      <c r="CO12" s="1025" t="str">
        <f t="shared" ref="CO12" si="169">C12</f>
        <v>-</v>
      </c>
      <c r="CP12" s="1025" t="str">
        <f t="shared" ref="CP12" si="170">D12</f>
        <v>BC04</v>
      </c>
      <c r="CQ12" s="79" t="str">
        <f t="shared" ref="CQ12" si="171">E12</f>
        <v>ESTR. DE LINHA TAQUARAL</v>
      </c>
      <c r="CR12" s="79" t="str">
        <f t="shared" ref="CR12" si="172">H12</f>
        <v>Projetado</v>
      </c>
      <c r="CS12" s="1026" t="str">
        <f t="shared" ref="CS12" si="173">I12</f>
        <v>OAC04</v>
      </c>
      <c r="CT12" s="1033">
        <f t="shared" si="88"/>
        <v>0</v>
      </c>
      <c r="CU12" s="1033">
        <f t="shared" si="88"/>
        <v>0</v>
      </c>
      <c r="CV12" s="1033">
        <f t="shared" si="88"/>
        <v>0</v>
      </c>
      <c r="CW12" s="1033">
        <f t="shared" si="88"/>
        <v>0</v>
      </c>
      <c r="CX12" s="1033">
        <f t="shared" si="89"/>
        <v>0</v>
      </c>
      <c r="CY12" s="1033">
        <f t="shared" si="89"/>
        <v>0</v>
      </c>
      <c r="CZ12" s="1033">
        <f t="shared" si="89"/>
        <v>0</v>
      </c>
      <c r="DA12" s="1033">
        <f t="shared" si="90"/>
        <v>0</v>
      </c>
      <c r="DB12" s="1033">
        <f t="shared" si="90"/>
        <v>0</v>
      </c>
      <c r="DC12" s="1033">
        <f t="shared" si="90"/>
        <v>0</v>
      </c>
      <c r="DD12" s="1033">
        <f t="shared" si="91"/>
        <v>0</v>
      </c>
      <c r="DE12" s="1033">
        <f t="shared" si="91"/>
        <v>0</v>
      </c>
      <c r="DF12" s="1033">
        <f t="shared" si="91"/>
        <v>0</v>
      </c>
      <c r="DG12" s="1033">
        <f t="shared" si="92"/>
        <v>0</v>
      </c>
      <c r="DH12" s="1033">
        <f t="shared" si="92"/>
        <v>0</v>
      </c>
      <c r="DI12" s="1033">
        <f t="shared" si="92"/>
        <v>0</v>
      </c>
      <c r="DJ12" s="1033">
        <f t="shared" si="93"/>
        <v>0</v>
      </c>
      <c r="DK12" s="1033">
        <f t="shared" si="93"/>
        <v>0</v>
      </c>
      <c r="DL12" s="1033">
        <f t="shared" si="93"/>
        <v>0</v>
      </c>
      <c r="DM12" s="1415"/>
      <c r="DN12" s="1415"/>
      <c r="DO12" s="1415"/>
      <c r="DP12" s="1415"/>
      <c r="DQ12" s="1415"/>
      <c r="DR12" s="1415"/>
      <c r="DS12" s="1034">
        <f t="shared" ref="DS12" si="174">AS12</f>
        <v>2.5</v>
      </c>
      <c r="DT12" s="709">
        <f t="shared" ref="DT12" si="175">AT12</f>
        <v>1.25</v>
      </c>
      <c r="DU12" s="80">
        <f t="shared" si="7"/>
        <v>0</v>
      </c>
      <c r="DV12" s="709">
        <f>IF(CR12="Novo",SUM(CT12:DL12)*DU12*AVERAGE(DS12:DT12),0)-DW12</f>
        <v>0</v>
      </c>
      <c r="DW12" s="709">
        <f t="shared" ref="DW12" si="176">IF(AND(CR12="Novo",AVERAGE(DS12:DT12)&gt;1.5),SUM(CT12:DL12)*DU12*(AVERAGE(DS12:DT12)-1.5),0)</f>
        <v>0</v>
      </c>
      <c r="DX12" s="710">
        <f t="shared" si="124"/>
        <v>0.2</v>
      </c>
      <c r="DY12" s="1035">
        <f t="shared" ref="DY12" si="177">SUM(DV12:DW12)*DX12</f>
        <v>0</v>
      </c>
      <c r="DZ12" s="1036">
        <f t="shared" ref="DZ12" si="178">SUM(DV12:DW12)-DY12</f>
        <v>0</v>
      </c>
      <c r="EA12" s="80">
        <f t="shared" si="8"/>
        <v>0</v>
      </c>
      <c r="EB12" s="80">
        <f t="shared" ref="EB12" si="179">EA12*SUM(CT12:DL12)</f>
        <v>0</v>
      </c>
      <c r="EC12" s="80">
        <f t="shared" ref="EC12" si="180">DZ12+DY12-EB12</f>
        <v>0</v>
      </c>
      <c r="ED12" s="1035" t="s">
        <v>113</v>
      </c>
      <c r="EE12" s="1035">
        <f t="shared" ref="EE12" si="181">IF(ED12="S",EC12,IF(ED12="P",EC12*0.5,0))</f>
        <v>0</v>
      </c>
      <c r="EF12" s="1037">
        <f t="shared" ref="EF12" si="182">EC12-EE12</f>
        <v>0</v>
      </c>
      <c r="EG12" s="52"/>
      <c r="EH12" s="943">
        <f t="shared" ref="EH12" si="183">IF(H12=$EH$7,J12,0)</f>
        <v>0</v>
      </c>
      <c r="EI12" s="51"/>
      <c r="EJ12" s="1046" t="str">
        <f t="shared" ref="EJ12" si="184">CN12</f>
        <v>CCS02</v>
      </c>
      <c r="EK12" s="1047" t="str">
        <f t="shared" ref="EK12:EK15" si="185">EK11</f>
        <v>Projetado</v>
      </c>
      <c r="EL12" s="1048">
        <v>21</v>
      </c>
      <c r="EM12" s="1049" t="str">
        <f t="shared" si="9"/>
        <v>CAIXA BSTC d=0,8m</v>
      </c>
      <c r="EN12" s="1050">
        <f t="shared" ref="EN12" si="186">IF(EK12="Novo",AS12,0)</f>
        <v>0</v>
      </c>
      <c r="EO12" s="80">
        <f t="shared" si="10"/>
        <v>0</v>
      </c>
      <c r="EP12" s="1051">
        <f>IF(EK12="Novo",HLOOKUP(EL12,$FH$23:$GC$30,FF28),0)</f>
        <v>0</v>
      </c>
      <c r="EQ12" s="1052" t="str">
        <f t="shared" ref="EQ12" si="187">CP12</f>
        <v>BC04</v>
      </c>
      <c r="ER12" s="1047" t="str">
        <f t="shared" si="125"/>
        <v>Projetado</v>
      </c>
      <c r="ES12" s="1048">
        <v>2</v>
      </c>
      <c r="ET12" s="1049" t="str">
        <f t="shared" si="11"/>
        <v>Boca BSTC d=0,8m</v>
      </c>
      <c r="EU12" s="1053">
        <f t="shared" ref="EU12" si="188">IF(ER12="Novo",AT12,0)</f>
        <v>0</v>
      </c>
      <c r="EV12" s="1054">
        <f t="shared" si="12"/>
        <v>0</v>
      </c>
      <c r="EW12" s="1054">
        <f>IF(ER12="Novo",HLOOKUP(ES12,$FH$23:$GC$30,FF28),0)</f>
        <v>0</v>
      </c>
      <c r="EX12" s="709">
        <f t="shared" ref="EX12" si="189">IF(EK12="Novo",EP12*EO12*EN12-EY12,0)*0.5+IF(EK12="Novo",EW12*EV12*EU12-EY12,0)*0.5</f>
        <v>0</v>
      </c>
      <c r="EY12" s="709">
        <f t="shared" ref="EY12" si="190">IF(EN12&gt;1.5,EP12*EO12*(EN12-1.5),0)*0.5+IF(EU12&gt;1.5,EW12*EV12*(EU12-1.5),0)*0.5</f>
        <v>0</v>
      </c>
      <c r="EZ12" s="710">
        <f t="shared" ref="EZ12" si="191">DX12</f>
        <v>0.2</v>
      </c>
      <c r="FA12" s="1035">
        <f t="shared" ref="FA12" si="192">SUM(EX12:EY12)*EZ12</f>
        <v>0</v>
      </c>
      <c r="FB12" s="1036">
        <f t="shared" ref="FB12" si="193">SUM(EX12:EY12)-FA12</f>
        <v>0</v>
      </c>
      <c r="FC12" s="80">
        <f t="shared" si="13"/>
        <v>0</v>
      </c>
      <c r="FD12" s="80">
        <f t="shared" ref="FD12" si="194">EX12-FC12</f>
        <v>0</v>
      </c>
      <c r="FE12" s="1035" t="str">
        <f t="shared" ref="FE12" si="195">ED12</f>
        <v>S</v>
      </c>
      <c r="FF12" s="1035">
        <f t="shared" ref="FF12" si="196">IF(FE12="S",FD12,IF(FE12="P",FD12*0.5,0))</f>
        <v>0</v>
      </c>
      <c r="FG12" s="1036">
        <f t="shared" ref="FG12" si="197">FD12-FF12</f>
        <v>0</v>
      </c>
      <c r="FH12" s="862">
        <f t="shared" si="14"/>
        <v>0</v>
      </c>
      <c r="FI12" s="863">
        <f t="shared" si="14"/>
        <v>0</v>
      </c>
      <c r="FJ12" s="863">
        <f t="shared" si="14"/>
        <v>0</v>
      </c>
      <c r="FK12" s="1055">
        <f t="shared" si="14"/>
        <v>0</v>
      </c>
      <c r="FL12" s="1056">
        <f t="shared" si="14"/>
        <v>0</v>
      </c>
      <c r="FM12" s="863">
        <f t="shared" si="14"/>
        <v>0</v>
      </c>
      <c r="FN12" s="1057">
        <f t="shared" si="14"/>
        <v>0</v>
      </c>
      <c r="FO12" s="1058">
        <f t="shared" si="14"/>
        <v>0</v>
      </c>
      <c r="FP12" s="863">
        <f t="shared" si="14"/>
        <v>0</v>
      </c>
      <c r="FQ12" s="1055">
        <f t="shared" si="14"/>
        <v>0</v>
      </c>
      <c r="FR12" s="1056">
        <f t="shared" si="15"/>
        <v>0</v>
      </c>
      <c r="FS12" s="1056">
        <f t="shared" si="15"/>
        <v>0</v>
      </c>
      <c r="FT12" s="1057">
        <f t="shared" si="15"/>
        <v>0</v>
      </c>
      <c r="FU12" s="1058">
        <f t="shared" si="15"/>
        <v>0</v>
      </c>
      <c r="FV12" s="863">
        <f t="shared" si="15"/>
        <v>0</v>
      </c>
      <c r="FW12" s="1055">
        <f t="shared" si="15"/>
        <v>0</v>
      </c>
      <c r="FX12" s="1056">
        <f t="shared" si="15"/>
        <v>0</v>
      </c>
      <c r="FY12" s="863">
        <f t="shared" si="15"/>
        <v>0</v>
      </c>
      <c r="FZ12" s="1055">
        <f t="shared" si="15"/>
        <v>0</v>
      </c>
      <c r="GA12" s="1056">
        <f t="shared" si="16"/>
        <v>0</v>
      </c>
      <c r="GB12" s="863">
        <f t="shared" si="17"/>
        <v>0</v>
      </c>
      <c r="GC12" s="863">
        <f t="shared" si="18"/>
        <v>0</v>
      </c>
      <c r="GD12" s="1057">
        <f t="shared" si="19"/>
        <v>0</v>
      </c>
      <c r="GE12" s="1056">
        <f t="shared" si="20"/>
        <v>0</v>
      </c>
      <c r="GF12" s="863">
        <f t="shared" si="21"/>
        <v>0</v>
      </c>
      <c r="GG12" s="863">
        <f t="shared" si="22"/>
        <v>0</v>
      </c>
      <c r="GH12" s="1057">
        <f t="shared" si="23"/>
        <v>0</v>
      </c>
      <c r="GI12" s="1057">
        <f t="shared" si="24"/>
        <v>0</v>
      </c>
      <c r="GJ12" s="1057">
        <f t="shared" si="25"/>
        <v>0</v>
      </c>
      <c r="GK12" s="1407">
        <f t="shared" si="118"/>
        <v>0</v>
      </c>
      <c r="GL12" s="1059">
        <f t="shared" si="119"/>
        <v>0</v>
      </c>
      <c r="GM12" s="1059">
        <f t="shared" si="120"/>
        <v>0</v>
      </c>
      <c r="GN12" s="1059">
        <f t="shared" si="121"/>
        <v>0</v>
      </c>
      <c r="GO12" s="1059">
        <f t="shared" si="122"/>
        <v>0</v>
      </c>
      <c r="GP12" s="1408">
        <f t="shared" si="123"/>
        <v>0</v>
      </c>
      <c r="GQ12" s="121" t="str">
        <f t="shared" si="26"/>
        <v>OAC04</v>
      </c>
      <c r="GR12" s="121" t="str">
        <f t="shared" si="27"/>
        <v>BSTC d=0,8m</v>
      </c>
    </row>
    <row r="13" spans="1:200" ht="22.5" x14ac:dyDescent="0.25">
      <c r="A13" s="50"/>
      <c r="B13" s="78" t="s">
        <v>7181</v>
      </c>
      <c r="C13" s="1025" t="s">
        <v>0</v>
      </c>
      <c r="D13" s="1025" t="s">
        <v>7187</v>
      </c>
      <c r="E13" s="1122" t="str">
        <f>E11</f>
        <v>ESTR. DE LINHA TAQUARAL</v>
      </c>
      <c r="F13" s="1125">
        <v>1263</v>
      </c>
      <c r="G13" s="1125" t="s">
        <v>7196</v>
      </c>
      <c r="H13" s="1123" t="str">
        <f>H12</f>
        <v>Projetado</v>
      </c>
      <c r="I13" s="1113" t="s">
        <v>7188</v>
      </c>
      <c r="J13" s="1026">
        <v>11</v>
      </c>
      <c r="K13" s="1127">
        <v>6.3</v>
      </c>
      <c r="L13" s="1127">
        <f t="shared" si="28"/>
        <v>4.7</v>
      </c>
      <c r="M13" s="1114">
        <v>0.4</v>
      </c>
      <c r="N13" s="1368">
        <v>5</v>
      </c>
      <c r="O13" s="1114">
        <v>54330</v>
      </c>
      <c r="P13" s="1114">
        <f t="shared" si="29"/>
        <v>5.43</v>
      </c>
      <c r="Q13" s="1114">
        <f t="shared" si="30"/>
        <v>0.05</v>
      </c>
      <c r="R13" s="1114">
        <v>391</v>
      </c>
      <c r="S13" s="1110">
        <f t="shared" si="31"/>
        <v>0.39</v>
      </c>
      <c r="T13" s="1110">
        <f t="shared" si="32"/>
        <v>728.72</v>
      </c>
      <c r="U13" s="1110">
        <f t="shared" si="33"/>
        <v>681.72</v>
      </c>
      <c r="V13" s="1114">
        <f>732-685</f>
        <v>47</v>
      </c>
      <c r="W13" s="1110">
        <f t="shared" si="34"/>
        <v>4.3600000000000003</v>
      </c>
      <c r="X13" s="1110">
        <f t="shared" si="35"/>
        <v>25</v>
      </c>
      <c r="Y13" s="1110">
        <f t="shared" si="4"/>
        <v>199.32</v>
      </c>
      <c r="Z13" s="1110">
        <f t="shared" si="36"/>
        <v>1.1100000000000001</v>
      </c>
      <c r="AA13" s="1110">
        <f t="shared" si="37"/>
        <v>1110</v>
      </c>
      <c r="AB13" s="1115">
        <f t="shared" si="38"/>
        <v>0.51</v>
      </c>
      <c r="AC13" s="1114" t="s">
        <v>5134</v>
      </c>
      <c r="AD13" s="1114">
        <v>1</v>
      </c>
      <c r="AE13" s="1116"/>
      <c r="AF13" s="1116"/>
      <c r="AG13" s="1116">
        <v>0.8</v>
      </c>
      <c r="AH13" s="1109">
        <f t="shared" si="39"/>
        <v>3.7999999999999999E-2</v>
      </c>
      <c r="AI13" s="1110">
        <f t="shared" si="40"/>
        <v>5.71</v>
      </c>
      <c r="AJ13" s="1110">
        <f t="shared" si="41"/>
        <v>0.38</v>
      </c>
      <c r="AK13" s="1111">
        <f t="shared" si="42"/>
        <v>2.17</v>
      </c>
      <c r="AL13" s="1111">
        <f t="shared" si="43"/>
        <v>2170</v>
      </c>
      <c r="AM13" s="1027">
        <v>681.72</v>
      </c>
      <c r="AN13" s="1027"/>
      <c r="AO13" s="1027">
        <v>681.05</v>
      </c>
      <c r="AP13" s="1027">
        <v>680.22</v>
      </c>
      <c r="AQ13" s="1027"/>
      <c r="AR13" s="1027">
        <v>679.8</v>
      </c>
      <c r="AS13" s="1027">
        <f t="shared" si="44"/>
        <v>1.5</v>
      </c>
      <c r="AT13" s="1027">
        <f t="shared" si="45"/>
        <v>1.25</v>
      </c>
      <c r="AU13" s="1112" t="str">
        <f t="shared" si="46"/>
        <v>BSTC d=0,8m</v>
      </c>
      <c r="AV13" s="1028"/>
      <c r="AW13" s="926"/>
      <c r="AX13" s="1367" t="str">
        <f t="shared" si="47"/>
        <v>S</v>
      </c>
      <c r="AY13" s="1367" t="str">
        <f t="shared" si="48"/>
        <v>T</v>
      </c>
      <c r="AZ13" s="926" t="str">
        <f t="shared" si="49"/>
        <v>d=0,8</v>
      </c>
      <c r="BA13" s="926"/>
      <c r="BB13" s="927">
        <f t="shared" si="50"/>
        <v>0</v>
      </c>
      <c r="BC13" s="928">
        <f t="shared" si="51"/>
        <v>0</v>
      </c>
      <c r="BD13" s="928">
        <f t="shared" si="52"/>
        <v>0</v>
      </c>
      <c r="BE13" s="928">
        <f t="shared" si="53"/>
        <v>0</v>
      </c>
      <c r="BF13" s="928">
        <v>0</v>
      </c>
      <c r="BG13" s="928">
        <v>0</v>
      </c>
      <c r="BH13" s="928">
        <f t="shared" si="54"/>
        <v>0</v>
      </c>
      <c r="BI13" s="928">
        <f t="shared" si="55"/>
        <v>0</v>
      </c>
      <c r="BJ13" s="928">
        <f t="shared" si="56"/>
        <v>0</v>
      </c>
      <c r="BK13" s="928">
        <f t="shared" si="57"/>
        <v>0</v>
      </c>
      <c r="BL13" s="928">
        <f t="shared" si="58"/>
        <v>0</v>
      </c>
      <c r="BM13" s="928">
        <f t="shared" si="59"/>
        <v>0</v>
      </c>
      <c r="BN13" s="928">
        <f t="shared" si="60"/>
        <v>0</v>
      </c>
      <c r="BO13" s="928">
        <f t="shared" si="61"/>
        <v>0</v>
      </c>
      <c r="BP13" s="928">
        <f t="shared" si="62"/>
        <v>0</v>
      </c>
      <c r="BQ13" s="928" t="e">
        <f t="shared" si="63"/>
        <v>#DIV/0!</v>
      </c>
      <c r="BR13" s="929">
        <f t="shared" si="64"/>
        <v>1.2999999999999999E-2</v>
      </c>
      <c r="BS13" s="928" t="e">
        <f t="shared" si="65"/>
        <v>#DIV/0!</v>
      </c>
      <c r="BT13" s="930">
        <f t="shared" si="66"/>
        <v>3.7999999999999999E-2</v>
      </c>
      <c r="BU13" s="931" t="e">
        <f t="shared" si="67"/>
        <v>#DIV/0!</v>
      </c>
      <c r="BV13" s="932">
        <f t="shared" si="68"/>
        <v>0.8</v>
      </c>
      <c r="BW13" s="859">
        <f t="shared" si="69"/>
        <v>0.56000000000000005</v>
      </c>
      <c r="BX13" s="859">
        <v>0.7</v>
      </c>
      <c r="BY13" s="859">
        <f t="shared" si="70"/>
        <v>3.96</v>
      </c>
      <c r="BZ13" s="859">
        <f t="shared" si="71"/>
        <v>226.89</v>
      </c>
      <c r="CA13" s="859">
        <f t="shared" si="72"/>
        <v>0.38</v>
      </c>
      <c r="CB13" s="859">
        <f t="shared" si="73"/>
        <v>1.58</v>
      </c>
      <c r="CC13" s="859">
        <f t="shared" si="74"/>
        <v>0.24</v>
      </c>
      <c r="CD13" s="929">
        <f t="shared" si="75"/>
        <v>1.2999999999999999E-2</v>
      </c>
      <c r="CE13" s="859">
        <f t="shared" si="76"/>
        <v>76.92</v>
      </c>
      <c r="CF13" s="859">
        <f t="shared" si="77"/>
        <v>0.39</v>
      </c>
      <c r="CG13" s="934">
        <f t="shared" si="78"/>
        <v>3.7999999999999999E-2</v>
      </c>
      <c r="CH13" s="859">
        <f t="shared" si="79"/>
        <v>0.19</v>
      </c>
      <c r="CI13" s="859">
        <f t="shared" si="80"/>
        <v>2.17</v>
      </c>
      <c r="CJ13" s="935">
        <f t="shared" si="81"/>
        <v>5.71</v>
      </c>
      <c r="CK13" s="57"/>
      <c r="CL13" s="87">
        <v>1</v>
      </c>
      <c r="CM13" s="87"/>
      <c r="CN13" s="78" t="str">
        <f t="shared" si="82"/>
        <v>CCT03</v>
      </c>
      <c r="CO13" s="1025" t="str">
        <f t="shared" si="83"/>
        <v>-</v>
      </c>
      <c r="CP13" s="1025" t="str">
        <f t="shared" si="84"/>
        <v>BC05</v>
      </c>
      <c r="CQ13" s="79" t="str">
        <f t="shared" si="85"/>
        <v>ESTR. DE LINHA TAQUARAL</v>
      </c>
      <c r="CR13" s="79" t="str">
        <f t="shared" si="86"/>
        <v>Projetado</v>
      </c>
      <c r="CS13" s="1026" t="str">
        <f t="shared" si="87"/>
        <v>OAC05</v>
      </c>
      <c r="CT13" s="1033">
        <f t="shared" si="88"/>
        <v>0</v>
      </c>
      <c r="CU13" s="1033">
        <f t="shared" si="88"/>
        <v>0</v>
      </c>
      <c r="CV13" s="1033">
        <f t="shared" si="88"/>
        <v>0</v>
      </c>
      <c r="CW13" s="1033">
        <f t="shared" si="88"/>
        <v>0</v>
      </c>
      <c r="CX13" s="1033">
        <f t="shared" si="89"/>
        <v>0</v>
      </c>
      <c r="CY13" s="1033">
        <f t="shared" si="89"/>
        <v>0</v>
      </c>
      <c r="CZ13" s="1033">
        <f t="shared" si="89"/>
        <v>0</v>
      </c>
      <c r="DA13" s="1033">
        <f t="shared" si="90"/>
        <v>0</v>
      </c>
      <c r="DB13" s="1033">
        <f t="shared" si="90"/>
        <v>0</v>
      </c>
      <c r="DC13" s="1033">
        <f t="shared" si="90"/>
        <v>0</v>
      </c>
      <c r="DD13" s="1033">
        <f t="shared" si="91"/>
        <v>0</v>
      </c>
      <c r="DE13" s="1033">
        <f t="shared" si="91"/>
        <v>0</v>
      </c>
      <c r="DF13" s="1033">
        <f t="shared" si="91"/>
        <v>0</v>
      </c>
      <c r="DG13" s="1033">
        <f t="shared" si="92"/>
        <v>0</v>
      </c>
      <c r="DH13" s="1033">
        <f t="shared" si="92"/>
        <v>0</v>
      </c>
      <c r="DI13" s="1033">
        <f t="shared" si="92"/>
        <v>0</v>
      </c>
      <c r="DJ13" s="1033">
        <f t="shared" si="93"/>
        <v>0</v>
      </c>
      <c r="DK13" s="1033">
        <f t="shared" si="93"/>
        <v>0</v>
      </c>
      <c r="DL13" s="1033">
        <f t="shared" si="93"/>
        <v>0</v>
      </c>
      <c r="DM13" s="1415"/>
      <c r="DN13" s="1415"/>
      <c r="DO13" s="1415"/>
      <c r="DP13" s="1415"/>
      <c r="DQ13" s="1415"/>
      <c r="DR13" s="1415"/>
      <c r="DS13" s="1034">
        <f t="shared" si="94"/>
        <v>1.5</v>
      </c>
      <c r="DT13" s="709">
        <f t="shared" si="95"/>
        <v>1.25</v>
      </c>
      <c r="DU13" s="80">
        <f t="shared" si="7"/>
        <v>0</v>
      </c>
      <c r="DV13" s="709">
        <f t="shared" si="96"/>
        <v>0</v>
      </c>
      <c r="DW13" s="709">
        <f t="shared" si="97"/>
        <v>0</v>
      </c>
      <c r="DX13" s="710">
        <f t="shared" si="124"/>
        <v>0.2</v>
      </c>
      <c r="DY13" s="1035">
        <f t="shared" si="98"/>
        <v>0</v>
      </c>
      <c r="DZ13" s="1036">
        <f t="shared" si="99"/>
        <v>0</v>
      </c>
      <c r="EA13" s="80">
        <f t="shared" si="8"/>
        <v>0</v>
      </c>
      <c r="EB13" s="80">
        <f t="shared" si="100"/>
        <v>0</v>
      </c>
      <c r="EC13" s="80">
        <f t="shared" si="101"/>
        <v>0</v>
      </c>
      <c r="ED13" s="1035" t="s">
        <v>113</v>
      </c>
      <c r="EE13" s="1035">
        <f t="shared" si="102"/>
        <v>0</v>
      </c>
      <c r="EF13" s="1037">
        <f t="shared" si="103"/>
        <v>0</v>
      </c>
      <c r="EG13" s="52"/>
      <c r="EH13" s="943">
        <f t="shared" si="104"/>
        <v>0</v>
      </c>
      <c r="EI13" s="51"/>
      <c r="EJ13" s="1046" t="str">
        <f t="shared" si="105"/>
        <v>CCT03</v>
      </c>
      <c r="EK13" s="1047" t="str">
        <f t="shared" si="185"/>
        <v>Projetado</v>
      </c>
      <c r="EL13" s="1048">
        <v>24</v>
      </c>
      <c r="EM13" s="1049" t="str">
        <f t="shared" si="9"/>
        <v>CAIXA BSTC d=0,8m</v>
      </c>
      <c r="EN13" s="1050">
        <f t="shared" si="106"/>
        <v>0</v>
      </c>
      <c r="EO13" s="80">
        <f t="shared" si="10"/>
        <v>0</v>
      </c>
      <c r="EP13" s="1051">
        <f>IF(EK13="Novo",HLOOKUP(EL13,$FH$23:$GC$30,FF29),0)</f>
        <v>0</v>
      </c>
      <c r="EQ13" s="1052" t="str">
        <f t="shared" si="107"/>
        <v>BC05</v>
      </c>
      <c r="ER13" s="1047" t="str">
        <f t="shared" si="125"/>
        <v>Projetado</v>
      </c>
      <c r="ES13" s="1048">
        <v>1</v>
      </c>
      <c r="ET13" s="1049" t="str">
        <f t="shared" si="11"/>
        <v>Boca BSTC d=0,8m</v>
      </c>
      <c r="EU13" s="1053">
        <f t="shared" si="108"/>
        <v>0</v>
      </c>
      <c r="EV13" s="1054">
        <f t="shared" si="12"/>
        <v>0</v>
      </c>
      <c r="EW13" s="1054">
        <f>IF(ER13="Novo",HLOOKUP(ES13,$FH$23:$GC$30,FF29),0)</f>
        <v>0</v>
      </c>
      <c r="EX13" s="709">
        <f t="shared" si="109"/>
        <v>0</v>
      </c>
      <c r="EY13" s="709">
        <f t="shared" si="110"/>
        <v>0</v>
      </c>
      <c r="EZ13" s="710">
        <f t="shared" si="111"/>
        <v>0.2</v>
      </c>
      <c r="FA13" s="1035">
        <f t="shared" si="112"/>
        <v>0</v>
      </c>
      <c r="FB13" s="1036">
        <f t="shared" si="113"/>
        <v>0</v>
      </c>
      <c r="FC13" s="80">
        <f t="shared" si="13"/>
        <v>0</v>
      </c>
      <c r="FD13" s="80">
        <f t="shared" si="114"/>
        <v>0</v>
      </c>
      <c r="FE13" s="1035" t="str">
        <f t="shared" si="115"/>
        <v>S</v>
      </c>
      <c r="FF13" s="1035">
        <f t="shared" si="116"/>
        <v>0</v>
      </c>
      <c r="FG13" s="1036">
        <f t="shared" si="117"/>
        <v>0</v>
      </c>
      <c r="FH13" s="862">
        <f t="shared" si="14"/>
        <v>0</v>
      </c>
      <c r="FI13" s="863">
        <f t="shared" si="14"/>
        <v>0</v>
      </c>
      <c r="FJ13" s="863">
        <f t="shared" si="14"/>
        <v>0</v>
      </c>
      <c r="FK13" s="1055">
        <f t="shared" si="14"/>
        <v>0</v>
      </c>
      <c r="FL13" s="1056">
        <f t="shared" si="14"/>
        <v>0</v>
      </c>
      <c r="FM13" s="863">
        <f t="shared" si="14"/>
        <v>0</v>
      </c>
      <c r="FN13" s="1057">
        <f t="shared" si="14"/>
        <v>0</v>
      </c>
      <c r="FO13" s="1058">
        <f t="shared" si="14"/>
        <v>0</v>
      </c>
      <c r="FP13" s="863">
        <f t="shared" si="14"/>
        <v>0</v>
      </c>
      <c r="FQ13" s="1055">
        <f t="shared" si="14"/>
        <v>0</v>
      </c>
      <c r="FR13" s="1056">
        <f t="shared" si="15"/>
        <v>0</v>
      </c>
      <c r="FS13" s="1056">
        <f t="shared" si="15"/>
        <v>0</v>
      </c>
      <c r="FT13" s="1057">
        <f t="shared" si="15"/>
        <v>0</v>
      </c>
      <c r="FU13" s="1058">
        <f t="shared" si="15"/>
        <v>0</v>
      </c>
      <c r="FV13" s="863">
        <f t="shared" si="15"/>
        <v>0</v>
      </c>
      <c r="FW13" s="1055">
        <f t="shared" si="15"/>
        <v>0</v>
      </c>
      <c r="FX13" s="1056">
        <f t="shared" si="15"/>
        <v>0</v>
      </c>
      <c r="FY13" s="863">
        <f t="shared" si="15"/>
        <v>0</v>
      </c>
      <c r="FZ13" s="1055">
        <f t="shared" si="15"/>
        <v>0</v>
      </c>
      <c r="GA13" s="1056">
        <f t="shared" si="16"/>
        <v>0</v>
      </c>
      <c r="GB13" s="863">
        <f t="shared" si="17"/>
        <v>0</v>
      </c>
      <c r="GC13" s="863">
        <f t="shared" si="18"/>
        <v>0</v>
      </c>
      <c r="GD13" s="1057">
        <f t="shared" si="19"/>
        <v>0</v>
      </c>
      <c r="GE13" s="1056">
        <f t="shared" si="20"/>
        <v>0</v>
      </c>
      <c r="GF13" s="863">
        <f t="shared" si="21"/>
        <v>0</v>
      </c>
      <c r="GG13" s="863">
        <f t="shared" si="22"/>
        <v>0</v>
      </c>
      <c r="GH13" s="1057">
        <f t="shared" si="23"/>
        <v>0</v>
      </c>
      <c r="GI13" s="1057">
        <f t="shared" si="24"/>
        <v>0</v>
      </c>
      <c r="GJ13" s="1057">
        <f t="shared" si="25"/>
        <v>0</v>
      </c>
      <c r="GK13" s="1407">
        <f t="shared" si="118"/>
        <v>0</v>
      </c>
      <c r="GL13" s="1059">
        <f t="shared" si="119"/>
        <v>0</v>
      </c>
      <c r="GM13" s="1059">
        <f t="shared" si="120"/>
        <v>0</v>
      </c>
      <c r="GN13" s="1059">
        <f t="shared" si="121"/>
        <v>0</v>
      </c>
      <c r="GO13" s="1059">
        <f t="shared" si="122"/>
        <v>0</v>
      </c>
      <c r="GP13" s="1408">
        <f t="shared" si="123"/>
        <v>0</v>
      </c>
      <c r="GQ13" s="121" t="str">
        <f t="shared" si="26"/>
        <v>OAC05</v>
      </c>
      <c r="GR13" s="121" t="str">
        <f t="shared" si="27"/>
        <v>BSTC d=0,8m</v>
      </c>
    </row>
    <row r="14" spans="1:200" ht="22.5" x14ac:dyDescent="0.25">
      <c r="A14" s="50"/>
      <c r="B14" s="78" t="s">
        <v>7184</v>
      </c>
      <c r="C14" s="1025" t="s">
        <v>0</v>
      </c>
      <c r="D14" s="1025" t="s">
        <v>7189</v>
      </c>
      <c r="E14" s="1122" t="str">
        <f>E9</f>
        <v>ESTR. DE LINHA TAQUARAL</v>
      </c>
      <c r="F14" s="1125">
        <v>1655</v>
      </c>
      <c r="G14" s="1125" t="s">
        <v>7193</v>
      </c>
      <c r="H14" s="1123" t="str">
        <f>H13</f>
        <v>Projetado</v>
      </c>
      <c r="I14" s="1113" t="s">
        <v>7190</v>
      </c>
      <c r="J14" s="1026">
        <v>11</v>
      </c>
      <c r="K14" s="1127">
        <v>5</v>
      </c>
      <c r="L14" s="1127">
        <f t="shared" ref="L14:L15" si="198">J14-K14</f>
        <v>6</v>
      </c>
      <c r="M14" s="1114">
        <f>M9</f>
        <v>0.4</v>
      </c>
      <c r="N14" s="1368">
        <v>6</v>
      </c>
      <c r="O14" s="1114">
        <v>2618</v>
      </c>
      <c r="P14" s="1114">
        <f t="shared" ref="P14:P15" si="199">O14/10000</f>
        <v>0.26</v>
      </c>
      <c r="Q14" s="1114">
        <f t="shared" ref="Q14:Q15" si="200">O14/(1000*1000)</f>
        <v>0</v>
      </c>
      <c r="R14" s="1114">
        <v>96</v>
      </c>
      <c r="S14" s="1110">
        <f t="shared" ref="S14:S15" si="201">R14/1000</f>
        <v>0.1</v>
      </c>
      <c r="T14" s="1110">
        <f t="shared" ref="T14:T15" si="202">U14+V14</f>
        <v>747</v>
      </c>
      <c r="U14" s="1110">
        <f>AM14</f>
        <v>735</v>
      </c>
      <c r="V14" s="1114">
        <f>732-720</f>
        <v>12</v>
      </c>
      <c r="W14" s="1110">
        <f t="shared" ref="W14:W15" si="203">57*((S14^3)/V14)^0.385</f>
        <v>1.53</v>
      </c>
      <c r="X14" s="1110">
        <f>$I$18</f>
        <v>25</v>
      </c>
      <c r="Y14" s="1110">
        <f t="shared" si="4"/>
        <v>223.84</v>
      </c>
      <c r="Z14" s="1110">
        <f t="shared" ref="Z14:Z15" si="204">0.278*Q14*Y14*M14</f>
        <v>0</v>
      </c>
      <c r="AA14" s="1110">
        <f t="shared" ref="AA14:AA15" si="205">Z14*1000</f>
        <v>0</v>
      </c>
      <c r="AB14" s="1115">
        <f t="shared" ref="AB14:AB15" si="206">Z14/(AD14*AK14)</f>
        <v>0</v>
      </c>
      <c r="AC14" s="1114" t="s">
        <v>5134</v>
      </c>
      <c r="AD14" s="1114">
        <v>1</v>
      </c>
      <c r="AE14" s="1116"/>
      <c r="AF14" s="1116"/>
      <c r="AG14" s="1116">
        <v>0.6</v>
      </c>
      <c r="AH14" s="1109">
        <f t="shared" ref="AH14:AH15" si="207">(AP14-AR14)/(J14)</f>
        <v>4.4999999999999998E-2</v>
      </c>
      <c r="AI14" s="1110">
        <f t="shared" ref="AI14:AI15" si="208">IF(AG14="",BU14,CJ14)</f>
        <v>5.19</v>
      </c>
      <c r="AJ14" s="1110">
        <f t="shared" ref="AJ14:AJ15" si="209">IF(AG14="",BO14,CA14)</f>
        <v>0.21</v>
      </c>
      <c r="AK14" s="1111">
        <f t="shared" ref="AK14:AK15" si="210">AJ14*AI14</f>
        <v>1.0900000000000001</v>
      </c>
      <c r="AL14" s="1111">
        <f t="shared" ref="AL14:AL15" si="211">AK14*1000</f>
        <v>1090</v>
      </c>
      <c r="AM14" s="1027">
        <v>735</v>
      </c>
      <c r="AN14" s="1027"/>
      <c r="AO14" s="1027">
        <v>735</v>
      </c>
      <c r="AP14" s="1027">
        <v>734</v>
      </c>
      <c r="AQ14" s="1027"/>
      <c r="AR14" s="1027">
        <v>733.5</v>
      </c>
      <c r="AS14" s="1027">
        <f t="shared" ref="AS14:AS15" si="212">AM14-AP14</f>
        <v>1</v>
      </c>
      <c r="AT14" s="1027">
        <f t="shared" ref="AT14:AT15" si="213">AO14-AR14</f>
        <v>1.5</v>
      </c>
      <c r="AU14" s="1112" t="str">
        <f t="shared" ref="AU14:AU15" si="214">CONCATENATE("B",AX14,AY14,"C ",AZ14,"m")</f>
        <v>BSTC d=0,6m</v>
      </c>
      <c r="AV14" s="854"/>
      <c r="AW14" s="926"/>
      <c r="AX14" s="1329" t="str">
        <f t="shared" ref="AX14" si="215">IF(AD14=1,"S",IF(AD14=2,"D","T"))</f>
        <v>S</v>
      </c>
      <c r="AY14" s="1329" t="str">
        <f t="shared" ref="AY14" si="216">IF(AG14="","C","T")</f>
        <v>T</v>
      </c>
      <c r="AZ14" s="926" t="str">
        <f t="shared" ref="AZ14" si="217">IF(AG14="",CONCATENATE(AE14,"x",AF14),CONCATENATE("d=",AG14))</f>
        <v>d=0,6</v>
      </c>
      <c r="BA14" s="926"/>
      <c r="BB14" s="927">
        <f t="shared" ref="BB14" si="218">AE14</f>
        <v>0</v>
      </c>
      <c r="BC14" s="928">
        <f t="shared" ref="BC14" si="219">AF14</f>
        <v>0</v>
      </c>
      <c r="BD14" s="928">
        <f t="shared" ref="BD14" si="220">BI14</f>
        <v>0</v>
      </c>
      <c r="BE14" s="928">
        <f t="shared" ref="BE14" si="221">BB14</f>
        <v>0</v>
      </c>
      <c r="BF14" s="928">
        <v>0</v>
      </c>
      <c r="BG14" s="928">
        <v>0</v>
      </c>
      <c r="BH14" s="928">
        <f t="shared" ref="BH14" si="222">BD14*(BE14+(0.5*BD14*(BF14+BG14)))</f>
        <v>0</v>
      </c>
      <c r="BI14" s="928">
        <f t="shared" ref="BI14" si="223">BC14*0.8</f>
        <v>0</v>
      </c>
      <c r="BJ14" s="928">
        <f t="shared" si="5"/>
        <v>0</v>
      </c>
      <c r="BK14" s="928">
        <f t="shared" si="5"/>
        <v>0</v>
      </c>
      <c r="BL14" s="928">
        <f t="shared" si="5"/>
        <v>0</v>
      </c>
      <c r="BM14" s="928">
        <f t="shared" si="5"/>
        <v>0</v>
      </c>
      <c r="BN14" s="928">
        <f t="shared" ref="BN14" si="224">BK14+BJ14*(((1+BL14^2)^0.5)+((1+BM14^2)^0.5))</f>
        <v>0</v>
      </c>
      <c r="BO14" s="928">
        <f t="shared" ref="BO14" si="225">BH14</f>
        <v>0</v>
      </c>
      <c r="BP14" s="928">
        <f t="shared" ref="BP14" si="226">BN14</f>
        <v>0</v>
      </c>
      <c r="BQ14" s="928" t="e">
        <f t="shared" ref="BQ14" si="227">BO14/BP14</f>
        <v>#DIV/0!</v>
      </c>
      <c r="BR14" s="929">
        <f>$I$19</f>
        <v>1.2999999999999999E-2</v>
      </c>
      <c r="BS14" s="928" t="e">
        <f t="shared" ref="BS14" si="228">BQ14</f>
        <v>#DIV/0!</v>
      </c>
      <c r="BT14" s="930">
        <f t="shared" ref="BT14" si="229">AH14</f>
        <v>4.4999999999999998E-2</v>
      </c>
      <c r="BU14" s="931" t="e">
        <f t="shared" ref="BU14" si="230">(1/BR14)*(BS14^(2/3))*BT14^0.5</f>
        <v>#DIV/0!</v>
      </c>
      <c r="BV14" s="932">
        <f t="shared" ref="BV14" si="231">AG14</f>
        <v>0.6</v>
      </c>
      <c r="BW14" s="859">
        <f t="shared" ref="BW14" si="232">(BV14*BX14)</f>
        <v>0.42</v>
      </c>
      <c r="BX14" s="859">
        <v>0.7</v>
      </c>
      <c r="BY14" s="859">
        <f t="shared" ref="BY14" si="233">(2*ACOS(1-(2*BX14)))</f>
        <v>3.96</v>
      </c>
      <c r="BZ14" s="859">
        <f t="shared" ref="BZ14" si="234">DEGREES(BY14)</f>
        <v>226.89</v>
      </c>
      <c r="CA14" s="859">
        <f t="shared" ref="CA14" si="235">((BV14^2)*(BY14-SIN(BY14)))/8</f>
        <v>0.21</v>
      </c>
      <c r="CB14" s="859">
        <f t="shared" ref="CB14" si="236">(BY14*BV14)/2</f>
        <v>1.19</v>
      </c>
      <c r="CC14" s="859">
        <f t="shared" ref="CC14" si="237">(CA14/CB14)</f>
        <v>0.18</v>
      </c>
      <c r="CD14" s="929">
        <f>$I$19</f>
        <v>1.2999999999999999E-2</v>
      </c>
      <c r="CE14" s="859">
        <f t="shared" ref="CE14" si="238">1/CD14</f>
        <v>76.92</v>
      </c>
      <c r="CF14" s="859">
        <f t="shared" ref="CF14" si="239">(CC14^(2/3))</f>
        <v>0.32</v>
      </c>
      <c r="CG14" s="934">
        <f t="shared" ref="CG14" si="240">AH14</f>
        <v>4.4999999999999998E-2</v>
      </c>
      <c r="CH14" s="859">
        <f t="shared" ref="CH14" si="241">SQRT(CG14)</f>
        <v>0.21</v>
      </c>
      <c r="CI14" s="859">
        <f t="shared" ref="CI14" si="242">CA14*CE14*CF14*CH14</f>
        <v>1.0900000000000001</v>
      </c>
      <c r="CJ14" s="935">
        <f t="shared" ref="CJ14" si="243">(CI14/CA14)</f>
        <v>5.19</v>
      </c>
      <c r="CK14" s="57"/>
      <c r="CL14" s="87">
        <v>1</v>
      </c>
      <c r="CM14" s="87"/>
      <c r="CN14" s="78" t="str">
        <f t="shared" ref="CN14:CN15" si="244">B14</f>
        <v>CCT04</v>
      </c>
      <c r="CO14" s="1025" t="str">
        <f t="shared" ref="CO14:CO15" si="245">C14</f>
        <v>-</v>
      </c>
      <c r="CP14" s="1025" t="str">
        <f t="shared" ref="CP14:CP15" si="246">D14</f>
        <v>BC06</v>
      </c>
      <c r="CQ14" s="79" t="str">
        <f t="shared" ref="CQ14:CQ15" si="247">E14</f>
        <v>ESTR. DE LINHA TAQUARAL</v>
      </c>
      <c r="CR14" s="79" t="str">
        <f t="shared" ref="CR14:CR15" si="248">H14</f>
        <v>Projetado</v>
      </c>
      <c r="CS14" s="1026" t="str">
        <f t="shared" ref="CS14:CS15" si="249">I14</f>
        <v>OAC06</v>
      </c>
      <c r="CT14" s="1033">
        <f t="shared" si="88"/>
        <v>0</v>
      </c>
      <c r="CU14" s="1033">
        <f t="shared" si="88"/>
        <v>0</v>
      </c>
      <c r="CV14" s="1033">
        <f t="shared" si="88"/>
        <v>0</v>
      </c>
      <c r="CW14" s="1033">
        <f t="shared" si="88"/>
        <v>0</v>
      </c>
      <c r="CX14" s="1033">
        <f t="shared" ref="CX14:CZ15" si="250">IF($AY14="C",0,IF(AND($AX14="D",$AG14*100=CX$6),$J14,0))</f>
        <v>0</v>
      </c>
      <c r="CY14" s="1033">
        <f t="shared" si="250"/>
        <v>0</v>
      </c>
      <c r="CZ14" s="1033">
        <f t="shared" si="250"/>
        <v>0</v>
      </c>
      <c r="DA14" s="1033">
        <f t="shared" ref="DA14:DC15" si="251">IF($AY14="C",0,IF(AND($AX14="T",$AG14*100=DA$6),$J14,0))</f>
        <v>0</v>
      </c>
      <c r="DB14" s="1033">
        <f t="shared" si="251"/>
        <v>0</v>
      </c>
      <c r="DC14" s="1033">
        <f t="shared" si="251"/>
        <v>0</v>
      </c>
      <c r="DD14" s="1033">
        <f t="shared" ref="DD14:DF15" si="252">IF($AY14="T",0,IF(AND($AX14="S",$AZ14=DD$6),$J14,0))</f>
        <v>0</v>
      </c>
      <c r="DE14" s="1033">
        <f t="shared" si="252"/>
        <v>0</v>
      </c>
      <c r="DF14" s="1033">
        <f t="shared" si="252"/>
        <v>0</v>
      </c>
      <c r="DG14" s="1033">
        <f t="shared" ref="DG14:DI15" si="253">IF($AY14="T",0,IF(AND($AX14="D",$AZ14=DG$6),$J14,0))</f>
        <v>0</v>
      </c>
      <c r="DH14" s="1033">
        <f t="shared" si="253"/>
        <v>0</v>
      </c>
      <c r="DI14" s="1033">
        <f t="shared" si="253"/>
        <v>0</v>
      </c>
      <c r="DJ14" s="1033">
        <f t="shared" ref="DJ14:DL15" si="254">IF($AY14="T",0,IF(AND($AX14="T",$AZ14=DJ$6),$J14,0))</f>
        <v>0</v>
      </c>
      <c r="DK14" s="1033">
        <f t="shared" si="254"/>
        <v>0</v>
      </c>
      <c r="DL14" s="1033">
        <f t="shared" si="254"/>
        <v>0</v>
      </c>
      <c r="DM14" s="1415"/>
      <c r="DN14" s="1415"/>
      <c r="DO14" s="1415"/>
      <c r="DP14" s="1415"/>
      <c r="DQ14" s="1415"/>
      <c r="DR14" s="1415"/>
      <c r="DS14" s="1034">
        <f t="shared" ref="DS14:DS15" si="255">AS14</f>
        <v>1</v>
      </c>
      <c r="DT14" s="709">
        <f t="shared" ref="DT14:DT15" si="256">AT14</f>
        <v>1.5</v>
      </c>
      <c r="DU14" s="80">
        <f t="shared" si="7"/>
        <v>0</v>
      </c>
      <c r="DV14" s="709">
        <f t="shared" ref="DV14:DV15" si="257">IF(CR14="Novo",SUM(CT14:DL14)*DU14*AVERAGE(DS14:DT14),0)-DW14</f>
        <v>0</v>
      </c>
      <c r="DW14" s="709">
        <f t="shared" ref="DW14:DW15" si="258">IF(AND(CR14="Novo",AVERAGE(DS14:DT14)&gt;1.5),SUM(CT14:DL14)*DU14*(AVERAGE(DS14:DT14)-1.5),0)</f>
        <v>0</v>
      </c>
      <c r="DX14" s="710">
        <f t="shared" si="124"/>
        <v>0.2</v>
      </c>
      <c r="DY14" s="1035">
        <f t="shared" ref="DY14:DY15" si="259">SUM(DV14:DW14)*DX14</f>
        <v>0</v>
      </c>
      <c r="DZ14" s="1036">
        <f t="shared" ref="DZ14:DZ15" si="260">SUM(DV14:DW14)-DY14</f>
        <v>0</v>
      </c>
      <c r="EA14" s="80">
        <f t="shared" si="8"/>
        <v>0</v>
      </c>
      <c r="EB14" s="80">
        <f t="shared" ref="EB14:EB15" si="261">EA14*SUM(CT14:DL14)</f>
        <v>0</v>
      </c>
      <c r="EC14" s="80">
        <f t="shared" ref="EC14:EC15" si="262">DZ14+DY14-EB14</f>
        <v>0</v>
      </c>
      <c r="ED14" s="1035" t="s">
        <v>113</v>
      </c>
      <c r="EE14" s="1035">
        <f t="shared" ref="EE14:EE15" si="263">IF(ED14="S",EC14,IF(ED14="P",EC14*0.5,0))</f>
        <v>0</v>
      </c>
      <c r="EF14" s="1037">
        <f t="shared" ref="EF14:EF15" si="264">EC14-EE14</f>
        <v>0</v>
      </c>
      <c r="EG14" s="52"/>
      <c r="EH14" s="943">
        <f t="shared" ref="EH14:EH15" si="265">IF(H14=$EH$7,J14,0)</f>
        <v>0</v>
      </c>
      <c r="EI14" s="51"/>
      <c r="EJ14" s="1046" t="str">
        <f t="shared" ref="EJ14" si="266">CN14</f>
        <v>CCT04</v>
      </c>
      <c r="EK14" s="1047" t="str">
        <f t="shared" si="185"/>
        <v>Projetado</v>
      </c>
      <c r="EL14" s="1048">
        <v>24</v>
      </c>
      <c r="EM14" s="1049" t="str">
        <f t="shared" si="9"/>
        <v>CAIXA BSTC d=0,6m</v>
      </c>
      <c r="EN14" s="1050">
        <f t="shared" ref="EN14" si="267">IF(EK14="Novo",AS14,0)</f>
        <v>0</v>
      </c>
      <c r="EO14" s="80">
        <f t="shared" si="10"/>
        <v>0</v>
      </c>
      <c r="EP14" s="1051">
        <f t="shared" ref="EP14" si="268">EO14</f>
        <v>0</v>
      </c>
      <c r="EQ14" s="1052" t="str">
        <f t="shared" ref="EQ14" si="269">CP14</f>
        <v>BC06</v>
      </c>
      <c r="ER14" s="1047" t="str">
        <f t="shared" si="125"/>
        <v>Projetado</v>
      </c>
      <c r="ES14" s="1048">
        <v>1</v>
      </c>
      <c r="ET14" s="1049" t="str">
        <f t="shared" si="11"/>
        <v>Boca BSTC d=0,6m</v>
      </c>
      <c r="EU14" s="1053">
        <f t="shared" ref="EU14" si="270">IF(ER14="Novo",AT14,0)</f>
        <v>0</v>
      </c>
      <c r="EV14" s="1054">
        <f t="shared" si="12"/>
        <v>0</v>
      </c>
      <c r="EW14" s="1054">
        <f t="shared" ref="EW14" si="271">EV14</f>
        <v>0</v>
      </c>
      <c r="EX14" s="709">
        <f t="shared" ref="EX14" si="272">IF(EK14="Novo",EP14*EO14*EN14-EY14,0)*0.5+IF(EK14="Novo",EW14*EV14*EU14-EY14,0)*0.5</f>
        <v>0</v>
      </c>
      <c r="EY14" s="709">
        <f t="shared" ref="EY14" si="273">IF(EN14&gt;1.5,EP14*EO14*(EN14-1.5),0)*0.5+IF(EU14&gt;1.5,EW14*EV14*(EU14-1.5),0)*0.5</f>
        <v>0</v>
      </c>
      <c r="EZ14" s="710">
        <f t="shared" ref="EZ14:EZ15" si="274">DX14</f>
        <v>0.2</v>
      </c>
      <c r="FA14" s="1035">
        <f t="shared" ref="FA14" si="275">SUM(EX14:EY14)*EZ14</f>
        <v>0</v>
      </c>
      <c r="FB14" s="1036">
        <f t="shared" ref="FB14" si="276">SUM(EX14:EY14)-FA14</f>
        <v>0</v>
      </c>
      <c r="FC14" s="80">
        <f t="shared" si="13"/>
        <v>0</v>
      </c>
      <c r="FD14" s="80">
        <f t="shared" ref="FD14" si="277">EX14-FC14</f>
        <v>0</v>
      </c>
      <c r="FE14" s="1035" t="str">
        <f t="shared" ref="FE14" si="278">ED14</f>
        <v>S</v>
      </c>
      <c r="FF14" s="1035">
        <f t="shared" ref="FF14" si="279">IF(FE14="S",FD14,IF(FE14="P",FD14*0.5,0))</f>
        <v>0</v>
      </c>
      <c r="FG14" s="1036">
        <f t="shared" ref="FG14" si="280">FD14-FF14</f>
        <v>0</v>
      </c>
      <c r="FH14" s="862">
        <f t="shared" si="14"/>
        <v>0</v>
      </c>
      <c r="FI14" s="863">
        <f t="shared" si="14"/>
        <v>0</v>
      </c>
      <c r="FJ14" s="863">
        <f t="shared" si="14"/>
        <v>0</v>
      </c>
      <c r="FK14" s="1055">
        <f t="shared" si="14"/>
        <v>0</v>
      </c>
      <c r="FL14" s="1056">
        <f t="shared" si="14"/>
        <v>0</v>
      </c>
      <c r="FM14" s="863">
        <f t="shared" si="14"/>
        <v>0</v>
      </c>
      <c r="FN14" s="1057">
        <f t="shared" si="14"/>
        <v>0</v>
      </c>
      <c r="FO14" s="1058">
        <f t="shared" si="14"/>
        <v>0</v>
      </c>
      <c r="FP14" s="863">
        <f t="shared" si="14"/>
        <v>0</v>
      </c>
      <c r="FQ14" s="1055">
        <f t="shared" si="14"/>
        <v>0</v>
      </c>
      <c r="FR14" s="1056">
        <f t="shared" si="15"/>
        <v>0</v>
      </c>
      <c r="FS14" s="1056">
        <f t="shared" si="15"/>
        <v>0</v>
      </c>
      <c r="FT14" s="1057">
        <f t="shared" si="15"/>
        <v>0</v>
      </c>
      <c r="FU14" s="1058">
        <f t="shared" si="15"/>
        <v>0</v>
      </c>
      <c r="FV14" s="863">
        <f t="shared" si="15"/>
        <v>0</v>
      </c>
      <c r="FW14" s="1055">
        <f t="shared" si="15"/>
        <v>0</v>
      </c>
      <c r="FX14" s="1056">
        <f t="shared" si="15"/>
        <v>0</v>
      </c>
      <c r="FY14" s="863">
        <f t="shared" si="15"/>
        <v>0</v>
      </c>
      <c r="FZ14" s="1055">
        <f t="shared" si="15"/>
        <v>0</v>
      </c>
      <c r="GA14" s="1056">
        <f t="shared" si="16"/>
        <v>0</v>
      </c>
      <c r="GB14" s="863">
        <f t="shared" si="17"/>
        <v>0</v>
      </c>
      <c r="GC14" s="863">
        <f t="shared" si="18"/>
        <v>0</v>
      </c>
      <c r="GD14" s="1057">
        <f t="shared" si="19"/>
        <v>0</v>
      </c>
      <c r="GE14" s="1056">
        <f t="shared" si="20"/>
        <v>0</v>
      </c>
      <c r="GF14" s="863">
        <f t="shared" si="21"/>
        <v>0</v>
      </c>
      <c r="GG14" s="863">
        <f t="shared" si="22"/>
        <v>0</v>
      </c>
      <c r="GH14" s="1057">
        <f t="shared" si="23"/>
        <v>0</v>
      </c>
      <c r="GI14" s="1057">
        <f t="shared" si="24"/>
        <v>0</v>
      </c>
      <c r="GJ14" s="1057">
        <f t="shared" si="25"/>
        <v>0</v>
      </c>
      <c r="GK14" s="1407">
        <f t="shared" si="118"/>
        <v>0</v>
      </c>
      <c r="GL14" s="1059">
        <f t="shared" si="119"/>
        <v>0</v>
      </c>
      <c r="GM14" s="1059">
        <f t="shared" si="120"/>
        <v>0</v>
      </c>
      <c r="GN14" s="1059">
        <f t="shared" si="121"/>
        <v>0</v>
      </c>
      <c r="GO14" s="1059">
        <f t="shared" si="122"/>
        <v>0</v>
      </c>
      <c r="GP14" s="1408">
        <f t="shared" si="123"/>
        <v>0</v>
      </c>
      <c r="GQ14" s="121" t="str">
        <f t="shared" si="26"/>
        <v>OAC06</v>
      </c>
      <c r="GR14" s="121" t="str">
        <f t="shared" si="27"/>
        <v>BSTC d=0,6m</v>
      </c>
    </row>
    <row r="15" spans="1:200" ht="22.5" x14ac:dyDescent="0.25">
      <c r="A15" s="50"/>
      <c r="B15" s="78" t="s">
        <v>7195</v>
      </c>
      <c r="C15" s="1025" t="s">
        <v>0</v>
      </c>
      <c r="D15" s="1025" t="s">
        <v>7191</v>
      </c>
      <c r="E15" s="1122" t="str">
        <f t="shared" ref="E15" si="281">E14</f>
        <v>ESTR. DE LINHA TAQUARAL</v>
      </c>
      <c r="F15" s="1125">
        <v>2184</v>
      </c>
      <c r="G15" s="1125" t="s">
        <v>7194</v>
      </c>
      <c r="H15" s="1123" t="str">
        <f>H14</f>
        <v>Projetado</v>
      </c>
      <c r="I15" s="1113" t="s">
        <v>7192</v>
      </c>
      <c r="J15" s="1026">
        <v>9</v>
      </c>
      <c r="K15" s="1127">
        <v>3.9</v>
      </c>
      <c r="L15" s="1127">
        <f t="shared" si="198"/>
        <v>5.0999999999999996</v>
      </c>
      <c r="M15" s="1114">
        <f t="shared" ref="M15" si="282">M14</f>
        <v>0.4</v>
      </c>
      <c r="N15" s="1368">
        <v>7</v>
      </c>
      <c r="O15" s="1114">
        <v>92021</v>
      </c>
      <c r="P15" s="1114">
        <f t="shared" si="199"/>
        <v>9.1999999999999993</v>
      </c>
      <c r="Q15" s="1114">
        <f t="shared" si="200"/>
        <v>0.09</v>
      </c>
      <c r="R15" s="1114">
        <v>574</v>
      </c>
      <c r="S15" s="1110">
        <f t="shared" si="201"/>
        <v>0.56999999999999995</v>
      </c>
      <c r="T15" s="1110">
        <f t="shared" si="202"/>
        <v>759</v>
      </c>
      <c r="U15" s="1110">
        <f t="shared" ref="U15" si="283">AM15</f>
        <v>698</v>
      </c>
      <c r="V15" s="1114">
        <f>758-697</f>
        <v>61</v>
      </c>
      <c r="W15" s="1110">
        <f t="shared" si="203"/>
        <v>6.12</v>
      </c>
      <c r="X15" s="1110">
        <f>$I$18</f>
        <v>25</v>
      </c>
      <c r="Y15" s="1110">
        <f t="shared" si="4"/>
        <v>186.84</v>
      </c>
      <c r="Z15" s="1110">
        <f t="shared" si="204"/>
        <v>1.87</v>
      </c>
      <c r="AA15" s="1110">
        <f t="shared" si="205"/>
        <v>1870</v>
      </c>
      <c r="AB15" s="1115">
        <f t="shared" si="206"/>
        <v>0.68</v>
      </c>
      <c r="AC15" s="1114" t="s">
        <v>5134</v>
      </c>
      <c r="AD15" s="1114">
        <v>1</v>
      </c>
      <c r="AE15" s="1116"/>
      <c r="AF15" s="1116"/>
      <c r="AG15" s="1116">
        <v>0.8</v>
      </c>
      <c r="AH15" s="1109">
        <f t="shared" si="207"/>
        <v>5.6000000000000001E-2</v>
      </c>
      <c r="AI15" s="1110">
        <f t="shared" si="208"/>
        <v>7.21</v>
      </c>
      <c r="AJ15" s="1110">
        <f t="shared" si="209"/>
        <v>0.38</v>
      </c>
      <c r="AK15" s="1111">
        <f t="shared" si="210"/>
        <v>2.74</v>
      </c>
      <c r="AL15" s="1111">
        <f t="shared" si="211"/>
        <v>2740</v>
      </c>
      <c r="AM15" s="1027">
        <v>698</v>
      </c>
      <c r="AN15" s="1027"/>
      <c r="AO15" s="1027">
        <v>697</v>
      </c>
      <c r="AP15" s="1027">
        <v>696.5</v>
      </c>
      <c r="AQ15" s="1027"/>
      <c r="AR15" s="1027">
        <v>696</v>
      </c>
      <c r="AS15" s="1027">
        <f t="shared" si="212"/>
        <v>1.5</v>
      </c>
      <c r="AT15" s="1027">
        <f t="shared" si="213"/>
        <v>1</v>
      </c>
      <c r="AU15" s="1112" t="str">
        <f t="shared" si="214"/>
        <v>BSTC d=0,8m</v>
      </c>
      <c r="AV15" s="854"/>
      <c r="AW15" s="926"/>
      <c r="AX15" s="1366" t="str">
        <f t="shared" ref="AX15" si="284">IF(AD15=1,"S",IF(AD15=2,"D","T"))</f>
        <v>S</v>
      </c>
      <c r="AY15" s="1366" t="str">
        <f t="shared" ref="AY15" si="285">IF(AG15="","C","T")</f>
        <v>T</v>
      </c>
      <c r="AZ15" s="926" t="str">
        <f t="shared" ref="AZ15" si="286">IF(AG15="",CONCATENATE(AE15,"x",AF15),CONCATENATE("d=",AG15))</f>
        <v>d=0,8</v>
      </c>
      <c r="BA15" s="926"/>
      <c r="BB15" s="927">
        <f t="shared" ref="BB15" si="287">AE15</f>
        <v>0</v>
      </c>
      <c r="BC15" s="928">
        <f t="shared" ref="BC15" si="288">AF15</f>
        <v>0</v>
      </c>
      <c r="BD15" s="928">
        <f t="shared" ref="BD15" si="289">BI15</f>
        <v>0</v>
      </c>
      <c r="BE15" s="928">
        <f t="shared" ref="BE15" si="290">BB15</f>
        <v>0</v>
      </c>
      <c r="BF15" s="928">
        <v>0</v>
      </c>
      <c r="BG15" s="928">
        <v>0</v>
      </c>
      <c r="BH15" s="928">
        <f t="shared" ref="BH15" si="291">BD15*(BE15+(0.5*BD15*(BF15+BG15)))</f>
        <v>0</v>
      </c>
      <c r="BI15" s="928">
        <f t="shared" ref="BI15" si="292">BC15*0.8</f>
        <v>0</v>
      </c>
      <c r="BJ15" s="928">
        <f t="shared" ref="BJ15" si="293">BD15</f>
        <v>0</v>
      </c>
      <c r="BK15" s="928">
        <f t="shared" ref="BK15" si="294">BE15</f>
        <v>0</v>
      </c>
      <c r="BL15" s="928">
        <f t="shared" ref="BL15" si="295">BF15</f>
        <v>0</v>
      </c>
      <c r="BM15" s="928">
        <f t="shared" ref="BM15" si="296">BG15</f>
        <v>0</v>
      </c>
      <c r="BN15" s="928">
        <f t="shared" ref="BN15" si="297">BK15+BJ15*(((1+BL15^2)^0.5)+((1+BM15^2)^0.5))</f>
        <v>0</v>
      </c>
      <c r="BO15" s="928">
        <f t="shared" ref="BO15" si="298">BH15</f>
        <v>0</v>
      </c>
      <c r="BP15" s="928">
        <f t="shared" ref="BP15" si="299">BN15</f>
        <v>0</v>
      </c>
      <c r="BQ15" s="928" t="e">
        <f t="shared" ref="BQ15" si="300">BO15/BP15</f>
        <v>#DIV/0!</v>
      </c>
      <c r="BR15" s="929">
        <f>$I$19</f>
        <v>1.2999999999999999E-2</v>
      </c>
      <c r="BS15" s="928" t="e">
        <f t="shared" ref="BS15" si="301">BQ15</f>
        <v>#DIV/0!</v>
      </c>
      <c r="BT15" s="930">
        <f t="shared" ref="BT15" si="302">AH15</f>
        <v>5.6000000000000001E-2</v>
      </c>
      <c r="BU15" s="931" t="e">
        <f t="shared" ref="BU15" si="303">(1/BR15)*(BS15^(2/3))*BT15^0.5</f>
        <v>#DIV/0!</v>
      </c>
      <c r="BV15" s="932">
        <f t="shared" ref="BV15" si="304">AG15</f>
        <v>0.8</v>
      </c>
      <c r="BW15" s="859">
        <f t="shared" ref="BW15" si="305">(BV15*BX15)</f>
        <v>0.56000000000000005</v>
      </c>
      <c r="BX15" s="859">
        <v>0.7</v>
      </c>
      <c r="BY15" s="859">
        <f t="shared" ref="BY15" si="306">(2*ACOS(1-(2*BX15)))</f>
        <v>3.96</v>
      </c>
      <c r="BZ15" s="859">
        <f t="shared" ref="BZ15" si="307">DEGREES(BY15)</f>
        <v>226.89</v>
      </c>
      <c r="CA15" s="859">
        <f t="shared" ref="CA15" si="308">((BV15^2)*(BY15-SIN(BY15)))/8</f>
        <v>0.38</v>
      </c>
      <c r="CB15" s="859">
        <f t="shared" ref="CB15" si="309">(BY15*BV15)/2</f>
        <v>1.58</v>
      </c>
      <c r="CC15" s="859">
        <f t="shared" ref="CC15" si="310">(CA15/CB15)</f>
        <v>0.24</v>
      </c>
      <c r="CD15" s="929">
        <f>$I$19</f>
        <v>1.2999999999999999E-2</v>
      </c>
      <c r="CE15" s="859">
        <f t="shared" ref="CE15" si="311">1/CD15</f>
        <v>76.92</v>
      </c>
      <c r="CF15" s="859">
        <f t="shared" ref="CF15" si="312">(CC15^(2/3))</f>
        <v>0.39</v>
      </c>
      <c r="CG15" s="934">
        <f t="shared" ref="CG15" si="313">AH15</f>
        <v>5.6000000000000001E-2</v>
      </c>
      <c r="CH15" s="859">
        <f t="shared" ref="CH15" si="314">SQRT(CG15)</f>
        <v>0.24</v>
      </c>
      <c r="CI15" s="859">
        <f t="shared" ref="CI15" si="315">CA15*CE15*CF15*CH15</f>
        <v>2.74</v>
      </c>
      <c r="CJ15" s="935">
        <f t="shared" ref="CJ15" si="316">(CI15/CA15)</f>
        <v>7.21</v>
      </c>
      <c r="CK15" s="57"/>
      <c r="CL15" s="87">
        <v>1</v>
      </c>
      <c r="CM15" s="87"/>
      <c r="CN15" s="78" t="str">
        <f t="shared" si="244"/>
        <v>CCT05</v>
      </c>
      <c r="CO15" s="1025" t="str">
        <f t="shared" si="245"/>
        <v>-</v>
      </c>
      <c r="CP15" s="1025" t="str">
        <f t="shared" si="246"/>
        <v>BC07</v>
      </c>
      <c r="CQ15" s="79" t="str">
        <f t="shared" si="247"/>
        <v>ESTR. DE LINHA TAQUARAL</v>
      </c>
      <c r="CR15" s="79" t="str">
        <f t="shared" si="248"/>
        <v>Projetado</v>
      </c>
      <c r="CS15" s="1026" t="str">
        <f t="shared" si="249"/>
        <v>OAC07</v>
      </c>
      <c r="CT15" s="1033">
        <f t="shared" si="88"/>
        <v>0</v>
      </c>
      <c r="CU15" s="1033">
        <f t="shared" si="88"/>
        <v>0</v>
      </c>
      <c r="CV15" s="1033">
        <f t="shared" si="88"/>
        <v>0</v>
      </c>
      <c r="CW15" s="1033">
        <f t="shared" si="88"/>
        <v>0</v>
      </c>
      <c r="CX15" s="1033">
        <f t="shared" si="250"/>
        <v>0</v>
      </c>
      <c r="CY15" s="1033">
        <f t="shared" si="250"/>
        <v>0</v>
      </c>
      <c r="CZ15" s="1033">
        <f t="shared" si="250"/>
        <v>0</v>
      </c>
      <c r="DA15" s="1033">
        <f t="shared" si="251"/>
        <v>0</v>
      </c>
      <c r="DB15" s="1033">
        <f t="shared" si="251"/>
        <v>0</v>
      </c>
      <c r="DC15" s="1033">
        <f t="shared" si="251"/>
        <v>0</v>
      </c>
      <c r="DD15" s="1033">
        <f t="shared" si="252"/>
        <v>0</v>
      </c>
      <c r="DE15" s="1033">
        <f t="shared" si="252"/>
        <v>0</v>
      </c>
      <c r="DF15" s="1033">
        <f t="shared" si="252"/>
        <v>0</v>
      </c>
      <c r="DG15" s="1033">
        <f t="shared" si="253"/>
        <v>0</v>
      </c>
      <c r="DH15" s="1033">
        <f t="shared" si="253"/>
        <v>0</v>
      </c>
      <c r="DI15" s="1033">
        <f t="shared" si="253"/>
        <v>0</v>
      </c>
      <c r="DJ15" s="1033">
        <f t="shared" si="254"/>
        <v>0</v>
      </c>
      <c r="DK15" s="1033">
        <f t="shared" si="254"/>
        <v>0</v>
      </c>
      <c r="DL15" s="1033">
        <f t="shared" si="254"/>
        <v>0</v>
      </c>
      <c r="DM15" s="1415"/>
      <c r="DN15" s="1415"/>
      <c r="DO15" s="1415"/>
      <c r="DP15" s="1415"/>
      <c r="DQ15" s="1415"/>
      <c r="DR15" s="1415"/>
      <c r="DS15" s="1034">
        <f t="shared" si="255"/>
        <v>1.5</v>
      </c>
      <c r="DT15" s="709">
        <f t="shared" si="256"/>
        <v>1</v>
      </c>
      <c r="DU15" s="80">
        <f t="shared" si="7"/>
        <v>0</v>
      </c>
      <c r="DV15" s="709">
        <f t="shared" si="257"/>
        <v>0</v>
      </c>
      <c r="DW15" s="709">
        <f t="shared" si="258"/>
        <v>0</v>
      </c>
      <c r="DX15" s="710">
        <f t="shared" si="124"/>
        <v>0.2</v>
      </c>
      <c r="DY15" s="1035">
        <f t="shared" si="259"/>
        <v>0</v>
      </c>
      <c r="DZ15" s="1036">
        <f t="shared" si="260"/>
        <v>0</v>
      </c>
      <c r="EA15" s="80">
        <f t="shared" si="8"/>
        <v>0</v>
      </c>
      <c r="EB15" s="80">
        <f t="shared" si="261"/>
        <v>0</v>
      </c>
      <c r="EC15" s="80">
        <f t="shared" si="262"/>
        <v>0</v>
      </c>
      <c r="ED15" s="1035" t="s">
        <v>113</v>
      </c>
      <c r="EE15" s="1035">
        <f t="shared" si="263"/>
        <v>0</v>
      </c>
      <c r="EF15" s="1037">
        <f t="shared" si="264"/>
        <v>0</v>
      </c>
      <c r="EG15" s="52"/>
      <c r="EH15" s="943">
        <f t="shared" si="265"/>
        <v>0</v>
      </c>
      <c r="EI15" s="51"/>
      <c r="EJ15" s="1046" t="str">
        <f t="shared" ref="EJ15" si="317">CN15</f>
        <v>CCT05</v>
      </c>
      <c r="EK15" s="1047" t="str">
        <f t="shared" si="185"/>
        <v>Projetado</v>
      </c>
      <c r="EL15" s="1048">
        <v>25</v>
      </c>
      <c r="EM15" s="1049" t="str">
        <f t="shared" si="9"/>
        <v>CAIXA BSTC d=0,8m</v>
      </c>
      <c r="EN15" s="1050">
        <f t="shared" ref="EN15" si="318">IF(EK15="Novo",AS15,0)</f>
        <v>0</v>
      </c>
      <c r="EO15" s="80">
        <f t="shared" si="10"/>
        <v>0</v>
      </c>
      <c r="EP15" s="1051">
        <f t="shared" ref="EP15" si="319">EO15</f>
        <v>0</v>
      </c>
      <c r="EQ15" s="1052" t="str">
        <f t="shared" ref="EQ15" si="320">CP15</f>
        <v>BC07</v>
      </c>
      <c r="ER15" s="1047" t="str">
        <f t="shared" si="125"/>
        <v>Projetado</v>
      </c>
      <c r="ES15" s="1048">
        <v>2</v>
      </c>
      <c r="ET15" s="1049" t="str">
        <f t="shared" si="11"/>
        <v>Boca BSTC d=0,8m</v>
      </c>
      <c r="EU15" s="1053">
        <f t="shared" ref="EU15" si="321">IF(ER15="Novo",AT15,0)</f>
        <v>0</v>
      </c>
      <c r="EV15" s="1054">
        <f t="shared" si="12"/>
        <v>0</v>
      </c>
      <c r="EW15" s="1054">
        <f t="shared" ref="EW15" si="322">EV15</f>
        <v>0</v>
      </c>
      <c r="EX15" s="709">
        <f t="shared" ref="EX15" si="323">IF(EK15="Novo",EP15*EO15*EN15-EY15,0)*0.5+IF(EK15="Novo",EW15*EV15*EU15-EY15,0)*0.5</f>
        <v>0</v>
      </c>
      <c r="EY15" s="709">
        <f t="shared" ref="EY15" si="324">IF(EN15&gt;1.5,EP15*EO15*(EN15-1.5),0)*0.5+IF(EU15&gt;1.5,EW15*EV15*(EU15-1.5),0)*0.5</f>
        <v>0</v>
      </c>
      <c r="EZ15" s="710">
        <f t="shared" si="274"/>
        <v>0.2</v>
      </c>
      <c r="FA15" s="1035">
        <f t="shared" ref="FA15" si="325">SUM(EX15:EY15)*EZ15</f>
        <v>0</v>
      </c>
      <c r="FB15" s="1036">
        <f t="shared" ref="FB15" si="326">SUM(EX15:EY15)-FA15</f>
        <v>0</v>
      </c>
      <c r="FC15" s="80">
        <f t="shared" si="13"/>
        <v>0</v>
      </c>
      <c r="FD15" s="80">
        <f t="shared" ref="FD15" si="327">EX15-FC15</f>
        <v>0</v>
      </c>
      <c r="FE15" s="1035" t="str">
        <f t="shared" ref="FE15" si="328">ED15</f>
        <v>S</v>
      </c>
      <c r="FF15" s="1035">
        <f t="shared" ref="FF15" si="329">IF(FE15="S",FD15,IF(FE15="P",FD15*0.5,0))</f>
        <v>0</v>
      </c>
      <c r="FG15" s="1036">
        <f t="shared" ref="FG15" si="330">FD15-FF15</f>
        <v>0</v>
      </c>
      <c r="FH15" s="862">
        <f t="shared" si="14"/>
        <v>0</v>
      </c>
      <c r="FI15" s="863">
        <f t="shared" si="14"/>
        <v>0</v>
      </c>
      <c r="FJ15" s="863">
        <f t="shared" si="14"/>
        <v>0</v>
      </c>
      <c r="FK15" s="1055">
        <f t="shared" si="14"/>
        <v>0</v>
      </c>
      <c r="FL15" s="1056">
        <f t="shared" si="14"/>
        <v>0</v>
      </c>
      <c r="FM15" s="863">
        <f t="shared" si="14"/>
        <v>0</v>
      </c>
      <c r="FN15" s="1057">
        <f t="shared" si="14"/>
        <v>0</v>
      </c>
      <c r="FO15" s="1058">
        <f t="shared" si="14"/>
        <v>0</v>
      </c>
      <c r="FP15" s="863">
        <f t="shared" si="14"/>
        <v>0</v>
      </c>
      <c r="FQ15" s="1055">
        <f t="shared" si="14"/>
        <v>0</v>
      </c>
      <c r="FR15" s="1056">
        <f t="shared" si="15"/>
        <v>0</v>
      </c>
      <c r="FS15" s="1056">
        <f t="shared" si="15"/>
        <v>0</v>
      </c>
      <c r="FT15" s="1057">
        <f t="shared" si="15"/>
        <v>0</v>
      </c>
      <c r="FU15" s="1058">
        <f t="shared" si="15"/>
        <v>0</v>
      </c>
      <c r="FV15" s="863">
        <f t="shared" si="15"/>
        <v>0</v>
      </c>
      <c r="FW15" s="1055">
        <f t="shared" si="15"/>
        <v>0</v>
      </c>
      <c r="FX15" s="1056">
        <f t="shared" si="15"/>
        <v>0</v>
      </c>
      <c r="FY15" s="863">
        <f t="shared" si="15"/>
        <v>0</v>
      </c>
      <c r="FZ15" s="1055">
        <f t="shared" si="15"/>
        <v>0</v>
      </c>
      <c r="GA15" s="1056">
        <f t="shared" si="16"/>
        <v>0</v>
      </c>
      <c r="GB15" s="863">
        <f t="shared" si="17"/>
        <v>0</v>
      </c>
      <c r="GC15" s="863">
        <f t="shared" si="18"/>
        <v>0</v>
      </c>
      <c r="GD15" s="1057">
        <f t="shared" si="19"/>
        <v>0</v>
      </c>
      <c r="GE15" s="1056">
        <f t="shared" si="20"/>
        <v>0</v>
      </c>
      <c r="GF15" s="863">
        <f t="shared" si="21"/>
        <v>0</v>
      </c>
      <c r="GG15" s="863">
        <f t="shared" si="22"/>
        <v>0</v>
      </c>
      <c r="GH15" s="1057">
        <f t="shared" si="23"/>
        <v>0</v>
      </c>
      <c r="GI15" s="1057">
        <f t="shared" si="24"/>
        <v>0</v>
      </c>
      <c r="GJ15" s="1057">
        <f t="shared" si="25"/>
        <v>0</v>
      </c>
      <c r="GK15" s="1407">
        <f t="shared" si="118"/>
        <v>0</v>
      </c>
      <c r="GL15" s="1059">
        <f t="shared" si="119"/>
        <v>0</v>
      </c>
      <c r="GM15" s="1059">
        <f t="shared" si="120"/>
        <v>0</v>
      </c>
      <c r="GN15" s="1059">
        <f t="shared" si="121"/>
        <v>0</v>
      </c>
      <c r="GO15" s="1059">
        <f t="shared" si="122"/>
        <v>0</v>
      </c>
      <c r="GP15" s="1408">
        <f t="shared" si="123"/>
        <v>0</v>
      </c>
      <c r="GQ15" s="121" t="str">
        <f t="shared" si="26"/>
        <v>OAC07</v>
      </c>
      <c r="GR15" s="121" t="str">
        <f t="shared" si="27"/>
        <v>BSTC d=0,8m</v>
      </c>
    </row>
    <row r="16" spans="1:200" x14ac:dyDescent="0.25">
      <c r="A16" s="50"/>
      <c r="B16" s="942"/>
      <c r="C16" s="1128"/>
      <c r="D16" s="1128"/>
      <c r="E16" s="1139"/>
      <c r="F16" s="1129"/>
      <c r="G16" s="1129"/>
      <c r="H16" s="1013"/>
      <c r="I16" s="1128"/>
      <c r="J16" s="1130"/>
      <c r="K16" s="1130"/>
      <c r="L16" s="1130"/>
      <c r="M16" s="1131"/>
      <c r="N16" s="1131"/>
      <c r="O16" s="1131"/>
      <c r="P16" s="1131"/>
      <c r="Q16" s="1131"/>
      <c r="R16" s="1132"/>
      <c r="S16" s="1132"/>
      <c r="T16" s="1132"/>
      <c r="U16" s="1132"/>
      <c r="V16" s="1132"/>
      <c r="W16" s="1132"/>
      <c r="X16" s="1132"/>
      <c r="Y16" s="1132"/>
      <c r="Z16" s="1132"/>
      <c r="AA16" s="1132"/>
      <c r="AB16" s="1133"/>
      <c r="AC16" s="1131"/>
      <c r="AD16" s="1131"/>
      <c r="AE16" s="1134"/>
      <c r="AF16" s="1134"/>
      <c r="AG16" s="1134"/>
      <c r="AH16" s="1135"/>
      <c r="AI16" s="1132"/>
      <c r="AJ16" s="1132"/>
      <c r="AK16" s="1136"/>
      <c r="AL16" s="1136"/>
      <c r="AM16" s="1137"/>
      <c r="AN16" s="1137"/>
      <c r="AO16" s="1137"/>
      <c r="AP16" s="1137"/>
      <c r="AQ16" s="1137"/>
      <c r="AR16" s="1137"/>
      <c r="AS16" s="1137"/>
      <c r="AT16" s="1137"/>
      <c r="AU16" s="1138"/>
      <c r="AV16" s="854"/>
      <c r="AW16" s="926"/>
      <c r="AX16" s="1106"/>
      <c r="AY16" s="1106"/>
      <c r="AZ16" s="926"/>
      <c r="BA16" s="926"/>
      <c r="BB16" s="927"/>
      <c r="BC16" s="928"/>
      <c r="BD16" s="928"/>
      <c r="BE16" s="928"/>
      <c r="BF16" s="928"/>
      <c r="BG16" s="928"/>
      <c r="BH16" s="928"/>
      <c r="BI16" s="928"/>
      <c r="BJ16" s="928"/>
      <c r="BK16" s="928"/>
      <c r="BL16" s="928"/>
      <c r="BM16" s="928"/>
      <c r="BN16" s="928"/>
      <c r="BO16" s="928"/>
      <c r="BP16" s="928"/>
      <c r="BQ16" s="928"/>
      <c r="BR16" s="929"/>
      <c r="BS16" s="928"/>
      <c r="BT16" s="930"/>
      <c r="BU16" s="931"/>
      <c r="BV16" s="932"/>
      <c r="BW16" s="859"/>
      <c r="BX16" s="859"/>
      <c r="BY16" s="859"/>
      <c r="BZ16" s="859"/>
      <c r="CA16" s="859"/>
      <c r="CB16" s="859"/>
      <c r="CC16" s="859"/>
      <c r="CD16" s="929"/>
      <c r="CE16" s="859"/>
      <c r="CF16" s="859"/>
      <c r="CG16" s="934"/>
      <c r="CH16" s="859"/>
      <c r="CI16" s="859"/>
      <c r="CJ16" s="935"/>
      <c r="CK16" s="57"/>
      <c r="CL16" s="87"/>
      <c r="CM16" s="87"/>
      <c r="CN16" s="1029"/>
      <c r="CO16" s="1030"/>
      <c r="CP16" s="1030"/>
      <c r="CQ16" s="1031"/>
      <c r="CR16" s="1031"/>
      <c r="CS16" s="1032"/>
      <c r="CT16" s="1038"/>
      <c r="CU16" s="1038"/>
      <c r="CV16" s="1038"/>
      <c r="CW16" s="1038"/>
      <c r="CX16" s="1038"/>
      <c r="CY16" s="1038"/>
      <c r="CZ16" s="1038"/>
      <c r="DA16" s="1038"/>
      <c r="DB16" s="1038"/>
      <c r="DC16" s="1038"/>
      <c r="DD16" s="1038"/>
      <c r="DE16" s="1038"/>
      <c r="DF16" s="1038"/>
      <c r="DG16" s="1038"/>
      <c r="DH16" s="1038"/>
      <c r="DI16" s="1038"/>
      <c r="DJ16" s="1038"/>
      <c r="DK16" s="1038"/>
      <c r="DL16" s="1038"/>
      <c r="DM16" s="1412"/>
      <c r="DN16" s="1412"/>
      <c r="DO16" s="1412"/>
      <c r="DP16" s="1412"/>
      <c r="DQ16" s="1412"/>
      <c r="DR16" s="1412"/>
      <c r="DS16" s="1039"/>
      <c r="DT16" s="1040"/>
      <c r="DU16" s="1041"/>
      <c r="DV16" s="1040"/>
      <c r="DW16" s="1040"/>
      <c r="DX16" s="1042"/>
      <c r="DY16" s="1043"/>
      <c r="DZ16" s="1044"/>
      <c r="EA16" s="1041"/>
      <c r="EB16" s="1041"/>
      <c r="EC16" s="1041"/>
      <c r="ED16" s="1043"/>
      <c r="EE16" s="1043"/>
      <c r="EF16" s="1045"/>
      <c r="EG16" s="52"/>
      <c r="EH16" s="943"/>
      <c r="EI16" s="51"/>
      <c r="EJ16" s="1046"/>
      <c r="EK16" s="1047"/>
      <c r="EL16" s="1048"/>
      <c r="EM16" s="1049"/>
      <c r="EN16" s="1050"/>
      <c r="EO16" s="80"/>
      <c r="EP16" s="1051"/>
      <c r="EQ16" s="1052"/>
      <c r="ER16" s="1047"/>
      <c r="ES16" s="1048"/>
      <c r="ET16" s="1049"/>
      <c r="EU16" s="1053"/>
      <c r="EV16" s="1054"/>
      <c r="EW16" s="1054"/>
      <c r="EX16" s="709"/>
      <c r="EY16" s="709"/>
      <c r="EZ16" s="710"/>
      <c r="FA16" s="1035"/>
      <c r="FB16" s="1036"/>
      <c r="FC16" s="80"/>
      <c r="FD16" s="80"/>
      <c r="FE16" s="1035"/>
      <c r="FF16" s="1035"/>
      <c r="FG16" s="1036"/>
      <c r="FH16" s="862">
        <f t="shared" si="14"/>
        <v>0</v>
      </c>
      <c r="FI16" s="863">
        <f t="shared" si="14"/>
        <v>0</v>
      </c>
      <c r="FJ16" s="863">
        <f t="shared" si="14"/>
        <v>0</v>
      </c>
      <c r="FK16" s="1055">
        <f t="shared" si="14"/>
        <v>0</v>
      </c>
      <c r="FL16" s="1056">
        <f t="shared" si="14"/>
        <v>0</v>
      </c>
      <c r="FM16" s="863">
        <f t="shared" si="14"/>
        <v>0</v>
      </c>
      <c r="FN16" s="1057">
        <f t="shared" si="14"/>
        <v>0</v>
      </c>
      <c r="FO16" s="1058">
        <f t="shared" si="14"/>
        <v>0</v>
      </c>
      <c r="FP16" s="863">
        <f t="shared" si="14"/>
        <v>0</v>
      </c>
      <c r="FQ16" s="1055">
        <f t="shared" si="14"/>
        <v>0</v>
      </c>
      <c r="FR16" s="1056">
        <f t="shared" si="15"/>
        <v>0</v>
      </c>
      <c r="FS16" s="1056">
        <f t="shared" si="15"/>
        <v>0</v>
      </c>
      <c r="FT16" s="1057">
        <f t="shared" si="15"/>
        <v>0</v>
      </c>
      <c r="FU16" s="1058">
        <f t="shared" si="15"/>
        <v>0</v>
      </c>
      <c r="FV16" s="863">
        <f t="shared" si="15"/>
        <v>0</v>
      </c>
      <c r="FW16" s="1055">
        <f t="shared" si="15"/>
        <v>0</v>
      </c>
      <c r="FX16" s="1056">
        <f t="shared" si="15"/>
        <v>0</v>
      </c>
      <c r="FY16" s="863">
        <f t="shared" si="15"/>
        <v>0</v>
      </c>
      <c r="FZ16" s="1055">
        <f t="shared" si="15"/>
        <v>0</v>
      </c>
      <c r="GA16" s="1056">
        <f t="shared" si="16"/>
        <v>0</v>
      </c>
      <c r="GB16" s="863">
        <f t="shared" si="17"/>
        <v>0</v>
      </c>
      <c r="GC16" s="863">
        <f t="shared" si="18"/>
        <v>0</v>
      </c>
      <c r="GD16" s="1057">
        <f t="shared" si="19"/>
        <v>0</v>
      </c>
      <c r="GE16" s="1056">
        <f t="shared" si="20"/>
        <v>0</v>
      </c>
      <c r="GF16" s="863">
        <f t="shared" si="21"/>
        <v>0</v>
      </c>
      <c r="GG16" s="863">
        <f t="shared" si="22"/>
        <v>0</v>
      </c>
      <c r="GH16" s="1057">
        <f t="shared" si="23"/>
        <v>0</v>
      </c>
      <c r="GI16" s="1057">
        <f t="shared" si="24"/>
        <v>0</v>
      </c>
      <c r="GJ16" s="1057">
        <f t="shared" si="25"/>
        <v>0</v>
      </c>
      <c r="GK16" s="1409">
        <f t="shared" si="118"/>
        <v>0</v>
      </c>
      <c r="GL16" s="1410">
        <f t="shared" si="119"/>
        <v>0</v>
      </c>
      <c r="GM16" s="1410">
        <f t="shared" si="120"/>
        <v>0</v>
      </c>
      <c r="GN16" s="1410">
        <f t="shared" si="121"/>
        <v>0</v>
      </c>
      <c r="GO16" s="1410">
        <f t="shared" si="122"/>
        <v>0</v>
      </c>
      <c r="GP16" s="1411">
        <f t="shared" si="123"/>
        <v>0</v>
      </c>
      <c r="GQ16" s="121"/>
      <c r="GR16" s="121"/>
    </row>
    <row r="17" spans="1:198" ht="15.75" thickBot="1" x14ac:dyDescent="0.3">
      <c r="A17" s="50"/>
      <c r="B17" s="57" t="str">
        <f>B18</f>
        <v>Período de retorno=</v>
      </c>
      <c r="C17" s="87"/>
      <c r="D17" s="87"/>
      <c r="E17" s="87"/>
      <c r="F17" s="87" t="s">
        <v>5151</v>
      </c>
      <c r="G17" s="87"/>
      <c r="H17" s="87"/>
      <c r="I17" s="88">
        <v>100</v>
      </c>
      <c r="J17" s="944" t="s">
        <v>118</v>
      </c>
      <c r="K17" s="944"/>
      <c r="L17" s="944"/>
      <c r="M17" s="944"/>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87">
        <v>0</v>
      </c>
      <c r="CM17" s="87">
        <v>1</v>
      </c>
      <c r="CN17" s="945" t="s">
        <v>96</v>
      </c>
      <c r="CO17" s="946"/>
      <c r="CP17" s="946"/>
      <c r="CQ17" s="946"/>
      <c r="CR17" s="946"/>
      <c r="CS17" s="947"/>
      <c r="CT17" s="948">
        <f t="shared" ref="CT17:DR17" si="331">SUM(CT9:CT16)</f>
        <v>0</v>
      </c>
      <c r="CU17" s="948">
        <f t="shared" si="331"/>
        <v>11</v>
      </c>
      <c r="CV17" s="948">
        <f t="shared" si="331"/>
        <v>0</v>
      </c>
      <c r="CW17" s="948">
        <f t="shared" si="331"/>
        <v>0</v>
      </c>
      <c r="CX17" s="948">
        <f t="shared" si="331"/>
        <v>0</v>
      </c>
      <c r="CY17" s="948">
        <f t="shared" si="331"/>
        <v>0</v>
      </c>
      <c r="CZ17" s="948">
        <f t="shared" si="331"/>
        <v>0</v>
      </c>
      <c r="DA17" s="948">
        <f t="shared" si="331"/>
        <v>0</v>
      </c>
      <c r="DB17" s="948">
        <f t="shared" si="331"/>
        <v>0</v>
      </c>
      <c r="DC17" s="948">
        <f t="shared" si="331"/>
        <v>0</v>
      </c>
      <c r="DD17" s="948">
        <f t="shared" si="331"/>
        <v>0</v>
      </c>
      <c r="DE17" s="948">
        <f t="shared" si="331"/>
        <v>0</v>
      </c>
      <c r="DF17" s="948">
        <f t="shared" si="331"/>
        <v>0</v>
      </c>
      <c r="DG17" s="948">
        <f t="shared" si="331"/>
        <v>0</v>
      </c>
      <c r="DH17" s="948">
        <f t="shared" si="331"/>
        <v>0</v>
      </c>
      <c r="DI17" s="948">
        <f t="shared" si="331"/>
        <v>0</v>
      </c>
      <c r="DJ17" s="948">
        <f t="shared" si="331"/>
        <v>0</v>
      </c>
      <c r="DK17" s="948">
        <f t="shared" si="331"/>
        <v>0</v>
      </c>
      <c r="DL17" s="948">
        <f t="shared" si="331"/>
        <v>0</v>
      </c>
      <c r="DM17" s="1414">
        <f t="shared" si="331"/>
        <v>0</v>
      </c>
      <c r="DN17" s="1414">
        <f t="shared" si="331"/>
        <v>0</v>
      </c>
      <c r="DO17" s="1414">
        <f t="shared" si="331"/>
        <v>0</v>
      </c>
      <c r="DP17" s="1414">
        <f t="shared" si="331"/>
        <v>0</v>
      </c>
      <c r="DQ17" s="1414">
        <f t="shared" si="331"/>
        <v>0</v>
      </c>
      <c r="DR17" s="1414">
        <f t="shared" si="331"/>
        <v>0</v>
      </c>
      <c r="DS17" s="949">
        <f>SUM(DS16:DS16)</f>
        <v>0</v>
      </c>
      <c r="DT17" s="950">
        <f>SUM(DT16:DT16)</f>
        <v>0</v>
      </c>
      <c r="DU17" s="951">
        <f>SUM(DU9:DU16)</f>
        <v>1.8</v>
      </c>
      <c r="DV17" s="950">
        <f>SUM(DV9:DV16)</f>
        <v>29.7</v>
      </c>
      <c r="DW17" s="950">
        <f>SUM(DW9:DW16)</f>
        <v>0.79</v>
      </c>
      <c r="DX17" s="952">
        <f>DY17/SUM(DV17:DW17)</f>
        <v>0.2</v>
      </c>
      <c r="DY17" s="953">
        <f>SUM(DY9:DY16)</f>
        <v>6.1</v>
      </c>
      <c r="DZ17" s="954">
        <f>SUM(DZ9:DZ16)</f>
        <v>24.39</v>
      </c>
      <c r="EA17" s="955">
        <f>SUM(EA16:EA16)</f>
        <v>0</v>
      </c>
      <c r="EB17" s="951">
        <f>SUM(EB16:EB16)</f>
        <v>0</v>
      </c>
      <c r="EC17" s="951">
        <f>SUM(EC9:EC16)</f>
        <v>22.79</v>
      </c>
      <c r="ED17" s="953"/>
      <c r="EE17" s="953">
        <f>SUM(EE9:EE16)</f>
        <v>22.79</v>
      </c>
      <c r="EF17" s="956">
        <f>SUM(EF9:EF16)</f>
        <v>0</v>
      </c>
      <c r="EG17" s="52"/>
      <c r="EH17" s="52"/>
      <c r="EI17" s="957">
        <v>1</v>
      </c>
      <c r="EJ17" s="958" t="s">
        <v>96</v>
      </c>
      <c r="EK17" s="959"/>
      <c r="EL17" s="959"/>
      <c r="EM17" s="959"/>
      <c r="EN17" s="959"/>
      <c r="EO17" s="959"/>
      <c r="EP17" s="960"/>
      <c r="EQ17" s="961"/>
      <c r="ER17" s="959"/>
      <c r="ES17" s="959"/>
      <c r="ET17" s="959"/>
      <c r="EU17" s="959"/>
      <c r="EV17" s="959"/>
      <c r="EW17" s="959"/>
      <c r="EX17" s="962">
        <f>SUM(EX9:EX16)</f>
        <v>7.18</v>
      </c>
      <c r="EY17" s="962">
        <f>SUM(EY9:EY16)</f>
        <v>1.44</v>
      </c>
      <c r="EZ17" s="963">
        <f>FA17/(EX17+EY17)</f>
        <v>0.2</v>
      </c>
      <c r="FA17" s="964">
        <f>SUM(FA9:FA16)</f>
        <v>1.72</v>
      </c>
      <c r="FB17" s="965">
        <f>SUM(FB9:FB16)</f>
        <v>6.9</v>
      </c>
      <c r="FC17" s="966"/>
      <c r="FD17" s="966">
        <f>SUM(FD9:FD16)</f>
        <v>3.08</v>
      </c>
      <c r="FE17" s="964"/>
      <c r="FF17" s="964">
        <f t="shared" ref="FF17:GN17" si="332">SUM(FF9:FF16)</f>
        <v>3.08</v>
      </c>
      <c r="FG17" s="965">
        <f t="shared" si="332"/>
        <v>0</v>
      </c>
      <c r="FH17" s="967">
        <f t="shared" si="332"/>
        <v>0</v>
      </c>
      <c r="FI17" s="968">
        <f t="shared" si="332"/>
        <v>1</v>
      </c>
      <c r="FJ17" s="968">
        <f t="shared" si="332"/>
        <v>0</v>
      </c>
      <c r="FK17" s="969">
        <f t="shared" si="332"/>
        <v>0</v>
      </c>
      <c r="FL17" s="970">
        <f t="shared" si="332"/>
        <v>0</v>
      </c>
      <c r="FM17" s="968">
        <f t="shared" si="332"/>
        <v>0</v>
      </c>
      <c r="FN17" s="971">
        <f t="shared" si="332"/>
        <v>0</v>
      </c>
      <c r="FO17" s="972">
        <f t="shared" si="332"/>
        <v>0</v>
      </c>
      <c r="FP17" s="968">
        <f t="shared" si="332"/>
        <v>0</v>
      </c>
      <c r="FQ17" s="969">
        <f t="shared" si="332"/>
        <v>0</v>
      </c>
      <c r="FR17" s="970">
        <f t="shared" si="332"/>
        <v>0</v>
      </c>
      <c r="FS17" s="968">
        <f t="shared" si="332"/>
        <v>0</v>
      </c>
      <c r="FT17" s="971">
        <f t="shared" si="332"/>
        <v>0</v>
      </c>
      <c r="FU17" s="972">
        <f t="shared" si="332"/>
        <v>0</v>
      </c>
      <c r="FV17" s="968">
        <f t="shared" si="332"/>
        <v>0</v>
      </c>
      <c r="FW17" s="969">
        <f t="shared" si="332"/>
        <v>0</v>
      </c>
      <c r="FX17" s="970">
        <f t="shared" si="332"/>
        <v>0</v>
      </c>
      <c r="FY17" s="968">
        <f t="shared" si="332"/>
        <v>0</v>
      </c>
      <c r="FZ17" s="969">
        <f t="shared" si="332"/>
        <v>0</v>
      </c>
      <c r="GA17" s="970">
        <f t="shared" si="332"/>
        <v>0</v>
      </c>
      <c r="GB17" s="968">
        <f t="shared" si="332"/>
        <v>1</v>
      </c>
      <c r="GC17" s="968">
        <f t="shared" si="332"/>
        <v>0</v>
      </c>
      <c r="GD17" s="971">
        <f t="shared" si="332"/>
        <v>0</v>
      </c>
      <c r="GE17" s="970">
        <f t="shared" si="332"/>
        <v>0</v>
      </c>
      <c r="GF17" s="968">
        <f t="shared" si="332"/>
        <v>0</v>
      </c>
      <c r="GG17" s="968">
        <f t="shared" si="332"/>
        <v>0</v>
      </c>
      <c r="GH17" s="971">
        <f t="shared" si="332"/>
        <v>0</v>
      </c>
      <c r="GI17" s="971">
        <f t="shared" si="332"/>
        <v>0</v>
      </c>
      <c r="GJ17" s="971">
        <f t="shared" si="332"/>
        <v>0</v>
      </c>
      <c r="GK17" s="973">
        <f t="shared" si="332"/>
        <v>0</v>
      </c>
      <c r="GL17" s="973">
        <f t="shared" si="332"/>
        <v>1</v>
      </c>
      <c r="GM17" s="973">
        <f t="shared" si="332"/>
        <v>0</v>
      </c>
      <c r="GN17" s="973">
        <f t="shared" si="332"/>
        <v>0</v>
      </c>
      <c r="GO17" s="973"/>
      <c r="GP17" s="974">
        <f>SUM(GP9:GP16)</f>
        <v>0</v>
      </c>
    </row>
    <row r="18" spans="1:198" x14ac:dyDescent="0.25">
      <c r="A18" s="50"/>
      <c r="B18" s="57" t="s">
        <v>117</v>
      </c>
      <c r="C18" s="57"/>
      <c r="F18" s="87" t="s">
        <v>7197</v>
      </c>
      <c r="I18" s="93">
        <v>25</v>
      </c>
      <c r="J18" s="57" t="s">
        <v>118</v>
      </c>
      <c r="K18" s="57"/>
      <c r="L18" s="57"/>
      <c r="M18" s="91"/>
      <c r="N18" s="91"/>
      <c r="O18" s="91"/>
      <c r="P18" s="975"/>
      <c r="Q18" s="975"/>
      <c r="R18" s="88"/>
      <c r="S18" s="91"/>
      <c r="Z18" s="50"/>
      <c r="AA18" s="57"/>
      <c r="AB18" s="50"/>
      <c r="AC18" s="944"/>
      <c r="AD18" s="50"/>
      <c r="AE18" s="50"/>
      <c r="AF18" s="50"/>
      <c r="AG18" s="50"/>
      <c r="AH18" s="50"/>
      <c r="AI18" s="50"/>
      <c r="AJ18" s="50"/>
      <c r="AK18" s="50"/>
      <c r="AL18" s="50"/>
      <c r="AM18" s="88"/>
      <c r="AN18" s="88"/>
      <c r="AO18" s="88"/>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87">
        <f>MAX(CL$17:CL17)+1</f>
        <v>1</v>
      </c>
      <c r="CM18" s="87"/>
      <c r="CN18" s="87"/>
      <c r="CO18" s="87"/>
      <c r="CP18" s="87"/>
      <c r="CQ18" s="50"/>
      <c r="CR18" s="87"/>
      <c r="CS18" s="88"/>
      <c r="CT18" s="88"/>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5"/>
      <c r="DT18" s="95"/>
      <c r="DU18" s="96"/>
      <c r="DV18" s="95"/>
      <c r="DW18" s="95"/>
      <c r="DX18" s="95"/>
      <c r="DY18" s="95"/>
      <c r="DZ18" s="95"/>
      <c r="EA18" s="96"/>
      <c r="EB18" s="96"/>
      <c r="EC18" s="96"/>
      <c r="ED18" s="96"/>
      <c r="EE18" s="96"/>
      <c r="EF18" s="96"/>
      <c r="EG18" s="52"/>
      <c r="EH18" s="52"/>
      <c r="EI18" s="957">
        <v>1</v>
      </c>
      <c r="EJ18" s="120">
        <f>EI18+1</f>
        <v>2</v>
      </c>
      <c r="EK18" s="120">
        <f t="shared" ref="EK18:GH18" si="333">EJ18+1</f>
        <v>3</v>
      </c>
      <c r="EL18" s="120">
        <f t="shared" si="333"/>
        <v>4</v>
      </c>
      <c r="EM18" s="120">
        <f t="shared" si="333"/>
        <v>5</v>
      </c>
      <c r="EN18" s="120">
        <f t="shared" si="333"/>
        <v>6</v>
      </c>
      <c r="EO18" s="120">
        <f t="shared" si="333"/>
        <v>7</v>
      </c>
      <c r="EP18" s="120">
        <f t="shared" si="333"/>
        <v>8</v>
      </c>
      <c r="EQ18" s="120">
        <f t="shared" si="333"/>
        <v>9</v>
      </c>
      <c r="ER18" s="120">
        <f t="shared" si="333"/>
        <v>10</v>
      </c>
      <c r="ES18" s="120">
        <f t="shared" si="333"/>
        <v>11</v>
      </c>
      <c r="ET18" s="120">
        <f t="shared" si="333"/>
        <v>12</v>
      </c>
      <c r="EU18" s="120">
        <f t="shared" si="333"/>
        <v>13</v>
      </c>
      <c r="EV18" s="120">
        <f t="shared" si="333"/>
        <v>14</v>
      </c>
      <c r="EW18" s="120">
        <f t="shared" si="333"/>
        <v>15</v>
      </c>
      <c r="EX18" s="120">
        <f t="shared" si="333"/>
        <v>16</v>
      </c>
      <c r="EY18" s="120">
        <f t="shared" si="333"/>
        <v>17</v>
      </c>
      <c r="EZ18" s="120">
        <f t="shared" si="333"/>
        <v>18</v>
      </c>
      <c r="FA18" s="120">
        <f t="shared" si="333"/>
        <v>19</v>
      </c>
      <c r="FB18" s="120">
        <f t="shared" si="333"/>
        <v>20</v>
      </c>
      <c r="FC18" s="120">
        <f t="shared" si="333"/>
        <v>21</v>
      </c>
      <c r="FD18" s="120">
        <f t="shared" si="333"/>
        <v>22</v>
      </c>
      <c r="FE18" s="120">
        <f t="shared" si="333"/>
        <v>23</v>
      </c>
      <c r="FF18" s="120">
        <f t="shared" si="333"/>
        <v>24</v>
      </c>
      <c r="FG18" s="120">
        <f t="shared" si="333"/>
        <v>25</v>
      </c>
      <c r="FH18" s="120">
        <f t="shared" si="333"/>
        <v>26</v>
      </c>
      <c r="FI18" s="120">
        <f t="shared" si="333"/>
        <v>27</v>
      </c>
      <c r="FJ18" s="120">
        <f t="shared" si="333"/>
        <v>28</v>
      </c>
      <c r="FK18" s="120">
        <f t="shared" si="333"/>
        <v>29</v>
      </c>
      <c r="FL18" s="120">
        <f t="shared" si="333"/>
        <v>30</v>
      </c>
      <c r="FM18" s="120">
        <f t="shared" si="333"/>
        <v>31</v>
      </c>
      <c r="FN18" s="120">
        <f t="shared" si="333"/>
        <v>32</v>
      </c>
      <c r="FO18" s="120">
        <f t="shared" si="333"/>
        <v>33</v>
      </c>
      <c r="FP18" s="120">
        <f t="shared" si="333"/>
        <v>34</v>
      </c>
      <c r="FQ18" s="120">
        <f t="shared" si="333"/>
        <v>35</v>
      </c>
      <c r="FR18" s="120">
        <f t="shared" si="333"/>
        <v>36</v>
      </c>
      <c r="FS18" s="120">
        <f t="shared" si="333"/>
        <v>37</v>
      </c>
      <c r="FT18" s="120">
        <f t="shared" si="333"/>
        <v>38</v>
      </c>
      <c r="FU18" s="120">
        <f t="shared" si="333"/>
        <v>39</v>
      </c>
      <c r="FV18" s="120">
        <f t="shared" si="333"/>
        <v>40</v>
      </c>
      <c r="FW18" s="120">
        <f t="shared" si="333"/>
        <v>41</v>
      </c>
      <c r="FX18" s="120">
        <f t="shared" si="333"/>
        <v>42</v>
      </c>
      <c r="FY18" s="120">
        <f t="shared" si="333"/>
        <v>43</v>
      </c>
      <c r="FZ18" s="120">
        <f t="shared" si="333"/>
        <v>44</v>
      </c>
      <c r="GA18" s="120">
        <f t="shared" si="333"/>
        <v>45</v>
      </c>
      <c r="GB18" s="120">
        <f t="shared" si="333"/>
        <v>46</v>
      </c>
      <c r="GC18" s="120">
        <f t="shared" si="333"/>
        <v>47</v>
      </c>
      <c r="GD18" s="120">
        <f t="shared" si="333"/>
        <v>48</v>
      </c>
      <c r="GE18" s="120">
        <f t="shared" si="333"/>
        <v>49</v>
      </c>
      <c r="GF18" s="120">
        <f t="shared" si="333"/>
        <v>50</v>
      </c>
      <c r="GG18" s="120">
        <f t="shared" si="333"/>
        <v>51</v>
      </c>
      <c r="GH18" s="120">
        <f t="shared" si="333"/>
        <v>52</v>
      </c>
      <c r="GI18" s="120">
        <f t="shared" ref="GI18" si="334">GH18+1</f>
        <v>53</v>
      </c>
      <c r="GJ18" s="120">
        <f t="shared" ref="GJ18" si="335">GI18+1</f>
        <v>54</v>
      </c>
      <c r="GK18" s="120">
        <f t="shared" ref="GK18" si="336">GJ18+1</f>
        <v>55</v>
      </c>
      <c r="GL18" s="120">
        <f t="shared" ref="GL18" si="337">GK18+1</f>
        <v>56</v>
      </c>
      <c r="GM18" s="120">
        <f t="shared" ref="GM18" si="338">GL18+1</f>
        <v>57</v>
      </c>
      <c r="GN18" s="120">
        <f t="shared" ref="GN18" si="339">GM18+1</f>
        <v>58</v>
      </c>
      <c r="GO18" s="120">
        <f t="shared" ref="GO18" si="340">GN18+1</f>
        <v>59</v>
      </c>
      <c r="GP18" s="120">
        <f t="shared" ref="GP18" si="341">GO18+1</f>
        <v>60</v>
      </c>
    </row>
    <row r="19" spans="1:198" x14ac:dyDescent="0.25">
      <c r="A19" s="50"/>
      <c r="B19" s="113" t="s">
        <v>124</v>
      </c>
      <c r="C19" s="113"/>
      <c r="I19" s="114">
        <v>1.2999999999999999E-2</v>
      </c>
      <c r="J19" s="91"/>
      <c r="K19" s="91"/>
      <c r="L19" s="91"/>
      <c r="M19" s="91"/>
      <c r="N19" s="91"/>
      <c r="O19" s="91"/>
      <c r="P19" s="88"/>
      <c r="Q19" s="88"/>
      <c r="R19" s="88"/>
      <c r="S19" s="91"/>
      <c r="X19" s="91"/>
      <c r="Y19" s="57"/>
      <c r="Z19" s="88"/>
      <c r="AA19" s="88"/>
      <c r="AB19" s="50"/>
      <c r="AC19" s="50"/>
      <c r="AD19" s="50"/>
      <c r="AE19" s="50"/>
      <c r="AF19" s="50"/>
      <c r="AG19" s="50"/>
      <c r="AH19" s="50"/>
      <c r="AI19" s="50"/>
      <c r="AJ19" s="50"/>
      <c r="AK19" s="50"/>
      <c r="AL19" s="50"/>
      <c r="AM19" s="88"/>
      <c r="AN19" s="88"/>
      <c r="AO19" s="88"/>
      <c r="AP19" s="57"/>
      <c r="AQ19" s="57"/>
      <c r="AR19" s="88"/>
      <c r="AS19" s="88"/>
      <c r="AT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87">
        <f>MAX(CL$17:CL18)+1</f>
        <v>2</v>
      </c>
      <c r="CM19" s="87">
        <v>1</v>
      </c>
      <c r="CN19" s="87">
        <f>CM19+1</f>
        <v>2</v>
      </c>
      <c r="CO19" s="87">
        <f t="shared" ref="CO19:DL19" si="342">CN19+1</f>
        <v>3</v>
      </c>
      <c r="CP19" s="87">
        <f t="shared" si="342"/>
        <v>4</v>
      </c>
      <c r="CQ19" s="87">
        <f t="shared" si="342"/>
        <v>5</v>
      </c>
      <c r="CR19" s="87">
        <f t="shared" si="342"/>
        <v>6</v>
      </c>
      <c r="CS19" s="87">
        <f t="shared" si="342"/>
        <v>7</v>
      </c>
      <c r="CT19" s="87">
        <f t="shared" si="342"/>
        <v>8</v>
      </c>
      <c r="CU19" s="87">
        <f t="shared" si="342"/>
        <v>9</v>
      </c>
      <c r="CV19" s="87">
        <f t="shared" si="342"/>
        <v>10</v>
      </c>
      <c r="CW19" s="87">
        <f t="shared" si="342"/>
        <v>11</v>
      </c>
      <c r="CX19" s="87">
        <f t="shared" si="342"/>
        <v>12</v>
      </c>
      <c r="CY19" s="87">
        <f t="shared" si="342"/>
        <v>13</v>
      </c>
      <c r="CZ19" s="87">
        <f t="shared" si="342"/>
        <v>14</v>
      </c>
      <c r="DA19" s="87">
        <f t="shared" si="342"/>
        <v>15</v>
      </c>
      <c r="DB19" s="87">
        <f t="shared" si="342"/>
        <v>16</v>
      </c>
      <c r="DC19" s="87">
        <f t="shared" si="342"/>
        <v>17</v>
      </c>
      <c r="DD19" s="87">
        <f t="shared" si="342"/>
        <v>18</v>
      </c>
      <c r="DE19" s="87">
        <f t="shared" si="342"/>
        <v>19</v>
      </c>
      <c r="DF19" s="87">
        <f t="shared" si="342"/>
        <v>20</v>
      </c>
      <c r="DG19" s="87">
        <f t="shared" si="342"/>
        <v>21</v>
      </c>
      <c r="DH19" s="87">
        <f t="shared" si="342"/>
        <v>22</v>
      </c>
      <c r="DI19" s="87">
        <f t="shared" si="342"/>
        <v>23</v>
      </c>
      <c r="DJ19" s="87">
        <f t="shared" si="342"/>
        <v>24</v>
      </c>
      <c r="DK19" s="87">
        <f t="shared" si="342"/>
        <v>25</v>
      </c>
      <c r="DL19" s="87">
        <f t="shared" si="342"/>
        <v>26</v>
      </c>
      <c r="DM19" s="87">
        <f t="shared" ref="DM19" si="343">DL19+1</f>
        <v>27</v>
      </c>
      <c r="DN19" s="87">
        <f t="shared" ref="DN19" si="344">DM19+1</f>
        <v>28</v>
      </c>
      <c r="DO19" s="87">
        <f t="shared" ref="DO19:DP19" si="345">DN19+1</f>
        <v>29</v>
      </c>
      <c r="DP19" s="87">
        <f t="shared" si="345"/>
        <v>30</v>
      </c>
      <c r="DQ19" s="87">
        <f t="shared" ref="DQ19" si="346">DP19+1</f>
        <v>31</v>
      </c>
      <c r="DR19" s="87">
        <f t="shared" ref="DR19" si="347">DQ19+1</f>
        <v>32</v>
      </c>
      <c r="DS19" s="87">
        <f t="shared" ref="DS19" si="348">DR19+1</f>
        <v>33</v>
      </c>
      <c r="DT19" s="87">
        <f t="shared" ref="DT19" si="349">DS19+1</f>
        <v>34</v>
      </c>
      <c r="DU19" s="87">
        <f t="shared" ref="DU19" si="350">DT19+1</f>
        <v>35</v>
      </c>
      <c r="DV19" s="87">
        <f t="shared" ref="DV19" si="351">DU19+1</f>
        <v>36</v>
      </c>
      <c r="DW19" s="87">
        <f t="shared" ref="DW19" si="352">DV19+1</f>
        <v>37</v>
      </c>
      <c r="DX19" s="87">
        <f t="shared" ref="DX19" si="353">DW19+1</f>
        <v>38</v>
      </c>
      <c r="DY19" s="87">
        <f t="shared" ref="DY19" si="354">DX19+1</f>
        <v>39</v>
      </c>
      <c r="DZ19" s="87">
        <f t="shared" ref="DZ19" si="355">DY19+1</f>
        <v>40</v>
      </c>
      <c r="EA19" s="87">
        <f t="shared" ref="EA19" si="356">DZ19+1</f>
        <v>41</v>
      </c>
      <c r="EB19" s="87">
        <f t="shared" ref="EB19" si="357">EA19+1</f>
        <v>42</v>
      </c>
      <c r="EC19" s="87">
        <f t="shared" ref="EC19" si="358">EB19+1</f>
        <v>43</v>
      </c>
      <c r="ED19" s="87">
        <f t="shared" ref="ED19" si="359">EC19+1</f>
        <v>44</v>
      </c>
      <c r="EE19" s="87">
        <f t="shared" ref="EE19" si="360">ED19+1</f>
        <v>45</v>
      </c>
      <c r="EF19" s="87">
        <f t="shared" ref="EF19" si="361">EE19+1</f>
        <v>46</v>
      </c>
      <c r="EG19" s="52"/>
      <c r="EH19" s="52"/>
      <c r="EJ19" s="120"/>
      <c r="EK19" s="120"/>
      <c r="EL19" s="120"/>
      <c r="EM19" s="120"/>
      <c r="EN19" s="120"/>
      <c r="EO19" s="120"/>
      <c r="EP19" s="120"/>
      <c r="EQ19" s="120"/>
      <c r="ER19" s="120"/>
      <c r="ES19" s="120"/>
      <c r="ET19" s="120"/>
      <c r="EU19" s="120"/>
      <c r="EV19" s="120"/>
      <c r="EW19" s="120"/>
      <c r="EX19" s="95"/>
      <c r="EY19" s="95"/>
      <c r="EZ19" s="96"/>
      <c r="FA19" s="96"/>
      <c r="FB19" s="96"/>
      <c r="FC19" s="96"/>
      <c r="FD19" s="96"/>
      <c r="FE19" s="96"/>
      <c r="FF19" s="96"/>
      <c r="FG19" s="96"/>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row>
    <row r="20" spans="1:198" x14ac:dyDescent="0.25">
      <c r="A20" s="50"/>
      <c r="B20" s="90"/>
      <c r="C20" s="87"/>
      <c r="D20" s="91"/>
      <c r="E20" s="91"/>
      <c r="F20" s="91"/>
      <c r="G20" s="91"/>
      <c r="H20" s="91"/>
      <c r="I20" s="92"/>
      <c r="J20" s="87"/>
      <c r="K20" s="87"/>
      <c r="L20" s="87"/>
      <c r="M20" s="91"/>
      <c r="N20" s="91"/>
      <c r="O20" s="91"/>
      <c r="P20" s="88"/>
      <c r="Q20" s="88"/>
      <c r="R20" s="88"/>
      <c r="S20" s="91"/>
      <c r="T20" s="91"/>
      <c r="U20" s="91"/>
      <c r="V20" s="91"/>
      <c r="W20" s="91"/>
      <c r="X20" s="91"/>
      <c r="Y20" s="57"/>
      <c r="Z20" s="88"/>
      <c r="AA20" s="88"/>
      <c r="AB20" s="88"/>
      <c r="AC20" s="88"/>
      <c r="AD20" s="88"/>
      <c r="AE20" s="88"/>
      <c r="AF20" s="88"/>
      <c r="AG20" s="88"/>
      <c r="AH20" s="88"/>
      <c r="AI20" s="88"/>
      <c r="AJ20" s="88"/>
      <c r="AK20" s="88"/>
      <c r="AL20" s="88"/>
      <c r="AM20" s="88"/>
      <c r="AN20" s="88"/>
      <c r="AO20" s="88"/>
      <c r="AS20" s="57"/>
      <c r="AT20" s="57"/>
      <c r="CL20" s="87">
        <f>MAX(CL$17:CL19)+1</f>
        <v>3</v>
      </c>
      <c r="CM20" s="87"/>
      <c r="CN20" s="117"/>
      <c r="CO20" s="117"/>
      <c r="CP20" s="117"/>
      <c r="CQ20" s="117" t="s">
        <v>5135</v>
      </c>
      <c r="CR20" s="117"/>
      <c r="CS20" s="117"/>
      <c r="CT20" s="976">
        <f>CT6/100+0.5+0.5</f>
        <v>1.6</v>
      </c>
      <c r="CU20" s="976">
        <f>CU6/100+0.5+0.5</f>
        <v>1.8</v>
      </c>
      <c r="CV20" s="976">
        <f>CV6/100+0.5+0.5</f>
        <v>2</v>
      </c>
      <c r="CW20" s="976">
        <f>CW6/100+0.5+0.5</f>
        <v>2.2000000000000002</v>
      </c>
      <c r="CX20" s="976">
        <f>2*CX6/100+0.5+0.5</f>
        <v>2.6</v>
      </c>
      <c r="CY20" s="976">
        <f>2*CY6/100+0.5+0.5</f>
        <v>3</v>
      </c>
      <c r="CZ20" s="976">
        <f>2*CZ6/100+0.5+0.5</f>
        <v>3.4</v>
      </c>
      <c r="DA20" s="976">
        <f>3*DA6/100+0.5+0.5</f>
        <v>3.4</v>
      </c>
      <c r="DB20" s="976">
        <f>3*DB6/100+0.5+0.5</f>
        <v>4</v>
      </c>
      <c r="DC20" s="976">
        <f>3*DC6/100+0.5+0.5</f>
        <v>4.5999999999999996</v>
      </c>
      <c r="DD20" s="976">
        <f>DD22+0.5+0.5</f>
        <v>2.5</v>
      </c>
      <c r="DE20" s="976">
        <f>DE22+0.5+0.5</f>
        <v>3</v>
      </c>
      <c r="DF20" s="976">
        <f>DF22+0.5+0.5</f>
        <v>3.5</v>
      </c>
      <c r="DG20" s="976">
        <f>2*DG22+0.5+0.5</f>
        <v>4</v>
      </c>
      <c r="DH20" s="976">
        <f>2*DH22+0.5+0.5</f>
        <v>5</v>
      </c>
      <c r="DI20" s="976">
        <f>2*DI22+0.5+0.5</f>
        <v>6</v>
      </c>
      <c r="DJ20" s="976">
        <f>3*DJ22+0.5+0.5</f>
        <v>5.5</v>
      </c>
      <c r="DK20" s="976">
        <f>3*DK22+0.5+0.5</f>
        <v>7</v>
      </c>
      <c r="DL20" s="976">
        <f>3*DL22+0.5+0.5</f>
        <v>8.5</v>
      </c>
      <c r="DM20" s="976"/>
      <c r="DN20" s="976"/>
      <c r="DO20" s="976"/>
      <c r="DP20" s="976"/>
      <c r="DQ20" s="976"/>
      <c r="DR20" s="976"/>
      <c r="DS20" s="95"/>
      <c r="DT20" s="95"/>
      <c r="DU20" s="96"/>
      <c r="DV20" s="95"/>
      <c r="DW20" s="95"/>
      <c r="DX20" s="95"/>
      <c r="DY20" s="95"/>
      <c r="DZ20" s="95"/>
      <c r="EA20" s="96"/>
      <c r="EB20" s="96"/>
      <c r="EC20" s="96"/>
      <c r="ED20" s="96"/>
      <c r="EE20" s="96"/>
      <c r="EF20" s="96"/>
      <c r="EG20" s="52"/>
      <c r="EJ20" s="120"/>
      <c r="EK20" s="120"/>
      <c r="EL20" s="120"/>
      <c r="EM20" s="120"/>
      <c r="EN20" s="120"/>
      <c r="EO20" s="120"/>
      <c r="EP20" s="120"/>
      <c r="EQ20" s="120"/>
      <c r="ER20" s="120"/>
      <c r="ES20" s="120"/>
      <c r="ET20" s="120"/>
      <c r="EU20" s="120"/>
      <c r="EV20" s="120"/>
      <c r="EW20" s="120"/>
      <c r="EX20" s="95"/>
      <c r="EY20" s="95"/>
      <c r="EZ20" s="96"/>
      <c r="FA20" s="96"/>
      <c r="FB20" s="96"/>
      <c r="FC20" s="96"/>
      <c r="FD20" s="96"/>
      <c r="FE20" s="96"/>
      <c r="FF20" s="96"/>
      <c r="FG20" s="96"/>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row>
    <row r="21" spans="1:198" x14ac:dyDescent="0.25">
      <c r="A21" s="50"/>
      <c r="B21" s="90" t="s">
        <v>127</v>
      </c>
      <c r="C21" s="87"/>
      <c r="D21" s="91"/>
      <c r="E21" s="91"/>
      <c r="F21" s="91"/>
      <c r="G21" s="91"/>
      <c r="H21" s="91"/>
      <c r="I21" s="92"/>
      <c r="J21" s="87"/>
      <c r="K21" s="87"/>
      <c r="L21" s="87"/>
      <c r="M21" s="91"/>
      <c r="N21" s="91"/>
      <c r="O21" s="91"/>
      <c r="P21" s="88"/>
      <c r="Q21" s="88"/>
      <c r="R21" s="88"/>
      <c r="S21" s="91"/>
      <c r="T21" s="91"/>
      <c r="U21" s="91"/>
      <c r="V21" s="91"/>
      <c r="W21" s="91"/>
      <c r="X21" s="91"/>
      <c r="Y21" s="57"/>
      <c r="Z21" s="88"/>
      <c r="AA21" s="88"/>
      <c r="AB21" s="88"/>
      <c r="AC21" s="88"/>
      <c r="AD21" s="88"/>
      <c r="AE21" s="88"/>
      <c r="AF21" s="88"/>
      <c r="AG21" s="88"/>
      <c r="AH21" s="88"/>
      <c r="AI21" s="88"/>
      <c r="AJ21" s="88"/>
      <c r="AK21" s="88"/>
      <c r="AL21" s="88"/>
      <c r="AM21" s="88"/>
      <c r="AN21" s="88"/>
      <c r="AO21" s="88"/>
      <c r="AS21" s="57"/>
      <c r="AT21" s="57"/>
      <c r="CL21" s="87">
        <f>MAX(CL$17:CL20)+1</f>
        <v>4</v>
      </c>
      <c r="CM21" s="87"/>
      <c r="CN21" s="117"/>
      <c r="CO21" s="117"/>
      <c r="CP21" s="117"/>
      <c r="CQ21" s="117" t="s">
        <v>5136</v>
      </c>
      <c r="CR21" s="117"/>
      <c r="CS21" s="117"/>
      <c r="CT21" s="976">
        <f>(PI()*(1.2*CT6/100)^2)/4</f>
        <v>0.4</v>
      </c>
      <c r="CU21" s="976">
        <f>(PI()*(1.2*CU6/100)^2)/4</f>
        <v>0.7</v>
      </c>
      <c r="CV21" s="976">
        <f>(PI()*(1.2*CV6/100)^2)/4</f>
        <v>1.1000000000000001</v>
      </c>
      <c r="CW21" s="976">
        <f>(PI()*(1.2*CW6/100)^2)/4</f>
        <v>1.6</v>
      </c>
      <c r="CX21" s="976">
        <f>2*(PI()*(1.2*CX6/100)^2)/4</f>
        <v>1.4</v>
      </c>
      <c r="CY21" s="976">
        <f>2*(PI()*(1.2*CY6/100)^2)/4</f>
        <v>2.2999999999999998</v>
      </c>
      <c r="CZ21" s="976">
        <f>2*(PI()*(1.2*CZ6/100)^2)/4</f>
        <v>3.3</v>
      </c>
      <c r="DA21" s="976">
        <f>3*(PI()*(1.2*DA6/100)^2)/4</f>
        <v>2.2000000000000002</v>
      </c>
      <c r="DB21" s="976">
        <f>3*(PI()*(1.2*DB6/100)^2)/4</f>
        <v>3.4</v>
      </c>
      <c r="DC21" s="976">
        <f>3*(PI()*(1.2*DC6/100)^2)/4</f>
        <v>4.9000000000000004</v>
      </c>
      <c r="DD21" s="976">
        <f>(DD22+0.2+0.2)*(DD23+0.2+0.2)</f>
        <v>3.6</v>
      </c>
      <c r="DE21" s="976">
        <f>(DE22+0.2+0.2)*(DE23+0.2+0.2)</f>
        <v>5.8</v>
      </c>
      <c r="DF21" s="976">
        <f>(DF22+0.2+0.2)*(DF23+0.2+0.2)</f>
        <v>8.4</v>
      </c>
      <c r="DG21" s="976">
        <f>2*(DG22+0.2+0.2)*(DG23+0.2+0.2)</f>
        <v>7.2</v>
      </c>
      <c r="DH21" s="976">
        <f>2*(DH22+0.2+0.2)*(DH23+0.2+0.2)</f>
        <v>11.5</v>
      </c>
      <c r="DI21" s="976">
        <f>2*(DI22+0.2+0.2)*(DI23+0.2+0.2)</f>
        <v>16.8</v>
      </c>
      <c r="DJ21" s="976">
        <f>3*(DJ22+0.2+0.2)*(DJ23+0.2+0.2)</f>
        <v>10.8</v>
      </c>
      <c r="DK21" s="976">
        <f>3*(DK22+0.2+0.2)*(DK23+0.2+0.2)</f>
        <v>17.3</v>
      </c>
      <c r="DL21" s="976">
        <f>3*(DL22+0.2+0.2)*(DL23+0.2+0.2)</f>
        <v>25.2</v>
      </c>
      <c r="DM21" s="976"/>
      <c r="DN21" s="976"/>
      <c r="DO21" s="976"/>
      <c r="DP21" s="976"/>
      <c r="DQ21" s="976"/>
      <c r="DR21" s="976"/>
      <c r="DS21" s="977"/>
      <c r="DT21" s="95"/>
      <c r="DU21" s="96"/>
      <c r="DV21" s="95"/>
      <c r="DW21" s="95"/>
      <c r="DX21" s="95"/>
      <c r="DY21" s="95"/>
      <c r="DZ21" s="95"/>
      <c r="EA21" s="96"/>
      <c r="EB21" s="96"/>
      <c r="EC21" s="96"/>
      <c r="ED21" s="96"/>
      <c r="EE21" s="96"/>
      <c r="EF21" s="96"/>
      <c r="EG21" s="52"/>
      <c r="EH21" s="112"/>
      <c r="EJ21" s="120"/>
      <c r="EK21" s="120"/>
      <c r="EL21" s="120"/>
      <c r="EM21" s="120"/>
      <c r="EN21" s="120"/>
      <c r="EO21" s="120"/>
      <c r="EP21" s="120"/>
      <c r="EQ21" s="120"/>
      <c r="ER21" s="120"/>
      <c r="ES21" s="120"/>
      <c r="ET21" s="120"/>
      <c r="EU21" s="120"/>
      <c r="EV21" s="120"/>
      <c r="EW21" s="120"/>
      <c r="EX21" s="95"/>
      <c r="EY21" s="95"/>
      <c r="EZ21" s="96"/>
      <c r="FA21" s="96"/>
      <c r="FB21" s="96"/>
      <c r="FC21" s="96"/>
      <c r="FD21" s="96"/>
      <c r="FE21" s="96"/>
      <c r="FF21" s="96"/>
      <c r="FG21" s="96"/>
      <c r="FH21" s="121">
        <f t="shared" ref="FH21:FZ21" si="362">CT24</f>
        <v>4</v>
      </c>
      <c r="FI21" s="121">
        <f t="shared" si="362"/>
        <v>7</v>
      </c>
      <c r="FJ21" s="121">
        <f t="shared" si="362"/>
        <v>3</v>
      </c>
      <c r="FK21" s="121">
        <f t="shared" si="362"/>
        <v>1</v>
      </c>
      <c r="FL21" s="121">
        <f t="shared" si="362"/>
        <v>1</v>
      </c>
      <c r="FM21" s="121">
        <f t="shared" si="362"/>
        <v>1</v>
      </c>
      <c r="FN21" s="121">
        <f t="shared" si="362"/>
        <v>0</v>
      </c>
      <c r="FO21" s="121">
        <f t="shared" si="362"/>
        <v>0</v>
      </c>
      <c r="FP21" s="121">
        <f t="shared" si="362"/>
        <v>0</v>
      </c>
      <c r="FQ21" s="121">
        <f t="shared" si="362"/>
        <v>0</v>
      </c>
      <c r="FR21" s="121">
        <f t="shared" si="362"/>
        <v>0</v>
      </c>
      <c r="FS21" s="121">
        <f t="shared" si="362"/>
        <v>0</v>
      </c>
      <c r="FT21" s="121">
        <f t="shared" si="362"/>
        <v>0</v>
      </c>
      <c r="FU21" s="121">
        <f t="shared" si="362"/>
        <v>0</v>
      </c>
      <c r="FV21" s="121">
        <f t="shared" si="362"/>
        <v>0</v>
      </c>
      <c r="FW21" s="121">
        <f t="shared" si="362"/>
        <v>0</v>
      </c>
      <c r="FX21" s="121">
        <f t="shared" si="362"/>
        <v>0</v>
      </c>
      <c r="FY21" s="121">
        <f t="shared" si="362"/>
        <v>0</v>
      </c>
      <c r="FZ21" s="121">
        <f t="shared" si="362"/>
        <v>0</v>
      </c>
      <c r="GA21" s="121"/>
      <c r="GB21" s="121"/>
      <c r="GC21" s="121"/>
      <c r="GD21" s="121"/>
      <c r="GE21" s="121"/>
      <c r="GF21" s="121"/>
      <c r="GG21" s="121"/>
      <c r="GH21" s="121"/>
      <c r="GI21" s="121"/>
      <c r="GJ21" s="121"/>
      <c r="GK21" s="121"/>
      <c r="GL21" s="121"/>
      <c r="GM21" s="121"/>
      <c r="GN21" s="121"/>
      <c r="GO21" s="121"/>
      <c r="GP21" s="121"/>
    </row>
    <row r="22" spans="1:198" x14ac:dyDescent="0.25">
      <c r="A22" s="50"/>
      <c r="B22" s="90" t="s">
        <v>5137</v>
      </c>
      <c r="C22" s="87"/>
      <c r="D22" s="91"/>
      <c r="E22" s="91"/>
      <c r="F22" s="91"/>
      <c r="G22" s="91"/>
      <c r="H22" s="91"/>
      <c r="I22" s="92"/>
      <c r="J22" s="87"/>
      <c r="K22" s="87"/>
      <c r="L22" s="87"/>
      <c r="M22" s="91"/>
      <c r="N22" s="91"/>
      <c r="O22" s="91"/>
      <c r="P22" s="88"/>
      <c r="Q22" s="88"/>
      <c r="R22" s="88"/>
      <c r="S22" s="91"/>
      <c r="T22" s="91"/>
      <c r="U22" s="91"/>
      <c r="V22" s="91"/>
      <c r="W22" s="91"/>
      <c r="X22" s="91"/>
      <c r="Y22" s="57"/>
      <c r="Z22" s="88"/>
      <c r="AA22" s="88"/>
      <c r="AB22" s="88"/>
      <c r="AC22" s="88"/>
      <c r="AD22" s="88"/>
      <c r="AE22" s="88"/>
      <c r="AF22" s="88"/>
      <c r="AG22" s="88"/>
      <c r="AH22" s="88"/>
      <c r="AI22" s="88"/>
      <c r="AJ22" s="88"/>
      <c r="AK22" s="88"/>
      <c r="AL22" s="88"/>
      <c r="AM22" s="88"/>
      <c r="AN22" s="88"/>
      <c r="AO22" s="88"/>
      <c r="AP22" s="57"/>
      <c r="AQ22" s="57"/>
      <c r="AR22" s="115"/>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118"/>
      <c r="CM22" s="118"/>
      <c r="CN22" s="118"/>
      <c r="CO22" s="118"/>
      <c r="CP22" s="118"/>
      <c r="CQ22" s="118"/>
      <c r="CR22" s="118"/>
      <c r="CS22" s="118"/>
      <c r="CT22" s="118"/>
      <c r="CU22" s="978"/>
      <c r="CV22" s="978"/>
      <c r="CW22" s="978"/>
      <c r="CX22" s="978"/>
      <c r="CY22" s="978"/>
      <c r="CZ22" s="978"/>
      <c r="DA22" s="978"/>
      <c r="DB22" s="978"/>
      <c r="DC22" s="976" t="s">
        <v>131</v>
      </c>
      <c r="DD22" s="976">
        <v>1.5</v>
      </c>
      <c r="DE22" s="976">
        <v>2</v>
      </c>
      <c r="DF22" s="976">
        <v>2.5</v>
      </c>
      <c r="DG22" s="976">
        <v>1.5</v>
      </c>
      <c r="DH22" s="976">
        <v>2</v>
      </c>
      <c r="DI22" s="976">
        <v>2.5</v>
      </c>
      <c r="DJ22" s="976">
        <v>1.5</v>
      </c>
      <c r="DK22" s="976">
        <v>2</v>
      </c>
      <c r="DL22" s="976">
        <f>DI22</f>
        <v>2.5</v>
      </c>
      <c r="DM22" s="976"/>
      <c r="DN22" s="976"/>
      <c r="DO22" s="976"/>
      <c r="DP22" s="976"/>
      <c r="DQ22" s="976"/>
      <c r="DR22" s="976"/>
      <c r="DS22" s="50"/>
      <c r="DT22" s="50"/>
      <c r="DU22" s="50"/>
      <c r="DV22" s="50"/>
      <c r="DW22" s="50"/>
      <c r="DX22" s="50"/>
      <c r="DY22" s="50"/>
      <c r="DZ22" s="50"/>
      <c r="EA22" s="50"/>
      <c r="EB22" s="50"/>
      <c r="EC22" s="50"/>
      <c r="ED22" s="50"/>
      <c r="EE22" s="50"/>
      <c r="EF22" s="50"/>
      <c r="EG22" s="52"/>
      <c r="EH22" s="112"/>
      <c r="EJ22" s="120"/>
      <c r="EK22" s="120"/>
      <c r="EL22" s="120"/>
      <c r="EM22" s="120"/>
      <c r="EN22" s="120"/>
      <c r="EO22" s="120"/>
      <c r="EP22" s="120"/>
      <c r="EQ22" s="120"/>
      <c r="ER22" s="120"/>
      <c r="ES22" s="120"/>
      <c r="ET22" s="120"/>
      <c r="EU22" s="120"/>
      <c r="EV22" s="120"/>
      <c r="EW22" s="120"/>
      <c r="EX22" s="95"/>
      <c r="EY22" s="95"/>
      <c r="EZ22" s="96"/>
      <c r="FA22" s="96"/>
      <c r="FB22" s="96"/>
      <c r="FC22" s="96"/>
      <c r="FD22" s="96"/>
      <c r="FE22" s="112"/>
      <c r="FF22" s="112"/>
      <c r="FG22" s="112"/>
      <c r="FH22" s="112"/>
      <c r="FI22" s="112"/>
      <c r="FJ22" s="112"/>
      <c r="FK22" s="112"/>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row>
    <row r="23" spans="1:198" x14ac:dyDescent="0.25">
      <c r="A23" s="50"/>
      <c r="B23" s="90" t="s">
        <v>116</v>
      </c>
      <c r="C23" s="87"/>
      <c r="D23" s="91"/>
      <c r="E23" s="91"/>
      <c r="F23" s="91"/>
      <c r="G23" s="91"/>
      <c r="H23" s="91"/>
      <c r="I23" s="92"/>
      <c r="J23" s="87"/>
      <c r="K23" s="87"/>
      <c r="L23" s="87"/>
      <c r="M23" s="91"/>
      <c r="N23" s="91"/>
      <c r="O23" s="91"/>
      <c r="P23" s="88"/>
      <c r="Q23" s="88"/>
      <c r="R23" s="88"/>
      <c r="S23" s="91"/>
      <c r="T23" s="91"/>
      <c r="U23" s="91"/>
      <c r="V23" s="91"/>
      <c r="W23" s="91"/>
      <c r="X23" s="91"/>
      <c r="Y23" s="57"/>
      <c r="Z23" s="88"/>
      <c r="AA23" s="88"/>
      <c r="AB23" s="57"/>
      <c r="AC23" s="88"/>
      <c r="AD23" s="88"/>
      <c r="AE23" s="88"/>
      <c r="AF23" s="88"/>
      <c r="AG23" s="88"/>
      <c r="AH23" s="88"/>
      <c r="AI23" s="88"/>
      <c r="AJ23" s="88"/>
      <c r="AK23" s="88"/>
      <c r="AL23" s="88"/>
      <c r="AM23" s="88"/>
      <c r="AN23" s="88"/>
      <c r="AO23" s="88"/>
      <c r="AP23" s="57"/>
      <c r="AQ23" s="57"/>
      <c r="AR23" s="115"/>
      <c r="AS23" s="57"/>
      <c r="AT23" s="57"/>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N23" s="50"/>
      <c r="CO23" s="50"/>
      <c r="CP23" s="50"/>
      <c r="CQ23" s="50"/>
      <c r="CR23" s="50"/>
      <c r="CS23" s="50"/>
      <c r="CT23" s="50"/>
      <c r="CU23" s="976"/>
      <c r="CV23" s="976"/>
      <c r="CW23" s="976"/>
      <c r="CX23" s="976"/>
      <c r="CY23" s="976"/>
      <c r="CZ23" s="976"/>
      <c r="DA23" s="976"/>
      <c r="DB23" s="976"/>
      <c r="DC23" s="976" t="s">
        <v>588</v>
      </c>
      <c r="DD23" s="976">
        <v>1.5</v>
      </c>
      <c r="DE23" s="976">
        <v>2</v>
      </c>
      <c r="DF23" s="976">
        <v>2.5</v>
      </c>
      <c r="DG23" s="976">
        <v>1.5</v>
      </c>
      <c r="DH23" s="976">
        <v>2</v>
      </c>
      <c r="DI23" s="976">
        <v>2.5</v>
      </c>
      <c r="DJ23" s="976">
        <v>1.5</v>
      </c>
      <c r="DK23" s="976">
        <v>2</v>
      </c>
      <c r="DL23" s="976">
        <f>DI23</f>
        <v>2.5</v>
      </c>
      <c r="DM23" s="976"/>
      <c r="DN23" s="976"/>
      <c r="DO23" s="976"/>
      <c r="DP23" s="976"/>
      <c r="DQ23" s="976"/>
      <c r="DR23" s="976"/>
      <c r="DS23" s="50"/>
      <c r="DT23" s="50"/>
      <c r="DU23" s="50"/>
      <c r="DV23" s="50"/>
      <c r="DW23" s="50"/>
      <c r="DX23" s="50"/>
      <c r="DY23" s="50"/>
      <c r="DZ23" s="50"/>
      <c r="EA23" s="50"/>
      <c r="EB23" s="50"/>
      <c r="EC23" s="50"/>
      <c r="ED23" s="50"/>
      <c r="EE23" s="50"/>
      <c r="EF23" s="50"/>
      <c r="EG23" s="52"/>
      <c r="EH23" s="112"/>
      <c r="EJ23" s="979">
        <f>FR23</f>
        <v>11</v>
      </c>
      <c r="EK23" s="979">
        <f t="shared" ref="EK23:EZ25" si="363">FS23</f>
        <v>12</v>
      </c>
      <c r="EL23" s="979">
        <f t="shared" si="363"/>
        <v>13</v>
      </c>
      <c r="EM23" s="979">
        <f t="shared" si="363"/>
        <v>14</v>
      </c>
      <c r="EN23" s="979">
        <f t="shared" si="363"/>
        <v>15</v>
      </c>
      <c r="EO23" s="979">
        <f t="shared" si="363"/>
        <v>16</v>
      </c>
      <c r="EP23" s="979">
        <f t="shared" si="363"/>
        <v>17</v>
      </c>
      <c r="EQ23" s="979">
        <f t="shared" si="363"/>
        <v>18</v>
      </c>
      <c r="ER23" s="979">
        <f t="shared" si="363"/>
        <v>19</v>
      </c>
      <c r="ES23" s="979">
        <f t="shared" si="363"/>
        <v>20</v>
      </c>
      <c r="ET23" s="979">
        <f t="shared" si="363"/>
        <v>21</v>
      </c>
      <c r="EU23" s="979">
        <f t="shared" si="363"/>
        <v>22</v>
      </c>
      <c r="EV23" s="979">
        <f t="shared" si="363"/>
        <v>23</v>
      </c>
      <c r="EW23" s="979">
        <f t="shared" si="363"/>
        <v>24</v>
      </c>
      <c r="EX23" s="979">
        <f t="shared" si="363"/>
        <v>25</v>
      </c>
      <c r="EY23" s="979">
        <f t="shared" si="363"/>
        <v>26</v>
      </c>
      <c r="EZ23" s="979">
        <f t="shared" si="363"/>
        <v>27</v>
      </c>
      <c r="FA23" s="1404">
        <f t="shared" ref="FA23:FD25" si="364">GK23</f>
        <v>0</v>
      </c>
      <c r="FB23" s="1404">
        <f t="shared" si="364"/>
        <v>0</v>
      </c>
      <c r="FC23" s="1404">
        <f t="shared" si="364"/>
        <v>0</v>
      </c>
      <c r="FD23" s="1404">
        <f t="shared" si="364"/>
        <v>0</v>
      </c>
      <c r="FE23" s="1404"/>
      <c r="FF23" s="979">
        <v>1</v>
      </c>
      <c r="FG23" s="112"/>
      <c r="FH23" s="979">
        <v>1</v>
      </c>
      <c r="FI23" s="979">
        <f>FH23+1</f>
        <v>2</v>
      </c>
      <c r="FJ23" s="979">
        <f t="shared" ref="FJ23:GH23" si="365">FI23+1</f>
        <v>3</v>
      </c>
      <c r="FK23" s="979">
        <f t="shared" si="365"/>
        <v>4</v>
      </c>
      <c r="FL23" s="979">
        <f t="shared" si="365"/>
        <v>5</v>
      </c>
      <c r="FM23" s="979">
        <f t="shared" si="365"/>
        <v>6</v>
      </c>
      <c r="FN23" s="979">
        <f t="shared" si="365"/>
        <v>7</v>
      </c>
      <c r="FO23" s="979">
        <f t="shared" si="365"/>
        <v>8</v>
      </c>
      <c r="FP23" s="979">
        <f t="shared" si="365"/>
        <v>9</v>
      </c>
      <c r="FQ23" s="979">
        <f t="shared" si="365"/>
        <v>10</v>
      </c>
      <c r="FR23" s="979">
        <f t="shared" si="365"/>
        <v>11</v>
      </c>
      <c r="FS23" s="979">
        <f t="shared" si="365"/>
        <v>12</v>
      </c>
      <c r="FT23" s="979">
        <f t="shared" si="365"/>
        <v>13</v>
      </c>
      <c r="FU23" s="979">
        <f t="shared" si="365"/>
        <v>14</v>
      </c>
      <c r="FV23" s="979">
        <f t="shared" si="365"/>
        <v>15</v>
      </c>
      <c r="FW23" s="979">
        <f t="shared" si="365"/>
        <v>16</v>
      </c>
      <c r="FX23" s="979">
        <f t="shared" si="365"/>
        <v>17</v>
      </c>
      <c r="FY23" s="979">
        <f t="shared" si="365"/>
        <v>18</v>
      </c>
      <c r="FZ23" s="979">
        <f t="shared" si="365"/>
        <v>19</v>
      </c>
      <c r="GA23" s="979">
        <f t="shared" si="365"/>
        <v>20</v>
      </c>
      <c r="GB23" s="979">
        <f t="shared" si="365"/>
        <v>21</v>
      </c>
      <c r="GC23" s="979">
        <f t="shared" si="365"/>
        <v>22</v>
      </c>
      <c r="GD23" s="979">
        <f t="shared" si="365"/>
        <v>23</v>
      </c>
      <c r="GE23" s="979">
        <f t="shared" si="365"/>
        <v>24</v>
      </c>
      <c r="GF23" s="979">
        <f t="shared" si="365"/>
        <v>25</v>
      </c>
      <c r="GG23" s="979">
        <f t="shared" si="365"/>
        <v>26</v>
      </c>
      <c r="GH23" s="979">
        <f t="shared" si="365"/>
        <v>27</v>
      </c>
      <c r="GI23" s="979">
        <f t="shared" ref="GI23" si="366">GH23+1</f>
        <v>28</v>
      </c>
      <c r="GJ23" s="979">
        <f t="shared" ref="GJ23" si="367">GI23+1</f>
        <v>29</v>
      </c>
      <c r="GK23" s="979"/>
      <c r="GL23" s="979"/>
      <c r="GM23" s="979"/>
      <c r="GN23" s="979"/>
      <c r="GO23" s="979"/>
      <c r="GP23" s="979">
        <f>GJ23+1</f>
        <v>30</v>
      </c>
    </row>
    <row r="24" spans="1:198" x14ac:dyDescent="0.25">
      <c r="A24" s="50"/>
      <c r="B24" s="90" t="s">
        <v>5138</v>
      </c>
      <c r="C24" s="87"/>
      <c r="D24" s="91"/>
      <c r="E24" s="91"/>
      <c r="F24" s="91"/>
      <c r="G24" s="91"/>
      <c r="H24" s="91"/>
      <c r="I24" s="92"/>
      <c r="J24" s="87"/>
      <c r="K24" s="87"/>
      <c r="L24" s="87"/>
      <c r="M24" s="91"/>
      <c r="N24" s="91"/>
      <c r="O24" s="91"/>
      <c r="P24" s="88"/>
      <c r="Q24" s="88"/>
      <c r="R24" s="88"/>
      <c r="S24" s="91"/>
      <c r="T24" s="91"/>
      <c r="U24" s="91"/>
      <c r="V24" s="91"/>
      <c r="W24" s="91"/>
      <c r="X24" s="91"/>
      <c r="Y24" s="57"/>
      <c r="Z24" s="57"/>
      <c r="AA24" s="57"/>
      <c r="AB24" s="88"/>
      <c r="AC24" s="88"/>
      <c r="AD24" s="88"/>
      <c r="AE24" s="88"/>
      <c r="AF24" s="88"/>
      <c r="AG24" s="88"/>
      <c r="AH24" s="88"/>
      <c r="AI24" s="88"/>
      <c r="AJ24" s="88"/>
      <c r="AK24" s="88"/>
      <c r="AL24" s="88"/>
      <c r="AM24" s="88"/>
      <c r="AN24" s="88"/>
      <c r="AO24" s="88"/>
      <c r="AP24" s="57"/>
      <c r="AQ24" s="57"/>
      <c r="AR24" s="115"/>
      <c r="AS24" s="57"/>
      <c r="AT24" s="57"/>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N24" s="116"/>
      <c r="CO24" s="116"/>
      <c r="CP24" s="116"/>
      <c r="CQ24" s="50"/>
      <c r="CR24" s="50"/>
      <c r="CS24" s="1038">
        <f>SUM(CT24:DL24)</f>
        <v>17</v>
      </c>
      <c r="CT24" s="1038">
        <v>4</v>
      </c>
      <c r="CU24" s="1038">
        <v>7</v>
      </c>
      <c r="CV24" s="1038">
        <v>3</v>
      </c>
      <c r="CW24" s="1038">
        <v>1</v>
      </c>
      <c r="CX24" s="1038">
        <v>1</v>
      </c>
      <c r="CY24" s="1038">
        <v>1</v>
      </c>
      <c r="CZ24" s="1038"/>
      <c r="DA24" s="1038"/>
      <c r="DB24" s="1038"/>
      <c r="DC24" s="1038"/>
      <c r="DD24" s="1038"/>
      <c r="DE24" s="1038"/>
      <c r="DF24" s="1038"/>
      <c r="DG24" s="1038"/>
      <c r="DH24" s="1038"/>
      <c r="DI24" s="1038"/>
      <c r="DJ24" s="1038"/>
      <c r="DK24" s="1038"/>
      <c r="DL24" s="1038"/>
      <c r="DM24" s="1413"/>
      <c r="DN24" s="1413"/>
      <c r="DO24" s="1413"/>
      <c r="DP24" s="1413"/>
      <c r="DQ24" s="1413"/>
      <c r="DR24" s="1413"/>
      <c r="DS24" s="50"/>
      <c r="DT24" s="50"/>
      <c r="DU24" s="50"/>
      <c r="DV24" s="50"/>
      <c r="DW24" s="50"/>
      <c r="DX24" s="50"/>
      <c r="DY24" s="50"/>
      <c r="DZ24" s="50"/>
      <c r="EA24" s="50"/>
      <c r="EB24" s="50"/>
      <c r="EC24" s="50"/>
      <c r="ED24" s="50"/>
      <c r="EE24" s="50"/>
      <c r="EF24" s="50"/>
      <c r="EG24" s="112"/>
      <c r="EH24" s="116"/>
      <c r="EJ24" s="1890" t="str">
        <f t="shared" ref="EJ24:EJ25" si="368">FR24</f>
        <v xml:space="preserve"> Boca BSCC (m)</v>
      </c>
      <c r="EK24" s="1890">
        <f t="shared" si="363"/>
        <v>0</v>
      </c>
      <c r="EL24" s="1890">
        <f t="shared" si="363"/>
        <v>0</v>
      </c>
      <c r="EM24" s="1890" t="str">
        <f t="shared" si="363"/>
        <v xml:space="preserve"> Boca  BDCC (m)</v>
      </c>
      <c r="EN24" s="1890">
        <f t="shared" si="363"/>
        <v>0</v>
      </c>
      <c r="EO24" s="1890">
        <f t="shared" si="363"/>
        <v>0</v>
      </c>
      <c r="EP24" s="1890" t="str">
        <f t="shared" si="363"/>
        <v xml:space="preserve"> Boca  BTCC (m)</v>
      </c>
      <c r="EQ24" s="1890">
        <f t="shared" si="363"/>
        <v>0</v>
      </c>
      <c r="ER24" s="1890">
        <f t="shared" si="363"/>
        <v>0</v>
      </c>
      <c r="ES24" s="1890" t="str">
        <f t="shared" si="363"/>
        <v>CCS</v>
      </c>
      <c r="ET24" s="1890">
        <f t="shared" si="363"/>
        <v>0</v>
      </c>
      <c r="EU24" s="1890">
        <f t="shared" si="363"/>
        <v>0</v>
      </c>
      <c r="EV24" s="1890">
        <f t="shared" si="363"/>
        <v>0</v>
      </c>
      <c r="EW24" s="1890" t="str">
        <f t="shared" si="363"/>
        <v>CCT</v>
      </c>
      <c r="EX24" s="1890">
        <f t="shared" si="363"/>
        <v>0</v>
      </c>
      <c r="EY24" s="1890">
        <f t="shared" si="363"/>
        <v>0</v>
      </c>
      <c r="EZ24" s="1890">
        <f t="shared" si="363"/>
        <v>0</v>
      </c>
      <c r="FA24" s="1404">
        <f t="shared" si="364"/>
        <v>0</v>
      </c>
      <c r="FB24" s="1404">
        <f t="shared" si="364"/>
        <v>0</v>
      </c>
      <c r="FC24" s="1404">
        <f t="shared" si="364"/>
        <v>0</v>
      </c>
      <c r="FD24" s="1404">
        <f t="shared" si="364"/>
        <v>0</v>
      </c>
      <c r="FE24" s="1404"/>
      <c r="FF24" s="979">
        <f>FF23+1</f>
        <v>2</v>
      </c>
      <c r="FG24" s="50"/>
      <c r="FH24" s="1890" t="s">
        <v>5139</v>
      </c>
      <c r="FI24" s="1890"/>
      <c r="FJ24" s="1890"/>
      <c r="FK24" s="1890"/>
      <c r="FL24" s="1890" t="s">
        <v>5140</v>
      </c>
      <c r="FM24" s="1890"/>
      <c r="FN24" s="1890"/>
      <c r="FO24" s="1890" t="s">
        <v>5141</v>
      </c>
      <c r="FP24" s="1890"/>
      <c r="FQ24" s="1890"/>
      <c r="FR24" s="1890" t="s">
        <v>5142</v>
      </c>
      <c r="FS24" s="1890"/>
      <c r="FT24" s="1890"/>
      <c r="FU24" s="1890" t="s">
        <v>5143</v>
      </c>
      <c r="FV24" s="1890"/>
      <c r="FW24" s="1890"/>
      <c r="FX24" s="1890" t="s">
        <v>5144</v>
      </c>
      <c r="FY24" s="1890"/>
      <c r="FZ24" s="1890"/>
      <c r="GA24" s="1890" t="str">
        <f>GA6</f>
        <v>CCS</v>
      </c>
      <c r="GB24" s="1890"/>
      <c r="GC24" s="1890"/>
      <c r="GD24" s="1890"/>
      <c r="GE24" s="1890" t="str">
        <f>GE6</f>
        <v>CCT</v>
      </c>
      <c r="GF24" s="1890"/>
      <c r="GG24" s="1890"/>
      <c r="GH24" s="1890"/>
      <c r="GI24" s="1405" t="str">
        <f>GI6</f>
        <v>PVI</v>
      </c>
      <c r="GJ24" s="1405" t="str">
        <f>GJ6</f>
        <v>CLP</v>
      </c>
      <c r="GK24" s="980"/>
      <c r="GL24" s="980"/>
      <c r="GM24" s="980"/>
      <c r="GN24" s="1121"/>
      <c r="GO24" s="1405"/>
      <c r="GP24" s="981"/>
    </row>
    <row r="25" spans="1:198" x14ac:dyDescent="0.25">
      <c r="A25" s="50"/>
      <c r="B25" s="90" t="s">
        <v>120</v>
      </c>
      <c r="C25" s="117"/>
      <c r="D25" s="117"/>
      <c r="E25" s="117"/>
      <c r="F25" s="117"/>
      <c r="G25" s="117"/>
      <c r="H25" s="117"/>
      <c r="I25" s="118"/>
      <c r="J25" s="118"/>
      <c r="K25" s="118"/>
      <c r="L25" s="118"/>
      <c r="M25" s="117"/>
      <c r="N25" s="117"/>
      <c r="O25" s="117"/>
      <c r="S25" s="117"/>
      <c r="T25" s="117"/>
      <c r="U25" s="117"/>
      <c r="V25" s="117"/>
      <c r="W25" s="117"/>
      <c r="X25" s="117"/>
      <c r="Y25" s="117"/>
      <c r="Z25" s="117"/>
      <c r="AA25" s="117"/>
      <c r="AB25" s="414"/>
      <c r="AC25" s="413"/>
      <c r="AD25" s="413"/>
      <c r="AE25" s="413"/>
      <c r="AF25" s="413"/>
      <c r="AG25" s="413"/>
      <c r="AH25" s="413"/>
      <c r="AI25" s="413"/>
      <c r="AJ25" s="413"/>
      <c r="AK25" s="117"/>
      <c r="AL25" s="117"/>
      <c r="AM25" s="117"/>
      <c r="AN25" s="117"/>
      <c r="AO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N25" s="116"/>
      <c r="CO25" s="116"/>
      <c r="CP25" s="116"/>
      <c r="CQ25" s="50"/>
      <c r="CR25" s="50"/>
      <c r="CS25" s="50"/>
      <c r="CT25" s="50"/>
      <c r="DS25" s="50"/>
      <c r="DT25" s="50"/>
      <c r="DU25" s="50"/>
      <c r="DV25" s="50"/>
      <c r="DW25" s="50"/>
      <c r="DX25" s="50"/>
      <c r="DY25" s="50"/>
      <c r="DZ25" s="50"/>
      <c r="EA25" s="50"/>
      <c r="EB25" s="50"/>
      <c r="EC25" s="50"/>
      <c r="ED25" s="50"/>
      <c r="EE25" s="50"/>
      <c r="EF25" s="50"/>
      <c r="EG25" s="124"/>
      <c r="EH25" s="116"/>
      <c r="EJ25" s="921" t="str">
        <f t="shared" si="368"/>
        <v>1,5x1,5</v>
      </c>
      <c r="EK25" s="921" t="str">
        <f t="shared" si="363"/>
        <v>2x2</v>
      </c>
      <c r="EL25" s="921" t="str">
        <f t="shared" si="363"/>
        <v>2,5x2,5</v>
      </c>
      <c r="EM25" s="921" t="str">
        <f t="shared" si="363"/>
        <v>1,5x1,5</v>
      </c>
      <c r="EN25" s="921" t="str">
        <f t="shared" si="363"/>
        <v>2x2</v>
      </c>
      <c r="EO25" s="921" t="str">
        <f t="shared" si="363"/>
        <v>2,5x2,5</v>
      </c>
      <c r="EP25" s="921" t="str">
        <f t="shared" si="363"/>
        <v>1,5x1,5</v>
      </c>
      <c r="EQ25" s="921" t="str">
        <f t="shared" si="363"/>
        <v>2x2</v>
      </c>
      <c r="ER25" s="921" t="str">
        <f t="shared" si="363"/>
        <v>2,5x2,5</v>
      </c>
      <c r="ES25" s="921" t="str">
        <f t="shared" si="363"/>
        <v>01</v>
      </c>
      <c r="ET25" s="921" t="str">
        <f t="shared" si="363"/>
        <v>02</v>
      </c>
      <c r="EU25" s="921" t="str">
        <f t="shared" si="363"/>
        <v>03</v>
      </c>
      <c r="EV25" s="921" t="str">
        <f t="shared" si="363"/>
        <v>04</v>
      </c>
      <c r="EW25" s="921" t="str">
        <f t="shared" si="363"/>
        <v>01</v>
      </c>
      <c r="EX25" s="921" t="str">
        <f t="shared" si="363"/>
        <v>02</v>
      </c>
      <c r="EY25" s="921" t="str">
        <f t="shared" si="363"/>
        <v>03</v>
      </c>
      <c r="EZ25" s="921" t="str">
        <f t="shared" si="363"/>
        <v>04</v>
      </c>
      <c r="FA25" s="1404">
        <f t="shared" si="364"/>
        <v>0</v>
      </c>
      <c r="FB25" s="1404">
        <f t="shared" si="364"/>
        <v>0</v>
      </c>
      <c r="FC25" s="1404">
        <f t="shared" si="364"/>
        <v>0</v>
      </c>
      <c r="FD25" s="1404">
        <f t="shared" si="364"/>
        <v>0</v>
      </c>
      <c r="FE25" s="1404"/>
      <c r="FF25" s="979">
        <f t="shared" ref="FF25:FF29" si="369">FF24+1</f>
        <v>3</v>
      </c>
      <c r="FG25" s="116"/>
      <c r="FH25" s="921">
        <v>60</v>
      </c>
      <c r="FI25" s="921">
        <v>80</v>
      </c>
      <c r="FJ25" s="921">
        <f t="shared" ref="FJ25:FZ25" si="370">CV6</f>
        <v>100</v>
      </c>
      <c r="FK25" s="921">
        <f t="shared" si="370"/>
        <v>120</v>
      </c>
      <c r="FL25" s="921">
        <f t="shared" si="370"/>
        <v>80</v>
      </c>
      <c r="FM25" s="921">
        <f t="shared" si="370"/>
        <v>100</v>
      </c>
      <c r="FN25" s="921">
        <f t="shared" si="370"/>
        <v>120</v>
      </c>
      <c r="FO25" s="921">
        <f t="shared" si="370"/>
        <v>80</v>
      </c>
      <c r="FP25" s="921">
        <f t="shared" si="370"/>
        <v>100</v>
      </c>
      <c r="FQ25" s="921">
        <f t="shared" si="370"/>
        <v>120</v>
      </c>
      <c r="FR25" s="921" t="str">
        <f t="shared" si="370"/>
        <v>1,5x1,5</v>
      </c>
      <c r="FS25" s="921" t="str">
        <f t="shared" si="370"/>
        <v>2x2</v>
      </c>
      <c r="FT25" s="921" t="str">
        <f t="shared" si="370"/>
        <v>2,5x2,5</v>
      </c>
      <c r="FU25" s="921" t="str">
        <f t="shared" si="370"/>
        <v>1,5x1,5</v>
      </c>
      <c r="FV25" s="921" t="str">
        <f t="shared" si="370"/>
        <v>2x2</v>
      </c>
      <c r="FW25" s="921" t="str">
        <f t="shared" si="370"/>
        <v>2,5x2,5</v>
      </c>
      <c r="FX25" s="921" t="str">
        <f t="shared" si="370"/>
        <v>1,5x1,5</v>
      </c>
      <c r="FY25" s="921" t="str">
        <f t="shared" si="370"/>
        <v>2x2</v>
      </c>
      <c r="FZ25" s="921" t="str">
        <f t="shared" si="370"/>
        <v>2,5x2,5</v>
      </c>
      <c r="GA25" s="921" t="s">
        <v>5145</v>
      </c>
      <c r="GB25" s="921" t="s">
        <v>5070</v>
      </c>
      <c r="GC25" s="921" t="s">
        <v>5129</v>
      </c>
      <c r="GD25" s="921" t="s">
        <v>5130</v>
      </c>
      <c r="GE25" s="921" t="s">
        <v>5145</v>
      </c>
      <c r="GF25" s="921" t="s">
        <v>5070</v>
      </c>
      <c r="GG25" s="921" t="s">
        <v>5129</v>
      </c>
      <c r="GH25" s="921" t="s">
        <v>5130</v>
      </c>
      <c r="GI25" s="921" t="str">
        <f>GH25</f>
        <v>04</v>
      </c>
      <c r="GJ25" s="921" t="str">
        <f>GI25</f>
        <v>04</v>
      </c>
      <c r="GK25" s="921"/>
      <c r="GL25" s="921"/>
      <c r="GM25" s="921"/>
      <c r="GN25" s="921"/>
      <c r="GO25" s="921"/>
      <c r="GP25" s="921"/>
    </row>
    <row r="26" spans="1:198" x14ac:dyDescent="0.25">
      <c r="A26" s="50"/>
      <c r="B26" s="117"/>
      <c r="C26" s="117"/>
      <c r="D26" s="117"/>
      <c r="E26" s="117"/>
      <c r="F26" s="117"/>
      <c r="G26" s="117"/>
      <c r="H26" s="117"/>
      <c r="I26" s="122"/>
      <c r="J26" s="123"/>
      <c r="K26" s="123"/>
      <c r="L26" s="123"/>
      <c r="M26" s="117"/>
      <c r="N26" s="117"/>
      <c r="O26" s="117"/>
      <c r="S26" s="118"/>
      <c r="T26" s="118"/>
      <c r="U26" s="118"/>
      <c r="V26" s="118"/>
      <c r="W26" s="118"/>
      <c r="X26" s="118"/>
      <c r="Y26" s="118"/>
      <c r="Z26" s="117"/>
      <c r="AA26" s="117"/>
      <c r="AB26" s="414"/>
      <c r="AC26" s="413"/>
      <c r="AD26" s="413"/>
      <c r="AE26" s="413"/>
      <c r="AF26" s="413"/>
      <c r="AG26" s="413"/>
      <c r="AH26" s="413"/>
      <c r="AI26" s="413"/>
      <c r="AJ26" s="413"/>
      <c r="AK26" s="118"/>
      <c r="AL26" s="118"/>
      <c r="AM26" s="118"/>
      <c r="AN26" s="118"/>
      <c r="AO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N26" s="116"/>
      <c r="CO26" s="116"/>
      <c r="CP26" s="116"/>
      <c r="CQ26" s="50"/>
      <c r="CR26" s="50"/>
      <c r="CS26" s="50"/>
      <c r="CT26" s="50"/>
      <c r="DS26" s="50"/>
      <c r="DT26" s="50"/>
      <c r="DU26" s="50"/>
      <c r="DV26" s="50"/>
      <c r="DW26" s="50"/>
      <c r="DX26" s="50"/>
      <c r="DY26" s="50"/>
      <c r="DZ26" s="50"/>
      <c r="EA26" s="50"/>
      <c r="EB26" s="50"/>
      <c r="EC26" s="50"/>
      <c r="ED26" s="50"/>
      <c r="EE26" s="50"/>
      <c r="EF26" s="50"/>
      <c r="EG26" s="124"/>
      <c r="EH26" s="116"/>
      <c r="EJ26" s="120"/>
      <c r="EK26" s="120"/>
      <c r="EL26" s="120"/>
      <c r="EM26" s="120"/>
      <c r="EN26" s="120"/>
      <c r="EO26" s="120"/>
      <c r="EP26" s="120"/>
      <c r="EQ26" s="120"/>
      <c r="ER26" s="120"/>
      <c r="ES26" s="120"/>
      <c r="ET26" s="120"/>
      <c r="EU26" s="120"/>
      <c r="EV26" s="120"/>
      <c r="EW26" s="120"/>
      <c r="EX26" s="95"/>
      <c r="EY26" s="95"/>
      <c r="EZ26" s="96"/>
      <c r="FA26" s="96"/>
      <c r="FB26" s="96"/>
      <c r="FC26" s="96"/>
      <c r="FD26" s="96"/>
      <c r="FE26" s="116"/>
      <c r="FF26" s="979">
        <f t="shared" si="369"/>
        <v>4</v>
      </c>
      <c r="FG26" s="982" t="s">
        <v>3100</v>
      </c>
      <c r="FH26" s="983">
        <f>0.5+0.5+FH30</f>
        <v>1.9</v>
      </c>
      <c r="FI26" s="983">
        <f t="shared" ref="FI26:FK27" si="371">0.5+0.5+FI30</f>
        <v>2.2999999999999998</v>
      </c>
      <c r="FJ26" s="983">
        <f t="shared" si="371"/>
        <v>2.6</v>
      </c>
      <c r="FK26" s="983">
        <f t="shared" si="371"/>
        <v>2.9</v>
      </c>
      <c r="FL26" s="983">
        <f>0.5+0.5+1.8</f>
        <v>2.8</v>
      </c>
      <c r="FM26" s="983">
        <f>0.5+0.5+2.05</f>
        <v>3.05</v>
      </c>
      <c r="FN26" s="983">
        <f>0.5+0.5+2.3</f>
        <v>3.3</v>
      </c>
      <c r="FO26" s="983">
        <f>0.5+0.5+1.8</f>
        <v>2.8</v>
      </c>
      <c r="FP26" s="983">
        <f>0.5+0.5+2.05</f>
        <v>3.05</v>
      </c>
      <c r="FQ26" s="983">
        <f>0.5+0.5+2.3</f>
        <v>3.3</v>
      </c>
      <c r="FR26" s="983">
        <f>3.2+0.5+0.5</f>
        <v>4.2</v>
      </c>
      <c r="FS26" s="983">
        <f>3.95+0.5+0.5</f>
        <v>4.95</v>
      </c>
      <c r="FT26" s="983">
        <f>4.7+0.5+0.5</f>
        <v>5.7</v>
      </c>
      <c r="FU26" s="983">
        <f>3.2+0.5+0.5</f>
        <v>4.2</v>
      </c>
      <c r="FV26" s="983">
        <f>3.95+0.5+0.5</f>
        <v>4.95</v>
      </c>
      <c r="FW26" s="983">
        <f>4.7+0.5+0.5</f>
        <v>5.7</v>
      </c>
      <c r="FX26" s="983">
        <f>3.2+0.5+0.5</f>
        <v>4.2</v>
      </c>
      <c r="FY26" s="983">
        <f>3.95+0.5+0.5</f>
        <v>4.95</v>
      </c>
      <c r="FZ26" s="983">
        <f>4.7+0.5+0.5</f>
        <v>5.7</v>
      </c>
      <c r="GA26" s="983">
        <f t="shared" ref="GA26:GH27" si="372">0.5+0.5+GA30</f>
        <v>2.4</v>
      </c>
      <c r="GB26" s="983">
        <f t="shared" si="372"/>
        <v>2.4</v>
      </c>
      <c r="GC26" s="983">
        <f t="shared" si="372"/>
        <v>2.4</v>
      </c>
      <c r="GD26" s="983">
        <f t="shared" si="372"/>
        <v>2.4</v>
      </c>
      <c r="GE26" s="983">
        <f t="shared" si="372"/>
        <v>2.4</v>
      </c>
      <c r="GF26" s="983">
        <f t="shared" si="372"/>
        <v>2.4</v>
      </c>
      <c r="GG26" s="983">
        <f t="shared" si="372"/>
        <v>2.4</v>
      </c>
      <c r="GH26" s="983">
        <f t="shared" si="372"/>
        <v>2.4</v>
      </c>
      <c r="GI26" s="983">
        <f t="shared" ref="GI26:GJ26" si="373">0.5+0.5+GI30</f>
        <v>2.4</v>
      </c>
      <c r="GJ26" s="983">
        <f t="shared" si="373"/>
        <v>2.4</v>
      </c>
      <c r="GK26" s="983"/>
      <c r="GL26" s="983"/>
      <c r="GM26" s="983"/>
      <c r="GN26" s="983"/>
      <c r="GO26" s="983"/>
      <c r="GP26" s="983"/>
    </row>
    <row r="27" spans="1:198" x14ac:dyDescent="0.25">
      <c r="A27" s="50"/>
      <c r="B27" s="117"/>
      <c r="C27" s="117"/>
      <c r="D27" s="117"/>
      <c r="E27" s="117"/>
      <c r="F27" s="117"/>
      <c r="G27" s="117"/>
      <c r="H27" s="117"/>
      <c r="I27" s="122"/>
      <c r="J27" s="123"/>
      <c r="K27" s="123"/>
      <c r="L27" s="123"/>
      <c r="M27" s="117"/>
      <c r="N27" s="117"/>
      <c r="O27" s="117"/>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N27" s="116"/>
      <c r="CO27" s="116"/>
      <c r="CP27" s="116"/>
      <c r="CQ27" s="50"/>
      <c r="CR27" s="50"/>
      <c r="CS27" s="50"/>
      <c r="CT27" s="50"/>
      <c r="CU27" s="983"/>
      <c r="CV27" s="983"/>
      <c r="CW27" s="983"/>
      <c r="CX27" s="983"/>
      <c r="CY27" s="983"/>
      <c r="CZ27" s="983"/>
      <c r="DA27" s="983"/>
      <c r="DB27" s="983"/>
      <c r="DC27" s="983"/>
      <c r="DD27" s="983"/>
      <c r="DE27" s="983"/>
      <c r="DF27" s="983"/>
      <c r="DG27" s="983"/>
      <c r="DH27" s="983"/>
      <c r="DI27" s="983"/>
      <c r="DJ27" s="983"/>
      <c r="DK27" s="983"/>
      <c r="DL27" s="983"/>
      <c r="DM27" s="983"/>
      <c r="DN27" s="983"/>
      <c r="DO27" s="983"/>
      <c r="DP27" s="983"/>
      <c r="DQ27" s="983"/>
      <c r="DR27" s="983"/>
      <c r="DS27" s="50"/>
      <c r="DT27" s="50"/>
      <c r="DU27" s="50"/>
      <c r="DV27" s="50"/>
      <c r="DW27" s="50"/>
      <c r="DX27" s="50"/>
      <c r="DY27" s="50"/>
      <c r="DZ27" s="50"/>
      <c r="EA27" s="50"/>
      <c r="EB27" s="50"/>
      <c r="EC27" s="50"/>
      <c r="ED27" s="50"/>
      <c r="EE27" s="50"/>
      <c r="EF27" s="50"/>
      <c r="EG27" s="124"/>
      <c r="EH27" s="116"/>
      <c r="EJ27" s="120"/>
      <c r="EK27" s="120"/>
      <c r="EL27" s="120"/>
      <c r="EM27" s="120"/>
      <c r="EN27" s="120"/>
      <c r="EO27" s="120"/>
      <c r="EP27" s="120"/>
      <c r="EQ27" s="120"/>
      <c r="ER27" s="120"/>
      <c r="ES27" s="120"/>
      <c r="ET27" s="120"/>
      <c r="EU27" s="120"/>
      <c r="EV27" s="120"/>
      <c r="EW27" s="120"/>
      <c r="EX27" s="95"/>
      <c r="EY27" s="95"/>
      <c r="EZ27" s="96"/>
      <c r="FA27" s="96"/>
      <c r="FB27" s="96"/>
      <c r="FC27" s="96"/>
      <c r="FD27" s="96"/>
      <c r="FE27" s="116"/>
      <c r="FF27" s="979">
        <f t="shared" si="369"/>
        <v>5</v>
      </c>
      <c r="FG27" s="982" t="s">
        <v>131</v>
      </c>
      <c r="FH27" s="983">
        <f>0.5+0.5+FH31</f>
        <v>2.15</v>
      </c>
      <c r="FI27" s="983">
        <f t="shared" si="371"/>
        <v>2.5499999999999998</v>
      </c>
      <c r="FJ27" s="983">
        <f t="shared" si="371"/>
        <v>2.8</v>
      </c>
      <c r="FK27" s="983">
        <f t="shared" si="371"/>
        <v>3.05</v>
      </c>
      <c r="FL27" s="983">
        <f>0.5+0.5+2.6</f>
        <v>3.6</v>
      </c>
      <c r="FM27" s="983">
        <f>0.5+0.5+3.1</f>
        <v>4.0999999999999996</v>
      </c>
      <c r="FN27" s="983">
        <f>0.5+0.5+3.6</f>
        <v>4.5999999999999996</v>
      </c>
      <c r="FO27" s="983">
        <f>0.5+0.5+3.6</f>
        <v>4.5999999999999996</v>
      </c>
      <c r="FP27" s="983">
        <f>0.5+0.5+4.3</f>
        <v>5.3</v>
      </c>
      <c r="FQ27" s="983">
        <f>0.5+0.5+5</f>
        <v>6</v>
      </c>
      <c r="FR27" s="983">
        <f>FR28+1.6*2+1*2+0.5+0.5</f>
        <v>7.7</v>
      </c>
      <c r="FS27" s="983">
        <f>FS28+2.04*2+1*2+0.5+0.5</f>
        <v>9.08</v>
      </c>
      <c r="FT27" s="983">
        <f>FT28+2.47*2+1*2+0.5+0.5</f>
        <v>10.44</v>
      </c>
      <c r="FU27" s="983">
        <f>FU28+1.6*2+1*2+0.5+0.5</f>
        <v>9.1999999999999993</v>
      </c>
      <c r="FV27" s="983">
        <f>FV28+2.04*2+1*2+0.5+0.5</f>
        <v>11.08</v>
      </c>
      <c r="FW27" s="983">
        <f>FW28+2.47*2+1*2+0.5+0.5</f>
        <v>12.94</v>
      </c>
      <c r="FX27" s="983">
        <f>FX28+1.6*2+1*2+0.5+0.5</f>
        <v>10.7</v>
      </c>
      <c r="FY27" s="983">
        <f>FY28+2.04*2+1*2+0.5+0.5</f>
        <v>13.08</v>
      </c>
      <c r="FZ27" s="983">
        <f>FZ28+2.47*2+1*2+0.5+0.5</f>
        <v>15.44</v>
      </c>
      <c r="GA27" s="983">
        <f t="shared" si="372"/>
        <v>2.85</v>
      </c>
      <c r="GB27" s="983">
        <f t="shared" si="372"/>
        <v>2.85</v>
      </c>
      <c r="GC27" s="983">
        <f t="shared" si="372"/>
        <v>2.85</v>
      </c>
      <c r="GD27" s="983">
        <f t="shared" si="372"/>
        <v>2.85</v>
      </c>
      <c r="GE27" s="983">
        <f t="shared" si="372"/>
        <v>2.85</v>
      </c>
      <c r="GF27" s="983">
        <f t="shared" si="372"/>
        <v>2.85</v>
      </c>
      <c r="GG27" s="983">
        <f t="shared" si="372"/>
        <v>2.85</v>
      </c>
      <c r="GH27" s="983">
        <f t="shared" si="372"/>
        <v>2.85</v>
      </c>
      <c r="GI27" s="983">
        <f t="shared" ref="GI27:GJ27" si="374">0.5+0.5+GI31</f>
        <v>2.85</v>
      </c>
      <c r="GJ27" s="983">
        <f t="shared" si="374"/>
        <v>2.85</v>
      </c>
      <c r="GK27" s="983"/>
      <c r="GL27" s="983"/>
      <c r="GM27" s="983"/>
      <c r="GN27" s="983"/>
      <c r="GO27" s="983"/>
      <c r="GP27" s="983"/>
    </row>
    <row r="28" spans="1:198" x14ac:dyDescent="0.25">
      <c r="A28" s="50"/>
      <c r="B28" s="91" t="s">
        <v>5146</v>
      </c>
      <c r="C28" s="119"/>
      <c r="D28" s="119"/>
      <c r="E28" s="119"/>
      <c r="F28" s="119"/>
      <c r="G28" s="119"/>
      <c r="H28" s="119"/>
      <c r="I28" s="122"/>
      <c r="J28" s="123"/>
      <c r="K28" s="123"/>
      <c r="L28" s="123"/>
      <c r="M28" s="119"/>
      <c r="N28" s="119"/>
      <c r="O28" s="119"/>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50"/>
      <c r="DT28" s="50"/>
      <c r="DU28" s="50"/>
      <c r="DV28" s="50"/>
      <c r="DW28" s="50"/>
      <c r="DX28" s="50"/>
      <c r="DY28" s="50"/>
      <c r="DZ28" s="50"/>
      <c r="EA28" s="50"/>
      <c r="EB28" s="50"/>
      <c r="EC28" s="50"/>
      <c r="ED28" s="50"/>
      <c r="EE28" s="50"/>
      <c r="EF28" s="50"/>
      <c r="EG28" s="124"/>
      <c r="EH28" s="116"/>
      <c r="EJ28" s="120"/>
      <c r="EK28" s="120"/>
      <c r="EL28" s="120"/>
      <c r="EM28" s="120"/>
      <c r="EN28" s="120"/>
      <c r="EO28" s="120"/>
      <c r="EP28" s="120"/>
      <c r="EQ28" s="120"/>
      <c r="ER28" s="120"/>
      <c r="ES28" s="120"/>
      <c r="ET28" s="120"/>
      <c r="EU28" s="120"/>
      <c r="EV28" s="120"/>
      <c r="EW28" s="120"/>
      <c r="EX28" s="95"/>
      <c r="EY28" s="95"/>
      <c r="EZ28" s="96"/>
      <c r="FA28" s="96"/>
      <c r="FB28" s="96"/>
      <c r="FC28" s="96"/>
      <c r="FD28" s="96"/>
      <c r="FE28" s="116"/>
      <c r="FF28" s="979">
        <f t="shared" si="369"/>
        <v>6</v>
      </c>
      <c r="FG28" s="982"/>
      <c r="FH28" s="983"/>
      <c r="FI28" s="983"/>
      <c r="FJ28" s="983"/>
      <c r="FK28" s="983"/>
      <c r="FL28" s="983"/>
      <c r="FM28" s="983"/>
      <c r="FN28" s="983"/>
      <c r="FO28" s="983"/>
      <c r="FP28" s="983"/>
      <c r="FQ28" s="983"/>
      <c r="FR28" s="983">
        <v>1.5</v>
      </c>
      <c r="FS28" s="983">
        <v>2</v>
      </c>
      <c r="FT28" s="983">
        <v>2.5</v>
      </c>
      <c r="FU28" s="983">
        <f>FR28*2</f>
        <v>3</v>
      </c>
      <c r="FV28" s="983">
        <f>FS28*2</f>
        <v>4</v>
      </c>
      <c r="FW28" s="983">
        <f>FT28*2</f>
        <v>5</v>
      </c>
      <c r="FX28" s="983">
        <f>FR28*3</f>
        <v>4.5</v>
      </c>
      <c r="FY28" s="983">
        <f t="shared" ref="FY28" si="375">FS28*3</f>
        <v>6</v>
      </c>
      <c r="FZ28" s="983">
        <f>FT28*3</f>
        <v>7.5</v>
      </c>
      <c r="GA28" s="983"/>
      <c r="GB28" s="983"/>
      <c r="GC28" s="983"/>
      <c r="GD28" s="983"/>
      <c r="GE28" s="983"/>
      <c r="GF28" s="983"/>
      <c r="GG28" s="983"/>
      <c r="GH28" s="983"/>
      <c r="GI28" s="983"/>
      <c r="GJ28" s="983"/>
      <c r="GK28" s="983"/>
      <c r="GL28" s="983"/>
      <c r="GM28" s="983"/>
      <c r="GN28" s="983"/>
      <c r="GO28" s="983"/>
      <c r="GP28" s="983"/>
    </row>
    <row r="29" spans="1:198" x14ac:dyDescent="0.25">
      <c r="A29" s="50"/>
      <c r="B29" s="117"/>
      <c r="C29" s="117"/>
      <c r="D29" s="117"/>
      <c r="E29" s="117"/>
      <c r="F29" s="117"/>
      <c r="G29" s="117"/>
      <c r="H29" s="117"/>
      <c r="I29" s="122"/>
      <c r="J29" s="123"/>
      <c r="K29" s="123"/>
      <c r="L29" s="123"/>
      <c r="M29" s="117"/>
      <c r="N29" s="117"/>
      <c r="O29" s="117"/>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50"/>
      <c r="DT29" s="50"/>
      <c r="DU29" s="50"/>
      <c r="DV29" s="50"/>
      <c r="DW29" s="50"/>
      <c r="DX29" s="50"/>
      <c r="DY29" s="50"/>
      <c r="DZ29" s="50"/>
      <c r="EA29" s="50"/>
      <c r="EB29" s="50"/>
      <c r="EC29" s="50"/>
      <c r="ED29" s="50"/>
      <c r="EE29" s="50"/>
      <c r="EF29" s="50"/>
      <c r="EG29" s="124"/>
      <c r="EH29" s="116"/>
      <c r="EJ29" s="120"/>
      <c r="EK29" s="120"/>
      <c r="EL29" s="120"/>
      <c r="EM29" s="120"/>
      <c r="EN29" s="120"/>
      <c r="EO29" s="120"/>
      <c r="EP29" s="120"/>
      <c r="EQ29" s="120"/>
      <c r="ER29" s="120"/>
      <c r="ES29" s="120"/>
      <c r="ET29" s="120"/>
      <c r="EU29" s="120"/>
      <c r="EV29" s="120"/>
      <c r="EW29" s="120"/>
      <c r="EX29" s="95"/>
      <c r="EY29" s="95"/>
      <c r="EZ29" s="96"/>
      <c r="FA29" s="96"/>
      <c r="FB29" s="96"/>
      <c r="FC29" s="96"/>
      <c r="FD29" s="96"/>
      <c r="FE29" s="116"/>
      <c r="FF29" s="979">
        <f t="shared" si="369"/>
        <v>7</v>
      </c>
      <c r="FG29" s="982" t="s">
        <v>5147</v>
      </c>
      <c r="FH29" s="983">
        <f t="shared" ref="FH29:FQ29" si="376">FH27*FH26*0.6</f>
        <v>2.4500000000000002</v>
      </c>
      <c r="FI29" s="983">
        <f t="shared" si="376"/>
        <v>3.52</v>
      </c>
      <c r="FJ29" s="983">
        <f t="shared" si="376"/>
        <v>4.37</v>
      </c>
      <c r="FK29" s="983">
        <f t="shared" si="376"/>
        <v>5.31</v>
      </c>
      <c r="FL29" s="983">
        <f t="shared" si="376"/>
        <v>6.05</v>
      </c>
      <c r="FM29" s="983">
        <f t="shared" si="376"/>
        <v>7.5</v>
      </c>
      <c r="FN29" s="983">
        <f t="shared" si="376"/>
        <v>9.11</v>
      </c>
      <c r="FO29" s="983">
        <f t="shared" si="376"/>
        <v>7.73</v>
      </c>
      <c r="FP29" s="983">
        <f t="shared" si="376"/>
        <v>9.6999999999999993</v>
      </c>
      <c r="FQ29" s="983">
        <f t="shared" si="376"/>
        <v>11.88</v>
      </c>
      <c r="FR29" s="983">
        <f>FR27*FR26*0.6</f>
        <v>19.399999999999999</v>
      </c>
      <c r="FS29" s="983">
        <f t="shared" ref="FS29:GH29" si="377">FS27*FS26*0.6</f>
        <v>26.97</v>
      </c>
      <c r="FT29" s="983">
        <f t="shared" si="377"/>
        <v>35.700000000000003</v>
      </c>
      <c r="FU29" s="983">
        <f t="shared" si="377"/>
        <v>23.18</v>
      </c>
      <c r="FV29" s="983">
        <f t="shared" si="377"/>
        <v>32.909999999999997</v>
      </c>
      <c r="FW29" s="983">
        <f t="shared" si="377"/>
        <v>44.25</v>
      </c>
      <c r="FX29" s="983">
        <f t="shared" si="377"/>
        <v>26.96</v>
      </c>
      <c r="FY29" s="983">
        <f t="shared" si="377"/>
        <v>38.85</v>
      </c>
      <c r="FZ29" s="983">
        <f>FZ27*FZ26*0.6</f>
        <v>52.8</v>
      </c>
      <c r="GA29" s="983">
        <f t="shared" si="377"/>
        <v>4.0999999999999996</v>
      </c>
      <c r="GB29" s="983">
        <f t="shared" si="377"/>
        <v>4.0999999999999996</v>
      </c>
      <c r="GC29" s="983">
        <f t="shared" si="377"/>
        <v>4.0999999999999996</v>
      </c>
      <c r="GD29" s="983">
        <f t="shared" si="377"/>
        <v>4.0999999999999996</v>
      </c>
      <c r="GE29" s="983">
        <f t="shared" si="377"/>
        <v>4.0999999999999996</v>
      </c>
      <c r="GF29" s="983">
        <f t="shared" si="377"/>
        <v>4.0999999999999996</v>
      </c>
      <c r="GG29" s="983">
        <f t="shared" si="377"/>
        <v>4.0999999999999996</v>
      </c>
      <c r="GH29" s="983">
        <f t="shared" si="377"/>
        <v>4.0999999999999996</v>
      </c>
      <c r="GI29" s="983">
        <f t="shared" ref="GI29:GJ29" si="378">GI27*GI26*0.6</f>
        <v>4.0999999999999996</v>
      </c>
      <c r="GJ29" s="983">
        <f t="shared" si="378"/>
        <v>4.0999999999999996</v>
      </c>
      <c r="GK29" s="983"/>
      <c r="GL29" s="983"/>
      <c r="GM29" s="983"/>
      <c r="GN29" s="983"/>
      <c r="GO29" s="983"/>
      <c r="GP29" s="983"/>
    </row>
    <row r="30" spans="1:198" x14ac:dyDescent="0.25">
      <c r="A30" s="50"/>
      <c r="B30" s="117"/>
      <c r="C30" s="117"/>
      <c r="D30" s="117"/>
      <c r="E30" s="117"/>
      <c r="F30" s="117"/>
      <c r="G30" s="117"/>
      <c r="H30" s="117"/>
      <c r="I30" s="122"/>
      <c r="J30" s="123"/>
      <c r="K30" s="123"/>
      <c r="L30" s="123"/>
      <c r="M30" s="117"/>
      <c r="N30" s="117"/>
      <c r="O30" s="117"/>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50"/>
      <c r="DT30" s="50"/>
      <c r="DU30" s="50"/>
      <c r="DV30" s="50"/>
      <c r="DW30" s="50"/>
      <c r="DX30" s="50"/>
      <c r="DY30" s="50"/>
      <c r="DZ30" s="50"/>
      <c r="EA30" s="50"/>
      <c r="EB30" s="50"/>
      <c r="EC30" s="50"/>
      <c r="ED30" s="50"/>
      <c r="EE30" s="50"/>
      <c r="EF30" s="50"/>
      <c r="EG30" s="124"/>
      <c r="EH30" s="50"/>
      <c r="EJ30" s="120"/>
      <c r="EK30" s="120"/>
      <c r="EL30" s="120"/>
      <c r="EM30" s="120"/>
      <c r="EN30" s="120"/>
      <c r="EO30" s="120"/>
      <c r="EP30" s="120"/>
      <c r="EQ30" s="120"/>
      <c r="ER30" s="120"/>
      <c r="ES30" s="120"/>
      <c r="ET30" s="120"/>
      <c r="EU30" s="120"/>
      <c r="EV30" s="120"/>
      <c r="EW30" s="120"/>
      <c r="EX30" s="95"/>
      <c r="EY30" s="95"/>
      <c r="EZ30" s="96"/>
      <c r="FA30" s="96"/>
      <c r="FB30" s="96"/>
      <c r="FC30" s="96"/>
      <c r="FD30" s="96"/>
      <c r="FE30" s="50"/>
      <c r="FF30" s="50"/>
      <c r="FG30" s="982" t="s">
        <v>131</v>
      </c>
      <c r="FH30" s="983">
        <v>0.9</v>
      </c>
      <c r="FI30" s="983">
        <v>1.3</v>
      </c>
      <c r="FJ30" s="983">
        <v>1.6</v>
      </c>
      <c r="FK30" s="983">
        <v>1.9</v>
      </c>
      <c r="FL30" s="983"/>
      <c r="FM30" s="983"/>
      <c r="FN30" s="983"/>
      <c r="FO30" s="983"/>
      <c r="FP30" s="983"/>
      <c r="FQ30" s="983"/>
      <c r="FR30" s="983"/>
      <c r="FS30" s="983"/>
      <c r="FT30" s="983"/>
      <c r="FU30" s="983"/>
      <c r="FV30" s="983"/>
      <c r="FW30" s="983"/>
      <c r="FX30" s="983"/>
      <c r="FY30" s="983"/>
      <c r="FZ30" s="983"/>
      <c r="GA30" s="983">
        <v>1.4</v>
      </c>
      <c r="GB30" s="983">
        <f>GA30</f>
        <v>1.4</v>
      </c>
      <c r="GC30" s="983">
        <f t="shared" ref="GC30:GD31" si="379">GB30</f>
        <v>1.4</v>
      </c>
      <c r="GD30" s="983">
        <f t="shared" si="379"/>
        <v>1.4</v>
      </c>
      <c r="GE30" s="983">
        <v>1.4</v>
      </c>
      <c r="GF30" s="983">
        <f>GE30</f>
        <v>1.4</v>
      </c>
      <c r="GG30" s="983">
        <f t="shared" ref="GG30:GH31" si="380">GF30</f>
        <v>1.4</v>
      </c>
      <c r="GH30" s="983">
        <f t="shared" si="380"/>
        <v>1.4</v>
      </c>
      <c r="GI30" s="983">
        <f t="shared" ref="GI30:GI31" si="381">GH30</f>
        <v>1.4</v>
      </c>
      <c r="GJ30" s="983">
        <f t="shared" ref="GJ30:GJ31" si="382">GI30</f>
        <v>1.4</v>
      </c>
      <c r="GK30" s="983"/>
      <c r="GL30" s="983"/>
      <c r="GM30" s="983"/>
      <c r="GN30" s="983"/>
      <c r="GO30" s="983"/>
      <c r="GP30" s="984"/>
    </row>
    <row r="31" spans="1:198" x14ac:dyDescent="0.25">
      <c r="A31" s="50"/>
      <c r="B31" s="117"/>
      <c r="C31" s="117"/>
      <c r="D31" s="117"/>
      <c r="E31" s="117"/>
      <c r="F31" s="117"/>
      <c r="G31" s="117"/>
      <c r="H31" s="117"/>
      <c r="I31" s="122"/>
      <c r="J31" s="123"/>
      <c r="K31" s="123"/>
      <c r="L31" s="123"/>
      <c r="M31" s="117"/>
      <c r="N31" s="117"/>
      <c r="O31" s="117"/>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50"/>
      <c r="DT31" s="50"/>
      <c r="DU31" s="50"/>
      <c r="DV31" s="50"/>
      <c r="DW31" s="50"/>
      <c r="DX31" s="50"/>
      <c r="DY31" s="50"/>
      <c r="DZ31" s="50"/>
      <c r="EA31" s="50"/>
      <c r="EB31" s="50"/>
      <c r="EC31" s="50"/>
      <c r="ED31" s="50"/>
      <c r="EE31" s="50"/>
      <c r="EF31" s="50"/>
      <c r="EG31" s="124"/>
      <c r="EH31" s="50"/>
      <c r="EJ31" s="120"/>
      <c r="EK31" s="120"/>
      <c r="EL31" s="120"/>
      <c r="EM31" s="120"/>
      <c r="EN31" s="120"/>
      <c r="EO31" s="120"/>
      <c r="EP31" s="120"/>
      <c r="EQ31" s="120"/>
      <c r="ER31" s="120"/>
      <c r="ES31" s="120"/>
      <c r="ET31" s="120"/>
      <c r="EU31" s="120"/>
      <c r="EV31" s="120"/>
      <c r="EW31" s="120"/>
      <c r="EX31" s="95"/>
      <c r="EY31" s="95"/>
      <c r="EZ31" s="96"/>
      <c r="FA31" s="96"/>
      <c r="FB31" s="96"/>
      <c r="FC31" s="96"/>
      <c r="FD31" s="96"/>
      <c r="FE31" s="116"/>
      <c r="FF31" s="116"/>
      <c r="FG31" s="982" t="s">
        <v>151</v>
      </c>
      <c r="FH31" s="983">
        <v>1.1499999999999999</v>
      </c>
      <c r="FI31" s="983">
        <v>1.55</v>
      </c>
      <c r="FJ31" s="983">
        <v>1.8</v>
      </c>
      <c r="FK31" s="983">
        <v>2.0499999999999998</v>
      </c>
      <c r="FL31" s="983"/>
      <c r="FM31" s="983"/>
      <c r="FN31" s="983"/>
      <c r="FO31" s="983"/>
      <c r="FP31" s="983"/>
      <c r="FQ31" s="983"/>
      <c r="FR31" s="983"/>
      <c r="FS31" s="983"/>
      <c r="FT31" s="983"/>
      <c r="FU31" s="983"/>
      <c r="FV31" s="983"/>
      <c r="FW31" s="983"/>
      <c r="FX31" s="983"/>
      <c r="FY31" s="983"/>
      <c r="FZ31" s="983"/>
      <c r="GA31" s="983">
        <v>1.85</v>
      </c>
      <c r="GB31" s="983">
        <f>GA31</f>
        <v>1.85</v>
      </c>
      <c r="GC31" s="983">
        <f t="shared" si="379"/>
        <v>1.85</v>
      </c>
      <c r="GD31" s="983">
        <f t="shared" si="379"/>
        <v>1.85</v>
      </c>
      <c r="GE31" s="983">
        <v>1.85</v>
      </c>
      <c r="GF31" s="983">
        <f>GE31</f>
        <v>1.85</v>
      </c>
      <c r="GG31" s="983">
        <f t="shared" si="380"/>
        <v>1.85</v>
      </c>
      <c r="GH31" s="983">
        <f t="shared" si="380"/>
        <v>1.85</v>
      </c>
      <c r="GI31" s="983">
        <f t="shared" si="381"/>
        <v>1.85</v>
      </c>
      <c r="GJ31" s="983">
        <f t="shared" si="382"/>
        <v>1.85</v>
      </c>
      <c r="GK31" s="983"/>
      <c r="GL31" s="983"/>
      <c r="GM31" s="983"/>
      <c r="GN31" s="983"/>
      <c r="GO31" s="983"/>
      <c r="GP31" s="984"/>
    </row>
    <row r="32" spans="1:198" x14ac:dyDescent="0.25">
      <c r="A32" s="50"/>
      <c r="B32" s="117"/>
      <c r="C32" s="117"/>
      <c r="D32" s="117"/>
      <c r="E32" s="117"/>
      <c r="F32" s="117"/>
      <c r="G32" s="117"/>
      <c r="H32" s="117"/>
      <c r="I32" s="122"/>
      <c r="J32" s="123"/>
      <c r="K32" s="123"/>
      <c r="L32" s="123"/>
      <c r="M32" s="117"/>
      <c r="N32" s="117"/>
      <c r="O32" s="117"/>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50"/>
      <c r="DT32" s="50"/>
      <c r="DU32" s="50"/>
      <c r="DV32" s="50"/>
      <c r="DW32" s="50"/>
      <c r="DX32" s="50"/>
      <c r="DY32" s="50"/>
      <c r="DZ32" s="50"/>
      <c r="EA32" s="50"/>
      <c r="EB32" s="50"/>
      <c r="EC32" s="50"/>
      <c r="ED32" s="50"/>
      <c r="EE32" s="50"/>
      <c r="EF32" s="50"/>
      <c r="EG32" s="124"/>
      <c r="EH32" s="50"/>
      <c r="EJ32" s="120"/>
      <c r="EK32" s="120"/>
      <c r="EL32" s="120"/>
      <c r="EM32" s="120"/>
      <c r="EN32" s="120"/>
      <c r="EO32" s="120"/>
      <c r="EP32" s="120"/>
      <c r="EQ32" s="120"/>
      <c r="ER32" s="120"/>
      <c r="ES32" s="120"/>
      <c r="ET32" s="120"/>
      <c r="EU32" s="120"/>
      <c r="EV32" s="120"/>
      <c r="EW32" s="120"/>
      <c r="EX32" s="95"/>
      <c r="EY32" s="95"/>
      <c r="EZ32" s="96"/>
      <c r="FA32" s="96"/>
      <c r="FB32" s="96"/>
      <c r="FC32" s="96"/>
      <c r="FD32" s="96"/>
      <c r="FE32" s="116"/>
      <c r="FF32" s="116"/>
      <c r="FG32" s="116"/>
      <c r="FH32" s="116"/>
      <c r="FI32" s="116"/>
      <c r="FJ32" s="116"/>
      <c r="FK32" s="116"/>
      <c r="FL32" s="984"/>
      <c r="FM32" s="984"/>
      <c r="FN32" s="984"/>
      <c r="FO32" s="984"/>
      <c r="FP32" s="984"/>
      <c r="FQ32" s="984"/>
      <c r="FR32" s="984"/>
      <c r="FS32" s="984"/>
      <c r="FT32" s="984"/>
      <c r="FU32" s="984"/>
      <c r="FV32" s="984"/>
      <c r="FW32" s="984"/>
      <c r="FX32" s="984"/>
      <c r="FY32" s="984"/>
      <c r="FZ32" s="984"/>
      <c r="GA32" s="120">
        <v>60</v>
      </c>
      <c r="GB32" s="120">
        <v>80</v>
      </c>
      <c r="GC32" s="120">
        <v>90</v>
      </c>
      <c r="GD32" s="120">
        <v>100</v>
      </c>
      <c r="GE32" s="120">
        <v>60</v>
      </c>
      <c r="GF32" s="120">
        <v>80</v>
      </c>
      <c r="GG32" s="120">
        <v>90</v>
      </c>
      <c r="GH32" s="120">
        <v>100</v>
      </c>
      <c r="GI32" s="120">
        <v>101</v>
      </c>
      <c r="GJ32" s="120">
        <v>102</v>
      </c>
      <c r="GK32" s="120"/>
      <c r="GL32" s="120"/>
      <c r="GM32" s="120"/>
      <c r="GN32" s="120"/>
      <c r="GO32" s="120"/>
      <c r="GP32" s="984"/>
    </row>
    <row r="33" spans="1:198" x14ac:dyDescent="0.25">
      <c r="A33" s="50"/>
      <c r="B33" s="117"/>
      <c r="C33" s="117"/>
      <c r="D33" s="117"/>
      <c r="E33" s="117"/>
      <c r="F33" s="117"/>
      <c r="G33" s="117"/>
      <c r="H33" s="117"/>
      <c r="I33" s="122"/>
      <c r="J33" s="123"/>
      <c r="K33" s="123"/>
      <c r="L33" s="123"/>
      <c r="M33" s="117"/>
      <c r="N33" s="117"/>
      <c r="O33" s="117"/>
      <c r="S33" s="118"/>
      <c r="T33" s="118"/>
      <c r="U33" s="118"/>
      <c r="V33" s="118"/>
      <c r="W33" s="118"/>
      <c r="X33" s="118"/>
      <c r="Y33" s="118"/>
      <c r="Z33" s="118"/>
      <c r="AA33" s="118"/>
      <c r="AB33" s="118"/>
      <c r="AC33" s="118"/>
      <c r="AD33" s="118"/>
      <c r="AE33" s="118"/>
      <c r="AF33" s="118"/>
      <c r="AG33" s="118"/>
      <c r="AH33" s="118"/>
      <c r="AI33" s="118"/>
      <c r="AJ33" s="118"/>
      <c r="AK33" s="118"/>
      <c r="AL33" s="118"/>
      <c r="AM33" s="117"/>
      <c r="AN33" s="117"/>
      <c r="AO33" s="117"/>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50"/>
      <c r="DT33" s="50"/>
      <c r="DU33" s="50"/>
      <c r="DV33" s="50"/>
      <c r="DW33" s="50"/>
      <c r="DX33" s="50"/>
      <c r="DY33" s="50"/>
      <c r="DZ33" s="50"/>
      <c r="EA33" s="50"/>
      <c r="EB33" s="50"/>
      <c r="EC33" s="50"/>
      <c r="ED33" s="50"/>
      <c r="EE33" s="50"/>
      <c r="EF33" s="50"/>
      <c r="EG33" s="124"/>
      <c r="EH33" s="50"/>
      <c r="EJ33" s="120"/>
      <c r="EK33" s="120"/>
      <c r="EL33" s="120"/>
      <c r="EM33" s="120"/>
      <c r="EN33" s="120"/>
      <c r="EO33" s="120"/>
      <c r="EP33" s="120"/>
      <c r="EQ33" s="120"/>
      <c r="ER33" s="120"/>
      <c r="ES33" s="120"/>
      <c r="ET33" s="120"/>
      <c r="EU33" s="120"/>
      <c r="EV33" s="120"/>
      <c r="EW33" s="120"/>
      <c r="EX33" s="95"/>
      <c r="EY33" s="95"/>
      <c r="EZ33" s="96"/>
      <c r="FA33" s="96"/>
      <c r="FB33" s="96"/>
      <c r="FC33" s="96"/>
      <c r="FD33" s="96"/>
      <c r="FE33" s="116"/>
      <c r="FF33" s="116"/>
      <c r="FG33" s="116"/>
      <c r="FH33" s="116"/>
      <c r="FI33" s="116"/>
      <c r="FJ33" s="116"/>
      <c r="FK33" s="116"/>
      <c r="FL33" s="984"/>
      <c r="FM33" s="984"/>
      <c r="FN33" s="984"/>
      <c r="FO33" s="984"/>
      <c r="FP33" s="984"/>
      <c r="FQ33" s="984"/>
      <c r="FR33" s="984"/>
      <c r="FS33" s="984"/>
      <c r="FT33" s="984"/>
      <c r="FU33" s="984"/>
      <c r="FV33" s="984"/>
      <c r="FW33" s="984"/>
      <c r="FX33" s="984"/>
      <c r="FY33" s="984"/>
      <c r="FZ33" s="984"/>
      <c r="GA33" s="984"/>
      <c r="GB33" s="984"/>
      <c r="GC33" s="984"/>
      <c r="GD33" s="984"/>
      <c r="GE33" s="984"/>
      <c r="GF33" s="984"/>
      <c r="GG33" s="984"/>
      <c r="GH33" s="984"/>
      <c r="GI33" s="984"/>
      <c r="GJ33" s="984"/>
      <c r="GK33" s="984"/>
      <c r="GL33" s="984"/>
      <c r="GM33" s="984"/>
      <c r="GN33" s="984"/>
      <c r="GO33" s="984"/>
      <c r="GP33" s="984"/>
    </row>
    <row r="34" spans="1:198" x14ac:dyDescent="0.25">
      <c r="A34" s="50"/>
      <c r="B34" s="117"/>
      <c r="C34" s="117"/>
      <c r="D34" s="117"/>
      <c r="E34" s="117"/>
      <c r="F34" s="117"/>
      <c r="G34" s="117"/>
      <c r="H34" s="117"/>
      <c r="I34" s="122"/>
      <c r="J34" s="123"/>
      <c r="K34" s="123"/>
      <c r="L34" s="123"/>
      <c r="M34" s="117"/>
      <c r="N34" s="117"/>
      <c r="O34" s="117"/>
      <c r="S34" s="50"/>
      <c r="T34" s="50"/>
      <c r="U34" s="50"/>
      <c r="V34" s="50"/>
      <c r="W34" s="50"/>
      <c r="X34" s="50"/>
      <c r="Y34" s="50"/>
      <c r="Z34" s="50"/>
      <c r="AA34" s="50"/>
      <c r="AB34" s="50"/>
      <c r="AC34" s="50"/>
      <c r="AD34" s="50"/>
      <c r="AE34" s="50"/>
      <c r="AF34" s="50"/>
      <c r="AG34" s="50"/>
      <c r="AH34" s="50"/>
      <c r="AI34" s="50"/>
      <c r="AJ34" s="50"/>
      <c r="AK34" s="50"/>
      <c r="AL34" s="50"/>
      <c r="AM34" s="117"/>
      <c r="AN34" s="117"/>
      <c r="AO34" s="117"/>
      <c r="AP34" s="118"/>
      <c r="AQ34" s="118"/>
      <c r="AR34" s="118"/>
      <c r="AS34" s="50"/>
      <c r="AT34" s="50"/>
      <c r="AU34" s="50"/>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50"/>
      <c r="DT34" s="50"/>
      <c r="DU34" s="50"/>
      <c r="DV34" s="50"/>
      <c r="DW34" s="50"/>
      <c r="DX34" s="50"/>
      <c r="DY34" s="50"/>
      <c r="DZ34" s="50"/>
      <c r="EA34" s="50"/>
      <c r="EB34" s="50"/>
      <c r="EC34" s="50"/>
      <c r="ED34" s="50"/>
      <c r="EE34" s="50"/>
      <c r="EF34" s="50"/>
      <c r="EG34" s="124"/>
      <c r="EH34" s="50"/>
      <c r="EJ34" s="120"/>
      <c r="EK34" s="120"/>
      <c r="EL34" s="120"/>
      <c r="EM34" s="120"/>
      <c r="EN34" s="120"/>
      <c r="EO34" s="120"/>
      <c r="EP34" s="120"/>
      <c r="EQ34" s="120"/>
      <c r="ER34" s="120"/>
      <c r="ES34" s="120"/>
      <c r="ET34" s="120"/>
      <c r="EU34" s="120"/>
      <c r="EV34" s="120"/>
      <c r="EW34" s="120"/>
      <c r="EX34" s="95"/>
      <c r="EY34" s="95"/>
      <c r="EZ34" s="96"/>
      <c r="FA34" s="96"/>
      <c r="FB34" s="96"/>
      <c r="FC34" s="96"/>
      <c r="FD34" s="96"/>
      <c r="FE34" s="116"/>
      <c r="FF34" s="116"/>
      <c r="FG34" s="116"/>
      <c r="FH34" s="116"/>
      <c r="FI34" s="116"/>
      <c r="FJ34" s="116"/>
      <c r="FK34" s="116"/>
      <c r="FL34" s="984"/>
      <c r="FM34" s="984"/>
      <c r="FN34" s="984"/>
      <c r="FO34" s="984"/>
      <c r="FP34" s="984"/>
      <c r="FQ34" s="984"/>
      <c r="FR34" s="984"/>
      <c r="FS34" s="984"/>
      <c r="FT34" s="984"/>
      <c r="FU34" s="984"/>
      <c r="FV34" s="984"/>
      <c r="FW34" s="984"/>
      <c r="FX34" s="984"/>
      <c r="FY34" s="984"/>
      <c r="FZ34" s="984"/>
      <c r="GA34" s="984"/>
      <c r="GB34" s="984"/>
      <c r="GC34" s="984"/>
      <c r="GD34" s="984"/>
      <c r="GE34" s="984"/>
      <c r="GF34" s="984"/>
      <c r="GG34" s="984"/>
      <c r="GH34" s="984"/>
      <c r="GI34" s="984"/>
      <c r="GJ34" s="984"/>
      <c r="GK34" s="984"/>
      <c r="GL34" s="984"/>
      <c r="GM34" s="984"/>
      <c r="GN34" s="984"/>
      <c r="GO34" s="984"/>
      <c r="GP34" s="984"/>
    </row>
    <row r="35" spans="1:198" x14ac:dyDescent="0.25">
      <c r="A35" s="50"/>
      <c r="B35" s="117"/>
      <c r="C35" s="117"/>
      <c r="D35" s="117"/>
      <c r="E35" s="117"/>
      <c r="F35" s="117"/>
      <c r="G35" s="117"/>
      <c r="H35" s="117"/>
      <c r="I35" s="122"/>
      <c r="J35" s="123"/>
      <c r="K35" s="123"/>
      <c r="L35" s="123"/>
      <c r="M35" s="118"/>
      <c r="N35" s="118"/>
      <c r="O35" s="118"/>
      <c r="S35" s="118"/>
      <c r="T35" s="118"/>
      <c r="U35" s="118"/>
      <c r="V35" s="118"/>
      <c r="W35" s="118"/>
      <c r="X35" s="118"/>
      <c r="Y35" s="118"/>
      <c r="Z35" s="118"/>
      <c r="AA35" s="118"/>
      <c r="AB35" s="118"/>
      <c r="AC35" s="118"/>
      <c r="AD35" s="118"/>
      <c r="AE35" s="118"/>
      <c r="AF35" s="118"/>
      <c r="AG35" s="118"/>
      <c r="AH35" s="118"/>
      <c r="AI35" s="118"/>
      <c r="AJ35" s="118"/>
      <c r="AK35" s="118"/>
      <c r="AL35" s="118"/>
      <c r="AM35" s="117"/>
      <c r="AN35" s="117"/>
      <c r="AO35" s="57"/>
      <c r="AP35" s="50"/>
      <c r="AQ35" s="50"/>
      <c r="AR35" s="50"/>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50"/>
      <c r="DT35" s="50"/>
      <c r="DU35" s="50"/>
      <c r="DV35" s="50"/>
      <c r="DW35" s="50"/>
      <c r="DX35" s="50"/>
      <c r="DY35" s="50"/>
      <c r="DZ35" s="50"/>
      <c r="EA35" s="50"/>
      <c r="EB35" s="50"/>
      <c r="EC35" s="50"/>
      <c r="ED35" s="50"/>
      <c r="EE35" s="50"/>
      <c r="EF35" s="50"/>
      <c r="EG35" s="124"/>
      <c r="EH35" s="50"/>
      <c r="EJ35" s="120"/>
      <c r="EK35" s="120"/>
      <c r="EL35" s="120"/>
      <c r="EM35" s="120"/>
      <c r="EN35" s="120"/>
      <c r="EO35" s="120"/>
      <c r="EP35" s="120"/>
      <c r="EQ35" s="120"/>
      <c r="ER35" s="120"/>
      <c r="ES35" s="120"/>
      <c r="ET35" s="120"/>
      <c r="EU35" s="120"/>
      <c r="EV35" s="120"/>
      <c r="EW35" s="120"/>
      <c r="EX35" s="95"/>
      <c r="EY35" s="95"/>
      <c r="EZ35" s="96"/>
      <c r="FA35" s="96"/>
      <c r="FB35" s="96"/>
      <c r="FC35" s="96"/>
      <c r="FD35" s="96"/>
      <c r="FE35" s="116"/>
      <c r="FF35" s="116"/>
      <c r="FG35" s="116"/>
      <c r="FH35" s="116"/>
      <c r="FI35" s="116"/>
      <c r="FJ35" s="116"/>
      <c r="FK35" s="116"/>
      <c r="FL35" s="984"/>
      <c r="FM35" s="984"/>
      <c r="FN35" s="984"/>
      <c r="FO35" s="984"/>
      <c r="FP35" s="984"/>
      <c r="FQ35" s="984"/>
      <c r="FR35" s="984"/>
      <c r="FS35" s="984"/>
      <c r="FT35" s="984"/>
      <c r="FU35" s="984"/>
      <c r="FV35" s="984"/>
      <c r="FW35" s="984"/>
      <c r="FX35" s="984"/>
      <c r="FY35" s="984"/>
      <c r="FZ35" s="984"/>
      <c r="GA35" s="984"/>
      <c r="GB35" s="984"/>
      <c r="GC35" s="984"/>
      <c r="GD35" s="984"/>
      <c r="GE35" s="984"/>
      <c r="GF35" s="984"/>
      <c r="GG35" s="984"/>
      <c r="GH35" s="984"/>
      <c r="GI35" s="984"/>
      <c r="GJ35" s="984"/>
      <c r="GK35" s="984"/>
      <c r="GL35" s="984"/>
      <c r="GM35" s="984"/>
      <c r="GN35" s="984"/>
      <c r="GO35" s="984"/>
      <c r="GP35" s="984"/>
    </row>
    <row r="36" spans="1:198" x14ac:dyDescent="0.25">
      <c r="A36" s="50"/>
      <c r="B36" s="117"/>
      <c r="C36" s="117"/>
      <c r="D36" s="117"/>
      <c r="E36" s="117"/>
      <c r="F36" s="117"/>
      <c r="G36" s="117"/>
      <c r="H36" s="57"/>
      <c r="I36" s="122"/>
      <c r="J36" s="123"/>
      <c r="K36" s="123"/>
      <c r="L36" s="123"/>
      <c r="M36" s="117"/>
      <c r="N36" s="117"/>
      <c r="O36" s="117"/>
      <c r="S36" s="117"/>
      <c r="T36" s="117"/>
      <c r="U36" s="117"/>
      <c r="V36" s="117"/>
      <c r="W36" s="117"/>
      <c r="X36" s="117"/>
      <c r="Y36" s="118"/>
      <c r="Z36" s="118"/>
      <c r="AA36" s="118"/>
      <c r="AB36" s="118"/>
      <c r="AC36" s="118"/>
      <c r="AD36" s="118"/>
      <c r="AE36" s="118"/>
      <c r="AF36" s="118"/>
      <c r="AG36" s="118"/>
      <c r="AH36" s="118"/>
      <c r="AI36" s="118"/>
      <c r="AJ36" s="118"/>
      <c r="AK36" s="118"/>
      <c r="AL36" s="118"/>
      <c r="AM36" s="117"/>
      <c r="AN36" s="117"/>
      <c r="AO36" s="117"/>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50"/>
      <c r="DT36" s="50"/>
      <c r="DU36" s="50"/>
      <c r="DV36" s="50"/>
      <c r="DW36" s="50"/>
      <c r="DX36" s="50"/>
      <c r="DY36" s="50"/>
      <c r="DZ36" s="50"/>
      <c r="EA36" s="50"/>
      <c r="EB36" s="50"/>
      <c r="EC36" s="50"/>
      <c r="ED36" s="50"/>
      <c r="EE36" s="50"/>
      <c r="EF36" s="50"/>
      <c r="EG36" s="124"/>
      <c r="EH36" s="116"/>
      <c r="EJ36" s="120"/>
      <c r="EK36" s="120"/>
      <c r="EL36" s="120"/>
      <c r="EM36" s="120"/>
      <c r="EN36" s="120"/>
      <c r="EO36" s="120"/>
      <c r="EP36" s="120"/>
      <c r="EQ36" s="120"/>
      <c r="ER36" s="120"/>
      <c r="ES36" s="120"/>
      <c r="ET36" s="120"/>
      <c r="EU36" s="120"/>
      <c r="EV36" s="120"/>
      <c r="EW36" s="120"/>
      <c r="EX36" s="95"/>
      <c r="EY36" s="95"/>
      <c r="EZ36" s="96"/>
      <c r="FA36" s="96"/>
      <c r="FB36" s="96"/>
      <c r="FC36" s="96"/>
      <c r="FD36" s="96"/>
    </row>
    <row r="37" spans="1:198" x14ac:dyDescent="0.25">
      <c r="A37" s="50"/>
      <c r="AP37" s="118"/>
      <c r="AQ37" s="118"/>
      <c r="AR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EG37" s="124"/>
      <c r="EJ37" s="120"/>
      <c r="EK37" s="120"/>
      <c r="EL37" s="120"/>
      <c r="EM37" s="120"/>
      <c r="EN37" s="120"/>
      <c r="EO37" s="120"/>
      <c r="EP37" s="120"/>
      <c r="EQ37" s="120"/>
      <c r="ER37" s="120"/>
      <c r="ES37" s="120"/>
      <c r="ET37" s="120"/>
      <c r="EU37" s="120"/>
      <c r="EV37" s="120"/>
      <c r="EW37" s="120"/>
      <c r="EX37" s="95"/>
      <c r="EY37" s="95"/>
      <c r="EZ37" s="96"/>
      <c r="FA37" s="96"/>
      <c r="FB37" s="96"/>
      <c r="FC37" s="96"/>
      <c r="FD37" s="96"/>
    </row>
    <row r="38" spans="1:198" x14ac:dyDescent="0.25">
      <c r="A38" s="50"/>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EG38" s="124"/>
      <c r="EJ38" s="120"/>
      <c r="EK38" s="120"/>
      <c r="EL38" s="120"/>
      <c r="EM38" s="120"/>
      <c r="EN38" s="120"/>
      <c r="EO38" s="120"/>
      <c r="EP38" s="120"/>
      <c r="EQ38" s="120"/>
      <c r="ER38" s="120"/>
      <c r="ES38" s="120"/>
      <c r="ET38" s="120"/>
      <c r="EU38" s="120"/>
      <c r="EV38" s="120"/>
      <c r="EW38" s="120"/>
      <c r="EX38" s="95"/>
      <c r="EY38" s="95"/>
      <c r="EZ38" s="96"/>
      <c r="FA38" s="96"/>
      <c r="FB38" s="96"/>
      <c r="FC38" s="96"/>
      <c r="FD38" s="96"/>
    </row>
    <row r="39" spans="1:198" x14ac:dyDescent="0.25">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EG39" s="124"/>
      <c r="EJ39" s="120"/>
      <c r="EK39" s="120"/>
      <c r="EL39" s="120"/>
      <c r="EM39" s="120"/>
      <c r="EN39" s="120"/>
      <c r="EO39" s="120"/>
      <c r="EP39" s="120"/>
      <c r="EQ39" s="120"/>
      <c r="ER39" s="120"/>
      <c r="ES39" s="120"/>
      <c r="ET39" s="120"/>
      <c r="EU39" s="120"/>
      <c r="EV39" s="120"/>
      <c r="EW39" s="120"/>
      <c r="EX39" s="95"/>
      <c r="EY39" s="95"/>
      <c r="EZ39" s="96"/>
      <c r="FA39" s="96"/>
      <c r="FB39" s="96"/>
      <c r="FC39" s="96"/>
      <c r="FD39" s="96"/>
    </row>
    <row r="40" spans="1:198" x14ac:dyDescent="0.25">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EG40" s="124"/>
      <c r="EJ40" s="120"/>
      <c r="EK40" s="120"/>
      <c r="EL40" s="120"/>
      <c r="EM40" s="120"/>
      <c r="EN40" s="120"/>
      <c r="EO40" s="120"/>
      <c r="EP40" s="120"/>
      <c r="EQ40" s="120"/>
      <c r="ER40" s="120"/>
      <c r="ES40" s="120"/>
      <c r="ET40" s="120"/>
      <c r="EU40" s="120"/>
      <c r="EV40" s="120"/>
      <c r="EW40" s="120"/>
      <c r="EX40" s="95"/>
      <c r="EY40" s="95"/>
      <c r="EZ40" s="96"/>
      <c r="FA40" s="96"/>
      <c r="FB40" s="96"/>
      <c r="FC40" s="96"/>
      <c r="FD40" s="96"/>
    </row>
    <row r="41" spans="1:198" x14ac:dyDescent="0.25">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EG41" s="124"/>
      <c r="EJ41" s="120"/>
      <c r="EK41" s="120"/>
      <c r="EL41" s="120"/>
      <c r="EM41" s="120"/>
      <c r="EN41" s="120"/>
      <c r="EO41" s="120"/>
      <c r="EP41" s="120"/>
      <c r="EQ41" s="120"/>
      <c r="ER41" s="120"/>
      <c r="ES41" s="120"/>
      <c r="ET41" s="120"/>
      <c r="EU41" s="120"/>
      <c r="EV41" s="120"/>
      <c r="EW41" s="120"/>
      <c r="EX41" s="95"/>
      <c r="EY41" s="95"/>
      <c r="EZ41" s="96"/>
      <c r="FA41" s="96"/>
      <c r="FB41" s="96"/>
      <c r="FC41" s="96"/>
      <c r="FD41" s="96"/>
    </row>
    <row r="42" spans="1:198" x14ac:dyDescent="0.25">
      <c r="EG42" s="124"/>
      <c r="EJ42" s="120"/>
      <c r="EK42" s="120"/>
      <c r="EL42" s="120"/>
      <c r="EM42" s="120"/>
      <c r="EN42" s="120"/>
      <c r="EO42" s="120"/>
      <c r="EP42" s="120"/>
      <c r="EQ42" s="120"/>
      <c r="ER42" s="120"/>
      <c r="ES42" s="120"/>
      <c r="ET42" s="120"/>
      <c r="EU42" s="120"/>
      <c r="EV42" s="120"/>
      <c r="EW42" s="120"/>
      <c r="EX42" s="95"/>
      <c r="EY42" s="95"/>
      <c r="EZ42" s="96"/>
      <c r="FA42" s="96"/>
      <c r="FB42" s="96"/>
      <c r="FC42" s="96"/>
      <c r="FD42" s="96"/>
    </row>
    <row r="43" spans="1:198" x14ac:dyDescent="0.25">
      <c r="EJ43" s="120"/>
      <c r="EK43" s="120"/>
      <c r="EL43" s="120"/>
      <c r="EM43" s="120"/>
      <c r="EN43" s="120"/>
      <c r="EO43" s="120"/>
      <c r="EP43" s="120"/>
      <c r="EQ43" s="120"/>
      <c r="ER43" s="120"/>
      <c r="ES43" s="120"/>
      <c r="ET43" s="120"/>
      <c r="EU43" s="120"/>
      <c r="EV43" s="120"/>
      <c r="EW43" s="120"/>
      <c r="EX43" s="95"/>
      <c r="EY43" s="95"/>
      <c r="EZ43" s="96"/>
      <c r="FA43" s="96"/>
      <c r="FB43" s="96"/>
      <c r="FC43" s="96"/>
      <c r="FD43" s="96"/>
    </row>
    <row r="44" spans="1:198" x14ac:dyDescent="0.25">
      <c r="EJ44" s="120"/>
      <c r="EK44" s="120"/>
      <c r="EL44" s="120"/>
      <c r="EM44" s="120"/>
      <c r="EN44" s="120"/>
      <c r="EO44" s="120"/>
      <c r="EP44" s="120"/>
      <c r="EQ44" s="120"/>
      <c r="ER44" s="120"/>
      <c r="ES44" s="120"/>
      <c r="ET44" s="120"/>
      <c r="EU44" s="120"/>
      <c r="EV44" s="120"/>
      <c r="EW44" s="120"/>
      <c r="EX44" s="95"/>
      <c r="EY44" s="95"/>
      <c r="EZ44" s="96"/>
      <c r="FA44" s="96"/>
      <c r="FB44" s="96"/>
      <c r="FC44" s="96"/>
      <c r="FD44" s="96"/>
    </row>
    <row r="45" spans="1:198" x14ac:dyDescent="0.25">
      <c r="EJ45" s="120"/>
      <c r="EK45" s="120"/>
      <c r="EL45" s="120"/>
      <c r="EM45" s="120"/>
      <c r="EN45" s="120"/>
      <c r="EO45" s="120"/>
      <c r="EP45" s="120"/>
      <c r="EQ45" s="120"/>
      <c r="ER45" s="120"/>
      <c r="ES45" s="120"/>
      <c r="ET45" s="120"/>
      <c r="EU45" s="120"/>
      <c r="EV45" s="120"/>
      <c r="EW45" s="120"/>
      <c r="EX45" s="95"/>
      <c r="EY45" s="95"/>
      <c r="EZ45" s="96"/>
      <c r="FA45" s="96"/>
      <c r="FB45" s="96"/>
      <c r="FC45" s="96"/>
      <c r="FD45" s="96"/>
    </row>
    <row r="46" spans="1:198" x14ac:dyDescent="0.25">
      <c r="P46" s="117">
        <v>120</v>
      </c>
      <c r="Q46" s="117"/>
      <c r="R46" s="117">
        <v>480</v>
      </c>
      <c r="EJ46" s="120"/>
      <c r="EK46" s="120"/>
      <c r="EL46" s="120"/>
      <c r="EM46" s="120"/>
      <c r="EN46" s="120"/>
      <c r="EO46" s="120"/>
      <c r="EP46" s="120"/>
      <c r="EQ46" s="120"/>
      <c r="ER46" s="120"/>
      <c r="ES46" s="120"/>
      <c r="ET46" s="120"/>
      <c r="EU46" s="120"/>
      <c r="EV46" s="120"/>
      <c r="EW46" s="120"/>
      <c r="EX46" s="95"/>
      <c r="EY46" s="95"/>
      <c r="EZ46" s="96"/>
      <c r="FA46" s="96"/>
      <c r="FB46" s="96"/>
      <c r="FC46" s="96"/>
      <c r="FD46" s="96"/>
    </row>
    <row r="47" spans="1:198" x14ac:dyDescent="0.25">
      <c r="P47" s="117"/>
      <c r="Q47" s="117"/>
      <c r="R47" s="117"/>
    </row>
    <row r="48" spans="1:198" x14ac:dyDescent="0.25">
      <c r="P48" s="122">
        <v>1568.93</v>
      </c>
      <c r="Q48" s="117"/>
      <c r="R48" s="117">
        <v>1542.1</v>
      </c>
    </row>
    <row r="49" spans="16:18" x14ac:dyDescent="0.25">
      <c r="P49" s="122">
        <v>0.14000000000000001</v>
      </c>
      <c r="Q49" s="117"/>
      <c r="R49" s="117">
        <v>0.18099999999999999</v>
      </c>
    </row>
    <row r="50" spans="16:18" x14ac:dyDescent="0.25">
      <c r="P50" s="122">
        <v>17.09</v>
      </c>
      <c r="Q50" s="117"/>
      <c r="R50" s="117">
        <v>28</v>
      </c>
    </row>
    <row r="51" spans="16:18" x14ac:dyDescent="0.25">
      <c r="P51" s="122">
        <v>0.82</v>
      </c>
      <c r="Q51" s="117"/>
      <c r="R51" s="117">
        <v>0.84</v>
      </c>
    </row>
    <row r="52" spans="16:18" x14ac:dyDescent="0.25">
      <c r="P52" s="116"/>
      <c r="Q52" s="116"/>
      <c r="R52" s="118"/>
    </row>
    <row r="53" spans="16:18" x14ac:dyDescent="0.25">
      <c r="P53" s="116"/>
      <c r="Q53" s="116"/>
      <c r="R53" s="118"/>
    </row>
    <row r="54" spans="16:18" x14ac:dyDescent="0.25">
      <c r="P54" s="119"/>
      <c r="Q54" s="119"/>
      <c r="R54" s="118"/>
    </row>
    <row r="55" spans="16:18" x14ac:dyDescent="0.25">
      <c r="P55" s="119"/>
      <c r="Q55" s="119"/>
      <c r="R55" s="50"/>
    </row>
    <row r="56" spans="16:18" x14ac:dyDescent="0.25">
      <c r="P56" s="116"/>
      <c r="Q56" s="116"/>
      <c r="R56" s="118"/>
    </row>
    <row r="57" spans="16:18" x14ac:dyDescent="0.25">
      <c r="P57" s="119"/>
      <c r="Q57" s="119"/>
      <c r="R57" s="125"/>
    </row>
  </sheetData>
  <mergeCells count="158">
    <mergeCell ref="O6:O7"/>
    <mergeCell ref="P6:P7"/>
    <mergeCell ref="Q6:Q7"/>
    <mergeCell ref="R6:R7"/>
    <mergeCell ref="AH6:AH7"/>
    <mergeCell ref="AI6:AI7"/>
    <mergeCell ref="AJ6:AJ7"/>
    <mergeCell ref="GI5:GJ5"/>
    <mergeCell ref="DM6:DM7"/>
    <mergeCell ref="DN6:DN7"/>
    <mergeCell ref="DO6:DO7"/>
    <mergeCell ref="DQ6:DQ7"/>
    <mergeCell ref="DR6:DR7"/>
    <mergeCell ref="DM5:DR5"/>
    <mergeCell ref="DP6:DP7"/>
    <mergeCell ref="AU5:AU7"/>
    <mergeCell ref="BB5:BC5"/>
    <mergeCell ref="AK6:AK7"/>
    <mergeCell ref="AL6:AL7"/>
    <mergeCell ref="AM6:AM7"/>
    <mergeCell ref="S6:S7"/>
    <mergeCell ref="Z6:Z7"/>
    <mergeCell ref="AA6:AA7"/>
    <mergeCell ref="AE6:AE7"/>
    <mergeCell ref="EJ2:GP2"/>
    <mergeCell ref="B4:J4"/>
    <mergeCell ref="M4:V4"/>
    <mergeCell ref="W4:W5"/>
    <mergeCell ref="X4:X5"/>
    <mergeCell ref="Y4:Y5"/>
    <mergeCell ref="Z4:AA4"/>
    <mergeCell ref="AB4:AB7"/>
    <mergeCell ref="AC4:AU4"/>
    <mergeCell ref="AV4:AV7"/>
    <mergeCell ref="BB4:BU4"/>
    <mergeCell ref="BV4:CJ4"/>
    <mergeCell ref="CN4:EF4"/>
    <mergeCell ref="EJ4:GP4"/>
    <mergeCell ref="AE5:AG5"/>
    <mergeCell ref="AK5:AL5"/>
    <mergeCell ref="AM5:AO5"/>
    <mergeCell ref="AP5:AR5"/>
    <mergeCell ref="B5:D5"/>
    <mergeCell ref="E5:E7"/>
    <mergeCell ref="B6:B7"/>
    <mergeCell ref="C6:C7"/>
    <mergeCell ref="D6:D7"/>
    <mergeCell ref="AS5:AT5"/>
    <mergeCell ref="B2:AV2"/>
    <mergeCell ref="CN2:EF2"/>
    <mergeCell ref="AG6:AG7"/>
    <mergeCell ref="AN6:AN7"/>
    <mergeCell ref="AO6:AO7"/>
    <mergeCell ref="AP6:AP7"/>
    <mergeCell ref="AQ6:AQ7"/>
    <mergeCell ref="AR6:AR7"/>
    <mergeCell ref="AS6:AS7"/>
    <mergeCell ref="F5:F7"/>
    <mergeCell ref="G5:G7"/>
    <mergeCell ref="J5:L5"/>
    <mergeCell ref="J6:J7"/>
    <mergeCell ref="K6:K7"/>
    <mergeCell ref="L6:L7"/>
    <mergeCell ref="N6:N7"/>
    <mergeCell ref="N5:Q5"/>
    <mergeCell ref="H5:H7"/>
    <mergeCell ref="I5:I7"/>
    <mergeCell ref="M5:M7"/>
    <mergeCell ref="BJ5:BM5"/>
    <mergeCell ref="BN5:BQ5"/>
    <mergeCell ref="AT6:AT7"/>
    <mergeCell ref="R5:S5"/>
    <mergeCell ref="AF6:AF7"/>
    <mergeCell ref="BD5:BI5"/>
    <mergeCell ref="T5:V5"/>
    <mergeCell ref="Z5:AA5"/>
    <mergeCell ref="AC5:AC7"/>
    <mergeCell ref="AD5:AD7"/>
    <mergeCell ref="BR5:BU5"/>
    <mergeCell ref="CN5:CP5"/>
    <mergeCell ref="CQ5:CQ7"/>
    <mergeCell ref="CR5:CR7"/>
    <mergeCell ref="CS5:CS7"/>
    <mergeCell ref="CT5:CW5"/>
    <mergeCell ref="CN6:CN7"/>
    <mergeCell ref="CO6:CO7"/>
    <mergeCell ref="CP6:CP7"/>
    <mergeCell ref="CT6:CT7"/>
    <mergeCell ref="CU6:CU7"/>
    <mergeCell ref="CV6:CV7"/>
    <mergeCell ref="CW6:CW7"/>
    <mergeCell ref="CX5:CZ5"/>
    <mergeCell ref="DA5:DC5"/>
    <mergeCell ref="DD5:DF5"/>
    <mergeCell ref="DG5:DI5"/>
    <mergeCell ref="DJ5:DL5"/>
    <mergeCell ref="DS5:DT5"/>
    <mergeCell ref="CX6:CX7"/>
    <mergeCell ref="CY6:CY7"/>
    <mergeCell ref="CZ6:CZ7"/>
    <mergeCell ref="DG6:DG7"/>
    <mergeCell ref="DH6:DH7"/>
    <mergeCell ref="DI6:DI7"/>
    <mergeCell ref="DJ6:DJ7"/>
    <mergeCell ref="DK6:DK7"/>
    <mergeCell ref="DL6:DL7"/>
    <mergeCell ref="DA6:DA7"/>
    <mergeCell ref="DB6:DB7"/>
    <mergeCell ref="DC6:DC7"/>
    <mergeCell ref="DD6:DD7"/>
    <mergeCell ref="DE6:DE7"/>
    <mergeCell ref="DF6:DF7"/>
    <mergeCell ref="GK6:GP6"/>
    <mergeCell ref="EZ7:FA7"/>
    <mergeCell ref="FE7:FF7"/>
    <mergeCell ref="DS6:DS7"/>
    <mergeCell ref="DT6:DT7"/>
    <mergeCell ref="DV6:DV7"/>
    <mergeCell ref="DW6:DW7"/>
    <mergeCell ref="DX6:DY6"/>
    <mergeCell ref="EC6:EC7"/>
    <mergeCell ref="EX5:FB6"/>
    <mergeCell ref="FC5:FC7"/>
    <mergeCell ref="FD5:FG6"/>
    <mergeCell ref="FH5:FZ5"/>
    <mergeCell ref="GA5:GH5"/>
    <mergeCell ref="GK5:GP5"/>
    <mergeCell ref="FH6:FK6"/>
    <mergeCell ref="FL6:FN6"/>
    <mergeCell ref="FO6:FQ6"/>
    <mergeCell ref="FR6:FT6"/>
    <mergeCell ref="DU5:DU7"/>
    <mergeCell ref="DV5:DZ5"/>
    <mergeCell ref="EA5:EA7"/>
    <mergeCell ref="EB5:EB7"/>
    <mergeCell ref="EC5:EF5"/>
    <mergeCell ref="EJ5:EW5"/>
    <mergeCell ref="ED6:EE7"/>
    <mergeCell ref="EF6:EF7"/>
    <mergeCell ref="EJ6:EP6"/>
    <mergeCell ref="EQ6:EW6"/>
    <mergeCell ref="GA24:GD24"/>
    <mergeCell ref="GE24:GH24"/>
    <mergeCell ref="FH24:FK24"/>
    <mergeCell ref="FL24:FN24"/>
    <mergeCell ref="FO24:FQ24"/>
    <mergeCell ref="FR24:FT24"/>
    <mergeCell ref="FU24:FW24"/>
    <mergeCell ref="FX24:FZ24"/>
    <mergeCell ref="FU6:FW6"/>
    <mergeCell ref="FX6:FZ6"/>
    <mergeCell ref="GA6:GD6"/>
    <mergeCell ref="GE6:GH6"/>
    <mergeCell ref="EJ24:EL24"/>
    <mergeCell ref="EM24:EO24"/>
    <mergeCell ref="EP24:ER24"/>
    <mergeCell ref="ES24:EV24"/>
    <mergeCell ref="EW24:EZ24"/>
  </mergeCells>
  <phoneticPr fontId="32" type="noConversion"/>
  <conditionalFormatting sqref="AR22:AR24">
    <cfRule type="cellIs" dxfId="62" priority="19" stopIfTrue="1" operator="lessThan">
      <formula>0</formula>
    </cfRule>
  </conditionalFormatting>
  <conditionalFormatting sqref="AH15">
    <cfRule type="cellIs" dxfId="61" priority="17" stopIfTrue="1" operator="lessThan">
      <formula>0.005</formula>
    </cfRule>
  </conditionalFormatting>
  <conditionalFormatting sqref="AH9:AH14">
    <cfRule type="cellIs" dxfId="60" priority="1" stopIfTrue="1" operator="lessThan">
      <formula>0.005</formula>
    </cfRule>
  </conditionalFormatting>
  <printOptions horizontalCentered="1"/>
  <pageMargins left="0.51181102362204722" right="0.51181102362204722" top="0.94488188976377963" bottom="0.86614173228346458" header="0.31496062992125984" footer="0.31496062992125984"/>
  <pageSetup paperSize="8" scale="56" fitToHeight="0" orientation="landscape" r:id="rId1"/>
  <headerFooter>
    <oddHeader>&amp;C&amp;G</oddHeader>
    <oddFooter>&amp;C&amp;G</oddFooter>
  </headerFooter>
  <drawing r:id="rId2"/>
  <legacyDrawing r:id="rId3"/>
  <legacyDrawingHF r:id="rId4"/>
  <oleObjects>
    <mc:AlternateContent xmlns:mc="http://schemas.openxmlformats.org/markup-compatibility/2006">
      <mc:Choice Requires="x14">
        <oleObject progId="Equation.3" shapeId="40962" r:id="rId5">
          <objectPr defaultSize="0" autoPict="0" r:id="rId6">
            <anchor moveWithCells="1" sizeWithCells="1">
              <from>
                <xdr:col>14</xdr:col>
                <xdr:colOff>628650</xdr:colOff>
                <xdr:row>53</xdr:row>
                <xdr:rowOff>161925</xdr:rowOff>
              </from>
              <to>
                <xdr:col>18</xdr:col>
                <xdr:colOff>19050</xdr:colOff>
                <xdr:row>56</xdr:row>
                <xdr:rowOff>180975</xdr:rowOff>
              </to>
            </anchor>
          </objectPr>
        </oleObject>
      </mc:Choice>
      <mc:Fallback>
        <oleObject progId="Equation.3" shapeId="40962" r:id="rId5"/>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FFC000"/>
    <pageSetUpPr fitToPage="1"/>
  </sheetPr>
  <dimension ref="A1:N44"/>
  <sheetViews>
    <sheetView view="pageBreakPreview" zoomScaleNormal="100" zoomScaleSheetLayoutView="100" workbookViewId="0">
      <selection activeCell="H14" sqref="H14"/>
    </sheetView>
  </sheetViews>
  <sheetFormatPr defaultColWidth="11.5703125" defaultRowHeight="12.75" x14ac:dyDescent="0.2"/>
  <cols>
    <col min="1" max="2" width="11.5703125" style="648"/>
    <col min="3" max="3" width="6.5703125" style="127" customWidth="1"/>
    <col min="4" max="4" width="7.85546875" style="127" customWidth="1"/>
    <col min="5" max="5" width="38.28515625" style="127" customWidth="1"/>
    <col min="6" max="6" width="26" style="127" customWidth="1"/>
    <col min="7" max="8" width="12.7109375" style="127" customWidth="1"/>
    <col min="9" max="9" width="16.85546875" style="127" customWidth="1"/>
    <col min="10" max="10" width="13.7109375" style="127" customWidth="1"/>
    <col min="11" max="11" width="13.85546875" style="127" customWidth="1"/>
    <col min="12" max="12" width="12.7109375" style="127" customWidth="1"/>
    <col min="13" max="13" width="15.28515625" style="127" bestFit="1" customWidth="1"/>
    <col min="14" max="227" width="11.5703125" style="127"/>
    <col min="228" max="228" width="15.5703125" style="127" customWidth="1"/>
    <col min="229" max="229" width="11.5703125" style="127"/>
    <col min="230" max="230" width="17.7109375" style="127" customWidth="1"/>
    <col min="231" max="483" width="11.5703125" style="127"/>
    <col min="484" max="484" width="15.5703125" style="127" customWidth="1"/>
    <col min="485" max="485" width="11.5703125" style="127"/>
    <col min="486" max="486" width="17.7109375" style="127" customWidth="1"/>
    <col min="487" max="739" width="11.5703125" style="127"/>
    <col min="740" max="740" width="15.5703125" style="127" customWidth="1"/>
    <col min="741" max="741" width="11.5703125" style="127"/>
    <col min="742" max="742" width="17.7109375" style="127" customWidth="1"/>
    <col min="743" max="995" width="11.5703125" style="127"/>
    <col min="996" max="996" width="15.5703125" style="127" customWidth="1"/>
    <col min="997" max="997" width="11.5703125" style="127"/>
    <col min="998" max="998" width="17.7109375" style="127" customWidth="1"/>
    <col min="999" max="1251" width="11.5703125" style="127"/>
    <col min="1252" max="1252" width="15.5703125" style="127" customWidth="1"/>
    <col min="1253" max="1253" width="11.5703125" style="127"/>
    <col min="1254" max="1254" width="17.7109375" style="127" customWidth="1"/>
    <col min="1255" max="1507" width="11.5703125" style="127"/>
    <col min="1508" max="1508" width="15.5703125" style="127" customWidth="1"/>
    <col min="1509" max="1509" width="11.5703125" style="127"/>
    <col min="1510" max="1510" width="17.7109375" style="127" customWidth="1"/>
    <col min="1511" max="1763" width="11.5703125" style="127"/>
    <col min="1764" max="1764" width="15.5703125" style="127" customWidth="1"/>
    <col min="1765" max="1765" width="11.5703125" style="127"/>
    <col min="1766" max="1766" width="17.7109375" style="127" customWidth="1"/>
    <col min="1767" max="2019" width="11.5703125" style="127"/>
    <col min="2020" max="2020" width="15.5703125" style="127" customWidth="1"/>
    <col min="2021" max="2021" width="11.5703125" style="127"/>
    <col min="2022" max="2022" width="17.7109375" style="127" customWidth="1"/>
    <col min="2023" max="2275" width="11.5703125" style="127"/>
    <col min="2276" max="2276" width="15.5703125" style="127" customWidth="1"/>
    <col min="2277" max="2277" width="11.5703125" style="127"/>
    <col min="2278" max="2278" width="17.7109375" style="127" customWidth="1"/>
    <col min="2279" max="2531" width="11.5703125" style="127"/>
    <col min="2532" max="2532" width="15.5703125" style="127" customWidth="1"/>
    <col min="2533" max="2533" width="11.5703125" style="127"/>
    <col min="2534" max="2534" width="17.7109375" style="127" customWidth="1"/>
    <col min="2535" max="2787" width="11.5703125" style="127"/>
    <col min="2788" max="2788" width="15.5703125" style="127" customWidth="1"/>
    <col min="2789" max="2789" width="11.5703125" style="127"/>
    <col min="2790" max="2790" width="17.7109375" style="127" customWidth="1"/>
    <col min="2791" max="3043" width="11.5703125" style="127"/>
    <col min="3044" max="3044" width="15.5703125" style="127" customWidth="1"/>
    <col min="3045" max="3045" width="11.5703125" style="127"/>
    <col min="3046" max="3046" width="17.7109375" style="127" customWidth="1"/>
    <col min="3047" max="3299" width="11.5703125" style="127"/>
    <col min="3300" max="3300" width="15.5703125" style="127" customWidth="1"/>
    <col min="3301" max="3301" width="11.5703125" style="127"/>
    <col min="3302" max="3302" width="17.7109375" style="127" customWidth="1"/>
    <col min="3303" max="3555" width="11.5703125" style="127"/>
    <col min="3556" max="3556" width="15.5703125" style="127" customWidth="1"/>
    <col min="3557" max="3557" width="11.5703125" style="127"/>
    <col min="3558" max="3558" width="17.7109375" style="127" customWidth="1"/>
    <col min="3559" max="3811" width="11.5703125" style="127"/>
    <col min="3812" max="3812" width="15.5703125" style="127" customWidth="1"/>
    <col min="3813" max="3813" width="11.5703125" style="127"/>
    <col min="3814" max="3814" width="17.7109375" style="127" customWidth="1"/>
    <col min="3815" max="4067" width="11.5703125" style="127"/>
    <col min="4068" max="4068" width="15.5703125" style="127" customWidth="1"/>
    <col min="4069" max="4069" width="11.5703125" style="127"/>
    <col min="4070" max="4070" width="17.7109375" style="127" customWidth="1"/>
    <col min="4071" max="4323" width="11.5703125" style="127"/>
    <col min="4324" max="4324" width="15.5703125" style="127" customWidth="1"/>
    <col min="4325" max="4325" width="11.5703125" style="127"/>
    <col min="4326" max="4326" width="17.7109375" style="127" customWidth="1"/>
    <col min="4327" max="4579" width="11.5703125" style="127"/>
    <col min="4580" max="4580" width="15.5703125" style="127" customWidth="1"/>
    <col min="4581" max="4581" width="11.5703125" style="127"/>
    <col min="4582" max="4582" width="17.7109375" style="127" customWidth="1"/>
    <col min="4583" max="4835" width="11.5703125" style="127"/>
    <col min="4836" max="4836" width="15.5703125" style="127" customWidth="1"/>
    <col min="4837" max="4837" width="11.5703125" style="127"/>
    <col min="4838" max="4838" width="17.7109375" style="127" customWidth="1"/>
    <col min="4839" max="5091" width="11.5703125" style="127"/>
    <col min="5092" max="5092" width="15.5703125" style="127" customWidth="1"/>
    <col min="5093" max="5093" width="11.5703125" style="127"/>
    <col min="5094" max="5094" width="17.7109375" style="127" customWidth="1"/>
    <col min="5095" max="5347" width="11.5703125" style="127"/>
    <col min="5348" max="5348" width="15.5703125" style="127" customWidth="1"/>
    <col min="5349" max="5349" width="11.5703125" style="127"/>
    <col min="5350" max="5350" width="17.7109375" style="127" customWidth="1"/>
    <col min="5351" max="5603" width="11.5703125" style="127"/>
    <col min="5604" max="5604" width="15.5703125" style="127" customWidth="1"/>
    <col min="5605" max="5605" width="11.5703125" style="127"/>
    <col min="5606" max="5606" width="17.7109375" style="127" customWidth="1"/>
    <col min="5607" max="5859" width="11.5703125" style="127"/>
    <col min="5860" max="5860" width="15.5703125" style="127" customWidth="1"/>
    <col min="5861" max="5861" width="11.5703125" style="127"/>
    <col min="5862" max="5862" width="17.7109375" style="127" customWidth="1"/>
    <col min="5863" max="6115" width="11.5703125" style="127"/>
    <col min="6116" max="6116" width="15.5703125" style="127" customWidth="1"/>
    <col min="6117" max="6117" width="11.5703125" style="127"/>
    <col min="6118" max="6118" width="17.7109375" style="127" customWidth="1"/>
    <col min="6119" max="6371" width="11.5703125" style="127"/>
    <col min="6372" max="6372" width="15.5703125" style="127" customWidth="1"/>
    <col min="6373" max="6373" width="11.5703125" style="127"/>
    <col min="6374" max="6374" width="17.7109375" style="127" customWidth="1"/>
    <col min="6375" max="6627" width="11.5703125" style="127"/>
    <col min="6628" max="6628" width="15.5703125" style="127" customWidth="1"/>
    <col min="6629" max="6629" width="11.5703125" style="127"/>
    <col min="6630" max="6630" width="17.7109375" style="127" customWidth="1"/>
    <col min="6631" max="6883" width="11.5703125" style="127"/>
    <col min="6884" max="6884" width="15.5703125" style="127" customWidth="1"/>
    <col min="6885" max="6885" width="11.5703125" style="127"/>
    <col min="6886" max="6886" width="17.7109375" style="127" customWidth="1"/>
    <col min="6887" max="7139" width="11.5703125" style="127"/>
    <col min="7140" max="7140" width="15.5703125" style="127" customWidth="1"/>
    <col min="7141" max="7141" width="11.5703125" style="127"/>
    <col min="7142" max="7142" width="17.7109375" style="127" customWidth="1"/>
    <col min="7143" max="7395" width="11.5703125" style="127"/>
    <col min="7396" max="7396" width="15.5703125" style="127" customWidth="1"/>
    <col min="7397" max="7397" width="11.5703125" style="127"/>
    <col min="7398" max="7398" width="17.7109375" style="127" customWidth="1"/>
    <col min="7399" max="7651" width="11.5703125" style="127"/>
    <col min="7652" max="7652" width="15.5703125" style="127" customWidth="1"/>
    <col min="7653" max="7653" width="11.5703125" style="127"/>
    <col min="7654" max="7654" width="17.7109375" style="127" customWidth="1"/>
    <col min="7655" max="7907" width="11.5703125" style="127"/>
    <col min="7908" max="7908" width="15.5703125" style="127" customWidth="1"/>
    <col min="7909" max="7909" width="11.5703125" style="127"/>
    <col min="7910" max="7910" width="17.7109375" style="127" customWidth="1"/>
    <col min="7911" max="8163" width="11.5703125" style="127"/>
    <col min="8164" max="8164" width="15.5703125" style="127" customWidth="1"/>
    <col min="8165" max="8165" width="11.5703125" style="127"/>
    <col min="8166" max="8166" width="17.7109375" style="127" customWidth="1"/>
    <col min="8167" max="8419" width="11.5703125" style="127"/>
    <col min="8420" max="8420" width="15.5703125" style="127" customWidth="1"/>
    <col min="8421" max="8421" width="11.5703125" style="127"/>
    <col min="8422" max="8422" width="17.7109375" style="127" customWidth="1"/>
    <col min="8423" max="8675" width="11.5703125" style="127"/>
    <col min="8676" max="8676" width="15.5703125" style="127" customWidth="1"/>
    <col min="8677" max="8677" width="11.5703125" style="127"/>
    <col min="8678" max="8678" width="17.7109375" style="127" customWidth="1"/>
    <col min="8679" max="8931" width="11.5703125" style="127"/>
    <col min="8932" max="8932" width="15.5703125" style="127" customWidth="1"/>
    <col min="8933" max="8933" width="11.5703125" style="127"/>
    <col min="8934" max="8934" width="17.7109375" style="127" customWidth="1"/>
    <col min="8935" max="9187" width="11.5703125" style="127"/>
    <col min="9188" max="9188" width="15.5703125" style="127" customWidth="1"/>
    <col min="9189" max="9189" width="11.5703125" style="127"/>
    <col min="9190" max="9190" width="17.7109375" style="127" customWidth="1"/>
    <col min="9191" max="9443" width="11.5703125" style="127"/>
    <col min="9444" max="9444" width="15.5703125" style="127" customWidth="1"/>
    <col min="9445" max="9445" width="11.5703125" style="127"/>
    <col min="9446" max="9446" width="17.7109375" style="127" customWidth="1"/>
    <col min="9447" max="9699" width="11.5703125" style="127"/>
    <col min="9700" max="9700" width="15.5703125" style="127" customWidth="1"/>
    <col min="9701" max="9701" width="11.5703125" style="127"/>
    <col min="9702" max="9702" width="17.7109375" style="127" customWidth="1"/>
    <col min="9703" max="9955" width="11.5703125" style="127"/>
    <col min="9956" max="9956" width="15.5703125" style="127" customWidth="1"/>
    <col min="9957" max="9957" width="11.5703125" style="127"/>
    <col min="9958" max="9958" width="17.7109375" style="127" customWidth="1"/>
    <col min="9959" max="10211" width="11.5703125" style="127"/>
    <col min="10212" max="10212" width="15.5703125" style="127" customWidth="1"/>
    <col min="10213" max="10213" width="11.5703125" style="127"/>
    <col min="10214" max="10214" width="17.7109375" style="127" customWidth="1"/>
    <col min="10215" max="10467" width="11.5703125" style="127"/>
    <col min="10468" max="10468" width="15.5703125" style="127" customWidth="1"/>
    <col min="10469" max="10469" width="11.5703125" style="127"/>
    <col min="10470" max="10470" width="17.7109375" style="127" customWidth="1"/>
    <col min="10471" max="10723" width="11.5703125" style="127"/>
    <col min="10724" max="10724" width="15.5703125" style="127" customWidth="1"/>
    <col min="10725" max="10725" width="11.5703125" style="127"/>
    <col min="10726" max="10726" width="17.7109375" style="127" customWidth="1"/>
    <col min="10727" max="10979" width="11.5703125" style="127"/>
    <col min="10980" max="10980" width="15.5703125" style="127" customWidth="1"/>
    <col min="10981" max="10981" width="11.5703125" style="127"/>
    <col min="10982" max="10982" width="17.7109375" style="127" customWidth="1"/>
    <col min="10983" max="11235" width="11.5703125" style="127"/>
    <col min="11236" max="11236" width="15.5703125" style="127" customWidth="1"/>
    <col min="11237" max="11237" width="11.5703125" style="127"/>
    <col min="11238" max="11238" width="17.7109375" style="127" customWidth="1"/>
    <col min="11239" max="11491" width="11.5703125" style="127"/>
    <col min="11492" max="11492" width="15.5703125" style="127" customWidth="1"/>
    <col min="11493" max="11493" width="11.5703125" style="127"/>
    <col min="11494" max="11494" width="17.7109375" style="127" customWidth="1"/>
    <col min="11495" max="11747" width="11.5703125" style="127"/>
    <col min="11748" max="11748" width="15.5703125" style="127" customWidth="1"/>
    <col min="11749" max="11749" width="11.5703125" style="127"/>
    <col min="11750" max="11750" width="17.7109375" style="127" customWidth="1"/>
    <col min="11751" max="12003" width="11.5703125" style="127"/>
    <col min="12004" max="12004" width="15.5703125" style="127" customWidth="1"/>
    <col min="12005" max="12005" width="11.5703125" style="127"/>
    <col min="12006" max="12006" width="17.7109375" style="127" customWidth="1"/>
    <col min="12007" max="12259" width="11.5703125" style="127"/>
    <col min="12260" max="12260" width="15.5703125" style="127" customWidth="1"/>
    <col min="12261" max="12261" width="11.5703125" style="127"/>
    <col min="12262" max="12262" width="17.7109375" style="127" customWidth="1"/>
    <col min="12263" max="12515" width="11.5703125" style="127"/>
    <col min="12516" max="12516" width="15.5703125" style="127" customWidth="1"/>
    <col min="12517" max="12517" width="11.5703125" style="127"/>
    <col min="12518" max="12518" width="17.7109375" style="127" customWidth="1"/>
    <col min="12519" max="12771" width="11.5703125" style="127"/>
    <col min="12772" max="12772" width="15.5703125" style="127" customWidth="1"/>
    <col min="12773" max="12773" width="11.5703125" style="127"/>
    <col min="12774" max="12774" width="17.7109375" style="127" customWidth="1"/>
    <col min="12775" max="13027" width="11.5703125" style="127"/>
    <col min="13028" max="13028" width="15.5703125" style="127" customWidth="1"/>
    <col min="13029" max="13029" width="11.5703125" style="127"/>
    <col min="13030" max="13030" width="17.7109375" style="127" customWidth="1"/>
    <col min="13031" max="13283" width="11.5703125" style="127"/>
    <col min="13284" max="13284" width="15.5703125" style="127" customWidth="1"/>
    <col min="13285" max="13285" width="11.5703125" style="127"/>
    <col min="13286" max="13286" width="17.7109375" style="127" customWidth="1"/>
    <col min="13287" max="13539" width="11.5703125" style="127"/>
    <col min="13540" max="13540" width="15.5703125" style="127" customWidth="1"/>
    <col min="13541" max="13541" width="11.5703125" style="127"/>
    <col min="13542" max="13542" width="17.7109375" style="127" customWidth="1"/>
    <col min="13543" max="13795" width="11.5703125" style="127"/>
    <col min="13796" max="13796" width="15.5703125" style="127" customWidth="1"/>
    <col min="13797" max="13797" width="11.5703125" style="127"/>
    <col min="13798" max="13798" width="17.7109375" style="127" customWidth="1"/>
    <col min="13799" max="14051" width="11.5703125" style="127"/>
    <col min="14052" max="14052" width="15.5703125" style="127" customWidth="1"/>
    <col min="14053" max="14053" width="11.5703125" style="127"/>
    <col min="14054" max="14054" width="17.7109375" style="127" customWidth="1"/>
    <col min="14055" max="14307" width="11.5703125" style="127"/>
    <col min="14308" max="14308" width="15.5703125" style="127" customWidth="1"/>
    <col min="14309" max="14309" width="11.5703125" style="127"/>
    <col min="14310" max="14310" width="17.7109375" style="127" customWidth="1"/>
    <col min="14311" max="14563" width="11.5703125" style="127"/>
    <col min="14564" max="14564" width="15.5703125" style="127" customWidth="1"/>
    <col min="14565" max="14565" width="11.5703125" style="127"/>
    <col min="14566" max="14566" width="17.7109375" style="127" customWidth="1"/>
    <col min="14567" max="14819" width="11.5703125" style="127"/>
    <col min="14820" max="14820" width="15.5703125" style="127" customWidth="1"/>
    <col min="14821" max="14821" width="11.5703125" style="127"/>
    <col min="14822" max="14822" width="17.7109375" style="127" customWidth="1"/>
    <col min="14823" max="15075" width="11.5703125" style="127"/>
    <col min="15076" max="15076" width="15.5703125" style="127" customWidth="1"/>
    <col min="15077" max="15077" width="11.5703125" style="127"/>
    <col min="15078" max="15078" width="17.7109375" style="127" customWidth="1"/>
    <col min="15079" max="15331" width="11.5703125" style="127"/>
    <col min="15332" max="15332" width="15.5703125" style="127" customWidth="1"/>
    <col min="15333" max="15333" width="11.5703125" style="127"/>
    <col min="15334" max="15334" width="17.7109375" style="127" customWidth="1"/>
    <col min="15335" max="15587" width="11.5703125" style="127"/>
    <col min="15588" max="15588" width="15.5703125" style="127" customWidth="1"/>
    <col min="15589" max="15589" width="11.5703125" style="127"/>
    <col min="15590" max="15590" width="17.7109375" style="127" customWidth="1"/>
    <col min="15591" max="15843" width="11.5703125" style="127"/>
    <col min="15844" max="15844" width="15.5703125" style="127" customWidth="1"/>
    <col min="15845" max="15845" width="11.5703125" style="127"/>
    <col min="15846" max="15846" width="17.7109375" style="127" customWidth="1"/>
    <col min="15847" max="16099" width="11.5703125" style="127"/>
    <col min="16100" max="16100" width="15.5703125" style="127" customWidth="1"/>
    <col min="16101" max="16101" width="11.5703125" style="127"/>
    <col min="16102" max="16102" width="17.7109375" style="127" customWidth="1"/>
    <col min="16103" max="16384" width="11.5703125" style="127"/>
  </cols>
  <sheetData>
    <row r="1" spans="1:14" s="2" customFormat="1" x14ac:dyDescent="0.25">
      <c r="A1" s="649"/>
      <c r="B1" s="649"/>
      <c r="C1" s="1672" t="s">
        <v>0</v>
      </c>
      <c r="D1" s="1672"/>
      <c r="E1" s="1672"/>
      <c r="F1" s="1672"/>
      <c r="G1" s="1672"/>
      <c r="H1" s="1672"/>
      <c r="I1" s="1672"/>
      <c r="J1" s="1672"/>
      <c r="K1" s="1672"/>
      <c r="L1" s="5"/>
      <c r="M1" s="4"/>
    </row>
    <row r="2" spans="1:14" s="2" customFormat="1" ht="13.5" thickBot="1" x14ac:dyDescent="0.3">
      <c r="A2" s="649"/>
      <c r="B2" s="649"/>
      <c r="C2" s="6"/>
      <c r="D2" s="6"/>
      <c r="E2" s="7"/>
      <c r="F2" s="7"/>
      <c r="G2" s="10"/>
      <c r="H2" s="10"/>
      <c r="I2" s="10"/>
      <c r="J2" s="10"/>
      <c r="K2" s="10"/>
      <c r="L2" s="5"/>
      <c r="M2" s="4"/>
    </row>
    <row r="3" spans="1:14" s="2" customFormat="1" ht="15.75" customHeight="1" thickBot="1" x14ac:dyDescent="0.3">
      <c r="A3" s="649"/>
      <c r="B3" s="649"/>
      <c r="C3" s="2001" t="s">
        <v>2880</v>
      </c>
      <c r="D3" s="2002"/>
      <c r="E3" s="2002"/>
      <c r="F3" s="2002"/>
      <c r="G3" s="2002"/>
      <c r="H3" s="2002"/>
      <c r="I3" s="2002"/>
      <c r="J3" s="2002"/>
      <c r="K3" s="2002"/>
      <c r="L3" s="2003"/>
      <c r="M3" s="4"/>
    </row>
    <row r="4" spans="1:14" s="13" customFormat="1" ht="13.5" thickBot="1" x14ac:dyDescent="0.3">
      <c r="A4" s="11"/>
      <c r="B4" s="11"/>
      <c r="C4" s="12"/>
      <c r="D4" s="12"/>
      <c r="G4" s="378"/>
      <c r="H4" s="661"/>
      <c r="I4" s="18"/>
      <c r="J4" s="10"/>
      <c r="K4" s="10"/>
      <c r="L4" s="20"/>
      <c r="M4" s="19"/>
    </row>
    <row r="5" spans="1:14" s="2" customFormat="1" ht="12.75" customHeight="1" x14ac:dyDescent="0.25">
      <c r="A5" s="649"/>
      <c r="B5" s="649"/>
      <c r="C5" s="21" t="str">
        <f>oR!E5</f>
        <v>PROPRIETÁRIO:</v>
      </c>
      <c r="D5" s="22"/>
      <c r="E5" s="23" t="str">
        <f>oR!G5</f>
        <v>MUNICÍPIO DE PRESIDENTE CASTELLO BRANCO</v>
      </c>
      <c r="F5" s="23"/>
      <c r="G5" s="671" t="str">
        <f>oR!L5</f>
        <v>DATA ORÇAMENTO:</v>
      </c>
      <c r="H5" s="678"/>
      <c r="I5" s="703" t="str">
        <f>oR!N5</f>
        <v>NOVEMBRO/2022</v>
      </c>
      <c r="J5" s="2006" t="str">
        <f>oR!P5</f>
        <v>DATA BASE PREÇO:</v>
      </c>
      <c r="K5" s="2004" t="str">
        <f>oR!Q5</f>
        <v>SICRO 07/2022</v>
      </c>
      <c r="L5" s="2005"/>
      <c r="M5" s="4"/>
      <c r="N5" s="1007" t="s">
        <v>5917</v>
      </c>
    </row>
    <row r="6" spans="1:14" s="2" customFormat="1" ht="15" customHeight="1" x14ac:dyDescent="0.25">
      <c r="A6" s="649"/>
      <c r="B6" s="649"/>
      <c r="C6" s="26" t="str">
        <f>oR!E6</f>
        <v>OBRA:</v>
      </c>
      <c r="D6" s="27"/>
      <c r="E6" s="28" t="str">
        <f>oR!G6</f>
        <v>IMPLANTAÇÃO E PAVIMENTAÇÃO DA ESTRADA DE LINHA TAQUARAL - SEGMENTO 01</v>
      </c>
      <c r="F6" s="28"/>
      <c r="G6" s="672"/>
      <c r="H6" s="679"/>
      <c r="I6" s="1162" t="str">
        <f>oR!N6</f>
        <v>R0A</v>
      </c>
      <c r="J6" s="2007"/>
      <c r="K6" s="1997" t="str">
        <f>oR!Q6</f>
        <v>SINAPI 09/2022</v>
      </c>
      <c r="L6" s="1998"/>
      <c r="M6" s="4"/>
    </row>
    <row r="7" spans="1:14" s="2" customFormat="1" ht="12.75" customHeight="1" x14ac:dyDescent="0.25">
      <c r="A7" s="649"/>
      <c r="B7" s="649"/>
      <c r="C7" s="26" t="str">
        <f>oR!E7</f>
        <v>TRECHO:</v>
      </c>
      <c r="D7" s="27"/>
      <c r="E7" s="28" t="str">
        <f>oR!G7</f>
        <v>Av. Dezessete de Fevereiro - Fim da pavimentação (Km 2+200m)</v>
      </c>
      <c r="F7" s="28"/>
      <c r="G7" s="672"/>
      <c r="H7" s="679"/>
      <c r="I7" s="1147">
        <f>oR!N7</f>
        <v>0.24379999999999999</v>
      </c>
      <c r="J7" s="2007"/>
      <c r="K7" s="1997" t="str">
        <f>oR!Q7</f>
        <v>ANP 10/2022</v>
      </c>
      <c r="L7" s="1998"/>
    </row>
    <row r="8" spans="1:14" s="2" customFormat="1" ht="12.75" customHeight="1" x14ac:dyDescent="0.25">
      <c r="A8" s="1572"/>
      <c r="B8" s="1572"/>
      <c r="C8" s="26" t="str">
        <f>oR!E8</f>
        <v>SEGMENTO:</v>
      </c>
      <c r="D8" s="27"/>
      <c r="E8" s="28" t="str">
        <f>oR!G8</f>
        <v>Av. Dezessete de Fevereiro - Km 0+140m</v>
      </c>
      <c r="F8" s="28"/>
      <c r="G8" s="672"/>
      <c r="H8" s="679"/>
      <c r="I8" s="1573"/>
      <c r="J8" s="2007"/>
      <c r="K8" s="1575"/>
      <c r="L8" s="1576"/>
    </row>
    <row r="9" spans="1:14" s="2" customFormat="1" ht="15.75" customHeight="1" thickBot="1" x14ac:dyDescent="0.3">
      <c r="A9" s="649"/>
      <c r="B9" s="649"/>
      <c r="C9" s="31" t="str">
        <f>oR!E9</f>
        <v>EMENDA:</v>
      </c>
      <c r="D9" s="32"/>
      <c r="E9" s="183">
        <f>oR!G9</f>
        <v>2146</v>
      </c>
      <c r="F9" s="33"/>
      <c r="G9" s="673"/>
      <c r="H9" s="680"/>
      <c r="I9" s="1148"/>
      <c r="J9" s="2008"/>
      <c r="K9" s="1999" t="str">
        <f>oR!Q9</f>
        <v>(SEM DESON.)</v>
      </c>
      <c r="L9" s="2000"/>
      <c r="M9" s="4"/>
    </row>
    <row r="10" spans="1:14" ht="13.5" thickBot="1" x14ac:dyDescent="0.25">
      <c r="C10" s="176"/>
      <c r="D10" s="177"/>
      <c r="E10" s="177"/>
      <c r="F10" s="177"/>
      <c r="G10" s="176"/>
      <c r="H10" s="176"/>
      <c r="I10" s="176"/>
      <c r="J10" s="176"/>
      <c r="K10" s="176"/>
    </row>
    <row r="11" spans="1:14" s="2" customFormat="1" ht="26.25" customHeight="1" thickBot="1" x14ac:dyDescent="0.3">
      <c r="A11" s="649"/>
      <c r="B11" s="649"/>
      <c r="C11" s="2013" t="s">
        <v>6</v>
      </c>
      <c r="D11" s="2009" t="s">
        <v>9</v>
      </c>
      <c r="E11" s="2010"/>
      <c r="F11" s="666"/>
      <c r="G11" s="2015" t="s">
        <v>3223</v>
      </c>
      <c r="H11" s="2015"/>
      <c r="I11" s="2015" t="s">
        <v>3224</v>
      </c>
      <c r="J11" s="2015"/>
      <c r="K11" s="2016" t="str">
        <f>oR!$G$13</f>
        <v>RESUMO GERAL</v>
      </c>
      <c r="L11" s="2018" t="s">
        <v>15</v>
      </c>
    </row>
    <row r="12" spans="1:14" s="2" customFormat="1" ht="15.75" customHeight="1" thickBot="1" x14ac:dyDescent="0.3">
      <c r="A12" s="214" t="s">
        <v>2630</v>
      </c>
      <c r="B12" s="652"/>
      <c r="C12" s="2014"/>
      <c r="D12" s="2011"/>
      <c r="E12" s="2012"/>
      <c r="F12" s="667"/>
      <c r="G12" s="541" t="s">
        <v>3225</v>
      </c>
      <c r="H12" s="541" t="s">
        <v>2882</v>
      </c>
      <c r="I12" s="541" t="str">
        <f>G12</f>
        <v>(%)</v>
      </c>
      <c r="J12" s="541" t="str">
        <f>H12</f>
        <v>R$</v>
      </c>
      <c r="K12" s="2017"/>
      <c r="L12" s="2019"/>
    </row>
    <row r="13" spans="1:14" s="2" customFormat="1" x14ac:dyDescent="0.25">
      <c r="A13" s="650">
        <f>oR!C14</f>
        <v>1</v>
      </c>
      <c r="B13" s="653"/>
      <c r="C13" s="379" t="str">
        <f>oR!E14</f>
        <v>1.0</v>
      </c>
      <c r="D13" s="447" t="str">
        <f>oR!G14</f>
        <v>SERVIÇOS INICIAIS</v>
      </c>
      <c r="E13" s="453"/>
      <c r="F13" s="165"/>
      <c r="G13" s="542">
        <v>35</v>
      </c>
      <c r="H13" s="543">
        <f>G13*K13/100</f>
        <v>560.29</v>
      </c>
      <c r="I13" s="542">
        <f>100-G13</f>
        <v>65</v>
      </c>
      <c r="J13" s="543">
        <f>K13-H13</f>
        <v>1040.54</v>
      </c>
      <c r="K13" s="408">
        <f>oR!$Q$18</f>
        <v>1600.83</v>
      </c>
      <c r="L13" s="404">
        <f t="shared" ref="L13:L23" ca="1" si="0">K13/$K$23</f>
        <v>6.1999999999999998E-3</v>
      </c>
      <c r="M13" s="315"/>
    </row>
    <row r="14" spans="1:14" s="2" customFormat="1" x14ac:dyDescent="0.25">
      <c r="A14" s="651">
        <f ca="1">oR!C19</f>
        <v>1</v>
      </c>
      <c r="B14" s="649"/>
      <c r="C14" s="380" t="str">
        <f ca="1">oR!E19</f>
        <v>2.0</v>
      </c>
      <c r="D14" s="448" t="str">
        <f>oR!G19</f>
        <v>DRENAGEM E OAC</v>
      </c>
      <c r="E14" s="454"/>
      <c r="F14" s="670"/>
      <c r="G14" s="544">
        <v>50</v>
      </c>
      <c r="H14" s="545">
        <f t="shared" ref="H14:H18" ca="1" si="1">G14*K14/100</f>
        <v>26283.69</v>
      </c>
      <c r="I14" s="544">
        <f t="shared" ref="I14:I21" si="2">100-G14</f>
        <v>50</v>
      </c>
      <c r="J14" s="545">
        <f t="shared" ref="J14:J18" ca="1" si="3">K14-H14</f>
        <v>26283.68</v>
      </c>
      <c r="K14" s="409">
        <f ca="1">oR!$Q$178</f>
        <v>52567.37</v>
      </c>
      <c r="L14" s="405">
        <f t="shared" ca="1" si="0"/>
        <v>0.2034</v>
      </c>
      <c r="M14" s="315"/>
    </row>
    <row r="15" spans="1:14" s="2" customFormat="1" x14ac:dyDescent="0.25">
      <c r="A15" s="651">
        <f>oR!C179</f>
        <v>1</v>
      </c>
      <c r="B15" s="649"/>
      <c r="C15" s="380" t="str">
        <f ca="1">oR!E179</f>
        <v>3.0</v>
      </c>
      <c r="D15" s="448" t="str">
        <f>oR!G179</f>
        <v>TERRAPLENAGEM</v>
      </c>
      <c r="E15" s="454"/>
      <c r="F15" s="670"/>
      <c r="G15" s="544">
        <v>15</v>
      </c>
      <c r="H15" s="545">
        <f t="shared" si="1"/>
        <v>2308.4899999999998</v>
      </c>
      <c r="I15" s="544">
        <f t="shared" si="2"/>
        <v>85</v>
      </c>
      <c r="J15" s="545">
        <f t="shared" si="3"/>
        <v>13081.45</v>
      </c>
      <c r="K15" s="409">
        <f>oR!$Q$190</f>
        <v>15389.94</v>
      </c>
      <c r="L15" s="405">
        <f t="shared" ca="1" si="0"/>
        <v>5.9499999999999997E-2</v>
      </c>
      <c r="M15" s="315"/>
    </row>
    <row r="16" spans="1:14" s="2" customFormat="1" x14ac:dyDescent="0.25">
      <c r="A16" s="651">
        <f>oR!C191</f>
        <v>1</v>
      </c>
      <c r="B16" s="649"/>
      <c r="C16" s="380" t="str">
        <f ca="1">oR!E191</f>
        <v>4.0</v>
      </c>
      <c r="D16" s="448" t="str">
        <f>oR!G191</f>
        <v>PAVIMENTAÇÃO ASFÁLTICA</v>
      </c>
      <c r="E16" s="454"/>
      <c r="F16" s="670"/>
      <c r="G16" s="544">
        <v>10</v>
      </c>
      <c r="H16" s="545">
        <f t="shared" si="1"/>
        <v>18135.11</v>
      </c>
      <c r="I16" s="544">
        <f t="shared" si="2"/>
        <v>90</v>
      </c>
      <c r="J16" s="545">
        <f t="shared" si="3"/>
        <v>163215.94</v>
      </c>
      <c r="K16" s="409">
        <f>oR!$Q$310</f>
        <v>181351.05</v>
      </c>
      <c r="L16" s="405">
        <f t="shared" ca="1" si="0"/>
        <v>0.70169999999999999</v>
      </c>
      <c r="M16" s="315"/>
      <c r="N16" s="47"/>
    </row>
    <row r="17" spans="1:13" s="2" customFormat="1" hidden="1" x14ac:dyDescent="0.25">
      <c r="A17" s="651">
        <f>oR!C311</f>
        <v>0</v>
      </c>
      <c r="B17" s="649"/>
      <c r="C17" s="380" t="str">
        <f ca="1">oR!E311</f>
        <v>4.0</v>
      </c>
      <c r="D17" s="448" t="str">
        <f>oR!G311</f>
        <v>MEIO-FIO E PASSEIOS</v>
      </c>
      <c r="E17" s="454"/>
      <c r="F17" s="670"/>
      <c r="G17" s="544">
        <v>35</v>
      </c>
      <c r="H17" s="545">
        <f t="shared" si="1"/>
        <v>0</v>
      </c>
      <c r="I17" s="544">
        <f t="shared" si="2"/>
        <v>65</v>
      </c>
      <c r="J17" s="545">
        <f t="shared" si="3"/>
        <v>0</v>
      </c>
      <c r="K17" s="409">
        <f>oR!$Q$322</f>
        <v>0</v>
      </c>
      <c r="L17" s="405">
        <f t="shared" ca="1" si="0"/>
        <v>0</v>
      </c>
      <c r="M17" s="315"/>
    </row>
    <row r="18" spans="1:13" s="2" customFormat="1" ht="13.5" thickBot="1" x14ac:dyDescent="0.3">
      <c r="A18" s="651">
        <f>oR!C323</f>
        <v>1</v>
      </c>
      <c r="B18" s="649"/>
      <c r="C18" s="380" t="str">
        <f ca="1">oR!E323</f>
        <v>5.0</v>
      </c>
      <c r="D18" s="448" t="str">
        <f>oR!G323</f>
        <v>SINALIZAÇÃO</v>
      </c>
      <c r="E18" s="454"/>
      <c r="F18" s="670"/>
      <c r="G18" s="544">
        <v>35</v>
      </c>
      <c r="H18" s="545">
        <f t="shared" si="1"/>
        <v>2640.99</v>
      </c>
      <c r="I18" s="544">
        <f t="shared" si="2"/>
        <v>65</v>
      </c>
      <c r="J18" s="545">
        <f t="shared" si="3"/>
        <v>4904.7</v>
      </c>
      <c r="K18" s="409">
        <f>oR!$Q$350</f>
        <v>7545.69</v>
      </c>
      <c r="L18" s="405">
        <f t="shared" ca="1" si="0"/>
        <v>2.92E-2</v>
      </c>
      <c r="M18" s="315"/>
    </row>
    <row r="19" spans="1:13" s="2" customFormat="1" ht="13.5" hidden="1" thickBot="1" x14ac:dyDescent="0.3">
      <c r="A19" s="651">
        <f>oR!C351</f>
        <v>0</v>
      </c>
      <c r="B19" s="649"/>
      <c r="C19" s="380" t="str">
        <f ca="1">oR!E351</f>
        <v>5.0</v>
      </c>
      <c r="D19" s="448" t="str">
        <f>oR!G351</f>
        <v>OBRAS COMPLEMENTARES</v>
      </c>
      <c r="E19" s="454"/>
      <c r="F19" s="670"/>
      <c r="G19" s="544">
        <v>35</v>
      </c>
      <c r="H19" s="545">
        <f t="shared" ref="H19:H21" si="4">G19*K19/100</f>
        <v>0</v>
      </c>
      <c r="I19" s="544">
        <f t="shared" si="2"/>
        <v>65</v>
      </c>
      <c r="J19" s="545">
        <f t="shared" ref="J19:J21" si="5">K19-H19</f>
        <v>0</v>
      </c>
      <c r="K19" s="409">
        <f>oR!$Q$368</f>
        <v>0</v>
      </c>
      <c r="L19" s="405">
        <f t="shared" ca="1" si="0"/>
        <v>0</v>
      </c>
      <c r="M19" s="315"/>
    </row>
    <row r="20" spans="1:13" s="2" customFormat="1" ht="13.5" hidden="1" thickBot="1" x14ac:dyDescent="0.3">
      <c r="A20" s="651">
        <f>oR!C369</f>
        <v>0</v>
      </c>
      <c r="B20" s="649"/>
      <c r="C20" s="424" t="str">
        <f ca="1">oR!E369</f>
        <v>5.0</v>
      </c>
      <c r="D20" s="448" t="str">
        <f>oR!G369</f>
        <v>OBRAS DE CONTENÇÃO</v>
      </c>
      <c r="E20" s="454"/>
      <c r="F20" s="670"/>
      <c r="G20" s="544">
        <v>35</v>
      </c>
      <c r="H20" s="545">
        <f t="shared" si="4"/>
        <v>0</v>
      </c>
      <c r="I20" s="544">
        <f t="shared" si="2"/>
        <v>65</v>
      </c>
      <c r="J20" s="545">
        <f t="shared" si="5"/>
        <v>0</v>
      </c>
      <c r="K20" s="409">
        <f>oR!Q374</f>
        <v>0</v>
      </c>
      <c r="L20" s="405">
        <f t="shared" ca="1" si="0"/>
        <v>0</v>
      </c>
      <c r="M20" s="315"/>
    </row>
    <row r="21" spans="1:13" s="2" customFormat="1" ht="13.5" hidden="1" thickBot="1" x14ac:dyDescent="0.3">
      <c r="A21" s="1004">
        <f>oR!C375</f>
        <v>0</v>
      </c>
      <c r="B21" s="999"/>
      <c r="C21" s="1004" t="str">
        <f ca="1">oR!E375</f>
        <v>5.0</v>
      </c>
      <c r="D21" s="448" t="str">
        <f>oR!G375</f>
        <v>CONTROLE TECNOLÓGICO</v>
      </c>
      <c r="E21" s="454"/>
      <c r="F21" s="670"/>
      <c r="G21" s="544">
        <v>65</v>
      </c>
      <c r="H21" s="545">
        <f t="shared" si="4"/>
        <v>0</v>
      </c>
      <c r="I21" s="544">
        <f t="shared" si="2"/>
        <v>35</v>
      </c>
      <c r="J21" s="545">
        <f t="shared" si="5"/>
        <v>0</v>
      </c>
      <c r="K21" s="409">
        <f>oR!$Q$380</f>
        <v>0</v>
      </c>
      <c r="L21" s="405">
        <f t="shared" ca="1" si="0"/>
        <v>0</v>
      </c>
      <c r="M21" s="315"/>
    </row>
    <row r="22" spans="1:13" s="2" customFormat="1" ht="13.5" hidden="1" thickBot="1" x14ac:dyDescent="0.3">
      <c r="A22" s="1004">
        <f>oR!C381</f>
        <v>0</v>
      </c>
      <c r="B22" s="999"/>
      <c r="C22" s="1004" t="str">
        <f ca="1">oR!E381</f>
        <v>5.0</v>
      </c>
      <c r="D22" s="448" t="str">
        <f>oR!G381</f>
        <v>SERVIÇOS TÉCNICOS AMBIENTAIS</v>
      </c>
      <c r="E22" s="454"/>
      <c r="F22" s="670"/>
      <c r="G22" s="544">
        <v>65</v>
      </c>
      <c r="H22" s="545">
        <f t="shared" ref="H22" si="6">G22*K22/100</f>
        <v>0</v>
      </c>
      <c r="I22" s="544">
        <f t="shared" ref="I22" si="7">100-G22</f>
        <v>35</v>
      </c>
      <c r="J22" s="545">
        <f t="shared" ref="J22" si="8">K22-H22</f>
        <v>0</v>
      </c>
      <c r="K22" s="409">
        <f>oR!Q384</f>
        <v>0</v>
      </c>
      <c r="L22" s="405">
        <f t="shared" ca="1" si="0"/>
        <v>0</v>
      </c>
      <c r="M22" s="315"/>
    </row>
    <row r="23" spans="1:13" x14ac:dyDescent="0.2">
      <c r="A23" s="649"/>
      <c r="B23" s="649"/>
      <c r="C23" s="1993" t="s">
        <v>2881</v>
      </c>
      <c r="D23" s="1994"/>
      <c r="E23" s="674" t="s">
        <v>2882</v>
      </c>
      <c r="F23" s="675"/>
      <c r="G23" s="410"/>
      <c r="H23" s="546">
        <f ca="1">SUM(H13:H22)</f>
        <v>49928.57</v>
      </c>
      <c r="I23" s="547"/>
      <c r="J23" s="546">
        <f ca="1">SUM(J13:J22)</f>
        <v>208526.31</v>
      </c>
      <c r="K23" s="410">
        <f ca="1">SUM(K13:K22)</f>
        <v>258454.88</v>
      </c>
      <c r="L23" s="406">
        <f t="shared" ca="1" si="0"/>
        <v>1</v>
      </c>
      <c r="M23" s="315">
        <v>270000</v>
      </c>
    </row>
    <row r="24" spans="1:13" ht="15.75" customHeight="1" thickBot="1" x14ac:dyDescent="0.25">
      <c r="A24" s="649"/>
      <c r="B24" s="649"/>
      <c r="C24" s="1995"/>
      <c r="D24" s="1996"/>
      <c r="E24" s="676" t="s">
        <v>15</v>
      </c>
      <c r="F24" s="677"/>
      <c r="G24" s="411"/>
      <c r="H24" s="548">
        <f ca="1">H23/$K$23</f>
        <v>0.19320000000000001</v>
      </c>
      <c r="I24" s="549"/>
      <c r="J24" s="548">
        <f ca="1">J23/$K$23</f>
        <v>0.80679999999999996</v>
      </c>
      <c r="K24" s="681">
        <f ca="1">K23/$K$23</f>
        <v>1</v>
      </c>
      <c r="L24" s="407"/>
      <c r="M24" s="161"/>
    </row>
    <row r="25" spans="1:13" ht="12.75" customHeight="1" x14ac:dyDescent="0.2">
      <c r="A25" s="649"/>
      <c r="B25" s="649"/>
      <c r="C25" s="1993" t="s">
        <v>2883</v>
      </c>
      <c r="D25" s="1994"/>
      <c r="E25" s="674" t="s">
        <v>2873</v>
      </c>
      <c r="F25" s="675"/>
      <c r="G25" s="410"/>
      <c r="H25" s="449"/>
      <c r="I25" s="449"/>
      <c r="J25" s="450"/>
      <c r="K25" s="410">
        <f>MEMORIA!E20</f>
        <v>992.85</v>
      </c>
      <c r="L25" s="406"/>
      <c r="M25" s="161"/>
    </row>
    <row r="26" spans="1:13" ht="15.75" customHeight="1" thickBot="1" x14ac:dyDescent="0.25">
      <c r="A26" s="649"/>
      <c r="B26" s="649"/>
      <c r="C26" s="1995"/>
      <c r="D26" s="1996"/>
      <c r="E26" s="676" t="s">
        <v>2884</v>
      </c>
      <c r="F26" s="677"/>
      <c r="G26" s="412"/>
      <c r="H26" s="451"/>
      <c r="I26" s="451"/>
      <c r="J26" s="452"/>
      <c r="K26" s="412">
        <f t="shared" ref="K26" ca="1" si="9">K23/K25</f>
        <v>260.32</v>
      </c>
      <c r="L26" s="407"/>
      <c r="M26" s="159"/>
    </row>
    <row r="27" spans="1:13" ht="12.75" customHeight="1" x14ac:dyDescent="0.2">
      <c r="A27" s="649"/>
      <c r="B27" s="649"/>
      <c r="C27" s="1993" t="s">
        <v>2885</v>
      </c>
      <c r="D27" s="1994"/>
      <c r="E27" s="674" t="s">
        <v>53</v>
      </c>
      <c r="F27" s="675"/>
      <c r="G27" s="410"/>
      <c r="H27" s="449"/>
      <c r="I27" s="449"/>
      <c r="J27" s="450"/>
      <c r="K27" s="410">
        <f>oR!$I$9</f>
        <v>140</v>
      </c>
      <c r="L27" s="406"/>
      <c r="M27" s="159">
        <v>160</v>
      </c>
    </row>
    <row r="28" spans="1:13" ht="15.75" customHeight="1" thickBot="1" x14ac:dyDescent="0.25">
      <c r="A28" s="649"/>
      <c r="B28" s="649"/>
      <c r="C28" s="1995"/>
      <c r="D28" s="1996"/>
      <c r="E28" s="676" t="s">
        <v>2886</v>
      </c>
      <c r="F28" s="677"/>
      <c r="G28" s="412"/>
      <c r="H28" s="451"/>
      <c r="I28" s="451"/>
      <c r="J28" s="452"/>
      <c r="K28" s="412">
        <f ca="1">K23/K27</f>
        <v>1846.11</v>
      </c>
      <c r="L28" s="407"/>
      <c r="M28" s="161">
        <f ca="1">K28</f>
        <v>1846.11</v>
      </c>
    </row>
    <row r="29" spans="1:13" x14ac:dyDescent="0.2">
      <c r="A29" s="649"/>
      <c r="B29" s="649"/>
      <c r="C29" s="179"/>
      <c r="G29" s="403"/>
      <c r="H29" s="403"/>
      <c r="I29" s="403"/>
      <c r="J29" s="403"/>
      <c r="K29" s="1431"/>
    </row>
    <row r="30" spans="1:13" x14ac:dyDescent="0.2">
      <c r="A30" s="649"/>
      <c r="B30" s="649"/>
      <c r="C30" s="179" t="str">
        <f>oR!E387</f>
        <v>Presidente Castello Branco - SC, novembro de 2022.</v>
      </c>
      <c r="G30" s="403">
        <v>6</v>
      </c>
      <c r="H30" s="403">
        <v>8</v>
      </c>
      <c r="I30" s="403">
        <v>9</v>
      </c>
      <c r="J30" s="403">
        <v>10</v>
      </c>
      <c r="K30" s="1432"/>
    </row>
    <row r="31" spans="1:13" x14ac:dyDescent="0.2">
      <c r="A31" s="649"/>
      <c r="B31" s="649"/>
      <c r="C31" s="179"/>
      <c r="G31" s="403"/>
      <c r="H31" s="403"/>
      <c r="I31" s="403"/>
      <c r="J31" s="403"/>
      <c r="K31" s="1432"/>
    </row>
    <row r="32" spans="1:13" x14ac:dyDescent="0.2">
      <c r="A32" s="649"/>
      <c r="B32" s="649"/>
      <c r="C32" s="179"/>
    </row>
    <row r="33" spans="1:11" x14ac:dyDescent="0.2">
      <c r="A33" s="649"/>
      <c r="B33" s="649"/>
      <c r="C33" s="179"/>
      <c r="G33" s="178"/>
      <c r="H33" s="178"/>
      <c r="I33" s="178"/>
      <c r="J33" s="178"/>
      <c r="K33" s="178"/>
    </row>
    <row r="34" spans="1:11" x14ac:dyDescent="0.2">
      <c r="A34" s="649"/>
      <c r="B34" s="649"/>
      <c r="I34" s="163" t="str">
        <f>oR!M389</f>
        <v>Juliano Wolschick</v>
      </c>
    </row>
    <row r="35" spans="1:11" x14ac:dyDescent="0.2">
      <c r="A35" s="649"/>
      <c r="B35" s="649"/>
      <c r="I35" s="163" t="str">
        <f>oR!M390</f>
        <v>Eng. Civil CREA/SC 057.254-9</v>
      </c>
    </row>
    <row r="36" spans="1:11" x14ac:dyDescent="0.2">
      <c r="A36" s="649"/>
      <c r="B36" s="649"/>
      <c r="I36" s="163" t="str">
        <f>oR!M391</f>
        <v>Responsável Técnico</v>
      </c>
    </row>
    <row r="39" spans="1:11" x14ac:dyDescent="0.2">
      <c r="C39" s="176"/>
      <c r="D39" s="177"/>
      <c r="E39" s="177"/>
      <c r="F39" s="177"/>
      <c r="G39" s="176"/>
      <c r="H39" s="176"/>
      <c r="I39" s="176"/>
      <c r="J39" s="176"/>
      <c r="K39" s="176"/>
    </row>
    <row r="40" spans="1:11" x14ac:dyDescent="0.2">
      <c r="C40" s="176"/>
      <c r="D40" s="177"/>
      <c r="E40" s="177"/>
      <c r="F40" s="177"/>
      <c r="G40" s="181"/>
      <c r="H40" s="181"/>
      <c r="I40" s="181"/>
      <c r="J40" s="181"/>
      <c r="K40" s="181"/>
    </row>
    <row r="41" spans="1:11" x14ac:dyDescent="0.2">
      <c r="C41" s="176"/>
      <c r="D41" s="177"/>
      <c r="E41" s="177"/>
      <c r="F41" s="177"/>
      <c r="G41" s="182"/>
      <c r="H41" s="182"/>
      <c r="I41" s="182"/>
      <c r="J41" s="182"/>
      <c r="K41" s="182"/>
    </row>
    <row r="42" spans="1:11" x14ac:dyDescent="0.2">
      <c r="C42" s="176"/>
      <c r="D42" s="177"/>
      <c r="E42" s="177"/>
      <c r="F42" s="177"/>
      <c r="G42" s="176"/>
      <c r="H42" s="176"/>
      <c r="I42" s="176"/>
      <c r="J42" s="176"/>
      <c r="K42" s="176"/>
    </row>
    <row r="43" spans="1:11" x14ac:dyDescent="0.2">
      <c r="C43" s="176"/>
      <c r="D43" s="177"/>
      <c r="E43" s="177"/>
      <c r="F43" s="177"/>
      <c r="G43" s="181"/>
      <c r="H43" s="181"/>
      <c r="I43" s="181"/>
      <c r="J43" s="181"/>
      <c r="K43" s="181"/>
    </row>
    <row r="44" spans="1:11" x14ac:dyDescent="0.2">
      <c r="C44" s="176"/>
      <c r="D44" s="177"/>
      <c r="E44" s="177"/>
      <c r="F44" s="177"/>
      <c r="G44" s="182"/>
      <c r="H44" s="182"/>
      <c r="I44" s="182"/>
      <c r="J44" s="182"/>
      <c r="K44" s="182"/>
    </row>
  </sheetData>
  <autoFilter ref="A12:A23" xr:uid="{00000000-0009-0000-0000-00000A000000}">
    <filterColumn colId="0">
      <filters blank="1">
        <filter val="1"/>
      </filters>
    </filterColumn>
  </autoFilter>
  <mergeCells count="16">
    <mergeCell ref="C25:D26"/>
    <mergeCell ref="K7:L7"/>
    <mergeCell ref="K9:L9"/>
    <mergeCell ref="C27:D28"/>
    <mergeCell ref="C1:K1"/>
    <mergeCell ref="C3:L3"/>
    <mergeCell ref="K5:L5"/>
    <mergeCell ref="K6:L6"/>
    <mergeCell ref="J5:J9"/>
    <mergeCell ref="D11:E12"/>
    <mergeCell ref="C11:C12"/>
    <mergeCell ref="G11:H11"/>
    <mergeCell ref="I11:J11"/>
    <mergeCell ref="C23:D24"/>
    <mergeCell ref="K11:K12"/>
    <mergeCell ref="L11:L12"/>
  </mergeCells>
  <conditionalFormatting sqref="D13">
    <cfRule type="cellIs" dxfId="59" priority="76" operator="equal">
      <formula>0</formula>
    </cfRule>
  </conditionalFormatting>
  <conditionalFormatting sqref="D14">
    <cfRule type="cellIs" dxfId="58" priority="69" operator="equal">
      <formula>0</formula>
    </cfRule>
  </conditionalFormatting>
  <conditionalFormatting sqref="D15:D19">
    <cfRule type="cellIs" dxfId="57" priority="64" operator="equal">
      <formula>0</formula>
    </cfRule>
  </conditionalFormatting>
  <conditionalFormatting sqref="D20">
    <cfRule type="cellIs" dxfId="56" priority="4" operator="equal">
      <formula>0</formula>
    </cfRule>
  </conditionalFormatting>
  <conditionalFormatting sqref="D21:D22">
    <cfRule type="cellIs" dxfId="55" priority="1" operator="equal">
      <formula>0</formula>
    </cfRule>
  </conditionalFormatting>
  <printOptions horizontalCentered="1"/>
  <pageMargins left="0.59055118110236227" right="0.59055118110236227" top="0.94488188976377963" bottom="0.6692913385826772" header="0.31496062992125984" footer="0.23622047244094491"/>
  <pageSetup paperSize="9" scale="83" fitToHeight="0" orientation="landscape" r:id="rId1"/>
  <headerFooter>
    <oddHeader>&amp;C&amp;G</oddHead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FFC000"/>
    <pageSetUpPr fitToPage="1"/>
  </sheetPr>
  <dimension ref="A1:V391"/>
  <sheetViews>
    <sheetView view="pageBreakPreview" zoomScaleNormal="80" zoomScaleSheetLayoutView="100" workbookViewId="0">
      <selection activeCell="H14" sqref="H14"/>
    </sheetView>
  </sheetViews>
  <sheetFormatPr defaultColWidth="9.140625" defaultRowHeight="15" customHeight="1" outlineLevelRow="1" x14ac:dyDescent="0.25"/>
  <cols>
    <col min="1" max="4" width="9.140625" style="515"/>
    <col min="5" max="5" width="7.140625" style="562" customWidth="1"/>
    <col min="6" max="6" width="11.28515625" style="562" bestFit="1" customWidth="1"/>
    <col min="7" max="7" width="12.140625" style="562" customWidth="1"/>
    <col min="8" max="8" width="81.42578125" style="562" customWidth="1"/>
    <col min="9" max="9" width="70.7109375" style="48" hidden="1" customWidth="1"/>
    <col min="10" max="10" width="8.5703125" style="596" hidden="1" customWidth="1"/>
    <col min="11" max="11" width="23" style="596" bestFit="1" customWidth="1"/>
    <col min="12" max="12" width="8.5703125" style="596" bestFit="1" customWidth="1"/>
    <col min="13" max="13" width="13.42578125" style="641" customWidth="1"/>
    <col min="14" max="14" width="15.42578125" style="562" customWidth="1"/>
    <col min="15" max="15" width="7.28515625" style="562" bestFit="1" customWidth="1"/>
    <col min="16" max="16" width="10.5703125" style="562" customWidth="1"/>
    <col min="17" max="18" width="15.42578125" style="562" customWidth="1"/>
    <col min="19" max="19" width="11.5703125" style="605" bestFit="1" customWidth="1"/>
    <col min="20" max="20" width="11.5703125" style="605" customWidth="1"/>
    <col min="21" max="21" width="26.85546875" style="515" bestFit="1" customWidth="1"/>
    <col min="22" max="22" width="2.140625" style="515" bestFit="1" customWidth="1"/>
    <col min="23" max="16384" width="9.140625" style="562"/>
  </cols>
  <sheetData>
    <row r="1" spans="1:22" ht="15" customHeight="1" x14ac:dyDescent="0.25">
      <c r="E1" s="1672" t="s">
        <v>0</v>
      </c>
      <c r="F1" s="1672"/>
      <c r="G1" s="1672"/>
      <c r="H1" s="1672"/>
      <c r="I1" s="1672"/>
      <c r="J1" s="1672"/>
      <c r="K1" s="1672"/>
      <c r="L1" s="1672"/>
      <c r="M1" s="1672"/>
      <c r="N1" s="1672"/>
      <c r="O1" s="1672"/>
      <c r="P1" s="1672"/>
      <c r="Q1" s="1672"/>
      <c r="R1" s="1436"/>
    </row>
    <row r="2" spans="1:22" ht="15" customHeight="1" thickBot="1" x14ac:dyDescent="0.3">
      <c r="E2" s="597"/>
      <c r="F2" s="597"/>
      <c r="G2" s="598"/>
      <c r="H2" s="598"/>
      <c r="I2" s="8"/>
      <c r="J2" s="606"/>
      <c r="K2" s="606"/>
      <c r="L2" s="606"/>
      <c r="M2" s="607"/>
      <c r="N2" s="608"/>
      <c r="O2" s="608"/>
      <c r="P2" s="608"/>
      <c r="Q2" s="608"/>
      <c r="R2" s="608"/>
    </row>
    <row r="3" spans="1:22" ht="15" customHeight="1" thickBot="1" x14ac:dyDescent="0.3">
      <c r="A3" s="599">
        <f>MEMORIA!F1</f>
        <v>2</v>
      </c>
      <c r="E3" s="600" t="s">
        <v>1</v>
      </c>
      <c r="F3" s="601"/>
      <c r="G3" s="601"/>
      <c r="H3" s="601"/>
      <c r="I3" s="228"/>
      <c r="J3" s="601"/>
      <c r="K3" s="601"/>
      <c r="L3" s="601"/>
      <c r="M3" s="601"/>
      <c r="N3" s="601"/>
      <c r="O3" s="601"/>
      <c r="P3" s="601"/>
      <c r="Q3" s="609"/>
      <c r="R3" s="1437"/>
    </row>
    <row r="4" spans="1:22" s="590" customFormat="1" ht="15" customHeight="1" thickBot="1" x14ac:dyDescent="0.3">
      <c r="A4" s="602"/>
      <c r="B4" s="602"/>
      <c r="C4" s="602"/>
      <c r="D4" s="602"/>
      <c r="E4" s="12"/>
      <c r="F4" s="12"/>
      <c r="I4" s="14"/>
      <c r="J4" s="15"/>
      <c r="K4" s="15"/>
      <c r="L4" s="15"/>
      <c r="M4" s="568"/>
      <c r="N4" s="567"/>
      <c r="O4" s="1450"/>
      <c r="P4" s="567"/>
      <c r="Q4" s="608"/>
      <c r="R4" s="608"/>
      <c r="S4" s="610"/>
      <c r="T4" s="610"/>
      <c r="U4" s="602"/>
      <c r="V4" s="602"/>
    </row>
    <row r="5" spans="1:22" ht="15" customHeight="1" x14ac:dyDescent="0.25">
      <c r="E5" s="21" t="s">
        <v>3320</v>
      </c>
      <c r="F5" s="22"/>
      <c r="G5" s="603" t="s">
        <v>7518</v>
      </c>
      <c r="H5" s="603"/>
      <c r="I5" s="24"/>
      <c r="J5" s="611"/>
      <c r="K5" s="611"/>
      <c r="L5" s="1675" t="s">
        <v>2</v>
      </c>
      <c r="M5" s="1675"/>
      <c r="N5" s="1449" t="s">
        <v>13601</v>
      </c>
      <c r="O5" s="1449"/>
      <c r="P5" s="1675" t="s">
        <v>3</v>
      </c>
      <c r="Q5" s="561" t="str">
        <f>SINAPI!B79</f>
        <v>SICRO 07/2022</v>
      </c>
      <c r="R5" s="1438"/>
    </row>
    <row r="6" spans="1:22" ht="15" customHeight="1" x14ac:dyDescent="0.25">
      <c r="E6" s="26" t="s">
        <v>3321</v>
      </c>
      <c r="F6" s="27"/>
      <c r="G6" s="597" t="s">
        <v>25022</v>
      </c>
      <c r="H6" s="597"/>
      <c r="I6" s="29"/>
      <c r="J6" s="29"/>
      <c r="K6" s="612"/>
      <c r="L6" s="1676" t="s">
        <v>3238</v>
      </c>
      <c r="M6" s="1676"/>
      <c r="N6" s="613" t="s">
        <v>25012</v>
      </c>
      <c r="O6" s="613"/>
      <c r="P6" s="1676"/>
      <c r="Q6" s="222" t="str">
        <f>SINAPI!B80</f>
        <v>SINAPI 09/2022</v>
      </c>
      <c r="R6" s="608"/>
    </row>
    <row r="7" spans="1:22" ht="15" customHeight="1" x14ac:dyDescent="0.25">
      <c r="E7" s="26" t="s">
        <v>3615</v>
      </c>
      <c r="F7" s="27"/>
      <c r="G7" s="597" t="s">
        <v>25020</v>
      </c>
      <c r="H7" s="597"/>
      <c r="I7" s="30"/>
      <c r="J7" s="612"/>
      <c r="K7" s="612"/>
      <c r="L7" s="1690" t="s">
        <v>4</v>
      </c>
      <c r="M7" s="1690"/>
      <c r="N7" s="662">
        <f>BDI!E31</f>
        <v>0.24379999999999999</v>
      </c>
      <c r="O7" s="1447"/>
      <c r="P7" s="1676"/>
      <c r="Q7" s="1015" t="str">
        <f>SINAPI!B81</f>
        <v>ANP 10/2022</v>
      </c>
      <c r="R7" s="1439"/>
    </row>
    <row r="8" spans="1:22" ht="15" customHeight="1" x14ac:dyDescent="0.25">
      <c r="E8" s="26" t="s">
        <v>25019</v>
      </c>
      <c r="F8" s="27"/>
      <c r="G8" s="597" t="s">
        <v>25017</v>
      </c>
      <c r="H8" s="597"/>
      <c r="I8" s="30"/>
      <c r="J8" s="612"/>
      <c r="K8" s="612"/>
      <c r="L8" s="1574"/>
      <c r="M8" s="1574"/>
      <c r="N8" s="1573"/>
      <c r="O8" s="1573"/>
      <c r="P8" s="1676"/>
      <c r="Q8" s="1015"/>
      <c r="R8" s="1439"/>
    </row>
    <row r="9" spans="1:22" ht="15" customHeight="1" thickBot="1" x14ac:dyDescent="0.3">
      <c r="E9" s="31" t="s">
        <v>25021</v>
      </c>
      <c r="F9" s="32"/>
      <c r="G9" s="1578">
        <v>2146</v>
      </c>
      <c r="H9" s="604"/>
      <c r="I9" s="397">
        <f>MEMORIA!F17</f>
        <v>140</v>
      </c>
      <c r="J9" s="614"/>
      <c r="K9" s="223"/>
      <c r="L9" s="1691" t="s">
        <v>5704</v>
      </c>
      <c r="M9" s="1691"/>
      <c r="N9" s="663">
        <f>BDI!E46</f>
        <v>0.17</v>
      </c>
      <c r="O9" s="1448"/>
      <c r="P9" s="1677"/>
      <c r="Q9" s="1016" t="str">
        <f>SINAPI!B82</f>
        <v>(SEM DESON.)</v>
      </c>
      <c r="R9" s="1439"/>
    </row>
    <row r="10" spans="1:22" s="590" customFormat="1" ht="15" customHeight="1" thickBot="1" x14ac:dyDescent="0.3">
      <c r="A10" s="602"/>
      <c r="B10" s="602"/>
      <c r="C10" s="602"/>
      <c r="D10" s="602"/>
      <c r="E10" s="12"/>
      <c r="F10" s="12"/>
      <c r="I10" s="14"/>
      <c r="J10" s="15"/>
      <c r="K10" s="15"/>
      <c r="L10" s="15"/>
      <c r="M10" s="568"/>
      <c r="N10" s="567"/>
      <c r="O10" s="1450"/>
      <c r="P10" s="567"/>
      <c r="Q10" s="608"/>
      <c r="R10" s="608"/>
      <c r="S10" s="610"/>
      <c r="T10" s="610"/>
      <c r="U10" s="602"/>
      <c r="V10" s="602"/>
    </row>
    <row r="11" spans="1:22" ht="15" customHeight="1" x14ac:dyDescent="0.25">
      <c r="E11" s="2022" t="s">
        <v>6</v>
      </c>
      <c r="F11" s="2024" t="s">
        <v>7</v>
      </c>
      <c r="G11" s="2024" t="s">
        <v>8</v>
      </c>
      <c r="H11" s="1680" t="s">
        <v>2611</v>
      </c>
      <c r="I11" s="2024" t="s">
        <v>2612</v>
      </c>
      <c r="J11" s="208" t="s">
        <v>10</v>
      </c>
      <c r="K11" s="1680" t="s">
        <v>11</v>
      </c>
      <c r="L11" s="2028" t="s">
        <v>13</v>
      </c>
      <c r="M11" s="2026" t="s">
        <v>12</v>
      </c>
      <c r="N11" s="2020" t="s">
        <v>14</v>
      </c>
      <c r="O11" s="2020" t="s">
        <v>25013</v>
      </c>
      <c r="P11" s="1682" t="s">
        <v>2604</v>
      </c>
      <c r="Q11" s="1683"/>
      <c r="R11" s="1440"/>
    </row>
    <row r="12" spans="1:22" ht="15" customHeight="1" thickBot="1" x14ac:dyDescent="0.3">
      <c r="E12" s="2023"/>
      <c r="F12" s="2025"/>
      <c r="G12" s="2025"/>
      <c r="H12" s="1681"/>
      <c r="I12" s="2025"/>
      <c r="J12" s="209" t="s">
        <v>16</v>
      </c>
      <c r="K12" s="1681"/>
      <c r="L12" s="2029"/>
      <c r="M12" s="2027"/>
      <c r="N12" s="2021"/>
      <c r="O12" s="2021"/>
      <c r="P12" s="213" t="s">
        <v>2605</v>
      </c>
      <c r="Q12" s="212" t="s">
        <v>96</v>
      </c>
      <c r="R12" s="1441"/>
    </row>
    <row r="13" spans="1:22" ht="15" customHeight="1" thickBot="1" x14ac:dyDescent="0.3">
      <c r="A13" s="214" t="s">
        <v>2629</v>
      </c>
      <c r="B13" s="214" t="s">
        <v>6</v>
      </c>
      <c r="C13" s="214" t="s">
        <v>2630</v>
      </c>
      <c r="E13" s="316"/>
      <c r="F13" s="317"/>
      <c r="G13" s="317" t="s">
        <v>2606</v>
      </c>
      <c r="H13" s="317"/>
      <c r="I13" s="318"/>
      <c r="J13" s="319"/>
      <c r="K13" s="320"/>
      <c r="L13" s="321" t="str">
        <f>IFERROR(VLOOKUP(G13,SINAPI,3,0),"")</f>
        <v/>
      </c>
      <c r="M13" s="322"/>
      <c r="N13" s="322" t="s">
        <v>2603</v>
      </c>
      <c r="O13" s="322"/>
      <c r="P13" s="322" t="str">
        <f>IF(N13="","",(ROUND(N13*(1+BDI),2)))</f>
        <v/>
      </c>
      <c r="Q13" s="323" t="str">
        <f>IF(M13="","",ROUND(M13*P13,2))</f>
        <v/>
      </c>
      <c r="R13" s="1442"/>
    </row>
    <row r="14" spans="1:22" ht="15" customHeight="1" outlineLevel="1" x14ac:dyDescent="0.25">
      <c r="A14" s="572">
        <f>C14</f>
        <v>1</v>
      </c>
      <c r="B14" s="572">
        <v>0</v>
      </c>
      <c r="C14" s="572">
        <f>IF(SUM(B15:B17)&gt;0,1,0)</f>
        <v>1</v>
      </c>
      <c r="E14" s="569" t="str">
        <f>CONCATENATE(A14,".",B14)</f>
        <v>1.0</v>
      </c>
      <c r="F14" s="570"/>
      <c r="G14" s="570" t="s">
        <v>21</v>
      </c>
      <c r="H14" s="570"/>
      <c r="I14" s="217"/>
      <c r="J14" s="615"/>
      <c r="K14" s="571"/>
      <c r="L14" s="572" t="s">
        <v>2603</v>
      </c>
      <c r="M14" s="573"/>
      <c r="N14" s="573" t="s">
        <v>2603</v>
      </c>
      <c r="O14" s="573"/>
      <c r="P14" s="573" t="str">
        <f>IF(N14="","",(ROUND(N14*(1+BDI),2)))</f>
        <v/>
      </c>
      <c r="Q14" s="574" t="str">
        <f>IF(M14="","",ROUND(M14*P14,2))</f>
        <v/>
      </c>
      <c r="R14" s="1443"/>
    </row>
    <row r="15" spans="1:22" s="2" customFormat="1" ht="25.5" outlineLevel="1" x14ac:dyDescent="0.25">
      <c r="A15" s="36">
        <f>A14</f>
        <v>1</v>
      </c>
      <c r="B15" s="36">
        <f>IF(M15=0,0,MAX($B$14:B14)+1)</f>
        <v>1</v>
      </c>
      <c r="C15" s="36">
        <f>IF(B15=0,0,1)</f>
        <v>1</v>
      </c>
      <c r="D15" s="1">
        <v>1</v>
      </c>
      <c r="E15" s="35" t="str">
        <f>CONCATENATE(A15,".",B15)</f>
        <v>1.1</v>
      </c>
      <c r="F15" s="36" t="s">
        <v>20</v>
      </c>
      <c r="G15" s="526">
        <v>4813</v>
      </c>
      <c r="H15" s="224" t="s">
        <v>25015</v>
      </c>
      <c r="I15" s="37" t="str">
        <f>IFERROR(VLOOKUP(G15,SINAPI!A:D,2,0),"")</f>
        <v xml:space="preserve">PLACA DE OBRA (PARA CONSTRUCAO CIVIL) EM CHAPA GALVANIZADA *N. 22*, ADESIVADA, DE *2,4 X 1,2* M (SEM POSTES PARA FIXACAO)                                                                                                                                                                                                                                                                                                                                                                                 </v>
      </c>
      <c r="J15" s="38"/>
      <c r="K15" s="39"/>
      <c r="L15" s="41" t="str">
        <f>IFERROR(VLOOKUP(G15,SINAPI!A:D,3,0),"")</f>
        <v xml:space="preserve">M2    </v>
      </c>
      <c r="M15" s="41">
        <f>VLOOKUP(D15,MEMORIA!B:F,$A$3+3)</f>
        <v>2.88</v>
      </c>
      <c r="N15" s="41">
        <f>IFERROR(VLOOKUP(G15,SINAPI!A:D,4,0),"")</f>
        <v>425</v>
      </c>
      <c r="O15" s="1571">
        <f>$N$7</f>
        <v>0.24379999999999999</v>
      </c>
      <c r="P15" s="41">
        <f>IF(N15="","",(ROUND(N15*(1+O15),2)))</f>
        <v>528.62</v>
      </c>
      <c r="Q15" s="42">
        <f>IF(M15="","",ROUND(M15*P15,2))</f>
        <v>1522.43</v>
      </c>
      <c r="R15" s="1444">
        <f>Q15</f>
        <v>1522.43</v>
      </c>
      <c r="S15" s="315"/>
      <c r="T15" s="315"/>
      <c r="U15" s="668"/>
      <c r="V15" s="668"/>
    </row>
    <row r="16" spans="1:22" s="2" customFormat="1" ht="15" hidden="1" customHeight="1" outlineLevel="1" x14ac:dyDescent="0.25">
      <c r="A16" s="36">
        <f t="shared" ref="A16" si="0">A15</f>
        <v>1</v>
      </c>
      <c r="B16" s="36">
        <f>IF(M16=0,0,MAX($B$14:B15)+1)</f>
        <v>0</v>
      </c>
      <c r="C16" s="36">
        <f t="shared" ref="C16:C17" si="1">IF(B16=0,0,1)</f>
        <v>0</v>
      </c>
      <c r="D16" s="525">
        <v>1.1000000000000001</v>
      </c>
      <c r="E16" s="35" t="str">
        <f t="shared" ref="E16:E17" si="2">CONCATENATE(A16,".",B16)</f>
        <v>1.0</v>
      </c>
      <c r="F16" s="36" t="s">
        <v>20</v>
      </c>
      <c r="G16" s="526">
        <v>4813</v>
      </c>
      <c r="H16" s="224" t="str">
        <f t="shared" ref="H16" si="3">I16</f>
        <v xml:space="preserve">PLACA DE OBRA (PARA CONSTRUCAO CIVIL) EM CHAPA GALVANIZADA *N. 22*, ADESIVADA, DE *2,4 X 1,2* M (SEM POSTES PARA FIXACAO)                                                                                                                                                                                                                                                                                                                                                                                 </v>
      </c>
      <c r="I16" s="37" t="str">
        <f>IFERROR(VLOOKUP(G16,SINAPI!A:D,2,0),"")</f>
        <v xml:space="preserve">PLACA DE OBRA (PARA CONSTRUCAO CIVIL) EM CHAPA GALVANIZADA *N. 22*, ADESIVADA, DE *2,4 X 1,2* M (SEM POSTES PARA FIXACAO)                                                                                                                                                                                                                                                                                                                                                                                 </v>
      </c>
      <c r="J16" s="38"/>
      <c r="K16" s="39"/>
      <c r="L16" s="41" t="str">
        <f>IFERROR(VLOOKUP(G16,SINAPI!A:D,3,0),"")</f>
        <v xml:space="preserve">M2    </v>
      </c>
      <c r="M16" s="41">
        <f>VLOOKUP(D16,MEMORIA!B:F,$A$3+3)</f>
        <v>0</v>
      </c>
      <c r="N16" s="41">
        <f>IFERROR(VLOOKUP(G16,SINAPI!A:D,4,0),"")</f>
        <v>425</v>
      </c>
      <c r="O16" s="1571">
        <f t="shared" ref="O16:O17" si="4">$N$7</f>
        <v>0.24379999999999999</v>
      </c>
      <c r="P16" s="41">
        <f t="shared" ref="P16:P17" si="5">IF(N16="","",(ROUND(N16*(1+O16),2)))</f>
        <v>528.62</v>
      </c>
      <c r="Q16" s="42">
        <f t="shared" ref="Q16:Q17" si="6">IF(M16="","",ROUND(M16*P16,2))</f>
        <v>0</v>
      </c>
      <c r="R16" s="1444">
        <f t="shared" ref="R16:R79" si="7">Q16</f>
        <v>0</v>
      </c>
      <c r="S16" s="315"/>
      <c r="T16" s="315"/>
      <c r="U16" s="668"/>
      <c r="V16" s="668"/>
    </row>
    <row r="17" spans="1:22" ht="15" customHeight="1" outlineLevel="1" x14ac:dyDescent="0.25">
      <c r="A17" s="576">
        <f>A16</f>
        <v>1</v>
      </c>
      <c r="B17" s="576">
        <f>IF(M17=0,0,MAX($B$14:B16)+1)</f>
        <v>2</v>
      </c>
      <c r="C17" s="576">
        <f t="shared" si="1"/>
        <v>1</v>
      </c>
      <c r="D17" s="616">
        <v>1.2</v>
      </c>
      <c r="E17" s="35" t="str">
        <f t="shared" si="2"/>
        <v>1.2</v>
      </c>
      <c r="F17" s="576" t="s">
        <v>20</v>
      </c>
      <c r="G17" s="550">
        <v>99064</v>
      </c>
      <c r="H17" s="224" t="s">
        <v>25016</v>
      </c>
      <c r="I17" s="37" t="str">
        <f>IFERROR(VLOOKUP(G17,SINAPI!A:D,2,0),"")</f>
        <v>LOCAÇÃO DE PAVIMENTAÇÃO. AF_10/2018</v>
      </c>
      <c r="J17" s="620"/>
      <c r="K17" s="578"/>
      <c r="L17" s="40" t="str">
        <f>IFERROR(VLOOKUP(G17,SINAPI!A:D,3,0),"")</f>
        <v>M</v>
      </c>
      <c r="M17" s="40">
        <f>VLOOKUP(D17,MEMORIA!B:F,$A$3+3)</f>
        <v>140</v>
      </c>
      <c r="N17" s="40">
        <f>IFERROR(VLOOKUP(G17,SINAPI!A:D,4,0),"")</f>
        <v>0.45</v>
      </c>
      <c r="O17" s="1571">
        <f t="shared" si="4"/>
        <v>0.24379999999999999</v>
      </c>
      <c r="P17" s="41">
        <f t="shared" si="5"/>
        <v>0.56000000000000005</v>
      </c>
      <c r="Q17" s="580">
        <f t="shared" si="6"/>
        <v>78.400000000000006</v>
      </c>
      <c r="R17" s="1444">
        <f t="shared" si="7"/>
        <v>78.400000000000006</v>
      </c>
      <c r="U17" s="668"/>
      <c r="V17" s="668"/>
    </row>
    <row r="18" spans="1:22" ht="15" customHeight="1" outlineLevel="1" thickBot="1" x14ac:dyDescent="0.3">
      <c r="A18" s="218"/>
      <c r="B18" s="218"/>
      <c r="C18" s="218">
        <f>C14</f>
        <v>1</v>
      </c>
      <c r="E18" s="230" t="s">
        <v>2607</v>
      </c>
      <c r="F18" s="231"/>
      <c r="G18" s="231"/>
      <c r="H18" s="231"/>
      <c r="I18" s="231"/>
      <c r="J18" s="231"/>
      <c r="K18" s="231"/>
      <c r="L18" s="231"/>
      <c r="M18" s="231"/>
      <c r="N18" s="232"/>
      <c r="O18" s="232"/>
      <c r="P18" s="621"/>
      <c r="Q18" s="581">
        <f>SUM(Q15:Q17)</f>
        <v>1600.83</v>
      </c>
      <c r="R18" s="581">
        <f>SUM(R15:R17)</f>
        <v>1600.83</v>
      </c>
      <c r="U18" s="668"/>
      <c r="V18" s="668"/>
    </row>
    <row r="19" spans="1:22" ht="15" customHeight="1" outlineLevel="1" x14ac:dyDescent="0.25">
      <c r="A19" s="617">
        <f ca="1">A14+C19</f>
        <v>2</v>
      </c>
      <c r="B19" s="617">
        <v>0</v>
      </c>
      <c r="C19" s="617">
        <f ca="1">IF(SUM(B21:B167)&gt;0,1,0)</f>
        <v>1</v>
      </c>
      <c r="D19" s="562"/>
      <c r="E19" s="618" t="str">
        <f ca="1">CONCATENATE(A19,".",B19)</f>
        <v>2.0</v>
      </c>
      <c r="F19" s="619"/>
      <c r="G19" s="619" t="s">
        <v>6721</v>
      </c>
      <c r="H19" s="619"/>
      <c r="I19" s="215"/>
      <c r="J19" s="622"/>
      <c r="K19" s="623"/>
      <c r="L19" s="617" t="s">
        <v>2603</v>
      </c>
      <c r="M19" s="624"/>
      <c r="N19" s="624" t="s">
        <v>2603</v>
      </c>
      <c r="O19" s="1568"/>
      <c r="P19" s="624" t="str">
        <f>IF(N19="","",(ROUND(N19*(1+BDI),2)))</f>
        <v/>
      </c>
      <c r="Q19" s="625" t="str">
        <f t="shared" ref="Q19:Q34" si="8">IF(M19="","",ROUND(M19*P19,2))</f>
        <v/>
      </c>
      <c r="R19" s="1444" t="str">
        <f t="shared" si="7"/>
        <v/>
      </c>
      <c r="U19" s="668"/>
      <c r="V19" s="668"/>
    </row>
    <row r="20" spans="1:22" ht="15" hidden="1" customHeight="1" outlineLevel="1" x14ac:dyDescent="0.25">
      <c r="A20" s="617">
        <f ca="1">A19</f>
        <v>2</v>
      </c>
      <c r="B20" s="617">
        <f ca="1">IF(C20=1,1,0)</f>
        <v>0</v>
      </c>
      <c r="C20" s="617">
        <f ca="1">IF(Q80&gt;0,1,0)</f>
        <v>0</v>
      </c>
      <c r="E20" s="618" t="str">
        <f ca="1">CONCATENATE(A20,".",B20)</f>
        <v>2.0</v>
      </c>
      <c r="F20" s="627"/>
      <c r="G20" s="627" t="s">
        <v>5149</v>
      </c>
      <c r="H20" s="627"/>
      <c r="I20" s="44"/>
      <c r="J20" s="628"/>
      <c r="K20" s="629"/>
      <c r="L20" s="630"/>
      <c r="M20" s="631"/>
      <c r="N20" s="631"/>
      <c r="O20" s="1569"/>
      <c r="P20" s="631"/>
      <c r="Q20" s="632"/>
      <c r="R20" s="1444"/>
      <c r="U20" s="849"/>
      <c r="V20" s="849"/>
    </row>
    <row r="21" spans="1:22" ht="15" hidden="1" customHeight="1" outlineLevel="1" x14ac:dyDescent="0.25">
      <c r="A21" s="576">
        <f ca="1">A20</f>
        <v>2</v>
      </c>
      <c r="B21" s="576">
        <f ca="1">IF(M21=0,0,MAX($B20:B$20)+1)</f>
        <v>0</v>
      </c>
      <c r="C21" s="576">
        <f ca="1">IF(B21=0,0,1)</f>
        <v>0</v>
      </c>
      <c r="D21" s="515">
        <v>2</v>
      </c>
      <c r="E21" s="35" t="str">
        <f ca="1">CONCATENATE(A21,".",$B$20,".",B21)</f>
        <v>2.0.0</v>
      </c>
      <c r="F21" s="576" t="s">
        <v>2639</v>
      </c>
      <c r="G21" s="576">
        <v>4805762</v>
      </c>
      <c r="H21" s="224" t="str">
        <f t="shared" ref="H21:H79" si="9">I21</f>
        <v>Escavação mecânica de vala em material de 2ª categoria</v>
      </c>
      <c r="I21" s="37" t="str">
        <f>IFERROR(VLOOKUP(G21,SINAPI!A:D,2,0),"")</f>
        <v>Escavação mecânica de vala em material de 2ª categoria</v>
      </c>
      <c r="J21" s="626" t="s">
        <v>5</v>
      </c>
      <c r="K21" s="40"/>
      <c r="L21" s="40" t="str">
        <f>IFERROR(VLOOKUP(G21,SINAPI!A:D,3,0),"")</f>
        <v>m³</v>
      </c>
      <c r="M21" s="40">
        <f ca="1">VLOOKUP(D21,MEMORIA!B:F,$A$3+3)</f>
        <v>0</v>
      </c>
      <c r="N21" s="40">
        <f>IFERROR(VLOOKUP(G21,SINAPI!A:D,4,0),"")</f>
        <v>8.91</v>
      </c>
      <c r="O21" s="1571">
        <f t="shared" ref="O21:O79" si="10">$N$7</f>
        <v>0.24379999999999999</v>
      </c>
      <c r="P21" s="41">
        <f t="shared" ref="P21:P79" si="11">IF(N21="","",(ROUND(N21*(1+O21),2)))</f>
        <v>11.08</v>
      </c>
      <c r="Q21" s="580">
        <f t="shared" ca="1" si="8"/>
        <v>0</v>
      </c>
      <c r="R21" s="1444">
        <f t="shared" ca="1" si="7"/>
        <v>0</v>
      </c>
      <c r="U21" s="668"/>
      <c r="V21" s="668"/>
    </row>
    <row r="22" spans="1:22" ht="12.75" hidden="1" outlineLevel="1" x14ac:dyDescent="0.25">
      <c r="A22" s="576">
        <f t="shared" ref="A22:A76" ca="1" si="12">A21</f>
        <v>2</v>
      </c>
      <c r="B22" s="576">
        <f ca="1">IF(M22=0,0,MAX($B$20:B21)+1)</f>
        <v>0</v>
      </c>
      <c r="C22" s="576">
        <f t="shared" ref="C22:C24" ca="1" si="13">IF(B22=0,0,1)</f>
        <v>0</v>
      </c>
      <c r="D22" s="515">
        <f>D21+1</f>
        <v>3</v>
      </c>
      <c r="E22" s="35" t="str">
        <f t="shared" ref="E22:E79" ca="1" si="14">CONCATENATE(A22,".",$B$20,".",B22)</f>
        <v>2.0.0</v>
      </c>
      <c r="F22" s="576" t="s">
        <v>2639</v>
      </c>
      <c r="G22" s="576">
        <v>4805765</v>
      </c>
      <c r="H22" s="224" t="str">
        <f t="shared" si="9"/>
        <v>Escavação de vala em material de 3ª categoria</v>
      </c>
      <c r="I22" s="37" t="str">
        <f>IFERROR(VLOOKUP(G22,SINAPI!A:D,2,0),"")</f>
        <v>Escavação de vala em material de 3ª categoria</v>
      </c>
      <c r="J22" s="626" t="s">
        <v>5</v>
      </c>
      <c r="K22" s="40"/>
      <c r="L22" s="40" t="str">
        <f>IFERROR(VLOOKUP(G22,SINAPI!A:D,3,0),"")</f>
        <v>m³</v>
      </c>
      <c r="M22" s="40">
        <f ca="1">VLOOKUP(D22,MEMORIA!B:F,$A$3+3)</f>
        <v>0</v>
      </c>
      <c r="N22" s="40">
        <f>IFERROR(VLOOKUP(G22,SINAPI!A:D,4,0),"")</f>
        <v>185.47</v>
      </c>
      <c r="O22" s="1571">
        <f t="shared" si="10"/>
        <v>0.24379999999999999</v>
      </c>
      <c r="P22" s="41">
        <f t="shared" si="11"/>
        <v>230.69</v>
      </c>
      <c r="Q22" s="580">
        <f t="shared" ca="1" si="8"/>
        <v>0</v>
      </c>
      <c r="R22" s="1444">
        <f t="shared" ca="1" si="7"/>
        <v>0</v>
      </c>
      <c r="U22" s="668"/>
      <c r="V22" s="668"/>
    </row>
    <row r="23" spans="1:22" s="2" customFormat="1" ht="15" hidden="1" customHeight="1" outlineLevel="1" x14ac:dyDescent="0.25">
      <c r="A23" s="36">
        <f t="shared" ca="1" si="12"/>
        <v>2</v>
      </c>
      <c r="B23" s="576">
        <f ca="1">IF(M23=0,0,MAX($B$20:B22)+1)</f>
        <v>0</v>
      </c>
      <c r="C23" s="576">
        <f t="shared" ca="1" si="13"/>
        <v>0</v>
      </c>
      <c r="D23" s="330">
        <f t="shared" ref="D23:D72" si="15">D22+1</f>
        <v>4</v>
      </c>
      <c r="E23" s="35" t="str">
        <f t="shared" ca="1" si="14"/>
        <v>2.0.0</v>
      </c>
      <c r="F23" s="576" t="s">
        <v>2639</v>
      </c>
      <c r="G23" s="36">
        <v>5914374</v>
      </c>
      <c r="H23" s="224" t="str">
        <f t="shared" si="9"/>
        <v>Transporte com caminhão basculante de 10 m³ - rodovia em revestimento primário</v>
      </c>
      <c r="I23" s="37" t="str">
        <f>IFERROR(VLOOKUP(G23,SINAPI!A:D,2,0),"")</f>
        <v>Transporte com caminhão basculante de 10 m³ - rodovia em revestimento primário</v>
      </c>
      <c r="J23" s="45">
        <f>DMT!$J$10</f>
        <v>1</v>
      </c>
      <c r="K23" s="41" t="s">
        <v>22</v>
      </c>
      <c r="L23" s="41" t="str">
        <f>IFERROR(VLOOKUP(G23,SINAPI!A:D,3,0),"")</f>
        <v>tkm</v>
      </c>
      <c r="M23" s="40">
        <f ca="1">VLOOKUP(D23,MEMORIA!B:F,$A$3+3)</f>
        <v>0</v>
      </c>
      <c r="N23" s="41">
        <f>IFERROR(VLOOKUP(G23,SINAPI!A:D,4,0),"")</f>
        <v>1.05</v>
      </c>
      <c r="O23" s="1571">
        <f t="shared" si="10"/>
        <v>0.24379999999999999</v>
      </c>
      <c r="P23" s="41">
        <f t="shared" si="11"/>
        <v>1.31</v>
      </c>
      <c r="Q23" s="42">
        <f t="shared" ca="1" si="8"/>
        <v>0</v>
      </c>
      <c r="R23" s="1444">
        <f t="shared" ca="1" si="7"/>
        <v>0</v>
      </c>
      <c r="S23" s="315"/>
      <c r="T23" s="315"/>
      <c r="U23" s="668"/>
      <c r="V23" s="668"/>
    </row>
    <row r="24" spans="1:22" s="2" customFormat="1" ht="15" hidden="1" customHeight="1" outlineLevel="1" x14ac:dyDescent="0.25">
      <c r="A24" s="36">
        <f t="shared" ca="1" si="12"/>
        <v>2</v>
      </c>
      <c r="B24" s="576">
        <f ca="1">IF(M24=0,0,MAX($B$21:B22)+1)</f>
        <v>0</v>
      </c>
      <c r="C24" s="576">
        <f t="shared" ca="1" si="13"/>
        <v>0</v>
      </c>
      <c r="D24" s="330">
        <f t="shared" si="15"/>
        <v>5</v>
      </c>
      <c r="E24" s="35" t="str">
        <f t="shared" ca="1" si="14"/>
        <v>2.0.0</v>
      </c>
      <c r="F24" s="576" t="s">
        <v>2639</v>
      </c>
      <c r="G24" s="526">
        <v>4413942</v>
      </c>
      <c r="H24" s="224" t="str">
        <f t="shared" si="9"/>
        <v>Espalhamento de material em bota-fora</v>
      </c>
      <c r="I24" s="37" t="str">
        <f>IFERROR(VLOOKUP(G24,SINAPI!A:D,2,0),"")</f>
        <v>Espalhamento de material em bota-fora</v>
      </c>
      <c r="J24" s="45" t="s">
        <v>5</v>
      </c>
      <c r="K24" s="41" t="s">
        <v>22</v>
      </c>
      <c r="L24" s="41" t="str">
        <f>IFERROR(VLOOKUP(G24,SINAPI!A:D,3,0),"")</f>
        <v>m³</v>
      </c>
      <c r="M24" s="40">
        <f ca="1">VLOOKUP(D24,MEMORIA!B:F,$A$3+3)</f>
        <v>0</v>
      </c>
      <c r="N24" s="41">
        <f>IFERROR(VLOOKUP(G24,SINAPI!A:D,4,0),"")</f>
        <v>1.7</v>
      </c>
      <c r="O24" s="1571">
        <f t="shared" si="10"/>
        <v>0.24379999999999999</v>
      </c>
      <c r="P24" s="41">
        <f t="shared" si="11"/>
        <v>2.11</v>
      </c>
      <c r="Q24" s="42">
        <f t="shared" ca="1" si="8"/>
        <v>0</v>
      </c>
      <c r="R24" s="1444">
        <f t="shared" ca="1" si="7"/>
        <v>0</v>
      </c>
      <c r="S24" s="315"/>
      <c r="T24" s="315"/>
      <c r="U24" s="668"/>
      <c r="V24" s="668"/>
    </row>
    <row r="25" spans="1:22" s="2" customFormat="1" ht="15" hidden="1" customHeight="1" outlineLevel="1" collapsed="1" x14ac:dyDescent="0.25">
      <c r="A25" s="36">
        <f t="shared" ca="1" si="12"/>
        <v>2</v>
      </c>
      <c r="B25" s="576">
        <f>IF(M25=0,0,MAX($B$21:B23)+1)</f>
        <v>0</v>
      </c>
      <c r="C25" s="36">
        <f t="shared" ref="C25:C72" si="16">IF(B25=0,0,1)</f>
        <v>0</v>
      </c>
      <c r="D25" s="330">
        <f t="shared" si="15"/>
        <v>6</v>
      </c>
      <c r="E25" s="35" t="str">
        <f t="shared" ca="1" si="14"/>
        <v>2.0.0</v>
      </c>
      <c r="F25" s="576" t="s">
        <v>2639</v>
      </c>
      <c r="G25" s="36">
        <v>4016096</v>
      </c>
      <c r="H25" s="224" t="str">
        <f t="shared" si="9"/>
        <v>Escavação e carga de material de jazida com escavadeira hidráulica de 1,56 m³</v>
      </c>
      <c r="I25" s="37" t="str">
        <f>IFERROR(VLOOKUP(G25,SINAPI!A:D,2,0),"")</f>
        <v>Escavação e carga de material de jazida com escavadeira hidráulica de 1,56 m³</v>
      </c>
      <c r="J25" s="45"/>
      <c r="K25" s="41"/>
      <c r="L25" s="41" t="str">
        <f>IFERROR(VLOOKUP(G25,SINAPI!A:D,3,0),"")</f>
        <v>m³</v>
      </c>
      <c r="M25" s="40"/>
      <c r="N25" s="41">
        <f>IFERROR(VLOOKUP(G25,SINAPI!A:D,4,0),"")</f>
        <v>1.67</v>
      </c>
      <c r="O25" s="1571">
        <f t="shared" si="10"/>
        <v>0.24379999999999999</v>
      </c>
      <c r="P25" s="41">
        <f t="shared" si="11"/>
        <v>2.08</v>
      </c>
      <c r="Q25" s="42" t="str">
        <f t="shared" si="8"/>
        <v/>
      </c>
      <c r="R25" s="1444" t="str">
        <f t="shared" si="7"/>
        <v/>
      </c>
      <c r="S25" s="3"/>
      <c r="T25" s="3"/>
      <c r="U25" s="668"/>
      <c r="V25" s="668"/>
    </row>
    <row r="26" spans="1:22" s="2" customFormat="1" ht="15" hidden="1" customHeight="1" outlineLevel="1" x14ac:dyDescent="0.25">
      <c r="A26" s="36">
        <f t="shared" ca="1" si="12"/>
        <v>2</v>
      </c>
      <c r="B26" s="576">
        <f>IF(M26=0,0,MAX($B$21:B24)+1)</f>
        <v>0</v>
      </c>
      <c r="C26" s="36">
        <f t="shared" si="16"/>
        <v>0</v>
      </c>
      <c r="D26" s="330">
        <f t="shared" si="15"/>
        <v>7</v>
      </c>
      <c r="E26" s="35" t="str">
        <f t="shared" ca="1" si="14"/>
        <v>2.0.0</v>
      </c>
      <c r="F26" s="576" t="s">
        <v>2639</v>
      </c>
      <c r="G26" s="36">
        <v>5914374</v>
      </c>
      <c r="H26" s="224" t="str">
        <f t="shared" si="9"/>
        <v>Transporte com caminhão basculante de 10 m³ - rodovia em revestimento primário</v>
      </c>
      <c r="I26" s="37" t="str">
        <f>IFERROR(VLOOKUP(G26,SINAPI!A:D,2,0),"")</f>
        <v>Transporte com caminhão basculante de 10 m³ - rodovia em revestimento primário</v>
      </c>
      <c r="J26" s="45">
        <f>DMT!I10</f>
        <v>2</v>
      </c>
      <c r="K26" s="41" t="s">
        <v>23</v>
      </c>
      <c r="L26" s="41" t="str">
        <f>IFERROR(VLOOKUP(G26,SINAPI!A:D,3,0),"")</f>
        <v>tkm</v>
      </c>
      <c r="M26" s="40"/>
      <c r="N26" s="41">
        <f>IFERROR(VLOOKUP(G26,SINAPI!A:D,4,0),"")</f>
        <v>1.05</v>
      </c>
      <c r="O26" s="1571">
        <f t="shared" si="10"/>
        <v>0.24379999999999999</v>
      </c>
      <c r="P26" s="41">
        <f t="shared" si="11"/>
        <v>1.31</v>
      </c>
      <c r="Q26" s="42" t="str">
        <f t="shared" si="8"/>
        <v/>
      </c>
      <c r="R26" s="1444" t="str">
        <f t="shared" si="7"/>
        <v/>
      </c>
      <c r="S26" s="315"/>
      <c r="T26" s="315"/>
      <c r="U26" s="668"/>
      <c r="V26" s="668"/>
    </row>
    <row r="27" spans="1:22" ht="15" hidden="1" customHeight="1" outlineLevel="1" x14ac:dyDescent="0.25">
      <c r="A27" s="576">
        <f t="shared" ca="1" si="12"/>
        <v>2</v>
      </c>
      <c r="B27" s="576">
        <f ca="1">IF(M27=0,0,MAX($B$21:B25)+1)</f>
        <v>0</v>
      </c>
      <c r="C27" s="576">
        <f t="shared" ca="1" si="16"/>
        <v>0</v>
      </c>
      <c r="D27" s="515">
        <f t="shared" si="15"/>
        <v>8</v>
      </c>
      <c r="E27" s="35" t="str">
        <f t="shared" ca="1" si="14"/>
        <v>2.0.0</v>
      </c>
      <c r="F27" s="576" t="s">
        <v>2639</v>
      </c>
      <c r="G27" s="576">
        <v>4815671</v>
      </c>
      <c r="H27" s="224" t="str">
        <f t="shared" si="9"/>
        <v>Reaterro e compactação com soquete vibratório</v>
      </c>
      <c r="I27" s="37" t="str">
        <f>IFERROR(VLOOKUP(G27,SINAPI!A:D,2,0),"")</f>
        <v>Reaterro e compactação com soquete vibratório</v>
      </c>
      <c r="J27" s="626"/>
      <c r="K27" s="326"/>
      <c r="L27" s="40" t="str">
        <f>IFERROR(VLOOKUP(G27,SINAPI!A:D,3,0),"")</f>
        <v>m³</v>
      </c>
      <c r="M27" s="40">
        <f ca="1">VLOOKUP(D27,MEMORIA!B:F,$A$3+3)</f>
        <v>0</v>
      </c>
      <c r="N27" s="40">
        <f>IFERROR(VLOOKUP(G27,SINAPI!A:D,4,0),"")</f>
        <v>16.04</v>
      </c>
      <c r="O27" s="1571">
        <f t="shared" si="10"/>
        <v>0.24379999999999999</v>
      </c>
      <c r="P27" s="41">
        <f t="shared" si="11"/>
        <v>19.95</v>
      </c>
      <c r="Q27" s="580">
        <f t="shared" ca="1" si="8"/>
        <v>0</v>
      </c>
      <c r="R27" s="1444">
        <f t="shared" ca="1" si="7"/>
        <v>0</v>
      </c>
      <c r="U27" s="668"/>
      <c r="V27" s="668"/>
    </row>
    <row r="28" spans="1:22" ht="15" hidden="1" customHeight="1" outlineLevel="1" x14ac:dyDescent="0.25">
      <c r="A28" s="576">
        <f t="shared" ca="1" si="12"/>
        <v>2</v>
      </c>
      <c r="B28" s="576">
        <f>IF(M28=0,0,MAX($B$21:B26)+1)</f>
        <v>0</v>
      </c>
      <c r="C28" s="576">
        <f t="shared" si="16"/>
        <v>0</v>
      </c>
      <c r="D28" s="515">
        <f>D27+0.5</f>
        <v>8.5</v>
      </c>
      <c r="E28" s="35" t="str">
        <f t="shared" ca="1" si="14"/>
        <v>2.0.0</v>
      </c>
      <c r="F28" s="550" t="s">
        <v>17</v>
      </c>
      <c r="G28" s="576" t="s">
        <v>3301</v>
      </c>
      <c r="H28" s="224" t="str">
        <f t="shared" si="9"/>
        <v>Reaterro de vala com brita</v>
      </c>
      <c r="I28" s="37" t="str">
        <f>IFERROR(VLOOKUP(G28,SINAPI!A:D,2,0),"")</f>
        <v>Reaterro de vala com brita</v>
      </c>
      <c r="J28" s="626"/>
      <c r="K28" s="530"/>
      <c r="L28" s="40" t="str">
        <f>IFERROR(VLOOKUP(G28,SINAPI!A:D,3,0),"")</f>
        <v>m³</v>
      </c>
      <c r="M28" s="40"/>
      <c r="N28" s="40">
        <f>IFERROR(VLOOKUP(G28,SINAPI!A:D,4,0),"")</f>
        <v>130.66</v>
      </c>
      <c r="O28" s="1571">
        <f t="shared" si="10"/>
        <v>0.24379999999999999</v>
      </c>
      <c r="P28" s="41">
        <f t="shared" si="11"/>
        <v>162.51</v>
      </c>
      <c r="Q28" s="580" t="str">
        <f t="shared" si="8"/>
        <v/>
      </c>
      <c r="R28" s="1444" t="str">
        <f t="shared" si="7"/>
        <v/>
      </c>
      <c r="U28" s="668"/>
      <c r="V28" s="668"/>
    </row>
    <row r="29" spans="1:22" ht="15" hidden="1" customHeight="1" outlineLevel="1" x14ac:dyDescent="0.25">
      <c r="A29" s="576">
        <f ca="1">A27</f>
        <v>2</v>
      </c>
      <c r="B29" s="576">
        <f ca="1">IF(M29=0,0,MAX($B$21:B27)+1)</f>
        <v>0</v>
      </c>
      <c r="C29" s="576">
        <f t="shared" ca="1" si="16"/>
        <v>0</v>
      </c>
      <c r="D29" s="515">
        <f>D27+1</f>
        <v>9</v>
      </c>
      <c r="E29" s="35" t="str">
        <f t="shared" ca="1" si="14"/>
        <v>2.0.0</v>
      </c>
      <c r="F29" s="576" t="s">
        <v>2639</v>
      </c>
      <c r="G29" s="576">
        <v>2003850</v>
      </c>
      <c r="H29" s="224" t="str">
        <f t="shared" si="9"/>
        <v>Lastro de brita comercial compactado com soquete vibratório - espalhamento manual</v>
      </c>
      <c r="I29" s="37" t="str">
        <f>IFERROR(VLOOKUP(G29,SINAPI!A:D,2,0),"")</f>
        <v>Lastro de brita comercial compactado com soquete vibratório - espalhamento manual</v>
      </c>
      <c r="J29" s="590"/>
      <c r="K29" s="40"/>
      <c r="L29" s="40" t="str">
        <f>IFERROR(VLOOKUP(G29,SINAPI!A:D,3,0),"")</f>
        <v>m³</v>
      </c>
      <c r="M29" s="40">
        <f ca="1">VLOOKUP(D29,MEMORIA!B:F,$A$3+3)</f>
        <v>0</v>
      </c>
      <c r="N29" s="40">
        <f>IFERROR(VLOOKUP(G29,SINAPI!A:D,4,0),"")</f>
        <v>139.65</v>
      </c>
      <c r="O29" s="1571">
        <f t="shared" si="10"/>
        <v>0.24379999999999999</v>
      </c>
      <c r="P29" s="41">
        <f t="shared" si="11"/>
        <v>173.7</v>
      </c>
      <c r="Q29" s="580">
        <f t="shared" ca="1" si="8"/>
        <v>0</v>
      </c>
      <c r="R29" s="1444">
        <f t="shared" ca="1" si="7"/>
        <v>0</v>
      </c>
      <c r="U29" s="668"/>
      <c r="V29" s="668"/>
    </row>
    <row r="30" spans="1:22" ht="15" hidden="1" customHeight="1" outlineLevel="1" x14ac:dyDescent="0.25">
      <c r="A30" s="576">
        <f t="shared" ca="1" si="12"/>
        <v>2</v>
      </c>
      <c r="B30" s="576">
        <f ca="1">IF(M30=0,0,MAX($B$21:B28)+1)</f>
        <v>0</v>
      </c>
      <c r="C30" s="576">
        <f t="shared" ca="1" si="16"/>
        <v>0</v>
      </c>
      <c r="D30" s="515">
        <f t="shared" si="15"/>
        <v>10</v>
      </c>
      <c r="E30" s="35" t="str">
        <f t="shared" ca="1" si="14"/>
        <v>2.0.0</v>
      </c>
      <c r="F30" s="576" t="s">
        <v>2639</v>
      </c>
      <c r="G30" s="576">
        <v>5914389</v>
      </c>
      <c r="H30" s="224" t="str">
        <f t="shared" si="9"/>
        <v>Transporte com caminhão basculante de 10 m³ - rodovia pavimentada</v>
      </c>
      <c r="I30" s="37" t="str">
        <f>IFERROR(VLOOKUP(G30,SINAPI!A:D,2,0),"")</f>
        <v>Transporte com caminhão basculante de 10 m³ - rodovia pavimentada</v>
      </c>
      <c r="J30" s="626">
        <f>DMT!$H$10</f>
        <v>27.8</v>
      </c>
      <c r="K30" s="40"/>
      <c r="L30" s="40" t="str">
        <f>IFERROR(VLOOKUP(G30,SINAPI!A:D,3,0),"")</f>
        <v>tkm</v>
      </c>
      <c r="M30" s="40">
        <f ca="1">VLOOKUP(D30,MEMORIA!B:F,$A$3+3)</f>
        <v>0</v>
      </c>
      <c r="N30" s="40">
        <f>IFERROR(VLOOKUP(G30,SINAPI!A:D,4,0),"")</f>
        <v>0.84</v>
      </c>
      <c r="O30" s="1571">
        <f t="shared" si="10"/>
        <v>0.24379999999999999</v>
      </c>
      <c r="P30" s="41">
        <f t="shared" si="11"/>
        <v>1.04</v>
      </c>
      <c r="Q30" s="580">
        <f t="shared" ca="1" si="8"/>
        <v>0</v>
      </c>
      <c r="R30" s="1444">
        <f t="shared" ca="1" si="7"/>
        <v>0</v>
      </c>
      <c r="U30" s="668"/>
      <c r="V30" s="668"/>
    </row>
    <row r="31" spans="1:22" ht="15" hidden="1" customHeight="1" outlineLevel="1" x14ac:dyDescent="0.25">
      <c r="A31" s="576">
        <f t="shared" ca="1" si="12"/>
        <v>2</v>
      </c>
      <c r="B31" s="576">
        <f ca="1">IF(M31=0,0,MAX($B$21:B29)+1)</f>
        <v>0</v>
      </c>
      <c r="C31" s="576">
        <f t="shared" ca="1" si="16"/>
        <v>0</v>
      </c>
      <c r="D31" s="515">
        <f t="shared" si="15"/>
        <v>11</v>
      </c>
      <c r="E31" s="35" t="str">
        <f t="shared" ca="1" si="14"/>
        <v>2.0.0</v>
      </c>
      <c r="F31" s="576" t="s">
        <v>17</v>
      </c>
      <c r="G31" s="576" t="s">
        <v>4258</v>
      </c>
      <c r="H31" s="224" t="str">
        <f t="shared" si="9"/>
        <v>Tubo de concreto PA1 comercial para drenagem - D = 0,40 m - fornecimento e instalação</v>
      </c>
      <c r="I31" s="37" t="str">
        <f>IFERROR(VLOOKUP(G31,SINAPI!A:D,2,0),"")</f>
        <v>Tubo de concreto PA1 comercial para drenagem - D = 0,40 m - fornecimento e instalação</v>
      </c>
      <c r="J31" s="626" t="s">
        <v>5</v>
      </c>
      <c r="K31" s="40"/>
      <c r="L31" s="40" t="str">
        <f>IFERROR(VLOOKUP(G31,SINAPI!A:D,3,0),"")</f>
        <v>m</v>
      </c>
      <c r="M31" s="40">
        <f ca="1">VLOOKUP(D31,MEMORIA!B:F,$A$3+3)</f>
        <v>0</v>
      </c>
      <c r="N31" s="40">
        <f>IFERROR(VLOOKUP(G31,SINAPI!A:D,4,0),"")</f>
        <v>149.94999999999999</v>
      </c>
      <c r="O31" s="1571">
        <f t="shared" si="10"/>
        <v>0.24379999999999999</v>
      </c>
      <c r="P31" s="41">
        <f t="shared" si="11"/>
        <v>186.51</v>
      </c>
      <c r="Q31" s="580">
        <f t="shared" ca="1" si="8"/>
        <v>0</v>
      </c>
      <c r="R31" s="1444">
        <f t="shared" ca="1" si="7"/>
        <v>0</v>
      </c>
      <c r="U31" s="668"/>
      <c r="V31" s="668"/>
    </row>
    <row r="32" spans="1:22" ht="15" hidden="1" customHeight="1" outlineLevel="1" x14ac:dyDescent="0.25">
      <c r="A32" s="576">
        <f t="shared" ca="1" si="12"/>
        <v>2</v>
      </c>
      <c r="B32" s="576">
        <f ca="1">IF(M32=0,0,MAX($B$21:B30)+1)</f>
        <v>0</v>
      </c>
      <c r="C32" s="576">
        <f t="shared" ca="1" si="16"/>
        <v>0</v>
      </c>
      <c r="D32" s="515">
        <f t="shared" si="15"/>
        <v>12</v>
      </c>
      <c r="E32" s="35" t="str">
        <f t="shared" ca="1" si="14"/>
        <v>2.0.0</v>
      </c>
      <c r="F32" s="36" t="s">
        <v>2639</v>
      </c>
      <c r="G32" s="576">
        <v>2003822</v>
      </c>
      <c r="H32" s="224" t="str">
        <f t="shared" si="9"/>
        <v>Tubo de concreto PA1 comercial para drenagem - D = 0,60 m - fornecimento e instalação</v>
      </c>
      <c r="I32" s="37" t="str">
        <f>IFERROR(VLOOKUP(G32,SINAPI!A:D,2,0),"")</f>
        <v>Tubo de concreto PA1 comercial para drenagem - D = 0,60 m - fornecimento e instalação</v>
      </c>
      <c r="J32" s="626" t="s">
        <v>5</v>
      </c>
      <c r="K32" s="40"/>
      <c r="L32" s="40" t="str">
        <f>IFERROR(VLOOKUP(G32,SINAPI!A:D,3,0),"")</f>
        <v>m</v>
      </c>
      <c r="M32" s="40">
        <f ca="1">VLOOKUP(D32,MEMORIA!B:F,$A$3+3)</f>
        <v>0</v>
      </c>
      <c r="N32" s="40">
        <f>IFERROR(VLOOKUP(G32,SINAPI!A:D,4,0),"")</f>
        <v>243.27</v>
      </c>
      <c r="O32" s="1571">
        <f t="shared" si="10"/>
        <v>0.24379999999999999</v>
      </c>
      <c r="P32" s="41">
        <f t="shared" si="11"/>
        <v>302.58</v>
      </c>
      <c r="Q32" s="580">
        <f t="shared" ca="1" si="8"/>
        <v>0</v>
      </c>
      <c r="R32" s="1444">
        <f t="shared" ca="1" si="7"/>
        <v>0</v>
      </c>
      <c r="U32" s="839"/>
      <c r="V32" s="839"/>
    </row>
    <row r="33" spans="1:22" s="2" customFormat="1" ht="15" hidden="1" customHeight="1" outlineLevel="1" x14ac:dyDescent="0.25">
      <c r="A33" s="36">
        <f t="shared" ca="1" si="12"/>
        <v>2</v>
      </c>
      <c r="B33" s="576">
        <f ca="1">IF(M33=0,0,MAX($B$21:B31)+1)</f>
        <v>0</v>
      </c>
      <c r="C33" s="36">
        <f t="shared" ca="1" si="16"/>
        <v>0</v>
      </c>
      <c r="D33" s="515">
        <f t="shared" si="15"/>
        <v>13</v>
      </c>
      <c r="E33" s="35" t="str">
        <f t="shared" ca="1" si="14"/>
        <v>2.0.0</v>
      </c>
      <c r="F33" s="36" t="s">
        <v>2639</v>
      </c>
      <c r="G33" s="36">
        <v>2003826</v>
      </c>
      <c r="H33" s="224" t="str">
        <f t="shared" si="9"/>
        <v>Tubo de concreto PA1 comercial para drenagem - D = 0,80 m - fornecimento e instalação</v>
      </c>
      <c r="I33" s="37" t="str">
        <f>IFERROR(VLOOKUP(G33,SINAPI!A:D,2,0),"")</f>
        <v>Tubo de concreto PA1 comercial para drenagem - D = 0,80 m - fornecimento e instalação</v>
      </c>
      <c r="J33" s="45" t="s">
        <v>5</v>
      </c>
      <c r="K33" s="41"/>
      <c r="L33" s="41" t="str">
        <f>IFERROR(VLOOKUP(G33,SINAPI!A:D,3,0),"")</f>
        <v>m</v>
      </c>
      <c r="M33" s="41">
        <f ca="1">VLOOKUP(D33,MEMORIA!B:F,$A$3+3)</f>
        <v>0</v>
      </c>
      <c r="N33" s="41">
        <f>IFERROR(VLOOKUP(G33,SINAPI!A:D,4,0),"")</f>
        <v>331.09</v>
      </c>
      <c r="O33" s="1571">
        <f t="shared" si="10"/>
        <v>0.24379999999999999</v>
      </c>
      <c r="P33" s="41">
        <f t="shared" si="11"/>
        <v>411.81</v>
      </c>
      <c r="Q33" s="42">
        <f t="shared" ca="1" si="8"/>
        <v>0</v>
      </c>
      <c r="R33" s="1444">
        <f t="shared" ca="1" si="7"/>
        <v>0</v>
      </c>
      <c r="S33" s="315"/>
      <c r="T33" s="315"/>
      <c r="U33" s="668"/>
      <c r="V33" s="668"/>
    </row>
    <row r="34" spans="1:22" s="2" customFormat="1" ht="15" hidden="1" customHeight="1" outlineLevel="1" x14ac:dyDescent="0.25">
      <c r="A34" s="36">
        <f t="shared" ca="1" si="12"/>
        <v>2</v>
      </c>
      <c r="B34" s="576">
        <f ca="1">IF(M34=0,0,MAX($B$21:B32)+1)</f>
        <v>0</v>
      </c>
      <c r="C34" s="36">
        <f t="shared" ca="1" si="16"/>
        <v>0</v>
      </c>
      <c r="D34" s="660">
        <f t="shared" si="15"/>
        <v>14</v>
      </c>
      <c r="E34" s="35" t="str">
        <f t="shared" ca="1" si="14"/>
        <v>2.0.0</v>
      </c>
      <c r="F34" s="36" t="s">
        <v>2639</v>
      </c>
      <c r="G34" s="36">
        <v>2003831</v>
      </c>
      <c r="H34" s="224" t="str">
        <f t="shared" si="9"/>
        <v>Tubo de concreto PA2 comercial para drenagem - D = 1,00 m - fornecimento e instalação</v>
      </c>
      <c r="I34" s="37" t="str">
        <f>IFERROR(VLOOKUP(G34,SINAPI!A:D,2,0),"")</f>
        <v>Tubo de concreto PA2 comercial para drenagem - D = 1,00 m - fornecimento e instalação</v>
      </c>
      <c r="J34" s="45" t="s">
        <v>5</v>
      </c>
      <c r="K34" s="41"/>
      <c r="L34" s="41" t="str">
        <f>IFERROR(VLOOKUP(G34,SINAPI!A:D,3,0),"")</f>
        <v>m</v>
      </c>
      <c r="M34" s="41">
        <f ca="1">VLOOKUP(D34,MEMORIA!B:F,$A$3+3)</f>
        <v>0</v>
      </c>
      <c r="N34" s="41">
        <f>IFERROR(VLOOKUP(G34,SINAPI!A:D,4,0),"")</f>
        <v>582.66</v>
      </c>
      <c r="O34" s="1571">
        <f t="shared" si="10"/>
        <v>0.24379999999999999</v>
      </c>
      <c r="P34" s="41">
        <f t="shared" si="11"/>
        <v>724.71</v>
      </c>
      <c r="Q34" s="42">
        <f t="shared" ca="1" si="8"/>
        <v>0</v>
      </c>
      <c r="R34" s="1444">
        <f t="shared" ca="1" si="7"/>
        <v>0</v>
      </c>
      <c r="S34" s="315"/>
      <c r="T34" s="315"/>
      <c r="U34" s="668"/>
      <c r="V34" s="668"/>
    </row>
    <row r="35" spans="1:22" s="2" customFormat="1" ht="15" hidden="1" customHeight="1" outlineLevel="1" x14ac:dyDescent="0.25">
      <c r="A35" s="36">
        <f t="shared" ca="1" si="12"/>
        <v>2</v>
      </c>
      <c r="B35" s="576">
        <f ca="1">IF(M35=0,0,MAX($B$21:B33)+1)</f>
        <v>0</v>
      </c>
      <c r="C35" s="36">
        <f t="shared" ref="C35" ca="1" si="17">IF(B35=0,0,1)</f>
        <v>0</v>
      </c>
      <c r="D35" s="1146">
        <f t="shared" si="15"/>
        <v>15</v>
      </c>
      <c r="E35" s="35" t="str">
        <f t="shared" ref="E35" ca="1" si="18">CONCATENATE(A35,".",$B$20,".",B35)</f>
        <v>2.0.0</v>
      </c>
      <c r="F35" s="36" t="s">
        <v>2639</v>
      </c>
      <c r="G35" s="36">
        <v>2003835</v>
      </c>
      <c r="H35" s="224" t="str">
        <f t="shared" si="9"/>
        <v>Tubo de concreto PA2 comercial para drenagem - D = 1,20 m - fornecimento e instalação</v>
      </c>
      <c r="I35" s="37" t="str">
        <f>IFERROR(VLOOKUP(G35,SINAPI!A:D,2,0),"")</f>
        <v>Tubo de concreto PA2 comercial para drenagem - D = 1,20 m - fornecimento e instalação</v>
      </c>
      <c r="J35" s="45" t="s">
        <v>5</v>
      </c>
      <c r="K35" s="41"/>
      <c r="L35" s="41" t="str">
        <f>IFERROR(VLOOKUP(G35,SINAPI!A:D,3,0),"")</f>
        <v>m</v>
      </c>
      <c r="M35" s="41">
        <f ca="1">VLOOKUP(D35,MEMORIA!B:F,$A$3+3)</f>
        <v>0</v>
      </c>
      <c r="N35" s="41">
        <f>IFERROR(VLOOKUP(G35,SINAPI!A:D,4,0),"")</f>
        <v>698.71</v>
      </c>
      <c r="O35" s="1571">
        <f t="shared" si="10"/>
        <v>0.24379999999999999</v>
      </c>
      <c r="P35" s="41">
        <f t="shared" si="11"/>
        <v>869.06</v>
      </c>
      <c r="Q35" s="42">
        <f t="shared" ref="Q35" ca="1" si="19">IF(M35="","",ROUND(M35*P35,2))</f>
        <v>0</v>
      </c>
      <c r="R35" s="1444">
        <f t="shared" ca="1" si="7"/>
        <v>0</v>
      </c>
      <c r="S35" s="315"/>
      <c r="T35" s="315"/>
      <c r="U35" s="1146"/>
      <c r="V35" s="1146"/>
    </row>
    <row r="36" spans="1:22" s="2" customFormat="1" ht="15" hidden="1" customHeight="1" outlineLevel="1" x14ac:dyDescent="0.25">
      <c r="A36" s="36">
        <f ca="1">A34</f>
        <v>2</v>
      </c>
      <c r="B36" s="576">
        <f>IF(M36=0,0,MAX($B$21:B33)+1)</f>
        <v>0</v>
      </c>
      <c r="C36" s="36">
        <f t="shared" ref="C36:C37" si="20">IF(B36=0,0,1)</f>
        <v>0</v>
      </c>
      <c r="D36" s="1146">
        <f t="shared" si="15"/>
        <v>16</v>
      </c>
      <c r="E36" s="35" t="str">
        <f t="shared" ca="1" si="14"/>
        <v>2.0.0</v>
      </c>
      <c r="F36" s="36" t="s">
        <v>2639</v>
      </c>
      <c r="G36" s="36">
        <v>2003835</v>
      </c>
      <c r="H36" s="224" t="str">
        <f t="shared" si="9"/>
        <v>Tubo de concreto PA2 comercial para drenagem - D = 1,20 m - fornecimento e instalação</v>
      </c>
      <c r="I36" s="37" t="str">
        <f>IFERROR(VLOOKUP(G36,SINAPI!A:D,2,0),"")</f>
        <v>Tubo de concreto PA2 comercial para drenagem - D = 1,20 m - fornecimento e instalação</v>
      </c>
      <c r="J36" s="45" t="s">
        <v>5</v>
      </c>
      <c r="K36" s="41"/>
      <c r="L36" s="41" t="str">
        <f>IFERROR(VLOOKUP(G36,SINAPI!A:D,3,0),"")</f>
        <v>m</v>
      </c>
      <c r="M36" s="41">
        <f>VLOOKUP(D36,MEMORIA!B:F,$A$3+3)</f>
        <v>0</v>
      </c>
      <c r="N36" s="41">
        <f>IFERROR(VLOOKUP(G36,SINAPI!A:D,4,0),"")</f>
        <v>698.71</v>
      </c>
      <c r="O36" s="1571">
        <f t="shared" si="10"/>
        <v>0.24379999999999999</v>
      </c>
      <c r="P36" s="41">
        <f t="shared" si="11"/>
        <v>869.06</v>
      </c>
      <c r="Q36" s="42"/>
      <c r="R36" s="1444">
        <f t="shared" si="7"/>
        <v>0</v>
      </c>
      <c r="S36" s="315"/>
      <c r="T36" s="315"/>
      <c r="U36" s="839"/>
      <c r="V36" s="839"/>
    </row>
    <row r="37" spans="1:22" s="2" customFormat="1" ht="15" hidden="1" customHeight="1" outlineLevel="1" x14ac:dyDescent="0.25">
      <c r="A37" s="36">
        <f t="shared" ca="1" si="12"/>
        <v>2</v>
      </c>
      <c r="B37" s="576">
        <f>IF(M37=0,0,MAX($B$21:B34)+1)</f>
        <v>0</v>
      </c>
      <c r="C37" s="36">
        <f t="shared" si="20"/>
        <v>0</v>
      </c>
      <c r="D37" s="1146">
        <f t="shared" si="15"/>
        <v>17</v>
      </c>
      <c r="E37" s="35" t="str">
        <f t="shared" ca="1" si="14"/>
        <v>2.0.0</v>
      </c>
      <c r="F37" s="36" t="s">
        <v>2639</v>
      </c>
      <c r="G37" s="36">
        <v>2003413</v>
      </c>
      <c r="H37" s="224" t="str">
        <f t="shared" si="9"/>
        <v>Descida d'água de aterros em degraus - DAD 05 - areia e brita comerciais</v>
      </c>
      <c r="I37" s="37" t="str">
        <f>IFERROR(VLOOKUP(G37,SINAPI!A:D,2,0),"")</f>
        <v>Descida d'água de aterros em degraus - DAD 05 - areia e brita comerciais</v>
      </c>
      <c r="J37" s="45" t="s">
        <v>5</v>
      </c>
      <c r="K37" s="41"/>
      <c r="L37" s="41" t="str">
        <f>IFERROR(VLOOKUP(G37,SINAPI!A:D,3,0),"")</f>
        <v>m</v>
      </c>
      <c r="M37" s="41">
        <f>VLOOKUP(D37,MEMORIA!B:F,$A$3+3)</f>
        <v>0</v>
      </c>
      <c r="N37" s="41">
        <f>IFERROR(VLOOKUP(G37,SINAPI!A:D,4,0),"")</f>
        <v>605.07000000000005</v>
      </c>
      <c r="O37" s="1571">
        <f t="shared" si="10"/>
        <v>0.24379999999999999</v>
      </c>
      <c r="P37" s="41">
        <f t="shared" si="11"/>
        <v>752.59</v>
      </c>
      <c r="Q37" s="42"/>
      <c r="R37" s="1444">
        <f t="shared" si="7"/>
        <v>0</v>
      </c>
      <c r="S37" s="315"/>
      <c r="T37" s="315"/>
      <c r="U37" s="839"/>
      <c r="V37" s="839"/>
    </row>
    <row r="38" spans="1:22" ht="15" hidden="1" customHeight="1" outlineLevel="1" x14ac:dyDescent="0.25">
      <c r="A38" s="576">
        <f ca="1">A34</f>
        <v>2</v>
      </c>
      <c r="B38" s="576">
        <f ca="1">IF(M38=0,0,MAX($B$21:B36)+1)</f>
        <v>0</v>
      </c>
      <c r="C38" s="576">
        <f t="shared" ca="1" si="16"/>
        <v>0</v>
      </c>
      <c r="D38" s="1146">
        <f t="shared" si="15"/>
        <v>18</v>
      </c>
      <c r="E38" s="35" t="str">
        <f t="shared" ca="1" si="14"/>
        <v>2.0.0</v>
      </c>
      <c r="F38" s="36" t="s">
        <v>2639</v>
      </c>
      <c r="G38" s="36">
        <v>2003618</v>
      </c>
      <c r="H38" s="224" t="str">
        <f t="shared" si="9"/>
        <v>Boca de lobo simples - BLS 01 - areia e brita comerciais</v>
      </c>
      <c r="I38" s="37" t="str">
        <f>IFERROR(VLOOKUP(G38,SINAPI!A:D,2,0),"")</f>
        <v>Boca de lobo simples - BLS 01 - areia e brita comerciais</v>
      </c>
      <c r="J38" s="626" t="s">
        <v>5</v>
      </c>
      <c r="K38" s="46"/>
      <c r="L38" s="40" t="str">
        <f>IFERROR(VLOOKUP(G38,SINAPI!A:D,3,0),"")</f>
        <v>un</v>
      </c>
      <c r="M38" s="41">
        <f ca="1">VLOOKUP(D38,MEMORIA!B:F,$A$3+3)</f>
        <v>0</v>
      </c>
      <c r="N38" s="40">
        <f>IFERROR(VLOOKUP(G38,SINAPI!A:D,4,0),"")</f>
        <v>922.7</v>
      </c>
      <c r="O38" s="1571">
        <f t="shared" si="10"/>
        <v>0.24379999999999999</v>
      </c>
      <c r="P38" s="41">
        <f t="shared" si="11"/>
        <v>1147.6500000000001</v>
      </c>
      <c r="Q38" s="580">
        <f t="shared" ref="Q38:Q58" ca="1" si="21">IF(M38="","",ROUND(M38*P38,2))</f>
        <v>0</v>
      </c>
      <c r="R38" s="1444">
        <f t="shared" ca="1" si="7"/>
        <v>0</v>
      </c>
      <c r="U38" s="668"/>
      <c r="V38" s="668"/>
    </row>
    <row r="39" spans="1:22" s="2" customFormat="1" ht="15" hidden="1" customHeight="1" outlineLevel="1" x14ac:dyDescent="0.25">
      <c r="A39" s="36">
        <f t="shared" ca="1" si="12"/>
        <v>2</v>
      </c>
      <c r="B39" s="576">
        <f ca="1">IF(M39=0,0,MAX($B$21:B37)+1)</f>
        <v>0</v>
      </c>
      <c r="C39" s="36">
        <f t="shared" ca="1" si="16"/>
        <v>0</v>
      </c>
      <c r="D39" s="660">
        <f t="shared" si="15"/>
        <v>19</v>
      </c>
      <c r="E39" s="35" t="str">
        <f t="shared" ca="1" si="14"/>
        <v>2.0.0</v>
      </c>
      <c r="F39" s="36" t="s">
        <v>2639</v>
      </c>
      <c r="G39" s="36">
        <v>2003630</v>
      </c>
      <c r="H39" s="224" t="str">
        <f t="shared" si="9"/>
        <v>Boca de lobo simples - grelha de concreto - BLSG 03 - areia e brita comerciais</v>
      </c>
      <c r="I39" s="37" t="str">
        <f>IFERROR(VLOOKUP(G39,SINAPI!A:D,2,0),"")</f>
        <v>Boca de lobo simples - grelha de concreto - BLSG 03 - areia e brita comerciais</v>
      </c>
      <c r="J39" s="45" t="s">
        <v>5</v>
      </c>
      <c r="K39" s="46"/>
      <c r="L39" s="41" t="str">
        <f>IFERROR(VLOOKUP(G39,SINAPI!A:D,3,0),"")</f>
        <v>un</v>
      </c>
      <c r="M39" s="41">
        <f ca="1">VLOOKUP(D39,MEMORIA!B:F,$A$3+3)</f>
        <v>0</v>
      </c>
      <c r="N39" s="41">
        <f>IFERROR(VLOOKUP(G39,SINAPI!A:D,4,0),"")</f>
        <v>1261.19</v>
      </c>
      <c r="O39" s="1571">
        <f t="shared" si="10"/>
        <v>0.24379999999999999</v>
      </c>
      <c r="P39" s="41">
        <f t="shared" si="11"/>
        <v>1568.67</v>
      </c>
      <c r="Q39" s="42">
        <f t="shared" ca="1" si="21"/>
        <v>0</v>
      </c>
      <c r="R39" s="1444">
        <f t="shared" ca="1" si="7"/>
        <v>0</v>
      </c>
      <c r="S39" s="315"/>
      <c r="T39" s="315"/>
      <c r="U39" s="668"/>
      <c r="V39" s="668"/>
    </row>
    <row r="40" spans="1:22" s="2" customFormat="1" ht="15" hidden="1" customHeight="1" outlineLevel="1" x14ac:dyDescent="0.25">
      <c r="A40" s="36">
        <f t="shared" ca="1" si="12"/>
        <v>2</v>
      </c>
      <c r="B40" s="576">
        <f ca="1">IF(M40=0,0,MAX($B$21:B38)+1)</f>
        <v>0</v>
      </c>
      <c r="C40" s="36">
        <f t="shared" ca="1" si="16"/>
        <v>0</v>
      </c>
      <c r="D40" s="515">
        <f t="shared" si="15"/>
        <v>20</v>
      </c>
      <c r="E40" s="35" t="str">
        <f t="shared" ca="1" si="14"/>
        <v>2.0.0</v>
      </c>
      <c r="F40" s="36" t="s">
        <v>2639</v>
      </c>
      <c r="G40" s="36">
        <v>2003632</v>
      </c>
      <c r="H40" s="224" t="str">
        <f t="shared" si="9"/>
        <v>Boca de lobo simples - grelha de concreto - BLSG 04 - areia e brita comerciais</v>
      </c>
      <c r="I40" s="37" t="str">
        <f>IFERROR(VLOOKUP(G40,SINAPI!A:D,2,0),"")</f>
        <v>Boca de lobo simples - grelha de concreto - BLSG 04 - areia e brita comerciais</v>
      </c>
      <c r="J40" s="45" t="s">
        <v>5</v>
      </c>
      <c r="K40" s="46"/>
      <c r="L40" s="41" t="str">
        <f>IFERROR(VLOOKUP(G40,SINAPI!A:D,3,0),"")</f>
        <v>un</v>
      </c>
      <c r="M40" s="41">
        <f ca="1">VLOOKUP(D40,MEMORIA!B:F,$A$3+3)</f>
        <v>0</v>
      </c>
      <c r="N40" s="41">
        <f>IFERROR(VLOOKUP(G40,SINAPI!A:D,4,0),"")</f>
        <v>1472.19</v>
      </c>
      <c r="O40" s="1571">
        <f t="shared" si="10"/>
        <v>0.24379999999999999</v>
      </c>
      <c r="P40" s="41">
        <f t="shared" si="11"/>
        <v>1831.11</v>
      </c>
      <c r="Q40" s="42">
        <f t="shared" ca="1" si="21"/>
        <v>0</v>
      </c>
      <c r="R40" s="1444">
        <f t="shared" ca="1" si="7"/>
        <v>0</v>
      </c>
      <c r="S40" s="315"/>
      <c r="T40" s="315"/>
      <c r="U40" s="668"/>
      <c r="V40" s="668"/>
    </row>
    <row r="41" spans="1:22" s="2" customFormat="1" ht="15" hidden="1" customHeight="1" outlineLevel="1" x14ac:dyDescent="0.25">
      <c r="A41" s="36">
        <f t="shared" ca="1" si="12"/>
        <v>2</v>
      </c>
      <c r="B41" s="576">
        <f ca="1">IF(M41=0,0,MAX($B$21:B39)+1)</f>
        <v>0</v>
      </c>
      <c r="C41" s="36">
        <f t="shared" ca="1" si="16"/>
        <v>0</v>
      </c>
      <c r="D41" s="660">
        <f t="shared" si="15"/>
        <v>21</v>
      </c>
      <c r="E41" s="35" t="str">
        <f t="shared" ca="1" si="14"/>
        <v>2.0.0</v>
      </c>
      <c r="F41" s="36" t="s">
        <v>2639</v>
      </c>
      <c r="G41" s="36">
        <v>2003477</v>
      </c>
      <c r="H41" s="224" t="str">
        <f t="shared" si="9"/>
        <v>Caixa coletora de sarjeta - CCS 01 - com grelha de concreto - TCC 01 - areia e brita comerciais</v>
      </c>
      <c r="I41" s="37" t="str">
        <f>IFERROR(VLOOKUP(G41,SINAPI!A:D,2,0),"")</f>
        <v>Caixa coletora de sarjeta - CCS 01 - com grelha de concreto - TCC 01 - areia e brita comerciais</v>
      </c>
      <c r="J41" s="45" t="s">
        <v>5</v>
      </c>
      <c r="K41" s="46"/>
      <c r="L41" s="41" t="str">
        <f>IFERROR(VLOOKUP(G41,SINAPI!A:D,3,0),"")</f>
        <v>un</v>
      </c>
      <c r="M41" s="41">
        <f ca="1">VLOOKUP(D41,MEMORIA!B:F,$A$3+3)</f>
        <v>0</v>
      </c>
      <c r="N41" s="41">
        <f>IFERROR(VLOOKUP(G41,SINAPI!A:D,4,0),"")</f>
        <v>3582.78</v>
      </c>
      <c r="O41" s="1571">
        <f t="shared" si="10"/>
        <v>0.24379999999999999</v>
      </c>
      <c r="P41" s="41">
        <f t="shared" si="11"/>
        <v>4456.26</v>
      </c>
      <c r="Q41" s="42">
        <f t="shared" ca="1" si="21"/>
        <v>0</v>
      </c>
      <c r="R41" s="1444">
        <f t="shared" ca="1" si="7"/>
        <v>0</v>
      </c>
      <c r="S41" s="315"/>
      <c r="T41" s="315"/>
      <c r="U41" s="668"/>
      <c r="V41" s="668"/>
    </row>
    <row r="42" spans="1:22" ht="15" hidden="1" customHeight="1" outlineLevel="1" x14ac:dyDescent="0.25">
      <c r="A42" s="576">
        <f t="shared" ca="1" si="12"/>
        <v>2</v>
      </c>
      <c r="B42" s="576">
        <f ca="1">IF(M42=0,0,MAX($B$21:B40)+1)</f>
        <v>0</v>
      </c>
      <c r="C42" s="576">
        <f t="shared" ca="1" si="16"/>
        <v>0</v>
      </c>
      <c r="D42" s="515">
        <f t="shared" si="15"/>
        <v>22</v>
      </c>
      <c r="E42" s="35" t="str">
        <f t="shared" ca="1" si="14"/>
        <v>2.0.0</v>
      </c>
      <c r="F42" s="36" t="s">
        <v>2639</v>
      </c>
      <c r="G42" s="576">
        <v>2003646</v>
      </c>
      <c r="H42" s="224" t="str">
        <f t="shared" si="9"/>
        <v>Caixa de ligação e passagem - CLP 03 - areia e brita comerciais</v>
      </c>
      <c r="I42" s="37" t="str">
        <f>IFERROR(VLOOKUP(G42,SINAPI!A:D,2,0),"")</f>
        <v>Caixa de ligação e passagem - CLP 03 - areia e brita comerciais</v>
      </c>
      <c r="J42" s="626" t="s">
        <v>5</v>
      </c>
      <c r="K42" s="326"/>
      <c r="L42" s="40" t="str">
        <f>IFERROR(VLOOKUP(G42,SINAPI!A:D,3,0),"")</f>
        <v>un</v>
      </c>
      <c r="M42" s="41">
        <f ca="1">VLOOKUP(D42,MEMORIA!B:F,$A$3+3)</f>
        <v>0</v>
      </c>
      <c r="N42" s="40">
        <f>IFERROR(VLOOKUP(G42,SINAPI!A:D,4,0),"")</f>
        <v>2027.26</v>
      </c>
      <c r="O42" s="1571">
        <f t="shared" si="10"/>
        <v>0.24379999999999999</v>
      </c>
      <c r="P42" s="41">
        <f t="shared" si="11"/>
        <v>2521.5100000000002</v>
      </c>
      <c r="Q42" s="580">
        <f t="shared" ca="1" si="21"/>
        <v>0</v>
      </c>
      <c r="R42" s="1444">
        <f t="shared" ca="1" si="7"/>
        <v>0</v>
      </c>
      <c r="U42" s="668"/>
      <c r="V42" s="668"/>
    </row>
    <row r="43" spans="1:22" s="2" customFormat="1" ht="15" hidden="1" customHeight="1" outlineLevel="1" x14ac:dyDescent="0.25">
      <c r="A43" s="36">
        <f t="shared" ca="1" si="12"/>
        <v>2</v>
      </c>
      <c r="B43" s="576">
        <f ca="1">IF(M43=0,0,MAX($B$21:B41)+1)</f>
        <v>0</v>
      </c>
      <c r="C43" s="36">
        <f t="shared" ca="1" si="16"/>
        <v>0</v>
      </c>
      <c r="D43" s="660">
        <f t="shared" si="15"/>
        <v>23</v>
      </c>
      <c r="E43" s="35" t="str">
        <f t="shared" ca="1" si="14"/>
        <v>2.0.0</v>
      </c>
      <c r="F43" s="36" t="s">
        <v>2639</v>
      </c>
      <c r="G43" s="36">
        <v>2003648</v>
      </c>
      <c r="H43" s="224" t="str">
        <f t="shared" si="9"/>
        <v>Caixa de ligação e passagem - CLP 04 - areia e brita comerciais</v>
      </c>
      <c r="I43" s="37" t="str">
        <f>IFERROR(VLOOKUP(G43,SINAPI!A:D,2,0),"")</f>
        <v>Caixa de ligação e passagem - CLP 04 - areia e brita comerciais</v>
      </c>
      <c r="J43" s="45" t="s">
        <v>5</v>
      </c>
      <c r="K43" s="46"/>
      <c r="L43" s="41" t="str">
        <f>IFERROR(VLOOKUP(G43,SINAPI!A:D,3,0),"")</f>
        <v>un</v>
      </c>
      <c r="M43" s="41">
        <f ca="1">VLOOKUP(D43,MEMORIA!B:F,$A$3+3)</f>
        <v>0</v>
      </c>
      <c r="N43" s="41">
        <f>IFERROR(VLOOKUP(G43,SINAPI!A:D,4,0),"")</f>
        <v>2611.64</v>
      </c>
      <c r="O43" s="1571">
        <f t="shared" si="10"/>
        <v>0.24379999999999999</v>
      </c>
      <c r="P43" s="41">
        <f t="shared" si="11"/>
        <v>3248.36</v>
      </c>
      <c r="Q43" s="42">
        <f t="shared" ca="1" si="21"/>
        <v>0</v>
      </c>
      <c r="R43" s="1444">
        <f t="shared" ca="1" si="7"/>
        <v>0</v>
      </c>
      <c r="S43" s="315"/>
      <c r="T43" s="315"/>
      <c r="U43" s="668"/>
      <c r="V43" s="668"/>
    </row>
    <row r="44" spans="1:22" s="2" customFormat="1" ht="15" hidden="1" customHeight="1" outlineLevel="1" x14ac:dyDescent="0.25">
      <c r="A44" s="36">
        <f t="shared" ca="1" si="12"/>
        <v>2</v>
      </c>
      <c r="B44" s="576">
        <f ca="1">IF(M44=0,0,MAX($B$21:B42)+1)</f>
        <v>0</v>
      </c>
      <c r="C44" s="36">
        <f t="shared" ca="1" si="16"/>
        <v>0</v>
      </c>
      <c r="D44" s="515">
        <f t="shared" si="15"/>
        <v>24</v>
      </c>
      <c r="E44" s="35" t="str">
        <f t="shared" ca="1" si="14"/>
        <v>2.0.0</v>
      </c>
      <c r="F44" s="36" t="s">
        <v>2639</v>
      </c>
      <c r="G44" s="36">
        <v>2003682</v>
      </c>
      <c r="H44" s="224" t="str">
        <f t="shared" si="9"/>
        <v>Poço de visita - PVI 03 - areia e brita comerciais</v>
      </c>
      <c r="I44" s="37" t="str">
        <f>IFERROR(VLOOKUP(G44,SINAPI!A:D,2,0),"")</f>
        <v>Poço de visita - PVI 03 - areia e brita comerciais</v>
      </c>
      <c r="J44" s="45" t="s">
        <v>5</v>
      </c>
      <c r="K44" s="46"/>
      <c r="L44" s="41" t="str">
        <f>IFERROR(VLOOKUP(G44,SINAPI!A:D,3,0),"")</f>
        <v>un</v>
      </c>
      <c r="M44" s="41">
        <f ca="1">VLOOKUP(D44,MEMORIA!B:F,$A$3+3)</f>
        <v>0</v>
      </c>
      <c r="N44" s="41">
        <f>IFERROR(VLOOKUP(G44,SINAPI!A:D,4,0),"")</f>
        <v>2332.88</v>
      </c>
      <c r="O44" s="1571">
        <f t="shared" si="10"/>
        <v>0.24379999999999999</v>
      </c>
      <c r="P44" s="41">
        <f t="shared" si="11"/>
        <v>2901.64</v>
      </c>
      <c r="Q44" s="42">
        <f t="shared" ca="1" si="21"/>
        <v>0</v>
      </c>
      <c r="R44" s="1444">
        <f t="shared" ca="1" si="7"/>
        <v>0</v>
      </c>
      <c r="S44" s="315"/>
      <c r="T44" s="315"/>
      <c r="U44" s="668"/>
      <c r="V44" s="668"/>
    </row>
    <row r="45" spans="1:22" s="2" customFormat="1" ht="15" hidden="1" customHeight="1" outlineLevel="1" x14ac:dyDescent="0.25">
      <c r="A45" s="36">
        <f t="shared" ca="1" si="12"/>
        <v>2</v>
      </c>
      <c r="B45" s="576">
        <f ca="1">IF(M45=0,0,MAX($B$21:B43)+1)</f>
        <v>0</v>
      </c>
      <c r="C45" s="36">
        <f t="shared" ca="1" si="16"/>
        <v>0</v>
      </c>
      <c r="D45" s="660">
        <f t="shared" si="15"/>
        <v>25</v>
      </c>
      <c r="E45" s="35" t="str">
        <f t="shared" ca="1" si="14"/>
        <v>2.0.0</v>
      </c>
      <c r="F45" s="36" t="s">
        <v>2639</v>
      </c>
      <c r="G45" s="36">
        <v>2003684</v>
      </c>
      <c r="H45" s="224" t="str">
        <f t="shared" si="9"/>
        <v>Poço de visita - PVI 04 - areia e brita comerciais</v>
      </c>
      <c r="I45" s="37" t="str">
        <f>IFERROR(VLOOKUP(G45,SINAPI!A:D,2,0),"")</f>
        <v>Poço de visita - PVI 04 - areia e brita comerciais</v>
      </c>
      <c r="J45" s="45" t="s">
        <v>5</v>
      </c>
      <c r="K45" s="46"/>
      <c r="L45" s="41" t="str">
        <f>IFERROR(VLOOKUP(G45,SINAPI!A:D,3,0),"")</f>
        <v>un</v>
      </c>
      <c r="M45" s="41">
        <f ca="1">VLOOKUP(D45,MEMORIA!B:F,$A$3+3)</f>
        <v>0</v>
      </c>
      <c r="N45" s="41">
        <f>IFERROR(VLOOKUP(G45,SINAPI!A:D,4,0),"")</f>
        <v>2800.75</v>
      </c>
      <c r="O45" s="1571">
        <f t="shared" si="10"/>
        <v>0.24379999999999999</v>
      </c>
      <c r="P45" s="41">
        <f t="shared" si="11"/>
        <v>3483.57</v>
      </c>
      <c r="Q45" s="42">
        <f t="shared" ca="1" si="21"/>
        <v>0</v>
      </c>
      <c r="R45" s="1444">
        <f t="shared" ca="1" si="7"/>
        <v>0</v>
      </c>
      <c r="S45" s="315"/>
      <c r="T45" s="315"/>
      <c r="U45" s="668"/>
      <c r="V45" s="668"/>
    </row>
    <row r="46" spans="1:22" s="2" customFormat="1" ht="15" hidden="1" customHeight="1" outlineLevel="1" x14ac:dyDescent="0.25">
      <c r="A46" s="36">
        <f t="shared" ca="1" si="12"/>
        <v>2</v>
      </c>
      <c r="B46" s="576">
        <f ca="1">IF(M46=0,0,MAX($B$21:B44)+1)</f>
        <v>0</v>
      </c>
      <c r="C46" s="36">
        <f t="shared" ca="1" si="16"/>
        <v>0</v>
      </c>
      <c r="D46" s="515">
        <f t="shared" si="15"/>
        <v>26</v>
      </c>
      <c r="E46" s="35" t="str">
        <f t="shared" ca="1" si="14"/>
        <v>2.0.0</v>
      </c>
      <c r="F46" s="36" t="s">
        <v>2639</v>
      </c>
      <c r="G46" s="36">
        <v>2003714</v>
      </c>
      <c r="H46" s="224" t="str">
        <f t="shared" si="9"/>
        <v>Chaminé dos poços de visita - CPV 01 - areia e brita comerciais</v>
      </c>
      <c r="I46" s="37" t="str">
        <f>IFERROR(VLOOKUP(G46,SINAPI!A:D,2,0),"")</f>
        <v>Chaminé dos poços de visita - CPV 01 - areia e brita comerciais</v>
      </c>
      <c r="J46" s="45" t="s">
        <v>5</v>
      </c>
      <c r="K46" s="41" t="s">
        <v>110</v>
      </c>
      <c r="L46" s="41" t="str">
        <f>IFERROR(VLOOKUP(G46,SINAPI!A:D,3,0),"")</f>
        <v>un</v>
      </c>
      <c r="M46" s="41">
        <f ca="1">VLOOKUP(D46,MEMORIA!B:F,$A$3+3)</f>
        <v>0</v>
      </c>
      <c r="N46" s="41">
        <f>IFERROR(VLOOKUP(G46,SINAPI!A:D,4,0),"")</f>
        <v>1350.23</v>
      </c>
      <c r="O46" s="1571">
        <f t="shared" si="10"/>
        <v>0.24379999999999999</v>
      </c>
      <c r="P46" s="41">
        <f t="shared" si="11"/>
        <v>1679.42</v>
      </c>
      <c r="Q46" s="42">
        <f t="shared" ca="1" si="21"/>
        <v>0</v>
      </c>
      <c r="R46" s="1444">
        <f t="shared" ca="1" si="7"/>
        <v>0</v>
      </c>
      <c r="S46" s="315"/>
      <c r="T46" s="315"/>
      <c r="U46" s="668"/>
      <c r="V46" s="668"/>
    </row>
    <row r="47" spans="1:22" ht="15" hidden="1" customHeight="1" outlineLevel="1" x14ac:dyDescent="0.25">
      <c r="A47" s="36">
        <f t="shared" ca="1" si="12"/>
        <v>2</v>
      </c>
      <c r="B47" s="576">
        <f ca="1">IF(M47=0,0,MAX($B$21:B45)+1)</f>
        <v>0</v>
      </c>
      <c r="C47" s="36">
        <f t="shared" ref="C47:C51" ca="1" si="22">IF(B47=0,0,1)</f>
        <v>0</v>
      </c>
      <c r="D47" s="660">
        <f t="shared" si="15"/>
        <v>27</v>
      </c>
      <c r="E47" s="35" t="str">
        <f t="shared" ca="1" si="14"/>
        <v>2.0.0</v>
      </c>
      <c r="F47" s="576" t="s">
        <v>17</v>
      </c>
      <c r="G47" s="989" t="s">
        <v>35</v>
      </c>
      <c r="H47" s="224" t="str">
        <f t="shared" si="9"/>
        <v>Reforma e limpeza de boca de lobo em alvenaria</v>
      </c>
      <c r="I47" s="37" t="str">
        <f>IFERROR(VLOOKUP(G47,SINAPI!A:D,2,0),"")</f>
        <v>Reforma e limpeza de boca de lobo em alvenaria</v>
      </c>
      <c r="J47" s="626" t="s">
        <v>5</v>
      </c>
      <c r="K47" s="326" t="s">
        <v>2619</v>
      </c>
      <c r="L47" s="40" t="str">
        <f>IFERROR(VLOOKUP(G47,SINAPI!A:D,3,0),"")</f>
        <v>un</v>
      </c>
      <c r="M47" s="41">
        <f ca="1">VLOOKUP(D47,MEMORIA!B:F,$A$3+3)</f>
        <v>0</v>
      </c>
      <c r="N47" s="40">
        <f>IFERROR(VLOOKUP(G47,SINAPI!A:D,4,0),"")</f>
        <v>655.85</v>
      </c>
      <c r="O47" s="1571">
        <f t="shared" si="10"/>
        <v>0.24379999999999999</v>
      </c>
      <c r="P47" s="41">
        <f t="shared" si="11"/>
        <v>815.75</v>
      </c>
      <c r="Q47" s="580">
        <f t="shared" ca="1" si="21"/>
        <v>0</v>
      </c>
      <c r="R47" s="1444">
        <f t="shared" ca="1" si="7"/>
        <v>0</v>
      </c>
      <c r="U47" s="668"/>
      <c r="V47" s="668"/>
    </row>
    <row r="48" spans="1:22" ht="15" hidden="1" customHeight="1" outlineLevel="1" x14ac:dyDescent="0.25">
      <c r="A48" s="36">
        <f t="shared" ca="1" si="12"/>
        <v>2</v>
      </c>
      <c r="B48" s="576">
        <f ca="1">IF(M48=0,0,MAX($B$21:B46)+1)</f>
        <v>0</v>
      </c>
      <c r="C48" s="36">
        <f t="shared" ca="1" si="22"/>
        <v>0</v>
      </c>
      <c r="D48" s="515">
        <f>D47</f>
        <v>27</v>
      </c>
      <c r="E48" s="35" t="str">
        <f t="shared" ca="1" si="14"/>
        <v>2.0.0</v>
      </c>
      <c r="F48" s="576" t="s">
        <v>17</v>
      </c>
      <c r="G48" s="989" t="s">
        <v>3241</v>
      </c>
      <c r="H48" s="224" t="str">
        <f t="shared" si="9"/>
        <v>Substituição de Grelha metálica em boca de lobo existente (60x75cm)</v>
      </c>
      <c r="I48" s="37" t="str">
        <f>IFERROR(VLOOKUP(G48,SINAPI!A:D,2,0),"")</f>
        <v>Substituição de Grelha metálica em boca de lobo existente (60x75cm)</v>
      </c>
      <c r="J48" s="626" t="s">
        <v>5</v>
      </c>
      <c r="K48" s="326"/>
      <c r="L48" s="40" t="str">
        <f>IFERROR(VLOOKUP(G48,SINAPI!A:D,3,0),"")</f>
        <v>und</v>
      </c>
      <c r="M48" s="41">
        <f ca="1">VLOOKUP(D48,MEMORIA!B:F,$A$3+3)</f>
        <v>0</v>
      </c>
      <c r="N48" s="40">
        <f>IFERROR(VLOOKUP(G48,SINAPI!A:D,4,0),"")</f>
        <v>905.75</v>
      </c>
      <c r="O48" s="1571">
        <f t="shared" si="10"/>
        <v>0.24379999999999999</v>
      </c>
      <c r="P48" s="41">
        <f t="shared" si="11"/>
        <v>1126.57</v>
      </c>
      <c r="Q48" s="580">
        <f t="shared" ref="Q48" ca="1" si="23">IF(M48="","",ROUND(M48*P48,2))</f>
        <v>0</v>
      </c>
      <c r="R48" s="1444">
        <f t="shared" ca="1" si="7"/>
        <v>0</v>
      </c>
      <c r="U48" s="668"/>
      <c r="V48" s="668"/>
    </row>
    <row r="49" spans="1:22" s="2" customFormat="1" ht="15" hidden="1" customHeight="1" outlineLevel="1" x14ac:dyDescent="0.25">
      <c r="A49" s="36">
        <f t="shared" ca="1" si="12"/>
        <v>2</v>
      </c>
      <c r="B49" s="576">
        <f ca="1">IF(M49=0,0,MAX($B$21:B47)+1)</f>
        <v>0</v>
      </c>
      <c r="C49" s="36">
        <f t="shared" ca="1" si="22"/>
        <v>0</v>
      </c>
      <c r="D49" s="660">
        <f t="shared" si="15"/>
        <v>28</v>
      </c>
      <c r="E49" s="35" t="str">
        <f t="shared" ca="1" si="14"/>
        <v>2.0.0</v>
      </c>
      <c r="F49" s="36" t="s">
        <v>17</v>
      </c>
      <c r="G49" s="990" t="s">
        <v>141</v>
      </c>
      <c r="H49" s="224" t="str">
        <f t="shared" si="9"/>
        <v>Mudança de boca de lobo para caixa de ligação</v>
      </c>
      <c r="I49" s="37" t="str">
        <f>IFERROR(VLOOKUP(G49,SINAPI!A:D,2,0),"")</f>
        <v>Mudança de boca de lobo para caixa de ligação</v>
      </c>
      <c r="J49" s="45" t="s">
        <v>5</v>
      </c>
      <c r="K49" s="46" t="s">
        <v>2781</v>
      </c>
      <c r="L49" s="41" t="str">
        <f>IFERROR(VLOOKUP(G49,SINAPI!A:D,3,0),"")</f>
        <v>un</v>
      </c>
      <c r="M49" s="41">
        <f ca="1">VLOOKUP(D49,MEMORIA!B:F,$A$3+3)</f>
        <v>0</v>
      </c>
      <c r="N49" s="41">
        <f>IFERROR(VLOOKUP(G49,SINAPI!A:D,4,0),"")</f>
        <v>1625.3</v>
      </c>
      <c r="O49" s="1571">
        <f t="shared" si="10"/>
        <v>0.24379999999999999</v>
      </c>
      <c r="P49" s="41">
        <f t="shared" si="11"/>
        <v>2021.55</v>
      </c>
      <c r="Q49" s="42">
        <f t="shared" ca="1" si="21"/>
        <v>0</v>
      </c>
      <c r="R49" s="1444">
        <f t="shared" ca="1" si="7"/>
        <v>0</v>
      </c>
      <c r="S49" s="315"/>
      <c r="T49" s="315"/>
      <c r="U49" s="668"/>
      <c r="V49" s="668"/>
    </row>
    <row r="50" spans="1:22" s="2" customFormat="1" ht="15" hidden="1" customHeight="1" outlineLevel="1" x14ac:dyDescent="0.25">
      <c r="A50" s="36">
        <f t="shared" ca="1" si="12"/>
        <v>2</v>
      </c>
      <c r="B50" s="576">
        <f ca="1">IF(M50=0,0,MAX($B$21:B48)+1)</f>
        <v>0</v>
      </c>
      <c r="C50" s="36">
        <f t="shared" ref="C50" ca="1" si="24">IF(B50=0,0,1)</f>
        <v>0</v>
      </c>
      <c r="D50" s="660">
        <f>D49+0.5</f>
        <v>28.5</v>
      </c>
      <c r="E50" s="35" t="str">
        <f t="shared" ca="1" si="14"/>
        <v>2.0.0</v>
      </c>
      <c r="F50" s="36" t="s">
        <v>17</v>
      </c>
      <c r="G50" s="990" t="s">
        <v>3177</v>
      </c>
      <c r="H50" s="224" t="str">
        <f t="shared" si="9"/>
        <v>Mudança de boca de lobo para PV</v>
      </c>
      <c r="I50" s="37" t="str">
        <f>IFERROR(VLOOKUP(G50,SINAPI!A:D,2,0),"")</f>
        <v>Mudança de boca de lobo para PV</v>
      </c>
      <c r="J50" s="45" t="s">
        <v>5</v>
      </c>
      <c r="K50" s="46" t="s">
        <v>3327</v>
      </c>
      <c r="L50" s="41" t="str">
        <f>IFERROR(VLOOKUP(G50,SINAPI!A:D,3,0),"")</f>
        <v>un</v>
      </c>
      <c r="M50" s="41">
        <f ca="1">VLOOKUP(D50,MEMORIA!B:F,$A$3+3)</f>
        <v>0</v>
      </c>
      <c r="N50" s="41">
        <f>IFERROR(VLOOKUP(G50,SINAPI!A:D,4,0),"")</f>
        <v>1909.02</v>
      </c>
      <c r="O50" s="1571">
        <f t="shared" si="10"/>
        <v>0.24379999999999999</v>
      </c>
      <c r="P50" s="41">
        <f t="shared" si="11"/>
        <v>2374.44</v>
      </c>
      <c r="Q50" s="42">
        <f t="shared" ref="Q50" ca="1" si="25">IF(M50="","",ROUND(M50*P50,2))</f>
        <v>0</v>
      </c>
      <c r="R50" s="1444">
        <f t="shared" ca="1" si="7"/>
        <v>0</v>
      </c>
      <c r="S50" s="315"/>
      <c r="T50" s="315"/>
      <c r="U50" s="668"/>
      <c r="V50" s="668"/>
    </row>
    <row r="51" spans="1:22" s="2" customFormat="1" ht="15" hidden="1" customHeight="1" outlineLevel="1" x14ac:dyDescent="0.25">
      <c r="A51" s="36">
        <f ca="1">A49</f>
        <v>2</v>
      </c>
      <c r="B51" s="576">
        <f ca="1">IF(M51=0,0,MAX($B$21:B49)+1)</f>
        <v>0</v>
      </c>
      <c r="C51" s="36">
        <f t="shared" ca="1" si="22"/>
        <v>0</v>
      </c>
      <c r="D51" s="515">
        <f>D49+1</f>
        <v>29</v>
      </c>
      <c r="E51" s="35" t="str">
        <f t="shared" ca="1" si="14"/>
        <v>2.0.0</v>
      </c>
      <c r="F51" s="576" t="s">
        <v>2639</v>
      </c>
      <c r="G51" s="36">
        <v>804061</v>
      </c>
      <c r="H51" s="224" t="str">
        <f t="shared" si="9"/>
        <v>Boca de BSTC D = 0,40 m - esconsidade 0° - areia e brita comerciais - alas retas</v>
      </c>
      <c r="I51" s="37" t="str">
        <f>IFERROR(VLOOKUP(G51,SINAPI!A:D,2,0),"")</f>
        <v>Boca de BSTC D = 0,40 m - esconsidade 0° - areia e brita comerciais - alas retas</v>
      </c>
      <c r="J51" s="45" t="s">
        <v>5</v>
      </c>
      <c r="K51" s="46" t="s">
        <v>132</v>
      </c>
      <c r="L51" s="41" t="str">
        <f>IFERROR(VLOOKUP(G51,SINAPI!A:D,3,0),"")</f>
        <v>un</v>
      </c>
      <c r="M51" s="41">
        <f ca="1">VLOOKUP(D51,MEMORIA!B:F,$A$3+3)</f>
        <v>0</v>
      </c>
      <c r="N51" s="41">
        <f>IFERROR(VLOOKUP(G51,SINAPI!A:D,4,0),"")</f>
        <v>344.81</v>
      </c>
      <c r="O51" s="1571">
        <f t="shared" si="10"/>
        <v>0.24379999999999999</v>
      </c>
      <c r="P51" s="41">
        <f t="shared" si="11"/>
        <v>428.87</v>
      </c>
      <c r="Q51" s="42">
        <f t="shared" ca="1" si="21"/>
        <v>0</v>
      </c>
      <c r="R51" s="1444">
        <f t="shared" ca="1" si="7"/>
        <v>0</v>
      </c>
      <c r="S51" s="315"/>
      <c r="T51" s="315"/>
      <c r="U51" s="668"/>
      <c r="V51" s="668"/>
    </row>
    <row r="52" spans="1:22" s="2" customFormat="1" ht="15" hidden="1" customHeight="1" outlineLevel="1" x14ac:dyDescent="0.25">
      <c r="A52" s="36">
        <f t="shared" ca="1" si="12"/>
        <v>2</v>
      </c>
      <c r="B52" s="576">
        <f ca="1">IF(M52=0,0,MAX($B$21:B50)+1)</f>
        <v>0</v>
      </c>
      <c r="C52" s="36">
        <f t="shared" ca="1" si="16"/>
        <v>0</v>
      </c>
      <c r="D52" s="660">
        <f t="shared" si="15"/>
        <v>30</v>
      </c>
      <c r="E52" s="35" t="str">
        <f t="shared" ca="1" si="14"/>
        <v>2.0.0</v>
      </c>
      <c r="F52" s="576" t="s">
        <v>2639</v>
      </c>
      <c r="G52" s="36">
        <v>804081</v>
      </c>
      <c r="H52" s="224" t="str">
        <f t="shared" si="9"/>
        <v>Boca de BSTC D = 0,60 m - esconsidade 0° - areia e brita comerciais - alas retas</v>
      </c>
      <c r="I52" s="37" t="str">
        <f>IFERROR(VLOOKUP(G52,SINAPI!A:D,2,0),"")</f>
        <v>Boca de BSTC D = 0,60 m - esconsidade 0° - areia e brita comerciais - alas retas</v>
      </c>
      <c r="J52" s="45" t="s">
        <v>5</v>
      </c>
      <c r="K52" s="46" t="s">
        <v>133</v>
      </c>
      <c r="L52" s="41" t="str">
        <f>IFERROR(VLOOKUP(G52,SINAPI!A:D,3,0),"")</f>
        <v>un</v>
      </c>
      <c r="M52" s="41">
        <f ca="1">VLOOKUP(D52,MEMORIA!B:F,$A$3+3)</f>
        <v>0</v>
      </c>
      <c r="N52" s="41">
        <f>IFERROR(VLOOKUP(G52,SINAPI!A:D,4,0),"")</f>
        <v>700.6</v>
      </c>
      <c r="O52" s="1571">
        <f t="shared" si="10"/>
        <v>0.24379999999999999</v>
      </c>
      <c r="P52" s="41">
        <f t="shared" si="11"/>
        <v>871.41</v>
      </c>
      <c r="Q52" s="42">
        <f t="shared" ca="1" si="21"/>
        <v>0</v>
      </c>
      <c r="R52" s="1444">
        <f t="shared" ca="1" si="7"/>
        <v>0</v>
      </c>
      <c r="S52" s="315"/>
      <c r="T52" s="315"/>
      <c r="U52" s="668"/>
      <c r="V52" s="668"/>
    </row>
    <row r="53" spans="1:22" s="2" customFormat="1" ht="15" hidden="1" customHeight="1" outlineLevel="1" x14ac:dyDescent="0.25">
      <c r="A53" s="36">
        <f t="shared" ca="1" si="12"/>
        <v>2</v>
      </c>
      <c r="B53" s="576">
        <f ca="1">IF(M53=0,0,MAX($B$21:B51)+1)</f>
        <v>0</v>
      </c>
      <c r="C53" s="36">
        <f t="shared" ca="1" si="16"/>
        <v>0</v>
      </c>
      <c r="D53" s="515">
        <f t="shared" si="15"/>
        <v>31</v>
      </c>
      <c r="E53" s="35" t="str">
        <f t="shared" ca="1" si="14"/>
        <v>2.0.0</v>
      </c>
      <c r="F53" s="576" t="s">
        <v>2639</v>
      </c>
      <c r="G53" s="36">
        <v>804101</v>
      </c>
      <c r="H53" s="224" t="str">
        <f t="shared" si="9"/>
        <v>Boca de BSTC D = 0,80 m - esconsidade 0° - areia e brita comerciais - alas retas</v>
      </c>
      <c r="I53" s="37" t="str">
        <f>IFERROR(VLOOKUP(G53,SINAPI!A:D,2,0),"")</f>
        <v>Boca de BSTC D = 0,80 m - esconsidade 0° - areia e brita comerciais - alas retas</v>
      </c>
      <c r="J53" s="45" t="s">
        <v>5</v>
      </c>
      <c r="K53" s="46" t="s">
        <v>134</v>
      </c>
      <c r="L53" s="41" t="str">
        <f>IFERROR(VLOOKUP(G53,SINAPI!A:D,3,0),"")</f>
        <v>un</v>
      </c>
      <c r="M53" s="41">
        <f ca="1">VLOOKUP(D53,MEMORIA!B:F,$A$3+3)</f>
        <v>0</v>
      </c>
      <c r="N53" s="41">
        <f>IFERROR(VLOOKUP(G53,SINAPI!A:D,4,0),"")</f>
        <v>1189.08</v>
      </c>
      <c r="O53" s="1571">
        <f t="shared" si="10"/>
        <v>0.24379999999999999</v>
      </c>
      <c r="P53" s="41">
        <f t="shared" si="11"/>
        <v>1478.98</v>
      </c>
      <c r="Q53" s="42">
        <f t="shared" ca="1" si="21"/>
        <v>0</v>
      </c>
      <c r="R53" s="1444">
        <f t="shared" ca="1" si="7"/>
        <v>0</v>
      </c>
      <c r="S53" s="315"/>
      <c r="T53" s="315"/>
      <c r="U53" s="668"/>
      <c r="V53" s="668"/>
    </row>
    <row r="54" spans="1:22" s="2" customFormat="1" ht="15" hidden="1" customHeight="1" outlineLevel="1" x14ac:dyDescent="0.25">
      <c r="A54" s="36">
        <f t="shared" ca="1" si="12"/>
        <v>2</v>
      </c>
      <c r="B54" s="576">
        <f ca="1">IF(M54=0,0,MAX($B$21:B52)+1)</f>
        <v>0</v>
      </c>
      <c r="C54" s="36">
        <f t="shared" ca="1" si="16"/>
        <v>0</v>
      </c>
      <c r="D54" s="515">
        <f t="shared" si="15"/>
        <v>32</v>
      </c>
      <c r="E54" s="35" t="str">
        <f t="shared" ca="1" si="14"/>
        <v>2.0.0</v>
      </c>
      <c r="F54" s="576" t="s">
        <v>2639</v>
      </c>
      <c r="G54" s="36">
        <v>804121</v>
      </c>
      <c r="H54" s="224" t="str">
        <f t="shared" si="9"/>
        <v>Boca de BSTC D = 1,00 m - esconsidade 0° - areia e brita comerciais - alas retas</v>
      </c>
      <c r="I54" s="37" t="str">
        <f>IFERROR(VLOOKUP(G54,SINAPI!A:D,2,0),"")</f>
        <v>Boca de BSTC D = 1,00 m - esconsidade 0° - areia e brita comerciais - alas retas</v>
      </c>
      <c r="J54" s="45" t="s">
        <v>5</v>
      </c>
      <c r="K54" s="46" t="s">
        <v>135</v>
      </c>
      <c r="L54" s="41" t="str">
        <f>IFERROR(VLOOKUP(G54,SINAPI!A:D,3,0),"")</f>
        <v>un</v>
      </c>
      <c r="M54" s="41">
        <f ca="1">VLOOKUP(D54,MEMORIA!B:F,$A$3+3)</f>
        <v>0</v>
      </c>
      <c r="N54" s="41">
        <f>IFERROR(VLOOKUP(G54,SINAPI!A:D,4,0),"")</f>
        <v>1783.91</v>
      </c>
      <c r="O54" s="1571">
        <f t="shared" si="10"/>
        <v>0.24379999999999999</v>
      </c>
      <c r="P54" s="41">
        <f t="shared" si="11"/>
        <v>2218.83</v>
      </c>
      <c r="Q54" s="42">
        <f t="shared" ca="1" si="21"/>
        <v>0</v>
      </c>
      <c r="R54" s="1444">
        <f t="shared" ca="1" si="7"/>
        <v>0</v>
      </c>
      <c r="S54" s="315"/>
      <c r="T54" s="315"/>
      <c r="U54" s="668"/>
      <c r="V54" s="668"/>
    </row>
    <row r="55" spans="1:22" s="2" customFormat="1" ht="15" hidden="1" customHeight="1" outlineLevel="1" x14ac:dyDescent="0.25">
      <c r="A55" s="36">
        <f t="shared" ca="1" si="12"/>
        <v>2</v>
      </c>
      <c r="B55" s="576">
        <f ca="1">IF(M55=0,0,MAX($B$21:B53)+1)</f>
        <v>0</v>
      </c>
      <c r="C55" s="36">
        <f t="shared" ref="C55" ca="1" si="26">IF(B55=0,0,1)</f>
        <v>0</v>
      </c>
      <c r="D55" s="515">
        <f t="shared" si="15"/>
        <v>33</v>
      </c>
      <c r="E55" s="35" t="str">
        <f t="shared" ref="E55" ca="1" si="27">CONCATENATE(A55,".",$B$20,".",B55)</f>
        <v>2.0.0</v>
      </c>
      <c r="F55" s="576" t="s">
        <v>2639</v>
      </c>
      <c r="G55" s="36">
        <v>804141</v>
      </c>
      <c r="H55" s="224" t="str">
        <f t="shared" si="9"/>
        <v>Boca de BSTC D = 1,20 m - esconsidade 0° - areia e brita comerciais - alas retas</v>
      </c>
      <c r="I55" s="37" t="str">
        <f>IFERROR(VLOOKUP(G55,SINAPI!A:D,2,0),"")</f>
        <v>Boca de BSTC D = 1,20 m - esconsidade 0° - areia e brita comerciais - alas retas</v>
      </c>
      <c r="J55" s="45" t="s">
        <v>5</v>
      </c>
      <c r="K55" s="46" t="s">
        <v>136</v>
      </c>
      <c r="L55" s="41" t="str">
        <f>IFERROR(VLOOKUP(G55,SINAPI!A:D,3,0),"")</f>
        <v>un</v>
      </c>
      <c r="M55" s="41">
        <f ca="1">VLOOKUP(D55,MEMORIA!B:F,$A$3+3)</f>
        <v>0</v>
      </c>
      <c r="N55" s="41">
        <f>IFERROR(VLOOKUP(G55,SINAPI!A:D,4,0),"")</f>
        <v>2487.09</v>
      </c>
      <c r="O55" s="1571">
        <f t="shared" si="10"/>
        <v>0.24379999999999999</v>
      </c>
      <c r="P55" s="41">
        <f t="shared" si="11"/>
        <v>3093.44</v>
      </c>
      <c r="Q55" s="42">
        <f t="shared" ref="Q55" ca="1" si="28">IF(M55="","",ROUND(M55*P55,2))</f>
        <v>0</v>
      </c>
      <c r="R55" s="1444">
        <f t="shared" ca="1" si="7"/>
        <v>0</v>
      </c>
      <c r="S55" s="315"/>
      <c r="T55" s="315"/>
      <c r="U55" s="1146"/>
      <c r="V55" s="1146"/>
    </row>
    <row r="56" spans="1:22" s="2" customFormat="1" ht="15" hidden="1" customHeight="1" outlineLevel="1" x14ac:dyDescent="0.25">
      <c r="A56" s="36">
        <f ca="1">A54</f>
        <v>2</v>
      </c>
      <c r="B56" s="576">
        <f ca="1">IF(M56=0,0,MAX($B$21:B53)+1)</f>
        <v>0</v>
      </c>
      <c r="C56" s="36">
        <f t="shared" ca="1" si="16"/>
        <v>0</v>
      </c>
      <c r="D56" s="515">
        <f t="shared" si="15"/>
        <v>34</v>
      </c>
      <c r="E56" s="35" t="str">
        <f t="shared" ca="1" si="14"/>
        <v>2.0.0</v>
      </c>
      <c r="F56" s="576" t="s">
        <v>2639</v>
      </c>
      <c r="G56" s="36">
        <v>2003451</v>
      </c>
      <c r="H56" s="224" t="str">
        <f t="shared" si="9"/>
        <v>Dissipador de energia - DEB 02 - areia, brita e pedra de mão comerciais</v>
      </c>
      <c r="I56" s="37" t="str">
        <f>IFERROR(VLOOKUP(G56,SINAPI!A:D,2,0),"")</f>
        <v>Dissipador de energia - DEB 02 - areia, brita e pedra de mão comerciais</v>
      </c>
      <c r="J56" s="45" t="s">
        <v>5</v>
      </c>
      <c r="K56" s="46"/>
      <c r="L56" s="41" t="str">
        <f>IFERROR(VLOOKUP(G56,SINAPI!A:D,3,0),"")</f>
        <v>un</v>
      </c>
      <c r="M56" s="41">
        <f ca="1">VLOOKUP(D56,MEMORIA!B:F,$A$3+3)</f>
        <v>0</v>
      </c>
      <c r="N56" s="41">
        <f>IFERROR(VLOOKUP(G56,SINAPI!A:D,4,0),"")</f>
        <v>442.48</v>
      </c>
      <c r="O56" s="1571">
        <f t="shared" si="10"/>
        <v>0.24379999999999999</v>
      </c>
      <c r="P56" s="41">
        <f t="shared" si="11"/>
        <v>550.36</v>
      </c>
      <c r="Q56" s="42">
        <f t="shared" ref="Q56" ca="1" si="29">IF(M56="","",ROUND(M56*P56,2))</f>
        <v>0</v>
      </c>
      <c r="R56" s="1444">
        <f t="shared" ca="1" si="7"/>
        <v>0</v>
      </c>
      <c r="S56" s="315"/>
      <c r="T56" s="315"/>
      <c r="U56" s="668"/>
      <c r="V56" s="668"/>
    </row>
    <row r="57" spans="1:22" s="2" customFormat="1" ht="15" hidden="1" customHeight="1" outlineLevel="1" x14ac:dyDescent="0.25">
      <c r="A57" s="36">
        <f t="shared" ca="1" si="12"/>
        <v>2</v>
      </c>
      <c r="B57" s="576">
        <f ca="1">IF(M57=0,0,MAX($B$21:B54)+1)</f>
        <v>0</v>
      </c>
      <c r="C57" s="36">
        <f t="shared" ca="1" si="16"/>
        <v>0</v>
      </c>
      <c r="D57" s="515">
        <f t="shared" si="15"/>
        <v>35</v>
      </c>
      <c r="E57" s="35" t="str">
        <f t="shared" ca="1" si="14"/>
        <v>2.0.0</v>
      </c>
      <c r="F57" s="576" t="s">
        <v>2639</v>
      </c>
      <c r="G57" s="576">
        <v>2003453</v>
      </c>
      <c r="H57" s="224" t="str">
        <f t="shared" si="9"/>
        <v>Dissipador de energia - DEB 03 - areia, brita e pedra de mão comerciais</v>
      </c>
      <c r="I57" s="37" t="str">
        <f>IFERROR(VLOOKUP(G57,SINAPI!A:D,2,0),"")</f>
        <v>Dissipador de energia - DEB 03 - areia, brita e pedra de mão comerciais</v>
      </c>
      <c r="J57" s="45" t="s">
        <v>5</v>
      </c>
      <c r="K57" s="46"/>
      <c r="L57" s="41" t="str">
        <f>IFERROR(VLOOKUP(G57,SINAPI!A:D,3,0),"")</f>
        <v>un</v>
      </c>
      <c r="M57" s="41">
        <f ca="1">VLOOKUP(D57,MEMORIA!B:F,$A$3+3)</f>
        <v>0</v>
      </c>
      <c r="N57" s="41">
        <f>IFERROR(VLOOKUP(G57,SINAPI!A:D,4,0),"")</f>
        <v>1347.44</v>
      </c>
      <c r="O57" s="1571">
        <f t="shared" si="10"/>
        <v>0.24379999999999999</v>
      </c>
      <c r="P57" s="41">
        <f t="shared" si="11"/>
        <v>1675.95</v>
      </c>
      <c r="Q57" s="42">
        <f t="shared" ca="1" si="21"/>
        <v>0</v>
      </c>
      <c r="R57" s="1444">
        <f t="shared" ca="1" si="7"/>
        <v>0</v>
      </c>
      <c r="S57" s="315"/>
      <c r="T57" s="315"/>
      <c r="U57" s="668"/>
      <c r="V57" s="668"/>
    </row>
    <row r="58" spans="1:22" s="2" customFormat="1" ht="15" hidden="1" customHeight="1" outlineLevel="1" x14ac:dyDescent="0.25">
      <c r="A58" s="36">
        <f t="shared" ca="1" si="12"/>
        <v>2</v>
      </c>
      <c r="B58" s="576">
        <f ca="1">IF(M58=0,0,MAX($B$21:B56)+1)</f>
        <v>0</v>
      </c>
      <c r="C58" s="36">
        <f t="shared" ca="1" si="16"/>
        <v>0</v>
      </c>
      <c r="D58" s="515">
        <f t="shared" si="15"/>
        <v>36</v>
      </c>
      <c r="E58" s="35" t="str">
        <f t="shared" ca="1" si="14"/>
        <v>2.0.0</v>
      </c>
      <c r="F58" s="576" t="s">
        <v>2639</v>
      </c>
      <c r="G58" s="576">
        <v>2003455</v>
      </c>
      <c r="H58" s="224" t="str">
        <f t="shared" si="9"/>
        <v>Dissipador de energia - DEB 04 - areia, brita e pedra de mão comerciais</v>
      </c>
      <c r="I58" s="37" t="str">
        <f>IFERROR(VLOOKUP(G58,SINAPI!A:D,2,0),"")</f>
        <v>Dissipador de energia - DEB 04 - areia, brita e pedra de mão comerciais</v>
      </c>
      <c r="J58" s="45" t="s">
        <v>5</v>
      </c>
      <c r="K58" s="46"/>
      <c r="L58" s="41" t="str">
        <f>IFERROR(VLOOKUP(G58,SINAPI!A:D,3,0),"")</f>
        <v>un</v>
      </c>
      <c r="M58" s="41">
        <f ca="1">VLOOKUP(D58,MEMORIA!B:F,$A$3+3)</f>
        <v>0</v>
      </c>
      <c r="N58" s="41">
        <f>IFERROR(VLOOKUP(G58,SINAPI!A:D,4,0),"")</f>
        <v>1929.87</v>
      </c>
      <c r="O58" s="1571">
        <f t="shared" si="10"/>
        <v>0.24379999999999999</v>
      </c>
      <c r="P58" s="41">
        <f t="shared" si="11"/>
        <v>2400.37</v>
      </c>
      <c r="Q58" s="42">
        <f t="shared" ca="1" si="21"/>
        <v>0</v>
      </c>
      <c r="R58" s="1444">
        <f t="shared" ca="1" si="7"/>
        <v>0</v>
      </c>
      <c r="S58" s="315"/>
      <c r="T58" s="315"/>
      <c r="U58" s="668"/>
      <c r="V58" s="668"/>
    </row>
    <row r="59" spans="1:22" s="2" customFormat="1" ht="15" hidden="1" customHeight="1" outlineLevel="1" x14ac:dyDescent="0.25">
      <c r="A59" s="36">
        <f t="shared" ca="1" si="12"/>
        <v>2</v>
      </c>
      <c r="B59" s="576">
        <f ca="1">IF(M59=0,0,MAX($B$21:B57)+1)</f>
        <v>0</v>
      </c>
      <c r="C59" s="36">
        <f t="shared" ca="1" si="16"/>
        <v>0</v>
      </c>
      <c r="D59" s="515">
        <f t="shared" si="15"/>
        <v>37</v>
      </c>
      <c r="E59" s="35" t="str">
        <f t="shared" ca="1" si="14"/>
        <v>2.0.0</v>
      </c>
      <c r="F59" s="576" t="s">
        <v>2639</v>
      </c>
      <c r="G59" s="576">
        <v>2003457</v>
      </c>
      <c r="H59" s="224" t="str">
        <f t="shared" si="9"/>
        <v>Dissipador de energia - DEB 05 - areia, brita e pedra de mão comerciais</v>
      </c>
      <c r="I59" s="37" t="str">
        <f>IFERROR(VLOOKUP(G59,SINAPI!A:D,2,0),"")</f>
        <v>Dissipador de energia - DEB 05 - areia, brita e pedra de mão comerciais</v>
      </c>
      <c r="J59" s="45" t="s">
        <v>5</v>
      </c>
      <c r="K59" s="46"/>
      <c r="L59" s="41" t="str">
        <f>IFERROR(VLOOKUP(G59,SINAPI!A:D,3,0),"")</f>
        <v>un</v>
      </c>
      <c r="M59" s="41">
        <f ca="1">VLOOKUP(D59,MEMORIA!B:F,$A$3+3)</f>
        <v>0</v>
      </c>
      <c r="N59" s="41">
        <f>IFERROR(VLOOKUP(G59,SINAPI!A:D,4,0),"")</f>
        <v>2607.84</v>
      </c>
      <c r="O59" s="1571">
        <f t="shared" si="10"/>
        <v>0.24379999999999999</v>
      </c>
      <c r="P59" s="41">
        <f t="shared" si="11"/>
        <v>3243.63</v>
      </c>
      <c r="Q59" s="42">
        <f t="shared" ref="Q59:Q72" ca="1" si="30">IF(M59="","",ROUND(M59*P59,2))</f>
        <v>0</v>
      </c>
      <c r="R59" s="1444">
        <f t="shared" ca="1" si="7"/>
        <v>0</v>
      </c>
      <c r="S59" s="315"/>
      <c r="T59" s="315"/>
      <c r="U59" s="668"/>
      <c r="V59" s="668"/>
    </row>
    <row r="60" spans="1:22" s="2" customFormat="1" ht="15" hidden="1" customHeight="1" outlineLevel="1" x14ac:dyDescent="0.25">
      <c r="A60" s="36">
        <f t="shared" ca="1" si="12"/>
        <v>2</v>
      </c>
      <c r="B60" s="576">
        <f ca="1">IF(M60=0,0,MAX($B$21:B58)+1)</f>
        <v>0</v>
      </c>
      <c r="C60" s="36">
        <f t="shared" ref="C60" ca="1" si="31">IF(B60=0,0,1)</f>
        <v>0</v>
      </c>
      <c r="D60" s="515">
        <f t="shared" si="15"/>
        <v>38</v>
      </c>
      <c r="E60" s="35" t="str">
        <f t="shared" ref="E60" ca="1" si="32">CONCATENATE(A60,".",$B$20,".",B60)</f>
        <v>2.0.0</v>
      </c>
      <c r="F60" s="576" t="s">
        <v>2639</v>
      </c>
      <c r="G60" s="576">
        <v>2003459</v>
      </c>
      <c r="H60" s="224" t="str">
        <f t="shared" si="9"/>
        <v>Dissipador de energia - DEB 06 - areia, brita e pedra de mão comerciais</v>
      </c>
      <c r="I60" s="37" t="str">
        <f>IFERROR(VLOOKUP(G60,SINAPI!A:D,2,0),"")</f>
        <v>Dissipador de energia - DEB 06 - areia, brita e pedra de mão comerciais</v>
      </c>
      <c r="J60" s="45" t="s">
        <v>5</v>
      </c>
      <c r="K60" s="46"/>
      <c r="L60" s="41" t="str">
        <f>IFERROR(VLOOKUP(G60,SINAPI!A:D,3,0),"")</f>
        <v>un</v>
      </c>
      <c r="M60" s="41">
        <f ca="1">VLOOKUP(D60,MEMORIA!B:F,$A$3+3)</f>
        <v>0</v>
      </c>
      <c r="N60" s="41">
        <f>IFERROR(VLOOKUP(G60,SINAPI!A:D,4,0),"")</f>
        <v>3338.07</v>
      </c>
      <c r="O60" s="1571">
        <f t="shared" si="10"/>
        <v>0.24379999999999999</v>
      </c>
      <c r="P60" s="41">
        <f t="shared" si="11"/>
        <v>4151.8900000000003</v>
      </c>
      <c r="Q60" s="42">
        <f t="shared" ref="Q60" ca="1" si="33">IF(M60="","",ROUND(M60*P60,2))</f>
        <v>0</v>
      </c>
      <c r="R60" s="1444">
        <f t="shared" ca="1" si="7"/>
        <v>0</v>
      </c>
      <c r="S60" s="315"/>
      <c r="T60" s="315"/>
      <c r="U60" s="1146"/>
      <c r="V60" s="1146"/>
    </row>
    <row r="61" spans="1:22" ht="15" hidden="1" customHeight="1" outlineLevel="1" x14ac:dyDescent="0.25">
      <c r="A61" s="576">
        <f ca="1">A59</f>
        <v>2</v>
      </c>
      <c r="B61" s="576">
        <f ca="1">IF(M61=0,0,MAX($B$21:B58)+1)</f>
        <v>0</v>
      </c>
      <c r="C61" s="576">
        <f t="shared" ca="1" si="16"/>
        <v>0</v>
      </c>
      <c r="D61" s="515">
        <f t="shared" si="15"/>
        <v>39</v>
      </c>
      <c r="E61" s="35" t="str">
        <f t="shared" ca="1" si="14"/>
        <v>2.0.0</v>
      </c>
      <c r="F61" s="576" t="s">
        <v>2639</v>
      </c>
      <c r="G61" s="576">
        <v>4011276</v>
      </c>
      <c r="H61" s="224" t="str">
        <f t="shared" si="9"/>
        <v>Base ou sub-base de brita graduada com brita comercial</v>
      </c>
      <c r="I61" s="577" t="str">
        <f>IFERROR(VLOOKUP(G61,SINAPI!A:D,2,0),"")</f>
        <v>Base ou sub-base de brita graduada com brita comercial</v>
      </c>
      <c r="J61" s="626" t="s">
        <v>5</v>
      </c>
      <c r="K61" s="326" t="s">
        <v>2614</v>
      </c>
      <c r="L61" s="40" t="str">
        <f>IFERROR(VLOOKUP(G61,SINAPI!A:D,3,0),"")</f>
        <v>m³</v>
      </c>
      <c r="M61" s="40">
        <f ca="1">VLOOKUP(D61,MEMORIA!B:F,$A$3+3)</f>
        <v>0</v>
      </c>
      <c r="N61" s="40">
        <f>IFERROR(VLOOKUP(G61,SINAPI!A:D,4,0),"")</f>
        <v>204.16</v>
      </c>
      <c r="O61" s="1571">
        <f t="shared" si="10"/>
        <v>0.24379999999999999</v>
      </c>
      <c r="P61" s="41">
        <f t="shared" si="11"/>
        <v>253.93</v>
      </c>
      <c r="Q61" s="580">
        <f t="shared" ca="1" si="30"/>
        <v>0</v>
      </c>
      <c r="R61" s="1444">
        <f t="shared" ca="1" si="7"/>
        <v>0</v>
      </c>
      <c r="U61" s="668"/>
      <c r="V61" s="668"/>
    </row>
    <row r="62" spans="1:22" ht="15" hidden="1" customHeight="1" outlineLevel="1" x14ac:dyDescent="0.25">
      <c r="A62" s="576">
        <f ca="1">A61</f>
        <v>2</v>
      </c>
      <c r="B62" s="576">
        <f ca="1">IF(M62=0,0,MAX($B$21:B59)+1)</f>
        <v>0</v>
      </c>
      <c r="C62" s="576">
        <f t="shared" ca="1" si="16"/>
        <v>0</v>
      </c>
      <c r="D62" s="1146">
        <f>D61+1</f>
        <v>40</v>
      </c>
      <c r="E62" s="35" t="str">
        <f t="shared" ca="1" si="14"/>
        <v>2.0.0</v>
      </c>
      <c r="F62" s="576" t="s">
        <v>2639</v>
      </c>
      <c r="G62" s="36">
        <v>5914389</v>
      </c>
      <c r="H62" s="224" t="str">
        <f t="shared" si="9"/>
        <v>Transporte com caminhão basculante de 10 m³ - rodovia pavimentada</v>
      </c>
      <c r="I62" s="577" t="str">
        <f>IFERROR(VLOOKUP(G62,SINAPI!A:D,2,0),"")</f>
        <v>Transporte com caminhão basculante de 10 m³ - rodovia pavimentada</v>
      </c>
      <c r="J62" s="626">
        <f>DMT!$H$10</f>
        <v>27.8</v>
      </c>
      <c r="K62" s="326" t="s">
        <v>24</v>
      </c>
      <c r="L62" s="40" t="str">
        <f>IFERROR(VLOOKUP(G62,SINAPI!A:D,3,0),"")</f>
        <v>tkm</v>
      </c>
      <c r="M62" s="40">
        <f ca="1">VLOOKUP(D62,MEMORIA!B:F,$A$3+3)</f>
        <v>0</v>
      </c>
      <c r="N62" s="40">
        <f>IFERROR(VLOOKUP(G62,SINAPI!A:D,4,0),"")</f>
        <v>0.84</v>
      </c>
      <c r="O62" s="1571">
        <f t="shared" si="10"/>
        <v>0.24379999999999999</v>
      </c>
      <c r="P62" s="41">
        <f t="shared" si="11"/>
        <v>1.04</v>
      </c>
      <c r="Q62" s="580">
        <f t="shared" ca="1" si="30"/>
        <v>0</v>
      </c>
      <c r="R62" s="1444">
        <f t="shared" ca="1" si="7"/>
        <v>0</v>
      </c>
      <c r="U62" s="668"/>
      <c r="V62" s="668"/>
    </row>
    <row r="63" spans="1:22" ht="15" hidden="1" customHeight="1" outlineLevel="1" x14ac:dyDescent="0.25">
      <c r="A63" s="576">
        <f t="shared" ca="1" si="12"/>
        <v>2</v>
      </c>
      <c r="B63" s="576">
        <f ca="1">IF(M63=0,0,MAX($B$21:B61)+1)</f>
        <v>0</v>
      </c>
      <c r="C63" s="576">
        <f t="shared" ca="1" si="16"/>
        <v>0</v>
      </c>
      <c r="D63" s="1146">
        <f t="shared" si="15"/>
        <v>41</v>
      </c>
      <c r="E63" s="35" t="str">
        <f t="shared" ca="1" si="14"/>
        <v>2.0.0</v>
      </c>
      <c r="F63" s="1567" t="s">
        <v>2639</v>
      </c>
      <c r="G63" s="1567">
        <v>4011352</v>
      </c>
      <c r="H63" s="224" t="str">
        <f t="shared" si="9"/>
        <v>Imprimação com emulsão asfáltica</v>
      </c>
      <c r="I63" s="577" t="str">
        <f>IFERROR(VLOOKUP(G63,SINAPI!A:D,2,0),"")</f>
        <v>Imprimação com emulsão asfáltica</v>
      </c>
      <c r="J63" s="626"/>
      <c r="K63" s="326" t="s">
        <v>24</v>
      </c>
      <c r="L63" s="40" t="str">
        <f>IFERROR(VLOOKUP(G63,SINAPI!A:D,3,0),"")</f>
        <v>m²</v>
      </c>
      <c r="M63" s="40">
        <f ca="1">VLOOKUP(D63,MEMORIA!B:F,$A$3+3)</f>
        <v>0</v>
      </c>
      <c r="N63" s="40">
        <f>IFERROR(VLOOKUP(G63,SINAPI!A:D,4,0),"")</f>
        <v>0.43</v>
      </c>
      <c r="O63" s="1571">
        <f t="shared" si="10"/>
        <v>0.24379999999999999</v>
      </c>
      <c r="P63" s="41">
        <f t="shared" si="11"/>
        <v>0.53</v>
      </c>
      <c r="Q63" s="580">
        <f t="shared" ca="1" si="30"/>
        <v>0</v>
      </c>
      <c r="R63" s="1444">
        <f t="shared" ca="1" si="7"/>
        <v>0</v>
      </c>
      <c r="U63" s="668"/>
      <c r="V63" s="668"/>
    </row>
    <row r="64" spans="1:22" s="1085" customFormat="1" ht="12" hidden="1" customHeight="1" outlineLevel="1" x14ac:dyDescent="0.25">
      <c r="A64" s="576">
        <f t="shared" ca="1" si="12"/>
        <v>2</v>
      </c>
      <c r="B64" s="576">
        <f ca="1">IF(M64=0,0,MAX($B$21:B62)+1)</f>
        <v>0</v>
      </c>
      <c r="C64" s="576">
        <f t="shared" ref="C64:C65" ca="1" si="34">IF(B64=0,0,1)</f>
        <v>0</v>
      </c>
      <c r="D64" s="1146">
        <f t="shared" si="15"/>
        <v>42</v>
      </c>
      <c r="E64" s="35" t="str">
        <f t="shared" ca="1" si="14"/>
        <v>2.0.0</v>
      </c>
      <c r="F64" s="1567" t="s">
        <v>3188</v>
      </c>
      <c r="G64" s="1567" t="s">
        <v>3176</v>
      </c>
      <c r="H64" s="224" t="str">
        <f t="shared" si="9"/>
        <v>Emulsão asfáltica para serviço de imprimação</v>
      </c>
      <c r="I64" s="577" t="str">
        <f>IFERROR(VLOOKUP(G64,SINAPI!A:D,2,0),"")</f>
        <v>Emulsão asfáltica para serviço de imprimação</v>
      </c>
      <c r="J64" s="637"/>
      <c r="K64" s="985"/>
      <c r="L64" s="40" t="str">
        <f>IFERROR(VLOOKUP(G64,SINAPI!A:D,3,0),"")</f>
        <v>t</v>
      </c>
      <c r="M64" s="40">
        <f ca="1">VLOOKUP(D64,MEMORIA!B:F,$A$3+3)</f>
        <v>0</v>
      </c>
      <c r="N64" s="40">
        <f>IFERROR(VLOOKUP(G64,SINAPI!A:D,4,0),"")</f>
        <v>3625.95</v>
      </c>
      <c r="O64" s="1571">
        <f>$N$9</f>
        <v>0.17</v>
      </c>
      <c r="P64" s="41">
        <f t="shared" si="11"/>
        <v>4242.3599999999997</v>
      </c>
      <c r="Q64" s="580">
        <f t="shared" ref="Q64:Q65" ca="1" si="35">IF(M64="","",ROUND(M64*P64,2))</f>
        <v>0</v>
      </c>
      <c r="R64" s="1444">
        <f t="shared" ca="1" si="7"/>
        <v>0</v>
      </c>
      <c r="S64" s="1084"/>
      <c r="T64" s="1084"/>
      <c r="U64" s="1083"/>
      <c r="V64" s="1083"/>
    </row>
    <row r="65" spans="1:22" s="1085" customFormat="1" ht="12" hidden="1" customHeight="1" outlineLevel="1" x14ac:dyDescent="0.25">
      <c r="A65" s="576">
        <f t="shared" ca="1" si="12"/>
        <v>2</v>
      </c>
      <c r="B65" s="576">
        <f ca="1">IF(M65=0,0,MAX($B$21:B63)+1)</f>
        <v>0</v>
      </c>
      <c r="C65" s="576">
        <f t="shared" ca="1" si="34"/>
        <v>0</v>
      </c>
      <c r="D65" s="1146">
        <f t="shared" si="15"/>
        <v>43</v>
      </c>
      <c r="E65" s="35" t="str">
        <f t="shared" ca="1" si="14"/>
        <v>2.0.0</v>
      </c>
      <c r="F65" s="1567" t="s">
        <v>6483</v>
      </c>
      <c r="G65" s="1567" t="s">
        <v>13702</v>
      </c>
      <c r="H65" s="224" t="str">
        <f t="shared" si="9"/>
        <v>Transporte de Emulsão asfáltica para serviço de imprimação</v>
      </c>
      <c r="I65" s="577" t="str">
        <f>IFERROR(VLOOKUP(G65,SINAPI!A:D,2,0),"")</f>
        <v>Transporte de Emulsão asfáltica para serviço de imprimação</v>
      </c>
      <c r="J65" s="637"/>
      <c r="K65" s="985"/>
      <c r="L65" s="40" t="str">
        <f>IFERROR(VLOOKUP(G65,SINAPI!A:D,3,0),"")</f>
        <v>t</v>
      </c>
      <c r="M65" s="40">
        <f ca="1">VLOOKUP(D65,MEMORIA!B:F,$A$3+3)</f>
        <v>0</v>
      </c>
      <c r="N65" s="40">
        <f>IFERROR(VLOOKUP(G65,SINAPI!A:D,4,0),"")</f>
        <v>291.75</v>
      </c>
      <c r="O65" s="1571">
        <f>$N$9</f>
        <v>0.17</v>
      </c>
      <c r="P65" s="41">
        <f t="shared" si="11"/>
        <v>341.35</v>
      </c>
      <c r="Q65" s="580">
        <f t="shared" ca="1" si="35"/>
        <v>0</v>
      </c>
      <c r="R65" s="1444">
        <f t="shared" ca="1" si="7"/>
        <v>0</v>
      </c>
      <c r="S65" s="1084"/>
      <c r="T65" s="1084"/>
      <c r="U65" s="1083"/>
      <c r="V65" s="1083"/>
    </row>
    <row r="66" spans="1:22" ht="15" hidden="1" customHeight="1" outlineLevel="1" x14ac:dyDescent="0.25">
      <c r="A66" s="576">
        <f ca="1">A63</f>
        <v>2</v>
      </c>
      <c r="B66" s="576">
        <f ca="1">IF(M66=0,0,MAX($B$21:B64)+1)</f>
        <v>0</v>
      </c>
      <c r="C66" s="576">
        <f t="shared" ca="1" si="16"/>
        <v>0</v>
      </c>
      <c r="D66" s="1146">
        <f t="shared" si="15"/>
        <v>44</v>
      </c>
      <c r="E66" s="35" t="str">
        <f t="shared" ca="1" si="14"/>
        <v>2.0.0</v>
      </c>
      <c r="F66" s="1567" t="s">
        <v>2639</v>
      </c>
      <c r="G66" s="1567">
        <v>4011353</v>
      </c>
      <c r="H66" s="224" t="str">
        <f t="shared" si="9"/>
        <v>Pintura de ligação</v>
      </c>
      <c r="I66" s="577" t="str">
        <f>IFERROR(VLOOKUP(G66,SINAPI!A:D,2,0),"")</f>
        <v>Pintura de ligação</v>
      </c>
      <c r="J66" s="626" t="s">
        <v>5</v>
      </c>
      <c r="K66" s="326" t="s">
        <v>24</v>
      </c>
      <c r="L66" s="40" t="str">
        <f>IFERROR(VLOOKUP(G66,SINAPI!A:D,3,0),"")</f>
        <v>m²</v>
      </c>
      <c r="M66" s="40">
        <f ca="1">VLOOKUP(D66,MEMORIA!B:F,$A$3+3)</f>
        <v>0</v>
      </c>
      <c r="N66" s="40">
        <f>IFERROR(VLOOKUP(G66,SINAPI!A:D,4,0),"")</f>
        <v>0.3</v>
      </c>
      <c r="O66" s="1571">
        <f t="shared" si="10"/>
        <v>0.24379999999999999</v>
      </c>
      <c r="P66" s="41">
        <f t="shared" si="11"/>
        <v>0.37</v>
      </c>
      <c r="Q66" s="580">
        <f t="shared" ca="1" si="30"/>
        <v>0</v>
      </c>
      <c r="R66" s="1444">
        <f t="shared" ca="1" si="7"/>
        <v>0</v>
      </c>
      <c r="U66" s="668"/>
      <c r="V66" s="668"/>
    </row>
    <row r="67" spans="1:22" s="1085" customFormat="1" ht="12" hidden="1" customHeight="1" outlineLevel="1" x14ac:dyDescent="0.25">
      <c r="A67" s="576">
        <f t="shared" ref="A67:A68" ca="1" si="36">A64</f>
        <v>2</v>
      </c>
      <c r="B67" s="576">
        <f ca="1">IF(M67=0,0,MAX($B$21:B65)+1)</f>
        <v>0</v>
      </c>
      <c r="C67" s="576">
        <f t="shared" ref="C67:C68" ca="1" si="37">IF(B67=0,0,1)</f>
        <v>0</v>
      </c>
      <c r="D67" s="1146">
        <f t="shared" si="15"/>
        <v>45</v>
      </c>
      <c r="E67" s="35" t="str">
        <f t="shared" ca="1" si="14"/>
        <v>2.0.0</v>
      </c>
      <c r="F67" s="1567" t="s">
        <v>3188</v>
      </c>
      <c r="G67" s="1567" t="s">
        <v>6481</v>
      </c>
      <c r="H67" s="224" t="str">
        <f t="shared" si="9"/>
        <v>Emulsões asfálticas RR-1C</v>
      </c>
      <c r="I67" s="577" t="str">
        <f>IFERROR(VLOOKUP(G67,SINAPI!A:D,2,0),"")</f>
        <v>Emulsões asfálticas RR-1C</v>
      </c>
      <c r="J67" s="637"/>
      <c r="K67" s="985"/>
      <c r="L67" s="40" t="str">
        <f>IFERROR(VLOOKUP(G67,SINAPI!A:D,3,0),"")</f>
        <v>t</v>
      </c>
      <c r="M67" s="40">
        <f ca="1">VLOOKUP(D67,MEMORIA!B:F,$A$3+3)</f>
        <v>0</v>
      </c>
      <c r="N67" s="40">
        <f>IFERROR(VLOOKUP(G67,SINAPI!A:D,4,0),"")</f>
        <v>3291.71</v>
      </c>
      <c r="O67" s="1571">
        <f t="shared" ref="O67:O68" si="38">$N$9</f>
        <v>0.17</v>
      </c>
      <c r="P67" s="41">
        <f t="shared" si="11"/>
        <v>3851.3</v>
      </c>
      <c r="Q67" s="580">
        <f t="shared" ca="1" si="30"/>
        <v>0</v>
      </c>
      <c r="R67" s="1444">
        <f t="shared" ca="1" si="7"/>
        <v>0</v>
      </c>
      <c r="S67" s="1084"/>
      <c r="T67" s="1084"/>
      <c r="U67" s="1083"/>
      <c r="V67" s="1083"/>
    </row>
    <row r="68" spans="1:22" s="1085" customFormat="1" ht="12" hidden="1" customHeight="1" outlineLevel="1" x14ac:dyDescent="0.25">
      <c r="A68" s="576">
        <f t="shared" ca="1" si="36"/>
        <v>2</v>
      </c>
      <c r="B68" s="576">
        <f ca="1">IF(M68=0,0,MAX($B$21:B66)+1)</f>
        <v>0</v>
      </c>
      <c r="C68" s="576">
        <f t="shared" ca="1" si="37"/>
        <v>0</v>
      </c>
      <c r="D68" s="1146">
        <f t="shared" si="15"/>
        <v>46</v>
      </c>
      <c r="E68" s="35" t="str">
        <f t="shared" ca="1" si="14"/>
        <v>2.0.0</v>
      </c>
      <c r="F68" s="1567" t="s">
        <v>6483</v>
      </c>
      <c r="G68" s="1567" t="s">
        <v>13710</v>
      </c>
      <c r="H68" s="224" t="str">
        <f t="shared" si="9"/>
        <v>Transporte de Emulsões asfálticas RR-1C</v>
      </c>
      <c r="I68" s="577" t="str">
        <f>IFERROR(VLOOKUP(G68,SINAPI!A:D,2,0),"")</f>
        <v>Transporte de Emulsões asfálticas RR-1C</v>
      </c>
      <c r="J68" s="637"/>
      <c r="K68" s="985"/>
      <c r="L68" s="40" t="str">
        <f>IFERROR(VLOOKUP(G68,SINAPI!A:D,3,0),"")</f>
        <v>t</v>
      </c>
      <c r="M68" s="40">
        <f ca="1">VLOOKUP(D68,MEMORIA!B:F,$A$3+3)</f>
        <v>0</v>
      </c>
      <c r="N68" s="40">
        <f>IFERROR(VLOOKUP(G68,SINAPI!A:D,4,0),"")</f>
        <v>291.75</v>
      </c>
      <c r="O68" s="1571">
        <f t="shared" si="38"/>
        <v>0.17</v>
      </c>
      <c r="P68" s="41">
        <f t="shared" si="11"/>
        <v>341.35</v>
      </c>
      <c r="Q68" s="580">
        <f t="shared" ca="1" si="30"/>
        <v>0</v>
      </c>
      <c r="R68" s="1444">
        <f t="shared" ca="1" si="7"/>
        <v>0</v>
      </c>
      <c r="S68" s="1084"/>
      <c r="T68" s="1084"/>
      <c r="U68" s="1083"/>
      <c r="V68" s="1083"/>
    </row>
    <row r="69" spans="1:22" ht="15" hidden="1" customHeight="1" outlineLevel="1" x14ac:dyDescent="0.25">
      <c r="A69" s="576">
        <f ca="1">A66</f>
        <v>2</v>
      </c>
      <c r="B69" s="576">
        <f ca="1">IF(M69=0,0,MAX($B$21:B67)+1)</f>
        <v>0</v>
      </c>
      <c r="C69" s="576">
        <f t="shared" ca="1" si="16"/>
        <v>0</v>
      </c>
      <c r="D69" s="1146">
        <f t="shared" si="15"/>
        <v>47</v>
      </c>
      <c r="E69" s="35" t="str">
        <f t="shared" ca="1" si="14"/>
        <v>2.0.0</v>
      </c>
      <c r="F69" s="1552" t="s">
        <v>2639</v>
      </c>
      <c r="G69" s="1567">
        <v>4011459</v>
      </c>
      <c r="H69" s="224" t="str">
        <f t="shared" si="9"/>
        <v>Concreto asfáltico - faixa B - areia e brita comerciais</v>
      </c>
      <c r="I69" s="577" t="str">
        <f>IFERROR(VLOOKUP(G69,SINAPI!A:D,2,0),"")</f>
        <v>Concreto asfáltico - faixa B - areia e brita comerciais</v>
      </c>
      <c r="J69" s="626"/>
      <c r="K69" s="326" t="s">
        <v>2615</v>
      </c>
      <c r="L69" s="40" t="str">
        <f>IFERROR(VLOOKUP(G69,SINAPI!A:D,3,0),"")</f>
        <v>t</v>
      </c>
      <c r="M69" s="40">
        <f ca="1">VLOOKUP(D69,MEMORIA!B:F,$A$3+3)</f>
        <v>0</v>
      </c>
      <c r="N69" s="40">
        <f>IFERROR(VLOOKUP(G69,SINAPI!A:D,4,0),"")</f>
        <v>200.9</v>
      </c>
      <c r="O69" s="1571">
        <f t="shared" si="10"/>
        <v>0.24379999999999999</v>
      </c>
      <c r="P69" s="41">
        <f t="shared" si="11"/>
        <v>249.88</v>
      </c>
      <c r="Q69" s="580">
        <f t="shared" ca="1" si="30"/>
        <v>0</v>
      </c>
      <c r="R69" s="1444">
        <f t="shared" ca="1" si="7"/>
        <v>0</v>
      </c>
      <c r="U69" s="668"/>
      <c r="V69" s="668"/>
    </row>
    <row r="70" spans="1:22" ht="15" hidden="1" customHeight="1" outlineLevel="1" x14ac:dyDescent="0.25">
      <c r="A70" s="576">
        <f ca="1">A69</f>
        <v>2</v>
      </c>
      <c r="B70" s="576">
        <f ca="1">IF(M70=0,0,MAX($B$21:B68)+1)</f>
        <v>0</v>
      </c>
      <c r="C70" s="576">
        <f t="shared" ca="1" si="16"/>
        <v>0</v>
      </c>
      <c r="D70" s="1146">
        <f t="shared" si="15"/>
        <v>48</v>
      </c>
      <c r="E70" s="35" t="str">
        <f t="shared" ca="1" si="14"/>
        <v>2.0.0</v>
      </c>
      <c r="F70" s="1567" t="s">
        <v>2639</v>
      </c>
      <c r="G70" s="1567">
        <v>5914389</v>
      </c>
      <c r="H70" s="224" t="str">
        <f t="shared" si="9"/>
        <v>Transporte com caminhão basculante de 10 m³ - rodovia pavimentada</v>
      </c>
      <c r="I70" s="577" t="str">
        <f>IFERROR(VLOOKUP(G70,SINAPI!A:D,2,0),"")</f>
        <v>Transporte com caminhão basculante de 10 m³ - rodovia pavimentada</v>
      </c>
      <c r="J70" s="626">
        <f>DMT!$G$10</f>
        <v>25.9</v>
      </c>
      <c r="K70" s="326" t="s">
        <v>24</v>
      </c>
      <c r="L70" s="40" t="str">
        <f>IFERROR(VLOOKUP(G70,SINAPI!A:D,3,0),"")</f>
        <v>tkm</v>
      </c>
      <c r="M70" s="40">
        <f ca="1">VLOOKUP(D70,MEMORIA!B:F,$A$3+3)</f>
        <v>0</v>
      </c>
      <c r="N70" s="40">
        <f>IFERROR(VLOOKUP(G70,SINAPI!A:D,4,0),"")</f>
        <v>0.84</v>
      </c>
      <c r="O70" s="1571">
        <f t="shared" si="10"/>
        <v>0.24379999999999999</v>
      </c>
      <c r="P70" s="41">
        <f t="shared" si="11"/>
        <v>1.04</v>
      </c>
      <c r="Q70" s="580">
        <f t="shared" ca="1" si="30"/>
        <v>0</v>
      </c>
      <c r="R70" s="1444">
        <f t="shared" ca="1" si="7"/>
        <v>0</v>
      </c>
      <c r="U70" s="668"/>
      <c r="V70" s="668"/>
    </row>
    <row r="71" spans="1:22" ht="15" hidden="1" customHeight="1" outlineLevel="1" x14ac:dyDescent="0.25">
      <c r="A71" s="576">
        <f t="shared" ca="1" si="12"/>
        <v>2</v>
      </c>
      <c r="B71" s="576">
        <f ca="1">IF(M71=0,0,MAX($B$21:B69)+1)</f>
        <v>0</v>
      </c>
      <c r="C71" s="576">
        <f t="shared" ca="1" si="16"/>
        <v>0</v>
      </c>
      <c r="D71" s="1146">
        <f t="shared" si="15"/>
        <v>49</v>
      </c>
      <c r="E71" s="35" t="str">
        <f t="shared" ca="1" si="14"/>
        <v>2.0.0</v>
      </c>
      <c r="F71" s="1567" t="s">
        <v>3188</v>
      </c>
      <c r="G71" s="1567" t="s">
        <v>6039</v>
      </c>
      <c r="H71" s="224" t="str">
        <f t="shared" si="9"/>
        <v>Cimentos asfálticos CAP-50-70</v>
      </c>
      <c r="I71" s="577" t="str">
        <f>IFERROR(VLOOKUP(G71,SINAPI!A:D,2,0),"")</f>
        <v>Cimentos asfálticos CAP-50-70</v>
      </c>
      <c r="J71" s="626"/>
      <c r="K71" s="326" t="s">
        <v>24</v>
      </c>
      <c r="L71" s="40" t="str">
        <f>IFERROR(VLOOKUP(G71,SINAPI!A:D,3,0),"")</f>
        <v>t</v>
      </c>
      <c r="M71" s="40">
        <f ca="1">VLOOKUP(D71,MEMORIA!B:F,$A$3+3)</f>
        <v>0</v>
      </c>
      <c r="N71" s="40">
        <f>IFERROR(VLOOKUP(G71,SINAPI!A:D,4,0),"")</f>
        <v>4568.07</v>
      </c>
      <c r="O71" s="1571">
        <f t="shared" ref="O71:O72" si="39">$N$9</f>
        <v>0.17</v>
      </c>
      <c r="P71" s="41">
        <f t="shared" si="11"/>
        <v>5344.64</v>
      </c>
      <c r="Q71" s="580">
        <f t="shared" ca="1" si="30"/>
        <v>0</v>
      </c>
      <c r="R71" s="1444">
        <f t="shared" ca="1" si="7"/>
        <v>0</v>
      </c>
      <c r="U71" s="668"/>
      <c r="V71" s="668"/>
    </row>
    <row r="72" spans="1:22" ht="15" hidden="1" customHeight="1" outlineLevel="1" x14ac:dyDescent="0.25">
      <c r="A72" s="576">
        <f t="shared" ca="1" si="12"/>
        <v>2</v>
      </c>
      <c r="B72" s="576">
        <f ca="1">IF(M72=0,0,MAX($B$21:B70)+1)</f>
        <v>0</v>
      </c>
      <c r="C72" s="576">
        <f t="shared" ca="1" si="16"/>
        <v>0</v>
      </c>
      <c r="D72" s="1146">
        <f t="shared" si="15"/>
        <v>50</v>
      </c>
      <c r="E72" s="35" t="str">
        <f t="shared" ca="1" si="14"/>
        <v>2.0.0</v>
      </c>
      <c r="F72" s="1567" t="s">
        <v>6483</v>
      </c>
      <c r="G72" s="1567" t="s">
        <v>13700</v>
      </c>
      <c r="H72" s="224" t="str">
        <f t="shared" si="9"/>
        <v>Transporte de Cimentos asfálticos CAP-50-70</v>
      </c>
      <c r="I72" s="577" t="str">
        <f>IFERROR(VLOOKUP(G72,SINAPI!A:D,2,0),"")</f>
        <v>Transporte de Cimentos asfálticos CAP-50-70</v>
      </c>
      <c r="J72" s="626">
        <f>DMT!K10</f>
        <v>374.8</v>
      </c>
      <c r="K72" s="326" t="s">
        <v>24</v>
      </c>
      <c r="L72" s="40" t="str">
        <f>IFERROR(VLOOKUP(G72,SINAPI!A:D,3,0),"")</f>
        <v>t</v>
      </c>
      <c r="M72" s="40">
        <f ca="1">VLOOKUP(D72,MEMORIA!B:F,$A$3+3)</f>
        <v>0</v>
      </c>
      <c r="N72" s="40">
        <f>IFERROR(VLOOKUP(G72,SINAPI!A:D,4,0),"")</f>
        <v>291.75</v>
      </c>
      <c r="O72" s="1571">
        <f t="shared" si="39"/>
        <v>0.17</v>
      </c>
      <c r="P72" s="41">
        <f t="shared" si="11"/>
        <v>341.35</v>
      </c>
      <c r="Q72" s="580">
        <f t="shared" ca="1" si="30"/>
        <v>0</v>
      </c>
      <c r="R72" s="1444">
        <f t="shared" ca="1" si="7"/>
        <v>0</v>
      </c>
      <c r="U72" s="668"/>
      <c r="V72" s="668"/>
    </row>
    <row r="73" spans="1:22" s="2" customFormat="1" ht="15" hidden="1" customHeight="1" outlineLevel="1" x14ac:dyDescent="0.25">
      <c r="A73" s="36">
        <f t="shared" ca="1" si="12"/>
        <v>2</v>
      </c>
      <c r="B73" s="576">
        <f>IF(M73=0,0,MAX($B$21:B71)+1)</f>
        <v>0</v>
      </c>
      <c r="C73" s="36">
        <f t="shared" ref="C73:C77" si="40">IF(B73=0,0,1)</f>
        <v>0</v>
      </c>
      <c r="D73" s="420">
        <f>D75+1</f>
        <v>52</v>
      </c>
      <c r="E73" s="35" t="str">
        <f t="shared" ca="1" si="14"/>
        <v>2.0.0</v>
      </c>
      <c r="F73" s="36" t="str">
        <f>F21</f>
        <v>SICRO</v>
      </c>
      <c r="G73" s="36">
        <f>G21</f>
        <v>4805762</v>
      </c>
      <c r="H73" s="224" t="str">
        <f t="shared" si="9"/>
        <v>Escavação mecânica de vala em material de 2ª categoria</v>
      </c>
      <c r="I73" s="577" t="str">
        <f>IFERROR(VLOOKUP(G73,SINAPI!A:D,2,0),"")</f>
        <v>Escavação mecânica de vala em material de 2ª categoria</v>
      </c>
      <c r="J73" s="45"/>
      <c r="K73" s="46" t="s">
        <v>2913</v>
      </c>
      <c r="L73" s="41" t="str">
        <f>IFERROR(VLOOKUP(G73,SINAPI!A:D,3,0),"")</f>
        <v>m³</v>
      </c>
      <c r="M73" s="41">
        <f>VLOOKUP(D73,MEMORIA!B:F,$A$3+3)</f>
        <v>0</v>
      </c>
      <c r="N73" s="41">
        <f>IFERROR(VLOOKUP(G73,SINAPI!A:D,4,0),"")</f>
        <v>8.91</v>
      </c>
      <c r="O73" s="1571">
        <f t="shared" si="10"/>
        <v>0.24379999999999999</v>
      </c>
      <c r="P73" s="41">
        <f t="shared" si="11"/>
        <v>11.08</v>
      </c>
      <c r="Q73" s="42">
        <f t="shared" ref="Q73:Q74" si="41">IF(M73="","",ROUND(M73*P73,2))</f>
        <v>0</v>
      </c>
      <c r="R73" s="1444">
        <f t="shared" si="7"/>
        <v>0</v>
      </c>
      <c r="S73" s="315"/>
      <c r="T73" s="315"/>
      <c r="U73" s="668"/>
      <c r="V73" s="668"/>
    </row>
    <row r="74" spans="1:22" s="2" customFormat="1" ht="12.75" hidden="1" outlineLevel="1" x14ac:dyDescent="0.25">
      <c r="A74" s="36">
        <f t="shared" ca="1" si="12"/>
        <v>2</v>
      </c>
      <c r="B74" s="576">
        <f>IF(M74=0,0,MAX($B$21:B72)+1)</f>
        <v>0</v>
      </c>
      <c r="C74" s="36">
        <f t="shared" si="40"/>
        <v>0</v>
      </c>
      <c r="D74" s="420">
        <f>D73+1</f>
        <v>53</v>
      </c>
      <c r="E74" s="35" t="str">
        <f t="shared" ca="1" si="14"/>
        <v>2.0.0</v>
      </c>
      <c r="F74" s="36" t="str">
        <f>F22</f>
        <v>SICRO</v>
      </c>
      <c r="G74" s="36">
        <f>G22</f>
        <v>4805765</v>
      </c>
      <c r="H74" s="224" t="str">
        <f t="shared" si="9"/>
        <v>Escavação de vala em material de 3ª categoria</v>
      </c>
      <c r="I74" s="577" t="str">
        <f>IFERROR(VLOOKUP(G74,SINAPI!A:D,2,0),"")</f>
        <v>Escavação de vala em material de 3ª categoria</v>
      </c>
      <c r="J74" s="45"/>
      <c r="K74" s="46" t="str">
        <f>K73</f>
        <v>Drenos</v>
      </c>
      <c r="L74" s="41" t="str">
        <f>IFERROR(VLOOKUP(G74,SINAPI!A:D,3,0),"")</f>
        <v>m³</v>
      </c>
      <c r="M74" s="41">
        <f>VLOOKUP(D74,MEMORIA!B:F,$A$3+3)</f>
        <v>0</v>
      </c>
      <c r="N74" s="41">
        <f>IFERROR(VLOOKUP(G74,SINAPI!A:D,4,0),"")</f>
        <v>185.47</v>
      </c>
      <c r="O74" s="1571">
        <f t="shared" si="10"/>
        <v>0.24379999999999999</v>
      </c>
      <c r="P74" s="41">
        <f t="shared" si="11"/>
        <v>230.69</v>
      </c>
      <c r="Q74" s="42">
        <f t="shared" si="41"/>
        <v>0</v>
      </c>
      <c r="R74" s="1444">
        <f t="shared" si="7"/>
        <v>0</v>
      </c>
      <c r="S74" s="315"/>
      <c r="T74" s="315"/>
      <c r="U74" s="668"/>
      <c r="V74" s="668"/>
    </row>
    <row r="75" spans="1:22" s="2" customFormat="1" ht="12" hidden="1" customHeight="1" outlineLevel="1" x14ac:dyDescent="0.25">
      <c r="A75" s="36">
        <f t="shared" ca="1" si="12"/>
        <v>2</v>
      </c>
      <c r="B75" s="576">
        <f>IF(M75=0,0,MAX($B$21:B73)+1)</f>
        <v>0</v>
      </c>
      <c r="C75" s="36">
        <f t="shared" si="40"/>
        <v>0</v>
      </c>
      <c r="D75" s="420">
        <f>D72+1</f>
        <v>51</v>
      </c>
      <c r="E75" s="35" t="str">
        <f t="shared" ca="1" si="14"/>
        <v>2.0.0</v>
      </c>
      <c r="F75" s="36" t="str">
        <f>F23</f>
        <v>SICRO</v>
      </c>
      <c r="G75" s="36">
        <v>2003579</v>
      </c>
      <c r="H75" s="224" t="str">
        <f t="shared" si="9"/>
        <v>Dreno longitudinal profundo para corte em solo - DPS 08 - tubo PEAD e brita comercial</v>
      </c>
      <c r="I75" s="577" t="str">
        <f>IFERROR(VLOOKUP(G75,SINAPI!A:D,2,0),"")</f>
        <v>Dreno longitudinal profundo para corte em solo - DPS 08 - tubo PEAD e brita comercial</v>
      </c>
      <c r="J75" s="626" t="s">
        <v>5</v>
      </c>
      <c r="K75" s="985" t="s">
        <v>2913</v>
      </c>
      <c r="L75" s="40" t="str">
        <f>IFERROR(VLOOKUP(G75,SINAPI!A:D,3,0),"")</f>
        <v>m</v>
      </c>
      <c r="M75" s="41">
        <f>VLOOKUP(D75,MEMORIA!B:F,$A$3+3)</f>
        <v>0</v>
      </c>
      <c r="N75" s="41">
        <f>IFERROR(VLOOKUP(G75,SINAPI!A:D,4,0),"")</f>
        <v>172.93</v>
      </c>
      <c r="O75" s="1571">
        <f t="shared" si="10"/>
        <v>0.24379999999999999</v>
      </c>
      <c r="P75" s="41">
        <f t="shared" si="11"/>
        <v>215.09</v>
      </c>
      <c r="Q75" s="42">
        <f>IF(M75="","",ROUND(M75*P75,2))</f>
        <v>0</v>
      </c>
      <c r="R75" s="1444">
        <f t="shared" si="7"/>
        <v>0</v>
      </c>
      <c r="S75" s="315"/>
      <c r="T75" s="315"/>
      <c r="U75" s="668"/>
      <c r="V75" s="668"/>
    </row>
    <row r="76" spans="1:22" s="1085" customFormat="1" ht="12" hidden="1" customHeight="1" outlineLevel="1" x14ac:dyDescent="0.25">
      <c r="A76" s="36">
        <f t="shared" ca="1" si="12"/>
        <v>2</v>
      </c>
      <c r="B76" s="576">
        <f>IF(M76=0,0,MAX($B$21:B74)+1)</f>
        <v>0</v>
      </c>
      <c r="C76" s="36">
        <f t="shared" ref="C76" si="42">IF(B76=0,0,1)</f>
        <v>0</v>
      </c>
      <c r="D76" s="1096">
        <f>D74+1</f>
        <v>54</v>
      </c>
      <c r="E76" s="35" t="str">
        <f t="shared" ca="1" si="14"/>
        <v>2.0.0</v>
      </c>
      <c r="F76" s="576" t="s">
        <v>2639</v>
      </c>
      <c r="G76" s="576">
        <v>5914389</v>
      </c>
      <c r="H76" s="224" t="str">
        <f t="shared" si="9"/>
        <v>Transporte com caminhão basculante de 10 m³ - rodovia pavimentada</v>
      </c>
      <c r="I76" s="37" t="str">
        <f>IFERROR(VLOOKUP(G76,SINAPI!A:D,2,0),"")</f>
        <v>Transporte com caminhão basculante de 10 m³ - rodovia pavimentada</v>
      </c>
      <c r="J76" s="626">
        <f>DMT!H10</f>
        <v>27.8</v>
      </c>
      <c r="K76" s="985" t="s">
        <v>2913</v>
      </c>
      <c r="L76" s="40" t="str">
        <f>IFERROR(VLOOKUP(G76,SINAPI!A:D,3,0),"")</f>
        <v>tkm</v>
      </c>
      <c r="M76" s="41">
        <f>VLOOKUP(D76,MEMORIA!B:F,$A$3+3)</f>
        <v>0</v>
      </c>
      <c r="N76" s="41">
        <f>IFERROR(VLOOKUP(G76,SINAPI!A:D,4,0),"")</f>
        <v>0.84</v>
      </c>
      <c r="O76" s="1571">
        <f t="shared" si="10"/>
        <v>0.24379999999999999</v>
      </c>
      <c r="P76" s="41">
        <f t="shared" si="11"/>
        <v>1.04</v>
      </c>
      <c r="Q76" s="42">
        <f>IF(M76="","",ROUND(M76*P76,2))</f>
        <v>0</v>
      </c>
      <c r="R76" s="1444">
        <f t="shared" si="7"/>
        <v>0</v>
      </c>
      <c r="S76" s="1084"/>
      <c r="T76" s="1084"/>
      <c r="U76" s="1083"/>
      <c r="V76" s="1083"/>
    </row>
    <row r="77" spans="1:22" s="2" customFormat="1" ht="12" hidden="1" customHeight="1" outlineLevel="1" x14ac:dyDescent="0.25">
      <c r="A77" s="36">
        <f ca="1">A75</f>
        <v>2</v>
      </c>
      <c r="B77" s="576">
        <f>IF(M77=0,0,MAX($B$21:B75)+1)</f>
        <v>0</v>
      </c>
      <c r="C77" s="36">
        <f t="shared" si="40"/>
        <v>0</v>
      </c>
      <c r="D77" s="839">
        <f>D76+1</f>
        <v>55</v>
      </c>
      <c r="E77" s="35" t="str">
        <f t="shared" ca="1" si="14"/>
        <v>2.0.0</v>
      </c>
      <c r="F77" s="36" t="s">
        <v>2639</v>
      </c>
      <c r="G77" s="36">
        <v>2003319</v>
      </c>
      <c r="H77" s="224" t="str">
        <f t="shared" si="9"/>
        <v>Sarjeta triangular de concreto - STC 01 - escavação mecânica - areia e brita comerciais</v>
      </c>
      <c r="I77" s="37" t="str">
        <f>IFERROR(VLOOKUP(G77,SINAPI!A:D,2,0),"")</f>
        <v>Sarjeta triangular de concreto - STC 01 - escavação mecânica - areia e brita comerciais</v>
      </c>
      <c r="J77" s="45"/>
      <c r="K77" s="46"/>
      <c r="L77" s="41" t="str">
        <f>IFERROR(VLOOKUP(G77,SINAPI!A:D,3,0),"")</f>
        <v>m</v>
      </c>
      <c r="M77" s="41">
        <f>VLOOKUP(D77,MEMORIA!B:F,$A$3+3)</f>
        <v>0</v>
      </c>
      <c r="N77" s="41">
        <f>IFERROR(VLOOKUP(G77,SINAPI!A:D,4,0),"")</f>
        <v>78.14</v>
      </c>
      <c r="O77" s="1571">
        <f t="shared" si="10"/>
        <v>0.24379999999999999</v>
      </c>
      <c r="P77" s="41">
        <f t="shared" si="11"/>
        <v>97.19</v>
      </c>
      <c r="Q77" s="42">
        <f t="shared" ref="Q77:Q78" si="43">IF(M77="","",ROUND(M77*P77,2))</f>
        <v>0</v>
      </c>
      <c r="R77" s="1444">
        <f t="shared" si="7"/>
        <v>0</v>
      </c>
      <c r="S77" s="315"/>
      <c r="T77" s="315"/>
      <c r="U77" s="839"/>
      <c r="V77" s="839"/>
    </row>
    <row r="78" spans="1:22" s="2" customFormat="1" ht="12" hidden="1" customHeight="1" outlineLevel="1" x14ac:dyDescent="0.25">
      <c r="A78" s="36">
        <f ca="1">A77</f>
        <v>2</v>
      </c>
      <c r="B78" s="576">
        <f>IF(M78=0,0,MAX($B$21:B76)+1)</f>
        <v>0</v>
      </c>
      <c r="C78" s="36">
        <f t="shared" ref="C78" si="44">IF(B78=0,0,1)</f>
        <v>0</v>
      </c>
      <c r="D78" s="839">
        <f>D77+1</f>
        <v>56</v>
      </c>
      <c r="E78" s="35" t="str">
        <f t="shared" ca="1" si="14"/>
        <v>2.0.0</v>
      </c>
      <c r="F78" s="36" t="s">
        <v>2639</v>
      </c>
      <c r="G78" s="36">
        <v>2003325</v>
      </c>
      <c r="H78" s="224" t="str">
        <f t="shared" si="9"/>
        <v>Sarjeta triangular de concreto - STC 04 - escavação mecânica - areia e brita comerciais</v>
      </c>
      <c r="I78" s="37" t="str">
        <f>IFERROR(VLOOKUP(G78,SINAPI!A:D,2,0),"")</f>
        <v>Sarjeta triangular de concreto - STC 04 - escavação mecânica - areia e brita comerciais</v>
      </c>
      <c r="J78" s="45"/>
      <c r="K78" s="46"/>
      <c r="L78" s="41" t="str">
        <f>IFERROR(VLOOKUP(G78,SINAPI!A:D,3,0),"")</f>
        <v>m</v>
      </c>
      <c r="M78" s="41">
        <f>VLOOKUP(D78,MEMORIA!B:F,$A$3+3)</f>
        <v>0</v>
      </c>
      <c r="N78" s="41">
        <f>IFERROR(VLOOKUP(G78,SINAPI!A:D,4,0),"")</f>
        <v>48.61</v>
      </c>
      <c r="O78" s="1571">
        <f t="shared" si="10"/>
        <v>0.24379999999999999</v>
      </c>
      <c r="P78" s="41">
        <f t="shared" si="11"/>
        <v>60.46</v>
      </c>
      <c r="Q78" s="42">
        <f t="shared" si="43"/>
        <v>0</v>
      </c>
      <c r="R78" s="1444">
        <f t="shared" si="7"/>
        <v>0</v>
      </c>
      <c r="S78" s="315"/>
      <c r="T78" s="315"/>
      <c r="U78" s="839"/>
      <c r="V78" s="839"/>
    </row>
    <row r="79" spans="1:22" ht="15" hidden="1" customHeight="1" outlineLevel="1" x14ac:dyDescent="0.25">
      <c r="A79" s="576">
        <f ca="1">A77</f>
        <v>2</v>
      </c>
      <c r="B79" s="576">
        <f>IF(M79=0,0,MAX($B$21:B77)+1)</f>
        <v>0</v>
      </c>
      <c r="C79" s="576">
        <f t="shared" ref="C79" si="45">IF(B79=0,0,1)</f>
        <v>0</v>
      </c>
      <c r="D79" s="515">
        <f>D78+1</f>
        <v>57</v>
      </c>
      <c r="E79" s="35" t="str">
        <f t="shared" ca="1" si="14"/>
        <v>2.0.0</v>
      </c>
      <c r="F79" s="576" t="s">
        <v>2639</v>
      </c>
      <c r="G79" s="576">
        <v>1600404</v>
      </c>
      <c r="H79" s="224" t="str">
        <f t="shared" si="9"/>
        <v>Remoção de tubos de concreto com diâmetro de 0,40 m a 1,00 m em valas e bueiros</v>
      </c>
      <c r="I79" s="37" t="str">
        <f>IFERROR(VLOOKUP(G79,SINAPI!A:D,2,0),"")</f>
        <v>Remoção de tubos de concreto com diâmetro de 0,40 m a 1,00 m em valas e bueiros</v>
      </c>
      <c r="J79" s="626"/>
      <c r="K79" s="326"/>
      <c r="L79" s="40" t="str">
        <f>IFERROR(VLOOKUP(G79,SINAPI!A:D,3,0),"")</f>
        <v>m</v>
      </c>
      <c r="M79" s="40">
        <f>VLOOKUP(D79,MEMORIA!B:F,$A$3+3)</f>
        <v>0</v>
      </c>
      <c r="N79" s="40">
        <f>IFERROR(VLOOKUP(G79,SINAPI!A:D,4,0),"")</f>
        <v>10.46</v>
      </c>
      <c r="O79" s="1571">
        <f t="shared" si="10"/>
        <v>0.24379999999999999</v>
      </c>
      <c r="P79" s="41">
        <f t="shared" si="11"/>
        <v>13.01</v>
      </c>
      <c r="Q79" s="580">
        <f t="shared" ref="Q79" si="46">IF(M79="","",ROUND(M79*P79,2))</f>
        <v>0</v>
      </c>
      <c r="R79" s="1444">
        <f t="shared" si="7"/>
        <v>0</v>
      </c>
      <c r="U79" s="668"/>
      <c r="V79" s="668"/>
    </row>
    <row r="80" spans="1:22" ht="15" hidden="1" customHeight="1" outlineLevel="1" x14ac:dyDescent="0.25">
      <c r="A80" s="733"/>
      <c r="B80" s="733"/>
      <c r="C80" s="733">
        <f ca="1">C20</f>
        <v>0</v>
      </c>
      <c r="E80" s="739" t="s">
        <v>3890</v>
      </c>
      <c r="F80" s="740"/>
      <c r="G80" s="740"/>
      <c r="H80" s="740"/>
      <c r="I80" s="740"/>
      <c r="J80" s="740"/>
      <c r="K80" s="740"/>
      <c r="L80" s="740"/>
      <c r="M80" s="740"/>
      <c r="N80" s="741"/>
      <c r="O80" s="741"/>
      <c r="P80" s="438"/>
      <c r="Q80" s="742">
        <f ca="1">SUM(Q21:Q79)</f>
        <v>0</v>
      </c>
      <c r="R80" s="1444"/>
      <c r="U80" s="849"/>
      <c r="V80" s="849"/>
    </row>
    <row r="81" spans="1:22" ht="15" customHeight="1" outlineLevel="1" x14ac:dyDescent="0.25">
      <c r="A81" s="617">
        <f ca="1">A79</f>
        <v>2</v>
      </c>
      <c r="B81" s="617">
        <f ca="1">IF(C81=1,B20+1,B20)</f>
        <v>1</v>
      </c>
      <c r="C81" s="617">
        <f>IF(SUBTOTAL(9,C82:C176)&gt;0,1,0)</f>
        <v>1</v>
      </c>
      <c r="E81" s="618" t="str">
        <f ca="1">CONCATENATE(A81,".",B81)</f>
        <v>2.1</v>
      </c>
      <c r="F81" s="627"/>
      <c r="G81" s="627" t="s">
        <v>5148</v>
      </c>
      <c r="H81" s="627"/>
      <c r="I81" s="44"/>
      <c r="J81" s="628"/>
      <c r="K81" s="629"/>
      <c r="L81" s="630"/>
      <c r="M81" s="631"/>
      <c r="N81" s="631"/>
      <c r="O81" s="1569"/>
      <c r="P81" s="631"/>
      <c r="Q81" s="632"/>
      <c r="R81" s="1444">
        <f t="shared" ref="R81:R143" si="47">Q81</f>
        <v>0</v>
      </c>
      <c r="U81" s="849"/>
      <c r="V81" s="849"/>
    </row>
    <row r="82" spans="1:22" ht="15" customHeight="1" outlineLevel="1" x14ac:dyDescent="0.25">
      <c r="A82" s="576">
        <f ca="1">A81</f>
        <v>2</v>
      </c>
      <c r="B82" s="576">
        <f>IF(M82=0,0,MAX($B$80:B80)+1)</f>
        <v>1</v>
      </c>
      <c r="C82" s="576">
        <f>IF(B82=0,0,1)</f>
        <v>1</v>
      </c>
      <c r="D82" s="515">
        <f>D79+1</f>
        <v>58</v>
      </c>
      <c r="E82" s="35" t="str">
        <f ca="1">CONCATENATE(A82,".",$B$81,".",B82)</f>
        <v>2.1.1</v>
      </c>
      <c r="F82" s="576" t="s">
        <v>2639</v>
      </c>
      <c r="G82" s="576">
        <v>4805762</v>
      </c>
      <c r="H82" s="224" t="str">
        <f t="shared" ref="H82:H155" si="48">I82</f>
        <v>Escavação mecânica de vala em material de 2ª categoria</v>
      </c>
      <c r="I82" s="37" t="str">
        <f>IFERROR(VLOOKUP(G82,SINAPI!A:D,2,0),"")</f>
        <v>Escavação mecânica de vala em material de 2ª categoria</v>
      </c>
      <c r="J82" s="626" t="s">
        <v>5</v>
      </c>
      <c r="K82" s="439"/>
      <c r="L82" s="40" t="str">
        <f>IFERROR(VLOOKUP(G82,SINAPI!A:D,3,0),"")</f>
        <v>m³</v>
      </c>
      <c r="M82" s="40">
        <f>VLOOKUP(D82,MEMORIA!B:F,$A$3+3)</f>
        <v>6.9</v>
      </c>
      <c r="N82" s="40">
        <f>IFERROR(VLOOKUP(G82,SINAPI!A:D,4,0),"")</f>
        <v>8.91</v>
      </c>
      <c r="O82" s="1571">
        <f t="shared" ref="O82:O145" si="49">$N$7</f>
        <v>0.24379999999999999</v>
      </c>
      <c r="P82" s="41">
        <f t="shared" ref="P82:P145" si="50">IF(N82="","",(ROUND(N82*(1+O82),2)))</f>
        <v>11.08</v>
      </c>
      <c r="Q82" s="580">
        <f t="shared" ref="Q82:Q95" si="51">IF(M82="","",ROUND(M82*P82,2))</f>
        <v>76.45</v>
      </c>
      <c r="R82" s="1444">
        <f t="shared" si="47"/>
        <v>76.45</v>
      </c>
      <c r="U82" s="849"/>
      <c r="V82" s="849"/>
    </row>
    <row r="83" spans="1:22" ht="15" customHeight="1" outlineLevel="1" x14ac:dyDescent="0.25">
      <c r="A83" s="576">
        <f t="shared" ref="A83:A118" ca="1" si="52">A82</f>
        <v>2</v>
      </c>
      <c r="B83" s="576">
        <f>IF(M83=0,0,MAX($B$82:B82)+1)</f>
        <v>2</v>
      </c>
      <c r="C83" s="576">
        <f t="shared" ref="C83:C167" si="53">IF(B83=0,0,1)</f>
        <v>1</v>
      </c>
      <c r="D83" s="515">
        <f>D82+1</f>
        <v>59</v>
      </c>
      <c r="E83" s="35" t="str">
        <f t="shared" ref="E83:E157" ca="1" si="54">CONCATENATE(A83,".",$B$81,".",B83)</f>
        <v>2.1.2</v>
      </c>
      <c r="F83" s="576" t="s">
        <v>2639</v>
      </c>
      <c r="G83" s="576">
        <v>4805765</v>
      </c>
      <c r="H83" s="224" t="str">
        <f t="shared" si="48"/>
        <v>Escavação de vala em material de 3ª categoria</v>
      </c>
      <c r="I83" s="37" t="str">
        <f>IFERROR(VLOOKUP(G83,SINAPI!A:D,2,0),"")</f>
        <v>Escavação de vala em material de 3ª categoria</v>
      </c>
      <c r="J83" s="626" t="s">
        <v>5</v>
      </c>
      <c r="K83" s="439"/>
      <c r="L83" s="40" t="str">
        <f>IFERROR(VLOOKUP(G83,SINAPI!A:D,3,0),"")</f>
        <v>m³</v>
      </c>
      <c r="M83" s="40">
        <f>VLOOKUP(D83,MEMORIA!B:F,$A$3+3)</f>
        <v>1.72</v>
      </c>
      <c r="N83" s="40">
        <f>IFERROR(VLOOKUP(G83,SINAPI!A:D,4,0),"")</f>
        <v>185.47</v>
      </c>
      <c r="O83" s="1571">
        <f t="shared" si="49"/>
        <v>0.24379999999999999</v>
      </c>
      <c r="P83" s="41">
        <f t="shared" si="50"/>
        <v>230.69</v>
      </c>
      <c r="Q83" s="580">
        <f t="shared" si="51"/>
        <v>396.79</v>
      </c>
      <c r="R83" s="1444">
        <f t="shared" si="47"/>
        <v>396.79</v>
      </c>
      <c r="U83" s="849"/>
      <c r="V83" s="849"/>
    </row>
    <row r="84" spans="1:22" s="2" customFormat="1" ht="15" hidden="1" customHeight="1" outlineLevel="1" x14ac:dyDescent="0.25">
      <c r="A84" s="36">
        <f t="shared" ca="1" si="52"/>
        <v>2</v>
      </c>
      <c r="B84" s="576">
        <f>IF(M84=0,0,MAX($B$82:B83)+1)</f>
        <v>0</v>
      </c>
      <c r="C84" s="576">
        <f t="shared" si="53"/>
        <v>0</v>
      </c>
      <c r="D84" s="515">
        <f t="shared" ref="D84:D159" si="55">D83+1</f>
        <v>60</v>
      </c>
      <c r="E84" s="35" t="str">
        <f t="shared" ca="1" si="54"/>
        <v>2.1.0</v>
      </c>
      <c r="F84" s="576" t="s">
        <v>2639</v>
      </c>
      <c r="G84" s="36">
        <v>5914374</v>
      </c>
      <c r="H84" s="224" t="str">
        <f t="shared" si="48"/>
        <v>Transporte com caminhão basculante de 10 m³ - rodovia em revestimento primário</v>
      </c>
      <c r="I84" s="37" t="str">
        <f>IFERROR(VLOOKUP(G84,SINAPI!A:D,2,0),"")</f>
        <v>Transporte com caminhão basculante de 10 m³ - rodovia em revestimento primário</v>
      </c>
      <c r="J84" s="45">
        <f>DMT!$J$10</f>
        <v>1</v>
      </c>
      <c r="K84" s="986" t="s">
        <v>22</v>
      </c>
      <c r="L84" s="40" t="str">
        <f>IFERROR(VLOOKUP(G84,SINAPI!A:D,3,0),"")</f>
        <v>tkm</v>
      </c>
      <c r="M84" s="40">
        <f>VLOOKUP(D84,MEMORIA!B:F,$A$3+3)</f>
        <v>0</v>
      </c>
      <c r="N84" s="41">
        <f>IFERROR(VLOOKUP(G84,SINAPI!A:D,4,0),"")</f>
        <v>1.05</v>
      </c>
      <c r="O84" s="1571">
        <f t="shared" si="49"/>
        <v>0.24379999999999999</v>
      </c>
      <c r="P84" s="41">
        <f t="shared" si="50"/>
        <v>1.31</v>
      </c>
      <c r="Q84" s="42">
        <f t="shared" si="51"/>
        <v>0</v>
      </c>
      <c r="R84" s="1444">
        <f t="shared" si="47"/>
        <v>0</v>
      </c>
      <c r="S84" s="315"/>
      <c r="T84" s="315"/>
      <c r="U84" s="849"/>
      <c r="V84" s="849"/>
    </row>
    <row r="85" spans="1:22" s="2" customFormat="1" ht="15" hidden="1" customHeight="1" outlineLevel="1" x14ac:dyDescent="0.25">
      <c r="A85" s="36">
        <f t="shared" ca="1" si="52"/>
        <v>2</v>
      </c>
      <c r="B85" s="576">
        <f>IF(M85=0,0,MAX($B$82:B84)+1)</f>
        <v>0</v>
      </c>
      <c r="C85" s="576">
        <f t="shared" si="53"/>
        <v>0</v>
      </c>
      <c r="D85" s="515">
        <f t="shared" si="55"/>
        <v>61</v>
      </c>
      <c r="E85" s="35" t="str">
        <f t="shared" ca="1" si="54"/>
        <v>2.1.0</v>
      </c>
      <c r="F85" s="576" t="s">
        <v>2639</v>
      </c>
      <c r="G85" s="526">
        <v>4413942</v>
      </c>
      <c r="H85" s="224" t="str">
        <f t="shared" si="48"/>
        <v>Espalhamento de material em bota-fora</v>
      </c>
      <c r="I85" s="37" t="str">
        <f>IFERROR(VLOOKUP(G85,SINAPI!A:D,2,0),"")</f>
        <v>Espalhamento de material em bota-fora</v>
      </c>
      <c r="J85" s="45" t="s">
        <v>5</v>
      </c>
      <c r="K85" s="986" t="s">
        <v>22</v>
      </c>
      <c r="L85" s="40" t="str">
        <f>IFERROR(VLOOKUP(G85,SINAPI!A:D,3,0),"")</f>
        <v>m³</v>
      </c>
      <c r="M85" s="40">
        <f>VLOOKUP(D85,MEMORIA!B:F,$A$3+3)</f>
        <v>0</v>
      </c>
      <c r="N85" s="41">
        <f>IFERROR(VLOOKUP(G85,SINAPI!A:D,4,0),"")</f>
        <v>1.7</v>
      </c>
      <c r="O85" s="1571">
        <f t="shared" si="49"/>
        <v>0.24379999999999999</v>
      </c>
      <c r="P85" s="41">
        <f t="shared" si="50"/>
        <v>2.11</v>
      </c>
      <c r="Q85" s="42">
        <f t="shared" si="51"/>
        <v>0</v>
      </c>
      <c r="R85" s="1444">
        <f t="shared" si="47"/>
        <v>0</v>
      </c>
      <c r="S85" s="315"/>
      <c r="T85" s="315"/>
      <c r="U85" s="849"/>
      <c r="V85" s="849"/>
    </row>
    <row r="86" spans="1:22" s="2" customFormat="1" ht="15" hidden="1" customHeight="1" outlineLevel="1" collapsed="1" x14ac:dyDescent="0.25">
      <c r="A86" s="36">
        <f t="shared" ca="1" si="52"/>
        <v>2</v>
      </c>
      <c r="B86" s="576">
        <f>IF(M86=0,0,MAX($B$82:B85)+1)</f>
        <v>0</v>
      </c>
      <c r="C86" s="36">
        <f t="shared" si="53"/>
        <v>0</v>
      </c>
      <c r="D86" s="515">
        <f t="shared" si="55"/>
        <v>62</v>
      </c>
      <c r="E86" s="35" t="str">
        <f t="shared" ca="1" si="54"/>
        <v>2.1.0</v>
      </c>
      <c r="F86" s="576" t="s">
        <v>2639</v>
      </c>
      <c r="G86" s="36">
        <v>4016096</v>
      </c>
      <c r="H86" s="224" t="str">
        <f t="shared" si="48"/>
        <v>Escavação e carga de material de jazida com escavadeira hidráulica de 1,56 m³</v>
      </c>
      <c r="I86" s="37" t="str">
        <f>IFERROR(VLOOKUP(G86,SINAPI!A:D,2,0),"")</f>
        <v>Escavação e carga de material de jazida com escavadeira hidráulica de 1,56 m³</v>
      </c>
      <c r="J86" s="45"/>
      <c r="K86" s="986"/>
      <c r="L86" s="40" t="str">
        <f>IFERROR(VLOOKUP(G86,SINAPI!A:D,3,0),"")</f>
        <v>m³</v>
      </c>
      <c r="M86" s="40">
        <f>VLOOKUP(D86,MEMORIA!B:F,$A$3+3)</f>
        <v>0</v>
      </c>
      <c r="N86" s="41">
        <f>IFERROR(VLOOKUP(G86,SINAPI!A:D,4,0),"")</f>
        <v>1.67</v>
      </c>
      <c r="O86" s="1571">
        <f t="shared" si="49"/>
        <v>0.24379999999999999</v>
      </c>
      <c r="P86" s="41">
        <f t="shared" si="50"/>
        <v>2.08</v>
      </c>
      <c r="Q86" s="42">
        <f t="shared" si="51"/>
        <v>0</v>
      </c>
      <c r="R86" s="1444">
        <f t="shared" si="47"/>
        <v>0</v>
      </c>
      <c r="S86" s="3"/>
      <c r="T86" s="3"/>
      <c r="U86" s="849"/>
      <c r="V86" s="849"/>
    </row>
    <row r="87" spans="1:22" s="2" customFormat="1" ht="15" hidden="1" customHeight="1" outlineLevel="1" x14ac:dyDescent="0.25">
      <c r="A87" s="36">
        <f t="shared" ca="1" si="52"/>
        <v>2</v>
      </c>
      <c r="B87" s="576">
        <f>IF(M87=0,0,MAX($B$82:B86)+1)</f>
        <v>0</v>
      </c>
      <c r="C87" s="36">
        <f t="shared" si="53"/>
        <v>0</v>
      </c>
      <c r="D87" s="515">
        <f t="shared" si="55"/>
        <v>63</v>
      </c>
      <c r="E87" s="35" t="str">
        <f t="shared" ca="1" si="54"/>
        <v>2.1.0</v>
      </c>
      <c r="F87" s="576" t="s">
        <v>2639</v>
      </c>
      <c r="G87" s="36">
        <v>5914374</v>
      </c>
      <c r="H87" s="224" t="str">
        <f t="shared" si="48"/>
        <v>Transporte com caminhão basculante de 10 m³ - rodovia em revestimento primário</v>
      </c>
      <c r="I87" s="37" t="str">
        <f>IFERROR(VLOOKUP(G87,SINAPI!A:D,2,0),"")</f>
        <v>Transporte com caminhão basculante de 10 m³ - rodovia em revestimento primário</v>
      </c>
      <c r="J87" s="45">
        <f>DMT!I10</f>
        <v>2</v>
      </c>
      <c r="K87" s="986" t="s">
        <v>23</v>
      </c>
      <c r="L87" s="40" t="str">
        <f>IFERROR(VLOOKUP(G87,SINAPI!A:D,3,0),"")</f>
        <v>tkm</v>
      </c>
      <c r="M87" s="40">
        <f>VLOOKUP(D87,MEMORIA!B:F,$A$3+3)</f>
        <v>0</v>
      </c>
      <c r="N87" s="41">
        <f>IFERROR(VLOOKUP(G87,SINAPI!A:D,4,0),"")</f>
        <v>1.05</v>
      </c>
      <c r="O87" s="1571">
        <f t="shared" si="49"/>
        <v>0.24379999999999999</v>
      </c>
      <c r="P87" s="41">
        <f t="shared" si="50"/>
        <v>1.31</v>
      </c>
      <c r="Q87" s="42">
        <f t="shared" si="51"/>
        <v>0</v>
      </c>
      <c r="R87" s="1444">
        <f t="shared" si="47"/>
        <v>0</v>
      </c>
      <c r="S87" s="315"/>
      <c r="T87" s="315"/>
      <c r="U87" s="849"/>
      <c r="V87" s="849"/>
    </row>
    <row r="88" spans="1:22" ht="15" customHeight="1" outlineLevel="1" x14ac:dyDescent="0.25">
      <c r="A88" s="576">
        <f t="shared" ca="1" si="52"/>
        <v>2</v>
      </c>
      <c r="B88" s="576">
        <f>IF(M88=0,0,MAX($B$82:B87)+1)</f>
        <v>3</v>
      </c>
      <c r="C88" s="576">
        <f t="shared" si="53"/>
        <v>1</v>
      </c>
      <c r="D88" s="515">
        <f t="shared" si="55"/>
        <v>64</v>
      </c>
      <c r="E88" s="35" t="str">
        <f t="shared" ca="1" si="54"/>
        <v>2.1.3</v>
      </c>
      <c r="F88" s="576" t="s">
        <v>2639</v>
      </c>
      <c r="G88" s="576">
        <v>4815671</v>
      </c>
      <c r="H88" s="224" t="str">
        <f t="shared" si="48"/>
        <v>Reaterro e compactação com soquete vibratório</v>
      </c>
      <c r="I88" s="37" t="str">
        <f>IFERROR(VLOOKUP(G88,SINAPI!A:D,2,0),"")</f>
        <v>Reaterro e compactação com soquete vibratório</v>
      </c>
      <c r="J88" s="626"/>
      <c r="K88" s="530"/>
      <c r="L88" s="40" t="str">
        <f>IFERROR(VLOOKUP(G88,SINAPI!A:D,3,0),"")</f>
        <v>m³</v>
      </c>
      <c r="M88" s="40">
        <f>VLOOKUP(D88,MEMORIA!B:F,$A$3+3)</f>
        <v>3.87</v>
      </c>
      <c r="N88" s="40">
        <f>IFERROR(VLOOKUP(G88,SINAPI!A:D,4,0),"")</f>
        <v>16.04</v>
      </c>
      <c r="O88" s="1571">
        <f t="shared" si="49"/>
        <v>0.24379999999999999</v>
      </c>
      <c r="P88" s="41">
        <f t="shared" si="50"/>
        <v>19.95</v>
      </c>
      <c r="Q88" s="580">
        <f t="shared" si="51"/>
        <v>77.209999999999994</v>
      </c>
      <c r="R88" s="1444">
        <f t="shared" si="47"/>
        <v>77.209999999999994</v>
      </c>
      <c r="U88" s="849"/>
      <c r="V88" s="849"/>
    </row>
    <row r="89" spans="1:22" ht="15" hidden="1" customHeight="1" outlineLevel="1" x14ac:dyDescent="0.25">
      <c r="A89" s="576">
        <f t="shared" ca="1" si="52"/>
        <v>2</v>
      </c>
      <c r="B89" s="576">
        <f>IF(M89=0,0,MAX($B$82:B88)+1)</f>
        <v>0</v>
      </c>
      <c r="C89" s="576">
        <f t="shared" si="53"/>
        <v>0</v>
      </c>
      <c r="D89" s="515">
        <f t="shared" si="55"/>
        <v>65</v>
      </c>
      <c r="E89" s="35" t="str">
        <f t="shared" ca="1" si="54"/>
        <v>2.1.0</v>
      </c>
      <c r="F89" s="550" t="s">
        <v>2639</v>
      </c>
      <c r="G89" s="550">
        <v>804023</v>
      </c>
      <c r="H89" s="224" t="str">
        <f t="shared" si="48"/>
        <v>Corpo de BSTC D = 0,60 m PA2 - areia, brita e pedra de mão comerciais</v>
      </c>
      <c r="I89" s="37" t="str">
        <f>IFERROR(VLOOKUP(G89,SINAPI!A:D,2,0),"")</f>
        <v>Corpo de BSTC D = 0,60 m PA2 - areia, brita e pedra de mão comerciais</v>
      </c>
      <c r="J89" s="626"/>
      <c r="K89" s="439"/>
      <c r="L89" s="40" t="str">
        <f>IFERROR(VLOOKUP(G89,SINAPI!A:D,3,0),"")</f>
        <v>m</v>
      </c>
      <c r="M89" s="40">
        <f>VLOOKUP(D89,MEMORIA!B:F,$A$3+3)</f>
        <v>0</v>
      </c>
      <c r="N89" s="40">
        <f>IFERROR(VLOOKUP(G89,SINAPI!A:D,4,0),"")</f>
        <v>410.36</v>
      </c>
      <c r="O89" s="1571">
        <f t="shared" si="49"/>
        <v>0.24379999999999999</v>
      </c>
      <c r="P89" s="41">
        <f t="shared" si="50"/>
        <v>510.41</v>
      </c>
      <c r="Q89" s="580">
        <f t="shared" si="51"/>
        <v>0</v>
      </c>
      <c r="R89" s="1444">
        <f t="shared" si="47"/>
        <v>0</v>
      </c>
      <c r="U89" s="849"/>
      <c r="V89" s="849"/>
    </row>
    <row r="90" spans="1:22" ht="15" customHeight="1" outlineLevel="1" x14ac:dyDescent="0.25">
      <c r="A90" s="576">
        <f ca="1">A88</f>
        <v>2</v>
      </c>
      <c r="B90" s="576">
        <f>IF(M90=0,0,MAX($B$82:B89)+1)</f>
        <v>4</v>
      </c>
      <c r="C90" s="576">
        <f t="shared" si="53"/>
        <v>1</v>
      </c>
      <c r="D90" s="515">
        <f t="shared" si="55"/>
        <v>66</v>
      </c>
      <c r="E90" s="35" t="str">
        <f t="shared" ca="1" si="54"/>
        <v>2.1.4</v>
      </c>
      <c r="F90" s="576" t="s">
        <v>2639</v>
      </c>
      <c r="G90" s="576">
        <v>804031</v>
      </c>
      <c r="H90" s="224" t="str">
        <f t="shared" si="48"/>
        <v>Corpo de BSTC D = 0,80 m PA2 - areia, brita e pedra de mão comerciais</v>
      </c>
      <c r="I90" s="37" t="str">
        <f>IFERROR(VLOOKUP(G90,SINAPI!A:D,2,0),"")</f>
        <v>Corpo de BSTC D = 0,80 m PA2 - areia, brita e pedra de mão comerciais</v>
      </c>
      <c r="J90" s="590"/>
      <c r="K90" s="986"/>
      <c r="L90" s="40" t="str">
        <f>IFERROR(VLOOKUP(G90,SINAPI!A:D,3,0),"")</f>
        <v>m</v>
      </c>
      <c r="M90" s="40">
        <f>VLOOKUP(D90,MEMORIA!B:F,$A$3+3)</f>
        <v>11</v>
      </c>
      <c r="N90" s="40">
        <f>IFERROR(VLOOKUP(G90,SINAPI!A:D,4,0),"")</f>
        <v>579.58000000000004</v>
      </c>
      <c r="O90" s="1571">
        <f t="shared" si="49"/>
        <v>0.24379999999999999</v>
      </c>
      <c r="P90" s="41">
        <f t="shared" si="50"/>
        <v>720.88</v>
      </c>
      <c r="Q90" s="580">
        <f t="shared" si="51"/>
        <v>7929.68</v>
      </c>
      <c r="R90" s="1444">
        <f t="shared" si="47"/>
        <v>7929.68</v>
      </c>
      <c r="U90" s="849"/>
      <c r="V90" s="849"/>
    </row>
    <row r="91" spans="1:22" ht="15" hidden="1" customHeight="1" outlineLevel="1" x14ac:dyDescent="0.25">
      <c r="A91" s="576">
        <f t="shared" ca="1" si="52"/>
        <v>2</v>
      </c>
      <c r="B91" s="576">
        <f>IF(M91=0,0,MAX($B$82:B90)+1)</f>
        <v>0</v>
      </c>
      <c r="C91" s="576">
        <f t="shared" si="53"/>
        <v>0</v>
      </c>
      <c r="D91" s="515">
        <f t="shared" si="55"/>
        <v>67</v>
      </c>
      <c r="E91" s="35" t="str">
        <f t="shared" ca="1" si="54"/>
        <v>2.1.0</v>
      </c>
      <c r="F91" s="576" t="s">
        <v>2639</v>
      </c>
      <c r="G91" s="576">
        <v>804039</v>
      </c>
      <c r="H91" s="224" t="str">
        <f t="shared" si="48"/>
        <v>Corpo de BSTC D = 1,00 m PA2 - areia, brita e pedra de mão comerciais</v>
      </c>
      <c r="I91" s="37" t="str">
        <f>IFERROR(VLOOKUP(G91,SINAPI!A:D,2,0),"")</f>
        <v>Corpo de BSTC D = 1,00 m PA2 - areia, brita e pedra de mão comerciais</v>
      </c>
      <c r="J91" s="626"/>
      <c r="K91" s="986"/>
      <c r="L91" s="40" t="str">
        <f>IFERROR(VLOOKUP(G91,SINAPI!A:D,3,0),"")</f>
        <v>m</v>
      </c>
      <c r="M91" s="40">
        <f>VLOOKUP(D91,MEMORIA!B:F,$A$3+3)</f>
        <v>0</v>
      </c>
      <c r="N91" s="40">
        <f>IFERROR(VLOOKUP(G91,SINAPI!A:D,4,0),"")</f>
        <v>834.63</v>
      </c>
      <c r="O91" s="1571">
        <f t="shared" si="49"/>
        <v>0.24379999999999999</v>
      </c>
      <c r="P91" s="41">
        <f t="shared" si="50"/>
        <v>1038.1099999999999</v>
      </c>
      <c r="Q91" s="580">
        <f t="shared" si="51"/>
        <v>0</v>
      </c>
      <c r="R91" s="1444">
        <f t="shared" si="47"/>
        <v>0</v>
      </c>
      <c r="U91" s="849"/>
      <c r="V91" s="849"/>
    </row>
    <row r="92" spans="1:22" ht="15" hidden="1" customHeight="1" outlineLevel="1" x14ac:dyDescent="0.25">
      <c r="A92" s="576">
        <f t="shared" ca="1" si="52"/>
        <v>2</v>
      </c>
      <c r="B92" s="576">
        <f>IF(M92=0,0,MAX($B$82:B91)+1)</f>
        <v>0</v>
      </c>
      <c r="C92" s="576">
        <f t="shared" si="53"/>
        <v>0</v>
      </c>
      <c r="D92" s="515">
        <f t="shared" si="55"/>
        <v>68</v>
      </c>
      <c r="E92" s="35" t="str">
        <f t="shared" ca="1" si="54"/>
        <v>2.1.0</v>
      </c>
      <c r="F92" s="576" t="s">
        <v>2639</v>
      </c>
      <c r="G92" s="576">
        <v>804047</v>
      </c>
      <c r="H92" s="224" t="str">
        <f t="shared" si="48"/>
        <v>Corpo de BSTC D = 1,20 m PA2 - areia, brita e pedra de mão comerciais</v>
      </c>
      <c r="I92" s="37" t="str">
        <f>IFERROR(VLOOKUP(G92,SINAPI!A:D,2,0),"")</f>
        <v>Corpo de BSTC D = 1,20 m PA2 - areia, brita e pedra de mão comerciais</v>
      </c>
      <c r="J92" s="626" t="s">
        <v>5</v>
      </c>
      <c r="K92" s="986"/>
      <c r="L92" s="40" t="str">
        <f>IFERROR(VLOOKUP(G92,SINAPI!A:D,3,0),"")</f>
        <v>m</v>
      </c>
      <c r="M92" s="40">
        <f>VLOOKUP(D92,MEMORIA!B:F,$A$3+3)</f>
        <v>0</v>
      </c>
      <c r="N92" s="40">
        <f>IFERROR(VLOOKUP(G92,SINAPI!A:D,4,0),"")</f>
        <v>1009.7</v>
      </c>
      <c r="O92" s="1571">
        <f t="shared" si="49"/>
        <v>0.24379999999999999</v>
      </c>
      <c r="P92" s="41">
        <f t="shared" si="50"/>
        <v>1255.8599999999999</v>
      </c>
      <c r="Q92" s="580">
        <f t="shared" si="51"/>
        <v>0</v>
      </c>
      <c r="R92" s="1444">
        <f t="shared" si="47"/>
        <v>0</v>
      </c>
      <c r="U92" s="849"/>
      <c r="V92" s="849"/>
    </row>
    <row r="93" spans="1:22" ht="15" hidden="1" customHeight="1" outlineLevel="1" x14ac:dyDescent="0.25">
      <c r="A93" s="576">
        <f t="shared" ca="1" si="52"/>
        <v>2</v>
      </c>
      <c r="B93" s="576">
        <f>IF(M93=0,0,MAX($B$82:B92)+1)</f>
        <v>0</v>
      </c>
      <c r="C93" s="576">
        <f t="shared" si="53"/>
        <v>0</v>
      </c>
      <c r="D93" s="515">
        <f t="shared" si="55"/>
        <v>69</v>
      </c>
      <c r="E93" s="35" t="str">
        <f t="shared" ca="1" si="54"/>
        <v>2.1.0</v>
      </c>
      <c r="F93" s="576" t="s">
        <v>2639</v>
      </c>
      <c r="G93" s="576">
        <v>804183</v>
      </c>
      <c r="H93" s="224" t="str">
        <f t="shared" si="48"/>
        <v>Corpo de BDTC D = 0,80 m PA2 - areia, brita e pedra de mão comerciais</v>
      </c>
      <c r="I93" s="37" t="str">
        <f>IFERROR(VLOOKUP(G93,SINAPI!A:D,2,0),"")</f>
        <v>Corpo de BDTC D = 0,80 m PA2 - areia, brita e pedra de mão comerciais</v>
      </c>
      <c r="J93" s="626" t="s">
        <v>5</v>
      </c>
      <c r="K93" s="986"/>
      <c r="L93" s="40" t="str">
        <f>IFERROR(VLOOKUP(G93,SINAPI!A:D,3,0),"")</f>
        <v>m</v>
      </c>
      <c r="M93" s="40">
        <f>VLOOKUP(D93,MEMORIA!B:F,$A$3+3)</f>
        <v>0</v>
      </c>
      <c r="N93" s="40">
        <f>IFERROR(VLOOKUP(G93,SINAPI!A:D,4,0),"")</f>
        <v>1111.8900000000001</v>
      </c>
      <c r="O93" s="1571">
        <f t="shared" si="49"/>
        <v>0.24379999999999999</v>
      </c>
      <c r="P93" s="41">
        <f t="shared" si="50"/>
        <v>1382.97</v>
      </c>
      <c r="Q93" s="580">
        <f t="shared" si="51"/>
        <v>0</v>
      </c>
      <c r="R93" s="1444">
        <f t="shared" si="47"/>
        <v>0</v>
      </c>
      <c r="U93" s="849"/>
      <c r="V93" s="849"/>
    </row>
    <row r="94" spans="1:22" s="2" customFormat="1" ht="15" hidden="1" customHeight="1" outlineLevel="1" x14ac:dyDescent="0.25">
      <c r="A94" s="36">
        <f t="shared" ca="1" si="52"/>
        <v>2</v>
      </c>
      <c r="B94" s="576">
        <f>IF(M94=0,0,MAX($B$82:B93)+1)</f>
        <v>0</v>
      </c>
      <c r="C94" s="36">
        <f t="shared" si="53"/>
        <v>0</v>
      </c>
      <c r="D94" s="515">
        <f t="shared" si="55"/>
        <v>70</v>
      </c>
      <c r="E94" s="35" t="str">
        <f t="shared" ca="1" si="54"/>
        <v>2.1.0</v>
      </c>
      <c r="F94" s="36" t="s">
        <v>2639</v>
      </c>
      <c r="G94" s="36">
        <v>804191</v>
      </c>
      <c r="H94" s="224" t="str">
        <f t="shared" si="48"/>
        <v>Corpo de BDTC D = 1,00 m PA2 - areia, brita e pedra de mão comerciais</v>
      </c>
      <c r="I94" s="37" t="str">
        <f>IFERROR(VLOOKUP(G94,SINAPI!A:D,2,0),"")</f>
        <v>Corpo de BDTC D = 1,00 m PA2 - areia, brita e pedra de mão comerciais</v>
      </c>
      <c r="J94" s="45" t="s">
        <v>5</v>
      </c>
      <c r="K94" s="530"/>
      <c r="L94" s="40" t="str">
        <f>IFERROR(VLOOKUP(G94,SINAPI!A:D,3,0),"")</f>
        <v>m</v>
      </c>
      <c r="M94" s="40">
        <f>VLOOKUP(D94,MEMORIA!B:F,$A$3+3)</f>
        <v>0</v>
      </c>
      <c r="N94" s="41">
        <f>IFERROR(VLOOKUP(G94,SINAPI!A:D,4,0),"")</f>
        <v>1622.95</v>
      </c>
      <c r="O94" s="1571">
        <f t="shared" si="49"/>
        <v>0.24379999999999999</v>
      </c>
      <c r="P94" s="41">
        <f t="shared" si="50"/>
        <v>2018.63</v>
      </c>
      <c r="Q94" s="42">
        <f t="shared" si="51"/>
        <v>0</v>
      </c>
      <c r="R94" s="1444">
        <f t="shared" si="47"/>
        <v>0</v>
      </c>
      <c r="S94" s="315"/>
      <c r="T94" s="315"/>
      <c r="U94" s="849"/>
      <c r="V94" s="849"/>
    </row>
    <row r="95" spans="1:22" s="2" customFormat="1" ht="15" hidden="1" customHeight="1" outlineLevel="1" x14ac:dyDescent="0.25">
      <c r="A95" s="36">
        <f t="shared" ca="1" si="52"/>
        <v>2</v>
      </c>
      <c r="B95" s="576">
        <f>IF(M95=0,0,MAX($B$82:B94)+1)</f>
        <v>0</v>
      </c>
      <c r="C95" s="36">
        <f t="shared" si="53"/>
        <v>0</v>
      </c>
      <c r="D95" s="515">
        <f t="shared" si="55"/>
        <v>71</v>
      </c>
      <c r="E95" s="35" t="str">
        <f t="shared" ca="1" si="54"/>
        <v>2.1.0</v>
      </c>
      <c r="F95" s="36" t="s">
        <v>2639</v>
      </c>
      <c r="G95" s="36">
        <v>804199</v>
      </c>
      <c r="H95" s="224" t="str">
        <f t="shared" si="48"/>
        <v>Corpo de BDTC D = 1,20 m PA2 - areia, brita e pedra de mão comerciais</v>
      </c>
      <c r="I95" s="37" t="str">
        <f>IFERROR(VLOOKUP(G95,SINAPI!A:D,2,0),"")</f>
        <v>Corpo de BDTC D = 1,20 m PA2 - areia, brita e pedra de mão comerciais</v>
      </c>
      <c r="J95" s="45" t="s">
        <v>5</v>
      </c>
      <c r="K95" s="985"/>
      <c r="L95" s="40" t="str">
        <f>IFERROR(VLOOKUP(G95,SINAPI!A:D,3,0),"")</f>
        <v>m</v>
      </c>
      <c r="M95" s="40">
        <f>VLOOKUP(D95,MEMORIA!B:F,$A$3+3)</f>
        <v>0</v>
      </c>
      <c r="N95" s="41">
        <f>IFERROR(VLOOKUP(G95,SINAPI!A:D,4,0),"")</f>
        <v>1976.39</v>
      </c>
      <c r="O95" s="1571">
        <f t="shared" si="49"/>
        <v>0.24379999999999999</v>
      </c>
      <c r="P95" s="41">
        <f t="shared" si="50"/>
        <v>2458.23</v>
      </c>
      <c r="Q95" s="42">
        <f t="shared" si="51"/>
        <v>0</v>
      </c>
      <c r="R95" s="1444">
        <f t="shared" si="47"/>
        <v>0</v>
      </c>
      <c r="S95" s="315"/>
      <c r="T95" s="315"/>
      <c r="U95" s="849"/>
      <c r="V95" s="849"/>
    </row>
    <row r="96" spans="1:22" s="2" customFormat="1" ht="15" hidden="1" customHeight="1" outlineLevel="1" x14ac:dyDescent="0.25">
      <c r="A96" s="36">
        <f t="shared" ca="1" si="52"/>
        <v>2</v>
      </c>
      <c r="B96" s="576">
        <f>IF(M96=0,0,MAX($B$82:B95)+1)</f>
        <v>0</v>
      </c>
      <c r="C96" s="36">
        <f t="shared" si="53"/>
        <v>0</v>
      </c>
      <c r="D96" s="515">
        <f t="shared" si="55"/>
        <v>72</v>
      </c>
      <c r="E96" s="35" t="str">
        <f t="shared" ca="1" si="54"/>
        <v>2.1.0</v>
      </c>
      <c r="F96" s="989" t="s">
        <v>17</v>
      </c>
      <c r="G96" s="990"/>
      <c r="H96" s="224" t="str">
        <f t="shared" si="48"/>
        <v/>
      </c>
      <c r="I96" s="835" t="str">
        <f>IFERROR(VLOOKUP(G96,SINAPI!A:D,2,0),"")</f>
        <v/>
      </c>
      <c r="J96" s="993" t="s">
        <v>5</v>
      </c>
      <c r="K96" s="994"/>
      <c r="L96" s="836" t="str">
        <f>IFERROR(VLOOKUP(G96,SINAPI!A:D,3,0),"")</f>
        <v/>
      </c>
      <c r="M96" s="836">
        <f>VLOOKUP(D96,MEMORIA!B:F,$A$3+3)</f>
        <v>0</v>
      </c>
      <c r="N96" s="836" t="str">
        <f>IFERROR(VLOOKUP(G96,SINAPI!A:D,4,0),"")</f>
        <v/>
      </c>
      <c r="O96" s="1571">
        <f t="shared" si="49"/>
        <v>0.24379999999999999</v>
      </c>
      <c r="P96" s="41" t="str">
        <f t="shared" si="50"/>
        <v/>
      </c>
      <c r="Q96" s="837"/>
      <c r="R96" s="1444">
        <f t="shared" si="47"/>
        <v>0</v>
      </c>
      <c r="S96" s="315"/>
      <c r="T96" s="315"/>
      <c r="U96" s="849"/>
      <c r="V96" s="849"/>
    </row>
    <row r="97" spans="1:22" s="2" customFormat="1" ht="15" hidden="1" customHeight="1" outlineLevel="1" x14ac:dyDescent="0.25">
      <c r="A97" s="36">
        <f t="shared" ca="1" si="52"/>
        <v>2</v>
      </c>
      <c r="B97" s="576">
        <f>IF(M97=0,0,MAX($B$82:B96)+1)</f>
        <v>0</v>
      </c>
      <c r="C97" s="36">
        <f t="shared" si="53"/>
        <v>0</v>
      </c>
      <c r="D97" s="515">
        <f t="shared" si="55"/>
        <v>73</v>
      </c>
      <c r="E97" s="35" t="str">
        <f t="shared" ca="1" si="54"/>
        <v>2.1.0</v>
      </c>
      <c r="F97" s="36" t="s">
        <v>2639</v>
      </c>
      <c r="G97" s="36">
        <v>804295</v>
      </c>
      <c r="H97" s="224" t="str">
        <f t="shared" si="48"/>
        <v>Corpo de BTTC D = 1,00 m PA2 - areia, brita e pedra de mão comerciais</v>
      </c>
      <c r="I97" s="37" t="str">
        <f>IFERROR(VLOOKUP(G97,SINAPI!A:D,2,0),"")</f>
        <v>Corpo de BTTC D = 1,00 m PA2 - areia, brita e pedra de mão comerciais</v>
      </c>
      <c r="J97" s="45" t="s">
        <v>5</v>
      </c>
      <c r="K97" s="530"/>
      <c r="L97" s="40" t="str">
        <f>IFERROR(VLOOKUP(G97,SINAPI!A:D,3,0),"")</f>
        <v>m</v>
      </c>
      <c r="M97" s="40">
        <f>VLOOKUP(D97,MEMORIA!B:F,$A$3+3)</f>
        <v>0</v>
      </c>
      <c r="N97" s="41">
        <f>IFERROR(VLOOKUP(G97,SINAPI!A:D,4,0),"")</f>
        <v>2411.29</v>
      </c>
      <c r="O97" s="1571">
        <f t="shared" si="49"/>
        <v>0.24379999999999999</v>
      </c>
      <c r="P97" s="41">
        <f t="shared" si="50"/>
        <v>2999.16</v>
      </c>
      <c r="Q97" s="42"/>
      <c r="R97" s="1444">
        <f t="shared" si="47"/>
        <v>0</v>
      </c>
      <c r="S97" s="315"/>
      <c r="T97" s="315"/>
      <c r="U97" s="849"/>
      <c r="V97" s="849"/>
    </row>
    <row r="98" spans="1:22" ht="15" hidden="1" customHeight="1" outlineLevel="1" x14ac:dyDescent="0.25">
      <c r="A98" s="576">
        <f ca="1">A95</f>
        <v>2</v>
      </c>
      <c r="B98" s="576">
        <f>IF(M98=0,0,MAX($B$82:B97)+1)</f>
        <v>0</v>
      </c>
      <c r="C98" s="576">
        <f t="shared" si="53"/>
        <v>0</v>
      </c>
      <c r="D98" s="515">
        <f t="shared" si="55"/>
        <v>74</v>
      </c>
      <c r="E98" s="35" t="str">
        <f t="shared" ca="1" si="54"/>
        <v>2.1.0</v>
      </c>
      <c r="F98" s="576" t="s">
        <v>2639</v>
      </c>
      <c r="G98" s="576">
        <v>804303</v>
      </c>
      <c r="H98" s="224" t="str">
        <f t="shared" si="48"/>
        <v>Corpo de BTTC D = 1,20 m PA2 - areia, brita e pedra de mão comerciais</v>
      </c>
      <c r="I98" s="37" t="str">
        <f>IFERROR(VLOOKUP(G98,SINAPI!A:D,2,0),"")</f>
        <v>Corpo de BTTC D = 1,20 m PA2 - areia, brita e pedra de mão comerciais</v>
      </c>
      <c r="J98" s="626" t="s">
        <v>5</v>
      </c>
      <c r="K98" s="985"/>
      <c r="L98" s="40" t="str">
        <f>IFERROR(VLOOKUP(G98,SINAPI!A:D,3,0),"")</f>
        <v>m</v>
      </c>
      <c r="M98" s="40">
        <f>VLOOKUP(D98,MEMORIA!B:F,$A$3+3)</f>
        <v>0</v>
      </c>
      <c r="N98" s="40">
        <f>IFERROR(VLOOKUP(G98,SINAPI!A:D,4,0),"")</f>
        <v>2942.7</v>
      </c>
      <c r="O98" s="1571">
        <f t="shared" si="49"/>
        <v>0.24379999999999999</v>
      </c>
      <c r="P98" s="41">
        <f t="shared" si="50"/>
        <v>3660.13</v>
      </c>
      <c r="Q98" s="580">
        <f t="shared" ref="Q98:Q167" si="56">IF(M98="","",ROUND(M98*P98,2))</f>
        <v>0</v>
      </c>
      <c r="R98" s="1444">
        <f t="shared" si="47"/>
        <v>0</v>
      </c>
      <c r="U98" s="849"/>
      <c r="V98" s="849"/>
    </row>
    <row r="99" spans="1:22" s="2" customFormat="1" ht="15" hidden="1" customHeight="1" outlineLevel="1" x14ac:dyDescent="0.25">
      <c r="A99" s="36">
        <f t="shared" ca="1" si="52"/>
        <v>2</v>
      </c>
      <c r="B99" s="576">
        <f>IF(M99=0,0,MAX($B$82:B98)+1)</f>
        <v>0</v>
      </c>
      <c r="C99" s="36">
        <f t="shared" si="53"/>
        <v>0</v>
      </c>
      <c r="D99" s="515">
        <f t="shared" si="55"/>
        <v>75</v>
      </c>
      <c r="E99" s="35" t="str">
        <f t="shared" ca="1" si="54"/>
        <v>2.1.0</v>
      </c>
      <c r="F99" s="36" t="s">
        <v>2639</v>
      </c>
      <c r="G99" s="36">
        <v>6817885</v>
      </c>
      <c r="H99" s="224" t="str">
        <f t="shared" si="48"/>
        <v>Corpo de BSCC - seção canal de 1,5 x 1,5 m - pré-moldado - areia e brita comerciais</v>
      </c>
      <c r="I99" s="37" t="str">
        <f>IFERROR(VLOOKUP(G99,SINAPI!A:D,2,0),"")</f>
        <v>Corpo de BSCC - seção canal de 1,5 x 1,5 m - pré-moldado - areia e brita comerciais</v>
      </c>
      <c r="J99" s="45" t="s">
        <v>5</v>
      </c>
      <c r="K99" s="986"/>
      <c r="L99" s="40" t="str">
        <f>IFERROR(VLOOKUP(G99,SINAPI!A:D,3,0),"")</f>
        <v>m</v>
      </c>
      <c r="M99" s="40">
        <f>VLOOKUP(D99,MEMORIA!B:F,$A$3+3)</f>
        <v>0</v>
      </c>
      <c r="N99" s="41">
        <f>IFERROR(VLOOKUP(G99,SINAPI!A:D,4,0),"")</f>
        <v>1463.65</v>
      </c>
      <c r="O99" s="1571">
        <f t="shared" si="49"/>
        <v>0.24379999999999999</v>
      </c>
      <c r="P99" s="41">
        <f t="shared" si="50"/>
        <v>1820.49</v>
      </c>
      <c r="Q99" s="42">
        <f t="shared" si="56"/>
        <v>0</v>
      </c>
      <c r="R99" s="1444">
        <f t="shared" si="47"/>
        <v>0</v>
      </c>
      <c r="S99" s="315"/>
      <c r="T99" s="315"/>
      <c r="U99" s="849"/>
      <c r="V99" s="849"/>
    </row>
    <row r="100" spans="1:22" s="2" customFormat="1" ht="15" hidden="1" customHeight="1" outlineLevel="1" x14ac:dyDescent="0.25">
      <c r="A100" s="36">
        <f t="shared" ca="1" si="52"/>
        <v>2</v>
      </c>
      <c r="B100" s="576">
        <f>IF(M100=0,0,MAX($B$82:B99)+1)</f>
        <v>0</v>
      </c>
      <c r="C100" s="36">
        <f t="shared" si="53"/>
        <v>0</v>
      </c>
      <c r="D100" s="515">
        <f t="shared" si="55"/>
        <v>76</v>
      </c>
      <c r="E100" s="35" t="str">
        <f t="shared" ca="1" si="54"/>
        <v>2.1.0</v>
      </c>
      <c r="F100" s="36" t="s">
        <v>2639</v>
      </c>
      <c r="G100" s="36">
        <v>6817889</v>
      </c>
      <c r="H100" s="224" t="str">
        <f t="shared" si="48"/>
        <v>Corpo de BSCC - seção canal de 2,0 x 2,0 m - pré-moldado - tipo I - areia e brita comerciais</v>
      </c>
      <c r="I100" s="37" t="str">
        <f>IFERROR(VLOOKUP(G100,SINAPI!A:D,2,0),"")</f>
        <v>Corpo de BSCC - seção canal de 2,0 x 2,0 m - pré-moldado - tipo I - areia e brita comerciais</v>
      </c>
      <c r="J100" s="45" t="s">
        <v>5</v>
      </c>
      <c r="K100" s="530"/>
      <c r="L100" s="40" t="str">
        <f>IFERROR(VLOOKUP(G100,SINAPI!A:D,3,0),"")</f>
        <v>m</v>
      </c>
      <c r="M100" s="40">
        <f>VLOOKUP(D100,MEMORIA!B:F,$A$3+3)</f>
        <v>0</v>
      </c>
      <c r="N100" s="41">
        <f>IFERROR(VLOOKUP(G100,SINAPI!A:D,4,0),"")</f>
        <v>2334.66</v>
      </c>
      <c r="O100" s="1571">
        <f t="shared" si="49"/>
        <v>0.24379999999999999</v>
      </c>
      <c r="P100" s="41">
        <f t="shared" si="50"/>
        <v>2903.85</v>
      </c>
      <c r="Q100" s="42">
        <f t="shared" si="56"/>
        <v>0</v>
      </c>
      <c r="R100" s="1444">
        <f t="shared" si="47"/>
        <v>0</v>
      </c>
      <c r="S100" s="315"/>
      <c r="T100" s="315"/>
      <c r="U100" s="849"/>
      <c r="V100" s="849"/>
    </row>
    <row r="101" spans="1:22" s="2" customFormat="1" ht="25.5" hidden="1" outlineLevel="1" x14ac:dyDescent="0.25">
      <c r="A101" s="36">
        <f t="shared" ca="1" si="52"/>
        <v>2</v>
      </c>
      <c r="B101" s="576">
        <f>IF(M101=0,0,MAX($B$82:B100)+1)</f>
        <v>0</v>
      </c>
      <c r="C101" s="36">
        <f t="shared" si="53"/>
        <v>0</v>
      </c>
      <c r="D101" s="515">
        <f t="shared" si="55"/>
        <v>77</v>
      </c>
      <c r="E101" s="35" t="str">
        <f t="shared" ca="1" si="54"/>
        <v>2.1.0</v>
      </c>
      <c r="F101" s="36" t="s">
        <v>2639</v>
      </c>
      <c r="G101" s="36">
        <v>6817857</v>
      </c>
      <c r="H101" s="224" t="str">
        <f t="shared" si="48"/>
        <v>Corpo de BSCC - seção fechada de 2,5 x 2,5 m - pré-moldado - altura do aterro de 0,25 a 1,00 m - areia e brita comerciais</v>
      </c>
      <c r="I101" s="37" t="str">
        <f>IFERROR(VLOOKUP(G101,SINAPI!A:D,2,0),"")</f>
        <v>Corpo de BSCC - seção fechada de 2,5 x 2,5 m - pré-moldado - altura do aterro de 0,25 a 1,00 m - areia e brita comerciais</v>
      </c>
      <c r="J101" s="45" t="s">
        <v>5</v>
      </c>
      <c r="K101" s="985"/>
      <c r="L101" s="40" t="str">
        <f>IFERROR(VLOOKUP(G101,SINAPI!A:D,3,0),"")</f>
        <v>m</v>
      </c>
      <c r="M101" s="40">
        <f>VLOOKUP(D101,MEMORIA!B:F,$A$3+3)</f>
        <v>0</v>
      </c>
      <c r="N101" s="41">
        <f>IFERROR(VLOOKUP(G101,SINAPI!A:D,4,0),"")</f>
        <v>3722.78</v>
      </c>
      <c r="O101" s="1571">
        <f t="shared" si="49"/>
        <v>0.24379999999999999</v>
      </c>
      <c r="P101" s="41">
        <f t="shared" si="50"/>
        <v>4630.3900000000003</v>
      </c>
      <c r="Q101" s="42">
        <f t="shared" si="56"/>
        <v>0</v>
      </c>
      <c r="R101" s="1444">
        <f t="shared" si="47"/>
        <v>0</v>
      </c>
      <c r="S101" s="315"/>
      <c r="T101" s="315"/>
      <c r="U101" s="849"/>
      <c r="V101" s="849"/>
    </row>
    <row r="102" spans="1:22" ht="15" hidden="1" customHeight="1" outlineLevel="1" x14ac:dyDescent="0.25">
      <c r="A102" s="576">
        <f t="shared" ca="1" si="52"/>
        <v>2</v>
      </c>
      <c r="B102" s="576">
        <f>IF(M102=0,0,MAX($B$82:B101)+1)</f>
        <v>0</v>
      </c>
      <c r="C102" s="576">
        <f t="shared" si="53"/>
        <v>0</v>
      </c>
      <c r="D102" s="515">
        <f t="shared" si="55"/>
        <v>78</v>
      </c>
      <c r="E102" s="35" t="str">
        <f t="shared" ca="1" si="54"/>
        <v>2.1.0</v>
      </c>
      <c r="F102" s="576" t="s">
        <v>2639</v>
      </c>
      <c r="G102" s="576">
        <v>705259</v>
      </c>
      <c r="H102" s="224" t="str">
        <f t="shared" si="48"/>
        <v>Corpo de BDCC 1,50 x 1,50 m - moldado no local - altura do aterro 1,00 a 2,50 m - areia e brita comerciais</v>
      </c>
      <c r="I102" s="37" t="str">
        <f>IFERROR(VLOOKUP(G102,SINAPI!A:D,2,0),"")</f>
        <v>Corpo de BDCC 1,50 x 1,50 m - moldado no local - altura do aterro 1,00 a 2,50 m - areia e brita comerciais</v>
      </c>
      <c r="J102" s="626" t="s">
        <v>5</v>
      </c>
      <c r="K102" s="986"/>
      <c r="L102" s="40" t="str">
        <f>IFERROR(VLOOKUP(G102,SINAPI!A:D,3,0),"")</f>
        <v>m</v>
      </c>
      <c r="M102" s="40">
        <f>VLOOKUP(D102,MEMORIA!B:F,$A$3+3)</f>
        <v>0</v>
      </c>
      <c r="N102" s="40">
        <f>IFERROR(VLOOKUP(G102,SINAPI!A:D,4,0),"")</f>
        <v>3521.59</v>
      </c>
      <c r="O102" s="1571">
        <f t="shared" si="49"/>
        <v>0.24379999999999999</v>
      </c>
      <c r="P102" s="41">
        <f t="shared" si="50"/>
        <v>4380.1499999999996</v>
      </c>
      <c r="Q102" s="580">
        <f t="shared" si="56"/>
        <v>0</v>
      </c>
      <c r="R102" s="1444">
        <f t="shared" si="47"/>
        <v>0</v>
      </c>
      <c r="U102" s="849"/>
      <c r="V102" s="849"/>
    </row>
    <row r="103" spans="1:22" s="2" customFormat="1" ht="15" hidden="1" customHeight="1" outlineLevel="1" x14ac:dyDescent="0.25">
      <c r="A103" s="36">
        <f t="shared" ca="1" si="52"/>
        <v>2</v>
      </c>
      <c r="B103" s="576">
        <f>IF(M103=0,0,MAX($B$82:B102)+1)</f>
        <v>0</v>
      </c>
      <c r="C103" s="36">
        <f t="shared" si="53"/>
        <v>0</v>
      </c>
      <c r="D103" s="515">
        <f t="shared" si="55"/>
        <v>79</v>
      </c>
      <c r="E103" s="35" t="str">
        <f t="shared" ca="1" si="54"/>
        <v>2.1.0</v>
      </c>
      <c r="F103" s="36" t="s">
        <v>2639</v>
      </c>
      <c r="G103" s="36">
        <v>705273</v>
      </c>
      <c r="H103" s="224" t="str">
        <f t="shared" si="48"/>
        <v>Corpo de BDCC 2,00 x 2,00 m - moldado no local - altura do aterro 1,00 a 2,50 m - areia e brita comerciais</v>
      </c>
      <c r="I103" s="37" t="str">
        <f>IFERROR(VLOOKUP(G103,SINAPI!A:D,2,0),"")</f>
        <v>Corpo de BDCC 2,00 x 2,00 m - moldado no local - altura do aterro 1,00 a 2,50 m - areia e brita comerciais</v>
      </c>
      <c r="J103" s="45" t="s">
        <v>5</v>
      </c>
      <c r="K103" s="530"/>
      <c r="L103" s="40" t="str">
        <f>IFERROR(VLOOKUP(G103,SINAPI!A:D,3,0),"")</f>
        <v>m</v>
      </c>
      <c r="M103" s="40">
        <f>VLOOKUP(D103,MEMORIA!B:F,$A$3+3)</f>
        <v>0</v>
      </c>
      <c r="N103" s="41">
        <f>IFERROR(VLOOKUP(G103,SINAPI!A:D,4,0),"")</f>
        <v>5196.7299999999996</v>
      </c>
      <c r="O103" s="1571">
        <f t="shared" si="49"/>
        <v>0.24379999999999999</v>
      </c>
      <c r="P103" s="41">
        <f t="shared" si="50"/>
        <v>6463.69</v>
      </c>
      <c r="Q103" s="42">
        <f t="shared" si="56"/>
        <v>0</v>
      </c>
      <c r="R103" s="1444">
        <f t="shared" si="47"/>
        <v>0</v>
      </c>
      <c r="S103" s="315"/>
      <c r="T103" s="315"/>
      <c r="U103" s="849"/>
      <c r="V103" s="849"/>
    </row>
    <row r="104" spans="1:22" s="2" customFormat="1" ht="15" hidden="1" customHeight="1" outlineLevel="1" x14ac:dyDescent="0.25">
      <c r="A104" s="36">
        <f t="shared" ca="1" si="52"/>
        <v>2</v>
      </c>
      <c r="B104" s="576">
        <f>IF(M104=0,0,MAX($B$82:B103)+1)</f>
        <v>0</v>
      </c>
      <c r="C104" s="36">
        <f t="shared" si="53"/>
        <v>0</v>
      </c>
      <c r="D104" s="515">
        <f t="shared" si="55"/>
        <v>80</v>
      </c>
      <c r="E104" s="35" t="str">
        <f t="shared" ca="1" si="54"/>
        <v>2.1.0</v>
      </c>
      <c r="F104" s="36" t="s">
        <v>2639</v>
      </c>
      <c r="G104" s="36">
        <v>705287</v>
      </c>
      <c r="H104" s="224" t="str">
        <f t="shared" si="48"/>
        <v>Corpo de BDCC 2,50 x 2,50 m - moldado no local - altura do aterro 1,00 a 2,50 m - areia e brita comerciais</v>
      </c>
      <c r="I104" s="37" t="str">
        <f>IFERROR(VLOOKUP(G104,SINAPI!A:D,2,0),"")</f>
        <v>Corpo de BDCC 2,50 x 2,50 m - moldado no local - altura do aterro 1,00 a 2,50 m - areia e brita comerciais</v>
      </c>
      <c r="J104" s="45" t="s">
        <v>5</v>
      </c>
      <c r="K104" s="985"/>
      <c r="L104" s="40" t="str">
        <f>IFERROR(VLOOKUP(G104,SINAPI!A:D,3,0),"")</f>
        <v>m</v>
      </c>
      <c r="M104" s="40">
        <f>VLOOKUP(D104,MEMORIA!B:F,$A$3+3)</f>
        <v>0</v>
      </c>
      <c r="N104" s="41">
        <f>IFERROR(VLOOKUP(G104,SINAPI!A:D,4,0),"")</f>
        <v>6892.86</v>
      </c>
      <c r="O104" s="1571">
        <f t="shared" si="49"/>
        <v>0.24379999999999999</v>
      </c>
      <c r="P104" s="41">
        <f t="shared" si="50"/>
        <v>8573.34</v>
      </c>
      <c r="Q104" s="42">
        <f t="shared" si="56"/>
        <v>0</v>
      </c>
      <c r="R104" s="1444">
        <f t="shared" si="47"/>
        <v>0</v>
      </c>
      <c r="S104" s="315"/>
      <c r="T104" s="315"/>
      <c r="U104" s="849"/>
      <c r="V104" s="849"/>
    </row>
    <row r="105" spans="1:22" s="2" customFormat="1" ht="15" hidden="1" customHeight="1" outlineLevel="1" x14ac:dyDescent="0.25">
      <c r="A105" s="36">
        <f t="shared" ca="1" si="52"/>
        <v>2</v>
      </c>
      <c r="B105" s="576">
        <f>IF(M105=0,0,MAX($B$82:B104)+1)</f>
        <v>0</v>
      </c>
      <c r="C105" s="36">
        <f t="shared" si="53"/>
        <v>0</v>
      </c>
      <c r="D105" s="515">
        <f t="shared" si="55"/>
        <v>81</v>
      </c>
      <c r="E105" s="35" t="str">
        <f t="shared" ca="1" si="54"/>
        <v>2.1.0</v>
      </c>
      <c r="F105" s="36" t="s">
        <v>2639</v>
      </c>
      <c r="G105" s="36">
        <v>705348</v>
      </c>
      <c r="H105" s="224" t="str">
        <f t="shared" si="48"/>
        <v>Corpo de BTCC 1,50 x 1,50 m - moldado no local - altura do aterro 1,00 a 2,50 m - areia e brita comerciais</v>
      </c>
      <c r="I105" s="37" t="str">
        <f>IFERROR(VLOOKUP(G105,SINAPI!A:D,2,0),"")</f>
        <v>Corpo de BTCC 1,50 x 1,50 m - moldado no local - altura do aterro 1,00 a 2,50 m - areia e brita comerciais</v>
      </c>
      <c r="J105" s="45" t="s">
        <v>5</v>
      </c>
      <c r="K105" s="986"/>
      <c r="L105" s="40" t="str">
        <f>IFERROR(VLOOKUP(G105,SINAPI!A:D,3,0),"")</f>
        <v>m</v>
      </c>
      <c r="M105" s="40">
        <f>VLOOKUP(D105,MEMORIA!B:F,$A$3+3)</f>
        <v>0</v>
      </c>
      <c r="N105" s="41">
        <f>IFERROR(VLOOKUP(G105,SINAPI!A:D,4,0),"")</f>
        <v>5003.29</v>
      </c>
      <c r="O105" s="1571">
        <f t="shared" si="49"/>
        <v>0.24379999999999999</v>
      </c>
      <c r="P105" s="41">
        <f t="shared" si="50"/>
        <v>6223.09</v>
      </c>
      <c r="Q105" s="42">
        <f t="shared" si="56"/>
        <v>0</v>
      </c>
      <c r="R105" s="1444">
        <f t="shared" si="47"/>
        <v>0</v>
      </c>
      <c r="S105" s="315"/>
      <c r="T105" s="315"/>
      <c r="U105" s="849"/>
      <c r="V105" s="849"/>
    </row>
    <row r="106" spans="1:22" s="2" customFormat="1" ht="15" hidden="1" customHeight="1" outlineLevel="1" x14ac:dyDescent="0.25">
      <c r="A106" s="36">
        <f t="shared" ca="1" si="52"/>
        <v>2</v>
      </c>
      <c r="B106" s="576">
        <f>IF(M106=0,0,MAX($B$82:B105)+1)</f>
        <v>0</v>
      </c>
      <c r="C106" s="36">
        <f t="shared" si="53"/>
        <v>0</v>
      </c>
      <c r="D106" s="515">
        <f t="shared" si="55"/>
        <v>82</v>
      </c>
      <c r="E106" s="35" t="str">
        <f t="shared" ca="1" si="54"/>
        <v>2.1.0</v>
      </c>
      <c r="F106" s="36" t="s">
        <v>2639</v>
      </c>
      <c r="G106" s="36">
        <v>705362</v>
      </c>
      <c r="H106" s="224" t="str">
        <f t="shared" si="48"/>
        <v>Corpo de BTCC 2,00 x 2,00 m - moldado no local - altura do aterro 1,00 a 2,50 m - areia e brita comerciais</v>
      </c>
      <c r="I106" s="37" t="str">
        <f>IFERROR(VLOOKUP(G106,SINAPI!A:D,2,0),"")</f>
        <v>Corpo de BTCC 2,00 x 2,00 m - moldado no local - altura do aterro 1,00 a 2,50 m - areia e brita comerciais</v>
      </c>
      <c r="J106" s="45" t="s">
        <v>5</v>
      </c>
      <c r="K106" s="530"/>
      <c r="L106" s="40" t="str">
        <f>IFERROR(VLOOKUP(G106,SINAPI!A:D,3,0),"")</f>
        <v>m</v>
      </c>
      <c r="M106" s="40">
        <f>VLOOKUP(D106,MEMORIA!B:F,$A$3+3)</f>
        <v>0</v>
      </c>
      <c r="N106" s="41">
        <f>IFERROR(VLOOKUP(G106,SINAPI!A:D,4,0),"")</f>
        <v>7311.07</v>
      </c>
      <c r="O106" s="1571">
        <f t="shared" si="49"/>
        <v>0.24379999999999999</v>
      </c>
      <c r="P106" s="41">
        <f t="shared" si="50"/>
        <v>9093.51</v>
      </c>
      <c r="Q106" s="42">
        <f t="shared" si="56"/>
        <v>0</v>
      </c>
      <c r="R106" s="1444">
        <f t="shared" si="47"/>
        <v>0</v>
      </c>
      <c r="S106" s="315"/>
      <c r="T106" s="315"/>
      <c r="U106" s="849"/>
      <c r="V106" s="849"/>
    </row>
    <row r="107" spans="1:22" ht="24.75" hidden="1" customHeight="1" outlineLevel="1" x14ac:dyDescent="0.25">
      <c r="A107" s="36">
        <f t="shared" ca="1" si="52"/>
        <v>2</v>
      </c>
      <c r="B107" s="576">
        <f>IF(M107=0,0,MAX($B$82:B106)+1)</f>
        <v>0</v>
      </c>
      <c r="C107" s="36">
        <f t="shared" si="53"/>
        <v>0</v>
      </c>
      <c r="D107" s="515">
        <f t="shared" si="55"/>
        <v>83</v>
      </c>
      <c r="E107" s="35" t="str">
        <f t="shared" ca="1" si="54"/>
        <v>2.1.0</v>
      </c>
      <c r="F107" s="576" t="s">
        <v>2639</v>
      </c>
      <c r="G107" s="576">
        <v>705376</v>
      </c>
      <c r="H107" s="224" t="str">
        <f t="shared" si="48"/>
        <v>Corpo de BTCC 2,50 x 2,50 m - moldado no local - altura do aterro 1,00 a 2,50 m - areia e brita comerciais</v>
      </c>
      <c r="I107" s="37" t="str">
        <f>IFERROR(VLOOKUP(G107,SINAPI!A:D,2,0),"")</f>
        <v>Corpo de BTCC 2,50 x 2,50 m - moldado no local - altura do aterro 1,00 a 2,50 m - areia e brita comerciais</v>
      </c>
      <c r="J107" s="626" t="s">
        <v>5</v>
      </c>
      <c r="K107" s="985"/>
      <c r="L107" s="40" t="str">
        <f>IFERROR(VLOOKUP(G107,SINAPI!A:D,3,0),"")</f>
        <v>m</v>
      </c>
      <c r="M107" s="40">
        <f>VLOOKUP(D107,MEMORIA!B:F,$A$3+3)</f>
        <v>0</v>
      </c>
      <c r="N107" s="40">
        <f>IFERROR(VLOOKUP(G107,SINAPI!A:D,4,0),"")</f>
        <v>9503.57</v>
      </c>
      <c r="O107" s="1571">
        <f t="shared" si="49"/>
        <v>0.24379999999999999</v>
      </c>
      <c r="P107" s="41">
        <f t="shared" si="50"/>
        <v>11820.54</v>
      </c>
      <c r="Q107" s="580">
        <f t="shared" si="56"/>
        <v>0</v>
      </c>
      <c r="R107" s="1444">
        <f t="shared" si="47"/>
        <v>0</v>
      </c>
      <c r="U107" s="849"/>
      <c r="V107" s="849"/>
    </row>
    <row r="108" spans="1:22" ht="15" hidden="1" customHeight="1" outlineLevel="1" x14ac:dyDescent="0.25">
      <c r="A108" s="36">
        <f t="shared" ca="1" si="52"/>
        <v>2</v>
      </c>
      <c r="B108" s="576">
        <f>IF(M108=0,0,MAX($B$82:B107)+1)</f>
        <v>0</v>
      </c>
      <c r="C108" s="36">
        <f t="shared" si="53"/>
        <v>0</v>
      </c>
      <c r="D108" s="515">
        <f t="shared" si="55"/>
        <v>84</v>
      </c>
      <c r="E108" s="35" t="str">
        <f t="shared" ca="1" si="54"/>
        <v>2.1.0</v>
      </c>
      <c r="F108" s="576" t="s">
        <v>2639</v>
      </c>
      <c r="G108" s="576">
        <v>2003477</v>
      </c>
      <c r="H108" s="224" t="str">
        <f t="shared" si="48"/>
        <v>Caixa coletora de sarjeta - CCS 01 - com grelha de concreto - TCC 01 - areia e brita comerciais</v>
      </c>
      <c r="I108" s="37" t="str">
        <f>IFERROR(VLOOKUP(G108,SINAPI!A:D,2,0),"")</f>
        <v>Caixa coletora de sarjeta - CCS 01 - com grelha de concreto - TCC 01 - areia e brita comerciais</v>
      </c>
      <c r="J108" s="626" t="s">
        <v>5</v>
      </c>
      <c r="K108" s="985"/>
      <c r="L108" s="40" t="str">
        <f>IFERROR(VLOOKUP(G108,SINAPI!A:D,3,0),"")</f>
        <v>un</v>
      </c>
      <c r="M108" s="40">
        <f>VLOOKUP(D108,MEMORIA!B:F,$A$3+3)</f>
        <v>0</v>
      </c>
      <c r="N108" s="40">
        <f>IFERROR(VLOOKUP(G108,SINAPI!A:D,4,0),"")</f>
        <v>3582.78</v>
      </c>
      <c r="O108" s="1571">
        <f t="shared" si="49"/>
        <v>0.24379999999999999</v>
      </c>
      <c r="P108" s="41">
        <f t="shared" si="50"/>
        <v>4456.26</v>
      </c>
      <c r="Q108" s="580">
        <f t="shared" si="56"/>
        <v>0</v>
      </c>
      <c r="R108" s="1444">
        <f t="shared" si="47"/>
        <v>0</v>
      </c>
      <c r="U108" s="849"/>
      <c r="V108" s="849"/>
    </row>
    <row r="109" spans="1:22" s="2" customFormat="1" ht="15" customHeight="1" outlineLevel="1" x14ac:dyDescent="0.25">
      <c r="A109" s="36">
        <f t="shared" ca="1" si="52"/>
        <v>2</v>
      </c>
      <c r="B109" s="576">
        <f>IF(M109=0,0,MAX($B$82:B108)+1)</f>
        <v>5</v>
      </c>
      <c r="C109" s="36">
        <f t="shared" si="53"/>
        <v>1</v>
      </c>
      <c r="D109" s="515">
        <f t="shared" si="55"/>
        <v>85</v>
      </c>
      <c r="E109" s="35" t="str">
        <f t="shared" ca="1" si="54"/>
        <v>2.1.5</v>
      </c>
      <c r="F109" s="36" t="s">
        <v>2639</v>
      </c>
      <c r="G109" s="36">
        <v>2003479</v>
      </c>
      <c r="H109" s="224" t="str">
        <f t="shared" si="48"/>
        <v>Caixa coletora de sarjeta - CCS 02 - com grelha de concreto - TCC 01 - areia e brita comerciais</v>
      </c>
      <c r="I109" s="37" t="str">
        <f>IFERROR(VLOOKUP(G109,SINAPI!A:D,2,0),"")</f>
        <v>Caixa coletora de sarjeta - CCS 02 - com grelha de concreto - TCC 01 - areia e brita comerciais</v>
      </c>
      <c r="J109" s="45" t="s">
        <v>5</v>
      </c>
      <c r="K109" s="985"/>
      <c r="L109" s="40" t="str">
        <f>IFERROR(VLOOKUP(G109,SINAPI!A:D,3,0),"")</f>
        <v>un</v>
      </c>
      <c r="M109" s="40">
        <f>VLOOKUP(D109,MEMORIA!B:F,$A$3+3)</f>
        <v>1</v>
      </c>
      <c r="N109" s="41">
        <f>IFERROR(VLOOKUP(G109,SINAPI!A:D,4,0),"")</f>
        <v>3537.83</v>
      </c>
      <c r="O109" s="1571">
        <f t="shared" si="49"/>
        <v>0.24379999999999999</v>
      </c>
      <c r="P109" s="41">
        <f t="shared" si="50"/>
        <v>4400.3500000000004</v>
      </c>
      <c r="Q109" s="42">
        <f t="shared" si="56"/>
        <v>4400.3500000000004</v>
      </c>
      <c r="R109" s="1444">
        <f t="shared" si="47"/>
        <v>4400.3500000000004</v>
      </c>
      <c r="S109" s="315"/>
      <c r="T109" s="315"/>
      <c r="U109" s="849"/>
      <c r="V109" s="849"/>
    </row>
    <row r="110" spans="1:22" s="2" customFormat="1" ht="15" hidden="1" customHeight="1" outlineLevel="1" x14ac:dyDescent="0.25">
      <c r="A110" s="36">
        <f t="shared" ca="1" si="52"/>
        <v>2</v>
      </c>
      <c r="B110" s="576">
        <f>IF(M110=0,0,MAX($B$82:B109)+1)</f>
        <v>0</v>
      </c>
      <c r="C110" s="36">
        <f t="shared" si="53"/>
        <v>0</v>
      </c>
      <c r="D110" s="515">
        <f t="shared" si="55"/>
        <v>86</v>
      </c>
      <c r="E110" s="35" t="str">
        <f t="shared" ca="1" si="54"/>
        <v>2.1.0</v>
      </c>
      <c r="F110" s="36" t="s">
        <v>2639</v>
      </c>
      <c r="G110" s="36">
        <v>2003481</v>
      </c>
      <c r="H110" s="224" t="str">
        <f t="shared" si="48"/>
        <v>Caixa coletora de sarjeta - CCS 03 - com grelha de concreto - TCC 01 - areia e brita comerciais</v>
      </c>
      <c r="I110" s="37" t="str">
        <f>IFERROR(VLOOKUP(G110,SINAPI!A:D,2,0),"")</f>
        <v>Caixa coletora de sarjeta - CCS 03 - com grelha de concreto - TCC 01 - areia e brita comerciais</v>
      </c>
      <c r="J110" s="45" t="s">
        <v>5</v>
      </c>
      <c r="K110" s="530"/>
      <c r="L110" s="40" t="str">
        <f>IFERROR(VLOOKUP(G110,SINAPI!A:D,3,0),"")</f>
        <v>un</v>
      </c>
      <c r="M110" s="40">
        <f>VLOOKUP(D110,MEMORIA!B:F,$A$3+3)</f>
        <v>0</v>
      </c>
      <c r="N110" s="41">
        <f>IFERROR(VLOOKUP(G110,SINAPI!A:D,4,0),"")</f>
        <v>3492.87</v>
      </c>
      <c r="O110" s="1571">
        <f t="shared" si="49"/>
        <v>0.24379999999999999</v>
      </c>
      <c r="P110" s="41">
        <f t="shared" si="50"/>
        <v>4344.43</v>
      </c>
      <c r="Q110" s="42">
        <f t="shared" si="56"/>
        <v>0</v>
      </c>
      <c r="R110" s="1444">
        <f t="shared" si="47"/>
        <v>0</v>
      </c>
      <c r="S110" s="315"/>
      <c r="T110" s="315"/>
      <c r="U110" s="849"/>
      <c r="V110" s="849"/>
    </row>
    <row r="111" spans="1:22" s="2" customFormat="1" ht="15" hidden="1" customHeight="1" outlineLevel="1" x14ac:dyDescent="0.25">
      <c r="A111" s="36">
        <f ca="1">A109</f>
        <v>2</v>
      </c>
      <c r="B111" s="576">
        <f>IF(M111=0,0,MAX($B$82:B110)+1)</f>
        <v>0</v>
      </c>
      <c r="C111" s="36">
        <f t="shared" si="53"/>
        <v>0</v>
      </c>
      <c r="D111" s="515">
        <f t="shared" si="55"/>
        <v>87</v>
      </c>
      <c r="E111" s="35" t="str">
        <f t="shared" ca="1" si="54"/>
        <v>2.1.0</v>
      </c>
      <c r="F111" s="576" t="s">
        <v>2639</v>
      </c>
      <c r="G111" s="36">
        <v>2003483</v>
      </c>
      <c r="H111" s="224" t="str">
        <f t="shared" si="48"/>
        <v>Caixa coletora de sarjeta - CCS 04 - com grelha de concreto - TCC 01 - areia e brita comerciais</v>
      </c>
      <c r="I111" s="37" t="str">
        <f>IFERROR(VLOOKUP(G111,SINAPI!A:D,2,0),"")</f>
        <v>Caixa coletora de sarjeta - CCS 04 - com grelha de concreto - TCC 01 - areia e brita comerciais</v>
      </c>
      <c r="J111" s="45" t="s">
        <v>5</v>
      </c>
      <c r="K111" s="985"/>
      <c r="L111" s="40" t="str">
        <f>IFERROR(VLOOKUP(G111,SINAPI!A:D,3,0),"")</f>
        <v>un</v>
      </c>
      <c r="M111" s="40">
        <f>VLOOKUP(D111,MEMORIA!B:F,$A$3+3)</f>
        <v>0</v>
      </c>
      <c r="N111" s="41">
        <f>IFERROR(VLOOKUP(G111,SINAPI!A:D,4,0),"")</f>
        <v>3447.91</v>
      </c>
      <c r="O111" s="1571">
        <f t="shared" si="49"/>
        <v>0.24379999999999999</v>
      </c>
      <c r="P111" s="41">
        <f t="shared" si="50"/>
        <v>4288.51</v>
      </c>
      <c r="Q111" s="42">
        <f t="shared" si="56"/>
        <v>0</v>
      </c>
      <c r="R111" s="1444">
        <f t="shared" si="47"/>
        <v>0</v>
      </c>
      <c r="S111" s="315"/>
      <c r="T111" s="315"/>
      <c r="U111" s="849"/>
      <c r="V111" s="849"/>
    </row>
    <row r="112" spans="1:22" s="2" customFormat="1" ht="15" hidden="1" customHeight="1" outlineLevel="1" x14ac:dyDescent="0.25">
      <c r="A112" s="36">
        <f t="shared" ca="1" si="52"/>
        <v>2</v>
      </c>
      <c r="B112" s="576">
        <f>IF(M112=0,0,MAX($B$82:B111)+1)</f>
        <v>0</v>
      </c>
      <c r="C112" s="36">
        <f t="shared" si="53"/>
        <v>0</v>
      </c>
      <c r="D112" s="515">
        <f t="shared" si="55"/>
        <v>88</v>
      </c>
      <c r="E112" s="35" t="str">
        <f t="shared" ca="1" si="54"/>
        <v>2.1.0</v>
      </c>
      <c r="F112" s="36" t="s">
        <v>2639</v>
      </c>
      <c r="G112" s="36">
        <v>2003728</v>
      </c>
      <c r="H112" s="224" t="str">
        <f t="shared" si="48"/>
        <v>Caixa coletora de talvegue - CCT 01 - areia e brita comerciais</v>
      </c>
      <c r="I112" s="37" t="str">
        <f>IFERROR(VLOOKUP(G112,SINAPI!A:D,2,0),"")</f>
        <v>Caixa coletora de talvegue - CCT 01 - areia e brita comerciais</v>
      </c>
      <c r="J112" s="45" t="s">
        <v>5</v>
      </c>
      <c r="K112" s="985"/>
      <c r="L112" s="40" t="str">
        <f>IFERROR(VLOOKUP(G112,SINAPI!A:D,3,0),"")</f>
        <v>un</v>
      </c>
      <c r="M112" s="40">
        <f>VLOOKUP(D112,MEMORIA!B:F,$A$3+3)</f>
        <v>0</v>
      </c>
      <c r="N112" s="41">
        <f>IFERROR(VLOOKUP(G112,SINAPI!A:D,4,0),"")</f>
        <v>3302.49</v>
      </c>
      <c r="O112" s="1571">
        <f t="shared" si="49"/>
        <v>0.24379999999999999</v>
      </c>
      <c r="P112" s="41">
        <f t="shared" si="50"/>
        <v>4107.6400000000003</v>
      </c>
      <c r="Q112" s="42">
        <f t="shared" si="56"/>
        <v>0</v>
      </c>
      <c r="R112" s="1444">
        <f t="shared" si="47"/>
        <v>0</v>
      </c>
      <c r="S112" s="315"/>
      <c r="T112" s="315"/>
      <c r="U112" s="849"/>
      <c r="V112" s="849"/>
    </row>
    <row r="113" spans="1:22" s="2" customFormat="1" ht="15" hidden="1" customHeight="1" outlineLevel="1" x14ac:dyDescent="0.25">
      <c r="A113" s="36">
        <f t="shared" ca="1" si="52"/>
        <v>2</v>
      </c>
      <c r="B113" s="576">
        <f>IF(M113=0,0,MAX($B$82:B112)+1)</f>
        <v>0</v>
      </c>
      <c r="C113" s="36">
        <f t="shared" si="53"/>
        <v>0</v>
      </c>
      <c r="D113" s="515">
        <f t="shared" si="55"/>
        <v>89</v>
      </c>
      <c r="E113" s="35" t="str">
        <f t="shared" ca="1" si="54"/>
        <v>2.1.0</v>
      </c>
      <c r="F113" s="36" t="s">
        <v>2639</v>
      </c>
      <c r="G113" s="36">
        <v>2003730</v>
      </c>
      <c r="H113" s="224" t="str">
        <f t="shared" si="48"/>
        <v>Caixa coletora de talvegue - CCT 02 - areia e brita comerciais</v>
      </c>
      <c r="I113" s="37" t="str">
        <f>IFERROR(VLOOKUP(G113,SINAPI!A:D,2,0),"")</f>
        <v>Caixa coletora de talvegue - CCT 02 - areia e brita comerciais</v>
      </c>
      <c r="J113" s="45" t="s">
        <v>5</v>
      </c>
      <c r="K113" s="46"/>
      <c r="L113" s="40" t="str">
        <f>IFERROR(VLOOKUP(G113,SINAPI!A:D,3,0),"")</f>
        <v>un</v>
      </c>
      <c r="M113" s="40">
        <f>VLOOKUP(D113,MEMORIA!B:F,$A$3+3)</f>
        <v>0</v>
      </c>
      <c r="N113" s="41">
        <f>IFERROR(VLOOKUP(G113,SINAPI!A:D,4,0),"")</f>
        <v>3257.53</v>
      </c>
      <c r="O113" s="1571">
        <f t="shared" si="49"/>
        <v>0.24379999999999999</v>
      </c>
      <c r="P113" s="41">
        <f t="shared" si="50"/>
        <v>4051.72</v>
      </c>
      <c r="Q113" s="42">
        <f t="shared" si="56"/>
        <v>0</v>
      </c>
      <c r="R113" s="1444">
        <f t="shared" si="47"/>
        <v>0</v>
      </c>
      <c r="S113" s="315"/>
      <c r="T113" s="315"/>
      <c r="U113" s="849"/>
      <c r="V113" s="849"/>
    </row>
    <row r="114" spans="1:22" s="2" customFormat="1" ht="15" hidden="1" customHeight="1" outlineLevel="1" x14ac:dyDescent="0.25">
      <c r="A114" s="36">
        <f t="shared" ca="1" si="52"/>
        <v>2</v>
      </c>
      <c r="B114" s="576">
        <f>IF(M114=0,0,MAX($B$82:B113)+1)</f>
        <v>0</v>
      </c>
      <c r="C114" s="36">
        <f t="shared" si="53"/>
        <v>0</v>
      </c>
      <c r="D114" s="515">
        <f t="shared" si="55"/>
        <v>90</v>
      </c>
      <c r="E114" s="35" t="str">
        <f t="shared" ca="1" si="54"/>
        <v>2.1.0</v>
      </c>
      <c r="F114" s="36" t="s">
        <v>2639</v>
      </c>
      <c r="G114" s="36">
        <v>2003732</v>
      </c>
      <c r="H114" s="224" t="str">
        <f t="shared" si="48"/>
        <v>Caixa coletora de talvegue - CCT 03 - areia e brita comerciais</v>
      </c>
      <c r="I114" s="37" t="str">
        <f>IFERROR(VLOOKUP(G114,SINAPI!A:D,2,0),"")</f>
        <v>Caixa coletora de talvegue - CCT 03 - areia e brita comerciais</v>
      </c>
      <c r="J114" s="45" t="s">
        <v>5</v>
      </c>
      <c r="K114" s="46"/>
      <c r="L114" s="40" t="str">
        <f>IFERROR(VLOOKUP(G114,SINAPI!A:D,3,0),"")</f>
        <v>un</v>
      </c>
      <c r="M114" s="40">
        <f>VLOOKUP(D114,MEMORIA!B:F,$A$3+3)</f>
        <v>0</v>
      </c>
      <c r="N114" s="41">
        <f>IFERROR(VLOOKUP(G114,SINAPI!A:D,4,0),"")</f>
        <v>3217.07</v>
      </c>
      <c r="O114" s="1571">
        <f t="shared" si="49"/>
        <v>0.24379999999999999</v>
      </c>
      <c r="P114" s="41">
        <f t="shared" si="50"/>
        <v>4001.39</v>
      </c>
      <c r="Q114" s="42">
        <f t="shared" si="56"/>
        <v>0</v>
      </c>
      <c r="R114" s="1444">
        <f t="shared" si="47"/>
        <v>0</v>
      </c>
      <c r="S114" s="315"/>
      <c r="T114" s="315"/>
      <c r="U114" s="849"/>
      <c r="V114" s="849"/>
    </row>
    <row r="115" spans="1:22" s="2" customFormat="1" ht="15" hidden="1" customHeight="1" outlineLevel="1" x14ac:dyDescent="0.25">
      <c r="A115" s="36">
        <f t="shared" ca="1" si="52"/>
        <v>2</v>
      </c>
      <c r="B115" s="576">
        <f>IF(M115=0,0,MAX($B$82:B114)+1)</f>
        <v>0</v>
      </c>
      <c r="C115" s="36">
        <f t="shared" si="53"/>
        <v>0</v>
      </c>
      <c r="D115" s="515">
        <f t="shared" si="55"/>
        <v>91</v>
      </c>
      <c r="E115" s="35" t="str">
        <f t="shared" ca="1" si="54"/>
        <v>2.1.0</v>
      </c>
      <c r="F115" s="36" t="s">
        <v>2639</v>
      </c>
      <c r="G115" s="36">
        <v>2003734</v>
      </c>
      <c r="H115" s="224" t="str">
        <f t="shared" si="48"/>
        <v>Caixa coletora de talvegue - CCT 04 - areia e brita comerciais</v>
      </c>
      <c r="I115" s="37" t="str">
        <f>IFERROR(VLOOKUP(G115,SINAPI!A:D,2,0),"")</f>
        <v>Caixa coletora de talvegue - CCT 04 - areia e brita comerciais</v>
      </c>
      <c r="J115" s="45" t="s">
        <v>5</v>
      </c>
      <c r="K115" s="530"/>
      <c r="L115" s="40" t="str">
        <f>IFERROR(VLOOKUP(G115,SINAPI!A:D,3,0),"")</f>
        <v>un</v>
      </c>
      <c r="M115" s="40">
        <f>VLOOKUP(D115,MEMORIA!B:F,$A$3+3)</f>
        <v>0</v>
      </c>
      <c r="N115" s="41">
        <f>IFERROR(VLOOKUP(G115,SINAPI!A:D,4,0),"")</f>
        <v>3167.62</v>
      </c>
      <c r="O115" s="1571">
        <f t="shared" si="49"/>
        <v>0.24379999999999999</v>
      </c>
      <c r="P115" s="41">
        <f t="shared" si="50"/>
        <v>3939.89</v>
      </c>
      <c r="Q115" s="42">
        <f t="shared" si="56"/>
        <v>0</v>
      </c>
      <c r="R115" s="1444">
        <f t="shared" si="47"/>
        <v>0</v>
      </c>
      <c r="S115" s="315"/>
      <c r="T115" s="315"/>
      <c r="U115" s="849"/>
      <c r="V115" s="849"/>
    </row>
    <row r="116" spans="1:22" s="2" customFormat="1" ht="15" hidden="1" customHeight="1" outlineLevel="1" x14ac:dyDescent="0.25">
      <c r="A116" s="36">
        <f t="shared" ca="1" si="52"/>
        <v>2</v>
      </c>
      <c r="B116" s="576">
        <f>IF(M116=0,0,MAX($B$82:B115)+1)</f>
        <v>0</v>
      </c>
      <c r="C116" s="36">
        <f t="shared" si="53"/>
        <v>0</v>
      </c>
      <c r="D116" s="515">
        <f t="shared" si="55"/>
        <v>92</v>
      </c>
      <c r="E116" s="35" t="str">
        <f t="shared" ca="1" si="54"/>
        <v>2.1.0</v>
      </c>
      <c r="F116" s="36" t="s">
        <v>2639</v>
      </c>
      <c r="G116" s="36">
        <v>804081</v>
      </c>
      <c r="H116" s="224" t="str">
        <f t="shared" si="48"/>
        <v>Boca de BSTC D = 0,60 m - esconsidade 0° - areia e brita comerciais - alas retas</v>
      </c>
      <c r="I116" s="37" t="str">
        <f>IFERROR(VLOOKUP(G116,SINAPI!A:D,2,0),"")</f>
        <v>Boca de BSTC D = 0,60 m - esconsidade 0° - areia e brita comerciais - alas retas</v>
      </c>
      <c r="J116" s="45" t="s">
        <v>5</v>
      </c>
      <c r="K116" s="439"/>
      <c r="L116" s="40" t="str">
        <f>IFERROR(VLOOKUP(G116,SINAPI!A:D,3,0),"")</f>
        <v>un</v>
      </c>
      <c r="M116" s="40">
        <f>VLOOKUP(D116,MEMORIA!B:F,$A$3+3)</f>
        <v>0</v>
      </c>
      <c r="N116" s="41">
        <f>IFERROR(VLOOKUP(G116,SINAPI!A:D,4,0),"")</f>
        <v>700.6</v>
      </c>
      <c r="O116" s="1571">
        <f t="shared" si="49"/>
        <v>0.24379999999999999</v>
      </c>
      <c r="P116" s="41">
        <f t="shared" si="50"/>
        <v>871.41</v>
      </c>
      <c r="Q116" s="42">
        <f t="shared" si="56"/>
        <v>0</v>
      </c>
      <c r="R116" s="1444">
        <f t="shared" si="47"/>
        <v>0</v>
      </c>
      <c r="S116" s="315"/>
      <c r="T116" s="315"/>
      <c r="U116" s="849"/>
      <c r="V116" s="849"/>
    </row>
    <row r="117" spans="1:22" s="2" customFormat="1" ht="15" customHeight="1" outlineLevel="1" x14ac:dyDescent="0.25">
      <c r="A117" s="36">
        <f t="shared" ca="1" si="52"/>
        <v>2</v>
      </c>
      <c r="B117" s="576">
        <f>IF(M117=0,0,MAX($B$82:B116)+1)</f>
        <v>6</v>
      </c>
      <c r="C117" s="36">
        <f t="shared" si="53"/>
        <v>1</v>
      </c>
      <c r="D117" s="515">
        <f t="shared" si="55"/>
        <v>93</v>
      </c>
      <c r="E117" s="35" t="str">
        <f t="shared" ca="1" si="54"/>
        <v>2.1.6</v>
      </c>
      <c r="F117" s="36" t="s">
        <v>2639</v>
      </c>
      <c r="G117" s="36">
        <v>804101</v>
      </c>
      <c r="H117" s="224" t="str">
        <f t="shared" si="48"/>
        <v>Boca de BSTC D = 0,80 m - esconsidade 0° - areia e brita comerciais - alas retas</v>
      </c>
      <c r="I117" s="37" t="str">
        <f>IFERROR(VLOOKUP(G117,SINAPI!A:D,2,0),"")</f>
        <v>Boca de BSTC D = 0,80 m - esconsidade 0° - areia e brita comerciais - alas retas</v>
      </c>
      <c r="J117" s="45" t="s">
        <v>5</v>
      </c>
      <c r="K117" s="986"/>
      <c r="L117" s="40" t="str">
        <f>IFERROR(VLOOKUP(G117,SINAPI!A:D,3,0),"")</f>
        <v>un</v>
      </c>
      <c r="M117" s="40">
        <f>VLOOKUP(D117,MEMORIA!B:F,$A$3+3)</f>
        <v>1</v>
      </c>
      <c r="N117" s="41">
        <f>IFERROR(VLOOKUP(G117,SINAPI!A:D,4,0),"")</f>
        <v>1189.08</v>
      </c>
      <c r="O117" s="1571">
        <f t="shared" si="49"/>
        <v>0.24379999999999999</v>
      </c>
      <c r="P117" s="41">
        <f t="shared" si="50"/>
        <v>1478.98</v>
      </c>
      <c r="Q117" s="42">
        <f t="shared" si="56"/>
        <v>1478.98</v>
      </c>
      <c r="R117" s="1444">
        <f t="shared" si="47"/>
        <v>1478.98</v>
      </c>
      <c r="S117" s="315"/>
      <c r="T117" s="315"/>
      <c r="U117" s="849"/>
      <c r="V117" s="849"/>
    </row>
    <row r="118" spans="1:22" s="2" customFormat="1" ht="15" hidden="1" customHeight="1" outlineLevel="1" x14ac:dyDescent="0.25">
      <c r="A118" s="36">
        <f t="shared" ca="1" si="52"/>
        <v>2</v>
      </c>
      <c r="B118" s="576">
        <f>IF(M118=0,0,MAX($B$82:B117)+1)</f>
        <v>0</v>
      </c>
      <c r="C118" s="36">
        <f t="shared" si="53"/>
        <v>0</v>
      </c>
      <c r="D118" s="515">
        <f t="shared" si="55"/>
        <v>94</v>
      </c>
      <c r="E118" s="35" t="str">
        <f t="shared" ca="1" si="54"/>
        <v>2.1.0</v>
      </c>
      <c r="F118" s="36" t="s">
        <v>2639</v>
      </c>
      <c r="G118" s="36">
        <v>804121</v>
      </c>
      <c r="H118" s="224" t="str">
        <f t="shared" si="48"/>
        <v>Boca de BSTC D = 1,00 m - esconsidade 0° - areia e brita comerciais - alas retas</v>
      </c>
      <c r="I118" s="37" t="str">
        <f>IFERROR(VLOOKUP(G118,SINAPI!A:D,2,0),"")</f>
        <v>Boca de BSTC D = 1,00 m - esconsidade 0° - areia e brita comerciais - alas retas</v>
      </c>
      <c r="J118" s="45" t="s">
        <v>5</v>
      </c>
      <c r="K118" s="986"/>
      <c r="L118" s="40" t="str">
        <f>IFERROR(VLOOKUP(G118,SINAPI!A:D,3,0),"")</f>
        <v>un</v>
      </c>
      <c r="M118" s="40">
        <f>VLOOKUP(D118,MEMORIA!B:F,$A$3+3)</f>
        <v>0</v>
      </c>
      <c r="N118" s="41">
        <f>IFERROR(VLOOKUP(G118,SINAPI!A:D,4,0),"")</f>
        <v>1783.91</v>
      </c>
      <c r="O118" s="1571">
        <f t="shared" si="49"/>
        <v>0.24379999999999999</v>
      </c>
      <c r="P118" s="41">
        <f t="shared" si="50"/>
        <v>2218.83</v>
      </c>
      <c r="Q118" s="42">
        <f t="shared" si="56"/>
        <v>0</v>
      </c>
      <c r="R118" s="1444">
        <f t="shared" si="47"/>
        <v>0</v>
      </c>
      <c r="S118" s="315"/>
      <c r="T118" s="315"/>
      <c r="U118" s="849"/>
      <c r="V118" s="849"/>
    </row>
    <row r="119" spans="1:22" ht="15" hidden="1" customHeight="1" outlineLevel="1" x14ac:dyDescent="0.25">
      <c r="A119" s="576">
        <f t="shared" ref="A119:A149" ca="1" si="57">A95</f>
        <v>2</v>
      </c>
      <c r="B119" s="576">
        <f>IF(M119=0,0,MAX($B$82:B118)+1)</f>
        <v>0</v>
      </c>
      <c r="C119" s="576">
        <f t="shared" ref="C119:C138" si="58">IF(B119=0,0,1)</f>
        <v>0</v>
      </c>
      <c r="D119" s="515">
        <f t="shared" si="55"/>
        <v>95</v>
      </c>
      <c r="E119" s="35" t="str">
        <f t="shared" ca="1" si="54"/>
        <v>2.1.0</v>
      </c>
      <c r="F119" s="576" t="s">
        <v>2639</v>
      </c>
      <c r="G119" s="576">
        <v>804141</v>
      </c>
      <c r="H119" s="224" t="str">
        <f t="shared" si="48"/>
        <v>Boca de BSTC D = 1,20 m - esconsidade 0° - areia e brita comerciais - alas retas</v>
      </c>
      <c r="I119" s="37" t="str">
        <f>IFERROR(VLOOKUP(G119,SINAPI!A:D,2,0),"")</f>
        <v>Boca de BSTC D = 1,20 m - esconsidade 0° - areia e brita comerciais - alas retas</v>
      </c>
      <c r="J119" s="626" t="s">
        <v>5</v>
      </c>
      <c r="K119" s="986"/>
      <c r="L119" s="40" t="str">
        <f>IFERROR(VLOOKUP(G119,SINAPI!A:D,3,0),"")</f>
        <v>un</v>
      </c>
      <c r="M119" s="40">
        <f>VLOOKUP(D119,MEMORIA!B:F,$A$3+3)</f>
        <v>0</v>
      </c>
      <c r="N119" s="40">
        <f>IFERROR(VLOOKUP(G119,SINAPI!A:D,4,0),"")</f>
        <v>2487.09</v>
      </c>
      <c r="O119" s="1571">
        <f t="shared" si="49"/>
        <v>0.24379999999999999</v>
      </c>
      <c r="P119" s="41">
        <f t="shared" si="50"/>
        <v>3093.44</v>
      </c>
      <c r="Q119" s="580">
        <f t="shared" ref="Q119:Q152" si="59">IF(M119="","",ROUND(M119*P119,2))</f>
        <v>0</v>
      </c>
      <c r="R119" s="1444">
        <f t="shared" si="47"/>
        <v>0</v>
      </c>
      <c r="U119" s="849"/>
      <c r="V119" s="849"/>
    </row>
    <row r="120" spans="1:22" ht="15" hidden="1" customHeight="1" outlineLevel="1" x14ac:dyDescent="0.25">
      <c r="A120" s="576">
        <f t="shared" ca="1" si="57"/>
        <v>2</v>
      </c>
      <c r="B120" s="576">
        <f>IF(M120=0,0,MAX($B$82:B119)+1)</f>
        <v>0</v>
      </c>
      <c r="C120" s="576">
        <f t="shared" si="58"/>
        <v>0</v>
      </c>
      <c r="D120" s="515">
        <f t="shared" si="55"/>
        <v>96</v>
      </c>
      <c r="E120" s="35" t="str">
        <f t="shared" ca="1" si="54"/>
        <v>2.1.0</v>
      </c>
      <c r="F120" s="576" t="s">
        <v>2639</v>
      </c>
      <c r="G120" s="576">
        <v>804213</v>
      </c>
      <c r="H120" s="224" t="str">
        <f t="shared" si="48"/>
        <v>Boca de BDTC D = 0,80 m - esconsidade 0° - areia e brita comerciais - alas retas</v>
      </c>
      <c r="I120" s="37" t="str">
        <f>IFERROR(VLOOKUP(G120,SINAPI!A:D,2,0),"")</f>
        <v>Boca de BDTC D = 0,80 m - esconsidade 0° - areia e brita comerciais - alas retas</v>
      </c>
      <c r="J120" s="626" t="s">
        <v>5</v>
      </c>
      <c r="K120" s="986"/>
      <c r="L120" s="40" t="str">
        <f>IFERROR(VLOOKUP(G120,SINAPI!A:D,3,0),"")</f>
        <v>un</v>
      </c>
      <c r="M120" s="40">
        <f>VLOOKUP(D120,MEMORIA!B:F,$A$3+3)</f>
        <v>0</v>
      </c>
      <c r="N120" s="40">
        <f>IFERROR(VLOOKUP(G120,SINAPI!A:D,4,0),"")</f>
        <v>1436.93</v>
      </c>
      <c r="O120" s="1571">
        <f t="shared" si="49"/>
        <v>0.24379999999999999</v>
      </c>
      <c r="P120" s="41">
        <f t="shared" si="50"/>
        <v>1787.25</v>
      </c>
      <c r="Q120" s="580">
        <f t="shared" si="59"/>
        <v>0</v>
      </c>
      <c r="R120" s="1444">
        <f t="shared" si="47"/>
        <v>0</v>
      </c>
      <c r="U120" s="849"/>
      <c r="V120" s="849"/>
    </row>
    <row r="121" spans="1:22" ht="15" hidden="1" customHeight="1" outlineLevel="1" x14ac:dyDescent="0.25">
      <c r="A121" s="576">
        <f t="shared" ca="1" si="57"/>
        <v>2</v>
      </c>
      <c r="B121" s="576">
        <f>IF(M121=0,0,MAX($B$82:B120)+1)</f>
        <v>0</v>
      </c>
      <c r="C121" s="576">
        <f t="shared" si="58"/>
        <v>0</v>
      </c>
      <c r="D121" s="515">
        <f t="shared" si="55"/>
        <v>97</v>
      </c>
      <c r="E121" s="35" t="str">
        <f t="shared" ca="1" si="54"/>
        <v>2.1.0</v>
      </c>
      <c r="F121" s="576" t="s">
        <v>2639</v>
      </c>
      <c r="G121" s="576">
        <v>804417</v>
      </c>
      <c r="H121" s="224" t="str">
        <f t="shared" si="48"/>
        <v>Boca de BDTC D = 1,00 m - esconsidade 0° - areia e brita comerciais - alas esconsas</v>
      </c>
      <c r="I121" s="37" t="str">
        <f>IFERROR(VLOOKUP(G121,SINAPI!A:D,2,0),"")</f>
        <v>Boca de BDTC D = 1,00 m - esconsidade 0° - areia e brita comerciais - alas esconsas</v>
      </c>
      <c r="J121" s="626" t="s">
        <v>5</v>
      </c>
      <c r="K121" s="530"/>
      <c r="L121" s="40" t="str">
        <f>IFERROR(VLOOKUP(G121,SINAPI!A:D,3,0),"")</f>
        <v>un</v>
      </c>
      <c r="M121" s="40">
        <f>VLOOKUP(D121,MEMORIA!B:F,$A$3+3)</f>
        <v>0</v>
      </c>
      <c r="N121" s="40">
        <f>IFERROR(VLOOKUP(G121,SINAPI!A:D,4,0),"")</f>
        <v>3719.04</v>
      </c>
      <c r="O121" s="1571">
        <f t="shared" si="49"/>
        <v>0.24379999999999999</v>
      </c>
      <c r="P121" s="41">
        <f t="shared" si="50"/>
        <v>4625.74</v>
      </c>
      <c r="Q121" s="580">
        <f t="shared" si="59"/>
        <v>0</v>
      </c>
      <c r="R121" s="1444">
        <f t="shared" si="47"/>
        <v>0</v>
      </c>
      <c r="U121" s="849"/>
      <c r="V121" s="849"/>
    </row>
    <row r="122" spans="1:22" ht="15" hidden="1" customHeight="1" outlineLevel="1" x14ac:dyDescent="0.25">
      <c r="A122" s="576">
        <f t="shared" ca="1" si="57"/>
        <v>2</v>
      </c>
      <c r="B122" s="576">
        <f>IF(M122=0,0,MAX($B$82:B121)+1)</f>
        <v>0</v>
      </c>
      <c r="C122" s="576">
        <f t="shared" si="58"/>
        <v>0</v>
      </c>
      <c r="D122" s="515">
        <f t="shared" si="55"/>
        <v>98</v>
      </c>
      <c r="E122" s="35" t="str">
        <f t="shared" ca="1" si="54"/>
        <v>2.1.0</v>
      </c>
      <c r="F122" s="576" t="s">
        <v>2639</v>
      </c>
      <c r="G122" s="576">
        <v>804253</v>
      </c>
      <c r="H122" s="224" t="str">
        <f t="shared" si="48"/>
        <v>Boca de BDTC D = 1,20 m - esconsidade 0° - areia e brita comerciais - alas retas</v>
      </c>
      <c r="I122" s="37" t="str">
        <f>IFERROR(VLOOKUP(G122,SINAPI!A:D,2,0),"")</f>
        <v>Boca de BDTC D = 1,20 m - esconsidade 0° - areia e brita comerciais - alas retas</v>
      </c>
      <c r="J122" s="626" t="s">
        <v>5</v>
      </c>
      <c r="K122" s="985"/>
      <c r="L122" s="40" t="str">
        <f>IFERROR(VLOOKUP(G122,SINAPI!A:D,3,0),"")</f>
        <v>un</v>
      </c>
      <c r="M122" s="40">
        <f>VLOOKUP(D122,MEMORIA!B:F,$A$3+3)</f>
        <v>0</v>
      </c>
      <c r="N122" s="40">
        <f>IFERROR(VLOOKUP(G122,SINAPI!A:D,4,0),"")</f>
        <v>2989.25</v>
      </c>
      <c r="O122" s="1571">
        <f t="shared" si="49"/>
        <v>0.24379999999999999</v>
      </c>
      <c r="P122" s="41">
        <f t="shared" si="50"/>
        <v>3718.03</v>
      </c>
      <c r="Q122" s="580">
        <f t="shared" si="59"/>
        <v>0</v>
      </c>
      <c r="R122" s="1444">
        <f t="shared" si="47"/>
        <v>0</v>
      </c>
      <c r="U122" s="849"/>
      <c r="V122" s="849"/>
    </row>
    <row r="123" spans="1:22" ht="15" hidden="1" customHeight="1" outlineLevel="1" x14ac:dyDescent="0.25">
      <c r="A123" s="576">
        <f t="shared" ca="1" si="57"/>
        <v>2</v>
      </c>
      <c r="B123" s="576">
        <f>IF(M123=0,0,MAX($B$82:B122)+1)</f>
        <v>0</v>
      </c>
      <c r="C123" s="576">
        <f t="shared" si="58"/>
        <v>0</v>
      </c>
      <c r="D123" s="515">
        <f t="shared" si="55"/>
        <v>99</v>
      </c>
      <c r="E123" s="35" t="str">
        <f t="shared" ca="1" si="54"/>
        <v>2.1.0</v>
      </c>
      <c r="F123" s="989" t="s">
        <v>17</v>
      </c>
      <c r="G123" s="990"/>
      <c r="H123" s="224" t="str">
        <f t="shared" si="48"/>
        <v/>
      </c>
      <c r="I123" s="835" t="str">
        <f>IFERROR(VLOOKUP(G123,SINAPI!A:D,2,0),"")</f>
        <v/>
      </c>
      <c r="J123" s="993" t="s">
        <v>5</v>
      </c>
      <c r="K123" s="994"/>
      <c r="L123" s="836" t="str">
        <f>IFERROR(VLOOKUP(G123,SINAPI!A:D,3,0),"")</f>
        <v/>
      </c>
      <c r="M123" s="836">
        <f>VLOOKUP(D123,MEMORIA!B:F,$A$3+3)</f>
        <v>0</v>
      </c>
      <c r="N123" s="836" t="str">
        <f>IFERROR(VLOOKUP(G123,SINAPI!A:D,4,0),"")</f>
        <v/>
      </c>
      <c r="O123" s="1571">
        <f t="shared" si="49"/>
        <v>0.24379999999999999</v>
      </c>
      <c r="P123" s="41" t="str">
        <f t="shared" si="50"/>
        <v/>
      </c>
      <c r="Q123" s="837"/>
      <c r="R123" s="1444">
        <f t="shared" si="47"/>
        <v>0</v>
      </c>
      <c r="U123" s="849"/>
      <c r="V123" s="849"/>
    </row>
    <row r="124" spans="1:22" ht="15" hidden="1" customHeight="1" outlineLevel="1" x14ac:dyDescent="0.25">
      <c r="A124" s="576">
        <f t="shared" ca="1" si="57"/>
        <v>2</v>
      </c>
      <c r="B124" s="576">
        <f>IF(M124=0,0,MAX($B$82:B123)+1)</f>
        <v>0</v>
      </c>
      <c r="C124" s="576">
        <f t="shared" si="58"/>
        <v>0</v>
      </c>
      <c r="D124" s="515">
        <f t="shared" si="55"/>
        <v>100</v>
      </c>
      <c r="E124" s="35" t="str">
        <f t="shared" ca="1" si="54"/>
        <v>2.1.0</v>
      </c>
      <c r="F124" s="576" t="s">
        <v>2639</v>
      </c>
      <c r="G124" s="576">
        <v>804317</v>
      </c>
      <c r="H124" s="224" t="str">
        <f t="shared" si="48"/>
        <v>Boca de BTTC D = 1,00 m - esconsidade 0° - areia e brita comerciais - alas retas</v>
      </c>
      <c r="I124" s="37" t="str">
        <f>IFERROR(VLOOKUP(G124,SINAPI!A:D,2,0),"")</f>
        <v>Boca de BTTC D = 1,00 m - esconsidade 0° - areia e brita comerciais - alas retas</v>
      </c>
      <c r="J124" s="626" t="s">
        <v>5</v>
      </c>
      <c r="K124" s="530"/>
      <c r="L124" s="40" t="str">
        <f>IFERROR(VLOOKUP(G124,SINAPI!A:D,3,0),"")</f>
        <v>un</v>
      </c>
      <c r="M124" s="40">
        <f>VLOOKUP(D124,MEMORIA!B:F,$A$3+3)</f>
        <v>0</v>
      </c>
      <c r="N124" s="40">
        <f>IFERROR(VLOOKUP(G124,SINAPI!A:D,4,0),"")</f>
        <v>2614.16</v>
      </c>
      <c r="O124" s="1571">
        <f t="shared" si="49"/>
        <v>0.24379999999999999</v>
      </c>
      <c r="P124" s="41">
        <f t="shared" si="50"/>
        <v>3251.49</v>
      </c>
      <c r="Q124" s="580">
        <f t="shared" si="59"/>
        <v>0</v>
      </c>
      <c r="R124" s="1444">
        <f t="shared" si="47"/>
        <v>0</v>
      </c>
      <c r="U124" s="849"/>
      <c r="V124" s="849"/>
    </row>
    <row r="125" spans="1:22" ht="15" hidden="1" customHeight="1" outlineLevel="1" x14ac:dyDescent="0.25">
      <c r="A125" s="576">
        <f t="shared" ca="1" si="57"/>
        <v>2</v>
      </c>
      <c r="B125" s="576">
        <f>IF(M125=0,0,MAX($B$82:B124)+1)</f>
        <v>0</v>
      </c>
      <c r="C125" s="576">
        <f t="shared" si="58"/>
        <v>0</v>
      </c>
      <c r="D125" s="515">
        <f t="shared" si="55"/>
        <v>101</v>
      </c>
      <c r="E125" s="35" t="str">
        <f t="shared" ca="1" si="54"/>
        <v>2.1.0</v>
      </c>
      <c r="F125" s="576" t="s">
        <v>2639</v>
      </c>
      <c r="G125" s="576">
        <v>804337</v>
      </c>
      <c r="H125" s="224" t="str">
        <f t="shared" si="48"/>
        <v>Boca de BTTC D = 1,20 m - esconsidade 0° - areia e brita comerciais - alas retas</v>
      </c>
      <c r="I125" s="37" t="str">
        <f>IFERROR(VLOOKUP(G125,SINAPI!A:D,2,0),"")</f>
        <v>Boca de BTTC D = 1,20 m - esconsidade 0° - areia e brita comerciais - alas retas</v>
      </c>
      <c r="J125" s="626" t="s">
        <v>5</v>
      </c>
      <c r="K125" s="985"/>
      <c r="L125" s="40" t="str">
        <f>IFERROR(VLOOKUP(G125,SINAPI!A:D,3,0),"")</f>
        <v>un</v>
      </c>
      <c r="M125" s="40">
        <f>VLOOKUP(D125,MEMORIA!B:F,$A$3+3)</f>
        <v>0</v>
      </c>
      <c r="N125" s="40">
        <f>IFERROR(VLOOKUP(G125,SINAPI!A:D,4,0),"")</f>
        <v>3596.34</v>
      </c>
      <c r="O125" s="1571">
        <f t="shared" si="49"/>
        <v>0.24379999999999999</v>
      </c>
      <c r="P125" s="41">
        <f t="shared" si="50"/>
        <v>4473.13</v>
      </c>
      <c r="Q125" s="580">
        <f t="shared" si="59"/>
        <v>0</v>
      </c>
      <c r="R125" s="1444">
        <f t="shared" si="47"/>
        <v>0</v>
      </c>
      <c r="U125" s="849"/>
      <c r="V125" s="849"/>
    </row>
    <row r="126" spans="1:22" ht="15" hidden="1" customHeight="1" outlineLevel="1" x14ac:dyDescent="0.25">
      <c r="A126" s="576">
        <f t="shared" ca="1" si="57"/>
        <v>2</v>
      </c>
      <c r="B126" s="576">
        <f>IF(M126=0,0,MAX($B$82:B125)+1)</f>
        <v>0</v>
      </c>
      <c r="C126" s="576">
        <f t="shared" si="58"/>
        <v>0</v>
      </c>
      <c r="D126" s="515">
        <f t="shared" si="55"/>
        <v>102</v>
      </c>
      <c r="E126" s="35" t="str">
        <f t="shared" ca="1" si="54"/>
        <v>2.1.0</v>
      </c>
      <c r="F126" s="576" t="s">
        <v>2639</v>
      </c>
      <c r="G126" s="576">
        <v>705225</v>
      </c>
      <c r="H126" s="224" t="str">
        <f t="shared" si="48"/>
        <v>Boca de BSCC 1,50 x 1,50 m - esconsidade 0° - areia e brita comerciais</v>
      </c>
      <c r="I126" s="37" t="str">
        <f>IFERROR(VLOOKUP(G126,SINAPI!A:D,2,0),"")</f>
        <v>Boca de BSCC 1,50 x 1,50 m - esconsidade 0° - areia e brita comerciais</v>
      </c>
      <c r="J126" s="626" t="s">
        <v>5</v>
      </c>
      <c r="K126" s="986"/>
      <c r="L126" s="40" t="str">
        <f>IFERROR(VLOOKUP(G126,SINAPI!A:D,3,0),"")</f>
        <v>un</v>
      </c>
      <c r="M126" s="40">
        <f>VLOOKUP(D126,MEMORIA!B:F,$A$3+3)</f>
        <v>0</v>
      </c>
      <c r="N126" s="40">
        <f>IFERROR(VLOOKUP(G126,SINAPI!A:D,4,0),"")</f>
        <v>11760.04</v>
      </c>
      <c r="O126" s="1571">
        <f t="shared" si="49"/>
        <v>0.24379999999999999</v>
      </c>
      <c r="P126" s="41">
        <f t="shared" si="50"/>
        <v>14627.14</v>
      </c>
      <c r="Q126" s="580">
        <f t="shared" si="59"/>
        <v>0</v>
      </c>
      <c r="R126" s="1444">
        <f t="shared" si="47"/>
        <v>0</v>
      </c>
      <c r="U126" s="849"/>
      <c r="V126" s="849"/>
    </row>
    <row r="127" spans="1:22" ht="15" hidden="1" customHeight="1" outlineLevel="1" x14ac:dyDescent="0.25">
      <c r="A127" s="576">
        <f t="shared" ca="1" si="57"/>
        <v>2</v>
      </c>
      <c r="B127" s="576">
        <f>IF(M127=0,0,MAX($B$82:B126)+1)</f>
        <v>0</v>
      </c>
      <c r="C127" s="576">
        <f t="shared" si="58"/>
        <v>0</v>
      </c>
      <c r="D127" s="515">
        <f t="shared" si="55"/>
        <v>103</v>
      </c>
      <c r="E127" s="35" t="str">
        <f t="shared" ca="1" si="54"/>
        <v>2.1.0</v>
      </c>
      <c r="F127" s="576" t="s">
        <v>2639</v>
      </c>
      <c r="G127" s="576">
        <v>705233</v>
      </c>
      <c r="H127" s="224" t="str">
        <f t="shared" si="48"/>
        <v>Boca de BSCC 2,00 x 2,00 m - esconsidade 0° - areia e brita comerciais</v>
      </c>
      <c r="I127" s="37" t="str">
        <f>IFERROR(VLOOKUP(G127,SINAPI!A:D,2,0),"")</f>
        <v>Boca de BSCC 2,00 x 2,00 m - esconsidade 0° - areia e brita comerciais</v>
      </c>
      <c r="J127" s="626" t="s">
        <v>5</v>
      </c>
      <c r="K127" s="530"/>
      <c r="L127" s="40" t="str">
        <f>IFERROR(VLOOKUP(G127,SINAPI!A:D,3,0),"")</f>
        <v>un</v>
      </c>
      <c r="M127" s="40">
        <f>VLOOKUP(D127,MEMORIA!B:F,$A$3+3)</f>
        <v>0</v>
      </c>
      <c r="N127" s="40">
        <f>IFERROR(VLOOKUP(G127,SINAPI!A:D,4,0),"")</f>
        <v>18471.36</v>
      </c>
      <c r="O127" s="1571">
        <f t="shared" si="49"/>
        <v>0.24379999999999999</v>
      </c>
      <c r="P127" s="41">
        <f t="shared" si="50"/>
        <v>22974.68</v>
      </c>
      <c r="Q127" s="580">
        <f t="shared" si="59"/>
        <v>0</v>
      </c>
      <c r="R127" s="1444">
        <f t="shared" si="47"/>
        <v>0</v>
      </c>
      <c r="U127" s="849"/>
      <c r="V127" s="849"/>
    </row>
    <row r="128" spans="1:22" ht="15" hidden="1" customHeight="1" outlineLevel="1" x14ac:dyDescent="0.25">
      <c r="A128" s="576">
        <f t="shared" ca="1" si="57"/>
        <v>2</v>
      </c>
      <c r="B128" s="576">
        <f>IF(M128=0,0,MAX($B$82:B127)+1)</f>
        <v>0</v>
      </c>
      <c r="C128" s="576">
        <f t="shared" si="58"/>
        <v>0</v>
      </c>
      <c r="D128" s="515">
        <f t="shared" si="55"/>
        <v>104</v>
      </c>
      <c r="E128" s="35" t="str">
        <f t="shared" ca="1" si="54"/>
        <v>2.1.0</v>
      </c>
      <c r="F128" s="576" t="s">
        <v>2639</v>
      </c>
      <c r="G128" s="576">
        <v>705240</v>
      </c>
      <c r="H128" s="224" t="str">
        <f t="shared" si="48"/>
        <v>Boca de BSCC 2,50 x 2,50 m - esconsidade 0° - areia extraída e brita produzida</v>
      </c>
      <c r="I128" s="37" t="str">
        <f>IFERROR(VLOOKUP(G128,SINAPI!A:D,2,0),"")</f>
        <v>Boca de BSCC 2,50 x 2,50 m - esconsidade 0° - areia extraída e brita produzida</v>
      </c>
      <c r="J128" s="626" t="s">
        <v>5</v>
      </c>
      <c r="K128" s="985"/>
      <c r="L128" s="40" t="str">
        <f>IFERROR(VLOOKUP(G128,SINAPI!A:D,3,0),"")</f>
        <v>un</v>
      </c>
      <c r="M128" s="40">
        <f>VLOOKUP(D128,MEMORIA!B:F,$A$3+3)</f>
        <v>0</v>
      </c>
      <c r="N128" s="40">
        <f>IFERROR(VLOOKUP(G128,SINAPI!A:D,4,0),"")</f>
        <v>22590.17</v>
      </c>
      <c r="O128" s="1571">
        <f t="shared" si="49"/>
        <v>0.24379999999999999</v>
      </c>
      <c r="P128" s="41">
        <f t="shared" si="50"/>
        <v>28097.65</v>
      </c>
      <c r="Q128" s="580">
        <f t="shared" si="59"/>
        <v>0</v>
      </c>
      <c r="R128" s="1444">
        <f t="shared" si="47"/>
        <v>0</v>
      </c>
      <c r="U128" s="849"/>
      <c r="V128" s="849"/>
    </row>
    <row r="129" spans="1:22" ht="15" hidden="1" customHeight="1" outlineLevel="1" x14ac:dyDescent="0.25">
      <c r="A129" s="576">
        <f t="shared" ca="1" si="57"/>
        <v>2</v>
      </c>
      <c r="B129" s="576">
        <f>IF(M129=0,0,MAX($B$82:B128)+1)</f>
        <v>0</v>
      </c>
      <c r="C129" s="576">
        <f t="shared" si="58"/>
        <v>0</v>
      </c>
      <c r="D129" s="515">
        <f t="shared" si="55"/>
        <v>105</v>
      </c>
      <c r="E129" s="35" t="str">
        <f t="shared" ca="1" si="54"/>
        <v>2.1.0</v>
      </c>
      <c r="F129" s="576" t="s">
        <v>2639</v>
      </c>
      <c r="G129" s="576">
        <v>705314</v>
      </c>
      <c r="H129" s="224" t="str">
        <f t="shared" si="48"/>
        <v>Boca de BDCC 1,50 x 1,50 m - esconsidade 0° - areia e brita comerciais</v>
      </c>
      <c r="I129" s="37" t="str">
        <f>IFERROR(VLOOKUP(G129,SINAPI!A:D,2,0),"")</f>
        <v>Boca de BDCC 1,50 x 1,50 m - esconsidade 0° - areia e brita comerciais</v>
      </c>
      <c r="J129" s="626" t="s">
        <v>5</v>
      </c>
      <c r="K129" s="986"/>
      <c r="L129" s="40" t="str">
        <f>IFERROR(VLOOKUP(G129,SINAPI!A:D,3,0),"")</f>
        <v>un</v>
      </c>
      <c r="M129" s="40">
        <f>VLOOKUP(D129,MEMORIA!B:F,$A$3+3)</f>
        <v>0</v>
      </c>
      <c r="N129" s="40">
        <f>IFERROR(VLOOKUP(G129,SINAPI!A:D,4,0),"")</f>
        <v>13836.01</v>
      </c>
      <c r="O129" s="1571">
        <f t="shared" si="49"/>
        <v>0.24379999999999999</v>
      </c>
      <c r="P129" s="41">
        <f t="shared" si="50"/>
        <v>17209.23</v>
      </c>
      <c r="Q129" s="580">
        <f t="shared" si="59"/>
        <v>0</v>
      </c>
      <c r="R129" s="1444">
        <f t="shared" si="47"/>
        <v>0</v>
      </c>
      <c r="U129" s="849"/>
      <c r="V129" s="849"/>
    </row>
    <row r="130" spans="1:22" ht="15" hidden="1" customHeight="1" outlineLevel="1" x14ac:dyDescent="0.25">
      <c r="A130" s="576">
        <f t="shared" ca="1" si="57"/>
        <v>2</v>
      </c>
      <c r="B130" s="576">
        <f>IF(M130=0,0,MAX($B$82:B129)+1)</f>
        <v>0</v>
      </c>
      <c r="C130" s="576">
        <f t="shared" si="58"/>
        <v>0</v>
      </c>
      <c r="D130" s="515">
        <f t="shared" si="55"/>
        <v>106</v>
      </c>
      <c r="E130" s="35" t="str">
        <f t="shared" ca="1" si="54"/>
        <v>2.1.0</v>
      </c>
      <c r="F130" s="576" t="s">
        <v>2639</v>
      </c>
      <c r="G130" s="576">
        <v>705322</v>
      </c>
      <c r="H130" s="224" t="str">
        <f t="shared" si="48"/>
        <v>Boca de BDCC 2,00 x 2,00 m - esconsidade 0° - areia e brita comerciais</v>
      </c>
      <c r="I130" s="37" t="str">
        <f>IFERROR(VLOOKUP(G130,SINAPI!A:D,2,0),"")</f>
        <v>Boca de BDCC 2,00 x 2,00 m - esconsidade 0° - areia e brita comerciais</v>
      </c>
      <c r="J130" s="626" t="s">
        <v>5</v>
      </c>
      <c r="K130" s="530"/>
      <c r="L130" s="40" t="str">
        <f>IFERROR(VLOOKUP(G130,SINAPI!A:D,3,0),"")</f>
        <v>un</v>
      </c>
      <c r="M130" s="40">
        <f>VLOOKUP(D130,MEMORIA!B:F,$A$3+3)</f>
        <v>0</v>
      </c>
      <c r="N130" s="40">
        <f>IFERROR(VLOOKUP(G130,SINAPI!A:D,4,0),"")</f>
        <v>21551.84</v>
      </c>
      <c r="O130" s="1571">
        <f t="shared" si="49"/>
        <v>0.24379999999999999</v>
      </c>
      <c r="P130" s="41">
        <f t="shared" si="50"/>
        <v>26806.18</v>
      </c>
      <c r="Q130" s="580">
        <f t="shared" si="59"/>
        <v>0</v>
      </c>
      <c r="R130" s="1444">
        <f t="shared" si="47"/>
        <v>0</v>
      </c>
      <c r="U130" s="849"/>
      <c r="V130" s="849"/>
    </row>
    <row r="131" spans="1:22" ht="15" hidden="1" customHeight="1" outlineLevel="1" x14ac:dyDescent="0.25">
      <c r="A131" s="576">
        <f t="shared" ca="1" si="57"/>
        <v>2</v>
      </c>
      <c r="B131" s="576">
        <f>IF(M131=0,0,MAX($B$82:B130)+1)</f>
        <v>0</v>
      </c>
      <c r="C131" s="576">
        <f t="shared" si="58"/>
        <v>0</v>
      </c>
      <c r="D131" s="515">
        <f t="shared" si="55"/>
        <v>107</v>
      </c>
      <c r="E131" s="35" t="str">
        <f t="shared" ca="1" si="54"/>
        <v>2.1.0</v>
      </c>
      <c r="F131" s="576" t="s">
        <v>2639</v>
      </c>
      <c r="G131" s="576">
        <v>705330</v>
      </c>
      <c r="H131" s="224" t="str">
        <f t="shared" si="48"/>
        <v>Boca de BDCC 2,50 x 2,50 m - esconsidade 0° - areia e brita comerciais</v>
      </c>
      <c r="I131" s="37" t="str">
        <f>IFERROR(VLOOKUP(G131,SINAPI!A:D,2,0),"")</f>
        <v>Boca de BDCC 2,50 x 2,50 m - esconsidade 0° - areia e brita comerciais</v>
      </c>
      <c r="J131" s="626" t="s">
        <v>5</v>
      </c>
      <c r="K131" s="985"/>
      <c r="L131" s="40" t="str">
        <f>IFERROR(VLOOKUP(G131,SINAPI!A:D,3,0),"")</f>
        <v>un</v>
      </c>
      <c r="M131" s="40">
        <f>VLOOKUP(D131,MEMORIA!B:F,$A$3+3)</f>
        <v>0</v>
      </c>
      <c r="N131" s="40">
        <f>IFERROR(VLOOKUP(G131,SINAPI!A:D,4,0),"")</f>
        <v>30213.82</v>
      </c>
      <c r="O131" s="1571">
        <f t="shared" si="49"/>
        <v>0.24379999999999999</v>
      </c>
      <c r="P131" s="41">
        <f t="shared" si="50"/>
        <v>37579.949999999997</v>
      </c>
      <c r="Q131" s="580">
        <f t="shared" si="59"/>
        <v>0</v>
      </c>
      <c r="R131" s="1444">
        <f t="shared" si="47"/>
        <v>0</v>
      </c>
      <c r="U131" s="849"/>
      <c r="V131" s="849"/>
    </row>
    <row r="132" spans="1:22" ht="15" hidden="1" customHeight="1" outlineLevel="1" x14ac:dyDescent="0.25">
      <c r="A132" s="576">
        <f t="shared" ca="1" si="57"/>
        <v>2</v>
      </c>
      <c r="B132" s="576">
        <f>IF(M132=0,0,MAX($B$82:B131)+1)</f>
        <v>0</v>
      </c>
      <c r="C132" s="576">
        <f t="shared" si="58"/>
        <v>0</v>
      </c>
      <c r="D132" s="515">
        <f t="shared" si="55"/>
        <v>108</v>
      </c>
      <c r="E132" s="35" t="str">
        <f t="shared" ca="1" si="54"/>
        <v>2.1.0</v>
      </c>
      <c r="F132" s="576" t="s">
        <v>2639</v>
      </c>
      <c r="G132" s="576">
        <v>705403</v>
      </c>
      <c r="H132" s="224" t="str">
        <f t="shared" si="48"/>
        <v>Boca de BTCC 1,50 x 1,50 m - esconsidade 0° - areia e brita comerciais</v>
      </c>
      <c r="I132" s="37" t="str">
        <f>IFERROR(VLOOKUP(G132,SINAPI!A:D,2,0),"")</f>
        <v>Boca de BTCC 1,50 x 1,50 m - esconsidade 0° - areia e brita comerciais</v>
      </c>
      <c r="J132" s="626" t="s">
        <v>5</v>
      </c>
      <c r="K132" s="986"/>
      <c r="L132" s="40" t="str">
        <f>IFERROR(VLOOKUP(G132,SINAPI!A:D,3,0),"")</f>
        <v>un</v>
      </c>
      <c r="M132" s="40">
        <f>VLOOKUP(D132,MEMORIA!B:F,$A$3+3)</f>
        <v>0</v>
      </c>
      <c r="N132" s="40">
        <f>IFERROR(VLOOKUP(G132,SINAPI!A:D,4,0),"")</f>
        <v>17367.64</v>
      </c>
      <c r="O132" s="1571">
        <f t="shared" si="49"/>
        <v>0.24379999999999999</v>
      </c>
      <c r="P132" s="41">
        <f t="shared" si="50"/>
        <v>21601.87</v>
      </c>
      <c r="Q132" s="580">
        <f t="shared" si="59"/>
        <v>0</v>
      </c>
      <c r="R132" s="1444">
        <f t="shared" si="47"/>
        <v>0</v>
      </c>
      <c r="U132" s="849"/>
      <c r="V132" s="849"/>
    </row>
    <row r="133" spans="1:22" ht="15" hidden="1" customHeight="1" outlineLevel="1" x14ac:dyDescent="0.25">
      <c r="A133" s="576">
        <f t="shared" ca="1" si="57"/>
        <v>2</v>
      </c>
      <c r="B133" s="576">
        <f>IF(M133=0,0,MAX($B$82:B132)+1)</f>
        <v>0</v>
      </c>
      <c r="C133" s="576">
        <f t="shared" si="58"/>
        <v>0</v>
      </c>
      <c r="D133" s="515">
        <f t="shared" si="55"/>
        <v>109</v>
      </c>
      <c r="E133" s="35" t="str">
        <f t="shared" ca="1" si="54"/>
        <v>2.1.0</v>
      </c>
      <c r="F133" s="576" t="s">
        <v>2639</v>
      </c>
      <c r="G133" s="576">
        <v>705411</v>
      </c>
      <c r="H133" s="224" t="str">
        <f t="shared" si="48"/>
        <v>Boca de BTCC 2,00 x 2,00 m - esconsidade 0° - areia e brita comerciais</v>
      </c>
      <c r="I133" s="37" t="str">
        <f>IFERROR(VLOOKUP(G133,SINAPI!A:D,2,0),"")</f>
        <v>Boca de BTCC 2,00 x 2,00 m - esconsidade 0° - areia e brita comerciais</v>
      </c>
      <c r="J133" s="626" t="s">
        <v>5</v>
      </c>
      <c r="K133" s="530"/>
      <c r="L133" s="40" t="str">
        <f>IFERROR(VLOOKUP(G133,SINAPI!A:D,3,0),"")</f>
        <v>un</v>
      </c>
      <c r="M133" s="40">
        <f>VLOOKUP(D133,MEMORIA!B:F,$A$3+3)</f>
        <v>0</v>
      </c>
      <c r="N133" s="40">
        <f>IFERROR(VLOOKUP(G133,SINAPI!A:D,4,0),"")</f>
        <v>26491.46</v>
      </c>
      <c r="O133" s="1571">
        <f t="shared" si="49"/>
        <v>0.24379999999999999</v>
      </c>
      <c r="P133" s="41">
        <f t="shared" si="50"/>
        <v>32950.080000000002</v>
      </c>
      <c r="Q133" s="580">
        <f t="shared" si="59"/>
        <v>0</v>
      </c>
      <c r="R133" s="1444">
        <f t="shared" si="47"/>
        <v>0</v>
      </c>
      <c r="U133" s="849"/>
      <c r="V133" s="849"/>
    </row>
    <row r="134" spans="1:22" ht="15" hidden="1" customHeight="1" outlineLevel="1" x14ac:dyDescent="0.25">
      <c r="A134" s="576">
        <f t="shared" ca="1" si="57"/>
        <v>2</v>
      </c>
      <c r="B134" s="576">
        <f>IF(M134=0,0,MAX($B$82:B133)+1)</f>
        <v>0</v>
      </c>
      <c r="C134" s="576">
        <f t="shared" si="58"/>
        <v>0</v>
      </c>
      <c r="D134" s="515">
        <f t="shared" si="55"/>
        <v>110</v>
      </c>
      <c r="E134" s="35" t="str">
        <f t="shared" ca="1" si="54"/>
        <v>2.1.0</v>
      </c>
      <c r="F134" s="576" t="s">
        <v>2639</v>
      </c>
      <c r="G134" s="576">
        <v>705419</v>
      </c>
      <c r="H134" s="224" t="str">
        <f t="shared" si="48"/>
        <v>Boca de BTCC 2,50 x 2,50 m - esconsidade 0° - areia e brita comerciais</v>
      </c>
      <c r="I134" s="37" t="str">
        <f>IFERROR(VLOOKUP(G134,SINAPI!A:D,2,0),"")</f>
        <v>Boca de BTCC 2,50 x 2,50 m - esconsidade 0° - areia e brita comerciais</v>
      </c>
      <c r="J134" s="626" t="s">
        <v>5</v>
      </c>
      <c r="K134" s="985"/>
      <c r="L134" s="40" t="str">
        <f>IFERROR(VLOOKUP(G134,SINAPI!A:D,3,0),"")</f>
        <v>un</v>
      </c>
      <c r="M134" s="40">
        <f>VLOOKUP(D134,MEMORIA!B:F,$A$3+3)</f>
        <v>0</v>
      </c>
      <c r="N134" s="40">
        <f>IFERROR(VLOOKUP(G134,SINAPI!A:D,4,0),"")</f>
        <v>37720.74</v>
      </c>
      <c r="O134" s="1571">
        <f t="shared" si="49"/>
        <v>0.24379999999999999</v>
      </c>
      <c r="P134" s="41">
        <f t="shared" si="50"/>
        <v>46917.06</v>
      </c>
      <c r="Q134" s="580">
        <f t="shared" si="59"/>
        <v>0</v>
      </c>
      <c r="R134" s="1444">
        <f t="shared" si="47"/>
        <v>0</v>
      </c>
      <c r="U134" s="849"/>
      <c r="V134" s="849"/>
    </row>
    <row r="135" spans="1:22" ht="15" hidden="1" customHeight="1" outlineLevel="1" x14ac:dyDescent="0.25">
      <c r="A135" s="576">
        <f t="shared" ca="1" si="57"/>
        <v>2</v>
      </c>
      <c r="B135" s="576">
        <f>IF(M135=0,0,MAX($B$82:B134)+1)</f>
        <v>0</v>
      </c>
      <c r="C135" s="576">
        <f t="shared" si="58"/>
        <v>0</v>
      </c>
      <c r="D135" s="515">
        <f t="shared" si="55"/>
        <v>111</v>
      </c>
      <c r="E135" s="35" t="str">
        <f t="shared" ca="1" si="54"/>
        <v>2.1.0</v>
      </c>
      <c r="F135" s="576" t="s">
        <v>2639</v>
      </c>
      <c r="G135" s="576">
        <v>2003453</v>
      </c>
      <c r="H135" s="224" t="str">
        <f t="shared" si="48"/>
        <v>Dissipador de energia - DEB 03 - areia, brita e pedra de mão comerciais</v>
      </c>
      <c r="I135" s="37" t="str">
        <f>IFERROR(VLOOKUP(G135,SINAPI!A:D,2,0),"")</f>
        <v>Dissipador de energia - DEB 03 - areia, brita e pedra de mão comerciais</v>
      </c>
      <c r="J135" s="626" t="s">
        <v>5</v>
      </c>
      <c r="K135" s="985"/>
      <c r="L135" s="40" t="str">
        <f>IFERROR(VLOOKUP(G135,SINAPI!A:D,3,0),"")</f>
        <v>un</v>
      </c>
      <c r="M135" s="40">
        <f>VLOOKUP(D135,MEMORIA!B:F,$A$3+3)</f>
        <v>0</v>
      </c>
      <c r="N135" s="40">
        <f>IFERROR(VLOOKUP(G135,SINAPI!A:D,4,0),"")</f>
        <v>1347.44</v>
      </c>
      <c r="O135" s="1571">
        <f t="shared" si="49"/>
        <v>0.24379999999999999</v>
      </c>
      <c r="P135" s="41">
        <f t="shared" si="50"/>
        <v>1675.95</v>
      </c>
      <c r="Q135" s="580">
        <f t="shared" si="59"/>
        <v>0</v>
      </c>
      <c r="R135" s="1444">
        <f t="shared" si="47"/>
        <v>0</v>
      </c>
      <c r="U135" s="849"/>
      <c r="V135" s="849"/>
    </row>
    <row r="136" spans="1:22" ht="15" customHeight="1" outlineLevel="1" x14ac:dyDescent="0.25">
      <c r="A136" s="576">
        <f t="shared" ca="1" si="57"/>
        <v>2</v>
      </c>
      <c r="B136" s="576">
        <f>IF(M136=0,0,MAX($B$82:B135)+1)</f>
        <v>7</v>
      </c>
      <c r="C136" s="576">
        <f t="shared" si="58"/>
        <v>1</v>
      </c>
      <c r="D136" s="515">
        <f t="shared" si="55"/>
        <v>112</v>
      </c>
      <c r="E136" s="35" t="str">
        <f t="shared" ca="1" si="54"/>
        <v>2.1.7</v>
      </c>
      <c r="F136" s="576" t="s">
        <v>2639</v>
      </c>
      <c r="G136" s="576">
        <v>2003455</v>
      </c>
      <c r="H136" s="224" t="str">
        <f t="shared" si="48"/>
        <v>Dissipador de energia - DEB 04 - areia, brita e pedra de mão comerciais</v>
      </c>
      <c r="I136" s="37" t="str">
        <f>IFERROR(VLOOKUP(G136,SINAPI!A:D,2,0),"")</f>
        <v>Dissipador de energia - DEB 04 - areia, brita e pedra de mão comerciais</v>
      </c>
      <c r="J136" s="626" t="s">
        <v>5</v>
      </c>
      <c r="K136" s="985"/>
      <c r="L136" s="40" t="str">
        <f>IFERROR(VLOOKUP(G136,SINAPI!A:D,3,0),"")</f>
        <v>un</v>
      </c>
      <c r="M136" s="40">
        <f>VLOOKUP(D136,MEMORIA!B:F,$A$3+3)</f>
        <v>1</v>
      </c>
      <c r="N136" s="40">
        <f>IFERROR(VLOOKUP(G136,SINAPI!A:D,4,0),"")</f>
        <v>1929.87</v>
      </c>
      <c r="O136" s="1571">
        <f t="shared" si="49"/>
        <v>0.24379999999999999</v>
      </c>
      <c r="P136" s="41">
        <f t="shared" si="50"/>
        <v>2400.37</v>
      </c>
      <c r="Q136" s="580">
        <f t="shared" si="59"/>
        <v>2400.37</v>
      </c>
      <c r="R136" s="1444">
        <f t="shared" si="47"/>
        <v>2400.37</v>
      </c>
      <c r="U136" s="849"/>
      <c r="V136" s="849"/>
    </row>
    <row r="137" spans="1:22" ht="15" hidden="1" customHeight="1" outlineLevel="1" x14ac:dyDescent="0.25">
      <c r="A137" s="576">
        <f t="shared" ca="1" si="57"/>
        <v>2</v>
      </c>
      <c r="B137" s="576">
        <f>IF(M137=0,0,MAX($B$82:B136)+1)</f>
        <v>0</v>
      </c>
      <c r="C137" s="576">
        <f t="shared" si="58"/>
        <v>0</v>
      </c>
      <c r="D137" s="515">
        <f t="shared" si="55"/>
        <v>113</v>
      </c>
      <c r="E137" s="35" t="str">
        <f t="shared" ca="1" si="54"/>
        <v>2.1.0</v>
      </c>
      <c r="F137" s="576" t="s">
        <v>2639</v>
      </c>
      <c r="G137" s="576">
        <v>2003457</v>
      </c>
      <c r="H137" s="224" t="str">
        <f t="shared" si="48"/>
        <v>Dissipador de energia - DEB 05 - areia, brita e pedra de mão comerciais</v>
      </c>
      <c r="I137" s="37" t="str">
        <f>IFERROR(VLOOKUP(G137,SINAPI!A:D,2,0),"")</f>
        <v>Dissipador de energia - DEB 05 - areia, brita e pedra de mão comerciais</v>
      </c>
      <c r="J137" s="626" t="s">
        <v>5</v>
      </c>
      <c r="K137" s="985"/>
      <c r="L137" s="40" t="str">
        <f>IFERROR(VLOOKUP(G137,SINAPI!A:D,3,0),"")</f>
        <v>un</v>
      </c>
      <c r="M137" s="40">
        <f>VLOOKUP(D137,MEMORIA!B:F,$A$3+3)</f>
        <v>0</v>
      </c>
      <c r="N137" s="40">
        <f>IFERROR(VLOOKUP(G137,SINAPI!A:D,4,0),"")</f>
        <v>2607.84</v>
      </c>
      <c r="O137" s="1571">
        <f t="shared" si="49"/>
        <v>0.24379999999999999</v>
      </c>
      <c r="P137" s="41">
        <f t="shared" si="50"/>
        <v>3243.63</v>
      </c>
      <c r="Q137" s="580">
        <f t="shared" si="59"/>
        <v>0</v>
      </c>
      <c r="R137" s="1444">
        <f t="shared" si="47"/>
        <v>0</v>
      </c>
      <c r="U137" s="849"/>
      <c r="V137" s="849"/>
    </row>
    <row r="138" spans="1:22" ht="15" hidden="1" customHeight="1" outlineLevel="1" x14ac:dyDescent="0.25">
      <c r="A138" s="576">
        <f t="shared" ca="1" si="57"/>
        <v>2</v>
      </c>
      <c r="B138" s="576">
        <f>IF(M138=0,0,MAX($B$82:B137)+1)</f>
        <v>0</v>
      </c>
      <c r="C138" s="576">
        <f t="shared" si="58"/>
        <v>0</v>
      </c>
      <c r="D138" s="515">
        <f t="shared" si="55"/>
        <v>114</v>
      </c>
      <c r="E138" s="35" t="str">
        <f t="shared" ca="1" si="54"/>
        <v>2.1.0</v>
      </c>
      <c r="F138" s="576" t="s">
        <v>2639</v>
      </c>
      <c r="G138" s="576">
        <v>2003459</v>
      </c>
      <c r="H138" s="224" t="str">
        <f t="shared" si="48"/>
        <v>Dissipador de energia - DEB 06 - areia, brita e pedra de mão comerciais</v>
      </c>
      <c r="I138" s="37" t="str">
        <f>IFERROR(VLOOKUP(G138,SINAPI!A:D,2,0),"")</f>
        <v>Dissipador de energia - DEB 06 - areia, brita e pedra de mão comerciais</v>
      </c>
      <c r="J138" s="626" t="s">
        <v>5</v>
      </c>
      <c r="K138" s="985"/>
      <c r="L138" s="40" t="str">
        <f>IFERROR(VLOOKUP(G138,SINAPI!A:D,3,0),"")</f>
        <v>un</v>
      </c>
      <c r="M138" s="40">
        <f>VLOOKUP(D138,MEMORIA!B:F,$A$3+3)</f>
        <v>0</v>
      </c>
      <c r="N138" s="40">
        <f>IFERROR(VLOOKUP(G138,SINAPI!A:D,4,0),"")</f>
        <v>3338.07</v>
      </c>
      <c r="O138" s="1571">
        <f t="shared" si="49"/>
        <v>0.24379999999999999</v>
      </c>
      <c r="P138" s="41">
        <f t="shared" si="50"/>
        <v>4151.8900000000003</v>
      </c>
      <c r="Q138" s="580">
        <f t="shared" si="59"/>
        <v>0</v>
      </c>
      <c r="R138" s="1444">
        <f t="shared" si="47"/>
        <v>0</v>
      </c>
      <c r="U138" s="849"/>
      <c r="V138" s="849"/>
    </row>
    <row r="139" spans="1:22" ht="15" hidden="1" customHeight="1" outlineLevel="1" x14ac:dyDescent="0.25">
      <c r="A139" s="576">
        <f t="shared" ca="1" si="57"/>
        <v>2</v>
      </c>
      <c r="B139" s="576">
        <f>IF(M139=0,0,MAX($B$82:B138)+1)</f>
        <v>0</v>
      </c>
      <c r="C139" s="576">
        <f t="shared" ref="C139" si="60">IF(B139=0,0,1)</f>
        <v>0</v>
      </c>
      <c r="D139" s="515">
        <f>D138+1</f>
        <v>115</v>
      </c>
      <c r="E139" s="35" t="str">
        <f t="shared" ref="E139" ca="1" si="61">CONCATENATE(A139,".",$B$81,".",B139)</f>
        <v>2.1.0</v>
      </c>
      <c r="F139" s="576" t="s">
        <v>2639</v>
      </c>
      <c r="G139" s="576">
        <v>2003463</v>
      </c>
      <c r="H139" s="224" t="str">
        <f t="shared" si="48"/>
        <v>Dissipador de energia - DEB 08 - areia, brita e pedra de mão comerciais</v>
      </c>
      <c r="I139" s="37" t="str">
        <f>IFERROR(VLOOKUP(G139,SINAPI!A:D,2,0),"")</f>
        <v>Dissipador de energia - DEB 08 - areia, brita e pedra de mão comerciais</v>
      </c>
      <c r="J139" s="626" t="s">
        <v>5</v>
      </c>
      <c r="K139" s="985"/>
      <c r="L139" s="40" t="str">
        <f>IFERROR(VLOOKUP(G139,SINAPI!A:D,3,0),"")</f>
        <v>un</v>
      </c>
      <c r="M139" s="40">
        <f>VLOOKUP(D139,MEMORIA!B:F,$A$3+3)</f>
        <v>0</v>
      </c>
      <c r="N139" s="40">
        <f>IFERROR(VLOOKUP(G139,SINAPI!A:D,4,0),"")</f>
        <v>3391.59</v>
      </c>
      <c r="O139" s="1571">
        <f t="shared" si="49"/>
        <v>0.24379999999999999</v>
      </c>
      <c r="P139" s="41">
        <f t="shared" si="50"/>
        <v>4218.46</v>
      </c>
      <c r="Q139" s="580">
        <f t="shared" ref="Q139" si="62">IF(M139="","",ROUND(M139*P139,2))</f>
        <v>0</v>
      </c>
      <c r="R139" s="1444">
        <f t="shared" si="47"/>
        <v>0</v>
      </c>
      <c r="U139" s="1120"/>
      <c r="V139" s="1120"/>
    </row>
    <row r="140" spans="1:22" ht="15" hidden="1" customHeight="1" outlineLevel="1" x14ac:dyDescent="0.25">
      <c r="A140" s="576">
        <f t="shared" ca="1" si="57"/>
        <v>2</v>
      </c>
      <c r="B140" s="576">
        <f>IF(M140=0,0,MAX($B$82:B139)+1)</f>
        <v>0</v>
      </c>
      <c r="C140" s="576">
        <f t="shared" ref="C140" si="63">IF(B140=0,0,1)</f>
        <v>0</v>
      </c>
      <c r="D140" s="515">
        <f t="shared" ref="D140" si="64">D139+1</f>
        <v>116</v>
      </c>
      <c r="E140" s="35" t="str">
        <f t="shared" ref="E140" ca="1" si="65">CONCATENATE(A140,".",$B$81,".",B140)</f>
        <v>2.1.0</v>
      </c>
      <c r="F140" s="576" t="s">
        <v>2639</v>
      </c>
      <c r="G140" s="576">
        <v>2003465</v>
      </c>
      <c r="H140" s="224" t="str">
        <f t="shared" ref="H140" si="66">I140</f>
        <v>Dissipador de energia - DEB 09 - areia, brita e pedra de mão comerciais</v>
      </c>
      <c r="I140" s="37" t="str">
        <f>IFERROR(VLOOKUP(G140,SINAPI!A:D,2,0),"")</f>
        <v>Dissipador de energia - DEB 09 - areia, brita e pedra de mão comerciais</v>
      </c>
      <c r="J140" s="626" t="s">
        <v>5</v>
      </c>
      <c r="K140" s="985"/>
      <c r="L140" s="40" t="str">
        <f>IFERROR(VLOOKUP(G140,SINAPI!A:D,3,0),"")</f>
        <v>un</v>
      </c>
      <c r="M140" s="40">
        <f>VLOOKUP(D140,MEMORIA!B:F,$A$3+3)</f>
        <v>0</v>
      </c>
      <c r="N140" s="40">
        <f>IFERROR(VLOOKUP(G140,SINAPI!A:D,4,0),"")</f>
        <v>4394.1400000000003</v>
      </c>
      <c r="O140" s="1571">
        <f t="shared" si="49"/>
        <v>0.24379999999999999</v>
      </c>
      <c r="P140" s="41">
        <f t="shared" si="50"/>
        <v>5465.43</v>
      </c>
      <c r="Q140" s="580">
        <f t="shared" ref="Q140" si="67">IF(M140="","",ROUND(M140*P140,2))</f>
        <v>0</v>
      </c>
      <c r="R140" s="1444">
        <f t="shared" si="47"/>
        <v>0</v>
      </c>
      <c r="U140" s="1376"/>
      <c r="V140" s="1376"/>
    </row>
    <row r="141" spans="1:22" ht="15" hidden="1" customHeight="1" outlineLevel="1" x14ac:dyDescent="0.25">
      <c r="A141" s="576">
        <f t="shared" ca="1" si="57"/>
        <v>2</v>
      </c>
      <c r="B141" s="576">
        <f>IF(M141=0,0,MAX($B$82:B140)+1)</f>
        <v>0</v>
      </c>
      <c r="C141" s="576">
        <f t="shared" ref="C141:C152" si="68">IF(B141=0,0,1)</f>
        <v>0</v>
      </c>
      <c r="D141" s="515">
        <f t="shared" ref="D141:D145" si="69">D140+1</f>
        <v>117</v>
      </c>
      <c r="E141" s="35" t="str">
        <f t="shared" ref="E141:E147" ca="1" si="70">CONCATENATE(A141,".",$B$81,".",B141)</f>
        <v>2.1.0</v>
      </c>
      <c r="F141" s="576" t="s">
        <v>2639</v>
      </c>
      <c r="G141" s="576">
        <v>2003407</v>
      </c>
      <c r="H141" s="577" t="str">
        <f t="shared" ref="H141:H147" si="71">I141</f>
        <v>Descida d'água de aterros em degraus - DAD 02 - areia e brita comerciais</v>
      </c>
      <c r="I141" s="37" t="str">
        <f>IFERROR(VLOOKUP(G141,SINAPI!A:D,2,0),"")</f>
        <v>Descida d'água de aterros em degraus - DAD 02 - areia e brita comerciais</v>
      </c>
      <c r="J141" s="626" t="s">
        <v>5</v>
      </c>
      <c r="K141" s="530"/>
      <c r="L141" s="40" t="str">
        <f>IFERROR(VLOOKUP(G141,SINAPI!A:D,3,0),"")</f>
        <v>m</v>
      </c>
      <c r="M141" s="40">
        <f>VLOOKUP(D141,MEMORIA!B:F,$A$3+3)</f>
        <v>0</v>
      </c>
      <c r="N141" s="40">
        <f>IFERROR(VLOOKUP(G141,SINAPI!A:D,4,0),"")</f>
        <v>270.07</v>
      </c>
      <c r="O141" s="1571">
        <f t="shared" si="49"/>
        <v>0.24379999999999999</v>
      </c>
      <c r="P141" s="41">
        <f t="shared" si="50"/>
        <v>335.91</v>
      </c>
      <c r="Q141" s="580">
        <f t="shared" ref="Q141:Q147" si="72">IF(M141="","",ROUND(M141*P141,2))</f>
        <v>0</v>
      </c>
      <c r="R141" s="1444">
        <f t="shared" si="47"/>
        <v>0</v>
      </c>
    </row>
    <row r="142" spans="1:22" ht="15" hidden="1" customHeight="1" outlineLevel="1" x14ac:dyDescent="0.25">
      <c r="A142" s="576">
        <f t="shared" ca="1" si="57"/>
        <v>2</v>
      </c>
      <c r="B142" s="576">
        <f>IF(M142=0,0,MAX($B$82:B141)+1)</f>
        <v>0</v>
      </c>
      <c r="C142" s="576">
        <f t="shared" si="68"/>
        <v>0</v>
      </c>
      <c r="D142" s="515">
        <f t="shared" si="69"/>
        <v>118</v>
      </c>
      <c r="E142" s="35" t="str">
        <f t="shared" ca="1" si="70"/>
        <v>2.1.0</v>
      </c>
      <c r="F142" s="576" t="s">
        <v>2639</v>
      </c>
      <c r="G142" s="576">
        <v>2003411</v>
      </c>
      <c r="H142" s="577" t="str">
        <f t="shared" si="71"/>
        <v>Descida d'água de aterros em degraus - DAD 04 - areia e brita comerciais</v>
      </c>
      <c r="I142" s="37" t="str">
        <f>IFERROR(VLOOKUP(G142,SINAPI!A:D,2,0),"")</f>
        <v>Descida d'água de aterros em degraus - DAD 04 - areia e brita comerciais</v>
      </c>
      <c r="J142" s="626" t="s">
        <v>5</v>
      </c>
      <c r="K142" s="530"/>
      <c r="L142" s="40" t="str">
        <f>IFERROR(VLOOKUP(G142,SINAPI!A:D,3,0),"")</f>
        <v>m</v>
      </c>
      <c r="M142" s="40">
        <f>VLOOKUP(D142,MEMORIA!B:F,$A$3+3)</f>
        <v>0</v>
      </c>
      <c r="N142" s="40">
        <f>IFERROR(VLOOKUP(G142,SINAPI!A:D,4,0),"")</f>
        <v>619.37</v>
      </c>
      <c r="O142" s="1571">
        <f t="shared" si="49"/>
        <v>0.24379999999999999</v>
      </c>
      <c r="P142" s="41">
        <f t="shared" si="50"/>
        <v>770.37</v>
      </c>
      <c r="Q142" s="580">
        <f t="shared" si="72"/>
        <v>0</v>
      </c>
      <c r="R142" s="1444">
        <f t="shared" si="47"/>
        <v>0</v>
      </c>
    </row>
    <row r="143" spans="1:22" ht="15" hidden="1" customHeight="1" outlineLevel="1" x14ac:dyDescent="0.25">
      <c r="A143" s="576">
        <f t="shared" ca="1" si="57"/>
        <v>2</v>
      </c>
      <c r="B143" s="576">
        <f>IF(M143=0,0,MAX($B$82:B142)+1)</f>
        <v>0</v>
      </c>
      <c r="C143" s="576">
        <f t="shared" si="68"/>
        <v>0</v>
      </c>
      <c r="D143" s="515">
        <f t="shared" si="69"/>
        <v>119</v>
      </c>
      <c r="E143" s="35" t="str">
        <f t="shared" ca="1" si="70"/>
        <v>2.1.0</v>
      </c>
      <c r="F143" s="576" t="s">
        <v>2639</v>
      </c>
      <c r="G143" s="576">
        <v>2003415</v>
      </c>
      <c r="H143" s="577" t="str">
        <f t="shared" si="71"/>
        <v>Descida d'água de aterros em degraus - DAD 06 - areia e brita comerciais</v>
      </c>
      <c r="I143" s="37" t="str">
        <f>IFERROR(VLOOKUP(G143,SINAPI!A:D,2,0),"")</f>
        <v>Descida d'água de aterros em degraus - DAD 06 - areia e brita comerciais</v>
      </c>
      <c r="J143" s="626" t="s">
        <v>5</v>
      </c>
      <c r="K143" s="530"/>
      <c r="L143" s="40" t="str">
        <f>IFERROR(VLOOKUP(G143,SINAPI!A:D,3,0),"")</f>
        <v>m</v>
      </c>
      <c r="M143" s="40">
        <f>VLOOKUP(D143,MEMORIA!B:F,$A$3+3)</f>
        <v>0</v>
      </c>
      <c r="N143" s="40">
        <f>IFERROR(VLOOKUP(G143,SINAPI!A:D,4,0),"")</f>
        <v>830.05</v>
      </c>
      <c r="O143" s="1571">
        <f t="shared" si="49"/>
        <v>0.24379999999999999</v>
      </c>
      <c r="P143" s="41">
        <f t="shared" si="50"/>
        <v>1032.42</v>
      </c>
      <c r="Q143" s="580">
        <f t="shared" si="72"/>
        <v>0</v>
      </c>
      <c r="R143" s="1444">
        <f t="shared" si="47"/>
        <v>0</v>
      </c>
    </row>
    <row r="144" spans="1:22" ht="15" hidden="1" customHeight="1" outlineLevel="1" x14ac:dyDescent="0.25">
      <c r="A144" s="576">
        <f t="shared" ca="1" si="57"/>
        <v>2</v>
      </c>
      <c r="B144" s="576">
        <f>IF(M144=0,0,MAX($B$82:B143)+1)</f>
        <v>0</v>
      </c>
      <c r="C144" s="576">
        <f t="shared" si="68"/>
        <v>0</v>
      </c>
      <c r="D144" s="515">
        <f t="shared" si="69"/>
        <v>120</v>
      </c>
      <c r="E144" s="35" t="str">
        <f t="shared" ca="1" si="70"/>
        <v>2.1.0</v>
      </c>
      <c r="F144" s="576" t="s">
        <v>2639</v>
      </c>
      <c r="G144" s="576">
        <v>2003419</v>
      </c>
      <c r="H144" s="577" t="str">
        <f t="shared" si="71"/>
        <v>Descida d'água de aterros em degraus - DAD 08 - areia e brita comerciais</v>
      </c>
      <c r="I144" s="37" t="str">
        <f>IFERROR(VLOOKUP(G144,SINAPI!A:D,2,0),"")</f>
        <v>Descida d'água de aterros em degraus - DAD 08 - areia e brita comerciais</v>
      </c>
      <c r="J144" s="626" t="s">
        <v>5</v>
      </c>
      <c r="K144" s="530"/>
      <c r="L144" s="40" t="str">
        <f>IFERROR(VLOOKUP(G144,SINAPI!A:D,3,0),"")</f>
        <v>m</v>
      </c>
      <c r="M144" s="40">
        <f>VLOOKUP(D144,MEMORIA!B:F,$A$3+3)</f>
        <v>0</v>
      </c>
      <c r="N144" s="40">
        <f>IFERROR(VLOOKUP(G144,SINAPI!A:D,4,0),"")</f>
        <v>1052.22</v>
      </c>
      <c r="O144" s="1571">
        <f t="shared" si="49"/>
        <v>0.24379999999999999</v>
      </c>
      <c r="P144" s="41">
        <f t="shared" si="50"/>
        <v>1308.75</v>
      </c>
      <c r="Q144" s="580">
        <f t="shared" si="72"/>
        <v>0</v>
      </c>
      <c r="R144" s="1444">
        <f t="shared" ref="R144:R207" si="73">Q144</f>
        <v>0</v>
      </c>
    </row>
    <row r="145" spans="1:22" ht="15" hidden="1" customHeight="1" outlineLevel="1" x14ac:dyDescent="0.25">
      <c r="A145" s="576">
        <f t="shared" ca="1" si="57"/>
        <v>2</v>
      </c>
      <c r="B145" s="576">
        <f>IF(M145=0,0,MAX($B$82:B144)+1)</f>
        <v>0</v>
      </c>
      <c r="C145" s="576">
        <f t="shared" si="68"/>
        <v>0</v>
      </c>
      <c r="D145" s="515">
        <f t="shared" si="69"/>
        <v>121</v>
      </c>
      <c r="E145" s="35" t="str">
        <f t="shared" ca="1" si="70"/>
        <v>2.1.0</v>
      </c>
      <c r="F145" s="576" t="s">
        <v>2639</v>
      </c>
      <c r="G145" s="576">
        <v>2003423</v>
      </c>
      <c r="H145" s="577" t="str">
        <f t="shared" si="71"/>
        <v>Descida d'água de aterros em degraus - DAD 10 - areia e brita comerciais</v>
      </c>
      <c r="I145" s="37" t="str">
        <f>IFERROR(VLOOKUP(G145,SINAPI!A:D,2,0),"")</f>
        <v>Descida d'água de aterros em degraus - DAD 10 - areia e brita comerciais</v>
      </c>
      <c r="J145" s="626" t="s">
        <v>5</v>
      </c>
      <c r="K145" s="530"/>
      <c r="L145" s="40" t="str">
        <f>IFERROR(VLOOKUP(G145,SINAPI!A:D,3,0),"")</f>
        <v>m</v>
      </c>
      <c r="M145" s="40">
        <f>VLOOKUP(D145,MEMORIA!B:F,$A$3+3)</f>
        <v>0</v>
      </c>
      <c r="N145" s="40">
        <f>IFERROR(VLOOKUP(G145,SINAPI!A:D,4,0),"")</f>
        <v>1289.06</v>
      </c>
      <c r="O145" s="1571">
        <f t="shared" si="49"/>
        <v>0.24379999999999999</v>
      </c>
      <c r="P145" s="41">
        <f t="shared" si="50"/>
        <v>1603.33</v>
      </c>
      <c r="Q145" s="580">
        <f t="shared" si="72"/>
        <v>0</v>
      </c>
      <c r="R145" s="1444">
        <f t="shared" si="73"/>
        <v>0</v>
      </c>
    </row>
    <row r="146" spans="1:22" ht="15" hidden="1" customHeight="1" outlineLevel="1" x14ac:dyDescent="0.25">
      <c r="A146" s="576">
        <f t="shared" ca="1" si="57"/>
        <v>2</v>
      </c>
      <c r="B146" s="576">
        <f>IF(M146=0,0,MAX($B$82:B145)+1)</f>
        <v>0</v>
      </c>
      <c r="C146" s="576">
        <f t="shared" si="68"/>
        <v>0</v>
      </c>
      <c r="D146" s="515">
        <f>D144+1</f>
        <v>121</v>
      </c>
      <c r="E146" s="35" t="str">
        <f t="shared" ref="E146" ca="1" si="74">CONCATENATE(A146,".",$B$81,".",B146)</f>
        <v>2.1.0</v>
      </c>
      <c r="F146" s="576" t="s">
        <v>2639</v>
      </c>
      <c r="G146" s="576">
        <v>2003427</v>
      </c>
      <c r="H146" s="577" t="str">
        <f t="shared" ref="H146" si="75">I146</f>
        <v>Descida d'água de aterros em degraus - DAD 12 - areia e brita comerciais</v>
      </c>
      <c r="I146" s="37" t="str">
        <f>IFERROR(VLOOKUP(G146,SINAPI!A:D,2,0),"")</f>
        <v>Descida d'água de aterros em degraus - DAD 12 - areia e brita comerciais</v>
      </c>
      <c r="J146" s="626" t="s">
        <v>5</v>
      </c>
      <c r="K146" s="530"/>
      <c r="L146" s="40" t="str">
        <f>IFERROR(VLOOKUP(G146,SINAPI!A:D,3,0),"")</f>
        <v>m</v>
      </c>
      <c r="M146" s="40">
        <f>VLOOKUP(D146,MEMORIA!B:F,$A$3+3)</f>
        <v>0</v>
      </c>
      <c r="N146" s="40">
        <f>IFERROR(VLOOKUP(G146,SINAPI!A:D,4,0),"")</f>
        <v>1685.38</v>
      </c>
      <c r="O146" s="1571">
        <f t="shared" ref="O146:O176" si="76">$N$7</f>
        <v>0.24379999999999999</v>
      </c>
      <c r="P146" s="41">
        <f t="shared" ref="P146:P176" si="77">IF(N146="","",(ROUND(N146*(1+O146),2)))</f>
        <v>2096.2800000000002</v>
      </c>
      <c r="Q146" s="580">
        <f t="shared" ref="Q146" si="78">IF(M146="","",ROUND(M146*P146,2))</f>
        <v>0</v>
      </c>
      <c r="R146" s="1444">
        <f t="shared" si="73"/>
        <v>0</v>
      </c>
    </row>
    <row r="147" spans="1:22" ht="15" hidden="1" customHeight="1" outlineLevel="1" x14ac:dyDescent="0.25">
      <c r="A147" s="576">
        <f t="shared" ca="1" si="57"/>
        <v>2</v>
      </c>
      <c r="B147" s="576">
        <f>IF(M147=0,0,MAX($B$82:B146)+1)</f>
        <v>0</v>
      </c>
      <c r="C147" s="576">
        <f t="shared" si="68"/>
        <v>0</v>
      </c>
      <c r="D147" s="515">
        <f t="shared" ref="D147:D149" si="79">D145+1</f>
        <v>122</v>
      </c>
      <c r="E147" s="35" t="str">
        <f t="shared" ca="1" si="70"/>
        <v>2.1.0</v>
      </c>
      <c r="F147" s="576" t="s">
        <v>2639</v>
      </c>
      <c r="G147" s="576">
        <v>2003431</v>
      </c>
      <c r="H147" s="577" t="str">
        <f t="shared" si="71"/>
        <v>Descida d'água de aterros em degraus - DAD 14 - areia e brita comerciais</v>
      </c>
      <c r="I147" s="37" t="str">
        <f>IFERROR(VLOOKUP(G147,SINAPI!A:D,2,0),"")</f>
        <v>Descida d'água de aterros em degraus - DAD 14 - areia e brita comerciais</v>
      </c>
      <c r="J147" s="626" t="s">
        <v>5</v>
      </c>
      <c r="K147" s="530"/>
      <c r="L147" s="40" t="str">
        <f>IFERROR(VLOOKUP(G147,SINAPI!A:D,3,0),"")</f>
        <v>m</v>
      </c>
      <c r="M147" s="40">
        <f>VLOOKUP(D147,MEMORIA!B:F,$A$3+3)</f>
        <v>0</v>
      </c>
      <c r="N147" s="40">
        <f>IFERROR(VLOOKUP(G147,SINAPI!A:D,4,0),"")</f>
        <v>1997.51</v>
      </c>
      <c r="O147" s="1571">
        <f t="shared" si="76"/>
        <v>0.24379999999999999</v>
      </c>
      <c r="P147" s="41">
        <f t="shared" si="77"/>
        <v>2484.5</v>
      </c>
      <c r="Q147" s="580">
        <f t="shared" si="72"/>
        <v>0</v>
      </c>
      <c r="R147" s="1444">
        <f t="shared" si="73"/>
        <v>0</v>
      </c>
    </row>
    <row r="148" spans="1:22" ht="15" hidden="1" customHeight="1" outlineLevel="1" x14ac:dyDescent="0.25">
      <c r="A148" s="576">
        <f t="shared" ca="1" si="57"/>
        <v>2</v>
      </c>
      <c r="B148" s="576">
        <f>IF(M148=0,0,MAX($B$82:B147)+1)</f>
        <v>0</v>
      </c>
      <c r="C148" s="576">
        <f t="shared" ref="C148:C149" si="80">IF(B148=0,0,1)</f>
        <v>0</v>
      </c>
      <c r="D148" s="515">
        <f t="shared" si="79"/>
        <v>122</v>
      </c>
      <c r="E148" s="35" t="str">
        <f t="shared" ref="E148:E149" ca="1" si="81">CONCATENATE(A148,".",$B$81,".",B148)</f>
        <v>2.1.0</v>
      </c>
      <c r="F148" s="576" t="s">
        <v>2639</v>
      </c>
      <c r="G148" s="576">
        <v>2003648</v>
      </c>
      <c r="H148" s="577" t="str">
        <f t="shared" ref="H148:H149" si="82">I148</f>
        <v>Caixa de ligação e passagem - CLP 04 - areia e brita comerciais</v>
      </c>
      <c r="I148" s="37" t="str">
        <f>IFERROR(VLOOKUP(G148,SINAPI!A:D,2,0),"")</f>
        <v>Caixa de ligação e passagem - CLP 04 - areia e brita comerciais</v>
      </c>
      <c r="J148" s="626" t="s">
        <v>5</v>
      </c>
      <c r="K148" s="530"/>
      <c r="L148" s="40" t="str">
        <f>IFERROR(VLOOKUP(G148,SINAPI!A:D,3,0),"")</f>
        <v>un</v>
      </c>
      <c r="M148" s="40">
        <f>VLOOKUP(D148,MEMORIA!B:F,$A$3+3)</f>
        <v>0</v>
      </c>
      <c r="N148" s="40">
        <f>IFERROR(VLOOKUP(G148,SINAPI!A:D,4,0),"")</f>
        <v>2611.64</v>
      </c>
      <c r="O148" s="1571">
        <f t="shared" si="76"/>
        <v>0.24379999999999999</v>
      </c>
      <c r="P148" s="41">
        <f t="shared" si="77"/>
        <v>3248.36</v>
      </c>
      <c r="Q148" s="580">
        <f t="shared" ref="Q148:Q149" si="83">IF(M148="","",ROUND(M148*P148,2))</f>
        <v>0</v>
      </c>
      <c r="R148" s="1444">
        <f t="shared" si="73"/>
        <v>0</v>
      </c>
    </row>
    <row r="149" spans="1:22" ht="15" hidden="1" customHeight="1" outlineLevel="1" x14ac:dyDescent="0.25">
      <c r="A149" s="576">
        <f t="shared" ca="1" si="57"/>
        <v>2</v>
      </c>
      <c r="B149" s="576">
        <f>IF(M149=0,0,MAX($B$82:B148)+1)</f>
        <v>0</v>
      </c>
      <c r="C149" s="576">
        <f t="shared" si="80"/>
        <v>0</v>
      </c>
      <c r="D149" s="515">
        <f t="shared" si="79"/>
        <v>123</v>
      </c>
      <c r="E149" s="35" t="str">
        <f t="shared" ca="1" si="81"/>
        <v>2.1.0</v>
      </c>
      <c r="F149" s="576" t="s">
        <v>2639</v>
      </c>
      <c r="G149" s="576">
        <v>2003684</v>
      </c>
      <c r="H149" s="577" t="str">
        <f t="shared" si="82"/>
        <v>Poço de visita - PVI 04 - areia e brita comerciais</v>
      </c>
      <c r="I149" s="37" t="str">
        <f>IFERROR(VLOOKUP(G149,SINAPI!A:D,2,0),"")</f>
        <v>Poço de visita - PVI 04 - areia e brita comerciais</v>
      </c>
      <c r="J149" s="626" t="s">
        <v>5</v>
      </c>
      <c r="K149" s="530"/>
      <c r="L149" s="40" t="str">
        <f>IFERROR(VLOOKUP(G149,SINAPI!A:D,3,0),"")</f>
        <v>un</v>
      </c>
      <c r="M149" s="40">
        <f>VLOOKUP(D149,MEMORIA!B:F,$A$3+3)</f>
        <v>0</v>
      </c>
      <c r="N149" s="40">
        <f>IFERROR(VLOOKUP(G149,SINAPI!A:D,4,0),"")</f>
        <v>2800.75</v>
      </c>
      <c r="O149" s="1571">
        <f t="shared" si="76"/>
        <v>0.24379999999999999</v>
      </c>
      <c r="P149" s="41">
        <f t="shared" si="77"/>
        <v>3483.57</v>
      </c>
      <c r="Q149" s="580">
        <f t="shared" si="83"/>
        <v>0</v>
      </c>
      <c r="R149" s="1444">
        <f t="shared" si="73"/>
        <v>0</v>
      </c>
    </row>
    <row r="150" spans="1:22" ht="15" customHeight="1" outlineLevel="1" x14ac:dyDescent="0.25">
      <c r="A150" s="576">
        <f ca="1">A124</f>
        <v>2</v>
      </c>
      <c r="B150" s="576">
        <f>IF(M150=0,0,MAX($B$82:B147)+1)</f>
        <v>8</v>
      </c>
      <c r="C150" s="576">
        <f t="shared" si="68"/>
        <v>1</v>
      </c>
      <c r="D150" s="515">
        <f>D154+1</f>
        <v>127</v>
      </c>
      <c r="E150" s="35" t="str">
        <f t="shared" ca="1" si="54"/>
        <v>2.1.8</v>
      </c>
      <c r="F150" s="1082" t="s">
        <v>2639</v>
      </c>
      <c r="G150" s="576">
        <v>4805762</v>
      </c>
      <c r="H150" s="224" t="str">
        <f t="shared" si="48"/>
        <v>Escavação mecânica de vala em material de 2ª categoria</v>
      </c>
      <c r="I150" s="37" t="str">
        <f>IFERROR(VLOOKUP(G150,SINAPI!A:D,2,0),"")</f>
        <v>Escavação mecânica de vala em material de 2ª categoria</v>
      </c>
      <c r="J150" s="626" t="s">
        <v>5</v>
      </c>
      <c r="K150" s="985" t="s">
        <v>2913</v>
      </c>
      <c r="L150" s="40" t="str">
        <f>IFERROR(VLOOKUP(G150,SINAPI!A:D,3,0),"")</f>
        <v>m³</v>
      </c>
      <c r="M150" s="40">
        <f>VLOOKUP(D150,MEMORIA!B:F,$A$3+3)</f>
        <v>44.8</v>
      </c>
      <c r="N150" s="40">
        <f>IFERROR(VLOOKUP(G150,SINAPI!A:D,4,0),"")</f>
        <v>8.91</v>
      </c>
      <c r="O150" s="1571">
        <f t="shared" si="76"/>
        <v>0.24379999999999999</v>
      </c>
      <c r="P150" s="41">
        <f t="shared" si="77"/>
        <v>11.08</v>
      </c>
      <c r="Q150" s="580">
        <f t="shared" si="59"/>
        <v>496.38</v>
      </c>
      <c r="R150" s="1444">
        <f t="shared" si="73"/>
        <v>496.38</v>
      </c>
      <c r="U150" s="849"/>
      <c r="V150" s="849"/>
    </row>
    <row r="151" spans="1:22" ht="15" customHeight="1" outlineLevel="1" x14ac:dyDescent="0.25">
      <c r="A151" s="576">
        <f ca="1">A125</f>
        <v>2</v>
      </c>
      <c r="B151" s="576">
        <f>IF(M151=0,0,MAX($B$82:B150)+1)</f>
        <v>9</v>
      </c>
      <c r="C151" s="576">
        <f t="shared" si="68"/>
        <v>1</v>
      </c>
      <c r="D151" s="515">
        <f>D150+1</f>
        <v>128</v>
      </c>
      <c r="E151" s="35" t="str">
        <f t="shared" ca="1" si="54"/>
        <v>2.1.9</v>
      </c>
      <c r="F151" s="576" t="s">
        <v>2639</v>
      </c>
      <c r="G151" s="576">
        <v>4805765</v>
      </c>
      <c r="H151" s="224" t="str">
        <f t="shared" si="48"/>
        <v>Escavação de vala em material de 3ª categoria</v>
      </c>
      <c r="I151" s="37" t="str">
        <f>IFERROR(VLOOKUP(G151,SINAPI!A:D,2,0),"")</f>
        <v>Escavação de vala em material de 3ª categoria</v>
      </c>
      <c r="J151" s="626" t="s">
        <v>5</v>
      </c>
      <c r="K151" s="985" t="s">
        <v>2913</v>
      </c>
      <c r="L151" s="40" t="str">
        <f>IFERROR(VLOOKUP(G151,SINAPI!A:D,3,0),"")</f>
        <v>m³</v>
      </c>
      <c r="M151" s="40">
        <f>VLOOKUP(D151,MEMORIA!B:F,$A$3+3)</f>
        <v>11.2</v>
      </c>
      <c r="N151" s="40">
        <f>IFERROR(VLOOKUP(G151,SINAPI!A:D,4,0),"")</f>
        <v>185.47</v>
      </c>
      <c r="O151" s="1571">
        <f t="shared" si="76"/>
        <v>0.24379999999999999</v>
      </c>
      <c r="P151" s="41">
        <f t="shared" si="77"/>
        <v>230.69</v>
      </c>
      <c r="Q151" s="580">
        <f t="shared" si="59"/>
        <v>2583.73</v>
      </c>
      <c r="R151" s="1444">
        <f t="shared" si="73"/>
        <v>2583.73</v>
      </c>
      <c r="U151" s="849"/>
      <c r="V151" s="849"/>
    </row>
    <row r="152" spans="1:22" ht="15" hidden="1" customHeight="1" outlineLevel="1" x14ac:dyDescent="0.25">
      <c r="A152" s="576">
        <f ca="1">A126</f>
        <v>2</v>
      </c>
      <c r="B152" s="576">
        <f>IF(M152=0,0,MAX($B$82:B151)+1)</f>
        <v>0</v>
      </c>
      <c r="C152" s="576">
        <f t="shared" si="68"/>
        <v>0</v>
      </c>
      <c r="D152" s="515">
        <f>D149+1</f>
        <v>124</v>
      </c>
      <c r="E152" s="35" t="str">
        <f t="shared" ca="1" si="54"/>
        <v>2.1.0</v>
      </c>
      <c r="F152" s="576" t="s">
        <v>2639</v>
      </c>
      <c r="G152" s="576">
        <v>2003579</v>
      </c>
      <c r="H152" s="224" t="str">
        <f t="shared" si="48"/>
        <v>Dreno longitudinal profundo para corte em solo - DPS 08 - tubo PEAD e brita comercial</v>
      </c>
      <c r="I152" s="37" t="str">
        <f>IFERROR(VLOOKUP(G152,SINAPI!A:D,2,0),"")</f>
        <v>Dreno longitudinal profundo para corte em solo - DPS 08 - tubo PEAD e brita comercial</v>
      </c>
      <c r="J152" s="626" t="s">
        <v>5</v>
      </c>
      <c r="K152" s="985" t="s">
        <v>2913</v>
      </c>
      <c r="L152" s="40" t="str">
        <f>IFERROR(VLOOKUP(G152,SINAPI!A:D,3,0),"")</f>
        <v>m</v>
      </c>
      <c r="M152" s="40">
        <f>VLOOKUP(D152,MEMORIA!B:F,$A$3+3)</f>
        <v>0</v>
      </c>
      <c r="N152" s="40">
        <f>IFERROR(VLOOKUP(G152,SINAPI!A:D,4,0),"")</f>
        <v>172.93</v>
      </c>
      <c r="O152" s="1571">
        <f t="shared" si="76"/>
        <v>0.24379999999999999</v>
      </c>
      <c r="P152" s="41">
        <f t="shared" si="77"/>
        <v>215.09</v>
      </c>
      <c r="Q152" s="580">
        <f t="shared" si="59"/>
        <v>0</v>
      </c>
      <c r="R152" s="1444">
        <f t="shared" si="73"/>
        <v>0</v>
      </c>
      <c r="U152" s="849"/>
      <c r="V152" s="849"/>
    </row>
    <row r="153" spans="1:22" ht="15" customHeight="1" outlineLevel="1" x14ac:dyDescent="0.25">
      <c r="A153" s="576">
        <f ca="1">A118</f>
        <v>2</v>
      </c>
      <c r="B153" s="576">
        <f>IF(M153=0,0,MAX($B$82:B152)+1)</f>
        <v>10</v>
      </c>
      <c r="C153" s="576">
        <f t="shared" si="53"/>
        <v>1</v>
      </c>
      <c r="D153" s="515">
        <f t="shared" si="55"/>
        <v>125</v>
      </c>
      <c r="E153" s="35" t="str">
        <f t="shared" ca="1" si="54"/>
        <v>2.1.10</v>
      </c>
      <c r="F153" s="576" t="s">
        <v>17</v>
      </c>
      <c r="G153" s="576" t="s">
        <v>2923</v>
      </c>
      <c r="H153" s="224" t="str">
        <f t="shared" si="48"/>
        <v>Dreno tipo 50x80cm</v>
      </c>
      <c r="I153" s="37" t="str">
        <f>IFERROR(VLOOKUP(G153,SINAPI!A:D,2,0),"")</f>
        <v>Dreno tipo 50x80cm</v>
      </c>
      <c r="J153" s="626" t="s">
        <v>5</v>
      </c>
      <c r="K153" s="985" t="s">
        <v>2913</v>
      </c>
      <c r="L153" s="40" t="str">
        <f>IFERROR(VLOOKUP(G153,SINAPI!A:D,3,0),"")</f>
        <v>m</v>
      </c>
      <c r="M153" s="40">
        <f>VLOOKUP(D153,MEMORIA!B:F,$A$3+3)</f>
        <v>140</v>
      </c>
      <c r="N153" s="40">
        <f>IFERROR(VLOOKUP(G153,SINAPI!A:D,4,0),"")</f>
        <v>98.53</v>
      </c>
      <c r="O153" s="1571">
        <f t="shared" si="76"/>
        <v>0.24379999999999999</v>
      </c>
      <c r="P153" s="41">
        <f t="shared" si="77"/>
        <v>122.55</v>
      </c>
      <c r="Q153" s="580">
        <f t="shared" si="56"/>
        <v>17157</v>
      </c>
      <c r="R153" s="1444">
        <f t="shared" si="73"/>
        <v>17157</v>
      </c>
      <c r="U153" s="849"/>
      <c r="V153" s="849"/>
    </row>
    <row r="154" spans="1:22" ht="15" hidden="1" customHeight="1" outlineLevel="1" x14ac:dyDescent="0.25">
      <c r="A154" s="576">
        <f ca="1">A153</f>
        <v>2</v>
      </c>
      <c r="B154" s="576">
        <f>IF(M154=0,0,MAX($B$82:B153)+1)</f>
        <v>0</v>
      </c>
      <c r="C154" s="576">
        <f t="shared" si="53"/>
        <v>0</v>
      </c>
      <c r="D154" s="515">
        <f t="shared" si="55"/>
        <v>126</v>
      </c>
      <c r="E154" s="35" t="str">
        <f t="shared" ca="1" si="54"/>
        <v>2.1.0</v>
      </c>
      <c r="F154" s="576" t="s">
        <v>2639</v>
      </c>
      <c r="G154" s="576">
        <v>2003595</v>
      </c>
      <c r="H154" s="224" t="str">
        <f t="shared" si="48"/>
        <v>Dreno longitudinal profundo para corte em rocha - DPR 04 - brita comercial</v>
      </c>
      <c r="I154" s="37" t="str">
        <f>IFERROR(VLOOKUP(G154,SINAPI!A:D,2,0),"")</f>
        <v>Dreno longitudinal profundo para corte em rocha - DPR 04 - brita comercial</v>
      </c>
      <c r="J154" s="626"/>
      <c r="K154" s="985" t="s">
        <v>2913</v>
      </c>
      <c r="L154" s="40" t="str">
        <f>IFERROR(VLOOKUP(G154,SINAPI!A:D,3,0),"")</f>
        <v>m</v>
      </c>
      <c r="M154" s="40">
        <f>VLOOKUP(D154,MEMORIA!B:F,$A$3+3)</f>
        <v>0</v>
      </c>
      <c r="N154" s="40">
        <f>IFERROR(VLOOKUP(G154,SINAPI!A:D,4,0),"")</f>
        <v>65.099999999999994</v>
      </c>
      <c r="O154" s="1571">
        <f t="shared" si="76"/>
        <v>0.24379999999999999</v>
      </c>
      <c r="P154" s="41">
        <f t="shared" si="77"/>
        <v>80.97</v>
      </c>
      <c r="Q154" s="580">
        <f t="shared" si="56"/>
        <v>0</v>
      </c>
      <c r="R154" s="1444">
        <f t="shared" si="73"/>
        <v>0</v>
      </c>
      <c r="U154" s="849"/>
      <c r="V154" s="849"/>
    </row>
    <row r="155" spans="1:22" s="1085" customFormat="1" ht="12" customHeight="1" outlineLevel="1" x14ac:dyDescent="0.25">
      <c r="A155" s="576">
        <f ca="1">A154</f>
        <v>2</v>
      </c>
      <c r="B155" s="576">
        <f>IF(M155=0,0,MAX($B$82:B154)+1)</f>
        <v>11</v>
      </c>
      <c r="C155" s="576">
        <f t="shared" ref="C155" si="84">IF(B155=0,0,1)</f>
        <v>1</v>
      </c>
      <c r="D155" s="515">
        <f>D151+1</f>
        <v>129</v>
      </c>
      <c r="E155" s="35" t="str">
        <f t="shared" ca="1" si="54"/>
        <v>2.1.11</v>
      </c>
      <c r="F155" s="576" t="s">
        <v>2639</v>
      </c>
      <c r="G155" s="576">
        <v>5914389</v>
      </c>
      <c r="H155" s="224" t="str">
        <f t="shared" si="48"/>
        <v>Transporte com caminhão basculante de 10 m³ - rodovia pavimentada</v>
      </c>
      <c r="I155" s="37" t="str">
        <f>IFERROR(VLOOKUP(G155,SINAPI!A:D,2,0),"")</f>
        <v>Transporte com caminhão basculante de 10 m³ - rodovia pavimentada</v>
      </c>
      <c r="J155" s="626">
        <f>DMT!$G$10</f>
        <v>25.9</v>
      </c>
      <c r="K155" s="985" t="s">
        <v>2913</v>
      </c>
      <c r="L155" s="40" t="str">
        <f>IFERROR(VLOOKUP(G155,SINAPI!A:D,3,0),"")</f>
        <v>tkm</v>
      </c>
      <c r="M155" s="41">
        <f>VLOOKUP(D155,MEMORIA!B:F,$A$3+3)</f>
        <v>2335.1999999999998</v>
      </c>
      <c r="N155" s="41">
        <f>IFERROR(VLOOKUP(G155,SINAPI!A:D,4,0),"")</f>
        <v>0.84</v>
      </c>
      <c r="O155" s="1571">
        <f t="shared" si="76"/>
        <v>0.24379999999999999</v>
      </c>
      <c r="P155" s="41">
        <f t="shared" si="77"/>
        <v>1.04</v>
      </c>
      <c r="Q155" s="42">
        <f>IF(M155="","",ROUND(M155*P155,2))</f>
        <v>2428.61</v>
      </c>
      <c r="R155" s="1444">
        <f t="shared" si="73"/>
        <v>2428.61</v>
      </c>
      <c r="S155" s="1084"/>
      <c r="T155" s="1084"/>
      <c r="U155" s="1083"/>
      <c r="V155" s="1083"/>
    </row>
    <row r="156" spans="1:22" ht="15" hidden="1" customHeight="1" outlineLevel="1" x14ac:dyDescent="0.25">
      <c r="A156" s="576">
        <f ca="1">A153</f>
        <v>2</v>
      </c>
      <c r="B156" s="576">
        <f>IF(M156=0,0,MAX($B$82:B154)+1)</f>
        <v>0</v>
      </c>
      <c r="C156" s="576">
        <f t="shared" ref="C156" si="85">IF(B156=0,0,1)</f>
        <v>0</v>
      </c>
      <c r="D156" s="515">
        <f>D155+1</f>
        <v>130</v>
      </c>
      <c r="E156" s="35" t="str">
        <f t="shared" ca="1" si="54"/>
        <v>2.1.0</v>
      </c>
      <c r="F156" s="36" t="s">
        <v>2639</v>
      </c>
      <c r="G156" s="36">
        <v>2003319</v>
      </c>
      <c r="H156" s="224" t="str">
        <f t="shared" ref="H156:H173" si="86">I156</f>
        <v>Sarjeta triangular de concreto - STC 01 - escavação mecânica - areia e brita comerciais</v>
      </c>
      <c r="I156" s="37" t="str">
        <f>IFERROR(VLOOKUP(G156,SINAPI!A:D,2,0),"")</f>
        <v>Sarjeta triangular de concreto - STC 01 - escavação mecânica - areia e brita comerciais</v>
      </c>
      <c r="J156" s="626"/>
      <c r="K156" s="985"/>
      <c r="L156" s="40" t="str">
        <f>IFERROR(VLOOKUP(G156,SINAPI!A:D,3,0),"")</f>
        <v>m</v>
      </c>
      <c r="M156" s="40">
        <f>VLOOKUP(D156,MEMORIA!B:F,$A$3+3)</f>
        <v>0</v>
      </c>
      <c r="N156" s="40">
        <f>IFERROR(VLOOKUP(G156,SINAPI!A:D,4,0),"")</f>
        <v>78.14</v>
      </c>
      <c r="O156" s="1571">
        <f t="shared" si="76"/>
        <v>0.24379999999999999</v>
      </c>
      <c r="P156" s="41">
        <f t="shared" si="77"/>
        <v>97.19</v>
      </c>
      <c r="Q156" s="580">
        <f t="shared" ref="Q156" si="87">IF(M156="","",ROUND(M156*P156,2))</f>
        <v>0</v>
      </c>
      <c r="R156" s="1444">
        <f t="shared" si="73"/>
        <v>0</v>
      </c>
      <c r="U156" s="849"/>
      <c r="V156" s="849"/>
    </row>
    <row r="157" spans="1:22" ht="15" customHeight="1" outlineLevel="1" x14ac:dyDescent="0.25">
      <c r="A157" s="576">
        <f ca="1">A154</f>
        <v>2</v>
      </c>
      <c r="B157" s="576">
        <f>IF(M157=0,0,MAX($B$82:B156)+1)</f>
        <v>12</v>
      </c>
      <c r="C157" s="576">
        <f t="shared" si="53"/>
        <v>1</v>
      </c>
      <c r="D157" s="515">
        <f t="shared" si="55"/>
        <v>131</v>
      </c>
      <c r="E157" s="35" t="str">
        <f t="shared" ca="1" si="54"/>
        <v>2.1.12</v>
      </c>
      <c r="F157" s="36" t="s">
        <v>2639</v>
      </c>
      <c r="G157" s="36">
        <v>2003325</v>
      </c>
      <c r="H157" s="224" t="str">
        <f t="shared" si="86"/>
        <v>Sarjeta triangular de concreto - STC 04 - escavação mecânica - areia e brita comerciais</v>
      </c>
      <c r="I157" s="37" t="str">
        <f>IFERROR(VLOOKUP(G157,SINAPI!A:D,2,0),"")</f>
        <v>Sarjeta triangular de concreto - STC 04 - escavação mecânica - areia e brita comerciais</v>
      </c>
      <c r="J157" s="626"/>
      <c r="K157" s="985"/>
      <c r="L157" s="40" t="str">
        <f>IFERROR(VLOOKUP(G157,SINAPI!A:D,3,0),"")</f>
        <v>m</v>
      </c>
      <c r="M157" s="40">
        <f>VLOOKUP(D157,MEMORIA!B:F,$A$3+3)</f>
        <v>116</v>
      </c>
      <c r="N157" s="40">
        <f>IFERROR(VLOOKUP(G157,SINAPI!A:D,4,0),"")</f>
        <v>48.61</v>
      </c>
      <c r="O157" s="1571">
        <f t="shared" si="76"/>
        <v>0.24379999999999999</v>
      </c>
      <c r="P157" s="41">
        <f t="shared" si="77"/>
        <v>60.46</v>
      </c>
      <c r="Q157" s="580">
        <f t="shared" si="56"/>
        <v>7013.36</v>
      </c>
      <c r="R157" s="1444">
        <f t="shared" si="73"/>
        <v>7013.36</v>
      </c>
      <c r="U157" s="849"/>
      <c r="V157" s="849"/>
    </row>
    <row r="158" spans="1:22" ht="15" customHeight="1" outlineLevel="1" x14ac:dyDescent="0.25">
      <c r="A158" s="576">
        <f ca="1">A153</f>
        <v>2</v>
      </c>
      <c r="B158" s="576">
        <f>IF(M158=0,0,MAX($B$82:B157)+1)</f>
        <v>13</v>
      </c>
      <c r="C158" s="576">
        <f t="shared" ref="C158:C160" si="88">IF(B158=0,0,1)</f>
        <v>1</v>
      </c>
      <c r="D158" s="515">
        <f t="shared" si="55"/>
        <v>132</v>
      </c>
      <c r="E158" s="35" t="str">
        <f t="shared" ref="E158:E172" ca="1" si="89">CONCATENATE(A158,".",$B$81,".",B158)</f>
        <v>2.1.13</v>
      </c>
      <c r="F158" s="36" t="s">
        <v>2639</v>
      </c>
      <c r="G158" s="36">
        <v>4805754</v>
      </c>
      <c r="H158" s="224" t="str">
        <f t="shared" si="86"/>
        <v>Compactação manual com soquete vibratório</v>
      </c>
      <c r="I158" s="37" t="str">
        <f>IFERROR(VLOOKUP(G158,SINAPI!A:D,2,0),"")</f>
        <v>Compactação manual com soquete vibratório</v>
      </c>
      <c r="J158" s="626" t="s">
        <v>5</v>
      </c>
      <c r="K158" s="985"/>
      <c r="L158" s="40" t="str">
        <f>IFERROR(VLOOKUP(G158,SINAPI!A:D,3,0),"")</f>
        <v>m³</v>
      </c>
      <c r="M158" s="40">
        <f>VLOOKUP(D158,MEMORIA!B:F,$A$3+3)</f>
        <v>23.2</v>
      </c>
      <c r="N158" s="40">
        <f>IFERROR(VLOOKUP(G158,SINAPI!A:D,4,0),"")</f>
        <v>6.73</v>
      </c>
      <c r="O158" s="1571">
        <f t="shared" si="76"/>
        <v>0.24379999999999999</v>
      </c>
      <c r="P158" s="41">
        <f t="shared" si="77"/>
        <v>8.3699999999999992</v>
      </c>
      <c r="Q158" s="580">
        <f t="shared" ref="Q158:Q160" si="90">IF(M158="","",ROUND(M158*P158,2))</f>
        <v>194.18</v>
      </c>
      <c r="R158" s="1444">
        <f t="shared" si="73"/>
        <v>194.18</v>
      </c>
      <c r="U158" s="999"/>
      <c r="V158" s="999"/>
    </row>
    <row r="159" spans="1:22" ht="15" customHeight="1" outlineLevel="1" x14ac:dyDescent="0.25">
      <c r="A159" s="576">
        <f ca="1">A154</f>
        <v>2</v>
      </c>
      <c r="B159" s="576">
        <f>IF(M159=0,0,MAX($B$82:B158)+1)</f>
        <v>14</v>
      </c>
      <c r="C159" s="576">
        <f t="shared" si="88"/>
        <v>1</v>
      </c>
      <c r="D159" s="515">
        <f t="shared" si="55"/>
        <v>133</v>
      </c>
      <c r="E159" s="35" t="str">
        <f t="shared" ca="1" si="89"/>
        <v>2.1.14</v>
      </c>
      <c r="F159" s="36" t="s">
        <v>2639</v>
      </c>
      <c r="G159" s="36">
        <v>4016096</v>
      </c>
      <c r="H159" s="224" t="str">
        <f t="shared" si="86"/>
        <v>Escavação e carga de material de jazida com escavadeira hidráulica de 1,56 m³</v>
      </c>
      <c r="I159" s="37" t="str">
        <f>IFERROR(VLOOKUP(G159,SINAPI!A:D,2,0),"")</f>
        <v>Escavação e carga de material de jazida com escavadeira hidráulica de 1,56 m³</v>
      </c>
      <c r="J159" s="626" t="s">
        <v>5</v>
      </c>
      <c r="K159" s="985"/>
      <c r="L159" s="40" t="str">
        <f>IFERROR(VLOOKUP(G159,SINAPI!A:D,3,0),"")</f>
        <v>m³</v>
      </c>
      <c r="M159" s="40">
        <f>VLOOKUP(D159,MEMORIA!B:F,$A$3+3)</f>
        <v>23.2</v>
      </c>
      <c r="N159" s="40">
        <f>IFERROR(VLOOKUP(G159,SINAPI!A:D,4,0),"")</f>
        <v>1.67</v>
      </c>
      <c r="O159" s="1571">
        <f t="shared" si="76"/>
        <v>0.24379999999999999</v>
      </c>
      <c r="P159" s="41">
        <f t="shared" si="77"/>
        <v>2.08</v>
      </c>
      <c r="Q159" s="580">
        <f t="shared" si="90"/>
        <v>48.26</v>
      </c>
      <c r="R159" s="1444">
        <f t="shared" si="73"/>
        <v>48.26</v>
      </c>
      <c r="U159" s="999"/>
      <c r="V159" s="999"/>
    </row>
    <row r="160" spans="1:22" ht="15" customHeight="1" outlineLevel="1" x14ac:dyDescent="0.25">
      <c r="A160" s="576">
        <f t="shared" ref="A160" ca="1" si="91">A156</f>
        <v>2</v>
      </c>
      <c r="B160" s="576">
        <f>IF(M160=0,0,MAX($B$82:B159)+1)</f>
        <v>15</v>
      </c>
      <c r="C160" s="576">
        <f t="shared" si="88"/>
        <v>1</v>
      </c>
      <c r="D160" s="515">
        <f t="shared" ref="D160:D176" si="92">D159+1</f>
        <v>134</v>
      </c>
      <c r="E160" s="35" t="str">
        <f t="shared" ca="1" si="89"/>
        <v>2.1.15</v>
      </c>
      <c r="F160" s="36" t="s">
        <v>2639</v>
      </c>
      <c r="G160" s="36">
        <v>5914374</v>
      </c>
      <c r="H160" s="224" t="str">
        <f t="shared" si="86"/>
        <v>Transporte com caminhão basculante de 10 m³ - rodovia em revestimento primário</v>
      </c>
      <c r="I160" s="37" t="str">
        <f>IFERROR(VLOOKUP(G160,SINAPI!A:D,2,0),"")</f>
        <v>Transporte com caminhão basculante de 10 m³ - rodovia em revestimento primário</v>
      </c>
      <c r="J160" s="626">
        <f>MEMORIA!E245</f>
        <v>0.04</v>
      </c>
      <c r="K160" s="985"/>
      <c r="L160" s="40" t="str">
        <f>IFERROR(VLOOKUP(G160,SINAPI!A:D,3,0),"")</f>
        <v>tkm</v>
      </c>
      <c r="M160" s="40">
        <f>VLOOKUP(D160,MEMORIA!B:F,$A$3+3)</f>
        <v>0.93</v>
      </c>
      <c r="N160" s="40">
        <f>IFERROR(VLOOKUP(G160,SINAPI!A:D,4,0),"")</f>
        <v>1.05</v>
      </c>
      <c r="O160" s="1571">
        <f t="shared" si="76"/>
        <v>0.24379999999999999</v>
      </c>
      <c r="P160" s="41">
        <f t="shared" si="77"/>
        <v>1.31</v>
      </c>
      <c r="Q160" s="580">
        <f t="shared" si="90"/>
        <v>1.22</v>
      </c>
      <c r="R160" s="1444">
        <f t="shared" si="73"/>
        <v>1.22</v>
      </c>
      <c r="U160" s="999"/>
      <c r="V160" s="999"/>
    </row>
    <row r="161" spans="1:22" ht="15" hidden="1" customHeight="1" outlineLevel="1" x14ac:dyDescent="0.25">
      <c r="A161" s="576">
        <f ca="1">A157</f>
        <v>2</v>
      </c>
      <c r="B161" s="576">
        <f>IF(M161=0,0,MAX($B$82:B160)+1)</f>
        <v>0</v>
      </c>
      <c r="C161" s="576">
        <f t="shared" si="53"/>
        <v>0</v>
      </c>
      <c r="D161" s="515">
        <f t="shared" si="92"/>
        <v>135</v>
      </c>
      <c r="E161" s="35" t="str">
        <f t="shared" ca="1" si="89"/>
        <v>2.1.0</v>
      </c>
      <c r="F161" s="36" t="s">
        <v>2639</v>
      </c>
      <c r="G161" s="36">
        <v>2003943</v>
      </c>
      <c r="H161" s="224" t="str">
        <f t="shared" si="86"/>
        <v>Meio-fio de concreto - MFC 03 moldado no local com extrusora e concreto usinado - areia e brita comerciais</v>
      </c>
      <c r="I161" s="37" t="str">
        <f>IFERROR(VLOOKUP(G161,SINAPI!A:D,2,0),"")</f>
        <v>Meio-fio de concreto - MFC 03 moldado no local com extrusora e concreto usinado - areia e brita comerciais</v>
      </c>
      <c r="J161" s="626" t="s">
        <v>5</v>
      </c>
      <c r="K161" s="985"/>
      <c r="L161" s="40" t="str">
        <f>IFERROR(VLOOKUP(G161,SINAPI!A:D,3,0),"")</f>
        <v>m</v>
      </c>
      <c r="M161" s="40">
        <f>VLOOKUP(D161,MEMORIA!B:F,$A$3+3)</f>
        <v>0</v>
      </c>
      <c r="N161" s="40">
        <f>IFERROR(VLOOKUP(G161,SINAPI!A:D,4,0),"")</f>
        <v>29.55</v>
      </c>
      <c r="O161" s="1571">
        <f t="shared" si="76"/>
        <v>0.24379999999999999</v>
      </c>
      <c r="P161" s="41">
        <f t="shared" si="77"/>
        <v>36.75</v>
      </c>
      <c r="Q161" s="580">
        <f t="shared" si="56"/>
        <v>0</v>
      </c>
      <c r="R161" s="1444">
        <f t="shared" si="73"/>
        <v>0</v>
      </c>
      <c r="U161" s="999"/>
      <c r="V161" s="999"/>
    </row>
    <row r="162" spans="1:22" ht="15" hidden="1" customHeight="1" outlineLevel="1" x14ac:dyDescent="0.25">
      <c r="A162" s="576">
        <f t="shared" ref="A162:A166" ca="1" si="93">A156</f>
        <v>2</v>
      </c>
      <c r="B162" s="576">
        <f>IF(M162=0,0,MAX($B$82:B161)+1)</f>
        <v>0</v>
      </c>
      <c r="C162" s="576">
        <f t="shared" ref="C162:C166" si="94">IF(B162=0,0,1)</f>
        <v>0</v>
      </c>
      <c r="D162" s="515">
        <f t="shared" si="92"/>
        <v>136</v>
      </c>
      <c r="E162" s="35" t="str">
        <f t="shared" ca="1" si="89"/>
        <v>2.1.0</v>
      </c>
      <c r="F162" s="36" t="s">
        <v>2639</v>
      </c>
      <c r="G162" s="36">
        <v>4805754</v>
      </c>
      <c r="H162" s="224" t="str">
        <f t="shared" si="86"/>
        <v>Compactação manual com soquete vibratório</v>
      </c>
      <c r="I162" s="37" t="str">
        <f>IFERROR(VLOOKUP(G162,SINAPI!A:D,2,0),"")</f>
        <v>Compactação manual com soquete vibratório</v>
      </c>
      <c r="J162" s="626"/>
      <c r="K162" s="985"/>
      <c r="L162" s="40" t="str">
        <f>IFERROR(VLOOKUP(G162,SINAPI!A:D,3,0),"")</f>
        <v>m³</v>
      </c>
      <c r="M162" s="40">
        <f>VLOOKUP(D162,MEMORIA!B:F,$A$3+3)</f>
        <v>0</v>
      </c>
      <c r="N162" s="40">
        <f>IFERROR(VLOOKUP(G162,SINAPI!A:D,4,0),"")</f>
        <v>6.73</v>
      </c>
      <c r="O162" s="1571">
        <f t="shared" si="76"/>
        <v>0.24379999999999999</v>
      </c>
      <c r="P162" s="41">
        <f t="shared" si="77"/>
        <v>8.3699999999999992</v>
      </c>
      <c r="Q162" s="580">
        <f t="shared" ref="Q162:Q166" si="95">IF(M162="","",ROUND(M162*P162,2))</f>
        <v>0</v>
      </c>
      <c r="R162" s="1444">
        <f t="shared" si="73"/>
        <v>0</v>
      </c>
      <c r="U162" s="999"/>
      <c r="V162" s="999"/>
    </row>
    <row r="163" spans="1:22" ht="15" hidden="1" customHeight="1" outlineLevel="1" x14ac:dyDescent="0.25">
      <c r="A163" s="576">
        <f t="shared" ca="1" si="93"/>
        <v>2</v>
      </c>
      <c r="B163" s="576">
        <f>IF(M163=0,0,MAX($B$82:B162)+1)</f>
        <v>0</v>
      </c>
      <c r="C163" s="576">
        <f t="shared" si="94"/>
        <v>0</v>
      </c>
      <c r="D163" s="515">
        <f t="shared" si="92"/>
        <v>137</v>
      </c>
      <c r="E163" s="35" t="str">
        <f t="shared" ca="1" si="89"/>
        <v>2.1.0</v>
      </c>
      <c r="F163" s="36" t="s">
        <v>2639</v>
      </c>
      <c r="G163" s="36">
        <v>4016096</v>
      </c>
      <c r="H163" s="224" t="str">
        <f t="shared" si="86"/>
        <v>Escavação e carga de material de jazida com escavadeira hidráulica de 1,56 m³</v>
      </c>
      <c r="I163" s="37" t="str">
        <f>IFERROR(VLOOKUP(G163,SINAPI!A:D,2,0),"")</f>
        <v>Escavação e carga de material de jazida com escavadeira hidráulica de 1,56 m³</v>
      </c>
      <c r="J163" s="626"/>
      <c r="K163" s="985"/>
      <c r="L163" s="40" t="str">
        <f>IFERROR(VLOOKUP(G163,SINAPI!A:D,3,0),"")</f>
        <v>m³</v>
      </c>
      <c r="M163" s="40">
        <f>VLOOKUP(D163,MEMORIA!B:F,$A$3+3)</f>
        <v>0</v>
      </c>
      <c r="N163" s="40">
        <f>IFERROR(VLOOKUP(G163,SINAPI!A:D,4,0),"")</f>
        <v>1.67</v>
      </c>
      <c r="O163" s="1571">
        <f t="shared" si="76"/>
        <v>0.24379999999999999</v>
      </c>
      <c r="P163" s="41">
        <f t="shared" si="77"/>
        <v>2.08</v>
      </c>
      <c r="Q163" s="580">
        <f t="shared" si="95"/>
        <v>0</v>
      </c>
      <c r="R163" s="1444">
        <f t="shared" si="73"/>
        <v>0</v>
      </c>
      <c r="U163" s="999"/>
      <c r="V163" s="999"/>
    </row>
    <row r="164" spans="1:22" ht="15" hidden="1" customHeight="1" outlineLevel="1" x14ac:dyDescent="0.25">
      <c r="A164" s="576">
        <f t="shared" ca="1" si="93"/>
        <v>2</v>
      </c>
      <c r="B164" s="576">
        <f>IF(M164=0,0,MAX($B$82:B163)+1)</f>
        <v>0</v>
      </c>
      <c r="C164" s="576">
        <f t="shared" si="94"/>
        <v>0</v>
      </c>
      <c r="D164" s="515">
        <f t="shared" si="92"/>
        <v>138</v>
      </c>
      <c r="E164" s="35" t="str">
        <f t="shared" ca="1" si="89"/>
        <v>2.1.0</v>
      </c>
      <c r="F164" s="36" t="s">
        <v>2639</v>
      </c>
      <c r="G164" s="36">
        <v>5914374</v>
      </c>
      <c r="H164" s="224" t="str">
        <f t="shared" si="86"/>
        <v>Transporte com caminhão basculante de 10 m³ - rodovia em revestimento primário</v>
      </c>
      <c r="I164" s="37" t="str">
        <f>IFERROR(VLOOKUP(G164,SINAPI!A:D,2,0),"")</f>
        <v>Transporte com caminhão basculante de 10 m³ - rodovia em revestimento primário</v>
      </c>
      <c r="J164" s="626">
        <f>MEMORIA!E267</f>
        <v>0.04</v>
      </c>
      <c r="K164" s="985"/>
      <c r="L164" s="40" t="str">
        <f>IFERROR(VLOOKUP(G164,SINAPI!A:D,3,0),"")</f>
        <v>tkm</v>
      </c>
      <c r="M164" s="40">
        <f>VLOOKUP(D164,MEMORIA!B:F,$A$3+3)</f>
        <v>0</v>
      </c>
      <c r="N164" s="40">
        <f>IFERROR(VLOOKUP(G164,SINAPI!A:D,4,0),"")</f>
        <v>1.05</v>
      </c>
      <c r="O164" s="1571">
        <f t="shared" si="76"/>
        <v>0.24379999999999999</v>
      </c>
      <c r="P164" s="41">
        <f t="shared" si="77"/>
        <v>1.31</v>
      </c>
      <c r="Q164" s="580">
        <f t="shared" si="95"/>
        <v>0</v>
      </c>
      <c r="R164" s="1444">
        <f t="shared" si="73"/>
        <v>0</v>
      </c>
      <c r="U164" s="999"/>
      <c r="V164" s="999"/>
    </row>
    <row r="165" spans="1:22" ht="15" customHeight="1" outlineLevel="1" x14ac:dyDescent="0.25">
      <c r="A165" s="576">
        <f t="shared" ca="1" si="93"/>
        <v>2</v>
      </c>
      <c r="B165" s="576">
        <f>IF(M165=0,0,MAX($B$82:B164)+1)</f>
        <v>16</v>
      </c>
      <c r="C165" s="576">
        <f t="shared" si="94"/>
        <v>1</v>
      </c>
      <c r="D165" s="515">
        <f t="shared" si="92"/>
        <v>139</v>
      </c>
      <c r="E165" s="35" t="str">
        <f t="shared" ca="1" si="89"/>
        <v>2.1.16</v>
      </c>
      <c r="F165" s="36" t="s">
        <v>2639</v>
      </c>
      <c r="G165" s="36">
        <v>2003357</v>
      </c>
      <c r="H165" s="224" t="str">
        <f t="shared" si="86"/>
        <v>Transposição de segmentos de sarjeta - TSS 01 - areia e brita comerciais</v>
      </c>
      <c r="I165" s="37" t="str">
        <f>IFERROR(VLOOKUP(G165,SINAPI!A:D,2,0),"")</f>
        <v>Transposição de segmentos de sarjeta - TSS 01 - areia e brita comerciais</v>
      </c>
      <c r="J165" s="626"/>
      <c r="K165" s="985"/>
      <c r="L165" s="40" t="str">
        <f>IFERROR(VLOOKUP(G165,SINAPI!A:D,3,0),"")</f>
        <v>m</v>
      </c>
      <c r="M165" s="40">
        <f>VLOOKUP(D165,MEMORIA!B:F,$A$3+3)</f>
        <v>24</v>
      </c>
      <c r="N165" s="40">
        <f>IFERROR(VLOOKUP(G165,SINAPI!A:D,4,0),"")</f>
        <v>197.14</v>
      </c>
      <c r="O165" s="1571">
        <f t="shared" si="76"/>
        <v>0.24379999999999999</v>
      </c>
      <c r="P165" s="41">
        <f t="shared" si="77"/>
        <v>245.2</v>
      </c>
      <c r="Q165" s="580">
        <f t="shared" si="95"/>
        <v>5884.8</v>
      </c>
      <c r="R165" s="1444">
        <f t="shared" si="73"/>
        <v>5884.8</v>
      </c>
      <c r="U165" s="999"/>
      <c r="V165" s="999"/>
    </row>
    <row r="166" spans="1:22" ht="15" hidden="1" customHeight="1" outlineLevel="1" x14ac:dyDescent="0.25">
      <c r="A166" s="576">
        <f t="shared" ca="1" si="93"/>
        <v>2</v>
      </c>
      <c r="B166" s="576">
        <f>IF(M166=0,0,MAX($B$82:B165)+1)</f>
        <v>0</v>
      </c>
      <c r="C166" s="576">
        <f t="shared" si="94"/>
        <v>0</v>
      </c>
      <c r="D166" s="515">
        <f t="shared" si="92"/>
        <v>140</v>
      </c>
      <c r="E166" s="35" t="str">
        <f t="shared" ca="1" si="89"/>
        <v>2.1.0</v>
      </c>
      <c r="F166" s="36" t="s">
        <v>2639</v>
      </c>
      <c r="G166" s="36">
        <v>2003359</v>
      </c>
      <c r="H166" s="224" t="str">
        <f t="shared" si="86"/>
        <v>Transposição de segmentos de sarjeta - TSS 02 - areia e brita comerciais</v>
      </c>
      <c r="I166" s="37" t="str">
        <f>IFERROR(VLOOKUP(G166,SINAPI!A:D,2,0),"")</f>
        <v>Transposição de segmentos de sarjeta - TSS 02 - areia e brita comerciais</v>
      </c>
      <c r="J166" s="626"/>
      <c r="K166" s="985"/>
      <c r="L166" s="40" t="str">
        <f>IFERROR(VLOOKUP(G166,SINAPI!A:D,3,0),"")</f>
        <v>m</v>
      </c>
      <c r="M166" s="40">
        <f>VLOOKUP(D166,MEMORIA!B:F,$A$3+3)</f>
        <v>0</v>
      </c>
      <c r="N166" s="40">
        <f>IFERROR(VLOOKUP(G166,SINAPI!A:D,4,0),"")</f>
        <v>241.99</v>
      </c>
      <c r="O166" s="1571">
        <f t="shared" si="76"/>
        <v>0.24379999999999999</v>
      </c>
      <c r="P166" s="41">
        <f t="shared" si="77"/>
        <v>300.99</v>
      </c>
      <c r="Q166" s="580">
        <f t="shared" si="95"/>
        <v>0</v>
      </c>
      <c r="R166" s="1444">
        <f t="shared" si="73"/>
        <v>0</v>
      </c>
      <c r="U166" s="999"/>
      <c r="V166" s="999"/>
    </row>
    <row r="167" spans="1:22" ht="15" hidden="1" customHeight="1" outlineLevel="1" x14ac:dyDescent="0.25">
      <c r="A167" s="576">
        <f ca="1">A161</f>
        <v>2</v>
      </c>
      <c r="B167" s="576">
        <f>IF(M167=0,0,MAX($B$82:B166)+1)</f>
        <v>0</v>
      </c>
      <c r="C167" s="576">
        <f t="shared" si="53"/>
        <v>0</v>
      </c>
      <c r="D167" s="515">
        <f t="shared" si="92"/>
        <v>141</v>
      </c>
      <c r="E167" s="35" t="str">
        <f t="shared" ca="1" si="89"/>
        <v>2.1.0</v>
      </c>
      <c r="F167" s="36" t="s">
        <v>2639</v>
      </c>
      <c r="G167" s="576">
        <v>1600404</v>
      </c>
      <c r="H167" s="224" t="str">
        <f t="shared" si="86"/>
        <v>Remoção de tubos de concreto com diâmetro de 0,40 m a 1,00 m em valas e bueiros</v>
      </c>
      <c r="I167" s="37" t="str">
        <f>IFERROR(VLOOKUP(G167,SINAPI!A:D,2,0),"")</f>
        <v>Remoção de tubos de concreto com diâmetro de 0,40 m a 1,00 m em valas e bueiros</v>
      </c>
      <c r="J167" s="626"/>
      <c r="K167" s="985"/>
      <c r="L167" s="40" t="str">
        <f>IFERROR(VLOOKUP(G167,SINAPI!A:D,3,0),"")</f>
        <v>m</v>
      </c>
      <c r="M167" s="40">
        <f>VLOOKUP(D167,MEMORIA!B:F,$A$3+3)</f>
        <v>0</v>
      </c>
      <c r="N167" s="40">
        <f>IFERROR(VLOOKUP(G167,SINAPI!A:D,4,0),"")</f>
        <v>10.46</v>
      </c>
      <c r="O167" s="1571">
        <f t="shared" si="76"/>
        <v>0.24379999999999999</v>
      </c>
      <c r="P167" s="41">
        <f t="shared" si="77"/>
        <v>13.01</v>
      </c>
      <c r="Q167" s="580">
        <f t="shared" si="56"/>
        <v>0</v>
      </c>
      <c r="R167" s="1444">
        <f t="shared" si="73"/>
        <v>0</v>
      </c>
      <c r="U167" s="999"/>
      <c r="V167" s="999"/>
    </row>
    <row r="168" spans="1:22" ht="15" hidden="1" customHeight="1" outlineLevel="1" x14ac:dyDescent="0.25">
      <c r="A168" s="576">
        <f ca="1">A162</f>
        <v>2</v>
      </c>
      <c r="B168" s="576">
        <f>IF(M168=0,0,MAX($B$82:B167)+1)</f>
        <v>0</v>
      </c>
      <c r="C168" s="576">
        <f t="shared" ref="C168" si="96">IF(B168=0,0,1)</f>
        <v>0</v>
      </c>
      <c r="D168" s="515">
        <f t="shared" si="92"/>
        <v>142</v>
      </c>
      <c r="E168" s="35" t="str">
        <f t="shared" ca="1" si="89"/>
        <v>2.1.0</v>
      </c>
      <c r="F168" s="36" t="s">
        <v>2639</v>
      </c>
      <c r="G168" s="576">
        <v>2003305</v>
      </c>
      <c r="H168" s="224" t="str">
        <f t="shared" si="86"/>
        <v>Valeta de proteção de cortes com revestimento vegetal - VPC 02 - escavação mecânica</v>
      </c>
      <c r="I168" s="37" t="str">
        <f>IFERROR(VLOOKUP(G168,SINAPI!A:D,2,0),"")</f>
        <v>Valeta de proteção de cortes com revestimento vegetal - VPC 02 - escavação mecânica</v>
      </c>
      <c r="J168" s="626"/>
      <c r="K168" s="985"/>
      <c r="L168" s="40" t="str">
        <f>IFERROR(VLOOKUP(G168,SINAPI!A:D,3,0),"")</f>
        <v>m</v>
      </c>
      <c r="M168" s="40">
        <f>VLOOKUP(D168,MEMORIA!B:F,$A$3+3)</f>
        <v>0</v>
      </c>
      <c r="N168" s="40">
        <f>IFERROR(VLOOKUP(G168,SINAPI!A:D,4,0),"")</f>
        <v>37.1</v>
      </c>
      <c r="O168" s="1571">
        <f t="shared" si="76"/>
        <v>0.24379999999999999</v>
      </c>
      <c r="P168" s="41">
        <f t="shared" si="77"/>
        <v>46.14</v>
      </c>
      <c r="Q168" s="580">
        <f t="shared" ref="Q168" si="97">IF(M168="","",ROUND(M168*P168,2))</f>
        <v>0</v>
      </c>
      <c r="R168" s="1444">
        <f t="shared" si="73"/>
        <v>0</v>
      </c>
      <c r="U168" s="1019"/>
      <c r="V168" s="1019"/>
    </row>
    <row r="169" spans="1:22" ht="15" hidden="1" customHeight="1" outlineLevel="1" x14ac:dyDescent="0.25">
      <c r="A169" s="576">
        <f t="shared" ref="A169:A176" ca="1" si="98">A163</f>
        <v>2</v>
      </c>
      <c r="B169" s="576">
        <f>IF(M169=0,0,MAX($B$82:B168)+1)</f>
        <v>0</v>
      </c>
      <c r="C169" s="576">
        <f t="shared" ref="C169:C171" si="99">IF(B169=0,0,1)</f>
        <v>0</v>
      </c>
      <c r="D169" s="515">
        <f t="shared" si="92"/>
        <v>143</v>
      </c>
      <c r="E169" s="35" t="str">
        <f t="shared" ca="1" si="89"/>
        <v>2.1.0</v>
      </c>
      <c r="F169" s="36" t="s">
        <v>2639</v>
      </c>
      <c r="G169" s="576">
        <v>2003309</v>
      </c>
      <c r="H169" s="224" t="str">
        <f t="shared" si="86"/>
        <v>Valeta de proteção de cortes com revestimento de concreto - VPC 04 - escavação mecânica - areia e brita comerciais</v>
      </c>
      <c r="I169" s="37" t="str">
        <f>IFERROR(VLOOKUP(G169,SINAPI!A:D,2,0),"")</f>
        <v>Valeta de proteção de cortes com revestimento de concreto - VPC 04 - escavação mecânica - areia e brita comerciais</v>
      </c>
      <c r="J169" s="626"/>
      <c r="K169" s="985"/>
      <c r="L169" s="40" t="str">
        <f>IFERROR(VLOOKUP(G169,SINAPI!A:D,3,0),"")</f>
        <v>m</v>
      </c>
      <c r="M169" s="40">
        <f>VLOOKUP(D169,MEMORIA!B:F,$A$3+3)</f>
        <v>0</v>
      </c>
      <c r="N169" s="40">
        <f>IFERROR(VLOOKUP(G169,SINAPI!A:D,4,0),"")</f>
        <v>90.19</v>
      </c>
      <c r="O169" s="1571">
        <f t="shared" si="76"/>
        <v>0.24379999999999999</v>
      </c>
      <c r="P169" s="41">
        <f t="shared" si="77"/>
        <v>112.18</v>
      </c>
      <c r="Q169" s="580">
        <f t="shared" ref="Q169:Q171" si="100">IF(M169="","",ROUND(M169*P169,2))</f>
        <v>0</v>
      </c>
      <c r="R169" s="1444">
        <f t="shared" si="73"/>
        <v>0</v>
      </c>
      <c r="U169" s="1096"/>
      <c r="V169" s="1096"/>
    </row>
    <row r="170" spans="1:22" ht="15" hidden="1" customHeight="1" outlineLevel="1" x14ac:dyDescent="0.25">
      <c r="A170" s="576">
        <f t="shared" ca="1" si="98"/>
        <v>2</v>
      </c>
      <c r="B170" s="576">
        <f>IF(M170=0,0,MAX($B$82:B169)+1)</f>
        <v>0</v>
      </c>
      <c r="C170" s="576">
        <f t="shared" si="99"/>
        <v>0</v>
      </c>
      <c r="D170" s="515">
        <f t="shared" si="92"/>
        <v>144</v>
      </c>
      <c r="E170" s="35" t="str">
        <f t="shared" ca="1" si="89"/>
        <v>2.1.0</v>
      </c>
      <c r="F170" s="36" t="s">
        <v>2639</v>
      </c>
      <c r="G170" s="576">
        <v>2003311</v>
      </c>
      <c r="H170" s="224" t="str">
        <f t="shared" si="86"/>
        <v>Valeta de proteção de aterros com revestimento vegetal - VPA 02 - escavação mecânica</v>
      </c>
      <c r="I170" s="37" t="str">
        <f>IFERROR(VLOOKUP(G170,SINAPI!A:D,2,0),"")</f>
        <v>Valeta de proteção de aterros com revestimento vegetal - VPA 02 - escavação mecânica</v>
      </c>
      <c r="J170" s="626"/>
      <c r="K170" s="985"/>
      <c r="L170" s="40" t="str">
        <f>IFERROR(VLOOKUP(G170,SINAPI!A:D,3,0),"")</f>
        <v>m</v>
      </c>
      <c r="M170" s="40">
        <f>VLOOKUP(D170,MEMORIA!B:F,$A$3+3)</f>
        <v>0</v>
      </c>
      <c r="N170" s="40">
        <f>IFERROR(VLOOKUP(G170,SINAPI!A:D,4,0),"")</f>
        <v>37.1</v>
      </c>
      <c r="O170" s="1571">
        <f t="shared" si="76"/>
        <v>0.24379999999999999</v>
      </c>
      <c r="P170" s="41">
        <f t="shared" si="77"/>
        <v>46.14</v>
      </c>
      <c r="Q170" s="580">
        <f t="shared" si="100"/>
        <v>0</v>
      </c>
      <c r="R170" s="1444">
        <f t="shared" si="73"/>
        <v>0</v>
      </c>
      <c r="U170" s="1096"/>
      <c r="V170" s="1096"/>
    </row>
    <row r="171" spans="1:22" ht="15" hidden="1" customHeight="1" outlineLevel="1" x14ac:dyDescent="0.25">
      <c r="A171" s="576">
        <f t="shared" ca="1" si="98"/>
        <v>2</v>
      </c>
      <c r="B171" s="576">
        <f>IF(M171=0,0,MAX($B$82:B170)+1)</f>
        <v>0</v>
      </c>
      <c r="C171" s="576">
        <f t="shared" si="99"/>
        <v>0</v>
      </c>
      <c r="D171" s="515">
        <f t="shared" si="92"/>
        <v>145</v>
      </c>
      <c r="E171" s="35" t="str">
        <f t="shared" ca="1" si="89"/>
        <v>2.1.0</v>
      </c>
      <c r="F171" s="36" t="s">
        <v>2639</v>
      </c>
      <c r="G171" s="576">
        <v>2003315</v>
      </c>
      <c r="H171" s="224" t="str">
        <f t="shared" si="86"/>
        <v>Valeta de proteção de aterros com revestimento de concreto - VPA 04 - escavação mecânica - areia e brita comerciais</v>
      </c>
      <c r="I171" s="37" t="str">
        <f>IFERROR(VLOOKUP(G171,SINAPI!A:D,2,0),"")</f>
        <v>Valeta de proteção de aterros com revestimento de concreto - VPA 04 - escavação mecânica - areia e brita comerciais</v>
      </c>
      <c r="J171" s="626"/>
      <c r="K171" s="985"/>
      <c r="L171" s="40" t="str">
        <f>IFERROR(VLOOKUP(G171,SINAPI!A:D,3,0),"")</f>
        <v>m</v>
      </c>
      <c r="M171" s="40">
        <f>VLOOKUP(D171,MEMORIA!B:F,$A$3+3)</f>
        <v>0</v>
      </c>
      <c r="N171" s="40">
        <f>IFERROR(VLOOKUP(G171,SINAPI!A:D,4,0),"")</f>
        <v>89.29</v>
      </c>
      <c r="O171" s="1571">
        <f t="shared" si="76"/>
        <v>0.24379999999999999</v>
      </c>
      <c r="P171" s="41">
        <f t="shared" si="77"/>
        <v>111.06</v>
      </c>
      <c r="Q171" s="580">
        <f t="shared" si="100"/>
        <v>0</v>
      </c>
      <c r="R171" s="1444">
        <f t="shared" si="73"/>
        <v>0</v>
      </c>
      <c r="U171" s="1096"/>
      <c r="V171" s="1096"/>
    </row>
    <row r="172" spans="1:22" ht="15" hidden="1" customHeight="1" outlineLevel="1" x14ac:dyDescent="0.25">
      <c r="A172" s="576">
        <f t="shared" ca="1" si="98"/>
        <v>2</v>
      </c>
      <c r="B172" s="576">
        <f>IF(M172=0,0,MAX($B$82:B171)+1)</f>
        <v>0</v>
      </c>
      <c r="C172" s="576">
        <f t="shared" ref="C172" si="101">IF(B172=0,0,1)</f>
        <v>0</v>
      </c>
      <c r="D172" s="515">
        <f t="shared" si="92"/>
        <v>146</v>
      </c>
      <c r="E172" s="35" t="str">
        <f t="shared" ca="1" si="89"/>
        <v>2.1.0</v>
      </c>
      <c r="F172" s="36" t="s">
        <v>2639</v>
      </c>
      <c r="G172" s="576">
        <v>2003397</v>
      </c>
      <c r="H172" s="224" t="str">
        <f t="shared" si="86"/>
        <v>Descida d'água de cortes em degraus - DCD 01 - areia e brita comerciais</v>
      </c>
      <c r="I172" s="37" t="str">
        <f>IFERROR(VLOOKUP(G172,SINAPI!A:D,2,0),"")</f>
        <v>Descida d'água de cortes em degraus - DCD 01 - areia e brita comerciais</v>
      </c>
      <c r="J172" s="626"/>
      <c r="K172" s="985"/>
      <c r="L172" s="40" t="str">
        <f>IFERROR(VLOOKUP(G172,SINAPI!A:D,3,0),"")</f>
        <v>m</v>
      </c>
      <c r="M172" s="40">
        <f>VLOOKUP(D172,MEMORIA!B:F,$A$3+3)</f>
        <v>0</v>
      </c>
      <c r="N172" s="40">
        <f>IFERROR(VLOOKUP(G172,SINAPI!A:D,4,0),"")</f>
        <v>478.13</v>
      </c>
      <c r="O172" s="1571">
        <f t="shared" si="76"/>
        <v>0.24379999999999999</v>
      </c>
      <c r="P172" s="41">
        <f t="shared" si="77"/>
        <v>594.70000000000005</v>
      </c>
      <c r="Q172" s="580">
        <f>IF(M172="","",ROUND(M172*P172,2))</f>
        <v>0</v>
      </c>
      <c r="R172" s="1444">
        <f t="shared" si="73"/>
        <v>0</v>
      </c>
      <c r="U172" s="1061"/>
      <c r="V172" s="1061"/>
    </row>
    <row r="173" spans="1:22" ht="15" hidden="1" customHeight="1" outlineLevel="1" x14ac:dyDescent="0.25">
      <c r="A173" s="576">
        <f t="shared" ca="1" si="98"/>
        <v>2</v>
      </c>
      <c r="B173" s="576">
        <f>IF(M173=0,0,MAX($B$82:B172)+1)</f>
        <v>0</v>
      </c>
      <c r="C173" s="576">
        <f t="shared" ref="C173" si="102">IF(B173=0,0,1)</f>
        <v>0</v>
      </c>
      <c r="D173" s="515">
        <f t="shared" si="92"/>
        <v>147</v>
      </c>
      <c r="E173" s="35" t="str">
        <f t="shared" ref="E173" ca="1" si="103">CONCATENATE(A173,".",$B$81,".",B173)</f>
        <v>2.1.0</v>
      </c>
      <c r="F173" s="36" t="s">
        <v>2639</v>
      </c>
      <c r="G173" s="576">
        <v>2003391</v>
      </c>
      <c r="H173" s="224" t="str">
        <f t="shared" si="86"/>
        <v>Descida d'água de aterros tipo rápido - DAR 02 - areia e brita comerciais</v>
      </c>
      <c r="I173" s="37" t="str">
        <f>IFERROR(VLOOKUP(G173,SINAPI!A:D,2,0),"")</f>
        <v>Descida d'água de aterros tipo rápido - DAR 02 - areia e brita comerciais</v>
      </c>
      <c r="J173" s="626"/>
      <c r="K173" s="985"/>
      <c r="L173" s="40" t="str">
        <f>IFERROR(VLOOKUP(G173,SINAPI!A:D,3,0),"")</f>
        <v>m</v>
      </c>
      <c r="M173" s="40">
        <f>VLOOKUP(D173,MEMORIA!B:F,$A$3+3)</f>
        <v>0</v>
      </c>
      <c r="N173" s="40">
        <f>IFERROR(VLOOKUP(G173,SINAPI!A:D,4,0),"")</f>
        <v>148.97</v>
      </c>
      <c r="O173" s="1571">
        <f t="shared" si="76"/>
        <v>0.24379999999999999</v>
      </c>
      <c r="P173" s="41">
        <f t="shared" si="77"/>
        <v>185.29</v>
      </c>
      <c r="Q173" s="580">
        <f>IF(M173="","",ROUND(M173*P173,2))</f>
        <v>0</v>
      </c>
      <c r="R173" s="1444">
        <f t="shared" si="73"/>
        <v>0</v>
      </c>
      <c r="U173" s="1108"/>
      <c r="V173" s="1108"/>
    </row>
    <row r="174" spans="1:22" ht="15" hidden="1" customHeight="1" outlineLevel="1" x14ac:dyDescent="0.25">
      <c r="A174" s="576">
        <f t="shared" ca="1" si="98"/>
        <v>2</v>
      </c>
      <c r="B174" s="576">
        <f>IF(M174=0,0,MAX($B$82:B173)+1)</f>
        <v>0</v>
      </c>
      <c r="C174" s="576">
        <f t="shared" ref="C174" si="104">IF(B174=0,0,1)</f>
        <v>0</v>
      </c>
      <c r="D174" s="515">
        <f t="shared" si="92"/>
        <v>148</v>
      </c>
      <c r="E174" s="35" t="str">
        <f t="shared" ref="E174" ca="1" si="105">CONCATENATE(A174,".",$B$81,".",B174)</f>
        <v>2.1.0</v>
      </c>
      <c r="F174" s="36" t="s">
        <v>2639</v>
      </c>
      <c r="G174" s="576">
        <v>2003448</v>
      </c>
      <c r="H174" s="224" t="str">
        <f t="shared" ref="H174" si="106">I174</f>
        <v>Dissipador de energia - DEB 01 - areia extraída e brita e pedra de mão produzidas</v>
      </c>
      <c r="I174" s="37" t="str">
        <f>IFERROR(VLOOKUP(G174,SINAPI!A:D,2,0),"")</f>
        <v>Dissipador de energia - DEB 01 - areia extraída e brita e pedra de mão produzidas</v>
      </c>
      <c r="J174" s="626"/>
      <c r="K174" s="985"/>
      <c r="L174" s="40" t="str">
        <f>IFERROR(VLOOKUP(G174,SINAPI!A:D,3,0),"")</f>
        <v>un</v>
      </c>
      <c r="M174" s="40">
        <f>VLOOKUP(D174,MEMORIA!B:F,$A$3+3)</f>
        <v>0</v>
      </c>
      <c r="N174" s="40">
        <f>IFERROR(VLOOKUP(G174,SINAPI!A:D,4,0),"")</f>
        <v>353.67</v>
      </c>
      <c r="O174" s="1571">
        <f t="shared" si="76"/>
        <v>0.24379999999999999</v>
      </c>
      <c r="P174" s="41">
        <f t="shared" si="77"/>
        <v>439.89</v>
      </c>
      <c r="Q174" s="580">
        <f>IF(M174="","",ROUND(M174*P174,2))</f>
        <v>0</v>
      </c>
      <c r="R174" s="1444">
        <f t="shared" si="73"/>
        <v>0</v>
      </c>
      <c r="U174" s="1376"/>
      <c r="V174" s="1376"/>
    </row>
    <row r="175" spans="1:22" ht="15" hidden="1" customHeight="1" outlineLevel="1" x14ac:dyDescent="0.25">
      <c r="A175" s="576">
        <f t="shared" ca="1" si="98"/>
        <v>2</v>
      </c>
      <c r="B175" s="576">
        <f>IF(M175=0,0,MAX($B$82:B174)+1)</f>
        <v>0</v>
      </c>
      <c r="C175" s="576">
        <f t="shared" ref="C175:C176" si="107">IF(B175=0,0,1)</f>
        <v>0</v>
      </c>
      <c r="D175" s="515">
        <f t="shared" si="92"/>
        <v>149</v>
      </c>
      <c r="E175" s="35" t="str">
        <f t="shared" ref="E175:E176" ca="1" si="108">CONCATENATE(A175,".",$B$81,".",B175)</f>
        <v>2.1.0</v>
      </c>
      <c r="F175" s="36" t="s">
        <v>2639</v>
      </c>
      <c r="G175" s="576">
        <v>2003441</v>
      </c>
      <c r="H175" s="224" t="str">
        <f t="shared" ref="H175:H176" si="109">I175</f>
        <v>Dissipador de energia - DES 01 - areia e pedra de mão comerciais</v>
      </c>
      <c r="I175" s="37" t="str">
        <f>IFERROR(VLOOKUP(G175,SINAPI!A:D,2,0),"")</f>
        <v>Dissipador de energia - DES 01 - areia e pedra de mão comerciais</v>
      </c>
      <c r="J175" s="626"/>
      <c r="K175" s="985"/>
      <c r="L175" s="40" t="str">
        <f>IFERROR(VLOOKUP(G175,SINAPI!A:D,3,0),"")</f>
        <v>un</v>
      </c>
      <c r="M175" s="40">
        <f>VLOOKUP(D175,MEMORIA!B:F,$A$3+3)</f>
        <v>0</v>
      </c>
      <c r="N175" s="40">
        <f>IFERROR(VLOOKUP(G175,SINAPI!A:D,4,0),"")</f>
        <v>209.34</v>
      </c>
      <c r="O175" s="1571">
        <f t="shared" si="76"/>
        <v>0.24379999999999999</v>
      </c>
      <c r="P175" s="41">
        <f t="shared" si="77"/>
        <v>260.38</v>
      </c>
      <c r="Q175" s="580">
        <f t="shared" ref="Q175:Q176" si="110">IF(M175="","",ROUND(M175*P175,2))</f>
        <v>0</v>
      </c>
      <c r="R175" s="1444">
        <f t="shared" si="73"/>
        <v>0</v>
      </c>
      <c r="U175" s="1376"/>
      <c r="V175" s="1376"/>
    </row>
    <row r="176" spans="1:22" ht="25.5" hidden="1" outlineLevel="1" x14ac:dyDescent="0.25">
      <c r="A176" s="576">
        <f t="shared" ca="1" si="98"/>
        <v>2</v>
      </c>
      <c r="B176" s="576">
        <f>IF(M176=0,0,MAX($B$82:B175)+1)</f>
        <v>0</v>
      </c>
      <c r="C176" s="576">
        <f t="shared" si="107"/>
        <v>0</v>
      </c>
      <c r="D176" s="515">
        <f t="shared" si="92"/>
        <v>150</v>
      </c>
      <c r="E176" s="35" t="str">
        <f t="shared" ca="1" si="108"/>
        <v>2.1.0</v>
      </c>
      <c r="F176" s="36" t="s">
        <v>2639</v>
      </c>
      <c r="G176" s="576">
        <v>2003921</v>
      </c>
      <c r="H176" s="224" t="str">
        <f t="shared" si="109"/>
        <v>Boca de saída para dreno longitudinal profundo - BSD 02 - tubo de PEAD - areia e brita comerciais</v>
      </c>
      <c r="I176" s="37" t="str">
        <f>IFERROR(VLOOKUP(G176,SINAPI!A:D,2,0),"")</f>
        <v>Boca de saída para dreno longitudinal profundo - BSD 02 - tubo de PEAD - areia e brita comerciais</v>
      </c>
      <c r="J176" s="626"/>
      <c r="K176" s="985"/>
      <c r="L176" s="40" t="str">
        <f>IFERROR(VLOOKUP(G176,SINAPI!A:D,3,0),"")</f>
        <v>un</v>
      </c>
      <c r="M176" s="40">
        <f>VLOOKUP(D176,MEMORIA!B:F,$A$3+3)</f>
        <v>0</v>
      </c>
      <c r="N176" s="40">
        <f>IFERROR(VLOOKUP(G176,SINAPI!A:D,4,0),"")</f>
        <v>237.58</v>
      </c>
      <c r="O176" s="1571">
        <f t="shared" si="76"/>
        <v>0.24379999999999999</v>
      </c>
      <c r="P176" s="41">
        <f t="shared" si="77"/>
        <v>295.5</v>
      </c>
      <c r="Q176" s="580">
        <f t="shared" si="110"/>
        <v>0</v>
      </c>
      <c r="R176" s="1444">
        <f t="shared" si="73"/>
        <v>0</v>
      </c>
      <c r="U176" s="1376"/>
      <c r="V176" s="1376"/>
    </row>
    <row r="177" spans="1:22" ht="15.75" customHeight="1" outlineLevel="1" x14ac:dyDescent="0.25">
      <c r="A177" s="733"/>
      <c r="B177" s="733"/>
      <c r="C177" s="733">
        <f>C81</f>
        <v>1</v>
      </c>
      <c r="E177" s="739" t="s">
        <v>3890</v>
      </c>
      <c r="F177" s="740"/>
      <c r="G177" s="740"/>
      <c r="H177" s="740"/>
      <c r="I177" s="740"/>
      <c r="J177" s="740"/>
      <c r="K177" s="740"/>
      <c r="L177" s="740"/>
      <c r="M177" s="740"/>
      <c r="N177" s="741"/>
      <c r="O177" s="741"/>
      <c r="P177" s="438"/>
      <c r="Q177" s="742">
        <f>SUM(Q82:Q176)</f>
        <v>52567.37</v>
      </c>
      <c r="R177" s="1444"/>
      <c r="U177" s="849"/>
      <c r="V177" s="849"/>
    </row>
    <row r="178" spans="1:22" ht="15" customHeight="1" outlineLevel="1" thickBot="1" x14ac:dyDescent="0.3">
      <c r="A178" s="218"/>
      <c r="B178" s="218"/>
      <c r="C178" s="218">
        <f ca="1">C19</f>
        <v>1</v>
      </c>
      <c r="E178" s="230" t="s">
        <v>2607</v>
      </c>
      <c r="F178" s="231"/>
      <c r="G178" s="231"/>
      <c r="H178" s="231"/>
      <c r="I178" s="231"/>
      <c r="J178" s="231"/>
      <c r="K178" s="231"/>
      <c r="L178" s="231"/>
      <c r="M178" s="231"/>
      <c r="N178" s="232"/>
      <c r="O178" s="232"/>
      <c r="P178" s="621"/>
      <c r="Q178" s="581">
        <f ca="1">SUM(Q177,Q80)</f>
        <v>52567.37</v>
      </c>
      <c r="R178" s="581">
        <f ca="1">SUM(R21:R177)</f>
        <v>52567.37</v>
      </c>
      <c r="U178" s="668"/>
      <c r="V178" s="668"/>
    </row>
    <row r="179" spans="1:22" ht="15" customHeight="1" outlineLevel="1" x14ac:dyDescent="0.25">
      <c r="A179" s="617">
        <f ca="1">A19+C179</f>
        <v>3</v>
      </c>
      <c r="B179" s="617">
        <v>0</v>
      </c>
      <c r="C179" s="617">
        <f>IF(SUM(B180:B187)&gt;0,1,0)</f>
        <v>1</v>
      </c>
      <c r="D179" s="562"/>
      <c r="E179" s="618" t="str">
        <f ca="1">CONCATENATE(A179,".",B179)</f>
        <v>3.0</v>
      </c>
      <c r="F179" s="619"/>
      <c r="G179" s="619" t="s">
        <v>2628</v>
      </c>
      <c r="H179" s="619"/>
      <c r="I179" s="215"/>
      <c r="J179" s="622"/>
      <c r="K179" s="623"/>
      <c r="L179" s="617" t="s">
        <v>2603</v>
      </c>
      <c r="M179" s="624"/>
      <c r="N179" s="624" t="s">
        <v>2603</v>
      </c>
      <c r="O179" s="1568"/>
      <c r="P179" s="624" t="str">
        <f>IF(N179="","",(ROUND(N179*(1+BDI),2)))</f>
        <v/>
      </c>
      <c r="Q179" s="625" t="str">
        <f t="shared" ref="Q179:Q189" si="111">IF(M179="","",ROUND(M179*P179,2))</f>
        <v/>
      </c>
      <c r="R179" s="1444" t="str">
        <f t="shared" si="73"/>
        <v/>
      </c>
      <c r="U179" s="668"/>
      <c r="V179" s="668"/>
    </row>
    <row r="180" spans="1:22" ht="26.25" customHeight="1" outlineLevel="1" x14ac:dyDescent="0.25">
      <c r="A180" s="576">
        <f ca="1">A179</f>
        <v>3</v>
      </c>
      <c r="B180" s="576">
        <f>IF(M180=0,0,MAX($B$179:B179)+1)</f>
        <v>1</v>
      </c>
      <c r="C180" s="576">
        <f t="shared" ref="C180:C188" si="112">IF(B180=0,0,1)</f>
        <v>1</v>
      </c>
      <c r="D180" s="515">
        <f>D176+1</f>
        <v>151</v>
      </c>
      <c r="E180" s="35" t="str">
        <f ca="1">CONCATENATE(A180,".",B180)</f>
        <v>3.1</v>
      </c>
      <c r="F180" s="576" t="s">
        <v>2639</v>
      </c>
      <c r="G180" s="576">
        <v>5501700</v>
      </c>
      <c r="H180" s="224" t="str">
        <f t="shared" ref="H180:H189" si="113">I180</f>
        <v>Desmatamento, destocamento, limpeza de área e estocagem do material de limpeza com árvores de diâmetro até 0,15 m</v>
      </c>
      <c r="I180" s="37" t="str">
        <f>IFERROR(VLOOKUP(G180,SINAPI!A:D,2,0),"")</f>
        <v>Desmatamento, destocamento, limpeza de área e estocagem do material de limpeza com árvores de diâmetro até 0,15 m</v>
      </c>
      <c r="J180" s="626" t="s">
        <v>5</v>
      </c>
      <c r="K180" s="40"/>
      <c r="L180" s="40" t="str">
        <f>IFERROR(VLOOKUP(G180,SINAPI!A:D,3,0),"")</f>
        <v>m²</v>
      </c>
      <c r="M180" s="40">
        <f>VLOOKUP(D180,MEMORIA!B:F,$A$3+3)</f>
        <v>457.08</v>
      </c>
      <c r="N180" s="40">
        <f>IFERROR(VLOOKUP(G180,SINAPI!A:D,4,0),"")</f>
        <v>0.56999999999999995</v>
      </c>
      <c r="O180" s="1571">
        <f t="shared" ref="O180:O189" si="114">$N$7</f>
        <v>0.24379999999999999</v>
      </c>
      <c r="P180" s="41">
        <f t="shared" ref="P180:P189" si="115">IF(N180="","",(ROUND(N180*(1+O180),2)))</f>
        <v>0.71</v>
      </c>
      <c r="Q180" s="580">
        <f t="shared" si="111"/>
        <v>324.52999999999997</v>
      </c>
      <c r="R180" s="1444">
        <f t="shared" si="73"/>
        <v>324.52999999999997</v>
      </c>
      <c r="U180" s="668"/>
      <c r="V180" s="668"/>
    </row>
    <row r="181" spans="1:22" s="2" customFormat="1" ht="15" hidden="1" customHeight="1" outlineLevel="1" x14ac:dyDescent="0.25">
      <c r="A181" s="36">
        <f ca="1">A179</f>
        <v>3</v>
      </c>
      <c r="B181" s="36">
        <f>IF(M181=0,0,MAX($B$179:B180)+1)</f>
        <v>0</v>
      </c>
      <c r="C181" s="36">
        <f t="shared" ref="C181" si="116">IF(B181=0,0,1)</f>
        <v>0</v>
      </c>
      <c r="D181" s="460">
        <f>D180+1</f>
        <v>152</v>
      </c>
      <c r="E181" s="35" t="str">
        <f t="shared" ref="E181" ca="1" si="117">CONCATENATE(A181,".",B181)</f>
        <v>3.0</v>
      </c>
      <c r="F181" s="576" t="s">
        <v>2639</v>
      </c>
      <c r="G181" s="36">
        <v>5501701</v>
      </c>
      <c r="H181" s="224" t="str">
        <f t="shared" si="113"/>
        <v>Destocamento de árvores com diâmetro de 0,15 a 0,30 m</v>
      </c>
      <c r="I181" s="37" t="str">
        <f>IFERROR(VLOOKUP(G181,SINAPI!A:D,2,0),"")</f>
        <v>Destocamento de árvores com diâmetro de 0,15 a 0,30 m</v>
      </c>
      <c r="J181" s="45" t="s">
        <v>5</v>
      </c>
      <c r="K181" s="41"/>
      <c r="L181" s="41" t="str">
        <f>IFERROR(VLOOKUP(G181,SINAPI!A:D,3,0),"")</f>
        <v>un</v>
      </c>
      <c r="M181" s="41">
        <f>VLOOKUP(D181,MEMORIA!B:F,$A$3+3)</f>
        <v>0</v>
      </c>
      <c r="N181" s="41">
        <f>IFERROR(VLOOKUP(G181,SINAPI!A:D,4,0),"")</f>
        <v>41.76</v>
      </c>
      <c r="O181" s="1571">
        <f t="shared" si="114"/>
        <v>0.24379999999999999</v>
      </c>
      <c r="P181" s="41">
        <f t="shared" si="115"/>
        <v>51.94</v>
      </c>
      <c r="Q181" s="42">
        <f t="shared" ref="Q181" si="118">IF(M181="","",ROUND(M181*P181,2))</f>
        <v>0</v>
      </c>
      <c r="R181" s="1444">
        <f t="shared" si="73"/>
        <v>0</v>
      </c>
      <c r="S181" s="315"/>
      <c r="T181" s="315"/>
      <c r="U181" s="668"/>
      <c r="V181" s="668"/>
    </row>
    <row r="182" spans="1:22" ht="27.95" customHeight="1" outlineLevel="1" x14ac:dyDescent="0.25">
      <c r="A182" s="576">
        <f ca="1">A179</f>
        <v>3</v>
      </c>
      <c r="B182" s="576">
        <f>IF(M182=0,0,MAX($B$179:B181)+1)</f>
        <v>2</v>
      </c>
      <c r="C182" s="576">
        <f t="shared" si="112"/>
        <v>1</v>
      </c>
      <c r="D182" s="515">
        <f>D187+1</f>
        <v>154</v>
      </c>
      <c r="E182" s="35" t="str">
        <f t="shared" ref="E182" ca="1" si="119">CONCATENATE(A182,".",B182)</f>
        <v>3.2</v>
      </c>
      <c r="F182" s="576" t="s">
        <v>2639</v>
      </c>
      <c r="G182" s="36">
        <v>5502613</v>
      </c>
      <c r="H182" s="224" t="str">
        <f t="shared" si="113"/>
        <v>Escavação, carga e transporte de material de 2ª categoria - DMT de 400 a 600 m - caminho de serviço em revestimento primário - com escavadeira e caminhão basculante de 14 m³</v>
      </c>
      <c r="I182" s="37" t="str">
        <f>IFERROR(VLOOKUP(G182,SINAPI!A:D,2,0),"")</f>
        <v>Escavação, carga e transporte de material de 2ª categoria - DMT de 400 a 600 m - caminho de serviço em revestimento primário - com escavadeira e caminhão basculante de 14 m³</v>
      </c>
      <c r="J182" s="626">
        <f>MEMORIA!E353</f>
        <v>0.04</v>
      </c>
      <c r="K182" s="40"/>
      <c r="L182" s="40" t="str">
        <f>IFERROR(VLOOKUP(G182,SINAPI!A:D,3,0),"")</f>
        <v>m³</v>
      </c>
      <c r="M182" s="40">
        <f>VLOOKUP(D182,MEMORIA!B:F,$A$3+3)</f>
        <v>429.24</v>
      </c>
      <c r="N182" s="40">
        <f>IFERROR(VLOOKUP(G182,SINAPI!A:D,4,0),"")</f>
        <v>9.27</v>
      </c>
      <c r="O182" s="1571">
        <f t="shared" si="114"/>
        <v>0.24379999999999999</v>
      </c>
      <c r="P182" s="41">
        <f t="shared" si="115"/>
        <v>11.53</v>
      </c>
      <c r="Q182" s="580">
        <f t="shared" si="111"/>
        <v>4949.1400000000003</v>
      </c>
      <c r="R182" s="1444">
        <f t="shared" si="73"/>
        <v>4949.1400000000003</v>
      </c>
      <c r="U182" s="668"/>
      <c r="V182" s="668"/>
    </row>
    <row r="183" spans="1:22" ht="38.25" outlineLevel="1" x14ac:dyDescent="0.25">
      <c r="A183" s="576">
        <f ca="1">A180</f>
        <v>3</v>
      </c>
      <c r="B183" s="576">
        <f>IF(M183=0,0,MAX($B$179:B182)+1)</f>
        <v>3</v>
      </c>
      <c r="C183" s="576">
        <f t="shared" ref="C183" si="120">IF(B183=0,0,1)</f>
        <v>1</v>
      </c>
      <c r="D183" s="515">
        <f>D182+1</f>
        <v>155</v>
      </c>
      <c r="E183" s="35" t="str">
        <f t="shared" ref="E183" ca="1" si="121">CONCATENATE(A183,".",B183)</f>
        <v>3.3</v>
      </c>
      <c r="F183" s="576" t="s">
        <v>2639</v>
      </c>
      <c r="G183" s="576">
        <v>5502770</v>
      </c>
      <c r="H183" s="224" t="str">
        <f t="shared" si="113"/>
        <v>Escavação, carga e transporte de material de 3ª categoria - DMT de 400 a 600 m - caminho de serviço em revestimento primário - com caminhão basculante de 12 m³</v>
      </c>
      <c r="I183" s="37" t="str">
        <f>IFERROR(VLOOKUP(G183,SINAPI!A:D,2,0),"")</f>
        <v>Escavação, carga e transporte de material de 3ª categoria - DMT de 400 a 600 m - caminho de serviço em revestimento primário - com caminhão basculante de 12 m³</v>
      </c>
      <c r="J183" s="626">
        <f>J182</f>
        <v>0.04</v>
      </c>
      <c r="K183" s="40"/>
      <c r="L183" s="40" t="str">
        <f>IFERROR(VLOOKUP(G183,SINAPI!A:D,3,0),"")</f>
        <v>m³</v>
      </c>
      <c r="M183" s="40">
        <f>VLOOKUP(D183,MEMORIA!B:F,$A$3+3)</f>
        <v>14.78</v>
      </c>
      <c r="N183" s="40">
        <f>IFERROR(VLOOKUP(G183,SINAPI!A:D,4,0),"")</f>
        <v>41.5</v>
      </c>
      <c r="O183" s="1571">
        <f t="shared" si="114"/>
        <v>0.24379999999999999</v>
      </c>
      <c r="P183" s="41">
        <f t="shared" si="115"/>
        <v>51.62</v>
      </c>
      <c r="Q183" s="580">
        <f t="shared" si="111"/>
        <v>762.94</v>
      </c>
      <c r="R183" s="1444">
        <f t="shared" si="73"/>
        <v>762.94</v>
      </c>
      <c r="U183" s="668"/>
      <c r="V183" s="668"/>
    </row>
    <row r="184" spans="1:22" ht="27.95" hidden="1" customHeight="1" outlineLevel="1" x14ac:dyDescent="0.25">
      <c r="A184" s="576">
        <f t="shared" ref="A184:A186" ca="1" si="122">A181</f>
        <v>3</v>
      </c>
      <c r="B184" s="576">
        <f>IF(M184=0,0,MAX($B$179:B183)+1)</f>
        <v>0</v>
      </c>
      <c r="C184" s="576">
        <f t="shared" si="112"/>
        <v>0</v>
      </c>
      <c r="D184" s="515">
        <f>D183+1</f>
        <v>156</v>
      </c>
      <c r="E184" s="35" t="str">
        <f t="shared" ref="E184" ca="1" si="123">CONCATENATE(A184,".",B184)</f>
        <v>3.0</v>
      </c>
      <c r="F184" s="576" t="s">
        <v>2639</v>
      </c>
      <c r="G184" s="36">
        <v>5502620</v>
      </c>
      <c r="H184" s="224" t="str">
        <f t="shared" si="113"/>
        <v>Escavação, carga e transporte de material de 2ª categoria - DMT de 1.800 a 2.000 m - caminho de serviço em revestimento primário - com escavadeira e caminhão basculante de 14 m³</v>
      </c>
      <c r="I184" s="37" t="str">
        <f>IFERROR(VLOOKUP(G184,SINAPI!A:D,2,0),"")</f>
        <v>Escavação, carga e transporte de material de 2ª categoria - DMT de 1.800 a 2.000 m - caminho de serviço em revestimento primário - com escavadeira e caminhão basculante de 14 m³</v>
      </c>
      <c r="J184" s="626">
        <f>DMT!J10</f>
        <v>1</v>
      </c>
      <c r="K184" s="40" t="s">
        <v>22</v>
      </c>
      <c r="L184" s="40" t="str">
        <f>IFERROR(VLOOKUP(G184,SINAPI!A:D,3,0),"")</f>
        <v>m³</v>
      </c>
      <c r="M184" s="40">
        <f>VLOOKUP(D184,MEMORIA!B:F,$A$3+3)</f>
        <v>0</v>
      </c>
      <c r="N184" s="40">
        <f>IFERROR(VLOOKUP(G184,SINAPI!A:D,4,0),"")</f>
        <v>11.42</v>
      </c>
      <c r="O184" s="1571">
        <f t="shared" si="114"/>
        <v>0.24379999999999999</v>
      </c>
      <c r="P184" s="41">
        <f t="shared" si="115"/>
        <v>14.2</v>
      </c>
      <c r="Q184" s="580">
        <f t="shared" si="111"/>
        <v>0</v>
      </c>
      <c r="R184" s="1444">
        <f t="shared" si="73"/>
        <v>0</v>
      </c>
      <c r="U184" s="668"/>
      <c r="V184" s="668"/>
    </row>
    <row r="185" spans="1:22" ht="12.75" outlineLevel="1" x14ac:dyDescent="0.25">
      <c r="A185" s="576">
        <f t="shared" ca="1" si="122"/>
        <v>3</v>
      </c>
      <c r="B185" s="576">
        <f>IF(M185=0,0,MAX($B$179:B184)+1)</f>
        <v>4</v>
      </c>
      <c r="C185" s="576">
        <f t="shared" si="112"/>
        <v>1</v>
      </c>
      <c r="D185" s="515">
        <f>D184+1</f>
        <v>157</v>
      </c>
      <c r="E185" s="35" t="str">
        <f t="shared" ref="E185:E188" ca="1" si="124">CONCATENATE(A185,".",B185)</f>
        <v>3.4</v>
      </c>
      <c r="F185" s="576" t="s">
        <v>2639</v>
      </c>
      <c r="G185" s="526">
        <v>4413942</v>
      </c>
      <c r="H185" s="224" t="str">
        <f t="shared" si="113"/>
        <v>Espalhamento de material em bota-fora</v>
      </c>
      <c r="I185" s="37" t="str">
        <f>IFERROR(VLOOKUP(G185,SINAPI!A:D,2,0),"")</f>
        <v>Espalhamento de material em bota-fora</v>
      </c>
      <c r="J185" s="626" t="s">
        <v>5</v>
      </c>
      <c r="K185" s="40" t="s">
        <v>22</v>
      </c>
      <c r="L185" s="40" t="str">
        <f>IFERROR(VLOOKUP(G185,SINAPI!A:D,3,0),"")</f>
        <v>m³</v>
      </c>
      <c r="M185" s="40">
        <f>VLOOKUP(D185,MEMORIA!B:F,$A$3+3)</f>
        <v>91.42</v>
      </c>
      <c r="N185" s="40">
        <f>IFERROR(VLOOKUP(G185,SINAPI!A:D,4,0),"")</f>
        <v>1.7</v>
      </c>
      <c r="O185" s="1571">
        <f t="shared" si="114"/>
        <v>0.24379999999999999</v>
      </c>
      <c r="P185" s="41">
        <f t="shared" si="115"/>
        <v>2.11</v>
      </c>
      <c r="Q185" s="580">
        <f t="shared" si="111"/>
        <v>192.9</v>
      </c>
      <c r="R185" s="1444">
        <f t="shared" si="73"/>
        <v>192.9</v>
      </c>
      <c r="U185" s="668"/>
      <c r="V185" s="668"/>
    </row>
    <row r="186" spans="1:22" s="2" customFormat="1" ht="28.5" customHeight="1" outlineLevel="1" collapsed="1" x14ac:dyDescent="0.25">
      <c r="A186" s="576">
        <f t="shared" ca="1" si="122"/>
        <v>3</v>
      </c>
      <c r="B186" s="36">
        <f>IF(M186=0,0,MAX($B$179:B185)+1)</f>
        <v>5</v>
      </c>
      <c r="C186" s="36">
        <f t="shared" si="112"/>
        <v>1</v>
      </c>
      <c r="D186" s="164">
        <f>D185+1</f>
        <v>158</v>
      </c>
      <c r="E186" s="35" t="str">
        <f t="shared" ca="1" si="124"/>
        <v>3.5</v>
      </c>
      <c r="F186" s="576" t="s">
        <v>2639</v>
      </c>
      <c r="G186" s="36">
        <v>5502620</v>
      </c>
      <c r="H186" s="224" t="str">
        <f t="shared" si="113"/>
        <v>Escavação, carga e transporte de material de 2ª categoria - DMT de 1.800 a 2.000 m - caminho de serviço em revestimento primário - com escavadeira e caminhão basculante de 14 m³</v>
      </c>
      <c r="I186" s="37" t="str">
        <f>IFERROR(VLOOKUP(G186,SINAPI!A:D,2,0),"")</f>
        <v>Escavação, carga e transporte de material de 2ª categoria - DMT de 1.800 a 2.000 m - caminho de serviço em revestimento primário - com escavadeira e caminhão basculante de 14 m³</v>
      </c>
      <c r="J186" s="45">
        <f>DMT!I10</f>
        <v>2</v>
      </c>
      <c r="K186" s="41" t="s">
        <v>2597</v>
      </c>
      <c r="L186" s="41" t="str">
        <f>IFERROR(VLOOKUP(G186,SINAPI!A:D,3,0),"")</f>
        <v>m³</v>
      </c>
      <c r="M186" s="40">
        <f>VLOOKUP(D186,MEMORIA!B:F,$A$3+3)</f>
        <v>459.5</v>
      </c>
      <c r="N186" s="41">
        <f>IFERROR(VLOOKUP(G186,SINAPI!A:D,4,0),"")</f>
        <v>11.42</v>
      </c>
      <c r="O186" s="1571">
        <f t="shared" si="114"/>
        <v>0.24379999999999999</v>
      </c>
      <c r="P186" s="41">
        <f t="shared" si="115"/>
        <v>14.2</v>
      </c>
      <c r="Q186" s="580">
        <f t="shared" si="111"/>
        <v>6524.9</v>
      </c>
      <c r="R186" s="1444">
        <f t="shared" si="73"/>
        <v>6524.9</v>
      </c>
      <c r="S186" s="3"/>
      <c r="T186" s="3"/>
      <c r="U186" s="668"/>
      <c r="V186" s="668"/>
    </row>
    <row r="187" spans="1:22" ht="15" customHeight="1" outlineLevel="1" x14ac:dyDescent="0.25">
      <c r="A187" s="576">
        <f ca="1">A185</f>
        <v>3</v>
      </c>
      <c r="B187" s="576">
        <f>IF(M187=0,0,MAX($B$179:B186)+1)</f>
        <v>6</v>
      </c>
      <c r="C187" s="576">
        <f t="shared" si="112"/>
        <v>1</v>
      </c>
      <c r="D187" s="515">
        <f>D181+1</f>
        <v>153</v>
      </c>
      <c r="E187" s="35" t="str">
        <f t="shared" ca="1" si="124"/>
        <v>3.6</v>
      </c>
      <c r="F187" s="576" t="s">
        <v>2639</v>
      </c>
      <c r="G187" s="550">
        <v>5502978</v>
      </c>
      <c r="H187" s="224" t="str">
        <f t="shared" si="113"/>
        <v>Compactação de aterros a 100% do Proctor normal</v>
      </c>
      <c r="I187" s="37" t="str">
        <f>IFERROR(VLOOKUP(G187,SINAPI!A:D,2,0),"")</f>
        <v>Compactação de aterros a 100% do Proctor normal</v>
      </c>
      <c r="J187" s="626"/>
      <c r="K187" s="326"/>
      <c r="L187" s="40" t="str">
        <f>IFERROR(VLOOKUP(G187,SINAPI!A:D,3,0),"")</f>
        <v>m³</v>
      </c>
      <c r="M187" s="40">
        <f>VLOOKUP(D187,MEMORIA!B:F,$A$3+3)</f>
        <v>429.24</v>
      </c>
      <c r="N187" s="40">
        <f>IFERROR(VLOOKUP(G187,SINAPI!A:D,4,0),"")</f>
        <v>4.9400000000000004</v>
      </c>
      <c r="O187" s="1571">
        <f t="shared" si="114"/>
        <v>0.24379999999999999</v>
      </c>
      <c r="P187" s="41">
        <f t="shared" si="115"/>
        <v>6.14</v>
      </c>
      <c r="Q187" s="580">
        <f t="shared" si="111"/>
        <v>2635.53</v>
      </c>
      <c r="R187" s="1444">
        <f t="shared" si="73"/>
        <v>2635.53</v>
      </c>
      <c r="U187" s="668"/>
      <c r="V187" s="668"/>
    </row>
    <row r="188" spans="1:22" s="2" customFormat="1" ht="15" hidden="1" customHeight="1" outlineLevel="1" x14ac:dyDescent="0.25">
      <c r="A188" s="576">
        <f ca="1">A186</f>
        <v>3</v>
      </c>
      <c r="B188" s="36">
        <f>IF(M188=0,0,MAX($B$179:B186)+1)</f>
        <v>0</v>
      </c>
      <c r="C188" s="36">
        <f t="shared" si="112"/>
        <v>0</v>
      </c>
      <c r="D188" s="456">
        <f>D186+1</f>
        <v>159</v>
      </c>
      <c r="E188" s="35" t="str">
        <f t="shared" ca="1" si="124"/>
        <v>3.0</v>
      </c>
      <c r="F188" s="36" t="s">
        <v>17</v>
      </c>
      <c r="G188" s="550" t="s">
        <v>3040</v>
      </c>
      <c r="H188" s="224" t="str">
        <f t="shared" si="113"/>
        <v>Barreira de siltagem</v>
      </c>
      <c r="I188" s="37" t="str">
        <f>IFERROR(VLOOKUP(G188,SINAPI!A:D,2,0),"")</f>
        <v>Barreira de siltagem</v>
      </c>
      <c r="J188" s="45"/>
      <c r="K188" s="46"/>
      <c r="L188" s="41" t="str">
        <f>IFERROR(VLOOKUP(G188,SINAPI!A:D,3,0),"")</f>
        <v>m</v>
      </c>
      <c r="M188" s="40">
        <f>VLOOKUP(D188,MEMORIA!B:F,$A$3+3)</f>
        <v>0</v>
      </c>
      <c r="N188" s="41">
        <f>IFERROR(VLOOKUP(G188,SINAPI!A:D,4,0),"")</f>
        <v>22.63</v>
      </c>
      <c r="O188" s="1571">
        <f t="shared" si="114"/>
        <v>0.24379999999999999</v>
      </c>
      <c r="P188" s="41">
        <f t="shared" si="115"/>
        <v>28.15</v>
      </c>
      <c r="Q188" s="580">
        <f t="shared" si="111"/>
        <v>0</v>
      </c>
      <c r="R188" s="1444">
        <f t="shared" si="73"/>
        <v>0</v>
      </c>
      <c r="S188" s="315"/>
      <c r="T188" s="315"/>
      <c r="U188" s="668"/>
      <c r="V188" s="668"/>
    </row>
    <row r="189" spans="1:22" ht="15" hidden="1" customHeight="1" outlineLevel="1" x14ac:dyDescent="0.25">
      <c r="A189" s="576">
        <f ca="1">A187</f>
        <v>3</v>
      </c>
      <c r="B189" s="576">
        <f>IF(M189=0,0,MAX($B$179:B187)+1)</f>
        <v>0</v>
      </c>
      <c r="C189" s="576">
        <f t="shared" ref="C189" si="125">IF(B189=0,0,1)</f>
        <v>0</v>
      </c>
      <c r="D189" s="515">
        <f>D188+1</f>
        <v>160</v>
      </c>
      <c r="E189" s="35" t="str">
        <f t="shared" ref="E189" ca="1" si="126">CONCATENATE(A189,".",B189)</f>
        <v>3.0</v>
      </c>
      <c r="F189" s="576" t="s">
        <v>2639</v>
      </c>
      <c r="G189" s="576">
        <v>4413905</v>
      </c>
      <c r="H189" s="224" t="str">
        <f t="shared" si="113"/>
        <v>Hidrossemeadura</v>
      </c>
      <c r="I189" s="37" t="str">
        <f>IFERROR(VLOOKUP(G189,SINAPI!A:D,2,0),"")</f>
        <v>Hidrossemeadura</v>
      </c>
      <c r="J189" s="626"/>
      <c r="K189" s="40" t="s">
        <v>22</v>
      </c>
      <c r="L189" s="40" t="str">
        <f>IFERROR(VLOOKUP(G189,SINAPI!A:D,3,0),"")</f>
        <v>m²</v>
      </c>
      <c r="M189" s="40">
        <f>VLOOKUP(D189,MEMORIA!B:F,$A$3+3)</f>
        <v>0</v>
      </c>
      <c r="N189" s="40">
        <f>IFERROR(VLOOKUP(G189,SINAPI!A:D,4,0),"")</f>
        <v>6.31</v>
      </c>
      <c r="O189" s="1571">
        <f t="shared" si="114"/>
        <v>0.24379999999999999</v>
      </c>
      <c r="P189" s="41">
        <f t="shared" si="115"/>
        <v>7.85</v>
      </c>
      <c r="Q189" s="580">
        <f t="shared" si="111"/>
        <v>0</v>
      </c>
      <c r="R189" s="1444">
        <f t="shared" si="73"/>
        <v>0</v>
      </c>
      <c r="U189" s="668"/>
      <c r="V189" s="668"/>
    </row>
    <row r="190" spans="1:22" ht="15" customHeight="1" outlineLevel="1" thickBot="1" x14ac:dyDescent="0.3">
      <c r="A190" s="218"/>
      <c r="B190" s="218"/>
      <c r="C190" s="218">
        <f>C179</f>
        <v>1</v>
      </c>
      <c r="E190" s="230" t="s">
        <v>2607</v>
      </c>
      <c r="F190" s="231"/>
      <c r="G190" s="231"/>
      <c r="H190" s="231"/>
      <c r="I190" s="231"/>
      <c r="J190" s="231"/>
      <c r="K190" s="231"/>
      <c r="L190" s="231"/>
      <c r="M190" s="231"/>
      <c r="N190" s="232"/>
      <c r="O190" s="232"/>
      <c r="P190" s="621"/>
      <c r="Q190" s="581">
        <f>SUM(Q180:Q189)</f>
        <v>15389.94</v>
      </c>
      <c r="R190" s="581">
        <f>SUM(R180:R189)</f>
        <v>15389.94</v>
      </c>
      <c r="U190" s="668"/>
      <c r="V190" s="668"/>
    </row>
    <row r="191" spans="1:22" ht="15" customHeight="1" outlineLevel="1" x14ac:dyDescent="0.25">
      <c r="A191" s="617">
        <f ca="1">A179+C191</f>
        <v>4</v>
      </c>
      <c r="B191" s="617">
        <v>0</v>
      </c>
      <c r="C191" s="617">
        <f>IF(SUM(B193:B243)&gt;0,1,0)</f>
        <v>1</v>
      </c>
      <c r="E191" s="618" t="str">
        <f ca="1">CONCATENATE(A191,".",B191)</f>
        <v>4.0</v>
      </c>
      <c r="F191" s="627"/>
      <c r="G191" s="627" t="s">
        <v>2608</v>
      </c>
      <c r="H191" s="627"/>
      <c r="I191" s="44"/>
      <c r="J191" s="628"/>
      <c r="K191" s="629"/>
      <c r="L191" s="630" t="s">
        <v>2603</v>
      </c>
      <c r="M191" s="631"/>
      <c r="N191" s="631" t="s">
        <v>2603</v>
      </c>
      <c r="O191" s="1569"/>
      <c r="P191" s="631" t="str">
        <f>IF(N191="","",(ROUND(N191*(1+BDI),2)))</f>
        <v/>
      </c>
      <c r="Q191" s="632" t="str">
        <f t="shared" ref="Q191:Q209" si="127">IF(M191="","",ROUND(M191*P191,2))</f>
        <v/>
      </c>
      <c r="R191" s="1444" t="str">
        <f t="shared" si="73"/>
        <v/>
      </c>
      <c r="U191" s="668"/>
      <c r="V191" s="668"/>
    </row>
    <row r="192" spans="1:22" ht="15" hidden="1" customHeight="1" outlineLevel="1" x14ac:dyDescent="0.25">
      <c r="A192" s="617">
        <f ca="1">A191</f>
        <v>4</v>
      </c>
      <c r="B192" s="617">
        <f>IF(C192=1,1,0)</f>
        <v>0</v>
      </c>
      <c r="C192" s="617">
        <f>IF(SUBTOTAL(9,C193:C209)&gt;0,1,0)</f>
        <v>0</v>
      </c>
      <c r="E192" s="618" t="str">
        <f ca="1">CONCATENATE(A192,".",B192)</f>
        <v>4.0</v>
      </c>
      <c r="F192" s="627"/>
      <c r="G192" s="627" t="s">
        <v>7521</v>
      </c>
      <c r="H192" s="627"/>
      <c r="I192" s="44"/>
      <c r="J192" s="628"/>
      <c r="K192" s="629"/>
      <c r="L192" s="630"/>
      <c r="M192" s="631"/>
      <c r="N192" s="631"/>
      <c r="O192" s="1569"/>
      <c r="P192" s="631"/>
      <c r="Q192" s="632"/>
      <c r="R192" s="1444">
        <f t="shared" si="73"/>
        <v>0</v>
      </c>
      <c r="U192" s="668"/>
      <c r="V192" s="668"/>
    </row>
    <row r="193" spans="1:22" ht="15" hidden="1" customHeight="1" outlineLevel="1" x14ac:dyDescent="0.25">
      <c r="A193" s="576">
        <f ca="1">A191</f>
        <v>4</v>
      </c>
      <c r="B193" s="576">
        <f>IF(M193=0,0,MAX($B$191:B191)+1)</f>
        <v>0</v>
      </c>
      <c r="C193" s="576">
        <f>IF(B193=0,0,1)</f>
        <v>0</v>
      </c>
      <c r="D193" s="515">
        <f>D189+1</f>
        <v>161</v>
      </c>
      <c r="E193" s="35" t="str">
        <f ca="1">CONCATENATE(A193,".",$B$192,".",B193)</f>
        <v>4.0.0</v>
      </c>
      <c r="F193" s="576" t="s">
        <v>2639</v>
      </c>
      <c r="G193" s="550">
        <v>4011209</v>
      </c>
      <c r="H193" s="224" t="str">
        <f t="shared" ref="H193:H209" si="128">I193</f>
        <v>Regularização do subleito</v>
      </c>
      <c r="I193" s="37" t="str">
        <f>IFERROR(VLOOKUP(G193,SINAPI!A:D,2,0),"")</f>
        <v>Regularização do subleito</v>
      </c>
      <c r="J193" s="620"/>
      <c r="K193" s="578"/>
      <c r="L193" s="40" t="str">
        <f>IFERROR(VLOOKUP(G193,SINAPI!A:D,3,0),"")</f>
        <v>m²</v>
      </c>
      <c r="M193" s="40">
        <f>MEMORIA!F399</f>
        <v>0</v>
      </c>
      <c r="N193" s="40">
        <f>IFERROR(VLOOKUP(G193,SINAPI!A:D,4,0),"")</f>
        <v>1.1399999999999999</v>
      </c>
      <c r="O193" s="1571">
        <f t="shared" ref="O193:O207" si="129">$N$7</f>
        <v>0.24379999999999999</v>
      </c>
      <c r="P193" s="41">
        <f t="shared" ref="P193:P209" si="130">IF(N193="","",(ROUND(N193*(1+O193),2)))</f>
        <v>1.42</v>
      </c>
      <c r="Q193" s="580">
        <f t="shared" si="127"/>
        <v>0</v>
      </c>
      <c r="R193" s="1444">
        <f t="shared" si="73"/>
        <v>0</v>
      </c>
      <c r="U193" s="668"/>
      <c r="V193" s="668"/>
    </row>
    <row r="194" spans="1:22" ht="15" hidden="1" customHeight="1" outlineLevel="1" x14ac:dyDescent="0.25">
      <c r="A194" s="576">
        <f ca="1">A191</f>
        <v>4</v>
      </c>
      <c r="B194" s="576">
        <f>IF(M194=0,0,MAX($B$193:B193)+1)</f>
        <v>0</v>
      </c>
      <c r="C194" s="576">
        <f t="shared" ref="C194:C195" si="131">IF(B194=0,0,1)</f>
        <v>0</v>
      </c>
      <c r="D194" s="515">
        <f>D193+1</f>
        <v>162</v>
      </c>
      <c r="E194" s="35" t="str">
        <f t="shared" ref="E194:E195" ca="1" si="132">CONCATENATE(A194,".",$C$192,".",B194)</f>
        <v>4.0.0</v>
      </c>
      <c r="F194" s="576" t="s">
        <v>2639</v>
      </c>
      <c r="G194" s="550">
        <v>5502979</v>
      </c>
      <c r="H194" s="224" t="str">
        <f t="shared" si="128"/>
        <v>Construção de corpo de aterro com material de 3ª categoria oriundo de corte</v>
      </c>
      <c r="I194" s="37" t="str">
        <f>IFERROR(VLOOKUP(G194,SINAPI!A:D,2,0),"")</f>
        <v>Construção de corpo de aterro com material de 3ª categoria oriundo de corte</v>
      </c>
      <c r="J194" s="620"/>
      <c r="K194" s="578"/>
      <c r="L194" s="40" t="str">
        <f>IFERROR(VLOOKUP(G194,SINAPI!A:D,3,0),"")</f>
        <v>m³</v>
      </c>
      <c r="M194" s="40">
        <f>VLOOKUP(D194,MEMORIA!B:F,$A$3+3)</f>
        <v>0</v>
      </c>
      <c r="N194" s="40">
        <f>IFERROR(VLOOKUP(G194,SINAPI!A:D,4,0),"")</f>
        <v>17.690000000000001</v>
      </c>
      <c r="O194" s="1571">
        <f t="shared" si="129"/>
        <v>0.24379999999999999</v>
      </c>
      <c r="P194" s="41">
        <f t="shared" si="130"/>
        <v>22</v>
      </c>
      <c r="Q194" s="580">
        <f t="shared" ref="Q194:Q195" si="133">IF(M194="","",ROUND(M194*P194,2))</f>
        <v>0</v>
      </c>
      <c r="R194" s="1444">
        <f t="shared" si="73"/>
        <v>0</v>
      </c>
      <c r="U194" s="839"/>
      <c r="V194" s="839"/>
    </row>
    <row r="195" spans="1:22" ht="15" hidden="1" customHeight="1" outlineLevel="1" x14ac:dyDescent="0.25">
      <c r="A195" s="576">
        <f ca="1">A194</f>
        <v>4</v>
      </c>
      <c r="B195" s="576">
        <f>IF(M195=0,0,MAX($B$193:B194)+1)</f>
        <v>0</v>
      </c>
      <c r="C195" s="576">
        <f t="shared" si="131"/>
        <v>0</v>
      </c>
      <c r="D195" s="515">
        <f t="shared" ref="D195:D206" si="134">D194+1</f>
        <v>163</v>
      </c>
      <c r="E195" s="35" t="str">
        <f t="shared" ca="1" si="132"/>
        <v>4.0.0</v>
      </c>
      <c r="F195" s="36" t="s">
        <v>2639</v>
      </c>
      <c r="G195" s="36">
        <v>5914374</v>
      </c>
      <c r="H195" s="224" t="str">
        <f t="shared" si="128"/>
        <v>Transporte com caminhão basculante de 10 m³ - rodovia em revestimento primário</v>
      </c>
      <c r="I195" s="37" t="str">
        <f>IFERROR(VLOOKUP(G195,SINAPI!A:D,2,0),"")</f>
        <v>Transporte com caminhão basculante de 10 m³ - rodovia em revestimento primário</v>
      </c>
      <c r="J195" s="626">
        <f>MEMORIA!E353</f>
        <v>0.04</v>
      </c>
      <c r="K195" s="576"/>
      <c r="L195" s="40" t="str">
        <f>IFERROR(VLOOKUP(G195,SINAPI!A:D,3,0),"")</f>
        <v>tkm</v>
      </c>
      <c r="M195" s="40">
        <f>MEMORIA!F418</f>
        <v>0</v>
      </c>
      <c r="N195" s="40">
        <f>IFERROR(VLOOKUP(G195,SINAPI!A:D,4,0),"")</f>
        <v>1.05</v>
      </c>
      <c r="O195" s="1571">
        <f t="shared" si="129"/>
        <v>0.24379999999999999</v>
      </c>
      <c r="P195" s="41">
        <f t="shared" si="130"/>
        <v>1.31</v>
      </c>
      <c r="Q195" s="580">
        <f t="shared" si="133"/>
        <v>0</v>
      </c>
      <c r="R195" s="1444">
        <f t="shared" si="73"/>
        <v>0</v>
      </c>
      <c r="S195" s="605" t="e">
        <f>SUM(Q194:Q195)/M194</f>
        <v>#DIV/0!</v>
      </c>
      <c r="U195" s="839"/>
      <c r="V195" s="839"/>
    </row>
    <row r="196" spans="1:22" ht="15" hidden="1" customHeight="1" outlineLevel="1" x14ac:dyDescent="0.25">
      <c r="A196" s="576">
        <f ca="1">A193</f>
        <v>4</v>
      </c>
      <c r="B196" s="576">
        <f>IF(M196=0,0,MAX($B$193:B193)+1)</f>
        <v>0</v>
      </c>
      <c r="C196" s="576">
        <f t="shared" ref="C196:C209" si="135">IF(B196=0,0,1)</f>
        <v>0</v>
      </c>
      <c r="D196" s="515">
        <f>D195+1</f>
        <v>164</v>
      </c>
      <c r="E196" s="35" t="str">
        <f t="shared" ref="E196:E209" ca="1" si="136">CONCATENATE(A196,".",$C$192,".",B196)</f>
        <v>4.0.0</v>
      </c>
      <c r="F196" s="576" t="s">
        <v>2639</v>
      </c>
      <c r="G196" s="576">
        <v>4011279</v>
      </c>
      <c r="H196" s="224" t="str">
        <f t="shared" si="128"/>
        <v>Base ou sub-base de macadame seco com brita comercial</v>
      </c>
      <c r="I196" s="37" t="str">
        <f>IFERROR(VLOOKUP(G196,SINAPI!A:D,2,0),"")</f>
        <v>Base ou sub-base de macadame seco com brita comercial</v>
      </c>
      <c r="J196" s="620"/>
      <c r="K196" s="576"/>
      <c r="L196" s="40" t="str">
        <f>IFERROR(VLOOKUP(G196,SINAPI!A:D,3,0),"")</f>
        <v>m³</v>
      </c>
      <c r="M196" s="40">
        <f>VLOOKUP(D196,MEMORIA!B:F,$A$3+3)</f>
        <v>0</v>
      </c>
      <c r="N196" s="40">
        <f>IFERROR(VLOOKUP(G196,SINAPI!A:D,4,0),"")</f>
        <v>174.82</v>
      </c>
      <c r="O196" s="1571">
        <f t="shared" si="129"/>
        <v>0.24379999999999999</v>
      </c>
      <c r="P196" s="41">
        <f t="shared" si="130"/>
        <v>217.44</v>
      </c>
      <c r="Q196" s="580">
        <f t="shared" si="127"/>
        <v>0</v>
      </c>
      <c r="R196" s="1444">
        <f t="shared" si="73"/>
        <v>0</v>
      </c>
      <c r="U196" s="668"/>
      <c r="V196" s="668"/>
    </row>
    <row r="197" spans="1:22" ht="15" hidden="1" customHeight="1" outlineLevel="1" x14ac:dyDescent="0.25">
      <c r="A197" s="576">
        <f t="shared" ref="A197:A206" ca="1" si="137">A196</f>
        <v>4</v>
      </c>
      <c r="B197" s="576">
        <f>IF(M197=0,0,MAX($B$193:B196)+1)</f>
        <v>0</v>
      </c>
      <c r="C197" s="576">
        <f t="shared" si="135"/>
        <v>0</v>
      </c>
      <c r="D197" s="515">
        <f t="shared" si="134"/>
        <v>165</v>
      </c>
      <c r="E197" s="35" t="str">
        <f t="shared" ca="1" si="136"/>
        <v>4.0.0</v>
      </c>
      <c r="F197" s="576" t="s">
        <v>2639</v>
      </c>
      <c r="G197" s="36">
        <v>5914389</v>
      </c>
      <c r="H197" s="224" t="str">
        <f t="shared" si="128"/>
        <v>Transporte com caminhão basculante de 10 m³ - rodovia pavimentada</v>
      </c>
      <c r="I197" s="37" t="str">
        <f>IFERROR(VLOOKUP(G197,SINAPI!A:D,2,0),"")</f>
        <v>Transporte com caminhão basculante de 10 m³ - rodovia pavimentada</v>
      </c>
      <c r="J197" s="626">
        <f>DMT!H10</f>
        <v>27.8</v>
      </c>
      <c r="K197" s="576"/>
      <c r="L197" s="40" t="str">
        <f>IFERROR(VLOOKUP(G197,SINAPI!A:D,3,0),"")</f>
        <v>tkm</v>
      </c>
      <c r="M197" s="40">
        <f>VLOOKUP(D197,MEMORIA!B:F,$A$3+3)</f>
        <v>0</v>
      </c>
      <c r="N197" s="40">
        <f>IFERROR(VLOOKUP(G197,SINAPI!A:D,4,0),"")</f>
        <v>0.84</v>
      </c>
      <c r="O197" s="1571">
        <f t="shared" si="129"/>
        <v>0.24379999999999999</v>
      </c>
      <c r="P197" s="41">
        <f t="shared" si="130"/>
        <v>1.04</v>
      </c>
      <c r="Q197" s="580">
        <f t="shared" si="127"/>
        <v>0</v>
      </c>
      <c r="R197" s="1444">
        <f t="shared" si="73"/>
        <v>0</v>
      </c>
      <c r="S197" s="605" t="e">
        <f>SUM(Q196:Q197)/M196</f>
        <v>#DIV/0!</v>
      </c>
      <c r="U197" s="668"/>
      <c r="V197" s="668"/>
    </row>
    <row r="198" spans="1:22" ht="15" hidden="1" customHeight="1" outlineLevel="1" x14ac:dyDescent="0.25">
      <c r="A198" s="576">
        <f t="shared" ca="1" si="137"/>
        <v>4</v>
      </c>
      <c r="B198" s="576">
        <f>IF(M198=0,0,MAX($B$193:B197)+1)</f>
        <v>0</v>
      </c>
      <c r="C198" s="576">
        <f t="shared" si="135"/>
        <v>0</v>
      </c>
      <c r="D198" s="515">
        <f t="shared" si="134"/>
        <v>166</v>
      </c>
      <c r="E198" s="35" t="str">
        <f t="shared" ca="1" si="136"/>
        <v>4.0.0</v>
      </c>
      <c r="F198" s="576" t="s">
        <v>2639</v>
      </c>
      <c r="G198" s="576">
        <v>4011276</v>
      </c>
      <c r="H198" s="224" t="str">
        <f t="shared" si="128"/>
        <v>Base ou sub-base de brita graduada com brita comercial</v>
      </c>
      <c r="I198" s="37" t="str">
        <f>IFERROR(VLOOKUP(G198,SINAPI!A:D,2,0),"")</f>
        <v>Base ou sub-base de brita graduada com brita comercial</v>
      </c>
      <c r="J198" s="626" t="s">
        <v>5</v>
      </c>
      <c r="K198" s="326"/>
      <c r="L198" s="40" t="str">
        <f>IFERROR(VLOOKUP(G198,SINAPI!A:D,3,0),"")</f>
        <v>m³</v>
      </c>
      <c r="M198" s="40">
        <f>VLOOKUP(D198,MEMORIA!B:F,$A$3+3)</f>
        <v>0</v>
      </c>
      <c r="N198" s="40">
        <f>IFERROR(VLOOKUP(G198,SINAPI!A:D,4,0),"")</f>
        <v>204.16</v>
      </c>
      <c r="O198" s="1571">
        <f t="shared" si="129"/>
        <v>0.24379999999999999</v>
      </c>
      <c r="P198" s="41">
        <f t="shared" si="130"/>
        <v>253.93</v>
      </c>
      <c r="Q198" s="580">
        <f t="shared" si="127"/>
        <v>0</v>
      </c>
      <c r="R198" s="1444">
        <f t="shared" si="73"/>
        <v>0</v>
      </c>
      <c r="U198" s="668"/>
      <c r="V198" s="668"/>
    </row>
    <row r="199" spans="1:22" ht="15" hidden="1" customHeight="1" outlineLevel="1" x14ac:dyDescent="0.25">
      <c r="A199" s="576">
        <f t="shared" ca="1" si="137"/>
        <v>4</v>
      </c>
      <c r="B199" s="576">
        <f>IF(M199=0,0,MAX($B$193:B198)+1)</f>
        <v>0</v>
      </c>
      <c r="C199" s="576">
        <f t="shared" si="135"/>
        <v>0</v>
      </c>
      <c r="D199" s="515">
        <f t="shared" si="134"/>
        <v>167</v>
      </c>
      <c r="E199" s="35" t="str">
        <f t="shared" ca="1" si="136"/>
        <v>4.0.0</v>
      </c>
      <c r="F199" s="576" t="s">
        <v>2639</v>
      </c>
      <c r="G199" s="36">
        <v>5914389</v>
      </c>
      <c r="H199" s="224" t="str">
        <f t="shared" si="128"/>
        <v>Transporte com caminhão basculante de 10 m³ - rodovia pavimentada</v>
      </c>
      <c r="I199" s="37" t="str">
        <f>IFERROR(VLOOKUP(G199,SINAPI!A:D,2,0),"")</f>
        <v>Transporte com caminhão basculante de 10 m³ - rodovia pavimentada</v>
      </c>
      <c r="J199" s="626">
        <f>DMT!$H$10</f>
        <v>27.8</v>
      </c>
      <c r="K199" s="326"/>
      <c r="L199" s="40" t="str">
        <f>IFERROR(VLOOKUP(G199,SINAPI!A:D,3,0),"")</f>
        <v>tkm</v>
      </c>
      <c r="M199" s="40">
        <f>VLOOKUP(D199,MEMORIA!B:F,$A$3+3)</f>
        <v>0</v>
      </c>
      <c r="N199" s="40">
        <f>IFERROR(VLOOKUP(G199,SINAPI!A:D,4,0),"")</f>
        <v>0.84</v>
      </c>
      <c r="O199" s="1571">
        <f t="shared" si="129"/>
        <v>0.24379999999999999</v>
      </c>
      <c r="P199" s="41">
        <f t="shared" si="130"/>
        <v>1.04</v>
      </c>
      <c r="Q199" s="580">
        <f t="shared" si="127"/>
        <v>0</v>
      </c>
      <c r="R199" s="1444">
        <f t="shared" si="73"/>
        <v>0</v>
      </c>
      <c r="S199" s="605" t="e">
        <f>SUM(Q198:Q199)/M198</f>
        <v>#DIV/0!</v>
      </c>
      <c r="U199" s="668"/>
      <c r="V199" s="668"/>
    </row>
    <row r="200" spans="1:22" ht="15" hidden="1" customHeight="1" outlineLevel="1" x14ac:dyDescent="0.25">
      <c r="A200" s="576">
        <f t="shared" ca="1" si="137"/>
        <v>4</v>
      </c>
      <c r="B200" s="576">
        <f>IF(M200=0,0,MAX($B$193:B199)+1)</f>
        <v>0</v>
      </c>
      <c r="C200" s="576">
        <f t="shared" si="135"/>
        <v>0</v>
      </c>
      <c r="D200" s="515">
        <f t="shared" si="134"/>
        <v>168</v>
      </c>
      <c r="E200" s="35" t="str">
        <f t="shared" ca="1" si="136"/>
        <v>4.0.0</v>
      </c>
      <c r="F200" s="1567" t="s">
        <v>2639</v>
      </c>
      <c r="G200" s="1567">
        <v>4011352</v>
      </c>
      <c r="H200" s="224" t="str">
        <f t="shared" si="128"/>
        <v>Imprimação com emulsão asfáltica</v>
      </c>
      <c r="I200" s="577" t="str">
        <f>IFERROR(VLOOKUP(G200,SINAPI!A:D,2,0),"")</f>
        <v>Imprimação com emulsão asfáltica</v>
      </c>
      <c r="J200" s="626"/>
      <c r="K200" s="326"/>
      <c r="L200" s="40" t="str">
        <f>IFERROR(VLOOKUP(G200,SINAPI!A:D,3,0),"")</f>
        <v>m²</v>
      </c>
      <c r="M200" s="40">
        <f>VLOOKUP(D200,MEMORIA!B:F,$A$3+3)</f>
        <v>0</v>
      </c>
      <c r="N200" s="40">
        <f>IFERROR(VLOOKUP(G200,SINAPI!A:D,4,0),"")</f>
        <v>0.43</v>
      </c>
      <c r="O200" s="1571">
        <f t="shared" si="129"/>
        <v>0.24379999999999999</v>
      </c>
      <c r="P200" s="41">
        <f t="shared" si="130"/>
        <v>0.53</v>
      </c>
      <c r="Q200" s="580">
        <f t="shared" si="127"/>
        <v>0</v>
      </c>
      <c r="R200" s="1444">
        <f t="shared" si="73"/>
        <v>0</v>
      </c>
      <c r="S200" s="605" t="e">
        <f>SUBTOTAL(9,Q200:Q202)/M200</f>
        <v>#DIV/0!</v>
      </c>
      <c r="U200" s="668"/>
      <c r="V200" s="668"/>
    </row>
    <row r="201" spans="1:22" s="1085" customFormat="1" ht="12" hidden="1" customHeight="1" outlineLevel="1" x14ac:dyDescent="0.25">
      <c r="A201" s="576">
        <f t="shared" ca="1" si="137"/>
        <v>4</v>
      </c>
      <c r="B201" s="576">
        <f>IF(M201=0,0,MAX($B$193:B200)+1)</f>
        <v>0</v>
      </c>
      <c r="C201" s="576">
        <f t="shared" ref="C201:C206" si="138">IF(B201=0,0,1)</f>
        <v>0</v>
      </c>
      <c r="D201" s="515">
        <f t="shared" si="134"/>
        <v>169</v>
      </c>
      <c r="E201" s="35" t="str">
        <f t="shared" ca="1" si="136"/>
        <v>4.0.0</v>
      </c>
      <c r="F201" s="1567" t="s">
        <v>3188</v>
      </c>
      <c r="G201" s="1567" t="s">
        <v>3176</v>
      </c>
      <c r="H201" s="224" t="str">
        <f t="shared" si="128"/>
        <v>Emulsão asfáltica para serviço de imprimação</v>
      </c>
      <c r="I201" s="577" t="str">
        <f>IFERROR(VLOOKUP(G201,SINAPI!A:D,2,0),"")</f>
        <v>Emulsão asfáltica para serviço de imprimação</v>
      </c>
      <c r="J201" s="637"/>
      <c r="K201" s="985"/>
      <c r="L201" s="40" t="str">
        <f>IFERROR(VLOOKUP(G201,SINAPI!A:D,3,0),"")</f>
        <v>t</v>
      </c>
      <c r="M201" s="40">
        <f>VLOOKUP(D201,MEMORIA!B:F,$A$3+3)</f>
        <v>0</v>
      </c>
      <c r="N201" s="40">
        <f>IFERROR(VLOOKUP(G201,SINAPI!A:D,4,0),"")</f>
        <v>3625.95</v>
      </c>
      <c r="O201" s="1571">
        <f t="shared" ref="O201:O202" si="139">$N$9</f>
        <v>0.17</v>
      </c>
      <c r="P201" s="41">
        <f t="shared" si="130"/>
        <v>4242.3599999999997</v>
      </c>
      <c r="Q201" s="580">
        <f t="shared" si="127"/>
        <v>0</v>
      </c>
      <c r="R201" s="1444">
        <f t="shared" si="73"/>
        <v>0</v>
      </c>
      <c r="S201" s="605"/>
      <c r="T201" s="1084"/>
      <c r="U201" s="1083"/>
      <c r="V201" s="1083"/>
    </row>
    <row r="202" spans="1:22" s="1085" customFormat="1" ht="12" hidden="1" customHeight="1" outlineLevel="1" x14ac:dyDescent="0.25">
      <c r="A202" s="576">
        <f t="shared" ca="1" si="137"/>
        <v>4</v>
      </c>
      <c r="B202" s="576">
        <f>IF(M202=0,0,MAX($B$193:B201)+1)</f>
        <v>0</v>
      </c>
      <c r="C202" s="576">
        <f t="shared" si="138"/>
        <v>0</v>
      </c>
      <c r="D202" s="515">
        <f t="shared" si="134"/>
        <v>170</v>
      </c>
      <c r="E202" s="35" t="str">
        <f t="shared" ca="1" si="136"/>
        <v>4.0.0</v>
      </c>
      <c r="F202" s="1567" t="s">
        <v>6483</v>
      </c>
      <c r="G202" s="1567" t="s">
        <v>13702</v>
      </c>
      <c r="H202" s="224" t="str">
        <f t="shared" si="128"/>
        <v>Transporte de Emulsão asfáltica para serviço de imprimação</v>
      </c>
      <c r="I202" s="577" t="str">
        <f>IFERROR(VLOOKUP(G202,SINAPI!A:D,2,0),"")</f>
        <v>Transporte de Emulsão asfáltica para serviço de imprimação</v>
      </c>
      <c r="J202" s="637">
        <f>J209</f>
        <v>374.8</v>
      </c>
      <c r="K202" s="985"/>
      <c r="L202" s="40" t="str">
        <f>IFERROR(VLOOKUP(G202,SINAPI!A:D,3,0),"")</f>
        <v>t</v>
      </c>
      <c r="M202" s="40">
        <f>VLOOKUP(D202,MEMORIA!B:F,$A$3+3)</f>
        <v>0</v>
      </c>
      <c r="N202" s="40">
        <f>IFERROR(VLOOKUP(G202,SINAPI!A:D,4,0),"")</f>
        <v>291.75</v>
      </c>
      <c r="O202" s="1571">
        <f t="shared" si="139"/>
        <v>0.17</v>
      </c>
      <c r="P202" s="41">
        <f t="shared" si="130"/>
        <v>341.35</v>
      </c>
      <c r="Q202" s="580">
        <f t="shared" si="127"/>
        <v>0</v>
      </c>
      <c r="R202" s="1444">
        <f t="shared" si="73"/>
        <v>0</v>
      </c>
      <c r="S202" s="605"/>
      <c r="T202" s="1084"/>
      <c r="U202" s="1083"/>
      <c r="V202" s="1083"/>
    </row>
    <row r="203" spans="1:22" ht="15" hidden="1" customHeight="1" outlineLevel="1" x14ac:dyDescent="0.25">
      <c r="A203" s="576">
        <f t="shared" ca="1" si="137"/>
        <v>4</v>
      </c>
      <c r="B203" s="576">
        <f>IF(M203=0,0,MAX($B$193:B202)+1)</f>
        <v>0</v>
      </c>
      <c r="C203" s="576">
        <f t="shared" si="138"/>
        <v>0</v>
      </c>
      <c r="D203" s="515">
        <f t="shared" si="134"/>
        <v>171</v>
      </c>
      <c r="E203" s="35" t="str">
        <f t="shared" ca="1" si="136"/>
        <v>4.0.0</v>
      </c>
      <c r="F203" s="1567" t="s">
        <v>2639</v>
      </c>
      <c r="G203" s="1567">
        <v>4011353</v>
      </c>
      <c r="H203" s="224" t="str">
        <f t="shared" si="128"/>
        <v>Pintura de ligação</v>
      </c>
      <c r="I203" s="577" t="str">
        <f>IFERROR(VLOOKUP(G203,SINAPI!A:D,2,0),"")</f>
        <v>Pintura de ligação</v>
      </c>
      <c r="J203" s="626" t="s">
        <v>5</v>
      </c>
      <c r="K203" s="326"/>
      <c r="L203" s="40" t="str">
        <f>IFERROR(VLOOKUP(G203,SINAPI!A:D,3,0),"")</f>
        <v>m²</v>
      </c>
      <c r="M203" s="40">
        <f>VLOOKUP(D203,MEMORIA!B:F,$A$3+3)</f>
        <v>0</v>
      </c>
      <c r="N203" s="40">
        <f>IFERROR(VLOOKUP(G203,SINAPI!A:D,4,0),"")</f>
        <v>0.3</v>
      </c>
      <c r="O203" s="1571">
        <f t="shared" si="129"/>
        <v>0.24379999999999999</v>
      </c>
      <c r="P203" s="41">
        <f t="shared" si="130"/>
        <v>0.37</v>
      </c>
      <c r="Q203" s="580">
        <f t="shared" ref="Q203:Q208" si="140">IF(M203="","",ROUND(M203*P203,2))</f>
        <v>0</v>
      </c>
      <c r="R203" s="1444">
        <f t="shared" si="73"/>
        <v>0</v>
      </c>
      <c r="S203" s="605" t="e">
        <f>SUBTOTAL(9,Q203:Q205)/M203</f>
        <v>#DIV/0!</v>
      </c>
      <c r="U203" s="668"/>
      <c r="V203" s="668"/>
    </row>
    <row r="204" spans="1:22" s="1085" customFormat="1" ht="12" hidden="1" customHeight="1" outlineLevel="1" x14ac:dyDescent="0.25">
      <c r="A204" s="576">
        <f t="shared" ca="1" si="137"/>
        <v>4</v>
      </c>
      <c r="B204" s="576">
        <f>IF(M204=0,0,MAX($B$193:B203)+1)</f>
        <v>0</v>
      </c>
      <c r="C204" s="576">
        <f t="shared" si="138"/>
        <v>0</v>
      </c>
      <c r="D204" s="515">
        <f t="shared" si="134"/>
        <v>172</v>
      </c>
      <c r="E204" s="35" t="str">
        <f t="shared" ca="1" si="136"/>
        <v>4.0.0</v>
      </c>
      <c r="F204" s="1567" t="s">
        <v>3188</v>
      </c>
      <c r="G204" s="1567" t="s">
        <v>6481</v>
      </c>
      <c r="H204" s="224" t="str">
        <f t="shared" si="128"/>
        <v>Emulsões asfálticas RR-1C</v>
      </c>
      <c r="I204" s="577" t="str">
        <f>IFERROR(VLOOKUP(G204,SINAPI!A:D,2,0),"")</f>
        <v>Emulsões asfálticas RR-1C</v>
      </c>
      <c r="J204" s="637"/>
      <c r="K204" s="985"/>
      <c r="L204" s="40" t="str">
        <f>IFERROR(VLOOKUP(G204,SINAPI!A:D,3,0),"")</f>
        <v>t</v>
      </c>
      <c r="M204" s="40">
        <f>VLOOKUP(D204,MEMORIA!B:F,$A$3+3)</f>
        <v>0</v>
      </c>
      <c r="N204" s="40">
        <f>IFERROR(VLOOKUP(G204,SINAPI!A:D,4,0),"")</f>
        <v>3291.71</v>
      </c>
      <c r="O204" s="1571">
        <f t="shared" ref="O204:O205" si="141">$N$9</f>
        <v>0.17</v>
      </c>
      <c r="P204" s="41">
        <f t="shared" si="130"/>
        <v>3851.3</v>
      </c>
      <c r="Q204" s="580">
        <f t="shared" si="140"/>
        <v>0</v>
      </c>
      <c r="R204" s="1444">
        <f t="shared" si="73"/>
        <v>0</v>
      </c>
      <c r="S204" s="1084"/>
      <c r="T204" s="1084"/>
      <c r="U204" s="1083"/>
      <c r="V204" s="1083"/>
    </row>
    <row r="205" spans="1:22" s="1085" customFormat="1" ht="12" hidden="1" customHeight="1" outlineLevel="1" x14ac:dyDescent="0.25">
      <c r="A205" s="576">
        <f t="shared" ca="1" si="137"/>
        <v>4</v>
      </c>
      <c r="B205" s="576">
        <f>IF(M205=0,0,MAX($B$193:B204)+1)</f>
        <v>0</v>
      </c>
      <c r="C205" s="576">
        <f t="shared" si="138"/>
        <v>0</v>
      </c>
      <c r="D205" s="515">
        <f t="shared" si="134"/>
        <v>173</v>
      </c>
      <c r="E205" s="35" t="str">
        <f t="shared" ca="1" si="136"/>
        <v>4.0.0</v>
      </c>
      <c r="F205" s="1567" t="s">
        <v>6483</v>
      </c>
      <c r="G205" s="1567" t="s">
        <v>13710</v>
      </c>
      <c r="H205" s="224" t="str">
        <f t="shared" si="128"/>
        <v>Transporte de Emulsões asfálticas RR-1C</v>
      </c>
      <c r="I205" s="577" t="str">
        <f>IFERROR(VLOOKUP(G205,SINAPI!A:D,2,0),"")</f>
        <v>Transporte de Emulsões asfálticas RR-1C</v>
      </c>
      <c r="J205" s="637">
        <f>J209</f>
        <v>374.8</v>
      </c>
      <c r="K205" s="985"/>
      <c r="L205" s="40" t="str">
        <f>IFERROR(VLOOKUP(G205,SINAPI!A:D,3,0),"")</f>
        <v>t</v>
      </c>
      <c r="M205" s="40">
        <f>VLOOKUP(D205,MEMORIA!B:F,$A$3+3)</f>
        <v>0</v>
      </c>
      <c r="N205" s="40">
        <f>IFERROR(VLOOKUP(G205,SINAPI!A:D,4,0),"")</f>
        <v>291.75</v>
      </c>
      <c r="O205" s="1571">
        <f t="shared" si="141"/>
        <v>0.17</v>
      </c>
      <c r="P205" s="41">
        <f t="shared" si="130"/>
        <v>341.35</v>
      </c>
      <c r="Q205" s="580">
        <f t="shared" si="140"/>
        <v>0</v>
      </c>
      <c r="R205" s="1444">
        <f t="shared" si="73"/>
        <v>0</v>
      </c>
      <c r="S205" s="1084"/>
      <c r="T205" s="1084"/>
      <c r="U205" s="1083"/>
      <c r="V205" s="1083"/>
    </row>
    <row r="206" spans="1:22" ht="15" hidden="1" customHeight="1" outlineLevel="1" x14ac:dyDescent="0.25">
      <c r="A206" s="576">
        <f t="shared" ca="1" si="137"/>
        <v>4</v>
      </c>
      <c r="B206" s="576">
        <f>IF(M206=0,0,MAX($B$193:B205)+1)</f>
        <v>0</v>
      </c>
      <c r="C206" s="576">
        <f t="shared" si="138"/>
        <v>0</v>
      </c>
      <c r="D206" s="515">
        <f t="shared" si="134"/>
        <v>174</v>
      </c>
      <c r="E206" s="35" t="str">
        <f t="shared" ca="1" si="136"/>
        <v>4.0.0</v>
      </c>
      <c r="F206" s="1552" t="s">
        <v>2639</v>
      </c>
      <c r="G206" s="1567">
        <v>4011459</v>
      </c>
      <c r="H206" s="224" t="str">
        <f t="shared" si="128"/>
        <v>Concreto asfáltico - faixa B - areia e brita comerciais</v>
      </c>
      <c r="I206" s="577" t="str">
        <f>IFERROR(VLOOKUP(G206,SINAPI!A:D,2,0),"")</f>
        <v>Concreto asfáltico - faixa B - areia e brita comerciais</v>
      </c>
      <c r="J206" s="626"/>
      <c r="K206" s="326"/>
      <c r="L206" s="40" t="str">
        <f>IFERROR(VLOOKUP(G206,SINAPI!A:D,3,0),"")</f>
        <v>t</v>
      </c>
      <c r="M206" s="40">
        <f>VLOOKUP(D206,MEMORIA!B:F,$A$3+3)</f>
        <v>0</v>
      </c>
      <c r="N206" s="40">
        <f>IFERROR(VLOOKUP(G206,SINAPI!A:D,4,0),"")</f>
        <v>200.9</v>
      </c>
      <c r="O206" s="1571">
        <f t="shared" si="129"/>
        <v>0.24379999999999999</v>
      </c>
      <c r="P206" s="41">
        <f t="shared" si="130"/>
        <v>249.88</v>
      </c>
      <c r="Q206" s="580">
        <f t="shared" si="140"/>
        <v>0</v>
      </c>
      <c r="R206" s="1444">
        <f t="shared" si="73"/>
        <v>0</v>
      </c>
      <c r="U206" s="668"/>
      <c r="V206" s="668"/>
    </row>
    <row r="207" spans="1:22" ht="15" hidden="1" customHeight="1" outlineLevel="1" x14ac:dyDescent="0.25">
      <c r="A207" s="576">
        <f t="shared" ref="A207:A209" ca="1" si="142">A206</f>
        <v>4</v>
      </c>
      <c r="B207" s="576">
        <f>IF(M207=0,0,MAX($B$193:B206)+1)</f>
        <v>0</v>
      </c>
      <c r="C207" s="576">
        <f t="shared" si="135"/>
        <v>0</v>
      </c>
      <c r="D207" s="515">
        <f t="shared" ref="D207:D209" si="143">D206+1</f>
        <v>175</v>
      </c>
      <c r="E207" s="35" t="str">
        <f t="shared" ca="1" si="136"/>
        <v>4.0.0</v>
      </c>
      <c r="F207" s="1567" t="s">
        <v>2639</v>
      </c>
      <c r="G207" s="1567">
        <v>5914389</v>
      </c>
      <c r="H207" s="224" t="str">
        <f t="shared" si="128"/>
        <v>Transporte com caminhão basculante de 10 m³ - rodovia pavimentada</v>
      </c>
      <c r="I207" s="577" t="str">
        <f>IFERROR(VLOOKUP(G207,SINAPI!A:D,2,0),"")</f>
        <v>Transporte com caminhão basculante de 10 m³ - rodovia pavimentada</v>
      </c>
      <c r="J207" s="626">
        <f>DMT!$G$10</f>
        <v>25.9</v>
      </c>
      <c r="K207" s="326"/>
      <c r="L207" s="40" t="str">
        <f>IFERROR(VLOOKUP(G207,SINAPI!A:D,3,0),"")</f>
        <v>tkm</v>
      </c>
      <c r="M207" s="40">
        <f>VLOOKUP(D207,MEMORIA!B:F,$A$3+3)</f>
        <v>0</v>
      </c>
      <c r="N207" s="40">
        <f>IFERROR(VLOOKUP(G207,SINAPI!A:D,4,0),"")</f>
        <v>0.84</v>
      </c>
      <c r="O207" s="1571">
        <f t="shared" si="129"/>
        <v>0.24379999999999999</v>
      </c>
      <c r="P207" s="41">
        <f t="shared" si="130"/>
        <v>1.04</v>
      </c>
      <c r="Q207" s="580">
        <f t="shared" si="140"/>
        <v>0</v>
      </c>
      <c r="R207" s="1444">
        <f t="shared" si="73"/>
        <v>0</v>
      </c>
      <c r="U207" s="668"/>
      <c r="V207" s="668"/>
    </row>
    <row r="208" spans="1:22" ht="15" hidden="1" customHeight="1" outlineLevel="1" x14ac:dyDescent="0.25">
      <c r="A208" s="576">
        <f t="shared" ca="1" si="142"/>
        <v>4</v>
      </c>
      <c r="B208" s="576">
        <f>IF(M208=0,0,MAX($B$193:B207)+1)</f>
        <v>0</v>
      </c>
      <c r="C208" s="576">
        <f t="shared" si="135"/>
        <v>0</v>
      </c>
      <c r="D208" s="515">
        <f t="shared" si="143"/>
        <v>176</v>
      </c>
      <c r="E208" s="35" t="str">
        <f t="shared" ca="1" si="136"/>
        <v>4.0.0</v>
      </c>
      <c r="F208" s="1567" t="s">
        <v>3188</v>
      </c>
      <c r="G208" s="1567" t="s">
        <v>6039</v>
      </c>
      <c r="H208" s="224" t="str">
        <f t="shared" si="128"/>
        <v>Cimentos asfálticos CAP-50-70</v>
      </c>
      <c r="I208" s="577" t="str">
        <f>IFERROR(VLOOKUP(G208,SINAPI!A:D,2,0),"")</f>
        <v>Cimentos asfálticos CAP-50-70</v>
      </c>
      <c r="J208" s="626"/>
      <c r="K208" s="326"/>
      <c r="L208" s="40" t="str">
        <f>IFERROR(VLOOKUP(G208,SINAPI!A:D,3,0),"")</f>
        <v>t</v>
      </c>
      <c r="M208" s="40">
        <f>VLOOKUP(D208,MEMORIA!B:F,$A$3+3)</f>
        <v>0</v>
      </c>
      <c r="N208" s="40">
        <f>IFERROR(VLOOKUP(G208,SINAPI!A:D,4,0),"")</f>
        <v>4568.07</v>
      </c>
      <c r="O208" s="1571">
        <f t="shared" ref="O208:O209" si="144">$N$9</f>
        <v>0.17</v>
      </c>
      <c r="P208" s="41">
        <f t="shared" si="130"/>
        <v>5344.64</v>
      </c>
      <c r="Q208" s="580">
        <f t="shared" si="140"/>
        <v>0</v>
      </c>
      <c r="R208" s="1444">
        <f t="shared" ref="R208:R271" si="145">Q208</f>
        <v>0</v>
      </c>
      <c r="U208" s="668"/>
      <c r="V208" s="668"/>
    </row>
    <row r="209" spans="1:22" ht="15" hidden="1" customHeight="1" outlineLevel="1" x14ac:dyDescent="0.25">
      <c r="A209" s="576">
        <f t="shared" ca="1" si="142"/>
        <v>4</v>
      </c>
      <c r="B209" s="576">
        <f>IF(M209=0,0,MAX($B$193:B208)+1)</f>
        <v>0</v>
      </c>
      <c r="C209" s="576">
        <f t="shared" si="135"/>
        <v>0</v>
      </c>
      <c r="D209" s="515">
        <f t="shared" si="143"/>
        <v>177</v>
      </c>
      <c r="E209" s="35" t="str">
        <f t="shared" ca="1" si="136"/>
        <v>4.0.0</v>
      </c>
      <c r="F209" s="1567" t="s">
        <v>6483</v>
      </c>
      <c r="G209" s="1567" t="s">
        <v>13700</v>
      </c>
      <c r="H209" s="224" t="str">
        <f t="shared" si="128"/>
        <v>Transporte de Cimentos asfálticos CAP-50-70</v>
      </c>
      <c r="I209" s="577" t="str">
        <f>IFERROR(VLOOKUP(G209,SINAPI!A:D,2,0),"")</f>
        <v>Transporte de Cimentos asfálticos CAP-50-70</v>
      </c>
      <c r="J209" s="626">
        <f>DMT!$K$10</f>
        <v>374.8</v>
      </c>
      <c r="K209" s="326"/>
      <c r="L209" s="40" t="str">
        <f>IFERROR(VLOOKUP(G209,SINAPI!A:D,3,0),"")</f>
        <v>t</v>
      </c>
      <c r="M209" s="40">
        <f>VLOOKUP(D209,MEMORIA!B:F,$A$3+3)</f>
        <v>0</v>
      </c>
      <c r="N209" s="40">
        <f>IFERROR(VLOOKUP(G209,SINAPI!A:D,4,0),"")</f>
        <v>291.75</v>
      </c>
      <c r="O209" s="1571">
        <f t="shared" si="144"/>
        <v>0.17</v>
      </c>
      <c r="P209" s="41">
        <f t="shared" si="130"/>
        <v>341.35</v>
      </c>
      <c r="Q209" s="580">
        <f t="shared" si="127"/>
        <v>0</v>
      </c>
      <c r="R209" s="1444">
        <f t="shared" si="145"/>
        <v>0</v>
      </c>
      <c r="S209" s="605" t="e">
        <f>SUM(Q206:Q209)/M206</f>
        <v>#DIV/0!</v>
      </c>
      <c r="U209" s="668"/>
      <c r="V209" s="668"/>
    </row>
    <row r="210" spans="1:22" ht="15" hidden="1" customHeight="1" outlineLevel="1" x14ac:dyDescent="0.25">
      <c r="A210" s="733"/>
      <c r="B210" s="733"/>
      <c r="C210" s="733">
        <f>C192</f>
        <v>0</v>
      </c>
      <c r="E210" s="739" t="s">
        <v>3890</v>
      </c>
      <c r="F210" s="740"/>
      <c r="G210" s="740"/>
      <c r="H210" s="740"/>
      <c r="I210" s="740"/>
      <c r="J210" s="740"/>
      <c r="K210" s="740"/>
      <c r="L210" s="740"/>
      <c r="M210" s="740"/>
      <c r="N210" s="741"/>
      <c r="O210" s="741"/>
      <c r="P210" s="438"/>
      <c r="Q210" s="742">
        <f>SUM(Q193:Q209)</f>
        <v>0</v>
      </c>
      <c r="R210" s="742">
        <f>SUM(R193:R209)</f>
        <v>0</v>
      </c>
      <c r="U210" s="727"/>
      <c r="V210" s="727"/>
    </row>
    <row r="211" spans="1:22" ht="15" customHeight="1" outlineLevel="1" x14ac:dyDescent="0.25">
      <c r="A211" s="617">
        <f ca="1">A191</f>
        <v>4</v>
      </c>
      <c r="B211" s="617">
        <f>IF(C211=1,B192+1,B192)</f>
        <v>1</v>
      </c>
      <c r="C211" s="216">
        <f>IF(SUBTOTAL(9,C212:C226)&gt;0,1,0)</f>
        <v>1</v>
      </c>
      <c r="E211" s="618" t="str">
        <f ca="1">CONCATENATE(A211,".",B211)</f>
        <v>4.1</v>
      </c>
      <c r="F211" s="627"/>
      <c r="G211" s="627" t="s">
        <v>7523</v>
      </c>
      <c r="H211" s="627"/>
      <c r="I211" s="44"/>
      <c r="J211" s="628"/>
      <c r="K211" s="629"/>
      <c r="L211" s="630"/>
      <c r="M211" s="631"/>
      <c r="N211" s="631"/>
      <c r="O211" s="1569"/>
      <c r="P211" s="631"/>
      <c r="Q211" s="632"/>
      <c r="R211" s="1444"/>
      <c r="U211" s="839"/>
      <c r="V211" s="839"/>
    </row>
    <row r="212" spans="1:22" ht="15" customHeight="1" outlineLevel="1" x14ac:dyDescent="0.25">
      <c r="A212" s="576">
        <f ca="1">A211</f>
        <v>4</v>
      </c>
      <c r="B212" s="576">
        <f>IF(M212=0,0,MAX($B$191:B191)+1)</f>
        <v>1</v>
      </c>
      <c r="C212" s="36">
        <f>IF(B212=0,0,1)</f>
        <v>1</v>
      </c>
      <c r="D212" s="515">
        <f>D209+1</f>
        <v>178</v>
      </c>
      <c r="E212" s="35" t="str">
        <f ca="1">CONCATENATE(A212,".",$B$211,".",B212)</f>
        <v>4.1.1</v>
      </c>
      <c r="F212" s="576" t="s">
        <v>2639</v>
      </c>
      <c r="G212" s="550">
        <v>4011209</v>
      </c>
      <c r="H212" s="224" t="str">
        <f t="shared" ref="H212:H226" si="146">I212</f>
        <v>Regularização do subleito</v>
      </c>
      <c r="I212" s="37" t="str">
        <f>IFERROR(VLOOKUP(G212,SINAPI!A:D,2,0),"")</f>
        <v>Regularização do subleito</v>
      </c>
      <c r="J212" s="620"/>
      <c r="K212" s="578"/>
      <c r="L212" s="40" t="str">
        <f>IFERROR(VLOOKUP(G212,SINAPI!A:D,3,0),"")</f>
        <v>m²</v>
      </c>
      <c r="M212" s="40">
        <f>VLOOKUP(D212,MEMORIA!B:F,$A$3+3)</f>
        <v>1090.8499999999999</v>
      </c>
      <c r="N212" s="40">
        <f>IFERROR(VLOOKUP(G212,SINAPI!A:D,4,0),"")</f>
        <v>1.1399999999999999</v>
      </c>
      <c r="O212" s="1571">
        <f t="shared" ref="O212:O224" si="147">$N$7</f>
        <v>0.24379999999999999</v>
      </c>
      <c r="P212" s="41">
        <f t="shared" ref="P212:P226" si="148">IF(N212="","",(ROUND(N212*(1+O212),2)))</f>
        <v>1.42</v>
      </c>
      <c r="Q212" s="580">
        <f t="shared" ref="Q212:Q226" si="149">IF(M212="","",ROUND(M212*P212,2))</f>
        <v>1549.01</v>
      </c>
      <c r="R212" s="1444">
        <f t="shared" si="145"/>
        <v>1549.01</v>
      </c>
      <c r="U212" s="839"/>
      <c r="V212" s="839"/>
    </row>
    <row r="213" spans="1:22" ht="15" customHeight="1" outlineLevel="1" x14ac:dyDescent="0.25">
      <c r="A213" s="576">
        <f t="shared" ref="A213:A226" ca="1" si="150">A212</f>
        <v>4</v>
      </c>
      <c r="B213" s="576">
        <f>IF(M213=0,0,MAX($B$212:B212)+1)</f>
        <v>2</v>
      </c>
      <c r="C213" s="36">
        <f t="shared" ref="C213:C226" si="151">IF(B213=0,0,1)</f>
        <v>1</v>
      </c>
      <c r="D213" s="515">
        <f t="shared" ref="D213:D226" si="152">D212+1</f>
        <v>179</v>
      </c>
      <c r="E213" s="35" t="str">
        <f t="shared" ref="E213:E226" ca="1" si="153">CONCATENATE(A213,".",$B$211,".",B213)</f>
        <v>4.1.2</v>
      </c>
      <c r="F213" s="576" t="s">
        <v>2639</v>
      </c>
      <c r="G213" s="576">
        <v>4011279</v>
      </c>
      <c r="H213" s="224" t="str">
        <f t="shared" si="146"/>
        <v>Base ou sub-base de macadame seco com brita comercial</v>
      </c>
      <c r="I213" s="37" t="str">
        <f>IFERROR(VLOOKUP(G213,SINAPI!A:D,2,0),"")</f>
        <v>Base ou sub-base de macadame seco com brita comercial</v>
      </c>
      <c r="J213" s="620"/>
      <c r="K213" s="576"/>
      <c r="L213" s="40" t="str">
        <f>IFERROR(VLOOKUP(G213,SINAPI!A:D,3,0),"")</f>
        <v>m³</v>
      </c>
      <c r="M213" s="40">
        <f>VLOOKUP(D213,MEMORIA!B:F,$A$3+3)</f>
        <v>160.69</v>
      </c>
      <c r="N213" s="40">
        <f>IFERROR(VLOOKUP(G213,SINAPI!A:D,4,0),"")</f>
        <v>174.82</v>
      </c>
      <c r="O213" s="1571">
        <f t="shared" si="147"/>
        <v>0.24379999999999999</v>
      </c>
      <c r="P213" s="41">
        <f t="shared" si="148"/>
        <v>217.44</v>
      </c>
      <c r="Q213" s="580">
        <f t="shared" si="149"/>
        <v>34940.43</v>
      </c>
      <c r="R213" s="1444">
        <f t="shared" si="145"/>
        <v>34940.43</v>
      </c>
      <c r="U213" s="839"/>
      <c r="V213" s="839"/>
    </row>
    <row r="214" spans="1:22" ht="15" customHeight="1" outlineLevel="1" x14ac:dyDescent="0.25">
      <c r="A214" s="576">
        <f t="shared" ca="1" si="150"/>
        <v>4</v>
      </c>
      <c r="B214" s="576">
        <f>IF(M214=0,0,MAX($B$212:B213)+1)</f>
        <v>3</v>
      </c>
      <c r="C214" s="36">
        <f t="shared" si="151"/>
        <v>1</v>
      </c>
      <c r="D214" s="515">
        <f t="shared" si="152"/>
        <v>180</v>
      </c>
      <c r="E214" s="35" t="str">
        <f t="shared" ca="1" si="153"/>
        <v>4.1.3</v>
      </c>
      <c r="F214" s="576" t="s">
        <v>2639</v>
      </c>
      <c r="G214" s="36">
        <v>5914389</v>
      </c>
      <c r="H214" s="224" t="str">
        <f t="shared" si="146"/>
        <v>Transporte com caminhão basculante de 10 m³ - rodovia pavimentada</v>
      </c>
      <c r="I214" s="37" t="str">
        <f>IFERROR(VLOOKUP(G214,SINAPI!A:D,2,0),"")</f>
        <v>Transporte com caminhão basculante de 10 m³ - rodovia pavimentada</v>
      </c>
      <c r="J214" s="626">
        <f>DMT!H10</f>
        <v>27.8</v>
      </c>
      <c r="K214" s="576"/>
      <c r="L214" s="40" t="str">
        <f>IFERROR(VLOOKUP(G214,SINAPI!A:D,3,0),"")</f>
        <v>tkm</v>
      </c>
      <c r="M214" s="40">
        <f>VLOOKUP(D214,MEMORIA!B:F,$A$3+3)</f>
        <v>10051.16</v>
      </c>
      <c r="N214" s="40">
        <f>IFERROR(VLOOKUP(G214,SINAPI!A:D,4,0),"")</f>
        <v>0.84</v>
      </c>
      <c r="O214" s="1571">
        <f t="shared" si="147"/>
        <v>0.24379999999999999</v>
      </c>
      <c r="P214" s="41">
        <f t="shared" si="148"/>
        <v>1.04</v>
      </c>
      <c r="Q214" s="580">
        <f t="shared" si="149"/>
        <v>10453.209999999999</v>
      </c>
      <c r="R214" s="1444">
        <f t="shared" si="145"/>
        <v>10453.209999999999</v>
      </c>
      <c r="S214" s="605">
        <f>SUM(Q213:Q214)/M213</f>
        <v>282.49</v>
      </c>
      <c r="U214" s="839"/>
      <c r="V214" s="839"/>
    </row>
    <row r="215" spans="1:22" ht="15" customHeight="1" outlineLevel="1" x14ac:dyDescent="0.25">
      <c r="A215" s="576">
        <f t="shared" ca="1" si="150"/>
        <v>4</v>
      </c>
      <c r="B215" s="576">
        <f>IF(M215=0,0,MAX($B$212:B214)+1)</f>
        <v>4</v>
      </c>
      <c r="C215" s="36">
        <f t="shared" si="151"/>
        <v>1</v>
      </c>
      <c r="D215" s="515">
        <f t="shared" si="152"/>
        <v>181</v>
      </c>
      <c r="E215" s="35" t="str">
        <f t="shared" ca="1" si="153"/>
        <v>4.1.4</v>
      </c>
      <c r="F215" s="576" t="s">
        <v>2639</v>
      </c>
      <c r="G215" s="576">
        <v>4011276</v>
      </c>
      <c r="H215" s="224" t="str">
        <f t="shared" si="146"/>
        <v>Base ou sub-base de brita graduada com brita comercial</v>
      </c>
      <c r="I215" s="37" t="str">
        <f>IFERROR(VLOOKUP(G215,SINAPI!A:D,2,0),"")</f>
        <v>Base ou sub-base de brita graduada com brita comercial</v>
      </c>
      <c r="J215" s="626" t="s">
        <v>5</v>
      </c>
      <c r="K215" s="326"/>
      <c r="L215" s="40" t="str">
        <f>IFERROR(VLOOKUP(G215,SINAPI!A:D,3,0),"")</f>
        <v>m³</v>
      </c>
      <c r="M215" s="40">
        <f>VLOOKUP(D215,MEMORIA!B:F,$A$3+3)</f>
        <v>154.38999999999999</v>
      </c>
      <c r="N215" s="40">
        <f>IFERROR(VLOOKUP(G215,SINAPI!A:D,4,0),"")</f>
        <v>204.16</v>
      </c>
      <c r="O215" s="1571">
        <f t="shared" si="147"/>
        <v>0.24379999999999999</v>
      </c>
      <c r="P215" s="41">
        <f t="shared" si="148"/>
        <v>253.93</v>
      </c>
      <c r="Q215" s="580">
        <f t="shared" si="149"/>
        <v>39204.25</v>
      </c>
      <c r="R215" s="1444">
        <f t="shared" si="145"/>
        <v>39204.25</v>
      </c>
      <c r="U215" s="839"/>
      <c r="V215" s="839"/>
    </row>
    <row r="216" spans="1:22" ht="15" customHeight="1" outlineLevel="1" x14ac:dyDescent="0.25">
      <c r="A216" s="576">
        <f t="shared" ca="1" si="150"/>
        <v>4</v>
      </c>
      <c r="B216" s="576">
        <f>IF(M216=0,0,MAX($B$212:B215)+1)</f>
        <v>5</v>
      </c>
      <c r="C216" s="36">
        <f t="shared" si="151"/>
        <v>1</v>
      </c>
      <c r="D216" s="515">
        <f t="shared" si="152"/>
        <v>182</v>
      </c>
      <c r="E216" s="35" t="str">
        <f t="shared" ca="1" si="153"/>
        <v>4.1.5</v>
      </c>
      <c r="F216" s="576" t="s">
        <v>2639</v>
      </c>
      <c r="G216" s="36">
        <v>5914389</v>
      </c>
      <c r="H216" s="224" t="str">
        <f t="shared" si="146"/>
        <v>Transporte com caminhão basculante de 10 m³ - rodovia pavimentada</v>
      </c>
      <c r="I216" s="577" t="str">
        <f>IFERROR(VLOOKUP(G216,SINAPI!A:D,2,0),"")</f>
        <v>Transporte com caminhão basculante de 10 m³ - rodovia pavimentada</v>
      </c>
      <c r="J216" s="626">
        <f>DMT!$H$10</f>
        <v>27.8</v>
      </c>
      <c r="K216" s="326"/>
      <c r="L216" s="40" t="str">
        <f>IFERROR(VLOOKUP(G216,SINAPI!A:D,3,0),"")</f>
        <v>tkm</v>
      </c>
      <c r="M216" s="40">
        <f>VLOOKUP(D216,MEMORIA!B:F,$A$3+3)</f>
        <v>9657.09</v>
      </c>
      <c r="N216" s="40">
        <f>IFERROR(VLOOKUP(G216,SINAPI!A:D,4,0),"")</f>
        <v>0.84</v>
      </c>
      <c r="O216" s="1571">
        <f t="shared" si="147"/>
        <v>0.24379999999999999</v>
      </c>
      <c r="P216" s="41">
        <f t="shared" si="148"/>
        <v>1.04</v>
      </c>
      <c r="Q216" s="580">
        <f t="shared" si="149"/>
        <v>10043.370000000001</v>
      </c>
      <c r="R216" s="1444">
        <f t="shared" si="145"/>
        <v>10043.370000000001</v>
      </c>
      <c r="S216" s="605">
        <f>SUM(Q215:Q216)/M215</f>
        <v>318.98</v>
      </c>
      <c r="U216" s="839"/>
      <c r="V216" s="839"/>
    </row>
    <row r="217" spans="1:22" ht="15" customHeight="1" outlineLevel="1" x14ac:dyDescent="0.25">
      <c r="A217" s="576">
        <f t="shared" ca="1" si="150"/>
        <v>4</v>
      </c>
      <c r="B217" s="576">
        <f>IF(M217=0,0,MAX($B$212:B216)+1)</f>
        <v>6</v>
      </c>
      <c r="C217" s="36">
        <f t="shared" si="151"/>
        <v>1</v>
      </c>
      <c r="D217" s="515">
        <f t="shared" si="152"/>
        <v>183</v>
      </c>
      <c r="E217" s="35" t="str">
        <f t="shared" ca="1" si="153"/>
        <v>4.1.6</v>
      </c>
      <c r="F217" s="1567" t="s">
        <v>2639</v>
      </c>
      <c r="G217" s="1567">
        <v>4011352</v>
      </c>
      <c r="H217" s="224" t="str">
        <f t="shared" si="146"/>
        <v>Imprimação com emulsão asfáltica</v>
      </c>
      <c r="I217" s="577" t="str">
        <f>IFERROR(VLOOKUP(G217,SINAPI!A:D,2,0),"")</f>
        <v>Imprimação com emulsão asfáltica</v>
      </c>
      <c r="J217" s="626"/>
      <c r="K217" s="326"/>
      <c r="L217" s="40" t="str">
        <f>IFERROR(VLOOKUP(G217,SINAPI!A:D,3,0),"")</f>
        <v>m²</v>
      </c>
      <c r="M217" s="40">
        <f>VLOOKUP(D217,MEMORIA!B:F,$A$3+3)</f>
        <v>992.85</v>
      </c>
      <c r="N217" s="40">
        <f>IFERROR(VLOOKUP(G217,SINAPI!A:D,4,0),"")</f>
        <v>0.43</v>
      </c>
      <c r="O217" s="1571">
        <f t="shared" si="147"/>
        <v>0.24379999999999999</v>
      </c>
      <c r="P217" s="41">
        <f t="shared" si="148"/>
        <v>0.53</v>
      </c>
      <c r="Q217" s="580">
        <f t="shared" si="149"/>
        <v>526.21</v>
      </c>
      <c r="R217" s="1444">
        <f t="shared" si="145"/>
        <v>526.21</v>
      </c>
      <c r="U217" s="839"/>
      <c r="V217" s="839"/>
    </row>
    <row r="218" spans="1:22" s="1085" customFormat="1" ht="12" customHeight="1" outlineLevel="1" x14ac:dyDescent="0.25">
      <c r="A218" s="576">
        <f t="shared" ca="1" si="150"/>
        <v>4</v>
      </c>
      <c r="B218" s="576">
        <f>IF(M218=0,0,MAX($B$212:B217)+1)</f>
        <v>7</v>
      </c>
      <c r="C218" s="36">
        <f t="shared" ref="C218:C225" si="154">IF(B218=0,0,1)</f>
        <v>1</v>
      </c>
      <c r="D218" s="515">
        <f t="shared" si="152"/>
        <v>184</v>
      </c>
      <c r="E218" s="35" t="str">
        <f t="shared" ca="1" si="153"/>
        <v>4.1.7</v>
      </c>
      <c r="F218" s="1567" t="s">
        <v>3188</v>
      </c>
      <c r="G218" s="1567" t="s">
        <v>3176</v>
      </c>
      <c r="H218" s="224" t="str">
        <f t="shared" si="146"/>
        <v>Emulsão asfáltica para serviço de imprimação</v>
      </c>
      <c r="I218" s="577" t="str">
        <f>IFERROR(VLOOKUP(G218,SINAPI!A:D,2,0),"")</f>
        <v>Emulsão asfáltica para serviço de imprimação</v>
      </c>
      <c r="J218" s="637"/>
      <c r="K218" s="985"/>
      <c r="L218" s="40" t="str">
        <f>IFERROR(VLOOKUP(G218,SINAPI!A:D,3,0),"")</f>
        <v>t</v>
      </c>
      <c r="M218" s="40">
        <f>VLOOKUP(D218,MEMORIA!B:F,$A$3+3)</f>
        <v>1.19</v>
      </c>
      <c r="N218" s="40">
        <f>IFERROR(VLOOKUP(G218,SINAPI!A:D,4,0),"")</f>
        <v>3625.95</v>
      </c>
      <c r="O218" s="1571">
        <f t="shared" ref="O218:O219" si="155">$N$9</f>
        <v>0.17</v>
      </c>
      <c r="P218" s="41">
        <f t="shared" si="148"/>
        <v>4242.3599999999997</v>
      </c>
      <c r="Q218" s="580">
        <f t="shared" si="149"/>
        <v>5048.41</v>
      </c>
      <c r="R218" s="1444">
        <f t="shared" si="145"/>
        <v>5048.41</v>
      </c>
      <c r="S218" s="1084"/>
      <c r="T218" s="1084"/>
      <c r="U218" s="1083"/>
      <c r="V218" s="1083"/>
    </row>
    <row r="219" spans="1:22" s="1085" customFormat="1" ht="12" customHeight="1" outlineLevel="1" x14ac:dyDescent="0.25">
      <c r="A219" s="576">
        <f t="shared" ca="1" si="150"/>
        <v>4</v>
      </c>
      <c r="B219" s="576">
        <f>IF(M219=0,0,MAX($B$212:B218)+1)</f>
        <v>8</v>
      </c>
      <c r="C219" s="36">
        <f t="shared" si="154"/>
        <v>1</v>
      </c>
      <c r="D219" s="515">
        <f t="shared" si="152"/>
        <v>185</v>
      </c>
      <c r="E219" s="35" t="str">
        <f t="shared" ca="1" si="153"/>
        <v>4.1.8</v>
      </c>
      <c r="F219" s="1567" t="s">
        <v>6483</v>
      </c>
      <c r="G219" s="1567" t="s">
        <v>13702</v>
      </c>
      <c r="H219" s="224" t="str">
        <f t="shared" si="146"/>
        <v>Transporte de Emulsão asfáltica para serviço de imprimação</v>
      </c>
      <c r="I219" s="577" t="str">
        <f>IFERROR(VLOOKUP(G219,SINAPI!A:D,2,0),"")</f>
        <v>Transporte de Emulsão asfáltica para serviço de imprimação</v>
      </c>
      <c r="J219" s="637"/>
      <c r="K219" s="985"/>
      <c r="L219" s="40" t="str">
        <f>IFERROR(VLOOKUP(G219,SINAPI!A:D,3,0),"")</f>
        <v>t</v>
      </c>
      <c r="M219" s="40">
        <f>VLOOKUP(D219,MEMORIA!B:F,$A$3+3)</f>
        <v>1.19</v>
      </c>
      <c r="N219" s="40">
        <f>IFERROR(VLOOKUP(G219,SINAPI!A:D,4,0),"")</f>
        <v>291.75</v>
      </c>
      <c r="O219" s="1571">
        <f t="shared" si="155"/>
        <v>0.17</v>
      </c>
      <c r="P219" s="41">
        <f t="shared" si="148"/>
        <v>341.35</v>
      </c>
      <c r="Q219" s="580">
        <f t="shared" si="149"/>
        <v>406.21</v>
      </c>
      <c r="R219" s="1444">
        <f t="shared" si="145"/>
        <v>406.21</v>
      </c>
      <c r="S219" s="1084"/>
      <c r="T219" s="1084"/>
      <c r="U219" s="1083"/>
      <c r="V219" s="1083"/>
    </row>
    <row r="220" spans="1:22" ht="15" customHeight="1" outlineLevel="1" x14ac:dyDescent="0.25">
      <c r="A220" s="576">
        <f t="shared" ca="1" si="150"/>
        <v>4</v>
      </c>
      <c r="B220" s="576">
        <f>IF(M220=0,0,MAX($B$212:B219)+1)</f>
        <v>9</v>
      </c>
      <c r="C220" s="36">
        <f t="shared" si="154"/>
        <v>1</v>
      </c>
      <c r="D220" s="515">
        <f t="shared" si="152"/>
        <v>186</v>
      </c>
      <c r="E220" s="35" t="str">
        <f t="shared" ca="1" si="153"/>
        <v>4.1.9</v>
      </c>
      <c r="F220" s="1567" t="s">
        <v>2639</v>
      </c>
      <c r="G220" s="1567">
        <v>4011353</v>
      </c>
      <c r="H220" s="224" t="str">
        <f t="shared" si="146"/>
        <v>Pintura de ligação</v>
      </c>
      <c r="I220" s="577" t="str">
        <f>IFERROR(VLOOKUP(G220,SINAPI!A:D,2,0),"")</f>
        <v>Pintura de ligação</v>
      </c>
      <c r="J220" s="626" t="s">
        <v>5</v>
      </c>
      <c r="K220" s="326"/>
      <c r="L220" s="40" t="str">
        <f>IFERROR(VLOOKUP(G220,SINAPI!A:D,3,0),"")</f>
        <v>m²</v>
      </c>
      <c r="M220" s="40">
        <f>VLOOKUP(D220,MEMORIA!B:F,$A$3+3)</f>
        <v>992.85</v>
      </c>
      <c r="N220" s="40">
        <f>IFERROR(VLOOKUP(G220,SINAPI!A:D,4,0),"")</f>
        <v>0.3</v>
      </c>
      <c r="O220" s="1571">
        <f t="shared" si="147"/>
        <v>0.24379999999999999</v>
      </c>
      <c r="P220" s="41">
        <f t="shared" si="148"/>
        <v>0.37</v>
      </c>
      <c r="Q220" s="580">
        <f t="shared" si="149"/>
        <v>367.35</v>
      </c>
      <c r="R220" s="1444">
        <f t="shared" si="145"/>
        <v>367.35</v>
      </c>
      <c r="U220" s="839"/>
      <c r="V220" s="839"/>
    </row>
    <row r="221" spans="1:22" s="1085" customFormat="1" ht="12" customHeight="1" outlineLevel="1" x14ac:dyDescent="0.25">
      <c r="A221" s="576">
        <f t="shared" ca="1" si="150"/>
        <v>4</v>
      </c>
      <c r="B221" s="576">
        <f>IF(M221=0,0,MAX($B$212:B220)+1)</f>
        <v>10</v>
      </c>
      <c r="C221" s="36">
        <f t="shared" si="154"/>
        <v>1</v>
      </c>
      <c r="D221" s="515">
        <f t="shared" si="152"/>
        <v>187</v>
      </c>
      <c r="E221" s="35" t="str">
        <f t="shared" ca="1" si="153"/>
        <v>4.1.10</v>
      </c>
      <c r="F221" s="1567" t="s">
        <v>3188</v>
      </c>
      <c r="G221" s="1567" t="s">
        <v>6481</v>
      </c>
      <c r="H221" s="224" t="str">
        <f t="shared" si="146"/>
        <v>Emulsões asfálticas RR-1C</v>
      </c>
      <c r="I221" s="577" t="str">
        <f>IFERROR(VLOOKUP(G221,SINAPI!A:D,2,0),"")</f>
        <v>Emulsões asfálticas RR-1C</v>
      </c>
      <c r="J221" s="637"/>
      <c r="K221" s="985"/>
      <c r="L221" s="40" t="str">
        <f>IFERROR(VLOOKUP(G221,SINAPI!A:D,3,0),"")</f>
        <v>t</v>
      </c>
      <c r="M221" s="40">
        <f>VLOOKUP(D221,MEMORIA!B:F,$A$3+3)</f>
        <v>0.5</v>
      </c>
      <c r="N221" s="40">
        <f>IFERROR(VLOOKUP(G221,SINAPI!A:D,4,0),"")</f>
        <v>3291.71</v>
      </c>
      <c r="O221" s="1571">
        <f t="shared" ref="O221:O222" si="156">$N$9</f>
        <v>0.17</v>
      </c>
      <c r="P221" s="41">
        <f t="shared" si="148"/>
        <v>3851.3</v>
      </c>
      <c r="Q221" s="580">
        <f t="shared" si="149"/>
        <v>1925.65</v>
      </c>
      <c r="R221" s="1444">
        <f t="shared" si="145"/>
        <v>1925.65</v>
      </c>
      <c r="S221" s="1084"/>
      <c r="T221" s="1084"/>
      <c r="U221" s="1083"/>
      <c r="V221" s="1083"/>
    </row>
    <row r="222" spans="1:22" s="1085" customFormat="1" ht="12" customHeight="1" outlineLevel="1" x14ac:dyDescent="0.25">
      <c r="A222" s="576">
        <f t="shared" ca="1" si="150"/>
        <v>4</v>
      </c>
      <c r="B222" s="576">
        <f>IF(M222=0,0,MAX($B$212:B221)+1)</f>
        <v>11</v>
      </c>
      <c r="C222" s="36">
        <f t="shared" si="154"/>
        <v>1</v>
      </c>
      <c r="D222" s="515">
        <f t="shared" si="152"/>
        <v>188</v>
      </c>
      <c r="E222" s="35" t="str">
        <f t="shared" ca="1" si="153"/>
        <v>4.1.11</v>
      </c>
      <c r="F222" s="1567" t="s">
        <v>6483</v>
      </c>
      <c r="G222" s="1567" t="s">
        <v>13710</v>
      </c>
      <c r="H222" s="224" t="str">
        <f t="shared" si="146"/>
        <v>Transporte de Emulsões asfálticas RR-1C</v>
      </c>
      <c r="I222" s="577" t="str">
        <f>IFERROR(VLOOKUP(G222,SINAPI!A:D,2,0),"")</f>
        <v>Transporte de Emulsões asfálticas RR-1C</v>
      </c>
      <c r="J222" s="637"/>
      <c r="K222" s="985"/>
      <c r="L222" s="40" t="str">
        <f>IFERROR(VLOOKUP(G222,SINAPI!A:D,3,0),"")</f>
        <v>t</v>
      </c>
      <c r="M222" s="40">
        <f>VLOOKUP(D222,MEMORIA!B:F,$A$3+3)</f>
        <v>0.5</v>
      </c>
      <c r="N222" s="40">
        <f>IFERROR(VLOOKUP(G222,SINAPI!A:D,4,0),"")</f>
        <v>291.75</v>
      </c>
      <c r="O222" s="1571">
        <f t="shared" si="156"/>
        <v>0.17</v>
      </c>
      <c r="P222" s="41">
        <f t="shared" si="148"/>
        <v>341.35</v>
      </c>
      <c r="Q222" s="580">
        <f t="shared" si="149"/>
        <v>170.68</v>
      </c>
      <c r="R222" s="1444">
        <f t="shared" si="145"/>
        <v>170.68</v>
      </c>
      <c r="S222" s="1084"/>
      <c r="T222" s="1084"/>
      <c r="U222" s="1083"/>
      <c r="V222" s="1083"/>
    </row>
    <row r="223" spans="1:22" ht="15" customHeight="1" outlineLevel="1" x14ac:dyDescent="0.25">
      <c r="A223" s="576">
        <f t="shared" ca="1" si="150"/>
        <v>4</v>
      </c>
      <c r="B223" s="576">
        <f>IF(M223=0,0,MAX($B$212:B222)+1)</f>
        <v>12</v>
      </c>
      <c r="C223" s="36">
        <f t="shared" si="154"/>
        <v>1</v>
      </c>
      <c r="D223" s="515">
        <f t="shared" si="152"/>
        <v>189</v>
      </c>
      <c r="E223" s="35" t="str">
        <f t="shared" ca="1" si="153"/>
        <v>4.1.12</v>
      </c>
      <c r="F223" s="1552" t="s">
        <v>2639</v>
      </c>
      <c r="G223" s="1567">
        <v>4011459</v>
      </c>
      <c r="H223" s="224" t="str">
        <f t="shared" si="146"/>
        <v>Concreto asfáltico - faixa B - areia e brita comerciais</v>
      </c>
      <c r="I223" s="577" t="str">
        <f>IFERROR(VLOOKUP(G223,SINAPI!A:D,2,0),"")</f>
        <v>Concreto asfáltico - faixa B - areia e brita comerciais</v>
      </c>
      <c r="J223" s="626"/>
      <c r="K223" s="326"/>
      <c r="L223" s="40" t="str">
        <f>IFERROR(VLOOKUP(G223,SINAPI!A:D,3,0),"")</f>
        <v>t</v>
      </c>
      <c r="M223" s="40">
        <f>VLOOKUP(D223,MEMORIA!B:F,$A$3+3)</f>
        <v>124.11</v>
      </c>
      <c r="N223" s="40">
        <f>IFERROR(VLOOKUP(G223,SINAPI!A:D,4,0),"")</f>
        <v>200.9</v>
      </c>
      <c r="O223" s="1571">
        <f t="shared" si="147"/>
        <v>0.24379999999999999</v>
      </c>
      <c r="P223" s="41">
        <f t="shared" si="148"/>
        <v>249.88</v>
      </c>
      <c r="Q223" s="580">
        <f t="shared" si="149"/>
        <v>31012.61</v>
      </c>
      <c r="R223" s="1444">
        <f t="shared" si="145"/>
        <v>31012.61</v>
      </c>
      <c r="U223" s="839"/>
      <c r="V223" s="839"/>
    </row>
    <row r="224" spans="1:22" ht="15" customHeight="1" outlineLevel="1" x14ac:dyDescent="0.25">
      <c r="A224" s="576">
        <f t="shared" ca="1" si="150"/>
        <v>4</v>
      </c>
      <c r="B224" s="576">
        <f>IF(M224=0,0,MAX($B$212:B223)+1)</f>
        <v>13</v>
      </c>
      <c r="C224" s="36">
        <f t="shared" si="154"/>
        <v>1</v>
      </c>
      <c r="D224" s="515">
        <f t="shared" si="152"/>
        <v>190</v>
      </c>
      <c r="E224" s="35" t="str">
        <f t="shared" ca="1" si="153"/>
        <v>4.1.13</v>
      </c>
      <c r="F224" s="1567" t="s">
        <v>2639</v>
      </c>
      <c r="G224" s="1567">
        <v>5914389</v>
      </c>
      <c r="H224" s="224" t="str">
        <f t="shared" si="146"/>
        <v>Transporte com caminhão basculante de 10 m³ - rodovia pavimentada</v>
      </c>
      <c r="I224" s="577" t="str">
        <f>IFERROR(VLOOKUP(G224,SINAPI!A:D,2,0),"")</f>
        <v>Transporte com caminhão basculante de 10 m³ - rodovia pavimentada</v>
      </c>
      <c r="J224" s="626">
        <f>DMT!$G$10</f>
        <v>25.9</v>
      </c>
      <c r="K224" s="326"/>
      <c r="L224" s="40" t="str">
        <f>IFERROR(VLOOKUP(G224,SINAPI!A:D,3,0),"")</f>
        <v>tkm</v>
      </c>
      <c r="M224" s="40">
        <f>VLOOKUP(D224,MEMORIA!B:F,$A$3+3)</f>
        <v>3214.45</v>
      </c>
      <c r="N224" s="40">
        <f>IFERROR(VLOOKUP(G224,SINAPI!A:D,4,0),"")</f>
        <v>0.84</v>
      </c>
      <c r="O224" s="1571">
        <f t="shared" si="147"/>
        <v>0.24379999999999999</v>
      </c>
      <c r="P224" s="41">
        <f t="shared" si="148"/>
        <v>1.04</v>
      </c>
      <c r="Q224" s="580">
        <f t="shared" si="149"/>
        <v>3343.03</v>
      </c>
      <c r="R224" s="1444">
        <f t="shared" si="145"/>
        <v>3343.03</v>
      </c>
      <c r="U224" s="839"/>
      <c r="V224" s="839"/>
    </row>
    <row r="225" spans="1:22" ht="15" customHeight="1" outlineLevel="1" x14ac:dyDescent="0.25">
      <c r="A225" s="576">
        <f t="shared" ca="1" si="150"/>
        <v>4</v>
      </c>
      <c r="B225" s="576">
        <f>IF(M225=0,0,MAX($B$212:B224)+1)</f>
        <v>14</v>
      </c>
      <c r="C225" s="36">
        <f t="shared" si="154"/>
        <v>1</v>
      </c>
      <c r="D225" s="515">
        <f t="shared" si="152"/>
        <v>191</v>
      </c>
      <c r="E225" s="35" t="str">
        <f t="shared" ca="1" si="153"/>
        <v>4.1.14</v>
      </c>
      <c r="F225" s="1567" t="s">
        <v>3188</v>
      </c>
      <c r="G225" s="1567" t="s">
        <v>6039</v>
      </c>
      <c r="H225" s="224" t="str">
        <f t="shared" si="146"/>
        <v>Cimentos asfálticos CAP-50-70</v>
      </c>
      <c r="I225" s="577" t="str">
        <f>IFERROR(VLOOKUP(G225,SINAPI!A:D,2,0),"")</f>
        <v>Cimentos asfálticos CAP-50-70</v>
      </c>
      <c r="J225" s="626"/>
      <c r="K225" s="326"/>
      <c r="L225" s="40" t="str">
        <f>IFERROR(VLOOKUP(G225,SINAPI!A:D,3,0),"")</f>
        <v>t</v>
      </c>
      <c r="M225" s="40">
        <f>VLOOKUP(D225,MEMORIA!B:F,$A$3+3)</f>
        <v>7.45</v>
      </c>
      <c r="N225" s="40">
        <f>IFERROR(VLOOKUP(G225,SINAPI!A:D,4,0),"")</f>
        <v>4568.07</v>
      </c>
      <c r="O225" s="1571">
        <f t="shared" ref="O225:O226" si="157">$N$9</f>
        <v>0.17</v>
      </c>
      <c r="P225" s="41">
        <f t="shared" si="148"/>
        <v>5344.64</v>
      </c>
      <c r="Q225" s="580">
        <f t="shared" si="149"/>
        <v>39817.57</v>
      </c>
      <c r="R225" s="1444">
        <f t="shared" si="145"/>
        <v>39817.57</v>
      </c>
      <c r="U225" s="839"/>
      <c r="V225" s="839"/>
    </row>
    <row r="226" spans="1:22" ht="15" customHeight="1" outlineLevel="1" x14ac:dyDescent="0.25">
      <c r="A226" s="576">
        <f t="shared" ca="1" si="150"/>
        <v>4</v>
      </c>
      <c r="B226" s="576">
        <f>IF(M226=0,0,MAX($B$212:B225)+1)</f>
        <v>15</v>
      </c>
      <c r="C226" s="36">
        <f t="shared" si="151"/>
        <v>1</v>
      </c>
      <c r="D226" s="515">
        <f t="shared" si="152"/>
        <v>192</v>
      </c>
      <c r="E226" s="35" t="str">
        <f t="shared" ca="1" si="153"/>
        <v>4.1.15</v>
      </c>
      <c r="F226" s="1567" t="s">
        <v>6483</v>
      </c>
      <c r="G226" s="1567" t="s">
        <v>13700</v>
      </c>
      <c r="H226" s="224" t="str">
        <f t="shared" si="146"/>
        <v>Transporte de Cimentos asfálticos CAP-50-70</v>
      </c>
      <c r="I226" s="577" t="str">
        <f>IFERROR(VLOOKUP(G226,SINAPI!A:D,2,0),"")</f>
        <v>Transporte de Cimentos asfálticos CAP-50-70</v>
      </c>
      <c r="J226" s="626">
        <f>DMT!$K$10</f>
        <v>374.8</v>
      </c>
      <c r="K226" s="326"/>
      <c r="L226" s="40" t="str">
        <f>IFERROR(VLOOKUP(G226,SINAPI!A:D,3,0),"")</f>
        <v>t</v>
      </c>
      <c r="M226" s="40">
        <f>M225</f>
        <v>7.45</v>
      </c>
      <c r="N226" s="40">
        <f>IFERROR(VLOOKUP(G226,SINAPI!A:D,4,0),"")</f>
        <v>291.75</v>
      </c>
      <c r="O226" s="1571">
        <f t="shared" si="157"/>
        <v>0.17</v>
      </c>
      <c r="P226" s="41">
        <f t="shared" si="148"/>
        <v>341.35</v>
      </c>
      <c r="Q226" s="580">
        <f t="shared" si="149"/>
        <v>2543.06</v>
      </c>
      <c r="R226" s="1444">
        <f t="shared" si="145"/>
        <v>2543.06</v>
      </c>
      <c r="S226" s="605">
        <f>SUM(Q223:Q226)/M223</f>
        <v>618.13</v>
      </c>
      <c r="U226" s="839"/>
      <c r="V226" s="839"/>
    </row>
    <row r="227" spans="1:22" ht="15" customHeight="1" outlineLevel="1" x14ac:dyDescent="0.25">
      <c r="A227" s="733"/>
      <c r="B227" s="733"/>
      <c r="C227" s="733">
        <f>C211</f>
        <v>1</v>
      </c>
      <c r="E227" s="739" t="s">
        <v>3890</v>
      </c>
      <c r="F227" s="740"/>
      <c r="G227" s="740"/>
      <c r="H227" s="740"/>
      <c r="I227" s="740"/>
      <c r="J227" s="740"/>
      <c r="K227" s="740"/>
      <c r="L227" s="740"/>
      <c r="M227" s="740"/>
      <c r="N227" s="741"/>
      <c r="O227" s="741"/>
      <c r="P227" s="438"/>
      <c r="Q227" s="742">
        <f>SUM(Q212:Q226)</f>
        <v>181351.05</v>
      </c>
      <c r="R227" s="1444"/>
      <c r="U227" s="839"/>
      <c r="V227" s="839"/>
    </row>
    <row r="228" spans="1:22" s="2" customFormat="1" ht="15" hidden="1" customHeight="1" outlineLevel="1" x14ac:dyDescent="0.25">
      <c r="A228" s="216">
        <f ca="1">A211</f>
        <v>4</v>
      </c>
      <c r="B228" s="617">
        <f>IF(C228=1,B211+1,B211)</f>
        <v>1</v>
      </c>
      <c r="C228" s="216">
        <f>IF(SUBTOTAL(9,C229:C243)&gt;0,1,0)</f>
        <v>0</v>
      </c>
      <c r="D228" s="417"/>
      <c r="E228" s="618" t="str">
        <f ca="1">CONCATENATE(A228,".",B228)</f>
        <v>4.1</v>
      </c>
      <c r="F228" s="734"/>
      <c r="G228" s="734" t="s">
        <v>3891</v>
      </c>
      <c r="H228" s="734"/>
      <c r="I228" s="215"/>
      <c r="J228" s="735"/>
      <c r="K228" s="736"/>
      <c r="L228" s="216"/>
      <c r="M228" s="737"/>
      <c r="N228" s="737"/>
      <c r="O228" s="1570"/>
      <c r="P228" s="737"/>
      <c r="Q228" s="738"/>
      <c r="R228" s="1444">
        <f t="shared" si="145"/>
        <v>0</v>
      </c>
      <c r="S228" s="315"/>
      <c r="T228" s="315"/>
      <c r="U228" s="668"/>
      <c r="V228" s="668"/>
    </row>
    <row r="229" spans="1:22" s="2" customFormat="1" ht="15" hidden="1" customHeight="1" outlineLevel="1" x14ac:dyDescent="0.25">
      <c r="A229" s="36">
        <f ca="1">A209</f>
        <v>4</v>
      </c>
      <c r="B229" s="576">
        <f>IF(M229=0,0,MAX($B$191:B191)+1)</f>
        <v>0</v>
      </c>
      <c r="C229" s="36">
        <f t="shared" ref="C229:C243" si="158">IF(B229=0,0,1)</f>
        <v>0</v>
      </c>
      <c r="D229" s="515">
        <f>D226+1</f>
        <v>193</v>
      </c>
      <c r="E229" s="35" t="str">
        <f ca="1">CONCATENATE(A229,".",$B$228,".",B229)</f>
        <v>4.1.0</v>
      </c>
      <c r="F229" s="576" t="s">
        <v>2639</v>
      </c>
      <c r="G229" s="576">
        <v>3806402</v>
      </c>
      <c r="H229" s="224" t="str">
        <f t="shared" ref="H229:H243" si="159">I229</f>
        <v>Limpeza em superfície de concreto com jateamento d'água sob pressão</v>
      </c>
      <c r="I229" s="577" t="str">
        <f>IFERROR(VLOOKUP(G229,SINAPI!A:D,2,0),"")</f>
        <v>Limpeza em superfície de concreto com jateamento d'água sob pressão</v>
      </c>
      <c r="J229" s="38"/>
      <c r="K229" s="39"/>
      <c r="L229" s="41" t="str">
        <f>IFERROR(VLOOKUP(G229,SINAPI!A:D,3,0),"")</f>
        <v>m²</v>
      </c>
      <c r="M229" s="41">
        <f>VLOOKUP(D229,MEMORIA!B:F,$A$3+3)</f>
        <v>0</v>
      </c>
      <c r="N229" s="41">
        <f>IFERROR(VLOOKUP(G229,SINAPI!A:D,4,0),"")</f>
        <v>2.2599999999999998</v>
      </c>
      <c r="O229" s="1571">
        <f t="shared" ref="O229:O241" si="160">$N$7</f>
        <v>0.24379999999999999</v>
      </c>
      <c r="P229" s="41">
        <f t="shared" ref="P229:P243" si="161">IF(N229="","",(ROUND(N229*(1+O229),2)))</f>
        <v>2.81</v>
      </c>
      <c r="Q229" s="42">
        <f t="shared" ref="Q229:Q236" si="162">IF(M229="","",ROUND(M229*P229,2))</f>
        <v>0</v>
      </c>
      <c r="R229" s="1444">
        <f t="shared" si="145"/>
        <v>0</v>
      </c>
      <c r="S229" s="315"/>
      <c r="T229" s="315"/>
      <c r="U229" s="668"/>
      <c r="V229" s="668"/>
    </row>
    <row r="230" spans="1:22" s="2" customFormat="1" ht="15" hidden="1" customHeight="1" outlineLevel="1" x14ac:dyDescent="0.25">
      <c r="A230" s="36">
        <f t="shared" ref="A230:A243" ca="1" si="163">A229</f>
        <v>4</v>
      </c>
      <c r="B230" s="576">
        <f>IF(M230=0,0,MAX($B$229:B229)+1)</f>
        <v>0</v>
      </c>
      <c r="C230" s="36">
        <f t="shared" ref="C230" si="164">IF(B230=0,0,1)</f>
        <v>0</v>
      </c>
      <c r="D230" s="515">
        <f t="shared" ref="D230:D243" si="165">D229+1</f>
        <v>194</v>
      </c>
      <c r="E230" s="35" t="str">
        <f t="shared" ref="E230:E243" ca="1" si="166">CONCATENATE(A230,".",$B$228,".",B230)</f>
        <v>4.1.0</v>
      </c>
      <c r="F230" s="1567" t="s">
        <v>2639</v>
      </c>
      <c r="G230" s="1567">
        <v>4011353</v>
      </c>
      <c r="H230" s="224" t="str">
        <f t="shared" si="159"/>
        <v>Pintura de ligação</v>
      </c>
      <c r="I230" s="577" t="str">
        <f>IFERROR(VLOOKUP(G230,SINAPI!A:D,2,0),"")</f>
        <v>Pintura de ligação</v>
      </c>
      <c r="J230" s="45" t="s">
        <v>5</v>
      </c>
      <c r="K230" s="46"/>
      <c r="L230" s="41" t="str">
        <f>IFERROR(VLOOKUP(G230,SINAPI!A:D,3,0),"")</f>
        <v>m²</v>
      </c>
      <c r="M230" s="41">
        <f>VLOOKUP(D230,MEMORIA!B:F,$A$3+3)</f>
        <v>0</v>
      </c>
      <c r="N230" s="41">
        <f>IFERROR(VLOOKUP(G230,SINAPI!A:D,4,0),"")</f>
        <v>0.3</v>
      </c>
      <c r="O230" s="1571">
        <f t="shared" si="160"/>
        <v>0.24379999999999999</v>
      </c>
      <c r="P230" s="41">
        <f t="shared" si="161"/>
        <v>0.37</v>
      </c>
      <c r="Q230" s="42">
        <f t="shared" si="162"/>
        <v>0</v>
      </c>
      <c r="R230" s="1444">
        <f t="shared" si="145"/>
        <v>0</v>
      </c>
      <c r="S230" s="315"/>
      <c r="T230" s="315"/>
      <c r="U230" s="668"/>
      <c r="V230" s="668"/>
    </row>
    <row r="231" spans="1:22" s="1085" customFormat="1" ht="12" hidden="1" customHeight="1" outlineLevel="1" x14ac:dyDescent="0.25">
      <c r="A231" s="36">
        <f t="shared" ca="1" si="163"/>
        <v>4</v>
      </c>
      <c r="B231" s="576">
        <f>IF(M231=0,0,MAX($B$229:B230)+1)</f>
        <v>0</v>
      </c>
      <c r="C231" s="36">
        <f t="shared" ref="C231:C241" si="167">IF(B231=0,0,1)</f>
        <v>0</v>
      </c>
      <c r="D231" s="515">
        <f t="shared" si="165"/>
        <v>195</v>
      </c>
      <c r="E231" s="35" t="str">
        <f t="shared" ca="1" si="166"/>
        <v>4.1.0</v>
      </c>
      <c r="F231" s="1567" t="s">
        <v>3188</v>
      </c>
      <c r="G231" s="1567" t="s">
        <v>6481</v>
      </c>
      <c r="H231" s="224" t="str">
        <f t="shared" si="159"/>
        <v>Emulsões asfálticas RR-1C</v>
      </c>
      <c r="I231" s="577" t="str">
        <f>IFERROR(VLOOKUP(G231,SINAPI!A:D,2,0),"")</f>
        <v>Emulsões asfálticas RR-1C</v>
      </c>
      <c r="J231" s="637"/>
      <c r="K231" s="985"/>
      <c r="L231" s="40" t="str">
        <f>IFERROR(VLOOKUP(G231,SINAPI!A:D,3,0),"")</f>
        <v>t</v>
      </c>
      <c r="M231" s="40">
        <f>VLOOKUP(D231,MEMORIA!B:F,$A$3+3)</f>
        <v>0</v>
      </c>
      <c r="N231" s="40">
        <f>IFERROR(VLOOKUP(G231,SINAPI!A:D,4,0),"")</f>
        <v>3291.71</v>
      </c>
      <c r="O231" s="1571">
        <f t="shared" ref="O231:O232" si="168">$N$9</f>
        <v>0.17</v>
      </c>
      <c r="P231" s="41">
        <f t="shared" si="161"/>
        <v>3851.3</v>
      </c>
      <c r="Q231" s="580">
        <f t="shared" si="162"/>
        <v>0</v>
      </c>
      <c r="R231" s="1444">
        <f t="shared" si="145"/>
        <v>0</v>
      </c>
      <c r="S231" s="1084"/>
      <c r="T231" s="1084"/>
      <c r="U231" s="1083"/>
      <c r="V231" s="1083"/>
    </row>
    <row r="232" spans="1:22" s="1085" customFormat="1" ht="12" hidden="1" customHeight="1" outlineLevel="1" x14ac:dyDescent="0.25">
      <c r="A232" s="36">
        <f t="shared" ca="1" si="163"/>
        <v>4</v>
      </c>
      <c r="B232" s="576">
        <f>IF(M232=0,0,MAX($B$229:B231)+1)</f>
        <v>0</v>
      </c>
      <c r="C232" s="36">
        <f t="shared" si="167"/>
        <v>0</v>
      </c>
      <c r="D232" s="515">
        <f t="shared" si="165"/>
        <v>196</v>
      </c>
      <c r="E232" s="35" t="str">
        <f t="shared" ca="1" si="166"/>
        <v>4.1.0</v>
      </c>
      <c r="F232" s="1567" t="s">
        <v>6483</v>
      </c>
      <c r="G232" s="1567" t="s">
        <v>13710</v>
      </c>
      <c r="H232" s="224" t="str">
        <f t="shared" si="159"/>
        <v>Transporte de Emulsões asfálticas RR-1C</v>
      </c>
      <c r="I232" s="577" t="str">
        <f>IFERROR(VLOOKUP(G232,SINAPI!A:D,2,0),"")</f>
        <v>Transporte de Emulsões asfálticas RR-1C</v>
      </c>
      <c r="J232" s="637"/>
      <c r="K232" s="985"/>
      <c r="L232" s="40" t="str">
        <f>IFERROR(VLOOKUP(G232,SINAPI!A:D,3,0),"")</f>
        <v>t</v>
      </c>
      <c r="M232" s="40">
        <f>VLOOKUP(D232,MEMORIA!B:F,$A$3+3)</f>
        <v>0</v>
      </c>
      <c r="N232" s="40">
        <f>IFERROR(VLOOKUP(G232,SINAPI!A:D,4,0),"")</f>
        <v>291.75</v>
      </c>
      <c r="O232" s="1571">
        <f t="shared" si="168"/>
        <v>0.17</v>
      </c>
      <c r="P232" s="41">
        <f t="shared" si="161"/>
        <v>341.35</v>
      </c>
      <c r="Q232" s="580">
        <f t="shared" si="162"/>
        <v>0</v>
      </c>
      <c r="R232" s="1444">
        <f t="shared" si="145"/>
        <v>0</v>
      </c>
      <c r="S232" s="1084"/>
      <c r="T232" s="1084"/>
      <c r="U232" s="1083"/>
      <c r="V232" s="1083"/>
    </row>
    <row r="233" spans="1:22" s="2" customFormat="1" ht="15" hidden="1" customHeight="1" outlineLevel="1" x14ac:dyDescent="0.25">
      <c r="A233" s="36">
        <f t="shared" ca="1" si="163"/>
        <v>4</v>
      </c>
      <c r="B233" s="576">
        <f>IF(M233=0,0,MAX($B$229:B232)+1)</f>
        <v>0</v>
      </c>
      <c r="C233" s="36">
        <f t="shared" si="167"/>
        <v>0</v>
      </c>
      <c r="D233" s="515">
        <f t="shared" si="165"/>
        <v>197</v>
      </c>
      <c r="E233" s="35" t="str">
        <f t="shared" ca="1" si="166"/>
        <v>4.1.0</v>
      </c>
      <c r="F233" s="1552" t="s">
        <v>2639</v>
      </c>
      <c r="G233" s="1567">
        <v>4011459</v>
      </c>
      <c r="H233" s="224" t="str">
        <f t="shared" si="159"/>
        <v>Concreto asfáltico - faixa B - areia e brita comerciais</v>
      </c>
      <c r="I233" s="577" t="str">
        <f>IFERROR(VLOOKUP(G233,SINAPI!A:D,2,0),"")</f>
        <v>Concreto asfáltico - faixa B - areia e brita comerciais</v>
      </c>
      <c r="J233" s="45"/>
      <c r="K233" s="46"/>
      <c r="L233" s="41" t="str">
        <f>IFERROR(VLOOKUP(G233,SINAPI!A:D,3,0),"")</f>
        <v>t</v>
      </c>
      <c r="M233" s="41">
        <f>VLOOKUP(D233,MEMORIA!B:F,$A$3+3)</f>
        <v>0</v>
      </c>
      <c r="N233" s="41">
        <f>IFERROR(VLOOKUP(G233,SINAPI!A:D,4,0),"")</f>
        <v>200.9</v>
      </c>
      <c r="O233" s="1571">
        <f t="shared" si="160"/>
        <v>0.24379999999999999</v>
      </c>
      <c r="P233" s="41">
        <f t="shared" si="161"/>
        <v>249.88</v>
      </c>
      <c r="Q233" s="42">
        <f t="shared" si="162"/>
        <v>0</v>
      </c>
      <c r="R233" s="1444">
        <f t="shared" si="145"/>
        <v>0</v>
      </c>
      <c r="S233" s="315"/>
      <c r="T233" s="315"/>
      <c r="U233" s="668"/>
      <c r="V233" s="668"/>
    </row>
    <row r="234" spans="1:22" s="2" customFormat="1" ht="15" hidden="1" customHeight="1" outlineLevel="1" x14ac:dyDescent="0.25">
      <c r="A234" s="36">
        <f t="shared" ca="1" si="163"/>
        <v>4</v>
      </c>
      <c r="B234" s="576">
        <f>IF(M234=0,0,MAX($B$229:B233)+1)</f>
        <v>0</v>
      </c>
      <c r="C234" s="36">
        <f t="shared" si="167"/>
        <v>0</v>
      </c>
      <c r="D234" s="515">
        <f t="shared" si="165"/>
        <v>198</v>
      </c>
      <c r="E234" s="35" t="str">
        <f t="shared" ca="1" si="166"/>
        <v>4.1.0</v>
      </c>
      <c r="F234" s="1567" t="s">
        <v>2639</v>
      </c>
      <c r="G234" s="1567">
        <v>5914389</v>
      </c>
      <c r="H234" s="224" t="str">
        <f t="shared" si="159"/>
        <v>Transporte com caminhão basculante de 10 m³ - rodovia pavimentada</v>
      </c>
      <c r="I234" s="577" t="str">
        <f>IFERROR(VLOOKUP(G234,SINAPI!A:D,2,0),"")</f>
        <v>Transporte com caminhão basculante de 10 m³ - rodovia pavimentada</v>
      </c>
      <c r="J234" s="45">
        <f>DMT!$G$10</f>
        <v>25.9</v>
      </c>
      <c r="K234" s="46"/>
      <c r="L234" s="41" t="str">
        <f>IFERROR(VLOOKUP(G234,SINAPI!A:D,3,0),"")</f>
        <v>tkm</v>
      </c>
      <c r="M234" s="41">
        <f>VLOOKUP(D234,MEMORIA!B:F,$A$3+3)</f>
        <v>0</v>
      </c>
      <c r="N234" s="41">
        <f>IFERROR(VLOOKUP(G234,SINAPI!A:D,4,0),"")</f>
        <v>0.84</v>
      </c>
      <c r="O234" s="1571">
        <f t="shared" si="160"/>
        <v>0.24379999999999999</v>
      </c>
      <c r="P234" s="41">
        <f t="shared" si="161"/>
        <v>1.04</v>
      </c>
      <c r="Q234" s="42">
        <f t="shared" si="162"/>
        <v>0</v>
      </c>
      <c r="R234" s="1444">
        <f t="shared" si="145"/>
        <v>0</v>
      </c>
      <c r="S234" s="315"/>
      <c r="T234" s="315"/>
      <c r="U234" s="668"/>
      <c r="V234" s="668"/>
    </row>
    <row r="235" spans="1:22" s="2" customFormat="1" ht="15" hidden="1" customHeight="1" outlineLevel="1" x14ac:dyDescent="0.25">
      <c r="A235" s="36">
        <f t="shared" ca="1" si="163"/>
        <v>4</v>
      </c>
      <c r="B235" s="576">
        <f>IF(M235=0,0,MAX($B$229:B234)+1)</f>
        <v>0</v>
      </c>
      <c r="C235" s="36">
        <f t="shared" si="167"/>
        <v>0</v>
      </c>
      <c r="D235" s="515">
        <f t="shared" si="165"/>
        <v>199</v>
      </c>
      <c r="E235" s="35" t="str">
        <f t="shared" ca="1" si="166"/>
        <v>4.1.0</v>
      </c>
      <c r="F235" s="1567" t="s">
        <v>3188</v>
      </c>
      <c r="G235" s="1567" t="s">
        <v>6039</v>
      </c>
      <c r="H235" s="224" t="str">
        <f t="shared" si="159"/>
        <v>Cimentos asfálticos CAP-50-70</v>
      </c>
      <c r="I235" s="577" t="str">
        <f>IFERROR(VLOOKUP(G235,SINAPI!A:D,2,0),"")</f>
        <v>Cimentos asfálticos CAP-50-70</v>
      </c>
      <c r="J235" s="45"/>
      <c r="K235" s="46"/>
      <c r="L235" s="41" t="str">
        <f>IFERROR(VLOOKUP(G235,SINAPI!A:D,3,0),"")</f>
        <v>t</v>
      </c>
      <c r="M235" s="41">
        <f>VLOOKUP(D235,MEMORIA!B:F,$A$3+3)</f>
        <v>0</v>
      </c>
      <c r="N235" s="41">
        <f>IFERROR(VLOOKUP(G235,SINAPI!A:D,4,0),"")</f>
        <v>4568.07</v>
      </c>
      <c r="O235" s="1571">
        <f t="shared" ref="O235:O236" si="169">$N$9</f>
        <v>0.17</v>
      </c>
      <c r="P235" s="41">
        <f t="shared" si="161"/>
        <v>5344.64</v>
      </c>
      <c r="Q235" s="42">
        <f t="shared" si="162"/>
        <v>0</v>
      </c>
      <c r="R235" s="1444">
        <f t="shared" si="145"/>
        <v>0</v>
      </c>
      <c r="S235" s="315"/>
      <c r="T235" s="315"/>
      <c r="U235" s="668"/>
      <c r="V235" s="668"/>
    </row>
    <row r="236" spans="1:22" s="2" customFormat="1" ht="15" hidden="1" customHeight="1" outlineLevel="1" x14ac:dyDescent="0.25">
      <c r="A236" s="36">
        <f t="shared" ca="1" si="163"/>
        <v>4</v>
      </c>
      <c r="B236" s="576">
        <f>IF(M236=0,0,MAX($B$229:B235)+1)</f>
        <v>0</v>
      </c>
      <c r="C236" s="36">
        <f t="shared" si="167"/>
        <v>0</v>
      </c>
      <c r="D236" s="515">
        <f t="shared" si="165"/>
        <v>200</v>
      </c>
      <c r="E236" s="35" t="str">
        <f t="shared" ca="1" si="166"/>
        <v>4.1.0</v>
      </c>
      <c r="F236" s="1567" t="s">
        <v>6483</v>
      </c>
      <c r="G236" s="1567" t="s">
        <v>13700</v>
      </c>
      <c r="H236" s="224" t="str">
        <f t="shared" si="159"/>
        <v>Transporte de Cimentos asfálticos CAP-50-70</v>
      </c>
      <c r="I236" s="577" t="str">
        <f>IFERROR(VLOOKUP(G236,SINAPI!A:D,2,0),"")</f>
        <v>Transporte de Cimentos asfálticos CAP-50-70</v>
      </c>
      <c r="J236" s="45">
        <f>DMT!$K$10</f>
        <v>374.8</v>
      </c>
      <c r="K236" s="46"/>
      <c r="L236" s="41" t="str">
        <f>IFERROR(VLOOKUP(G236,SINAPI!A:D,3,0),"")</f>
        <v>t</v>
      </c>
      <c r="M236" s="41">
        <f>VLOOKUP(D236,MEMORIA!B:F,$A$3+3)</f>
        <v>0</v>
      </c>
      <c r="N236" s="41">
        <f>IFERROR(VLOOKUP(G236,SINAPI!A:D,4,0),"")</f>
        <v>291.75</v>
      </c>
      <c r="O236" s="1571">
        <f t="shared" si="169"/>
        <v>0.17</v>
      </c>
      <c r="P236" s="41">
        <f t="shared" si="161"/>
        <v>341.35</v>
      </c>
      <c r="Q236" s="42">
        <f t="shared" si="162"/>
        <v>0</v>
      </c>
      <c r="R236" s="1444">
        <f t="shared" si="145"/>
        <v>0</v>
      </c>
      <c r="S236" s="315"/>
      <c r="T236" s="315"/>
      <c r="U236" s="668"/>
      <c r="V236" s="668"/>
    </row>
    <row r="237" spans="1:22" s="2" customFormat="1" ht="15" hidden="1" customHeight="1" outlineLevel="1" x14ac:dyDescent="0.25">
      <c r="A237" s="36">
        <f t="shared" ca="1" si="163"/>
        <v>4</v>
      </c>
      <c r="B237" s="576">
        <f>IF(M237=0,0,MAX($B$229:B236)+1)</f>
        <v>0</v>
      </c>
      <c r="C237" s="36">
        <f t="shared" si="167"/>
        <v>0</v>
      </c>
      <c r="D237" s="515">
        <f t="shared" si="165"/>
        <v>201</v>
      </c>
      <c r="E237" s="35" t="str">
        <f t="shared" ca="1" si="166"/>
        <v>4.1.0</v>
      </c>
      <c r="F237" s="1567" t="s">
        <v>2639</v>
      </c>
      <c r="G237" s="1567">
        <v>4011353</v>
      </c>
      <c r="H237" s="224" t="str">
        <f t="shared" si="159"/>
        <v>Pintura de ligação</v>
      </c>
      <c r="I237" s="577" t="str">
        <f>IFERROR(VLOOKUP(G237,SINAPI!A:D,2,0),"")</f>
        <v>Pintura de ligação</v>
      </c>
      <c r="J237" s="45" t="s">
        <v>5</v>
      </c>
      <c r="K237" s="46"/>
      <c r="L237" s="41" t="str">
        <f>IFERROR(VLOOKUP(G237,SINAPI!A:D,3,0),"")</f>
        <v>m²</v>
      </c>
      <c r="M237" s="41">
        <f>VLOOKUP(D237,MEMORIA!B:F,$A$3+3)</f>
        <v>0</v>
      </c>
      <c r="N237" s="41">
        <f>IFERROR(VLOOKUP(G237,SINAPI!A:D,4,0),"")</f>
        <v>0.3</v>
      </c>
      <c r="O237" s="1571">
        <f t="shared" si="160"/>
        <v>0.24379999999999999</v>
      </c>
      <c r="P237" s="41">
        <f t="shared" si="161"/>
        <v>0.37</v>
      </c>
      <c r="Q237" s="42">
        <f t="shared" ref="Q237:Q243" si="170">IF(M237="","",ROUND(M237*P237,2))</f>
        <v>0</v>
      </c>
      <c r="R237" s="1444">
        <f t="shared" si="145"/>
        <v>0</v>
      </c>
      <c r="S237" s="315"/>
      <c r="T237" s="315"/>
      <c r="U237" s="668"/>
      <c r="V237" s="668"/>
    </row>
    <row r="238" spans="1:22" s="1085" customFormat="1" ht="12" hidden="1" customHeight="1" outlineLevel="1" x14ac:dyDescent="0.25">
      <c r="A238" s="36">
        <f t="shared" ca="1" si="163"/>
        <v>4</v>
      </c>
      <c r="B238" s="576">
        <f>IF(M238=0,0,MAX($B$229:B237)+1)</f>
        <v>0</v>
      </c>
      <c r="C238" s="36">
        <f t="shared" si="167"/>
        <v>0</v>
      </c>
      <c r="D238" s="515">
        <f t="shared" si="165"/>
        <v>202</v>
      </c>
      <c r="E238" s="35" t="str">
        <f t="shared" ca="1" si="166"/>
        <v>4.1.0</v>
      </c>
      <c r="F238" s="1567" t="s">
        <v>3188</v>
      </c>
      <c r="G238" s="1567" t="s">
        <v>6481</v>
      </c>
      <c r="H238" s="224" t="str">
        <f t="shared" si="159"/>
        <v>Emulsões asfálticas RR-1C</v>
      </c>
      <c r="I238" s="577" t="str">
        <f>IFERROR(VLOOKUP(G238,SINAPI!A:D,2,0),"")</f>
        <v>Emulsões asfálticas RR-1C</v>
      </c>
      <c r="J238" s="637"/>
      <c r="K238" s="985"/>
      <c r="L238" s="40" t="str">
        <f>IFERROR(VLOOKUP(G238,SINAPI!A:D,3,0),"")</f>
        <v>t</v>
      </c>
      <c r="M238" s="40">
        <f>VLOOKUP(D238,MEMORIA!B:F,$A$3+3)</f>
        <v>0</v>
      </c>
      <c r="N238" s="40">
        <f>IFERROR(VLOOKUP(G238,SINAPI!A:D,4,0),"")</f>
        <v>3291.71</v>
      </c>
      <c r="O238" s="1571">
        <f t="shared" ref="O238:O239" si="171">$N$9</f>
        <v>0.17</v>
      </c>
      <c r="P238" s="41">
        <f t="shared" si="161"/>
        <v>3851.3</v>
      </c>
      <c r="Q238" s="580">
        <f t="shared" si="170"/>
        <v>0</v>
      </c>
      <c r="R238" s="1444">
        <f t="shared" si="145"/>
        <v>0</v>
      </c>
      <c r="S238" s="1084"/>
      <c r="T238" s="1084"/>
      <c r="U238" s="1083"/>
      <c r="V238" s="1083"/>
    </row>
    <row r="239" spans="1:22" s="1085" customFormat="1" ht="12" hidden="1" customHeight="1" outlineLevel="1" x14ac:dyDescent="0.25">
      <c r="A239" s="36">
        <f t="shared" ca="1" si="163"/>
        <v>4</v>
      </c>
      <c r="B239" s="576">
        <f>IF(M239=0,0,MAX($B$229:B238)+1)</f>
        <v>0</v>
      </c>
      <c r="C239" s="36">
        <f t="shared" si="167"/>
        <v>0</v>
      </c>
      <c r="D239" s="515">
        <f t="shared" si="165"/>
        <v>203</v>
      </c>
      <c r="E239" s="35" t="str">
        <f t="shared" ca="1" si="166"/>
        <v>4.1.0</v>
      </c>
      <c r="F239" s="1567" t="s">
        <v>6483</v>
      </c>
      <c r="G239" s="1567" t="s">
        <v>13710</v>
      </c>
      <c r="H239" s="224" t="str">
        <f t="shared" si="159"/>
        <v>Transporte de Emulsões asfálticas RR-1C</v>
      </c>
      <c r="I239" s="577" t="str">
        <f>IFERROR(VLOOKUP(G239,SINAPI!A:D,2,0),"")</f>
        <v>Transporte de Emulsões asfálticas RR-1C</v>
      </c>
      <c r="J239" s="637"/>
      <c r="K239" s="985"/>
      <c r="L239" s="40" t="str">
        <f>IFERROR(VLOOKUP(G239,SINAPI!A:D,3,0),"")</f>
        <v>t</v>
      </c>
      <c r="M239" s="40">
        <f>VLOOKUP(D239,MEMORIA!B:F,$A$3+3)</f>
        <v>0</v>
      </c>
      <c r="N239" s="40">
        <f>IFERROR(VLOOKUP(G239,SINAPI!A:D,4,0),"")</f>
        <v>291.75</v>
      </c>
      <c r="O239" s="1571">
        <f t="shared" si="171"/>
        <v>0.17</v>
      </c>
      <c r="P239" s="41">
        <f t="shared" si="161"/>
        <v>341.35</v>
      </c>
      <c r="Q239" s="580">
        <f t="shared" si="170"/>
        <v>0</v>
      </c>
      <c r="R239" s="1444">
        <f t="shared" si="145"/>
        <v>0</v>
      </c>
      <c r="S239" s="1084"/>
      <c r="T239" s="1084"/>
      <c r="U239" s="1083"/>
      <c r="V239" s="1083"/>
    </row>
    <row r="240" spans="1:22" s="2" customFormat="1" ht="15" hidden="1" customHeight="1" outlineLevel="1" x14ac:dyDescent="0.25">
      <c r="A240" s="36">
        <f t="shared" ca="1" si="163"/>
        <v>4</v>
      </c>
      <c r="B240" s="576">
        <f>IF(M240=0,0,MAX($B$229:B239)+1)</f>
        <v>0</v>
      </c>
      <c r="C240" s="36">
        <f t="shared" si="167"/>
        <v>0</v>
      </c>
      <c r="D240" s="515">
        <f t="shared" si="165"/>
        <v>204</v>
      </c>
      <c r="E240" s="35" t="str">
        <f t="shared" ca="1" si="166"/>
        <v>4.1.0</v>
      </c>
      <c r="F240" s="1552" t="s">
        <v>2639</v>
      </c>
      <c r="G240" s="1567">
        <v>4011459</v>
      </c>
      <c r="H240" s="224" t="str">
        <f t="shared" si="159"/>
        <v>Concreto asfáltico - faixa B - areia e brita comerciais</v>
      </c>
      <c r="I240" s="577" t="str">
        <f>IFERROR(VLOOKUP(G240,SINAPI!A:D,2,0),"")</f>
        <v>Concreto asfáltico - faixa B - areia e brita comerciais</v>
      </c>
      <c r="J240" s="45"/>
      <c r="K240" s="46"/>
      <c r="L240" s="41" t="str">
        <f>IFERROR(VLOOKUP(G240,SINAPI!A:D,3,0),"")</f>
        <v>t</v>
      </c>
      <c r="M240" s="41">
        <f>VLOOKUP(D240,MEMORIA!B:F,$A$3+3)</f>
        <v>0</v>
      </c>
      <c r="N240" s="41">
        <f>IFERROR(VLOOKUP(G240,SINAPI!A:D,4,0),"")</f>
        <v>200.9</v>
      </c>
      <c r="O240" s="1571">
        <f t="shared" si="160"/>
        <v>0.24379999999999999</v>
      </c>
      <c r="P240" s="41">
        <f t="shared" si="161"/>
        <v>249.88</v>
      </c>
      <c r="Q240" s="42">
        <f t="shared" si="170"/>
        <v>0</v>
      </c>
      <c r="R240" s="1444">
        <f t="shared" si="145"/>
        <v>0</v>
      </c>
      <c r="S240" s="315"/>
      <c r="T240" s="315"/>
      <c r="U240" s="668"/>
      <c r="V240" s="668"/>
    </row>
    <row r="241" spans="1:22" s="2" customFormat="1" ht="15" hidden="1" customHeight="1" outlineLevel="1" x14ac:dyDescent="0.25">
      <c r="A241" s="36">
        <f t="shared" ca="1" si="163"/>
        <v>4</v>
      </c>
      <c r="B241" s="576">
        <f>IF(M241=0,0,MAX($B$229:B240)+1)</f>
        <v>0</v>
      </c>
      <c r="C241" s="36">
        <f t="shared" si="167"/>
        <v>0</v>
      </c>
      <c r="D241" s="515">
        <f t="shared" si="165"/>
        <v>205</v>
      </c>
      <c r="E241" s="35" t="str">
        <f t="shared" ca="1" si="166"/>
        <v>4.1.0</v>
      </c>
      <c r="F241" s="1567" t="s">
        <v>2639</v>
      </c>
      <c r="G241" s="1567">
        <v>5914389</v>
      </c>
      <c r="H241" s="224" t="str">
        <f t="shared" si="159"/>
        <v>Transporte com caminhão basculante de 10 m³ - rodovia pavimentada</v>
      </c>
      <c r="I241" s="577" t="str">
        <f>IFERROR(VLOOKUP(G241,SINAPI!A:D,2,0),"")</f>
        <v>Transporte com caminhão basculante de 10 m³ - rodovia pavimentada</v>
      </c>
      <c r="J241" s="45">
        <f>DMT!$G$10</f>
        <v>25.9</v>
      </c>
      <c r="K241" s="46"/>
      <c r="L241" s="41" t="str">
        <f>IFERROR(VLOOKUP(G241,SINAPI!A:D,3,0),"")</f>
        <v>tkm</v>
      </c>
      <c r="M241" s="41">
        <f>VLOOKUP(D241,MEMORIA!B:F,$A$3+3)</f>
        <v>0</v>
      </c>
      <c r="N241" s="41">
        <f>IFERROR(VLOOKUP(G241,SINAPI!A:D,4,0),"")</f>
        <v>0.84</v>
      </c>
      <c r="O241" s="1571">
        <f t="shared" si="160"/>
        <v>0.24379999999999999</v>
      </c>
      <c r="P241" s="41">
        <f t="shared" si="161"/>
        <v>1.04</v>
      </c>
      <c r="Q241" s="42">
        <f t="shared" si="170"/>
        <v>0</v>
      </c>
      <c r="R241" s="1444">
        <f t="shared" si="145"/>
        <v>0</v>
      </c>
      <c r="S241" s="315"/>
      <c r="T241" s="315"/>
      <c r="U241" s="668"/>
      <c r="V241" s="668"/>
    </row>
    <row r="242" spans="1:22" s="2" customFormat="1" ht="15" hidden="1" customHeight="1" outlineLevel="1" x14ac:dyDescent="0.25">
      <c r="A242" s="36">
        <f t="shared" ca="1" si="163"/>
        <v>4</v>
      </c>
      <c r="B242" s="576">
        <f>IF(M242=0,0,MAX($B$229:B241)+1)</f>
        <v>0</v>
      </c>
      <c r="C242" s="36">
        <f t="shared" si="158"/>
        <v>0</v>
      </c>
      <c r="D242" s="515">
        <f t="shared" si="165"/>
        <v>206</v>
      </c>
      <c r="E242" s="35" t="str">
        <f t="shared" ca="1" si="166"/>
        <v>4.1.0</v>
      </c>
      <c r="F242" s="1567" t="s">
        <v>3188</v>
      </c>
      <c r="G242" s="1567" t="s">
        <v>6039</v>
      </c>
      <c r="H242" s="224" t="str">
        <f t="shared" si="159"/>
        <v>Cimentos asfálticos CAP-50-70</v>
      </c>
      <c r="I242" s="577" t="str">
        <f>IFERROR(VLOOKUP(G242,SINAPI!A:D,2,0),"")</f>
        <v>Cimentos asfálticos CAP-50-70</v>
      </c>
      <c r="J242" s="45"/>
      <c r="K242" s="46"/>
      <c r="L242" s="41" t="str">
        <f>IFERROR(VLOOKUP(G242,SINAPI!A:D,3,0),"")</f>
        <v>t</v>
      </c>
      <c r="M242" s="41">
        <f>VLOOKUP(D242,MEMORIA!B:F,$A$3+3)</f>
        <v>0</v>
      </c>
      <c r="N242" s="41">
        <f>IFERROR(VLOOKUP(G242,SINAPI!A:D,4,0),"")</f>
        <v>4568.07</v>
      </c>
      <c r="O242" s="1571">
        <f t="shared" ref="O242:O243" si="172">$N$9</f>
        <v>0.17</v>
      </c>
      <c r="P242" s="41">
        <f t="shared" si="161"/>
        <v>5344.64</v>
      </c>
      <c r="Q242" s="42">
        <f t="shared" si="170"/>
        <v>0</v>
      </c>
      <c r="R242" s="1444">
        <f t="shared" si="145"/>
        <v>0</v>
      </c>
      <c r="S242" s="315"/>
      <c r="T242" s="315"/>
      <c r="U242" s="668"/>
      <c r="V242" s="668"/>
    </row>
    <row r="243" spans="1:22" s="2" customFormat="1" ht="15" hidden="1" customHeight="1" outlineLevel="1" x14ac:dyDescent="0.25">
      <c r="A243" s="36">
        <f t="shared" ca="1" si="163"/>
        <v>4</v>
      </c>
      <c r="B243" s="576">
        <f>IF(M243=0,0,MAX($B$229:B242)+1)</f>
        <v>0</v>
      </c>
      <c r="C243" s="36">
        <f t="shared" si="158"/>
        <v>0</v>
      </c>
      <c r="D243" s="515">
        <f t="shared" si="165"/>
        <v>207</v>
      </c>
      <c r="E243" s="35" t="str">
        <f t="shared" ca="1" si="166"/>
        <v>4.1.0</v>
      </c>
      <c r="F243" s="1567" t="s">
        <v>6483</v>
      </c>
      <c r="G243" s="1567" t="s">
        <v>13700</v>
      </c>
      <c r="H243" s="224" t="str">
        <f t="shared" si="159"/>
        <v>Transporte de Cimentos asfálticos CAP-50-70</v>
      </c>
      <c r="I243" s="577" t="str">
        <f>IFERROR(VLOOKUP(G243,SINAPI!A:D,2,0),"")</f>
        <v>Transporte de Cimentos asfálticos CAP-50-70</v>
      </c>
      <c r="J243" s="45">
        <f>DMT!$K$10</f>
        <v>374.8</v>
      </c>
      <c r="K243" s="46"/>
      <c r="L243" s="41" t="str">
        <f>IFERROR(VLOOKUP(G243,SINAPI!A:D,3,0),"")</f>
        <v>t</v>
      </c>
      <c r="M243" s="41">
        <f>VLOOKUP(D243,MEMORIA!B:F,$A$3+3)</f>
        <v>0</v>
      </c>
      <c r="N243" s="41">
        <f>IFERROR(VLOOKUP(G243,SINAPI!A:D,4,0),"")</f>
        <v>291.75</v>
      </c>
      <c r="O243" s="1571">
        <f t="shared" si="172"/>
        <v>0.17</v>
      </c>
      <c r="P243" s="41">
        <f t="shared" si="161"/>
        <v>341.35</v>
      </c>
      <c r="Q243" s="42">
        <f t="shared" si="170"/>
        <v>0</v>
      </c>
      <c r="R243" s="1444">
        <f t="shared" si="145"/>
        <v>0</v>
      </c>
      <c r="S243" s="315"/>
      <c r="T243" s="315"/>
      <c r="U243" s="668"/>
      <c r="V243" s="668"/>
    </row>
    <row r="244" spans="1:22" ht="15" hidden="1" customHeight="1" outlineLevel="1" x14ac:dyDescent="0.25">
      <c r="A244" s="733"/>
      <c r="B244" s="733"/>
      <c r="C244" s="733">
        <f>C228</f>
        <v>0</v>
      </c>
      <c r="E244" s="739" t="s">
        <v>3890</v>
      </c>
      <c r="F244" s="740"/>
      <c r="G244" s="740"/>
      <c r="H244" s="740"/>
      <c r="I244" s="740"/>
      <c r="J244" s="740"/>
      <c r="K244" s="740"/>
      <c r="L244" s="740"/>
      <c r="M244" s="740"/>
      <c r="N244" s="741"/>
      <c r="O244" s="741"/>
      <c r="P244" s="438"/>
      <c r="Q244" s="742">
        <f>SUM(Q229:Q243)</f>
        <v>0</v>
      </c>
      <c r="R244" s="1444"/>
      <c r="U244" s="727"/>
      <c r="V244" s="727"/>
    </row>
    <row r="245" spans="1:22" s="2" customFormat="1" ht="15" hidden="1" customHeight="1" outlineLevel="1" x14ac:dyDescent="0.25">
      <c r="A245" s="216">
        <f ca="1">A191</f>
        <v>4</v>
      </c>
      <c r="B245" s="617">
        <f>IF(C245=1,B228+1,B228)</f>
        <v>1</v>
      </c>
      <c r="C245" s="216">
        <f>IF(SUBTOTAL(9,C246:C253)&gt;0,1,0)</f>
        <v>0</v>
      </c>
      <c r="D245" s="727"/>
      <c r="E245" s="618" t="str">
        <f ca="1">CONCATENATE(A245,".",B245)</f>
        <v>4.1</v>
      </c>
      <c r="F245" s="734"/>
      <c r="G245" s="734" t="s">
        <v>3892</v>
      </c>
      <c r="H245" s="734"/>
      <c r="I245" s="215"/>
      <c r="J245" s="735"/>
      <c r="K245" s="736"/>
      <c r="L245" s="216"/>
      <c r="M245" s="737"/>
      <c r="N245" s="737"/>
      <c r="O245" s="1570"/>
      <c r="P245" s="737"/>
      <c r="Q245" s="738"/>
      <c r="R245" s="1444">
        <f t="shared" si="145"/>
        <v>0</v>
      </c>
      <c r="S245" s="315"/>
      <c r="T245" s="315"/>
      <c r="U245" s="727"/>
      <c r="V245" s="727"/>
    </row>
    <row r="246" spans="1:22" s="2" customFormat="1" ht="15" hidden="1" customHeight="1" outlineLevel="1" x14ac:dyDescent="0.25">
      <c r="A246" s="36">
        <f ca="1">A245</f>
        <v>4</v>
      </c>
      <c r="B246" s="576">
        <f>IF(M246=0,0,MAX($B$191:B191)+1)</f>
        <v>0</v>
      </c>
      <c r="C246" s="36">
        <f t="shared" ref="C246:C253" si="173">IF(B246=0,0,1)</f>
        <v>0</v>
      </c>
      <c r="D246" s="515">
        <f>D243+1</f>
        <v>208</v>
      </c>
      <c r="E246" s="35" t="str">
        <f ca="1">CONCATENATE(A246,".",$B$245,".",B246)</f>
        <v>4.1.0</v>
      </c>
      <c r="F246" s="576" t="s">
        <v>2639</v>
      </c>
      <c r="G246" s="576">
        <v>3806402</v>
      </c>
      <c r="H246" s="224" t="str">
        <f t="shared" ref="H246:H253" si="174">I246</f>
        <v>Limpeza em superfície de concreto com jateamento d'água sob pressão</v>
      </c>
      <c r="I246" s="577" t="str">
        <f>IFERROR(VLOOKUP(G246,SINAPI!A:D,2,0),"")</f>
        <v>Limpeza em superfície de concreto com jateamento d'água sob pressão</v>
      </c>
      <c r="J246" s="38"/>
      <c r="K246" s="39"/>
      <c r="L246" s="41" t="str">
        <f>IFERROR(VLOOKUP(G246,SINAPI!A:D,3,0),"")</f>
        <v>m²</v>
      </c>
      <c r="M246" s="41">
        <f>VLOOKUP(D246,MEMORIA!B:F,$A$3+3)</f>
        <v>0</v>
      </c>
      <c r="N246" s="41">
        <f>IFERROR(VLOOKUP(G246,SINAPI!A:D,4,0),"")</f>
        <v>2.2599999999999998</v>
      </c>
      <c r="O246" s="1571">
        <f t="shared" ref="O246:O251" si="175">$N$7</f>
        <v>0.24379999999999999</v>
      </c>
      <c r="P246" s="41">
        <f t="shared" ref="P246:P253" si="176">IF(N246="","",(ROUND(N246*(1+O246),2)))</f>
        <v>2.81</v>
      </c>
      <c r="Q246" s="42">
        <f t="shared" ref="Q246" si="177">IF(M246="","",ROUND(M246*P246,2))</f>
        <v>0</v>
      </c>
      <c r="R246" s="1444">
        <f t="shared" si="145"/>
        <v>0</v>
      </c>
      <c r="S246" s="315"/>
      <c r="T246" s="315"/>
      <c r="U246" s="727"/>
      <c r="V246" s="727"/>
    </row>
    <row r="247" spans="1:22" s="2" customFormat="1" ht="15" hidden="1" customHeight="1" outlineLevel="1" x14ac:dyDescent="0.25">
      <c r="A247" s="36">
        <f t="shared" ref="A247:A253" ca="1" si="178">A246</f>
        <v>4</v>
      </c>
      <c r="B247" s="576">
        <f>IF(M247=0,0,MAX($B$246:B246)+1)</f>
        <v>0</v>
      </c>
      <c r="C247" s="36">
        <f t="shared" si="173"/>
        <v>0</v>
      </c>
      <c r="D247" s="515">
        <f t="shared" ref="D247:D253" si="179">D246+1</f>
        <v>209</v>
      </c>
      <c r="E247" s="35" t="str">
        <f t="shared" ref="E247:E253" ca="1" si="180">CONCATENATE(A247,".",$B$245,".",B247)</f>
        <v>4.1.0</v>
      </c>
      <c r="F247" s="1567" t="s">
        <v>2639</v>
      </c>
      <c r="G247" s="1567">
        <v>4011353</v>
      </c>
      <c r="H247" s="224" t="str">
        <f t="shared" si="174"/>
        <v>Pintura de ligação</v>
      </c>
      <c r="I247" s="577" t="str">
        <f>IFERROR(VLOOKUP(G247,SINAPI!A:D,2,0),"")</f>
        <v>Pintura de ligação</v>
      </c>
      <c r="J247" s="45" t="s">
        <v>5</v>
      </c>
      <c r="K247" s="46"/>
      <c r="L247" s="41" t="str">
        <f>IFERROR(VLOOKUP(G247,SINAPI!A:D,3,0),"")</f>
        <v>m²</v>
      </c>
      <c r="M247" s="41">
        <f>VLOOKUP(D247,MEMORIA!B:F,$A$3+3)</f>
        <v>0</v>
      </c>
      <c r="N247" s="41">
        <f>IFERROR(VLOOKUP(G247,SINAPI!A:D,4,0),"")</f>
        <v>0.3</v>
      </c>
      <c r="O247" s="1571">
        <f t="shared" si="175"/>
        <v>0.24379999999999999</v>
      </c>
      <c r="P247" s="41">
        <f t="shared" si="176"/>
        <v>0.37</v>
      </c>
      <c r="Q247" s="42">
        <f t="shared" ref="Q247:Q253" si="181">IF(M247="","",ROUND(M247*P247,2))</f>
        <v>0</v>
      </c>
      <c r="R247" s="1444">
        <f t="shared" si="145"/>
        <v>0</v>
      </c>
      <c r="S247" s="315"/>
      <c r="T247" s="315"/>
      <c r="U247" s="727"/>
      <c r="V247" s="727"/>
    </row>
    <row r="248" spans="1:22" s="1085" customFormat="1" ht="12" hidden="1" customHeight="1" outlineLevel="1" x14ac:dyDescent="0.25">
      <c r="A248" s="36">
        <f t="shared" ca="1" si="178"/>
        <v>4</v>
      </c>
      <c r="B248" s="576">
        <f>IF(M248=0,0,MAX($B$246:B247)+1)</f>
        <v>0</v>
      </c>
      <c r="C248" s="36">
        <f t="shared" ref="C248:C252" si="182">IF(B248=0,0,1)</f>
        <v>0</v>
      </c>
      <c r="D248" s="515">
        <f t="shared" si="179"/>
        <v>210</v>
      </c>
      <c r="E248" s="35" t="str">
        <f t="shared" ca="1" si="180"/>
        <v>4.1.0</v>
      </c>
      <c r="F248" s="1567" t="s">
        <v>3188</v>
      </c>
      <c r="G248" s="1567" t="s">
        <v>6481</v>
      </c>
      <c r="H248" s="224" t="str">
        <f t="shared" si="174"/>
        <v>Emulsões asfálticas RR-1C</v>
      </c>
      <c r="I248" s="577" t="str">
        <f>IFERROR(VLOOKUP(G248,SINAPI!A:D,2,0),"")</f>
        <v>Emulsões asfálticas RR-1C</v>
      </c>
      <c r="J248" s="637"/>
      <c r="K248" s="985"/>
      <c r="L248" s="40" t="str">
        <f>IFERROR(VLOOKUP(G248,SINAPI!A:D,3,0),"")</f>
        <v>t</v>
      </c>
      <c r="M248" s="40">
        <f>VLOOKUP(D248,MEMORIA!B:F,$A$3+3)</f>
        <v>0</v>
      </c>
      <c r="N248" s="40">
        <f>IFERROR(VLOOKUP(G248,SINAPI!A:D,4,0),"")</f>
        <v>3291.71</v>
      </c>
      <c r="O248" s="1571">
        <f t="shared" ref="O248:O249" si="183">$N$9</f>
        <v>0.17</v>
      </c>
      <c r="P248" s="41">
        <f t="shared" si="176"/>
        <v>3851.3</v>
      </c>
      <c r="Q248" s="580">
        <f t="shared" si="181"/>
        <v>0</v>
      </c>
      <c r="R248" s="1444">
        <f t="shared" si="145"/>
        <v>0</v>
      </c>
      <c r="S248" s="1084"/>
      <c r="T248" s="1084"/>
      <c r="U248" s="1083"/>
      <c r="V248" s="1083"/>
    </row>
    <row r="249" spans="1:22" s="1085" customFormat="1" ht="12" hidden="1" customHeight="1" outlineLevel="1" x14ac:dyDescent="0.25">
      <c r="A249" s="36">
        <f t="shared" ca="1" si="178"/>
        <v>4</v>
      </c>
      <c r="B249" s="576">
        <f>IF(M249=0,0,MAX($B$246:B248)+1)</f>
        <v>0</v>
      </c>
      <c r="C249" s="36">
        <f t="shared" si="182"/>
        <v>0</v>
      </c>
      <c r="D249" s="515">
        <f t="shared" si="179"/>
        <v>211</v>
      </c>
      <c r="E249" s="35" t="str">
        <f t="shared" ca="1" si="180"/>
        <v>4.1.0</v>
      </c>
      <c r="F249" s="1567" t="s">
        <v>6483</v>
      </c>
      <c r="G249" s="1567" t="s">
        <v>13710</v>
      </c>
      <c r="H249" s="224" t="str">
        <f t="shared" si="174"/>
        <v>Transporte de Emulsões asfálticas RR-1C</v>
      </c>
      <c r="I249" s="577" t="str">
        <f>IFERROR(VLOOKUP(G249,SINAPI!A:D,2,0),"")</f>
        <v>Transporte de Emulsões asfálticas RR-1C</v>
      </c>
      <c r="J249" s="637"/>
      <c r="K249" s="985"/>
      <c r="L249" s="40" t="str">
        <f>IFERROR(VLOOKUP(G249,SINAPI!A:D,3,0),"")</f>
        <v>t</v>
      </c>
      <c r="M249" s="40">
        <f>VLOOKUP(D249,MEMORIA!B:F,$A$3+3)</f>
        <v>0</v>
      </c>
      <c r="N249" s="40">
        <f>IFERROR(VLOOKUP(G249,SINAPI!A:D,4,0),"")</f>
        <v>291.75</v>
      </c>
      <c r="O249" s="1571">
        <f t="shared" si="183"/>
        <v>0.17</v>
      </c>
      <c r="P249" s="41">
        <f t="shared" si="176"/>
        <v>341.35</v>
      </c>
      <c r="Q249" s="580">
        <f t="shared" si="181"/>
        <v>0</v>
      </c>
      <c r="R249" s="1444">
        <f t="shared" si="145"/>
        <v>0</v>
      </c>
      <c r="S249" s="1084"/>
      <c r="T249" s="1084"/>
      <c r="U249" s="1083"/>
      <c r="V249" s="1083"/>
    </row>
    <row r="250" spans="1:22" s="2" customFormat="1" ht="15" hidden="1" customHeight="1" outlineLevel="1" x14ac:dyDescent="0.25">
      <c r="A250" s="36">
        <f t="shared" ca="1" si="178"/>
        <v>4</v>
      </c>
      <c r="B250" s="576">
        <f>IF(M250=0,0,MAX($B$246:B249)+1)</f>
        <v>0</v>
      </c>
      <c r="C250" s="36">
        <f t="shared" si="182"/>
        <v>0</v>
      </c>
      <c r="D250" s="515">
        <f t="shared" si="179"/>
        <v>212</v>
      </c>
      <c r="E250" s="35" t="str">
        <f t="shared" ca="1" si="180"/>
        <v>4.1.0</v>
      </c>
      <c r="F250" s="1552" t="s">
        <v>2639</v>
      </c>
      <c r="G250" s="1567">
        <v>4011459</v>
      </c>
      <c r="H250" s="224" t="str">
        <f t="shared" si="174"/>
        <v>Concreto asfáltico - faixa B - areia e brita comerciais</v>
      </c>
      <c r="I250" s="577" t="str">
        <f>IFERROR(VLOOKUP(G250,SINAPI!A:D,2,0),"")</f>
        <v>Concreto asfáltico - faixa B - areia e brita comerciais</v>
      </c>
      <c r="J250" s="45"/>
      <c r="K250" s="46"/>
      <c r="L250" s="41" t="str">
        <f>IFERROR(VLOOKUP(G250,SINAPI!A:D,3,0),"")</f>
        <v>t</v>
      </c>
      <c r="M250" s="41">
        <f>VLOOKUP(D250,MEMORIA!B:F,$A$3+3)</f>
        <v>0</v>
      </c>
      <c r="N250" s="41">
        <f>IFERROR(VLOOKUP(G250,SINAPI!A:D,4,0),"")</f>
        <v>200.9</v>
      </c>
      <c r="O250" s="1571">
        <f t="shared" si="175"/>
        <v>0.24379999999999999</v>
      </c>
      <c r="P250" s="41">
        <f t="shared" si="176"/>
        <v>249.88</v>
      </c>
      <c r="Q250" s="42">
        <f t="shared" si="181"/>
        <v>0</v>
      </c>
      <c r="R250" s="1444">
        <f t="shared" si="145"/>
        <v>0</v>
      </c>
      <c r="S250" s="315"/>
      <c r="T250" s="315"/>
      <c r="U250" s="727"/>
      <c r="V250" s="727"/>
    </row>
    <row r="251" spans="1:22" s="2" customFormat="1" ht="15" hidden="1" customHeight="1" outlineLevel="1" x14ac:dyDescent="0.25">
      <c r="A251" s="36">
        <f t="shared" ca="1" si="178"/>
        <v>4</v>
      </c>
      <c r="B251" s="576">
        <f>IF(M251=0,0,MAX($B$246:B250)+1)</f>
        <v>0</v>
      </c>
      <c r="C251" s="36">
        <f t="shared" si="182"/>
        <v>0</v>
      </c>
      <c r="D251" s="515">
        <f t="shared" si="179"/>
        <v>213</v>
      </c>
      <c r="E251" s="35" t="str">
        <f t="shared" ca="1" si="180"/>
        <v>4.1.0</v>
      </c>
      <c r="F251" s="1567" t="s">
        <v>2639</v>
      </c>
      <c r="G251" s="1567">
        <v>5914389</v>
      </c>
      <c r="H251" s="224" t="str">
        <f t="shared" si="174"/>
        <v>Transporte com caminhão basculante de 10 m³ - rodovia pavimentada</v>
      </c>
      <c r="I251" s="577" t="str">
        <f>IFERROR(VLOOKUP(G251,SINAPI!A:D,2,0),"")</f>
        <v>Transporte com caminhão basculante de 10 m³ - rodovia pavimentada</v>
      </c>
      <c r="J251" s="45">
        <f>DMT!$G$10</f>
        <v>25.9</v>
      </c>
      <c r="K251" s="46"/>
      <c r="L251" s="41" t="str">
        <f>IFERROR(VLOOKUP(G251,SINAPI!A:D,3,0),"")</f>
        <v>tkm</v>
      </c>
      <c r="M251" s="41">
        <f>VLOOKUP(D251,MEMORIA!B:F,$A$3+3)</f>
        <v>0</v>
      </c>
      <c r="N251" s="41">
        <f>IFERROR(VLOOKUP(G251,SINAPI!A:D,4,0),"")</f>
        <v>0.84</v>
      </c>
      <c r="O251" s="1571">
        <f t="shared" si="175"/>
        <v>0.24379999999999999</v>
      </c>
      <c r="P251" s="41">
        <f t="shared" si="176"/>
        <v>1.04</v>
      </c>
      <c r="Q251" s="42">
        <f t="shared" si="181"/>
        <v>0</v>
      </c>
      <c r="R251" s="1444">
        <f t="shared" si="145"/>
        <v>0</v>
      </c>
      <c r="S251" s="315"/>
      <c r="T251" s="315"/>
      <c r="U251" s="727"/>
      <c r="V251" s="727"/>
    </row>
    <row r="252" spans="1:22" s="2" customFormat="1" ht="15" hidden="1" customHeight="1" outlineLevel="1" x14ac:dyDescent="0.25">
      <c r="A252" s="36">
        <f t="shared" ca="1" si="178"/>
        <v>4</v>
      </c>
      <c r="B252" s="576">
        <f>IF(M252=0,0,MAX($B$246:B251)+1)</f>
        <v>0</v>
      </c>
      <c r="C252" s="36">
        <f t="shared" si="182"/>
        <v>0</v>
      </c>
      <c r="D252" s="515">
        <f t="shared" si="179"/>
        <v>214</v>
      </c>
      <c r="E252" s="35" t="str">
        <f t="shared" ca="1" si="180"/>
        <v>4.1.0</v>
      </c>
      <c r="F252" s="1567" t="s">
        <v>3188</v>
      </c>
      <c r="G252" s="1567" t="s">
        <v>6039</v>
      </c>
      <c r="H252" s="224" t="str">
        <f t="shared" si="174"/>
        <v>Cimentos asfálticos CAP-50-70</v>
      </c>
      <c r="I252" s="577" t="str">
        <f>IFERROR(VLOOKUP(G252,SINAPI!A:D,2,0),"")</f>
        <v>Cimentos asfálticos CAP-50-70</v>
      </c>
      <c r="J252" s="45"/>
      <c r="K252" s="46"/>
      <c r="L252" s="41" t="str">
        <f>IFERROR(VLOOKUP(G252,SINAPI!A:D,3,0),"")</f>
        <v>t</v>
      </c>
      <c r="M252" s="41">
        <f>VLOOKUP(D252,MEMORIA!B:F,$A$3+3)</f>
        <v>0</v>
      </c>
      <c r="N252" s="41">
        <f>IFERROR(VLOOKUP(G252,SINAPI!A:D,4,0),"")</f>
        <v>4568.07</v>
      </c>
      <c r="O252" s="1571">
        <f t="shared" ref="O252:O253" si="184">$N$9</f>
        <v>0.17</v>
      </c>
      <c r="P252" s="41">
        <f t="shared" si="176"/>
        <v>5344.64</v>
      </c>
      <c r="Q252" s="42">
        <f t="shared" si="181"/>
        <v>0</v>
      </c>
      <c r="R252" s="1444">
        <f t="shared" si="145"/>
        <v>0</v>
      </c>
      <c r="S252" s="315"/>
      <c r="T252" s="315"/>
      <c r="U252" s="727"/>
      <c r="V252" s="727"/>
    </row>
    <row r="253" spans="1:22" s="2" customFormat="1" ht="15" hidden="1" customHeight="1" outlineLevel="1" x14ac:dyDescent="0.25">
      <c r="A253" s="36">
        <f t="shared" ca="1" si="178"/>
        <v>4</v>
      </c>
      <c r="B253" s="576">
        <f>IF(M253=0,0,MAX($B$246:B252)+1)</f>
        <v>0</v>
      </c>
      <c r="C253" s="36">
        <f t="shared" si="173"/>
        <v>0</v>
      </c>
      <c r="D253" s="515">
        <f t="shared" si="179"/>
        <v>215</v>
      </c>
      <c r="E253" s="35" t="str">
        <f t="shared" ca="1" si="180"/>
        <v>4.1.0</v>
      </c>
      <c r="F253" s="1567" t="s">
        <v>6483</v>
      </c>
      <c r="G253" s="1567" t="s">
        <v>13700</v>
      </c>
      <c r="H253" s="224" t="str">
        <f t="shared" si="174"/>
        <v>Transporte de Cimentos asfálticos CAP-50-70</v>
      </c>
      <c r="I253" s="577" t="str">
        <f>IFERROR(VLOOKUP(G253,SINAPI!A:D,2,0),"")</f>
        <v>Transporte de Cimentos asfálticos CAP-50-70</v>
      </c>
      <c r="J253" s="45">
        <f>DMT!$K$10</f>
        <v>374.8</v>
      </c>
      <c r="K253" s="46"/>
      <c r="L253" s="41" t="str">
        <f>IFERROR(VLOOKUP(G253,SINAPI!A:D,3,0),"")</f>
        <v>t</v>
      </c>
      <c r="M253" s="41">
        <f>VLOOKUP(D253,MEMORIA!B:F,$A$3+3)</f>
        <v>0</v>
      </c>
      <c r="N253" s="41">
        <f>IFERROR(VLOOKUP(G253,SINAPI!A:D,4,0),"")</f>
        <v>291.75</v>
      </c>
      <c r="O253" s="1571">
        <f t="shared" si="184"/>
        <v>0.17</v>
      </c>
      <c r="P253" s="41">
        <f t="shared" si="176"/>
        <v>341.35</v>
      </c>
      <c r="Q253" s="42">
        <f t="shared" si="181"/>
        <v>0</v>
      </c>
      <c r="R253" s="1444">
        <f t="shared" si="145"/>
        <v>0</v>
      </c>
      <c r="S253" s="315"/>
      <c r="T253" s="315"/>
      <c r="U253" s="727"/>
      <c r="V253" s="727"/>
    </row>
    <row r="254" spans="1:22" ht="15" hidden="1" customHeight="1" outlineLevel="1" x14ac:dyDescent="0.25">
      <c r="A254" s="733"/>
      <c r="B254" s="733"/>
      <c r="C254" s="733">
        <f>C245</f>
        <v>0</v>
      </c>
      <c r="E254" s="739" t="s">
        <v>3890</v>
      </c>
      <c r="F254" s="740"/>
      <c r="G254" s="740"/>
      <c r="H254" s="740"/>
      <c r="I254" s="740"/>
      <c r="J254" s="740"/>
      <c r="K254" s="740"/>
      <c r="L254" s="740"/>
      <c r="M254" s="740"/>
      <c r="N254" s="741"/>
      <c r="O254" s="741"/>
      <c r="P254" s="438"/>
      <c r="Q254" s="742">
        <f>SUM(Q246:Q253)</f>
        <v>0</v>
      </c>
      <c r="R254" s="1444"/>
      <c r="U254" s="727"/>
      <c r="V254" s="727"/>
    </row>
    <row r="255" spans="1:22" s="2" customFormat="1" ht="15" hidden="1" customHeight="1" outlineLevel="1" x14ac:dyDescent="0.25">
      <c r="A255" s="216">
        <f ca="1">A191</f>
        <v>4</v>
      </c>
      <c r="B255" s="617">
        <f>IF(C255=1,B245+1,B245)</f>
        <v>1</v>
      </c>
      <c r="C255" s="216">
        <f>IF(SUBTOTAL(9,C256:C265)&gt;0,1,0)</f>
        <v>0</v>
      </c>
      <c r="D255" s="727"/>
      <c r="E255" s="618" t="str">
        <f ca="1">CONCATENATE(A255,".",B255)</f>
        <v>4.1</v>
      </c>
      <c r="F255" s="734"/>
      <c r="G255" s="734" t="s">
        <v>3893</v>
      </c>
      <c r="H255" s="734"/>
      <c r="I255" s="215"/>
      <c r="J255" s="735"/>
      <c r="K255" s="736"/>
      <c r="L255" s="216"/>
      <c r="M255" s="737"/>
      <c r="N255" s="737"/>
      <c r="O255" s="1570"/>
      <c r="P255" s="737"/>
      <c r="Q255" s="738"/>
      <c r="R255" s="1444">
        <f t="shared" si="145"/>
        <v>0</v>
      </c>
      <c r="S255" s="315"/>
      <c r="T255" s="315"/>
      <c r="U255" s="727"/>
      <c r="V255" s="727"/>
    </row>
    <row r="256" spans="1:22" s="2" customFormat="1" ht="15" hidden="1" customHeight="1" outlineLevel="1" x14ac:dyDescent="0.25">
      <c r="A256" s="36">
        <f ca="1">A255</f>
        <v>4</v>
      </c>
      <c r="B256" s="576">
        <f>IF(M256=0,0,MAX($B$191:B191)+1)</f>
        <v>0</v>
      </c>
      <c r="C256" s="36">
        <f t="shared" ref="C256" si="185">IF(B256=0,0,1)</f>
        <v>0</v>
      </c>
      <c r="D256" s="515">
        <f>D253+1</f>
        <v>216</v>
      </c>
      <c r="E256" s="35" t="str">
        <f ca="1">CONCATENATE(A256,".",$B$255,".",B256)</f>
        <v>4.1.0</v>
      </c>
      <c r="F256" s="576" t="s">
        <v>2639</v>
      </c>
      <c r="G256" s="550">
        <v>4011480</v>
      </c>
      <c r="H256" s="224" t="str">
        <f t="shared" ref="H256:H265" si="186">I256</f>
        <v>Fresagem descontínua de revestimento asfáltico</v>
      </c>
      <c r="I256" s="577" t="str">
        <f>IFERROR(VLOOKUP(G256,SINAPI!A:D,2,0),"")</f>
        <v>Fresagem descontínua de revestimento asfáltico</v>
      </c>
      <c r="J256" s="38"/>
      <c r="K256" s="39"/>
      <c r="L256" s="41" t="str">
        <f>IFERROR(VLOOKUP(G256,SINAPI!A:D,3,0),"")</f>
        <v>m³</v>
      </c>
      <c r="M256" s="41">
        <f>VLOOKUP(D256,MEMORIA!B:F,$A$3+3)</f>
        <v>0</v>
      </c>
      <c r="N256" s="41">
        <f>IFERROR(VLOOKUP(G256,SINAPI!A:D,4,0),"")</f>
        <v>74.25</v>
      </c>
      <c r="O256" s="1571">
        <f t="shared" ref="O256:O263" si="187">$N$7</f>
        <v>0.24379999999999999</v>
      </c>
      <c r="P256" s="41">
        <f t="shared" ref="P256:P265" si="188">IF(N256="","",(ROUND(N256*(1+O256),2)))</f>
        <v>92.35</v>
      </c>
      <c r="Q256" s="42"/>
      <c r="R256" s="1444">
        <f t="shared" si="145"/>
        <v>0</v>
      </c>
      <c r="S256" s="315"/>
      <c r="T256" s="315"/>
      <c r="U256" s="839"/>
      <c r="V256" s="839"/>
    </row>
    <row r="257" spans="1:22" s="2" customFormat="1" ht="15" hidden="1" customHeight="1" outlineLevel="1" x14ac:dyDescent="0.25">
      <c r="A257" s="36">
        <f ca="1">A256</f>
        <v>4</v>
      </c>
      <c r="B257" s="576">
        <f>IF(M257=0,0,MAX($B$256:B256)+1)</f>
        <v>0</v>
      </c>
      <c r="C257" s="36">
        <f t="shared" ref="C257" si="189">IF(B257=0,0,1)</f>
        <v>0</v>
      </c>
      <c r="D257" s="515">
        <f>D256+1</f>
        <v>217</v>
      </c>
      <c r="E257" s="35" t="str">
        <f t="shared" ref="E257" ca="1" si="190">CONCATENATE(A257,".",$B$255,".",B257)</f>
        <v>4.1.0</v>
      </c>
      <c r="F257" s="576" t="s">
        <v>2639</v>
      </c>
      <c r="G257" s="36">
        <v>5914389</v>
      </c>
      <c r="H257" s="224" t="str">
        <f t="shared" si="186"/>
        <v>Transporte com caminhão basculante de 10 m³ - rodovia pavimentada</v>
      </c>
      <c r="I257" s="577" t="str">
        <f>IFERROR(VLOOKUP(G257,SINAPI!A:D,2,0),"")</f>
        <v>Transporte com caminhão basculante de 10 m³ - rodovia pavimentada</v>
      </c>
      <c r="J257" s="38"/>
      <c r="K257" s="39"/>
      <c r="L257" s="41" t="str">
        <f>IFERROR(VLOOKUP(G257,SINAPI!A:D,3,0),"")</f>
        <v>tkm</v>
      </c>
      <c r="M257" s="41">
        <f>VLOOKUP(D257,MEMORIA!B:F,$A$3+3)</f>
        <v>0</v>
      </c>
      <c r="N257" s="41">
        <f>IFERROR(VLOOKUP(G257,SINAPI!A:D,4,0),"")</f>
        <v>0.84</v>
      </c>
      <c r="O257" s="1571">
        <f t="shared" si="187"/>
        <v>0.24379999999999999</v>
      </c>
      <c r="P257" s="41">
        <f t="shared" si="188"/>
        <v>1.04</v>
      </c>
      <c r="Q257" s="42">
        <f t="shared" ref="Q257:Q265" si="191">IF(M257="","",ROUND(M257*P257,2))</f>
        <v>0</v>
      </c>
      <c r="R257" s="1444">
        <f t="shared" si="145"/>
        <v>0</v>
      </c>
      <c r="S257" s="315"/>
      <c r="T257" s="315"/>
      <c r="U257" s="727"/>
      <c r="V257" s="727"/>
    </row>
    <row r="258" spans="1:22" s="2" customFormat="1" ht="15" hidden="1" customHeight="1" outlineLevel="1" x14ac:dyDescent="0.25">
      <c r="A258" s="36">
        <f t="shared" ref="A258:A265" ca="1" si="192">A257</f>
        <v>4</v>
      </c>
      <c r="B258" s="576">
        <f>IF(M258=0,0,MAX($B$256:B257)+1)</f>
        <v>0</v>
      </c>
      <c r="C258" s="36">
        <f t="shared" ref="C258:C265" si="193">IF(B258=0,0,1)</f>
        <v>0</v>
      </c>
      <c r="D258" s="515">
        <f t="shared" ref="D258:D265" si="194">D257+1</f>
        <v>218</v>
      </c>
      <c r="E258" s="35" t="str">
        <f t="shared" ref="E258:E265" ca="1" si="195">CONCATENATE(A258,".",$B$255,".",B258)</f>
        <v>4.1.0</v>
      </c>
      <c r="F258" s="576" t="s">
        <v>2639</v>
      </c>
      <c r="G258" s="576">
        <v>3806402</v>
      </c>
      <c r="H258" s="224" t="str">
        <f t="shared" si="186"/>
        <v>Limpeza em superfície de concreto com jateamento d'água sob pressão</v>
      </c>
      <c r="I258" s="577" t="str">
        <f>IFERROR(VLOOKUP(G258,SINAPI!A:D,2,0),"")</f>
        <v>Limpeza em superfície de concreto com jateamento d'água sob pressão</v>
      </c>
      <c r="J258" s="38"/>
      <c r="K258" s="39"/>
      <c r="L258" s="41" t="str">
        <f>IFERROR(VLOOKUP(G258,SINAPI!A:D,3,0),"")</f>
        <v>m²</v>
      </c>
      <c r="M258" s="41">
        <f>VLOOKUP(D258,MEMORIA!B:F,$A$3+3)</f>
        <v>0</v>
      </c>
      <c r="N258" s="41">
        <f>IFERROR(VLOOKUP(G258,SINAPI!A:D,4,0),"")</f>
        <v>2.2599999999999998</v>
      </c>
      <c r="O258" s="1571">
        <f t="shared" si="187"/>
        <v>0.24379999999999999</v>
      </c>
      <c r="P258" s="41">
        <f t="shared" si="188"/>
        <v>2.81</v>
      </c>
      <c r="Q258" s="42">
        <f t="shared" si="191"/>
        <v>0</v>
      </c>
      <c r="R258" s="1444">
        <f t="shared" si="145"/>
        <v>0</v>
      </c>
      <c r="S258" s="315"/>
      <c r="T258" s="315"/>
      <c r="U258" s="727"/>
      <c r="V258" s="727"/>
    </row>
    <row r="259" spans="1:22" s="2" customFormat="1" ht="15" hidden="1" customHeight="1" outlineLevel="1" x14ac:dyDescent="0.25">
      <c r="A259" s="36">
        <f t="shared" ca="1" si="192"/>
        <v>4</v>
      </c>
      <c r="B259" s="576">
        <f>IF(M259=0,0,MAX($B$256:B258)+1)</f>
        <v>0</v>
      </c>
      <c r="C259" s="36">
        <f t="shared" si="193"/>
        <v>0</v>
      </c>
      <c r="D259" s="515">
        <f t="shared" si="194"/>
        <v>219</v>
      </c>
      <c r="E259" s="35" t="str">
        <f t="shared" ca="1" si="195"/>
        <v>4.1.0</v>
      </c>
      <c r="F259" s="1567" t="s">
        <v>2639</v>
      </c>
      <c r="G259" s="1567">
        <v>4011353</v>
      </c>
      <c r="H259" s="224" t="str">
        <f t="shared" si="186"/>
        <v>Pintura de ligação</v>
      </c>
      <c r="I259" s="577" t="str">
        <f>IFERROR(VLOOKUP(G259,SINAPI!A:D,2,0),"")</f>
        <v>Pintura de ligação</v>
      </c>
      <c r="J259" s="45" t="s">
        <v>5</v>
      </c>
      <c r="K259" s="46"/>
      <c r="L259" s="41" t="str">
        <f>IFERROR(VLOOKUP(G259,SINAPI!A:D,3,0),"")</f>
        <v>m²</v>
      </c>
      <c r="M259" s="41">
        <f>VLOOKUP(D259,MEMORIA!B:F,$A$3+3)</f>
        <v>0</v>
      </c>
      <c r="N259" s="41">
        <f>IFERROR(VLOOKUP(G259,SINAPI!A:D,4,0),"")</f>
        <v>0.3</v>
      </c>
      <c r="O259" s="1571">
        <f t="shared" si="187"/>
        <v>0.24379999999999999</v>
      </c>
      <c r="P259" s="41">
        <f t="shared" si="188"/>
        <v>0.37</v>
      </c>
      <c r="Q259" s="42">
        <f t="shared" si="191"/>
        <v>0</v>
      </c>
      <c r="R259" s="1444">
        <f t="shared" si="145"/>
        <v>0</v>
      </c>
      <c r="S259" s="315"/>
      <c r="T259" s="315"/>
      <c r="U259" s="727"/>
      <c r="V259" s="727"/>
    </row>
    <row r="260" spans="1:22" s="1085" customFormat="1" ht="12" hidden="1" customHeight="1" outlineLevel="1" x14ac:dyDescent="0.25">
      <c r="A260" s="36">
        <f t="shared" ca="1" si="192"/>
        <v>4</v>
      </c>
      <c r="B260" s="576">
        <f>IF(M260=0,0,MAX($B$256:B259)+1)</f>
        <v>0</v>
      </c>
      <c r="C260" s="36">
        <f t="shared" ref="C260:C264" si="196">IF(B260=0,0,1)</f>
        <v>0</v>
      </c>
      <c r="D260" s="515">
        <f t="shared" si="194"/>
        <v>220</v>
      </c>
      <c r="E260" s="35" t="str">
        <f t="shared" ca="1" si="195"/>
        <v>4.1.0</v>
      </c>
      <c r="F260" s="1567" t="s">
        <v>3188</v>
      </c>
      <c r="G260" s="1567" t="s">
        <v>6481</v>
      </c>
      <c r="H260" s="224" t="str">
        <f t="shared" si="186"/>
        <v>Emulsões asfálticas RR-1C</v>
      </c>
      <c r="I260" s="577" t="str">
        <f>IFERROR(VLOOKUP(G260,SINAPI!A:D,2,0),"")</f>
        <v>Emulsões asfálticas RR-1C</v>
      </c>
      <c r="J260" s="637"/>
      <c r="K260" s="985"/>
      <c r="L260" s="40" t="str">
        <f>IFERROR(VLOOKUP(G260,SINAPI!A:D,3,0),"")</f>
        <v>t</v>
      </c>
      <c r="M260" s="40">
        <f>VLOOKUP(D260,MEMORIA!B:F,$A$3+3)</f>
        <v>0</v>
      </c>
      <c r="N260" s="40">
        <f>IFERROR(VLOOKUP(G260,SINAPI!A:D,4,0),"")</f>
        <v>3291.71</v>
      </c>
      <c r="O260" s="1571">
        <f t="shared" ref="O260:O261" si="197">$N$9</f>
        <v>0.17</v>
      </c>
      <c r="P260" s="41">
        <f t="shared" si="188"/>
        <v>3851.3</v>
      </c>
      <c r="Q260" s="580">
        <f t="shared" si="191"/>
        <v>0</v>
      </c>
      <c r="R260" s="1444">
        <f t="shared" si="145"/>
        <v>0</v>
      </c>
      <c r="S260" s="1084"/>
      <c r="T260" s="1084"/>
      <c r="U260" s="1083"/>
      <c r="V260" s="1083"/>
    </row>
    <row r="261" spans="1:22" s="1085" customFormat="1" ht="12" hidden="1" customHeight="1" outlineLevel="1" x14ac:dyDescent="0.25">
      <c r="A261" s="36">
        <f t="shared" ca="1" si="192"/>
        <v>4</v>
      </c>
      <c r="B261" s="576">
        <f>IF(M261=0,0,MAX($B$256:B260)+1)</f>
        <v>0</v>
      </c>
      <c r="C261" s="36">
        <f t="shared" si="196"/>
        <v>0</v>
      </c>
      <c r="D261" s="515">
        <f t="shared" si="194"/>
        <v>221</v>
      </c>
      <c r="E261" s="35" t="str">
        <f t="shared" ca="1" si="195"/>
        <v>4.1.0</v>
      </c>
      <c r="F261" s="1567" t="s">
        <v>6483</v>
      </c>
      <c r="G261" s="1567" t="s">
        <v>13710</v>
      </c>
      <c r="H261" s="224" t="str">
        <f t="shared" si="186"/>
        <v>Transporte de Emulsões asfálticas RR-1C</v>
      </c>
      <c r="I261" s="577" t="str">
        <f>IFERROR(VLOOKUP(G261,SINAPI!A:D,2,0),"")</f>
        <v>Transporte de Emulsões asfálticas RR-1C</v>
      </c>
      <c r="J261" s="637"/>
      <c r="K261" s="985"/>
      <c r="L261" s="40" t="str">
        <f>IFERROR(VLOOKUP(G261,SINAPI!A:D,3,0),"")</f>
        <v>t</v>
      </c>
      <c r="M261" s="40">
        <f>VLOOKUP(D261,MEMORIA!B:F,$A$3+3)</f>
        <v>0</v>
      </c>
      <c r="N261" s="40">
        <f>IFERROR(VLOOKUP(G261,SINAPI!A:D,4,0),"")</f>
        <v>291.75</v>
      </c>
      <c r="O261" s="1571">
        <f t="shared" si="197"/>
        <v>0.17</v>
      </c>
      <c r="P261" s="41">
        <f t="shared" si="188"/>
        <v>341.35</v>
      </c>
      <c r="Q261" s="580">
        <f t="shared" si="191"/>
        <v>0</v>
      </c>
      <c r="R261" s="1444">
        <f t="shared" si="145"/>
        <v>0</v>
      </c>
      <c r="S261" s="1084"/>
      <c r="T261" s="1084"/>
      <c r="U261" s="1083"/>
      <c r="V261" s="1083"/>
    </row>
    <row r="262" spans="1:22" s="2" customFormat="1" ht="15" hidden="1" customHeight="1" outlineLevel="1" x14ac:dyDescent="0.25">
      <c r="A262" s="36">
        <f t="shared" ca="1" si="192"/>
        <v>4</v>
      </c>
      <c r="B262" s="576">
        <f>IF(M262=0,0,MAX($B$256:B261)+1)</f>
        <v>0</v>
      </c>
      <c r="C262" s="36">
        <f t="shared" si="196"/>
        <v>0</v>
      </c>
      <c r="D262" s="515">
        <f t="shared" si="194"/>
        <v>222</v>
      </c>
      <c r="E262" s="35" t="str">
        <f t="shared" ca="1" si="195"/>
        <v>4.1.0</v>
      </c>
      <c r="F262" s="1552" t="s">
        <v>2639</v>
      </c>
      <c r="G262" s="1567">
        <v>4011459</v>
      </c>
      <c r="H262" s="224" t="str">
        <f t="shared" si="186"/>
        <v>Concreto asfáltico - faixa B - areia e brita comerciais</v>
      </c>
      <c r="I262" s="577" t="str">
        <f>IFERROR(VLOOKUP(G262,SINAPI!A:D,2,0),"")</f>
        <v>Concreto asfáltico - faixa B - areia e brita comerciais</v>
      </c>
      <c r="J262" s="45"/>
      <c r="K262" s="46"/>
      <c r="L262" s="41" t="str">
        <f>IFERROR(VLOOKUP(G262,SINAPI!A:D,3,0),"")</f>
        <v>t</v>
      </c>
      <c r="M262" s="41">
        <f>VLOOKUP(D262,MEMORIA!B:F,$A$3+3)</f>
        <v>0</v>
      </c>
      <c r="N262" s="41">
        <f>IFERROR(VLOOKUP(G262,SINAPI!A:D,4,0),"")</f>
        <v>200.9</v>
      </c>
      <c r="O262" s="1571">
        <f t="shared" si="187"/>
        <v>0.24379999999999999</v>
      </c>
      <c r="P262" s="41">
        <f t="shared" si="188"/>
        <v>249.88</v>
      </c>
      <c r="Q262" s="42">
        <f t="shared" si="191"/>
        <v>0</v>
      </c>
      <c r="R262" s="1444">
        <f t="shared" si="145"/>
        <v>0</v>
      </c>
      <c r="S262" s="315"/>
      <c r="T262" s="315"/>
      <c r="U262" s="727"/>
      <c r="V262" s="727"/>
    </row>
    <row r="263" spans="1:22" s="2" customFormat="1" ht="15" hidden="1" customHeight="1" outlineLevel="1" x14ac:dyDescent="0.25">
      <c r="A263" s="36">
        <f t="shared" ca="1" si="192"/>
        <v>4</v>
      </c>
      <c r="B263" s="576">
        <f>IF(M263=0,0,MAX($B$256:B262)+1)</f>
        <v>0</v>
      </c>
      <c r="C263" s="36">
        <f t="shared" si="196"/>
        <v>0</v>
      </c>
      <c r="D263" s="515">
        <f t="shared" si="194"/>
        <v>223</v>
      </c>
      <c r="E263" s="35" t="str">
        <f t="shared" ca="1" si="195"/>
        <v>4.1.0</v>
      </c>
      <c r="F263" s="1567" t="s">
        <v>2639</v>
      </c>
      <c r="G263" s="1567">
        <v>5914389</v>
      </c>
      <c r="H263" s="224" t="str">
        <f t="shared" si="186"/>
        <v>Transporte com caminhão basculante de 10 m³ - rodovia pavimentada</v>
      </c>
      <c r="I263" s="577" t="str">
        <f>IFERROR(VLOOKUP(G263,SINAPI!A:D,2,0),"")</f>
        <v>Transporte com caminhão basculante de 10 m³ - rodovia pavimentada</v>
      </c>
      <c r="J263" s="45">
        <f>DMT!$G$10</f>
        <v>25.9</v>
      </c>
      <c r="K263" s="46"/>
      <c r="L263" s="41" t="str">
        <f>IFERROR(VLOOKUP(G263,SINAPI!A:D,3,0),"")</f>
        <v>tkm</v>
      </c>
      <c r="M263" s="41">
        <f>VLOOKUP(D263,MEMORIA!B:F,$A$3+3)</f>
        <v>0</v>
      </c>
      <c r="N263" s="41">
        <f>IFERROR(VLOOKUP(G263,SINAPI!A:D,4,0),"")</f>
        <v>0.84</v>
      </c>
      <c r="O263" s="1571">
        <f t="shared" si="187"/>
        <v>0.24379999999999999</v>
      </c>
      <c r="P263" s="41">
        <f t="shared" si="188"/>
        <v>1.04</v>
      </c>
      <c r="Q263" s="42">
        <f t="shared" si="191"/>
        <v>0</v>
      </c>
      <c r="R263" s="1444">
        <f t="shared" si="145"/>
        <v>0</v>
      </c>
      <c r="S263" s="315"/>
      <c r="T263" s="315"/>
      <c r="U263" s="727"/>
      <c r="V263" s="727"/>
    </row>
    <row r="264" spans="1:22" s="2" customFormat="1" ht="15" hidden="1" customHeight="1" outlineLevel="1" x14ac:dyDescent="0.25">
      <c r="A264" s="36">
        <f t="shared" ca="1" si="192"/>
        <v>4</v>
      </c>
      <c r="B264" s="576">
        <f>IF(M264=0,0,MAX($B$256:B263)+1)</f>
        <v>0</v>
      </c>
      <c r="C264" s="36">
        <f t="shared" si="196"/>
        <v>0</v>
      </c>
      <c r="D264" s="515">
        <f t="shared" si="194"/>
        <v>224</v>
      </c>
      <c r="E264" s="35" t="str">
        <f t="shared" ca="1" si="195"/>
        <v>4.1.0</v>
      </c>
      <c r="F264" s="1567" t="s">
        <v>3188</v>
      </c>
      <c r="G264" s="1567" t="s">
        <v>6039</v>
      </c>
      <c r="H264" s="224" t="str">
        <f t="shared" si="186"/>
        <v>Cimentos asfálticos CAP-50-70</v>
      </c>
      <c r="I264" s="577" t="str">
        <f>IFERROR(VLOOKUP(G264,SINAPI!A:D,2,0),"")</f>
        <v>Cimentos asfálticos CAP-50-70</v>
      </c>
      <c r="J264" s="45"/>
      <c r="K264" s="46"/>
      <c r="L264" s="41" t="str">
        <f>IFERROR(VLOOKUP(G264,SINAPI!A:D,3,0),"")</f>
        <v>t</v>
      </c>
      <c r="M264" s="41">
        <f>VLOOKUP(D264,MEMORIA!B:F,$A$3+3)</f>
        <v>0</v>
      </c>
      <c r="N264" s="41">
        <f>IFERROR(VLOOKUP(G264,SINAPI!A:D,4,0),"")</f>
        <v>4568.07</v>
      </c>
      <c r="O264" s="1571">
        <f t="shared" ref="O264:O265" si="198">$N$9</f>
        <v>0.17</v>
      </c>
      <c r="P264" s="41">
        <f t="shared" si="188"/>
        <v>5344.64</v>
      </c>
      <c r="Q264" s="42">
        <f t="shared" si="191"/>
        <v>0</v>
      </c>
      <c r="R264" s="1444">
        <f t="shared" si="145"/>
        <v>0</v>
      </c>
      <c r="S264" s="315"/>
      <c r="T264" s="315"/>
      <c r="U264" s="727"/>
      <c r="V264" s="727"/>
    </row>
    <row r="265" spans="1:22" s="2" customFormat="1" ht="15" hidden="1" customHeight="1" outlineLevel="1" x14ac:dyDescent="0.25">
      <c r="A265" s="36">
        <f t="shared" ca="1" si="192"/>
        <v>4</v>
      </c>
      <c r="B265" s="576">
        <f>IF(M265=0,0,MAX($B$256:B264)+1)</f>
        <v>0</v>
      </c>
      <c r="C265" s="36">
        <f t="shared" si="193"/>
        <v>0</v>
      </c>
      <c r="D265" s="515">
        <f t="shared" si="194"/>
        <v>225</v>
      </c>
      <c r="E265" s="35" t="str">
        <f t="shared" ca="1" si="195"/>
        <v>4.1.0</v>
      </c>
      <c r="F265" s="1567" t="s">
        <v>6483</v>
      </c>
      <c r="G265" s="1567" t="s">
        <v>13700</v>
      </c>
      <c r="H265" s="224" t="str">
        <f t="shared" si="186"/>
        <v>Transporte de Cimentos asfálticos CAP-50-70</v>
      </c>
      <c r="I265" s="577" t="str">
        <f>IFERROR(VLOOKUP(G265,SINAPI!A:D,2,0),"")</f>
        <v>Transporte de Cimentos asfálticos CAP-50-70</v>
      </c>
      <c r="J265" s="45">
        <f>DMT!$K$10</f>
        <v>374.8</v>
      </c>
      <c r="K265" s="46"/>
      <c r="L265" s="41" t="str">
        <f>IFERROR(VLOOKUP(G265,SINAPI!A:D,3,0),"")</f>
        <v>t</v>
      </c>
      <c r="M265" s="41">
        <f>VLOOKUP(D265,MEMORIA!B:F,$A$3+3)</f>
        <v>0</v>
      </c>
      <c r="N265" s="41">
        <f>IFERROR(VLOOKUP(G265,SINAPI!A:D,4,0),"")</f>
        <v>291.75</v>
      </c>
      <c r="O265" s="1571">
        <f t="shared" si="198"/>
        <v>0.17</v>
      </c>
      <c r="P265" s="41">
        <f t="shared" si="188"/>
        <v>341.35</v>
      </c>
      <c r="Q265" s="42">
        <f t="shared" si="191"/>
        <v>0</v>
      </c>
      <c r="R265" s="1444">
        <f t="shared" si="145"/>
        <v>0</v>
      </c>
      <c r="S265" s="315"/>
      <c r="T265" s="315"/>
      <c r="U265" s="727"/>
      <c r="V265" s="727"/>
    </row>
    <row r="266" spans="1:22" ht="15" hidden="1" customHeight="1" outlineLevel="1" x14ac:dyDescent="0.25">
      <c r="A266" s="733"/>
      <c r="B266" s="733"/>
      <c r="C266" s="733">
        <f>C255</f>
        <v>0</v>
      </c>
      <c r="E266" s="739" t="s">
        <v>3890</v>
      </c>
      <c r="F266" s="740"/>
      <c r="G266" s="740"/>
      <c r="H266" s="740"/>
      <c r="I266" s="740"/>
      <c r="J266" s="740"/>
      <c r="K266" s="740"/>
      <c r="L266" s="740"/>
      <c r="M266" s="740"/>
      <c r="N266" s="741"/>
      <c r="O266" s="741"/>
      <c r="P266" s="438"/>
      <c r="Q266" s="742">
        <f>SUM(Q256:Q265)</f>
        <v>0</v>
      </c>
      <c r="R266" s="1444"/>
      <c r="U266" s="727"/>
      <c r="V266" s="727"/>
    </row>
    <row r="267" spans="1:22" ht="15" hidden="1" customHeight="1" outlineLevel="1" x14ac:dyDescent="0.25">
      <c r="A267" s="617">
        <f ca="1">A191</f>
        <v>4</v>
      </c>
      <c r="B267" s="617">
        <f>IF(C267=1,B255+1,B255)</f>
        <v>1</v>
      </c>
      <c r="C267" s="617">
        <f>IF(SUBTOTAL(9,C268:C284)&gt;0,1,0)</f>
        <v>0</v>
      </c>
      <c r="E267" s="618" t="str">
        <f ca="1">CONCATENATE(A267,".",B267)</f>
        <v>4.1</v>
      </c>
      <c r="F267" s="627"/>
      <c r="G267" s="627" t="s">
        <v>3894</v>
      </c>
      <c r="H267" s="627"/>
      <c r="I267" s="44"/>
      <c r="J267" s="628"/>
      <c r="K267" s="629"/>
      <c r="L267" s="630"/>
      <c r="M267" s="631"/>
      <c r="N267" s="631"/>
      <c r="O267" s="1569"/>
      <c r="P267" s="631"/>
      <c r="Q267" s="632"/>
      <c r="R267" s="1444">
        <f t="shared" si="145"/>
        <v>0</v>
      </c>
      <c r="U267" s="727"/>
      <c r="V267" s="727"/>
    </row>
    <row r="268" spans="1:22" ht="15" hidden="1" customHeight="1" outlineLevel="1" x14ac:dyDescent="0.25">
      <c r="A268" s="576">
        <f ca="1">A267</f>
        <v>4</v>
      </c>
      <c r="B268" s="576">
        <f>IF(M268=0,0,MAX($B$191:B191)+1)</f>
        <v>0</v>
      </c>
      <c r="C268" s="576">
        <f>IF(B268=0,0,1)</f>
        <v>0</v>
      </c>
      <c r="D268" s="515">
        <f>D265+1</f>
        <v>226</v>
      </c>
      <c r="E268" s="35" t="str">
        <f ca="1">CONCATENATE(A268,".",$B$267,".",B268)</f>
        <v>4.1.0</v>
      </c>
      <c r="F268" s="576" t="s">
        <v>2639</v>
      </c>
      <c r="G268" s="576">
        <v>4805762</v>
      </c>
      <c r="H268" s="224" t="str">
        <f t="shared" ref="H268:H284" si="199">I268</f>
        <v>Escavação mecânica de vala em material de 2ª categoria</v>
      </c>
      <c r="I268" s="37" t="str">
        <f>IFERROR(VLOOKUP(G268,SINAPI!A:D,2,0),"")</f>
        <v>Escavação mecânica de vala em material de 2ª categoria</v>
      </c>
      <c r="J268" s="620"/>
      <c r="K268" s="578"/>
      <c r="L268" s="40" t="str">
        <f>IFERROR(VLOOKUP(G268,SINAPI!A:D,3,0),"")</f>
        <v>m³</v>
      </c>
      <c r="M268" s="40">
        <f>VLOOKUP(D268,MEMORIA!B:F,$A$3+3)</f>
        <v>0</v>
      </c>
      <c r="N268" s="40">
        <f>IFERROR(VLOOKUP(G268,SINAPI!A:D,4,0),"")</f>
        <v>8.91</v>
      </c>
      <c r="O268" s="1571">
        <f t="shared" ref="O268:O282" si="200">$N$7</f>
        <v>0.24379999999999999</v>
      </c>
      <c r="P268" s="41">
        <f t="shared" ref="P268:P284" si="201">IF(N268="","",(ROUND(N268*(1+O268),2)))</f>
        <v>11.08</v>
      </c>
      <c r="Q268" s="580">
        <f t="shared" ref="Q268:Q284" si="202">IF(M268="","",ROUND(M268*P268,2))</f>
        <v>0</v>
      </c>
      <c r="R268" s="1444">
        <f t="shared" si="145"/>
        <v>0</v>
      </c>
      <c r="U268" s="727"/>
      <c r="V268" s="727"/>
    </row>
    <row r="269" spans="1:22" ht="15" hidden="1" customHeight="1" outlineLevel="1" x14ac:dyDescent="0.25">
      <c r="A269" s="576">
        <f t="shared" ref="A269:A270" ca="1" si="203">A267</f>
        <v>4</v>
      </c>
      <c r="B269" s="576">
        <f>IF(M269=0,0,MAX($B$268:B268)+1)</f>
        <v>0</v>
      </c>
      <c r="C269" s="576">
        <f t="shared" ref="C269:C270" si="204">IF(B269=0,0,1)</f>
        <v>0</v>
      </c>
      <c r="D269" s="515">
        <f>D268+1</f>
        <v>227</v>
      </c>
      <c r="E269" s="35" t="str">
        <f t="shared" ref="E269:E284" ca="1" si="205">CONCATENATE(A269,".",$B$267,".",B269)</f>
        <v>4.1.0</v>
      </c>
      <c r="F269" s="576" t="s">
        <v>2639</v>
      </c>
      <c r="G269" s="36">
        <v>5914389</v>
      </c>
      <c r="H269" s="224" t="str">
        <f t="shared" si="199"/>
        <v>Transporte com caminhão basculante de 10 m³ - rodovia pavimentada</v>
      </c>
      <c r="I269" s="37" t="str">
        <f>IFERROR(VLOOKUP(G269,SINAPI!A:D,2,0),"")</f>
        <v>Transporte com caminhão basculante de 10 m³ - rodovia pavimentada</v>
      </c>
      <c r="J269" s="620"/>
      <c r="K269" s="578"/>
      <c r="L269" s="40" t="str">
        <f>IFERROR(VLOOKUP(G269,SINAPI!A:D,3,0),"")</f>
        <v>tkm</v>
      </c>
      <c r="M269" s="40">
        <f>VLOOKUP(D269,MEMORIA!B:F,$A$3+3)</f>
        <v>0</v>
      </c>
      <c r="N269" s="40">
        <f>IFERROR(VLOOKUP(G269,SINAPI!A:D,4,0),"")</f>
        <v>0.84</v>
      </c>
      <c r="O269" s="1571">
        <f t="shared" si="200"/>
        <v>0.24379999999999999</v>
      </c>
      <c r="P269" s="41">
        <f t="shared" si="201"/>
        <v>1.04</v>
      </c>
      <c r="Q269" s="580">
        <f t="shared" ref="Q269:Q270" si="206">IF(M269="","",ROUND(M269*P269,2))</f>
        <v>0</v>
      </c>
      <c r="R269" s="1444">
        <f t="shared" si="145"/>
        <v>0</v>
      </c>
      <c r="U269" s="727"/>
      <c r="V269" s="727"/>
    </row>
    <row r="270" spans="1:22" ht="15" hidden="1" customHeight="1" outlineLevel="1" x14ac:dyDescent="0.25">
      <c r="A270" s="576">
        <f t="shared" ca="1" si="203"/>
        <v>4</v>
      </c>
      <c r="B270" s="576">
        <f>IF(M270=0,0,MAX($B$268:B269)+1)</f>
        <v>0</v>
      </c>
      <c r="C270" s="576">
        <f t="shared" si="204"/>
        <v>0</v>
      </c>
      <c r="D270" s="515">
        <f t="shared" ref="D270:D284" si="207">D269+1</f>
        <v>228</v>
      </c>
      <c r="E270" s="35" t="str">
        <f t="shared" ca="1" si="205"/>
        <v>4.1.0</v>
      </c>
      <c r="F270" s="576" t="s">
        <v>2639</v>
      </c>
      <c r="G270" s="550">
        <v>4011209</v>
      </c>
      <c r="H270" s="224" t="str">
        <f t="shared" si="199"/>
        <v>Regularização do subleito</v>
      </c>
      <c r="I270" s="37" t="str">
        <f>IFERROR(VLOOKUP(G270,SINAPI!A:D,2,0),"")</f>
        <v>Regularização do subleito</v>
      </c>
      <c r="J270" s="620"/>
      <c r="K270" s="578"/>
      <c r="L270" s="40" t="str">
        <f>IFERROR(VLOOKUP(G270,SINAPI!A:D,3,0),"")</f>
        <v>m²</v>
      </c>
      <c r="M270" s="40">
        <f>VLOOKUP(D270,MEMORIA!B:F,$A$3+3)</f>
        <v>0</v>
      </c>
      <c r="N270" s="40">
        <f>IFERROR(VLOOKUP(G270,SINAPI!A:D,4,0),"")</f>
        <v>1.1399999999999999</v>
      </c>
      <c r="O270" s="1571">
        <f t="shared" si="200"/>
        <v>0.24379999999999999</v>
      </c>
      <c r="P270" s="41">
        <f t="shared" si="201"/>
        <v>1.42</v>
      </c>
      <c r="Q270" s="580">
        <f t="shared" si="206"/>
        <v>0</v>
      </c>
      <c r="R270" s="1444">
        <f t="shared" si="145"/>
        <v>0</v>
      </c>
      <c r="U270" s="727"/>
      <c r="V270" s="727"/>
    </row>
    <row r="271" spans="1:22" ht="15" hidden="1" customHeight="1" outlineLevel="1" x14ac:dyDescent="0.25">
      <c r="A271" s="576">
        <f ca="1">A268</f>
        <v>4</v>
      </c>
      <c r="B271" s="576">
        <f>IF(M271=0,0,MAX($B$268:B270)+1)</f>
        <v>0</v>
      </c>
      <c r="C271" s="576">
        <f t="shared" ref="C271:C275" si="208">IF(B271=0,0,1)</f>
        <v>0</v>
      </c>
      <c r="D271" s="515">
        <f t="shared" si="207"/>
        <v>229</v>
      </c>
      <c r="E271" s="35" t="str">
        <f t="shared" ca="1" si="205"/>
        <v>4.1.0</v>
      </c>
      <c r="F271" s="576" t="s">
        <v>2639</v>
      </c>
      <c r="G271" s="576">
        <v>4011279</v>
      </c>
      <c r="H271" s="224" t="str">
        <f t="shared" si="199"/>
        <v>Base ou sub-base de macadame seco com brita comercial</v>
      </c>
      <c r="I271" s="37" t="str">
        <f>IFERROR(VLOOKUP(G271,SINAPI!A:D,2,0),"")</f>
        <v>Base ou sub-base de macadame seco com brita comercial</v>
      </c>
      <c r="J271" s="620"/>
      <c r="K271" s="576"/>
      <c r="L271" s="40" t="str">
        <f>IFERROR(VLOOKUP(G271,SINAPI!A:D,3,0),"")</f>
        <v>m³</v>
      </c>
      <c r="M271" s="40">
        <f>VLOOKUP(D271,MEMORIA!B:F,$A$3+3)</f>
        <v>0</v>
      </c>
      <c r="N271" s="40">
        <f>IFERROR(VLOOKUP(G271,SINAPI!A:D,4,0),"")</f>
        <v>174.82</v>
      </c>
      <c r="O271" s="1571">
        <f t="shared" si="200"/>
        <v>0.24379999999999999</v>
      </c>
      <c r="P271" s="41">
        <f t="shared" si="201"/>
        <v>217.44</v>
      </c>
      <c r="Q271" s="580">
        <f t="shared" si="202"/>
        <v>0</v>
      </c>
      <c r="R271" s="1444">
        <f t="shared" si="145"/>
        <v>0</v>
      </c>
      <c r="U271" s="727"/>
      <c r="V271" s="727"/>
    </row>
    <row r="272" spans="1:22" ht="15" hidden="1" customHeight="1" outlineLevel="1" x14ac:dyDescent="0.25">
      <c r="A272" s="576">
        <f t="shared" ref="A272:A284" ca="1" si="209">A271</f>
        <v>4</v>
      </c>
      <c r="B272" s="576">
        <f>IF(M272=0,0,MAX($B$268:B271)+1)</f>
        <v>0</v>
      </c>
      <c r="C272" s="576">
        <f t="shared" si="208"/>
        <v>0</v>
      </c>
      <c r="D272" s="515">
        <f t="shared" si="207"/>
        <v>230</v>
      </c>
      <c r="E272" s="35" t="str">
        <f t="shared" ca="1" si="205"/>
        <v>4.1.0</v>
      </c>
      <c r="F272" s="576" t="s">
        <v>2639</v>
      </c>
      <c r="G272" s="36">
        <v>5914389</v>
      </c>
      <c r="H272" s="224" t="str">
        <f t="shared" si="199"/>
        <v>Transporte com caminhão basculante de 10 m³ - rodovia pavimentada</v>
      </c>
      <c r="I272" s="37" t="str">
        <f>IFERROR(VLOOKUP(G272,SINAPI!A:D,2,0),"")</f>
        <v>Transporte com caminhão basculante de 10 m³ - rodovia pavimentada</v>
      </c>
      <c r="J272" s="626">
        <f>J274</f>
        <v>27.8</v>
      </c>
      <c r="K272" s="576"/>
      <c r="L272" s="40" t="str">
        <f>IFERROR(VLOOKUP(G272,SINAPI!A:D,3,0),"")</f>
        <v>tkm</v>
      </c>
      <c r="M272" s="40">
        <f>VLOOKUP(D272,MEMORIA!B:F,$A$3+3)</f>
        <v>0</v>
      </c>
      <c r="N272" s="40">
        <f>IFERROR(VLOOKUP(G272,SINAPI!A:D,4,0),"")</f>
        <v>0.84</v>
      </c>
      <c r="O272" s="1571">
        <f t="shared" si="200"/>
        <v>0.24379999999999999</v>
      </c>
      <c r="P272" s="41">
        <f t="shared" si="201"/>
        <v>1.04</v>
      </c>
      <c r="Q272" s="580">
        <f t="shared" si="202"/>
        <v>0</v>
      </c>
      <c r="R272" s="1444">
        <f t="shared" ref="R272:R335" si="210">Q272</f>
        <v>0</v>
      </c>
      <c r="S272" s="605" t="e">
        <f>SUM(Q271:Q272)/M271</f>
        <v>#DIV/0!</v>
      </c>
      <c r="U272" s="727"/>
      <c r="V272" s="727"/>
    </row>
    <row r="273" spans="1:22" ht="15" hidden="1" customHeight="1" outlineLevel="1" x14ac:dyDescent="0.25">
      <c r="A273" s="576">
        <f t="shared" ca="1" si="209"/>
        <v>4</v>
      </c>
      <c r="B273" s="576">
        <f>IF(M273=0,0,MAX($B$268:B272)+1)</f>
        <v>0</v>
      </c>
      <c r="C273" s="576">
        <f t="shared" si="208"/>
        <v>0</v>
      </c>
      <c r="D273" s="515">
        <f t="shared" si="207"/>
        <v>231</v>
      </c>
      <c r="E273" s="35" t="str">
        <f t="shared" ca="1" si="205"/>
        <v>4.1.0</v>
      </c>
      <c r="F273" s="576" t="s">
        <v>2639</v>
      </c>
      <c r="G273" s="576">
        <v>4011276</v>
      </c>
      <c r="H273" s="224" t="str">
        <f t="shared" si="199"/>
        <v>Base ou sub-base de brita graduada com brita comercial</v>
      </c>
      <c r="I273" s="577" t="str">
        <f>IFERROR(VLOOKUP(G273,SINAPI!A:D,2,0),"")</f>
        <v>Base ou sub-base de brita graduada com brita comercial</v>
      </c>
      <c r="J273" s="626" t="s">
        <v>5</v>
      </c>
      <c r="K273" s="326"/>
      <c r="L273" s="40" t="str">
        <f>IFERROR(VLOOKUP(G273,SINAPI!A:D,3,0),"")</f>
        <v>m³</v>
      </c>
      <c r="M273" s="40">
        <f>VLOOKUP(D273,MEMORIA!B:F,$A$3+3)</f>
        <v>0</v>
      </c>
      <c r="N273" s="40">
        <f>IFERROR(VLOOKUP(G273,SINAPI!A:D,4,0),"")</f>
        <v>204.16</v>
      </c>
      <c r="O273" s="1571">
        <f t="shared" si="200"/>
        <v>0.24379999999999999</v>
      </c>
      <c r="P273" s="41">
        <f t="shared" si="201"/>
        <v>253.93</v>
      </c>
      <c r="Q273" s="580">
        <f t="shared" si="202"/>
        <v>0</v>
      </c>
      <c r="R273" s="1444">
        <f t="shared" si="210"/>
        <v>0</v>
      </c>
      <c r="U273" s="727"/>
      <c r="V273" s="727"/>
    </row>
    <row r="274" spans="1:22" ht="15" hidden="1" customHeight="1" outlineLevel="1" x14ac:dyDescent="0.25">
      <c r="A274" s="576">
        <f t="shared" ca="1" si="209"/>
        <v>4</v>
      </c>
      <c r="B274" s="576">
        <f>IF(M274=0,0,MAX($B$268:B273)+1)</f>
        <v>0</v>
      </c>
      <c r="C274" s="576">
        <f t="shared" si="208"/>
        <v>0</v>
      </c>
      <c r="D274" s="515">
        <f t="shared" si="207"/>
        <v>232</v>
      </c>
      <c r="E274" s="35" t="str">
        <f t="shared" ca="1" si="205"/>
        <v>4.1.0</v>
      </c>
      <c r="F274" s="576" t="s">
        <v>2639</v>
      </c>
      <c r="G274" s="36">
        <v>5914389</v>
      </c>
      <c r="H274" s="224" t="str">
        <f t="shared" si="199"/>
        <v>Transporte com caminhão basculante de 10 m³ - rodovia pavimentada</v>
      </c>
      <c r="I274" s="577" t="str">
        <f>IFERROR(VLOOKUP(G274,SINAPI!A:D,2,0),"")</f>
        <v>Transporte com caminhão basculante de 10 m³ - rodovia pavimentada</v>
      </c>
      <c r="J274" s="626">
        <f>DMT!$H$10</f>
        <v>27.8</v>
      </c>
      <c r="K274" s="326"/>
      <c r="L274" s="40" t="str">
        <f>IFERROR(VLOOKUP(G274,SINAPI!A:D,3,0),"")</f>
        <v>tkm</v>
      </c>
      <c r="M274" s="40">
        <f>VLOOKUP(D274,MEMORIA!B:F,$A$3+3)</f>
        <v>0</v>
      </c>
      <c r="N274" s="40">
        <f>IFERROR(VLOOKUP(G274,SINAPI!A:D,4,0),"")</f>
        <v>0.84</v>
      </c>
      <c r="O274" s="1571">
        <f t="shared" si="200"/>
        <v>0.24379999999999999</v>
      </c>
      <c r="P274" s="41">
        <f t="shared" si="201"/>
        <v>1.04</v>
      </c>
      <c r="Q274" s="580">
        <f t="shared" si="202"/>
        <v>0</v>
      </c>
      <c r="R274" s="1444">
        <f t="shared" si="210"/>
        <v>0</v>
      </c>
      <c r="S274" s="605" t="e">
        <f>SUM(Q273:Q274)/M273</f>
        <v>#DIV/0!</v>
      </c>
      <c r="U274" s="727"/>
      <c r="V274" s="727"/>
    </row>
    <row r="275" spans="1:22" ht="15" hidden="1" customHeight="1" outlineLevel="1" x14ac:dyDescent="0.25">
      <c r="A275" s="576">
        <f t="shared" ca="1" si="209"/>
        <v>4</v>
      </c>
      <c r="B275" s="576">
        <f>IF(M275=0,0,MAX($B$268:B274)+1)</f>
        <v>0</v>
      </c>
      <c r="C275" s="576">
        <f t="shared" si="208"/>
        <v>0</v>
      </c>
      <c r="D275" s="515">
        <f t="shared" si="207"/>
        <v>233</v>
      </c>
      <c r="E275" s="35" t="str">
        <f t="shared" ca="1" si="205"/>
        <v>4.1.0</v>
      </c>
      <c r="F275" s="1567" t="s">
        <v>2639</v>
      </c>
      <c r="G275" s="1567">
        <v>4011352</v>
      </c>
      <c r="H275" s="224" t="str">
        <f t="shared" si="199"/>
        <v>Imprimação com emulsão asfáltica</v>
      </c>
      <c r="I275" s="577" t="str">
        <f>IFERROR(VLOOKUP(G275,SINAPI!A:D,2,0),"")</f>
        <v>Imprimação com emulsão asfáltica</v>
      </c>
      <c r="J275" s="626"/>
      <c r="K275" s="326"/>
      <c r="L275" s="40" t="str">
        <f>IFERROR(VLOOKUP(G275,SINAPI!A:D,3,0),"")</f>
        <v>m²</v>
      </c>
      <c r="M275" s="40">
        <f>VLOOKUP(D275,MEMORIA!B:F,$A$3+3)</f>
        <v>0</v>
      </c>
      <c r="N275" s="40">
        <f>IFERROR(VLOOKUP(G275,SINAPI!A:D,4,0),"")</f>
        <v>0.43</v>
      </c>
      <c r="O275" s="1571">
        <f t="shared" si="200"/>
        <v>0.24379999999999999</v>
      </c>
      <c r="P275" s="41">
        <f t="shared" si="201"/>
        <v>0.53</v>
      </c>
      <c r="Q275" s="580">
        <f t="shared" si="202"/>
        <v>0</v>
      </c>
      <c r="R275" s="1444">
        <f t="shared" si="210"/>
        <v>0</v>
      </c>
      <c r="U275" s="727"/>
      <c r="V275" s="727"/>
    </row>
    <row r="276" spans="1:22" s="1085" customFormat="1" ht="12" hidden="1" customHeight="1" outlineLevel="1" x14ac:dyDescent="0.25">
      <c r="A276" s="576">
        <f t="shared" ca="1" si="209"/>
        <v>4</v>
      </c>
      <c r="B276" s="576">
        <f>IF(M276=0,0,MAX($B$268:B275)+1)</f>
        <v>0</v>
      </c>
      <c r="C276" s="576">
        <f t="shared" ref="C276:C284" si="211">IF(B276=0,0,1)</f>
        <v>0</v>
      </c>
      <c r="D276" s="515">
        <f t="shared" si="207"/>
        <v>234</v>
      </c>
      <c r="E276" s="35" t="str">
        <f t="shared" ca="1" si="205"/>
        <v>4.1.0</v>
      </c>
      <c r="F276" s="1567" t="s">
        <v>3188</v>
      </c>
      <c r="G276" s="1567" t="s">
        <v>3176</v>
      </c>
      <c r="H276" s="224" t="str">
        <f t="shared" si="199"/>
        <v>Emulsão asfáltica para serviço de imprimação</v>
      </c>
      <c r="I276" s="577" t="str">
        <f>IFERROR(VLOOKUP(G276,SINAPI!A:D,2,0),"")</f>
        <v>Emulsão asfáltica para serviço de imprimação</v>
      </c>
      <c r="J276" s="637"/>
      <c r="K276" s="985"/>
      <c r="L276" s="40" t="str">
        <f>IFERROR(VLOOKUP(G276,SINAPI!A:D,3,0),"")</f>
        <v>t</v>
      </c>
      <c r="M276" s="40">
        <f>VLOOKUP(D276,MEMORIA!B:F,$A$3+3)</f>
        <v>0</v>
      </c>
      <c r="N276" s="40">
        <f>IFERROR(VLOOKUP(G276,SINAPI!A:D,4,0),"")</f>
        <v>3625.95</v>
      </c>
      <c r="O276" s="1571">
        <f t="shared" ref="O276:O277" si="212">$N$9</f>
        <v>0.17</v>
      </c>
      <c r="P276" s="41">
        <f t="shared" si="201"/>
        <v>4242.3599999999997</v>
      </c>
      <c r="Q276" s="580">
        <f t="shared" si="202"/>
        <v>0</v>
      </c>
      <c r="R276" s="1444">
        <f t="shared" si="210"/>
        <v>0</v>
      </c>
      <c r="S276" s="1084"/>
      <c r="T276" s="1084"/>
      <c r="U276" s="1083"/>
      <c r="V276" s="1083"/>
    </row>
    <row r="277" spans="1:22" s="1085" customFormat="1" ht="12" hidden="1" customHeight="1" outlineLevel="1" x14ac:dyDescent="0.25">
      <c r="A277" s="576">
        <f t="shared" ca="1" si="209"/>
        <v>4</v>
      </c>
      <c r="B277" s="576">
        <f>IF(M277=0,0,MAX($B$268:B276)+1)</f>
        <v>0</v>
      </c>
      <c r="C277" s="576">
        <f t="shared" si="211"/>
        <v>0</v>
      </c>
      <c r="D277" s="515">
        <f t="shared" si="207"/>
        <v>235</v>
      </c>
      <c r="E277" s="35" t="str">
        <f t="shared" ca="1" si="205"/>
        <v>4.1.0</v>
      </c>
      <c r="F277" s="1567" t="s">
        <v>6483</v>
      </c>
      <c r="G277" s="1567" t="s">
        <v>13702</v>
      </c>
      <c r="H277" s="224" t="str">
        <f t="shared" si="199"/>
        <v>Transporte de Emulsão asfáltica para serviço de imprimação</v>
      </c>
      <c r="I277" s="577" t="str">
        <f>IFERROR(VLOOKUP(G277,SINAPI!A:D,2,0),"")</f>
        <v>Transporte de Emulsão asfáltica para serviço de imprimação</v>
      </c>
      <c r="J277" s="637"/>
      <c r="K277" s="985"/>
      <c r="L277" s="40" t="str">
        <f>IFERROR(VLOOKUP(G277,SINAPI!A:D,3,0),"")</f>
        <v>t</v>
      </c>
      <c r="M277" s="40">
        <f>VLOOKUP(D277,MEMORIA!B:F,$A$3+3)</f>
        <v>0</v>
      </c>
      <c r="N277" s="40">
        <f>IFERROR(VLOOKUP(G277,SINAPI!A:D,4,0),"")</f>
        <v>291.75</v>
      </c>
      <c r="O277" s="1571">
        <f t="shared" si="212"/>
        <v>0.17</v>
      </c>
      <c r="P277" s="41">
        <f t="shared" si="201"/>
        <v>341.35</v>
      </c>
      <c r="Q277" s="580">
        <f t="shared" si="202"/>
        <v>0</v>
      </c>
      <c r="R277" s="1444">
        <f t="shared" si="210"/>
        <v>0</v>
      </c>
      <c r="S277" s="1084"/>
      <c r="T277" s="1084"/>
      <c r="U277" s="1083"/>
      <c r="V277" s="1083"/>
    </row>
    <row r="278" spans="1:22" ht="15" hidden="1" customHeight="1" outlineLevel="1" x14ac:dyDescent="0.25">
      <c r="A278" s="576">
        <f t="shared" ca="1" si="209"/>
        <v>4</v>
      </c>
      <c r="B278" s="576">
        <f>IF(M278=0,0,MAX($B$268:B277)+1)</f>
        <v>0</v>
      </c>
      <c r="C278" s="576">
        <f t="shared" si="211"/>
        <v>0</v>
      </c>
      <c r="D278" s="515">
        <f t="shared" si="207"/>
        <v>236</v>
      </c>
      <c r="E278" s="35" t="str">
        <f t="shared" ca="1" si="205"/>
        <v>4.1.0</v>
      </c>
      <c r="F278" s="1567" t="s">
        <v>2639</v>
      </c>
      <c r="G278" s="1567">
        <v>4011353</v>
      </c>
      <c r="H278" s="224" t="str">
        <f t="shared" si="199"/>
        <v>Pintura de ligação</v>
      </c>
      <c r="I278" s="577" t="str">
        <f>IFERROR(VLOOKUP(G278,SINAPI!A:D,2,0),"")</f>
        <v>Pintura de ligação</v>
      </c>
      <c r="J278" s="626" t="s">
        <v>5</v>
      </c>
      <c r="K278" s="326"/>
      <c r="L278" s="40" t="str">
        <f>IFERROR(VLOOKUP(G278,SINAPI!A:D,3,0),"")</f>
        <v>m²</v>
      </c>
      <c r="M278" s="40">
        <f>VLOOKUP(D278,MEMORIA!B:F,$A$3+3)</f>
        <v>0</v>
      </c>
      <c r="N278" s="40">
        <f>IFERROR(VLOOKUP(G278,SINAPI!A:D,4,0),"")</f>
        <v>0.3</v>
      </c>
      <c r="O278" s="1571">
        <f t="shared" si="200"/>
        <v>0.24379999999999999</v>
      </c>
      <c r="P278" s="41">
        <f t="shared" si="201"/>
        <v>0.37</v>
      </c>
      <c r="Q278" s="580">
        <f t="shared" si="202"/>
        <v>0</v>
      </c>
      <c r="R278" s="1444">
        <f t="shared" si="210"/>
        <v>0</v>
      </c>
      <c r="U278" s="727"/>
      <c r="V278" s="727"/>
    </row>
    <row r="279" spans="1:22" s="1085" customFormat="1" ht="12" hidden="1" customHeight="1" outlineLevel="1" x14ac:dyDescent="0.25">
      <c r="A279" s="576">
        <f t="shared" ca="1" si="209"/>
        <v>4</v>
      </c>
      <c r="B279" s="576">
        <f>IF(M279=0,0,MAX($B$268:B278)+1)</f>
        <v>0</v>
      </c>
      <c r="C279" s="576">
        <f t="shared" si="211"/>
        <v>0</v>
      </c>
      <c r="D279" s="515">
        <f t="shared" si="207"/>
        <v>237</v>
      </c>
      <c r="E279" s="35" t="str">
        <f t="shared" ca="1" si="205"/>
        <v>4.1.0</v>
      </c>
      <c r="F279" s="1567" t="s">
        <v>3188</v>
      </c>
      <c r="G279" s="1567" t="s">
        <v>6481</v>
      </c>
      <c r="H279" s="224" t="str">
        <f t="shared" si="199"/>
        <v>Emulsões asfálticas RR-1C</v>
      </c>
      <c r="I279" s="577" t="str">
        <f>IFERROR(VLOOKUP(G279,SINAPI!A:D,2,0),"")</f>
        <v>Emulsões asfálticas RR-1C</v>
      </c>
      <c r="J279" s="637"/>
      <c r="K279" s="985"/>
      <c r="L279" s="40" t="str">
        <f>IFERROR(VLOOKUP(G279,SINAPI!A:D,3,0),"")</f>
        <v>t</v>
      </c>
      <c r="M279" s="40">
        <f>VLOOKUP(D279,MEMORIA!B:F,$A$3+3)</f>
        <v>0</v>
      </c>
      <c r="N279" s="40">
        <f>IFERROR(VLOOKUP(G279,SINAPI!A:D,4,0),"")</f>
        <v>3291.71</v>
      </c>
      <c r="O279" s="1571">
        <f t="shared" ref="O279:O280" si="213">$N$9</f>
        <v>0.17</v>
      </c>
      <c r="P279" s="41">
        <f t="shared" si="201"/>
        <v>3851.3</v>
      </c>
      <c r="Q279" s="580">
        <f t="shared" si="202"/>
        <v>0</v>
      </c>
      <c r="R279" s="1444">
        <f t="shared" si="210"/>
        <v>0</v>
      </c>
      <c r="S279" s="1084"/>
      <c r="T279" s="1084"/>
      <c r="U279" s="1083"/>
      <c r="V279" s="1083"/>
    </row>
    <row r="280" spans="1:22" s="1085" customFormat="1" ht="12" hidden="1" customHeight="1" outlineLevel="1" x14ac:dyDescent="0.25">
      <c r="A280" s="576">
        <f t="shared" ca="1" si="209"/>
        <v>4</v>
      </c>
      <c r="B280" s="576">
        <f>IF(M280=0,0,MAX($B$268:B279)+1)</f>
        <v>0</v>
      </c>
      <c r="C280" s="576">
        <f t="shared" si="211"/>
        <v>0</v>
      </c>
      <c r="D280" s="515">
        <f t="shared" si="207"/>
        <v>238</v>
      </c>
      <c r="E280" s="35" t="str">
        <f t="shared" ca="1" si="205"/>
        <v>4.1.0</v>
      </c>
      <c r="F280" s="1567" t="s">
        <v>6483</v>
      </c>
      <c r="G280" s="1567" t="s">
        <v>13710</v>
      </c>
      <c r="H280" s="224" t="str">
        <f t="shared" si="199"/>
        <v>Transporte de Emulsões asfálticas RR-1C</v>
      </c>
      <c r="I280" s="577" t="str">
        <f>IFERROR(VLOOKUP(G280,SINAPI!A:D,2,0),"")</f>
        <v>Transporte de Emulsões asfálticas RR-1C</v>
      </c>
      <c r="J280" s="637"/>
      <c r="K280" s="985"/>
      <c r="L280" s="40" t="str">
        <f>IFERROR(VLOOKUP(G280,SINAPI!A:D,3,0),"")</f>
        <v>t</v>
      </c>
      <c r="M280" s="40">
        <f>VLOOKUP(D280,MEMORIA!B:F,$A$3+3)</f>
        <v>0</v>
      </c>
      <c r="N280" s="40">
        <f>IFERROR(VLOOKUP(G280,SINAPI!A:D,4,0),"")</f>
        <v>291.75</v>
      </c>
      <c r="O280" s="1571">
        <f t="shared" si="213"/>
        <v>0.17</v>
      </c>
      <c r="P280" s="41">
        <f t="shared" si="201"/>
        <v>341.35</v>
      </c>
      <c r="Q280" s="580">
        <f t="shared" si="202"/>
        <v>0</v>
      </c>
      <c r="R280" s="1444">
        <f t="shared" si="210"/>
        <v>0</v>
      </c>
      <c r="S280" s="1084"/>
      <c r="T280" s="1084"/>
      <c r="U280" s="1083"/>
      <c r="V280" s="1083"/>
    </row>
    <row r="281" spans="1:22" ht="15" hidden="1" customHeight="1" outlineLevel="1" x14ac:dyDescent="0.25">
      <c r="A281" s="576">
        <f t="shared" ca="1" si="209"/>
        <v>4</v>
      </c>
      <c r="B281" s="576">
        <f>IF(M281=0,0,MAX($B$268:B280)+1)</f>
        <v>0</v>
      </c>
      <c r="C281" s="576">
        <f t="shared" si="211"/>
        <v>0</v>
      </c>
      <c r="D281" s="515">
        <f t="shared" si="207"/>
        <v>239</v>
      </c>
      <c r="E281" s="35" t="str">
        <f t="shared" ca="1" si="205"/>
        <v>4.1.0</v>
      </c>
      <c r="F281" s="1552" t="s">
        <v>2639</v>
      </c>
      <c r="G281" s="1567">
        <v>4011459</v>
      </c>
      <c r="H281" s="224" t="str">
        <f t="shared" si="199"/>
        <v>Concreto asfáltico - faixa B - areia e brita comerciais</v>
      </c>
      <c r="I281" s="577" t="str">
        <f>IFERROR(VLOOKUP(G281,SINAPI!A:D,2,0),"")</f>
        <v>Concreto asfáltico - faixa B - areia e brita comerciais</v>
      </c>
      <c r="J281" s="626"/>
      <c r="K281" s="326"/>
      <c r="L281" s="40" t="str">
        <f>IFERROR(VLOOKUP(G281,SINAPI!A:D,3,0),"")</f>
        <v>t</v>
      </c>
      <c r="M281" s="40">
        <f>VLOOKUP(D281,MEMORIA!B:F,$A$3+3)</f>
        <v>0</v>
      </c>
      <c r="N281" s="40">
        <f>IFERROR(VLOOKUP(G281,SINAPI!A:D,4,0),"")</f>
        <v>200.9</v>
      </c>
      <c r="O281" s="1571">
        <f t="shared" si="200"/>
        <v>0.24379999999999999</v>
      </c>
      <c r="P281" s="41">
        <f t="shared" si="201"/>
        <v>249.88</v>
      </c>
      <c r="Q281" s="580">
        <f t="shared" si="202"/>
        <v>0</v>
      </c>
      <c r="R281" s="1444">
        <f t="shared" si="210"/>
        <v>0</v>
      </c>
      <c r="S281" s="605" t="e">
        <f>Q281/$M$206</f>
        <v>#DIV/0!</v>
      </c>
      <c r="U281" s="727"/>
      <c r="V281" s="727"/>
    </row>
    <row r="282" spans="1:22" ht="15" hidden="1" customHeight="1" outlineLevel="1" x14ac:dyDescent="0.25">
      <c r="A282" s="576">
        <f t="shared" ca="1" si="209"/>
        <v>4</v>
      </c>
      <c r="B282" s="576">
        <f>IF(M282=0,0,MAX($B$268:B281)+1)</f>
        <v>0</v>
      </c>
      <c r="C282" s="576">
        <f t="shared" si="211"/>
        <v>0</v>
      </c>
      <c r="D282" s="515">
        <f t="shared" si="207"/>
        <v>240</v>
      </c>
      <c r="E282" s="35" t="str">
        <f t="shared" ca="1" si="205"/>
        <v>4.1.0</v>
      </c>
      <c r="F282" s="1567" t="s">
        <v>2639</v>
      </c>
      <c r="G282" s="1567">
        <v>5914389</v>
      </c>
      <c r="H282" s="224" t="str">
        <f t="shared" si="199"/>
        <v>Transporte com caminhão basculante de 10 m³ - rodovia pavimentada</v>
      </c>
      <c r="I282" s="577" t="str">
        <f>IFERROR(VLOOKUP(G282,SINAPI!A:D,2,0),"")</f>
        <v>Transporte com caminhão basculante de 10 m³ - rodovia pavimentada</v>
      </c>
      <c r="J282" s="626">
        <f>DMT!$G$10</f>
        <v>25.9</v>
      </c>
      <c r="K282" s="326"/>
      <c r="L282" s="40" t="str">
        <f>IFERROR(VLOOKUP(G282,SINAPI!A:D,3,0),"")</f>
        <v>tkm</v>
      </c>
      <c r="M282" s="40">
        <f>VLOOKUP(D282,MEMORIA!B:F,$A$3+3)</f>
        <v>0</v>
      </c>
      <c r="N282" s="40">
        <f>IFERROR(VLOOKUP(G282,SINAPI!A:D,4,0),"")</f>
        <v>0.84</v>
      </c>
      <c r="O282" s="1571">
        <f t="shared" si="200"/>
        <v>0.24379999999999999</v>
      </c>
      <c r="P282" s="41">
        <f t="shared" si="201"/>
        <v>1.04</v>
      </c>
      <c r="Q282" s="580">
        <f t="shared" si="202"/>
        <v>0</v>
      </c>
      <c r="R282" s="1444">
        <f t="shared" si="210"/>
        <v>0</v>
      </c>
      <c r="S282" s="605" t="e">
        <f t="shared" ref="S282" si="214">Q282/$M$206</f>
        <v>#DIV/0!</v>
      </c>
      <c r="U282" s="727"/>
      <c r="V282" s="727"/>
    </row>
    <row r="283" spans="1:22" ht="15" hidden="1" customHeight="1" outlineLevel="1" x14ac:dyDescent="0.25">
      <c r="A283" s="576">
        <f t="shared" ca="1" si="209"/>
        <v>4</v>
      </c>
      <c r="B283" s="576">
        <f>IF(M283=0,0,MAX($B$268:B282)+1)</f>
        <v>0</v>
      </c>
      <c r="C283" s="576">
        <f t="shared" si="211"/>
        <v>0</v>
      </c>
      <c r="D283" s="515">
        <f t="shared" si="207"/>
        <v>241</v>
      </c>
      <c r="E283" s="35" t="str">
        <f t="shared" ca="1" si="205"/>
        <v>4.1.0</v>
      </c>
      <c r="F283" s="1567" t="s">
        <v>3188</v>
      </c>
      <c r="G283" s="1567" t="s">
        <v>6039</v>
      </c>
      <c r="H283" s="224" t="str">
        <f t="shared" si="199"/>
        <v>Cimentos asfálticos CAP-50-70</v>
      </c>
      <c r="I283" s="577" t="str">
        <f>IFERROR(VLOOKUP(G283,SINAPI!A:D,2,0),"")</f>
        <v>Cimentos asfálticos CAP-50-70</v>
      </c>
      <c r="J283" s="626"/>
      <c r="K283" s="326"/>
      <c r="L283" s="40" t="str">
        <f>IFERROR(VLOOKUP(G283,SINAPI!A:D,3,0),"")</f>
        <v>t</v>
      </c>
      <c r="M283" s="40">
        <f>VLOOKUP(D283,MEMORIA!B:F,$A$3+3)</f>
        <v>0</v>
      </c>
      <c r="N283" s="40">
        <f>IFERROR(VLOOKUP(G283,SINAPI!A:D,4,0),"")</f>
        <v>4568.07</v>
      </c>
      <c r="O283" s="1571">
        <f t="shared" ref="O283:O284" si="215">$N$9</f>
        <v>0.17</v>
      </c>
      <c r="P283" s="41">
        <f t="shared" si="201"/>
        <v>5344.64</v>
      </c>
      <c r="Q283" s="580">
        <f t="shared" si="202"/>
        <v>0</v>
      </c>
      <c r="R283" s="1444">
        <f t="shared" si="210"/>
        <v>0</v>
      </c>
      <c r="S283" s="605" t="e">
        <f>Q283/$M$206</f>
        <v>#DIV/0!</v>
      </c>
      <c r="U283" s="727"/>
      <c r="V283" s="727"/>
    </row>
    <row r="284" spans="1:22" ht="15" hidden="1" customHeight="1" outlineLevel="1" x14ac:dyDescent="0.25">
      <c r="A284" s="576">
        <f t="shared" ca="1" si="209"/>
        <v>4</v>
      </c>
      <c r="B284" s="576">
        <f>IF(M284=0,0,MAX($B$268:B283)+1)</f>
        <v>0</v>
      </c>
      <c r="C284" s="576">
        <f t="shared" si="211"/>
        <v>0</v>
      </c>
      <c r="D284" s="515">
        <f t="shared" si="207"/>
        <v>242</v>
      </c>
      <c r="E284" s="35" t="str">
        <f t="shared" ca="1" si="205"/>
        <v>4.1.0</v>
      </c>
      <c r="F284" s="1567" t="s">
        <v>6483</v>
      </c>
      <c r="G284" s="1567" t="s">
        <v>13700</v>
      </c>
      <c r="H284" s="224" t="str">
        <f t="shared" si="199"/>
        <v>Transporte de Cimentos asfálticos CAP-50-70</v>
      </c>
      <c r="I284" s="577" t="str">
        <f>IFERROR(VLOOKUP(G284,SINAPI!A:D,2,0),"")</f>
        <v>Transporte de Cimentos asfálticos CAP-50-70</v>
      </c>
      <c r="J284" s="626">
        <f>DMT!$K$10</f>
        <v>374.8</v>
      </c>
      <c r="K284" s="326"/>
      <c r="L284" s="40" t="str">
        <f>IFERROR(VLOOKUP(G284,SINAPI!A:D,3,0),"")</f>
        <v>t</v>
      </c>
      <c r="M284" s="40">
        <f>VLOOKUP(D284,MEMORIA!B:F,$A$3+3)</f>
        <v>0</v>
      </c>
      <c r="N284" s="40">
        <f>IFERROR(VLOOKUP(G284,SINAPI!A:D,4,0),"")</f>
        <v>291.75</v>
      </c>
      <c r="O284" s="1571">
        <f t="shared" si="215"/>
        <v>0.17</v>
      </c>
      <c r="P284" s="41">
        <f t="shared" si="201"/>
        <v>341.35</v>
      </c>
      <c r="Q284" s="580">
        <f t="shared" si="202"/>
        <v>0</v>
      </c>
      <c r="R284" s="1444">
        <f t="shared" si="210"/>
        <v>0</v>
      </c>
      <c r="S284" s="605" t="e">
        <f>SUM(Q281:Q284)/M281</f>
        <v>#DIV/0!</v>
      </c>
      <c r="U284" s="727"/>
      <c r="V284" s="727"/>
    </row>
    <row r="285" spans="1:22" ht="15" hidden="1" customHeight="1" outlineLevel="1" x14ac:dyDescent="0.25">
      <c r="A285" s="733"/>
      <c r="B285" s="733"/>
      <c r="C285" s="733">
        <f>C267</f>
        <v>0</v>
      </c>
      <c r="E285" s="739" t="s">
        <v>3890</v>
      </c>
      <c r="F285" s="740"/>
      <c r="G285" s="740"/>
      <c r="H285" s="740"/>
      <c r="I285" s="740"/>
      <c r="J285" s="740"/>
      <c r="K285" s="740"/>
      <c r="L285" s="740"/>
      <c r="M285" s="740"/>
      <c r="N285" s="741"/>
      <c r="O285" s="741"/>
      <c r="P285" s="438"/>
      <c r="Q285" s="742">
        <f>SUM(Q268:Q284)</f>
        <v>0</v>
      </c>
      <c r="R285" s="1444"/>
      <c r="U285" s="727"/>
      <c r="V285" s="727"/>
    </row>
    <row r="286" spans="1:22" s="2" customFormat="1" ht="15" hidden="1" customHeight="1" outlineLevel="1" x14ac:dyDescent="0.25">
      <c r="A286" s="216">
        <f ca="1">A267</f>
        <v>4</v>
      </c>
      <c r="B286" s="617">
        <f>IF(C286=1,B267+1,B267)</f>
        <v>1</v>
      </c>
      <c r="C286" s="216">
        <f>IF(SUBTOTAL(9,C287:C288)&gt;0,1,0)</f>
        <v>0</v>
      </c>
      <c r="D286" s="727"/>
      <c r="E286" s="618" t="str">
        <f ca="1">CONCATENATE(A286,".",B286)</f>
        <v>4.1</v>
      </c>
      <c r="F286" s="734"/>
      <c r="G286" s="734" t="s">
        <v>3895</v>
      </c>
      <c r="H286" s="734"/>
      <c r="I286" s="215"/>
      <c r="J286" s="735"/>
      <c r="K286" s="736"/>
      <c r="L286" s="216"/>
      <c r="M286" s="737"/>
      <c r="N286" s="737"/>
      <c r="O286" s="1570"/>
      <c r="P286" s="737"/>
      <c r="Q286" s="738"/>
      <c r="R286" s="1444">
        <f t="shared" si="210"/>
        <v>0</v>
      </c>
      <c r="S286" s="315"/>
      <c r="T286" s="315"/>
      <c r="U286" s="727"/>
      <c r="V286" s="727"/>
    </row>
    <row r="287" spans="1:22" s="2" customFormat="1" ht="15" hidden="1" customHeight="1" outlineLevel="1" x14ac:dyDescent="0.25">
      <c r="A287" s="36">
        <f ca="1">A286</f>
        <v>4</v>
      </c>
      <c r="B287" s="576">
        <f>IF(M287=0,0,MAX($B$191:B191)+1)</f>
        <v>0</v>
      </c>
      <c r="C287" s="36">
        <f t="shared" ref="C287:C288" si="216">IF(B287=0,0,1)</f>
        <v>0</v>
      </c>
      <c r="D287" s="750">
        <f>D284+1</f>
        <v>243</v>
      </c>
      <c r="E287" s="35" t="str">
        <f ca="1">CONCATENATE(A287,".",$B$286,".",B287)</f>
        <v>4.1.0</v>
      </c>
      <c r="F287" s="576" t="s">
        <v>2639</v>
      </c>
      <c r="G287" s="550">
        <v>4011480</v>
      </c>
      <c r="H287" s="224" t="str">
        <f t="shared" ref="H287:H288" si="217">I287</f>
        <v>Fresagem descontínua de revestimento asfáltico</v>
      </c>
      <c r="I287" s="37" t="str">
        <f>IFERROR(VLOOKUP(G287,SINAPI!A:D,2,0),"")</f>
        <v>Fresagem descontínua de revestimento asfáltico</v>
      </c>
      <c r="J287" s="38"/>
      <c r="K287" s="39"/>
      <c r="L287" s="41" t="str">
        <f>IFERROR(VLOOKUP(G287,SINAPI!A:D,3,0),"")</f>
        <v>m³</v>
      </c>
      <c r="M287" s="41">
        <f>VLOOKUP(D287,MEMORIA!B:F,$A$3+3)</f>
        <v>0</v>
      </c>
      <c r="N287" s="41">
        <f>IFERROR(VLOOKUP(G287,SINAPI!A:D,4,0),"")</f>
        <v>74.25</v>
      </c>
      <c r="O287" s="1571">
        <f t="shared" ref="O287:O288" si="218">$N$7</f>
        <v>0.24379999999999999</v>
      </c>
      <c r="P287" s="41">
        <f t="shared" ref="P287:P288" si="219">IF(N287="","",(ROUND(N287*(1+O287),2)))</f>
        <v>92.35</v>
      </c>
      <c r="Q287" s="42"/>
      <c r="R287" s="1444">
        <f t="shared" si="210"/>
        <v>0</v>
      </c>
      <c r="S287" s="315"/>
      <c r="T287" s="315"/>
      <c r="U287" s="839"/>
      <c r="V287" s="839"/>
    </row>
    <row r="288" spans="1:22" s="2" customFormat="1" ht="15" hidden="1" customHeight="1" outlineLevel="1" x14ac:dyDescent="0.25">
      <c r="A288" s="36">
        <f ca="1">A287</f>
        <v>4</v>
      </c>
      <c r="B288" s="576">
        <f>IF(M288=0,0,MAX($B$287:B287)+1)</f>
        <v>0</v>
      </c>
      <c r="C288" s="36">
        <f t="shared" si="216"/>
        <v>0</v>
      </c>
      <c r="D288" s="750">
        <f>D287+1</f>
        <v>244</v>
      </c>
      <c r="E288" s="35" t="str">
        <f ca="1">CONCATENATE(A288,".",$B$286,".",B288)</f>
        <v>4.1.0</v>
      </c>
      <c r="F288" s="576" t="s">
        <v>2639</v>
      </c>
      <c r="G288" s="36">
        <v>5914389</v>
      </c>
      <c r="H288" s="224" t="str">
        <f t="shared" si="217"/>
        <v>Transporte com caminhão basculante de 10 m³ - rodovia pavimentada</v>
      </c>
      <c r="I288" s="37" t="str">
        <f>IFERROR(VLOOKUP(G288,SINAPI!A:D,2,0),"")</f>
        <v>Transporte com caminhão basculante de 10 m³ - rodovia pavimentada</v>
      </c>
      <c r="J288" s="38"/>
      <c r="K288" s="39"/>
      <c r="L288" s="41" t="str">
        <f>IFERROR(VLOOKUP(G288,SINAPI!A:D,3,0),"")</f>
        <v>tkm</v>
      </c>
      <c r="M288" s="41">
        <f>VLOOKUP(D288,MEMORIA!B:F,$A$3+3)</f>
        <v>0</v>
      </c>
      <c r="N288" s="41">
        <f>IFERROR(VLOOKUP(G288,SINAPI!A:D,4,0),"")</f>
        <v>0.84</v>
      </c>
      <c r="O288" s="1571">
        <f t="shared" si="218"/>
        <v>0.24379999999999999</v>
      </c>
      <c r="P288" s="41">
        <f t="shared" si="219"/>
        <v>1.04</v>
      </c>
      <c r="Q288" s="42">
        <f t="shared" ref="Q288" si="220">IF(M288="","",ROUND(M288*P288,2))</f>
        <v>0</v>
      </c>
      <c r="R288" s="1444">
        <f t="shared" si="210"/>
        <v>0</v>
      </c>
      <c r="S288" s="315"/>
      <c r="T288" s="315"/>
      <c r="U288" s="727"/>
      <c r="V288" s="727"/>
    </row>
    <row r="289" spans="1:22" ht="15" hidden="1" customHeight="1" outlineLevel="1" x14ac:dyDescent="0.25">
      <c r="A289" s="733"/>
      <c r="B289" s="733"/>
      <c r="C289" s="733">
        <f>C286</f>
        <v>0</v>
      </c>
      <c r="E289" s="739" t="s">
        <v>3890</v>
      </c>
      <c r="F289" s="740"/>
      <c r="G289" s="740"/>
      <c r="H289" s="740"/>
      <c r="I289" s="740"/>
      <c r="J289" s="740"/>
      <c r="K289" s="740"/>
      <c r="L289" s="740"/>
      <c r="M289" s="740"/>
      <c r="N289" s="741"/>
      <c r="O289" s="741"/>
      <c r="P289" s="438"/>
      <c r="Q289" s="742">
        <f>SUM(Q287:Q288)</f>
        <v>0</v>
      </c>
      <c r="R289" s="1444"/>
      <c r="U289" s="727"/>
      <c r="V289" s="727"/>
    </row>
    <row r="290" spans="1:22" s="2" customFormat="1" ht="15" hidden="1" customHeight="1" outlineLevel="1" x14ac:dyDescent="0.25">
      <c r="A290" s="216">
        <f ca="1">A286</f>
        <v>4</v>
      </c>
      <c r="B290" s="617">
        <f>IF(C290=1,B286+1,B286)</f>
        <v>1</v>
      </c>
      <c r="C290" s="216">
        <f>IF(SUBTOTAL(9,C291:C298)&gt;0,1,0)</f>
        <v>0</v>
      </c>
      <c r="D290" s="745"/>
      <c r="E290" s="618" t="str">
        <f ca="1">CONCATENATE(A290,".",B290)</f>
        <v>4.1</v>
      </c>
      <c r="F290" s="734"/>
      <c r="G290" s="734" t="s">
        <v>6196</v>
      </c>
      <c r="H290" s="734"/>
      <c r="I290" s="215"/>
      <c r="J290" s="735"/>
      <c r="K290" s="736"/>
      <c r="L290" s="216"/>
      <c r="M290" s="737"/>
      <c r="N290" s="737"/>
      <c r="O290" s="1570"/>
      <c r="P290" s="737"/>
      <c r="Q290" s="738"/>
      <c r="R290" s="1444">
        <f t="shared" si="210"/>
        <v>0</v>
      </c>
      <c r="S290" s="315"/>
      <c r="T290" s="315"/>
      <c r="U290" s="745"/>
      <c r="V290" s="745"/>
    </row>
    <row r="291" spans="1:22" s="2" customFormat="1" ht="15" hidden="1" customHeight="1" outlineLevel="1" x14ac:dyDescent="0.25">
      <c r="A291" s="36">
        <f ca="1">A290</f>
        <v>4</v>
      </c>
      <c r="B291" s="576">
        <f>IF(M291=0,0,MAX($B$191:B191)+1)</f>
        <v>0</v>
      </c>
      <c r="C291" s="36">
        <f t="shared" ref="C291:C298" si="221">IF(B291=0,0,1)</f>
        <v>0</v>
      </c>
      <c r="D291" s="515">
        <f>D288+1</f>
        <v>245</v>
      </c>
      <c r="E291" s="35" t="str">
        <f ca="1">CONCATENATE(A291,".",$B$290,".",B291)</f>
        <v>4.1.0</v>
      </c>
      <c r="F291" s="576" t="s">
        <v>2639</v>
      </c>
      <c r="G291" s="576">
        <v>3806402</v>
      </c>
      <c r="H291" s="224" t="str">
        <f t="shared" ref="H291:H298" si="222">I291</f>
        <v>Limpeza em superfície de concreto com jateamento d'água sob pressão</v>
      </c>
      <c r="I291" s="577" t="str">
        <f>IFERROR(VLOOKUP(G291,SINAPI!A:D,2,0),"")</f>
        <v>Limpeza em superfície de concreto com jateamento d'água sob pressão</v>
      </c>
      <c r="J291" s="38"/>
      <c r="K291" s="39"/>
      <c r="L291" s="41" t="str">
        <f>IFERROR(VLOOKUP(G291,SINAPI!A:D,3,0),"")</f>
        <v>m²</v>
      </c>
      <c r="M291" s="41">
        <f>VLOOKUP(D291,MEMORIA!B:F,$A$3+3)</f>
        <v>0</v>
      </c>
      <c r="N291" s="41">
        <f>IFERROR(VLOOKUP(G291,SINAPI!A:D,4,0),"")</f>
        <v>2.2599999999999998</v>
      </c>
      <c r="O291" s="1571">
        <f t="shared" ref="O291:O296" si="223">$N$7</f>
        <v>0.24379999999999999</v>
      </c>
      <c r="P291" s="41">
        <f t="shared" ref="P291:P298" si="224">IF(N291="","",(ROUND(N291*(1+O291),2)))</f>
        <v>2.81</v>
      </c>
      <c r="Q291" s="42">
        <f t="shared" ref="Q291:Q298" si="225">IF(M291="","",ROUND(M291*P291,2))</f>
        <v>0</v>
      </c>
      <c r="R291" s="1444">
        <f t="shared" si="210"/>
        <v>0</v>
      </c>
      <c r="S291" s="315"/>
      <c r="T291" s="315"/>
      <c r="U291" s="745"/>
      <c r="V291" s="745"/>
    </row>
    <row r="292" spans="1:22" s="2" customFormat="1" ht="15" hidden="1" customHeight="1" outlineLevel="1" x14ac:dyDescent="0.25">
      <c r="A292" s="36">
        <f t="shared" ref="A292:A298" ca="1" si="226">A291</f>
        <v>4</v>
      </c>
      <c r="B292" s="576">
        <f>IF(M292=0,0,MAX($B$291:B291)+1)</f>
        <v>0</v>
      </c>
      <c r="C292" s="36">
        <f t="shared" si="221"/>
        <v>0</v>
      </c>
      <c r="D292" s="515">
        <f t="shared" ref="D292:D298" si="227">D291+1</f>
        <v>246</v>
      </c>
      <c r="E292" s="35" t="str">
        <f t="shared" ref="E292:E298" ca="1" si="228">CONCATENATE(A292,".",$B$290,".",B292)</f>
        <v>4.1.0</v>
      </c>
      <c r="F292" s="1567" t="s">
        <v>2639</v>
      </c>
      <c r="G292" s="1567">
        <v>4011353</v>
      </c>
      <c r="H292" s="224" t="str">
        <f t="shared" si="222"/>
        <v>Pintura de ligação</v>
      </c>
      <c r="I292" s="577" t="str">
        <f>IFERROR(VLOOKUP(G292,SINAPI!A:D,2,0),"")</f>
        <v>Pintura de ligação</v>
      </c>
      <c r="J292" s="45" t="s">
        <v>5</v>
      </c>
      <c r="K292" s="46"/>
      <c r="L292" s="41" t="str">
        <f>IFERROR(VLOOKUP(G292,SINAPI!A:D,3,0),"")</f>
        <v>m²</v>
      </c>
      <c r="M292" s="41">
        <f>VLOOKUP(D292,MEMORIA!B:F,$A$3+3)</f>
        <v>0</v>
      </c>
      <c r="N292" s="41">
        <f>IFERROR(VLOOKUP(G292,SINAPI!A:D,4,0),"")</f>
        <v>0.3</v>
      </c>
      <c r="O292" s="1571">
        <f t="shared" si="223"/>
        <v>0.24379999999999999</v>
      </c>
      <c r="P292" s="41">
        <f t="shared" si="224"/>
        <v>0.37</v>
      </c>
      <c r="Q292" s="42">
        <f t="shared" si="225"/>
        <v>0</v>
      </c>
      <c r="R292" s="1444">
        <f t="shared" si="210"/>
        <v>0</v>
      </c>
      <c r="S292" s="315"/>
      <c r="T292" s="315"/>
      <c r="U292" s="745"/>
      <c r="V292" s="745"/>
    </row>
    <row r="293" spans="1:22" s="1085" customFormat="1" ht="12" hidden="1" customHeight="1" outlineLevel="1" x14ac:dyDescent="0.25">
      <c r="A293" s="36">
        <f t="shared" ca="1" si="226"/>
        <v>4</v>
      </c>
      <c r="B293" s="576">
        <f>IF(M293=0,0,MAX($B$291:B292)+1)</f>
        <v>0</v>
      </c>
      <c r="C293" s="36">
        <f t="shared" ref="C293:C295" si="229">IF(B293=0,0,1)</f>
        <v>0</v>
      </c>
      <c r="D293" s="515">
        <f t="shared" si="227"/>
        <v>247</v>
      </c>
      <c r="E293" s="35" t="str">
        <f t="shared" ca="1" si="228"/>
        <v>4.1.0</v>
      </c>
      <c r="F293" s="1567" t="s">
        <v>3188</v>
      </c>
      <c r="G293" s="1567" t="s">
        <v>6481</v>
      </c>
      <c r="H293" s="224" t="str">
        <f t="shared" si="222"/>
        <v>Emulsões asfálticas RR-1C</v>
      </c>
      <c r="I293" s="577" t="str">
        <f>IFERROR(VLOOKUP(G293,SINAPI!A:D,2,0),"")</f>
        <v>Emulsões asfálticas RR-1C</v>
      </c>
      <c r="J293" s="637"/>
      <c r="K293" s="985"/>
      <c r="L293" s="40" t="str">
        <f>IFERROR(VLOOKUP(G293,SINAPI!A:D,3,0),"")</f>
        <v>t</v>
      </c>
      <c r="M293" s="40">
        <f>VLOOKUP(D293,MEMORIA!B:F,$A$3+3)</f>
        <v>0</v>
      </c>
      <c r="N293" s="40">
        <f>IFERROR(VLOOKUP(G293,SINAPI!A:D,4,0),"")</f>
        <v>3291.71</v>
      </c>
      <c r="O293" s="1571">
        <f t="shared" ref="O293:O294" si="230">$N$9</f>
        <v>0.17</v>
      </c>
      <c r="P293" s="41">
        <f t="shared" si="224"/>
        <v>3851.3</v>
      </c>
      <c r="Q293" s="580">
        <f t="shared" si="225"/>
        <v>0</v>
      </c>
      <c r="R293" s="1444">
        <f t="shared" si="210"/>
        <v>0</v>
      </c>
      <c r="S293" s="1084"/>
      <c r="T293" s="1084"/>
      <c r="U293" s="1083"/>
      <c r="V293" s="1083"/>
    </row>
    <row r="294" spans="1:22" s="1085" customFormat="1" ht="12" hidden="1" customHeight="1" outlineLevel="1" x14ac:dyDescent="0.25">
      <c r="A294" s="36">
        <f t="shared" ca="1" si="226"/>
        <v>4</v>
      </c>
      <c r="B294" s="576">
        <f>IF(M294=0,0,MAX($B$291:B293)+1)</f>
        <v>0</v>
      </c>
      <c r="C294" s="36">
        <f t="shared" si="229"/>
        <v>0</v>
      </c>
      <c r="D294" s="515">
        <f t="shared" si="227"/>
        <v>248</v>
      </c>
      <c r="E294" s="35" t="str">
        <f t="shared" ca="1" si="228"/>
        <v>4.1.0</v>
      </c>
      <c r="F294" s="1567" t="s">
        <v>6483</v>
      </c>
      <c r="G294" s="1567" t="s">
        <v>13710</v>
      </c>
      <c r="H294" s="224" t="str">
        <f t="shared" si="222"/>
        <v>Transporte de Emulsões asfálticas RR-1C</v>
      </c>
      <c r="I294" s="577" t="str">
        <f>IFERROR(VLOOKUP(G294,SINAPI!A:D,2,0),"")</f>
        <v>Transporte de Emulsões asfálticas RR-1C</v>
      </c>
      <c r="J294" s="637"/>
      <c r="K294" s="985"/>
      <c r="L294" s="40" t="str">
        <f>IFERROR(VLOOKUP(G294,SINAPI!A:D,3,0),"")</f>
        <v>t</v>
      </c>
      <c r="M294" s="40">
        <f>VLOOKUP(D294,MEMORIA!B:F,$A$3+3)</f>
        <v>0</v>
      </c>
      <c r="N294" s="40">
        <f>IFERROR(VLOOKUP(G294,SINAPI!A:D,4,0),"")</f>
        <v>291.75</v>
      </c>
      <c r="O294" s="1571">
        <f t="shared" si="230"/>
        <v>0.17</v>
      </c>
      <c r="P294" s="41">
        <f t="shared" si="224"/>
        <v>341.35</v>
      </c>
      <c r="Q294" s="580">
        <f t="shared" si="225"/>
        <v>0</v>
      </c>
      <c r="R294" s="1444">
        <f t="shared" si="210"/>
        <v>0</v>
      </c>
      <c r="S294" s="1084"/>
      <c r="T294" s="1084"/>
      <c r="U294" s="1083"/>
      <c r="V294" s="1083"/>
    </row>
    <row r="295" spans="1:22" s="2" customFormat="1" ht="15" hidden="1" customHeight="1" outlineLevel="1" x14ac:dyDescent="0.25">
      <c r="A295" s="36">
        <f t="shared" ca="1" si="226"/>
        <v>4</v>
      </c>
      <c r="B295" s="576">
        <f>IF(M295=0,0,MAX($B$291:B294)+1)</f>
        <v>0</v>
      </c>
      <c r="C295" s="36">
        <f t="shared" si="229"/>
        <v>0</v>
      </c>
      <c r="D295" s="515">
        <f t="shared" si="227"/>
        <v>249</v>
      </c>
      <c r="E295" s="35" t="str">
        <f t="shared" ca="1" si="228"/>
        <v>4.1.0</v>
      </c>
      <c r="F295" s="1552" t="s">
        <v>2639</v>
      </c>
      <c r="G295" s="1567">
        <v>4011459</v>
      </c>
      <c r="H295" s="224" t="str">
        <f t="shared" si="222"/>
        <v>Concreto asfáltico - faixa B - areia e brita comerciais</v>
      </c>
      <c r="I295" s="577" t="str">
        <f>IFERROR(VLOOKUP(G295,SINAPI!A:D,2,0),"")</f>
        <v>Concreto asfáltico - faixa B - areia e brita comerciais</v>
      </c>
      <c r="J295" s="45"/>
      <c r="K295" s="46"/>
      <c r="L295" s="41" t="str">
        <f>IFERROR(VLOOKUP(G295,SINAPI!A:D,3,0),"")</f>
        <v>t</v>
      </c>
      <c r="M295" s="41">
        <f>VLOOKUP(D295,MEMORIA!B:F,$A$3+3)</f>
        <v>0</v>
      </c>
      <c r="N295" s="41">
        <f>IFERROR(VLOOKUP(G295,SINAPI!A:D,4,0),"")</f>
        <v>200.9</v>
      </c>
      <c r="O295" s="1571">
        <f t="shared" si="223"/>
        <v>0.24379999999999999</v>
      </c>
      <c r="P295" s="41">
        <f t="shared" si="224"/>
        <v>249.88</v>
      </c>
      <c r="Q295" s="42">
        <f t="shared" si="225"/>
        <v>0</v>
      </c>
      <c r="R295" s="1444">
        <f t="shared" si="210"/>
        <v>0</v>
      </c>
      <c r="S295" s="315"/>
      <c r="T295" s="315"/>
      <c r="U295" s="839"/>
      <c r="V295" s="839"/>
    </row>
    <row r="296" spans="1:22" s="2" customFormat="1" ht="15" hidden="1" customHeight="1" outlineLevel="1" x14ac:dyDescent="0.25">
      <c r="A296" s="36">
        <f t="shared" ca="1" si="226"/>
        <v>4</v>
      </c>
      <c r="B296" s="576">
        <f>IF(M296=0,0,MAX($B$291:B295)+1)</f>
        <v>0</v>
      </c>
      <c r="C296" s="36">
        <f t="shared" si="221"/>
        <v>0</v>
      </c>
      <c r="D296" s="515">
        <f t="shared" si="227"/>
        <v>250</v>
      </c>
      <c r="E296" s="35" t="str">
        <f t="shared" ca="1" si="228"/>
        <v>4.1.0</v>
      </c>
      <c r="F296" s="1567" t="s">
        <v>2639</v>
      </c>
      <c r="G296" s="1567">
        <v>5914389</v>
      </c>
      <c r="H296" s="224" t="str">
        <f t="shared" si="222"/>
        <v>Transporte com caminhão basculante de 10 m³ - rodovia pavimentada</v>
      </c>
      <c r="I296" s="577" t="str">
        <f>IFERROR(VLOOKUP(G296,SINAPI!A:D,2,0),"")</f>
        <v>Transporte com caminhão basculante de 10 m³ - rodovia pavimentada</v>
      </c>
      <c r="J296" s="45">
        <f>DMT!$G$10</f>
        <v>25.9</v>
      </c>
      <c r="K296" s="46"/>
      <c r="L296" s="41" t="str">
        <f>IFERROR(VLOOKUP(G296,SINAPI!A:D,3,0),"")</f>
        <v>tkm</v>
      </c>
      <c r="M296" s="41">
        <f>VLOOKUP(D296,MEMORIA!B:F,$A$3+3)</f>
        <v>0</v>
      </c>
      <c r="N296" s="41">
        <f>IFERROR(VLOOKUP(G296,SINAPI!A:D,4,0),"")</f>
        <v>0.84</v>
      </c>
      <c r="O296" s="1571">
        <f t="shared" si="223"/>
        <v>0.24379999999999999</v>
      </c>
      <c r="P296" s="41">
        <f t="shared" si="224"/>
        <v>1.04</v>
      </c>
      <c r="Q296" s="42">
        <f t="shared" si="225"/>
        <v>0</v>
      </c>
      <c r="R296" s="1444">
        <f t="shared" si="210"/>
        <v>0</v>
      </c>
      <c r="S296" s="315"/>
      <c r="T296" s="315"/>
      <c r="U296" s="745"/>
      <c r="V296" s="745"/>
    </row>
    <row r="297" spans="1:22" s="2" customFormat="1" ht="15" hidden="1" customHeight="1" outlineLevel="1" x14ac:dyDescent="0.25">
      <c r="A297" s="36">
        <f t="shared" ca="1" si="226"/>
        <v>4</v>
      </c>
      <c r="B297" s="576">
        <f>IF(M297=0,0,MAX($B$291:B296)+1)</f>
        <v>0</v>
      </c>
      <c r="C297" s="36">
        <f t="shared" si="221"/>
        <v>0</v>
      </c>
      <c r="D297" s="515">
        <f t="shared" si="227"/>
        <v>251</v>
      </c>
      <c r="E297" s="35" t="str">
        <f t="shared" ca="1" si="228"/>
        <v>4.1.0</v>
      </c>
      <c r="F297" s="1567" t="s">
        <v>3188</v>
      </c>
      <c r="G297" s="1567" t="s">
        <v>6039</v>
      </c>
      <c r="H297" s="224" t="str">
        <f t="shared" si="222"/>
        <v>Cimentos asfálticos CAP-50-70</v>
      </c>
      <c r="I297" s="577" t="str">
        <f>IFERROR(VLOOKUP(G297,SINAPI!A:D,2,0),"")</f>
        <v>Cimentos asfálticos CAP-50-70</v>
      </c>
      <c r="J297" s="45"/>
      <c r="K297" s="46"/>
      <c r="L297" s="41" t="str">
        <f>IFERROR(VLOOKUP(G297,SINAPI!A:D,3,0),"")</f>
        <v>t</v>
      </c>
      <c r="M297" s="1023">
        <f>VLOOKUP(D297,MEMORIA!B:F,$A$3+3)</f>
        <v>0</v>
      </c>
      <c r="N297" s="41">
        <f>IFERROR(VLOOKUP(G297,SINAPI!A:D,4,0),"")</f>
        <v>4568.07</v>
      </c>
      <c r="O297" s="1571">
        <f t="shared" ref="O297:O298" si="231">$N$9</f>
        <v>0.17</v>
      </c>
      <c r="P297" s="41">
        <f t="shared" si="224"/>
        <v>5344.64</v>
      </c>
      <c r="Q297" s="42">
        <f>IF(M297="","",ROUND(M297*P297,2))</f>
        <v>0</v>
      </c>
      <c r="R297" s="1444">
        <f t="shared" si="210"/>
        <v>0</v>
      </c>
      <c r="S297" s="315"/>
      <c r="T297" s="315"/>
      <c r="U297" s="745"/>
      <c r="V297" s="745"/>
    </row>
    <row r="298" spans="1:22" s="2" customFormat="1" ht="15" hidden="1" customHeight="1" outlineLevel="1" x14ac:dyDescent="0.25">
      <c r="A298" s="36">
        <f t="shared" ca="1" si="226"/>
        <v>4</v>
      </c>
      <c r="B298" s="576">
        <f>IF(M298=0,0,MAX($B$291:B297)+1)</f>
        <v>0</v>
      </c>
      <c r="C298" s="36">
        <f t="shared" si="221"/>
        <v>0</v>
      </c>
      <c r="D298" s="515">
        <f t="shared" si="227"/>
        <v>252</v>
      </c>
      <c r="E298" s="35" t="str">
        <f t="shared" ca="1" si="228"/>
        <v>4.1.0</v>
      </c>
      <c r="F298" s="1567" t="s">
        <v>6483</v>
      </c>
      <c r="G298" s="1567" t="s">
        <v>13700</v>
      </c>
      <c r="H298" s="224" t="str">
        <f t="shared" si="222"/>
        <v>Transporte de Cimentos asfálticos CAP-50-70</v>
      </c>
      <c r="I298" s="577" t="str">
        <f>IFERROR(VLOOKUP(G298,SINAPI!A:D,2,0),"")</f>
        <v>Transporte de Cimentos asfálticos CAP-50-70</v>
      </c>
      <c r="J298" s="45">
        <f>DMT!$K$10</f>
        <v>374.8</v>
      </c>
      <c r="K298" s="46"/>
      <c r="L298" s="41" t="str">
        <f>IFERROR(VLOOKUP(G298,SINAPI!A:D,3,0),"")</f>
        <v>t</v>
      </c>
      <c r="M298" s="41">
        <f>VLOOKUP(D298,MEMORIA!B:F,$A$3+3)</f>
        <v>0</v>
      </c>
      <c r="N298" s="41">
        <f>IFERROR(VLOOKUP(G298,SINAPI!A:D,4,0),"")</f>
        <v>291.75</v>
      </c>
      <c r="O298" s="1571">
        <f t="shared" si="231"/>
        <v>0.17</v>
      </c>
      <c r="P298" s="41">
        <f t="shared" si="224"/>
        <v>341.35</v>
      </c>
      <c r="Q298" s="42">
        <f t="shared" si="225"/>
        <v>0</v>
      </c>
      <c r="R298" s="1444">
        <f t="shared" si="210"/>
        <v>0</v>
      </c>
      <c r="S298" s="315"/>
      <c r="T298" s="315"/>
      <c r="U298" s="745"/>
      <c r="V298" s="745"/>
    </row>
    <row r="299" spans="1:22" ht="15" hidden="1" customHeight="1" outlineLevel="1" x14ac:dyDescent="0.25">
      <c r="A299" s="733"/>
      <c r="B299" s="733"/>
      <c r="C299" s="733">
        <f>C290</f>
        <v>0</v>
      </c>
      <c r="E299" s="739" t="s">
        <v>3890</v>
      </c>
      <c r="F299" s="740"/>
      <c r="G299" s="740"/>
      <c r="H299" s="740"/>
      <c r="I299" s="740"/>
      <c r="J299" s="740"/>
      <c r="K299" s="740"/>
      <c r="L299" s="740"/>
      <c r="M299" s="740"/>
      <c r="N299" s="741"/>
      <c r="O299" s="741"/>
      <c r="P299" s="438"/>
      <c r="Q299" s="742">
        <f>SUM(Q291:Q298)</f>
        <v>0</v>
      </c>
      <c r="R299" s="1444"/>
      <c r="U299" s="745"/>
      <c r="V299" s="745"/>
    </row>
    <row r="300" spans="1:22" s="2" customFormat="1" ht="15" hidden="1" customHeight="1" outlineLevel="1" x14ac:dyDescent="0.25">
      <c r="A300" s="216">
        <f ca="1">A290</f>
        <v>4</v>
      </c>
      <c r="B300" s="617">
        <f>IF(C300=1,B290+1,B290)</f>
        <v>1</v>
      </c>
      <c r="C300" s="216">
        <f>IF(SUBTOTAL(9,C301:C308)&gt;0,1,0)</f>
        <v>0</v>
      </c>
      <c r="D300" s="1061"/>
      <c r="E300" s="618" t="str">
        <f ca="1">CONCATENATE(A300,".",B300)</f>
        <v>4.1</v>
      </c>
      <c r="F300" s="734"/>
      <c r="G300" s="734" t="s">
        <v>6242</v>
      </c>
      <c r="H300" s="734"/>
      <c r="I300" s="215"/>
      <c r="J300" s="735"/>
      <c r="K300" s="736"/>
      <c r="L300" s="216"/>
      <c r="M300" s="737"/>
      <c r="N300" s="737"/>
      <c r="O300" s="1570"/>
      <c r="P300" s="737"/>
      <c r="Q300" s="738"/>
      <c r="R300" s="1444">
        <f t="shared" si="210"/>
        <v>0</v>
      </c>
      <c r="S300" s="315"/>
      <c r="T300" s="315"/>
      <c r="U300" s="1061"/>
      <c r="V300" s="1061"/>
    </row>
    <row r="301" spans="1:22" s="2" customFormat="1" ht="15" hidden="1" customHeight="1" outlineLevel="1" x14ac:dyDescent="0.25">
      <c r="A301" s="36">
        <f ca="1">A300</f>
        <v>4</v>
      </c>
      <c r="B301" s="576">
        <f>IF(M301=0,0,MAX($B$191:B191)+1)</f>
        <v>0</v>
      </c>
      <c r="C301" s="36">
        <f t="shared" ref="C301:C308" si="232">IF(B301=0,0,1)</f>
        <v>0</v>
      </c>
      <c r="D301" s="515">
        <f>D298+1</f>
        <v>253</v>
      </c>
      <c r="E301" s="35" t="str">
        <f ca="1">CONCATENATE(A301,".",$B$290,".",B301)</f>
        <v>4.1.0</v>
      </c>
      <c r="F301" s="576" t="s">
        <v>2639</v>
      </c>
      <c r="G301" s="576">
        <v>3806402</v>
      </c>
      <c r="H301" s="224" t="str">
        <f t="shared" ref="H301:H308" si="233">I301</f>
        <v>Limpeza em superfície de concreto com jateamento d'água sob pressão</v>
      </c>
      <c r="I301" s="577" t="str">
        <f>IFERROR(VLOOKUP(G301,SINAPI!A:D,2,0),"")</f>
        <v>Limpeza em superfície de concreto com jateamento d'água sob pressão</v>
      </c>
      <c r="J301" s="38"/>
      <c r="K301" s="39"/>
      <c r="L301" s="41" t="str">
        <f>IFERROR(VLOOKUP(G301,SINAPI!A:D,3,0),"")</f>
        <v>m²</v>
      </c>
      <c r="M301" s="41">
        <f>VLOOKUP(D301,MEMORIA!B:F,$A$3+3)</f>
        <v>0</v>
      </c>
      <c r="N301" s="41">
        <f>IFERROR(VLOOKUP(G301,SINAPI!A:D,4,0),"")</f>
        <v>2.2599999999999998</v>
      </c>
      <c r="O301" s="1571">
        <f t="shared" ref="O301:O306" si="234">$N$7</f>
        <v>0.24379999999999999</v>
      </c>
      <c r="P301" s="41">
        <f t="shared" ref="P301:P308" si="235">IF(N301="","",(ROUND(N301*(1+O301),2)))</f>
        <v>2.81</v>
      </c>
      <c r="Q301" s="42">
        <f t="shared" ref="Q301:Q306" si="236">IF(M301="","",ROUND(M301*P301,2))</f>
        <v>0</v>
      </c>
      <c r="R301" s="1444">
        <f t="shared" si="210"/>
        <v>0</v>
      </c>
      <c r="S301" s="315"/>
      <c r="T301" s="315"/>
      <c r="U301" s="1061"/>
      <c r="V301" s="1061"/>
    </row>
    <row r="302" spans="1:22" s="2" customFormat="1" ht="15" hidden="1" customHeight="1" outlineLevel="1" x14ac:dyDescent="0.25">
      <c r="A302" s="36">
        <f t="shared" ref="A302:A308" ca="1" si="237">A301</f>
        <v>4</v>
      </c>
      <c r="B302" s="576">
        <f>IF(M302=0,0,MAX($B$301:B301)+1)</f>
        <v>0</v>
      </c>
      <c r="C302" s="36">
        <f t="shared" si="232"/>
        <v>0</v>
      </c>
      <c r="D302" s="515">
        <f t="shared" ref="D302:D308" si="238">D301+1</f>
        <v>254</v>
      </c>
      <c r="E302" s="35" t="str">
        <f t="shared" ref="E302:E308" ca="1" si="239">CONCATENATE(A302,".",$B$290,".",B302)</f>
        <v>4.1.0</v>
      </c>
      <c r="F302" s="1567" t="s">
        <v>2639</v>
      </c>
      <c r="G302" s="1567">
        <v>4011353</v>
      </c>
      <c r="H302" s="224" t="str">
        <f t="shared" si="233"/>
        <v>Pintura de ligação</v>
      </c>
      <c r="I302" s="577" t="str">
        <f>IFERROR(VLOOKUP(G302,SINAPI!A:D,2,0),"")</f>
        <v>Pintura de ligação</v>
      </c>
      <c r="J302" s="45" t="s">
        <v>5</v>
      </c>
      <c r="K302" s="46"/>
      <c r="L302" s="41" t="str">
        <f>IFERROR(VLOOKUP(G302,SINAPI!A:D,3,0),"")</f>
        <v>m²</v>
      </c>
      <c r="M302" s="41">
        <f>VLOOKUP(D302,MEMORIA!B:F,$A$3+3)</f>
        <v>0</v>
      </c>
      <c r="N302" s="41">
        <f>IFERROR(VLOOKUP(G302,SINAPI!A:D,4,0),"")</f>
        <v>0.3</v>
      </c>
      <c r="O302" s="1571">
        <f t="shared" si="234"/>
        <v>0.24379999999999999</v>
      </c>
      <c r="P302" s="41">
        <f t="shared" si="235"/>
        <v>0.37</v>
      </c>
      <c r="Q302" s="42">
        <f t="shared" si="236"/>
        <v>0</v>
      </c>
      <c r="R302" s="1444">
        <f t="shared" si="210"/>
        <v>0</v>
      </c>
      <c r="S302" s="315"/>
      <c r="T302" s="315"/>
      <c r="U302" s="1061"/>
      <c r="V302" s="1061"/>
    </row>
    <row r="303" spans="1:22" s="1085" customFormat="1" ht="12" hidden="1" customHeight="1" outlineLevel="1" x14ac:dyDescent="0.25">
      <c r="A303" s="36">
        <f t="shared" ca="1" si="237"/>
        <v>4</v>
      </c>
      <c r="B303" s="576">
        <f>IF(M303=0,0,MAX($B$301:B302)+1)</f>
        <v>0</v>
      </c>
      <c r="C303" s="36">
        <f t="shared" ref="C303:C306" si="240">IF(B303=0,0,1)</f>
        <v>0</v>
      </c>
      <c r="D303" s="515">
        <f t="shared" si="238"/>
        <v>255</v>
      </c>
      <c r="E303" s="35" t="str">
        <f t="shared" ca="1" si="239"/>
        <v>4.1.0</v>
      </c>
      <c r="F303" s="1567" t="s">
        <v>3188</v>
      </c>
      <c r="G303" s="1567" t="s">
        <v>6481</v>
      </c>
      <c r="H303" s="224" t="str">
        <f t="shared" si="233"/>
        <v>Emulsões asfálticas RR-1C</v>
      </c>
      <c r="I303" s="577" t="str">
        <f>IFERROR(VLOOKUP(G303,SINAPI!A:D,2,0),"")</f>
        <v>Emulsões asfálticas RR-1C</v>
      </c>
      <c r="J303" s="637"/>
      <c r="K303" s="985"/>
      <c r="L303" s="40" t="str">
        <f>IFERROR(VLOOKUP(G303,SINAPI!A:D,3,0),"")</f>
        <v>t</v>
      </c>
      <c r="M303" s="40">
        <f>VLOOKUP(D303,MEMORIA!B:F,$A$3+3)</f>
        <v>0</v>
      </c>
      <c r="N303" s="40">
        <f>IFERROR(VLOOKUP(G303,SINAPI!A:D,4,0),"")</f>
        <v>3291.71</v>
      </c>
      <c r="O303" s="1571">
        <f t="shared" ref="O303:O304" si="241">$N$9</f>
        <v>0.17</v>
      </c>
      <c r="P303" s="41">
        <f t="shared" si="235"/>
        <v>3851.3</v>
      </c>
      <c r="Q303" s="580">
        <f t="shared" si="236"/>
        <v>0</v>
      </c>
      <c r="R303" s="1444">
        <f t="shared" si="210"/>
        <v>0</v>
      </c>
      <c r="S303" s="1084"/>
      <c r="T303" s="1084"/>
      <c r="U303" s="1083"/>
      <c r="V303" s="1083"/>
    </row>
    <row r="304" spans="1:22" s="1085" customFormat="1" ht="12" hidden="1" customHeight="1" outlineLevel="1" x14ac:dyDescent="0.25">
      <c r="A304" s="36">
        <f t="shared" ca="1" si="237"/>
        <v>4</v>
      </c>
      <c r="B304" s="576">
        <f>IF(M304=0,0,MAX($B$301:B303)+1)</f>
        <v>0</v>
      </c>
      <c r="C304" s="36">
        <f t="shared" si="240"/>
        <v>0</v>
      </c>
      <c r="D304" s="515">
        <f t="shared" si="238"/>
        <v>256</v>
      </c>
      <c r="E304" s="35" t="str">
        <f t="shared" ca="1" si="239"/>
        <v>4.1.0</v>
      </c>
      <c r="F304" s="1567" t="s">
        <v>6483</v>
      </c>
      <c r="G304" s="1567" t="s">
        <v>13710</v>
      </c>
      <c r="H304" s="224" t="str">
        <f t="shared" si="233"/>
        <v>Transporte de Emulsões asfálticas RR-1C</v>
      </c>
      <c r="I304" s="577" t="str">
        <f>IFERROR(VLOOKUP(G304,SINAPI!A:D,2,0),"")</f>
        <v>Transporte de Emulsões asfálticas RR-1C</v>
      </c>
      <c r="J304" s="637"/>
      <c r="K304" s="985"/>
      <c r="L304" s="40" t="str">
        <f>IFERROR(VLOOKUP(G304,SINAPI!A:D,3,0),"")</f>
        <v>t</v>
      </c>
      <c r="M304" s="40">
        <f>VLOOKUP(D304,MEMORIA!B:F,$A$3+3)</f>
        <v>0</v>
      </c>
      <c r="N304" s="40">
        <f>IFERROR(VLOOKUP(G304,SINAPI!A:D,4,0),"")</f>
        <v>291.75</v>
      </c>
      <c r="O304" s="1571">
        <f t="shared" si="241"/>
        <v>0.17</v>
      </c>
      <c r="P304" s="41">
        <f t="shared" si="235"/>
        <v>341.35</v>
      </c>
      <c r="Q304" s="580">
        <f t="shared" si="236"/>
        <v>0</v>
      </c>
      <c r="R304" s="1444">
        <f t="shared" si="210"/>
        <v>0</v>
      </c>
      <c r="S304" s="1084"/>
      <c r="T304" s="1084"/>
      <c r="U304" s="1083"/>
      <c r="V304" s="1083"/>
    </row>
    <row r="305" spans="1:22" s="2" customFormat="1" ht="15" hidden="1" customHeight="1" outlineLevel="1" x14ac:dyDescent="0.25">
      <c r="A305" s="36">
        <f t="shared" ca="1" si="237"/>
        <v>4</v>
      </c>
      <c r="B305" s="576">
        <f>IF(M305=0,0,MAX($B$301:B304)+1)</f>
        <v>0</v>
      </c>
      <c r="C305" s="36">
        <f t="shared" si="240"/>
        <v>0</v>
      </c>
      <c r="D305" s="515">
        <f t="shared" si="238"/>
        <v>257</v>
      </c>
      <c r="E305" s="35" t="str">
        <f t="shared" ca="1" si="239"/>
        <v>4.1.0</v>
      </c>
      <c r="F305" s="1552" t="s">
        <v>2639</v>
      </c>
      <c r="G305" s="1567">
        <v>4011459</v>
      </c>
      <c r="H305" s="224" t="str">
        <f t="shared" si="233"/>
        <v>Concreto asfáltico - faixa B - areia e brita comerciais</v>
      </c>
      <c r="I305" s="577" t="str">
        <f>IFERROR(VLOOKUP(G305,SINAPI!A:D,2,0),"")</f>
        <v>Concreto asfáltico - faixa B - areia e brita comerciais</v>
      </c>
      <c r="J305" s="45"/>
      <c r="K305" s="46"/>
      <c r="L305" s="41" t="str">
        <f>IFERROR(VLOOKUP(G305,SINAPI!A:D,3,0),"")</f>
        <v>t</v>
      </c>
      <c r="M305" s="41">
        <f>VLOOKUP(D305,MEMORIA!B:F,$A$3+3)</f>
        <v>0</v>
      </c>
      <c r="N305" s="41">
        <f>IFERROR(VLOOKUP(G305,SINAPI!A:D,4,0),"")</f>
        <v>200.9</v>
      </c>
      <c r="O305" s="1571">
        <f t="shared" si="234"/>
        <v>0.24379999999999999</v>
      </c>
      <c r="P305" s="41">
        <f t="shared" si="235"/>
        <v>249.88</v>
      </c>
      <c r="Q305" s="42">
        <f t="shared" si="236"/>
        <v>0</v>
      </c>
      <c r="R305" s="1444">
        <f t="shared" si="210"/>
        <v>0</v>
      </c>
      <c r="S305" s="315"/>
      <c r="T305" s="315"/>
      <c r="U305" s="1061"/>
      <c r="V305" s="1061"/>
    </row>
    <row r="306" spans="1:22" s="2" customFormat="1" ht="15" hidden="1" customHeight="1" outlineLevel="1" x14ac:dyDescent="0.25">
      <c r="A306" s="36">
        <f t="shared" ca="1" si="237"/>
        <v>4</v>
      </c>
      <c r="B306" s="576">
        <f>IF(M306=0,0,MAX($B$301:B305)+1)</f>
        <v>0</v>
      </c>
      <c r="C306" s="36">
        <f t="shared" si="240"/>
        <v>0</v>
      </c>
      <c r="D306" s="515">
        <f t="shared" si="238"/>
        <v>258</v>
      </c>
      <c r="E306" s="35" t="str">
        <f t="shared" ca="1" si="239"/>
        <v>4.1.0</v>
      </c>
      <c r="F306" s="1567" t="s">
        <v>2639</v>
      </c>
      <c r="G306" s="1567">
        <v>5914389</v>
      </c>
      <c r="H306" s="224" t="str">
        <f t="shared" si="233"/>
        <v>Transporte com caminhão basculante de 10 m³ - rodovia pavimentada</v>
      </c>
      <c r="I306" s="577" t="str">
        <f>IFERROR(VLOOKUP(G306,SINAPI!A:D,2,0),"")</f>
        <v>Transporte com caminhão basculante de 10 m³ - rodovia pavimentada</v>
      </c>
      <c r="J306" s="45">
        <f>DMT!$G$10</f>
        <v>25.9</v>
      </c>
      <c r="K306" s="46"/>
      <c r="L306" s="41" t="str">
        <f>IFERROR(VLOOKUP(G306,SINAPI!A:D,3,0),"")</f>
        <v>tkm</v>
      </c>
      <c r="M306" s="41">
        <f>VLOOKUP(D306,MEMORIA!B:F,$A$3+3)</f>
        <v>0</v>
      </c>
      <c r="N306" s="41">
        <f>IFERROR(VLOOKUP(G306,SINAPI!A:D,4,0),"")</f>
        <v>0.84</v>
      </c>
      <c r="O306" s="1571">
        <f t="shared" si="234"/>
        <v>0.24379999999999999</v>
      </c>
      <c r="P306" s="41">
        <f t="shared" si="235"/>
        <v>1.04</v>
      </c>
      <c r="Q306" s="42">
        <f t="shared" si="236"/>
        <v>0</v>
      </c>
      <c r="R306" s="1444">
        <f t="shared" si="210"/>
        <v>0</v>
      </c>
      <c r="S306" s="315"/>
      <c r="T306" s="315"/>
      <c r="U306" s="1061"/>
      <c r="V306" s="1061"/>
    </row>
    <row r="307" spans="1:22" s="2" customFormat="1" ht="15" hidden="1" customHeight="1" outlineLevel="1" x14ac:dyDescent="0.25">
      <c r="A307" s="36">
        <f t="shared" ca="1" si="237"/>
        <v>4</v>
      </c>
      <c r="B307" s="576">
        <f>IF(M307=0,0,MAX($B$301:B306)+1)</f>
        <v>0</v>
      </c>
      <c r="C307" s="36">
        <f t="shared" si="232"/>
        <v>0</v>
      </c>
      <c r="D307" s="515">
        <f t="shared" si="238"/>
        <v>259</v>
      </c>
      <c r="E307" s="35" t="str">
        <f t="shared" ca="1" si="239"/>
        <v>4.1.0</v>
      </c>
      <c r="F307" s="1567" t="s">
        <v>3188</v>
      </c>
      <c r="G307" s="1567" t="s">
        <v>6039</v>
      </c>
      <c r="H307" s="224" t="str">
        <f t="shared" si="233"/>
        <v>Cimentos asfálticos CAP-50-70</v>
      </c>
      <c r="I307" s="577" t="str">
        <f>IFERROR(VLOOKUP(G307,SINAPI!A:D,2,0),"")</f>
        <v>Cimentos asfálticos CAP-50-70</v>
      </c>
      <c r="J307" s="45"/>
      <c r="K307" s="46"/>
      <c r="L307" s="41" t="str">
        <f>IFERROR(VLOOKUP(G307,SINAPI!A:D,3,0),"")</f>
        <v>t</v>
      </c>
      <c r="M307" s="41">
        <f>VLOOKUP(D307,MEMORIA!B:F,$A$3+3)</f>
        <v>0</v>
      </c>
      <c r="N307" s="41">
        <f>IFERROR(VLOOKUP(G307,SINAPI!A:D,4,0),"")</f>
        <v>4568.07</v>
      </c>
      <c r="O307" s="1571">
        <f t="shared" ref="O307:O308" si="242">$N$9</f>
        <v>0.17</v>
      </c>
      <c r="P307" s="41">
        <f t="shared" si="235"/>
        <v>5344.64</v>
      </c>
      <c r="Q307" s="42">
        <f>IF(M307="","",ROUND(M307*P307,2))</f>
        <v>0</v>
      </c>
      <c r="R307" s="1444">
        <f t="shared" si="210"/>
        <v>0</v>
      </c>
      <c r="S307" s="315"/>
      <c r="T307" s="315"/>
      <c r="U307" s="1061"/>
      <c r="V307" s="1061"/>
    </row>
    <row r="308" spans="1:22" s="2" customFormat="1" ht="15" hidden="1" customHeight="1" outlineLevel="1" x14ac:dyDescent="0.25">
      <c r="A308" s="36">
        <f t="shared" ca="1" si="237"/>
        <v>4</v>
      </c>
      <c r="B308" s="576">
        <f>IF(M308=0,0,MAX($B$301:B307)+1)</f>
        <v>0</v>
      </c>
      <c r="C308" s="36">
        <f t="shared" si="232"/>
        <v>0</v>
      </c>
      <c r="D308" s="515">
        <f t="shared" si="238"/>
        <v>260</v>
      </c>
      <c r="E308" s="35" t="str">
        <f t="shared" ca="1" si="239"/>
        <v>4.1.0</v>
      </c>
      <c r="F308" s="1567" t="s">
        <v>6483</v>
      </c>
      <c r="G308" s="1567" t="s">
        <v>13700</v>
      </c>
      <c r="H308" s="224" t="str">
        <f t="shared" si="233"/>
        <v>Transporte de Cimentos asfálticos CAP-50-70</v>
      </c>
      <c r="I308" s="577" t="str">
        <f>IFERROR(VLOOKUP(G308,SINAPI!A:D,2,0),"")</f>
        <v>Transporte de Cimentos asfálticos CAP-50-70</v>
      </c>
      <c r="J308" s="45">
        <f>DMT!$K$10</f>
        <v>374.8</v>
      </c>
      <c r="K308" s="46"/>
      <c r="L308" s="41" t="str">
        <f>IFERROR(VLOOKUP(G308,SINAPI!A:D,3,0),"")</f>
        <v>t</v>
      </c>
      <c r="M308" s="41">
        <f>VLOOKUP(D308,MEMORIA!B:F,$A$3+3)</f>
        <v>0</v>
      </c>
      <c r="N308" s="41">
        <f>IFERROR(VLOOKUP(G308,SINAPI!A:D,4,0),"")</f>
        <v>291.75</v>
      </c>
      <c r="O308" s="1571">
        <f t="shared" si="242"/>
        <v>0.17</v>
      </c>
      <c r="P308" s="41">
        <f t="shared" si="235"/>
        <v>341.35</v>
      </c>
      <c r="Q308" s="42">
        <f t="shared" ref="Q308" si="243">IF(M308="","",ROUND(M308*P308,2))</f>
        <v>0</v>
      </c>
      <c r="R308" s="1444">
        <f t="shared" si="210"/>
        <v>0</v>
      </c>
      <c r="S308" s="315"/>
      <c r="T308" s="315"/>
      <c r="U308" s="1061"/>
      <c r="V308" s="1061"/>
    </row>
    <row r="309" spans="1:22" ht="15" hidden="1" customHeight="1" outlineLevel="1" x14ac:dyDescent="0.25">
      <c r="A309" s="733"/>
      <c r="B309" s="733"/>
      <c r="C309" s="733">
        <f>C300</f>
        <v>0</v>
      </c>
      <c r="E309" s="739" t="s">
        <v>3890</v>
      </c>
      <c r="F309" s="740"/>
      <c r="G309" s="740"/>
      <c r="H309" s="740"/>
      <c r="I309" s="740"/>
      <c r="J309" s="740"/>
      <c r="K309" s="740"/>
      <c r="L309" s="740"/>
      <c r="M309" s="740"/>
      <c r="N309" s="741"/>
      <c r="O309" s="741"/>
      <c r="P309" s="438"/>
      <c r="Q309" s="742">
        <f>SUM(Q301:Q308)</f>
        <v>0</v>
      </c>
      <c r="R309" s="1444"/>
      <c r="U309" s="1061"/>
      <c r="V309" s="1061"/>
    </row>
    <row r="310" spans="1:22" ht="15" customHeight="1" outlineLevel="1" thickBot="1" x14ac:dyDescent="0.3">
      <c r="A310" s="218"/>
      <c r="B310" s="218"/>
      <c r="C310" s="218">
        <f>C191</f>
        <v>1</v>
      </c>
      <c r="E310" s="230" t="s">
        <v>2607</v>
      </c>
      <c r="F310" s="231"/>
      <c r="G310" s="231"/>
      <c r="H310" s="231"/>
      <c r="I310" s="231"/>
      <c r="J310" s="231"/>
      <c r="K310" s="231"/>
      <c r="L310" s="231"/>
      <c r="M310" s="231"/>
      <c r="N310" s="232"/>
      <c r="O310" s="232"/>
      <c r="P310" s="621"/>
      <c r="Q310" s="581">
        <f>SUM(Q289,Q285,Q266,Q254,Q244,Q210,Q299,Q227,Q309)</f>
        <v>181351.05</v>
      </c>
      <c r="R310" s="581">
        <f>SUM(R193:R309)</f>
        <v>181351.05</v>
      </c>
      <c r="U310" s="668"/>
      <c r="V310" s="668"/>
    </row>
    <row r="311" spans="1:22" ht="15" hidden="1" customHeight="1" outlineLevel="1" x14ac:dyDescent="0.25">
      <c r="A311" s="617">
        <f ca="1">A191+C311</f>
        <v>4</v>
      </c>
      <c r="B311" s="617">
        <v>0</v>
      </c>
      <c r="C311" s="617">
        <f>IF(SUM(B312:B321)&gt;0,1,0)</f>
        <v>0</v>
      </c>
      <c r="E311" s="618" t="str">
        <f ca="1">CONCATENATE(A311,".",B311)</f>
        <v>4.0</v>
      </c>
      <c r="F311" s="627"/>
      <c r="G311" s="627" t="s">
        <v>2609</v>
      </c>
      <c r="H311" s="627"/>
      <c r="I311" s="44"/>
      <c r="J311" s="628"/>
      <c r="K311" s="629"/>
      <c r="L311" s="630" t="str">
        <f>IFERROR(VLOOKUP(G311,SINAPI,3,0),"")</f>
        <v/>
      </c>
      <c r="M311" s="631"/>
      <c r="N311" s="631" t="str">
        <f t="shared" ref="N311" si="244">IFERROR(VLOOKUP(G311,SINAPI,4,0),"")</f>
        <v/>
      </c>
      <c r="O311" s="1569"/>
      <c r="P311" s="631" t="str">
        <f>IF(N311="","",(ROUND(N311*(1+BDI),2)))</f>
        <v/>
      </c>
      <c r="Q311" s="632" t="str">
        <f t="shared" ref="Q311:Q321" si="245">IF(M311="","",ROUND(M311*P311,2))</f>
        <v/>
      </c>
      <c r="R311" s="1444" t="str">
        <f t="shared" si="210"/>
        <v/>
      </c>
      <c r="U311" s="668"/>
      <c r="V311" s="668"/>
    </row>
    <row r="312" spans="1:22" s="2" customFormat="1" ht="27.95" hidden="1" customHeight="1" outlineLevel="1" x14ac:dyDescent="0.25">
      <c r="A312" s="36">
        <f ca="1">A311</f>
        <v>4</v>
      </c>
      <c r="B312" s="576">
        <f>IF(M312=0,0,MAX($B$311:B311)+1)</f>
        <v>0</v>
      </c>
      <c r="C312" s="36">
        <f t="shared" ref="C312:C314" si="246">IF(B312=0,0,1)</f>
        <v>0</v>
      </c>
      <c r="D312" s="515">
        <f>D313+1</f>
        <v>262</v>
      </c>
      <c r="E312" s="35" t="str">
        <f ca="1">CONCATENATE(A312,".",B312)</f>
        <v>4.0</v>
      </c>
      <c r="F312" s="576" t="s">
        <v>2639</v>
      </c>
      <c r="G312" s="550">
        <v>2003947</v>
      </c>
      <c r="H312" s="224" t="str">
        <f t="shared" ref="H312:H321" si="247">I312</f>
        <v>Meio-fio de concreto - MFC 05 moldado no local com extrusora e concreto usinado - areia e brita comerciais</v>
      </c>
      <c r="I312" s="37" t="str">
        <f>IFERROR(VLOOKUP(G312,SINAPI!A:D,2,0),"")</f>
        <v>Meio-fio de concreto - MFC 05 moldado no local com extrusora e concreto usinado - areia e brita comerciais</v>
      </c>
      <c r="J312" s="45"/>
      <c r="K312" s="46"/>
      <c r="L312" s="41" t="str">
        <f>IFERROR(VLOOKUP(G312,SINAPI!A:D,3,0),"")</f>
        <v>m</v>
      </c>
      <c r="M312" s="41">
        <f>VLOOKUP(D312,MEMORIA!B:F,$A$3+3)</f>
        <v>0</v>
      </c>
      <c r="N312" s="41">
        <f>IFERROR(VLOOKUP(G312,SINAPI!A:D,4,0),"")</f>
        <v>23.26</v>
      </c>
      <c r="O312" s="1571">
        <f t="shared" ref="O312:O321" si="248">$N$7</f>
        <v>0.24379999999999999</v>
      </c>
      <c r="P312" s="41">
        <f t="shared" ref="P312:P321" si="249">IF(N312="","",(ROUND(N312*(1+O312),2)))</f>
        <v>28.93</v>
      </c>
      <c r="Q312" s="42">
        <f t="shared" si="245"/>
        <v>0</v>
      </c>
      <c r="R312" s="1444">
        <f t="shared" si="210"/>
        <v>0</v>
      </c>
      <c r="S312" s="315"/>
      <c r="T312" s="315"/>
      <c r="U312" s="839"/>
      <c r="V312" s="839"/>
    </row>
    <row r="313" spans="1:22" s="2" customFormat="1" ht="27.95" hidden="1" customHeight="1" outlineLevel="1" x14ac:dyDescent="0.25">
      <c r="A313" s="36">
        <f t="shared" ref="A313:A316" ca="1" si="250">A312</f>
        <v>4</v>
      </c>
      <c r="B313" s="576">
        <f>IF(M313=0,0,MAX($B$311:B312)+1)</f>
        <v>0</v>
      </c>
      <c r="C313" s="36">
        <f t="shared" si="246"/>
        <v>0</v>
      </c>
      <c r="D313" s="515">
        <f>D308+1</f>
        <v>261</v>
      </c>
      <c r="E313" s="35" t="str">
        <f t="shared" ref="E313:E321" ca="1" si="251">CONCATENATE(A313,".",B313)</f>
        <v>4.0</v>
      </c>
      <c r="F313" s="576" t="s">
        <v>2639</v>
      </c>
      <c r="G313" s="550">
        <v>2003949</v>
      </c>
      <c r="H313" s="224" t="str">
        <f t="shared" si="247"/>
        <v>Meio-fio de concreto - MFC 06 moldado no local com extrusora e concreto usinado - areia e brita comerciais</v>
      </c>
      <c r="I313" s="37" t="str">
        <f>IFERROR(VLOOKUP(G313,SINAPI!A:D,2,0),"")</f>
        <v>Meio-fio de concreto - MFC 06 moldado no local com extrusora e concreto usinado - areia e brita comerciais</v>
      </c>
      <c r="J313" s="45"/>
      <c r="K313" s="46"/>
      <c r="L313" s="41" t="str">
        <f>IFERROR(VLOOKUP(G313,SINAPI!A:D,3,0),"")</f>
        <v>m</v>
      </c>
      <c r="M313" s="41">
        <f>VLOOKUP(D313,MEMORIA!B:F,$A$3+3)</f>
        <v>0</v>
      </c>
      <c r="N313" s="41">
        <f>IFERROR(VLOOKUP(G313,SINAPI!A:D,4,0),"")</f>
        <v>15.91</v>
      </c>
      <c r="O313" s="1571">
        <f t="shared" si="248"/>
        <v>0.24379999999999999</v>
      </c>
      <c r="P313" s="41">
        <f t="shared" si="249"/>
        <v>19.79</v>
      </c>
      <c r="Q313" s="42">
        <f t="shared" si="245"/>
        <v>0</v>
      </c>
      <c r="R313" s="1444">
        <f t="shared" si="210"/>
        <v>0</v>
      </c>
      <c r="S313" s="315"/>
      <c r="T313" s="315"/>
      <c r="U313" s="839"/>
      <c r="V313" s="839"/>
    </row>
    <row r="314" spans="1:22" s="2" customFormat="1" ht="15" hidden="1" customHeight="1" outlineLevel="1" x14ac:dyDescent="0.25">
      <c r="A314" s="36">
        <f t="shared" ca="1" si="250"/>
        <v>4</v>
      </c>
      <c r="B314" s="576">
        <f>IF(M314=0,0,MAX($B$311:B313)+1)</f>
        <v>0</v>
      </c>
      <c r="C314" s="36">
        <f t="shared" si="246"/>
        <v>0</v>
      </c>
      <c r="D314" s="515">
        <f>D312+1</f>
        <v>263</v>
      </c>
      <c r="E314" s="35" t="str">
        <f t="shared" ref="E314" ca="1" si="252">CONCATENATE(A314,".",B314)</f>
        <v>4.0</v>
      </c>
      <c r="F314" s="576" t="s">
        <v>2639</v>
      </c>
      <c r="G314" s="550">
        <v>4805754</v>
      </c>
      <c r="H314" s="224" t="str">
        <f t="shared" si="247"/>
        <v>Compactação manual com soquete vibratório</v>
      </c>
      <c r="I314" s="37" t="str">
        <f>IFERROR(VLOOKUP(G314,SINAPI!A:D,2,0),"")</f>
        <v>Compactação manual com soquete vibratório</v>
      </c>
      <c r="J314" s="45"/>
      <c r="K314" s="46"/>
      <c r="L314" s="41" t="str">
        <f>IFERROR(VLOOKUP(G314,SINAPI!A:D,3,0),"")</f>
        <v>m³</v>
      </c>
      <c r="M314" s="41">
        <f>VLOOKUP(D314,MEMORIA!B:F,$A$3+3)</f>
        <v>0</v>
      </c>
      <c r="N314" s="41">
        <f>IFERROR(VLOOKUP(G314,SINAPI!A:D,4,0),"")</f>
        <v>6.73</v>
      </c>
      <c r="O314" s="1571">
        <f t="shared" si="248"/>
        <v>0.24379999999999999</v>
      </c>
      <c r="P314" s="41">
        <f t="shared" si="249"/>
        <v>8.3699999999999992</v>
      </c>
      <c r="Q314" s="42">
        <f t="shared" ref="Q314" si="253">IF(M314="","",ROUND(M314*P314,2))</f>
        <v>0</v>
      </c>
      <c r="R314" s="1444">
        <f t="shared" si="210"/>
        <v>0</v>
      </c>
      <c r="S314" s="315"/>
      <c r="T314" s="315"/>
      <c r="U314" s="839"/>
      <c r="V314" s="839"/>
    </row>
    <row r="315" spans="1:22" ht="15" hidden="1" customHeight="1" outlineLevel="1" collapsed="1" x14ac:dyDescent="0.25">
      <c r="A315" s="576">
        <f t="shared" ca="1" si="250"/>
        <v>4</v>
      </c>
      <c r="B315" s="576">
        <f>IF(M315=0,0,MAX($B$311:B314)+1)</f>
        <v>0</v>
      </c>
      <c r="C315" s="576">
        <f t="shared" ref="C315:C321" si="254">IF(B315=0,0,1)</f>
        <v>0</v>
      </c>
      <c r="D315" s="515">
        <f>D314+1</f>
        <v>264</v>
      </c>
      <c r="E315" s="35" t="str">
        <f t="shared" ca="1" si="251"/>
        <v>4.0</v>
      </c>
      <c r="F315" s="576" t="s">
        <v>2639</v>
      </c>
      <c r="G315" s="36">
        <v>4016096</v>
      </c>
      <c r="H315" s="224" t="str">
        <f t="shared" si="247"/>
        <v>Escavação e carga de material de jazida com escavadeira hidráulica de 1,56 m³</v>
      </c>
      <c r="I315" s="37" t="str">
        <f>IFERROR(VLOOKUP(G315,SINAPI!A:D,2,0),"")</f>
        <v>Escavação e carga de material de jazida com escavadeira hidráulica de 1,56 m³</v>
      </c>
      <c r="J315" s="626"/>
      <c r="K315" s="40"/>
      <c r="L315" s="40" t="str">
        <f>IFERROR(VLOOKUP(G315,SINAPI!A:D,3,0),"")</f>
        <v>m³</v>
      </c>
      <c r="M315" s="40">
        <f>VLOOKUP(D315,MEMORIA!B:F,$A$3+3)</f>
        <v>0</v>
      </c>
      <c r="N315" s="40">
        <f>IFERROR(VLOOKUP(G315,SINAPI!A:D,4,0),"")</f>
        <v>1.67</v>
      </c>
      <c r="O315" s="1571">
        <f t="shared" si="248"/>
        <v>0.24379999999999999</v>
      </c>
      <c r="P315" s="41">
        <f t="shared" si="249"/>
        <v>2.08</v>
      </c>
      <c r="Q315" s="580">
        <f t="shared" si="245"/>
        <v>0</v>
      </c>
      <c r="R315" s="1444">
        <f t="shared" si="210"/>
        <v>0</v>
      </c>
      <c r="S315" s="633"/>
      <c r="T315" s="633"/>
      <c r="U315" s="668"/>
      <c r="V315" s="668"/>
    </row>
    <row r="316" spans="1:22" s="2" customFormat="1" ht="15" hidden="1" customHeight="1" outlineLevel="1" collapsed="1" x14ac:dyDescent="0.25">
      <c r="A316" s="576">
        <f t="shared" ca="1" si="250"/>
        <v>4</v>
      </c>
      <c r="B316" s="576">
        <f>IF(M316=0,0,MAX($B$311:B315)+1)</f>
        <v>0</v>
      </c>
      <c r="C316" s="576">
        <f t="shared" si="254"/>
        <v>0</v>
      </c>
      <c r="D316" s="515">
        <f t="shared" ref="D316:D321" si="255">D315+1</f>
        <v>265</v>
      </c>
      <c r="E316" s="35" t="str">
        <f t="shared" ca="1" si="251"/>
        <v>4.0</v>
      </c>
      <c r="F316" s="576" t="s">
        <v>2639</v>
      </c>
      <c r="G316" s="36">
        <v>5914374</v>
      </c>
      <c r="H316" s="224" t="str">
        <f t="shared" si="247"/>
        <v>Transporte com caminhão basculante de 10 m³ - rodovia em revestimento primário</v>
      </c>
      <c r="I316" s="37" t="str">
        <f>IFERROR(VLOOKUP(G316,SINAPI!A:D,2,0),"")</f>
        <v>Transporte com caminhão basculante de 10 m³ - rodovia em revestimento primário</v>
      </c>
      <c r="J316" s="45">
        <f>J195</f>
        <v>0.04</v>
      </c>
      <c r="K316" s="41" t="s">
        <v>23</v>
      </c>
      <c r="L316" s="41" t="str">
        <f>IFERROR(VLOOKUP(G316,SINAPI!A:D,3,0),"")</f>
        <v>tkm</v>
      </c>
      <c r="M316" s="41">
        <f>VLOOKUP(D316,MEMORIA!B:F,$A$3+3)</f>
        <v>0</v>
      </c>
      <c r="N316" s="41">
        <f>IFERROR(VLOOKUP(G316,SINAPI!A:D,4,0),"")</f>
        <v>1.05</v>
      </c>
      <c r="O316" s="1571">
        <f t="shared" si="248"/>
        <v>0.24379999999999999</v>
      </c>
      <c r="P316" s="41">
        <f t="shared" si="249"/>
        <v>1.31</v>
      </c>
      <c r="Q316" s="42">
        <f t="shared" si="245"/>
        <v>0</v>
      </c>
      <c r="R316" s="1444">
        <f t="shared" si="210"/>
        <v>0</v>
      </c>
      <c r="S316" s="3"/>
      <c r="T316" s="3"/>
      <c r="U316" s="668"/>
      <c r="V316" s="668"/>
    </row>
    <row r="317" spans="1:22" s="2" customFormat="1" ht="15" hidden="1" customHeight="1" outlineLevel="1" x14ac:dyDescent="0.25">
      <c r="A317" s="576">
        <f t="shared" ref="A317:A320" ca="1" si="256">A312</f>
        <v>4</v>
      </c>
      <c r="B317" s="576">
        <f>IF(M317=0,0,MAX($B$311:B312)+1)</f>
        <v>0</v>
      </c>
      <c r="C317" s="576">
        <f t="shared" ref="C317:C320" si="257">IF(B317=0,0,1)</f>
        <v>0</v>
      </c>
      <c r="D317" s="515">
        <f t="shared" si="255"/>
        <v>266</v>
      </c>
      <c r="E317" s="35" t="str">
        <f t="shared" ref="E317:E320" ca="1" si="258">CONCATENATE(A317,".",B317)</f>
        <v>4.0</v>
      </c>
      <c r="F317" s="36" t="s">
        <v>17</v>
      </c>
      <c r="G317" s="36" t="s">
        <v>2904</v>
      </c>
      <c r="H317" s="224" t="str">
        <f t="shared" si="247"/>
        <v>Passeio em concreto FCK 20MPa (e= 4cm) sobre lastro de brita (e= 4cm), inclusive formas</v>
      </c>
      <c r="I317" s="37" t="str">
        <f>IFERROR(VLOOKUP(G317,SINAPI!A:D,2,0),"")</f>
        <v>Passeio em concreto FCK 20MPa (e= 4cm) sobre lastro de brita (e= 4cm), inclusive formas</v>
      </c>
      <c r="J317" s="45" t="s">
        <v>5</v>
      </c>
      <c r="K317" s="41"/>
      <c r="L317" s="41" t="str">
        <f>IFERROR(VLOOKUP(G317,SINAPI!A:D,3,0),"")</f>
        <v>m²</v>
      </c>
      <c r="M317" s="41">
        <f>VLOOKUP(D317,MEMORIA!B:F,$A$3+3)</f>
        <v>0</v>
      </c>
      <c r="N317" s="41">
        <f>IFERROR(VLOOKUP(G317,SINAPI!A:D,4,0),"")</f>
        <v>32.21</v>
      </c>
      <c r="O317" s="1571">
        <f t="shared" si="248"/>
        <v>0.24379999999999999</v>
      </c>
      <c r="P317" s="41">
        <f t="shared" si="249"/>
        <v>40.06</v>
      </c>
      <c r="Q317" s="42">
        <f t="shared" ref="Q317:Q320" si="259">IF(M317="","",ROUND(M317*P317,2))</f>
        <v>0</v>
      </c>
      <c r="R317" s="1444">
        <f t="shared" si="210"/>
        <v>0</v>
      </c>
      <c r="S317" s="3"/>
      <c r="T317" s="3"/>
      <c r="U317" s="849"/>
      <c r="V317" s="849"/>
    </row>
    <row r="318" spans="1:22" s="2" customFormat="1" ht="30.75" hidden="1" customHeight="1" outlineLevel="1" x14ac:dyDescent="0.25">
      <c r="A318" s="576">
        <f t="shared" ca="1" si="256"/>
        <v>4</v>
      </c>
      <c r="B318" s="576">
        <f>IF(M318=0,0,MAX($B$311:B313)+1)</f>
        <v>0</v>
      </c>
      <c r="C318" s="576">
        <f t="shared" si="257"/>
        <v>0</v>
      </c>
      <c r="D318" s="515">
        <f t="shared" si="255"/>
        <v>267</v>
      </c>
      <c r="E318" s="35" t="str">
        <f t="shared" ca="1" si="258"/>
        <v>4.0</v>
      </c>
      <c r="F318" s="36" t="s">
        <v>17</v>
      </c>
      <c r="G318" s="36" t="s">
        <v>145</v>
      </c>
      <c r="H318" s="224" t="str">
        <f t="shared" si="247"/>
        <v>Passeio em lajotas de concreto tatil pigmentada (40x40x3cm) sobre  sobre lastro de brita (e= 4cm) e assentamento com argamassa de cimento e areia (e=1,0cm)</v>
      </c>
      <c r="I318" s="37" t="str">
        <f>IFERROR(VLOOKUP(G318,SINAPI!A:D,2,0),"")</f>
        <v>Passeio em lajotas de concreto tatil pigmentada (40x40x3cm) sobre  sobre lastro de brita (e= 4cm) e assentamento com argamassa de cimento e areia (e=1,0cm)</v>
      </c>
      <c r="J318" s="45" t="s">
        <v>5</v>
      </c>
      <c r="K318" s="41"/>
      <c r="L318" s="41" t="str">
        <f>IFERROR(VLOOKUP(G318,SINAPI!A:D,3,0),"")</f>
        <v>m²</v>
      </c>
      <c r="M318" s="41">
        <f>VLOOKUP(D318,MEMORIA!B:F,$A$3+3)</f>
        <v>0</v>
      </c>
      <c r="N318" s="41">
        <f>IFERROR(VLOOKUP(G318,SINAPI!A:D,4,0),"")</f>
        <v>104.85</v>
      </c>
      <c r="O318" s="1571">
        <f t="shared" si="248"/>
        <v>0.24379999999999999</v>
      </c>
      <c r="P318" s="41">
        <f t="shared" si="249"/>
        <v>130.41</v>
      </c>
      <c r="Q318" s="42">
        <f t="shared" si="259"/>
        <v>0</v>
      </c>
      <c r="R318" s="1444">
        <f t="shared" si="210"/>
        <v>0</v>
      </c>
      <c r="S318" s="3"/>
      <c r="T318" s="3"/>
      <c r="U318" s="849"/>
      <c r="V318" s="849"/>
    </row>
    <row r="319" spans="1:22" s="2" customFormat="1" hidden="1" outlineLevel="1" x14ac:dyDescent="0.25">
      <c r="A319" s="576">
        <f t="shared" ca="1" si="256"/>
        <v>4</v>
      </c>
      <c r="B319" s="576">
        <f>IF(M319=0,0,MAX($B$311:B314)+1)</f>
        <v>0</v>
      </c>
      <c r="C319" s="576">
        <f t="shared" si="257"/>
        <v>0</v>
      </c>
      <c r="D319" s="515">
        <f t="shared" si="255"/>
        <v>268</v>
      </c>
      <c r="E319" s="35" t="str">
        <f t="shared" ca="1" si="258"/>
        <v>4.0</v>
      </c>
      <c r="F319" s="576" t="s">
        <v>2639</v>
      </c>
      <c r="G319" s="1086">
        <v>4413200</v>
      </c>
      <c r="H319" s="224" t="str">
        <f t="shared" si="247"/>
        <v>Plantio de grama comercial em placas</v>
      </c>
      <c r="I319" s="37" t="str">
        <f>IFERROR(VLOOKUP(G319,SINAPI!A:D,2,0),"")</f>
        <v>Plantio de grama comercial em placas</v>
      </c>
      <c r="J319" s="45" t="s">
        <v>5</v>
      </c>
      <c r="K319" s="41"/>
      <c r="L319" s="41" t="str">
        <f>IFERROR(VLOOKUP(G319,SINAPI!A:D,3,0),"")</f>
        <v>m²</v>
      </c>
      <c r="M319" s="41">
        <f>VLOOKUP(D319,MEMORIA!B:F,$A$3+3)</f>
        <v>0</v>
      </c>
      <c r="N319" s="41">
        <f>IFERROR(VLOOKUP(G319,SINAPI!A:D,4,0),"")</f>
        <v>12.5</v>
      </c>
      <c r="O319" s="1571">
        <f t="shared" si="248"/>
        <v>0.24379999999999999</v>
      </c>
      <c r="P319" s="41">
        <f t="shared" si="249"/>
        <v>15.55</v>
      </c>
      <c r="Q319" s="42">
        <f t="shared" si="259"/>
        <v>0</v>
      </c>
      <c r="R319" s="1444">
        <f t="shared" si="210"/>
        <v>0</v>
      </c>
      <c r="S319" s="3"/>
      <c r="T319" s="3"/>
      <c r="U319" s="849"/>
      <c r="V319" s="849"/>
    </row>
    <row r="320" spans="1:22" s="2" customFormat="1" ht="15" hidden="1" customHeight="1" outlineLevel="1" x14ac:dyDescent="0.25">
      <c r="A320" s="576">
        <f t="shared" ca="1" si="256"/>
        <v>4</v>
      </c>
      <c r="B320" s="576">
        <f>IF(M320=0,0,MAX($B$311:B315)+1)</f>
        <v>0</v>
      </c>
      <c r="C320" s="576">
        <f t="shared" si="257"/>
        <v>0</v>
      </c>
      <c r="D320" s="515">
        <f t="shared" si="255"/>
        <v>269</v>
      </c>
      <c r="E320" s="35" t="str">
        <f t="shared" ca="1" si="258"/>
        <v>4.0</v>
      </c>
      <c r="F320" s="36" t="s">
        <v>17</v>
      </c>
      <c r="G320" s="36" t="s">
        <v>146</v>
      </c>
      <c r="H320" s="224" t="str">
        <f t="shared" si="247"/>
        <v>Passeio reforçado em concreto FCK 20MPa (e= 10cm) sobre lastro de brita graduada (e= 10cm)</v>
      </c>
      <c r="I320" s="37" t="str">
        <f>IFERROR(VLOOKUP(G320,SINAPI!A:D,2,0),"")</f>
        <v>Passeio reforçado em concreto FCK 20MPa (e= 10cm) sobre lastro de brita graduada (e= 10cm)</v>
      </c>
      <c r="J320" s="45" t="s">
        <v>5</v>
      </c>
      <c r="K320" s="41"/>
      <c r="L320" s="41" t="str">
        <f>IFERROR(VLOOKUP(G320,SINAPI!A:D,3,0),"")</f>
        <v>m²</v>
      </c>
      <c r="M320" s="41">
        <f>VLOOKUP(D320,MEMORIA!B:F,$A$3+3)</f>
        <v>0</v>
      </c>
      <c r="N320" s="41">
        <f>IFERROR(VLOOKUP(G320,SINAPI!A:D,4,0),"")</f>
        <v>75.2</v>
      </c>
      <c r="O320" s="1571">
        <f t="shared" si="248"/>
        <v>0.24379999999999999</v>
      </c>
      <c r="P320" s="41">
        <f t="shared" si="249"/>
        <v>93.53</v>
      </c>
      <c r="Q320" s="42">
        <f t="shared" si="259"/>
        <v>0</v>
      </c>
      <c r="R320" s="1444">
        <f t="shared" si="210"/>
        <v>0</v>
      </c>
      <c r="S320" s="3"/>
      <c r="T320" s="3"/>
      <c r="U320" s="849"/>
      <c r="V320" s="849"/>
    </row>
    <row r="321" spans="1:22" s="2" customFormat="1" ht="24.75" hidden="1" customHeight="1" outlineLevel="1" x14ac:dyDescent="0.25">
      <c r="A321" s="576">
        <f ca="1">A316</f>
        <v>4</v>
      </c>
      <c r="B321" s="576">
        <f>IF(M321=0,0,MAX($B$311:B316)+1)</f>
        <v>0</v>
      </c>
      <c r="C321" s="576">
        <f t="shared" si="254"/>
        <v>0</v>
      </c>
      <c r="D321" s="515">
        <f t="shared" si="255"/>
        <v>270</v>
      </c>
      <c r="E321" s="35" t="str">
        <f t="shared" ca="1" si="251"/>
        <v>4.0</v>
      </c>
      <c r="F321" s="576" t="s">
        <v>2639</v>
      </c>
      <c r="G321" s="550">
        <v>2003953</v>
      </c>
      <c r="H321" s="224" t="str">
        <f t="shared" si="247"/>
        <v>Meio-fio de concreto - MFC 08 moldado no local com extrusora e concreto usinado - areia e brita comerciais</v>
      </c>
      <c r="I321" s="37" t="str">
        <f>IFERROR(VLOOKUP(G321,SINAPI!A:D,2,0),"")</f>
        <v>Meio-fio de concreto - MFC 08 moldado no local com extrusora e concreto usinado - areia e brita comerciais</v>
      </c>
      <c r="J321" s="45" t="s">
        <v>5</v>
      </c>
      <c r="K321" s="41"/>
      <c r="L321" s="41" t="str">
        <f>IFERROR(VLOOKUP(G321,SINAPI!A:D,3,0),"")</f>
        <v>m</v>
      </c>
      <c r="M321" s="41">
        <f>VLOOKUP(D321,MEMORIA!B:F,$A$3+3)</f>
        <v>0</v>
      </c>
      <c r="N321" s="41">
        <f>IFERROR(VLOOKUP(G321,SINAPI!A:D,4,0),"")</f>
        <v>49.47</v>
      </c>
      <c r="O321" s="1571">
        <f t="shared" si="248"/>
        <v>0.24379999999999999</v>
      </c>
      <c r="P321" s="41">
        <f t="shared" si="249"/>
        <v>61.53</v>
      </c>
      <c r="Q321" s="42">
        <f t="shared" si="245"/>
        <v>0</v>
      </c>
      <c r="R321" s="1444">
        <f t="shared" si="210"/>
        <v>0</v>
      </c>
      <c r="S321" s="3"/>
      <c r="T321" s="3"/>
      <c r="U321" s="668"/>
      <c r="V321" s="668"/>
    </row>
    <row r="322" spans="1:22" ht="15" hidden="1" customHeight="1" outlineLevel="1" thickBot="1" x14ac:dyDescent="0.3">
      <c r="A322" s="218"/>
      <c r="B322" s="218"/>
      <c r="C322" s="218">
        <f>C311</f>
        <v>0</v>
      </c>
      <c r="E322" s="230" t="s">
        <v>2607</v>
      </c>
      <c r="F322" s="231"/>
      <c r="G322" s="231"/>
      <c r="H322" s="231"/>
      <c r="I322" s="231"/>
      <c r="J322" s="231"/>
      <c r="K322" s="231"/>
      <c r="L322" s="231"/>
      <c r="M322" s="231"/>
      <c r="N322" s="232"/>
      <c r="O322" s="232"/>
      <c r="P322" s="621"/>
      <c r="Q322" s="581">
        <f>SUM(Q312:Q321)</f>
        <v>0</v>
      </c>
      <c r="R322" s="581">
        <f>SUM(R312:R321)</f>
        <v>0</v>
      </c>
      <c r="S322" s="633"/>
      <c r="T322" s="633"/>
      <c r="U322" s="668"/>
      <c r="V322" s="668"/>
    </row>
    <row r="323" spans="1:22" ht="15" customHeight="1" outlineLevel="1" x14ac:dyDescent="0.25">
      <c r="A323" s="617">
        <f ca="1">A311+C323</f>
        <v>5</v>
      </c>
      <c r="B323" s="617">
        <v>0</v>
      </c>
      <c r="C323" s="617">
        <f>IF(SUM(B324:B349)&gt;0,1,0)</f>
        <v>1</v>
      </c>
      <c r="E323" s="618" t="str">
        <f ca="1">CONCATENATE(A323,".",B323)</f>
        <v>5.0</v>
      </c>
      <c r="F323" s="627"/>
      <c r="G323" s="627" t="s">
        <v>2765</v>
      </c>
      <c r="H323" s="627"/>
      <c r="I323" s="44"/>
      <c r="J323" s="628"/>
      <c r="K323" s="629"/>
      <c r="L323" s="630" t="str">
        <f>IFERROR(VLOOKUP(G323,SINAPI,3,0),"")</f>
        <v/>
      </c>
      <c r="M323" s="631"/>
      <c r="N323" s="631" t="s">
        <v>2603</v>
      </c>
      <c r="O323" s="1569"/>
      <c r="P323" s="631" t="str">
        <f>IF(N323="","",(ROUND(N323*(1+BDI),2)))</f>
        <v/>
      </c>
      <c r="Q323" s="632" t="str">
        <f t="shared" ref="Q323:Q336" si="260">IF(M323="","",ROUND(M323*P323,2))</f>
        <v/>
      </c>
      <c r="R323" s="1444" t="str">
        <f t="shared" si="210"/>
        <v/>
      </c>
      <c r="U323" s="668"/>
      <c r="V323" s="668"/>
    </row>
    <row r="324" spans="1:22" ht="15" customHeight="1" outlineLevel="1" x14ac:dyDescent="0.25">
      <c r="A324" s="576">
        <f ca="1">A323</f>
        <v>5</v>
      </c>
      <c r="B324" s="576">
        <f>IF(M324=0,0,MAX($B$323:B323)+1)</f>
        <v>1</v>
      </c>
      <c r="C324" s="576">
        <f t="shared" ref="C324:C336" si="261">IF(B324=0,0,1)</f>
        <v>1</v>
      </c>
      <c r="D324" s="515">
        <f>D321+1</f>
        <v>271</v>
      </c>
      <c r="E324" s="35" t="str">
        <f t="shared" ref="E324:E336" ca="1" si="262">CONCATENATE(A324,".",B324)</f>
        <v>5.1</v>
      </c>
      <c r="F324" s="576" t="s">
        <v>2639</v>
      </c>
      <c r="G324" s="550">
        <v>5213403</v>
      </c>
      <c r="H324" s="224" t="str">
        <f t="shared" ref="H324:H349" si="263">I324</f>
        <v>Pintura de faixa com tinta acrílica emulsionada em água - espessura de 0,5 mm</v>
      </c>
      <c r="I324" s="37" t="str">
        <f>IFERROR(VLOOKUP(G324,SINAPI!A:D,2,0),"")</f>
        <v>Pintura de faixa com tinta acrílica emulsionada em água - espessura de 0,5 mm</v>
      </c>
      <c r="J324" s="626" t="s">
        <v>5</v>
      </c>
      <c r="K324" s="40" t="s">
        <v>29</v>
      </c>
      <c r="L324" s="40" t="str">
        <f>IFERROR(VLOOKUP(G324,SINAPI!A:D,3,0),"")</f>
        <v>m²</v>
      </c>
      <c r="M324" s="40">
        <f>VLOOKUP(D324,MEMORIA!B:F,$A$3+3)</f>
        <v>25</v>
      </c>
      <c r="N324" s="40">
        <f>IFERROR(VLOOKUP(G324,SINAPI!A:D,4,0),"")</f>
        <v>17.559999999999999</v>
      </c>
      <c r="O324" s="1571">
        <f t="shared" ref="O324:O349" si="264">$N$7</f>
        <v>0.24379999999999999</v>
      </c>
      <c r="P324" s="41">
        <f t="shared" ref="P324:P349" si="265">IF(N324="","",(ROUND(N324*(1+O324),2)))</f>
        <v>21.84</v>
      </c>
      <c r="Q324" s="580">
        <f t="shared" si="260"/>
        <v>546</v>
      </c>
      <c r="R324" s="1444">
        <f t="shared" si="210"/>
        <v>546</v>
      </c>
      <c r="U324" s="668"/>
      <c r="V324" s="668"/>
    </row>
    <row r="325" spans="1:22" ht="15" customHeight="1" outlineLevel="1" x14ac:dyDescent="0.25">
      <c r="A325" s="576">
        <f t="shared" ref="A325:A349" ca="1" si="266">A324</f>
        <v>5</v>
      </c>
      <c r="B325" s="576">
        <f>IF(M325=0,0,MAX($B$323:B324)+1)</f>
        <v>2</v>
      </c>
      <c r="C325" s="576">
        <f t="shared" si="261"/>
        <v>1</v>
      </c>
      <c r="D325" s="515">
        <f>D324+1</f>
        <v>272</v>
      </c>
      <c r="E325" s="35" t="str">
        <f t="shared" ca="1" si="262"/>
        <v>5.2</v>
      </c>
      <c r="F325" s="576" t="s">
        <v>2639</v>
      </c>
      <c r="G325" s="550">
        <v>5213403</v>
      </c>
      <c r="H325" s="224" t="str">
        <f t="shared" si="263"/>
        <v>Pintura de faixa com tinta acrílica emulsionada em água - espessura de 0,5 mm</v>
      </c>
      <c r="I325" s="37" t="str">
        <f>IFERROR(VLOOKUP(G325,SINAPI!A:D,2,0),"")</f>
        <v>Pintura de faixa com tinta acrílica emulsionada em água - espessura de 0,5 mm</v>
      </c>
      <c r="J325" s="626" t="s">
        <v>5</v>
      </c>
      <c r="K325" s="40" t="s">
        <v>30</v>
      </c>
      <c r="L325" s="40" t="str">
        <f>IFERROR(VLOOKUP(G325,SINAPI!A:D,3,0),"")</f>
        <v>m²</v>
      </c>
      <c r="M325" s="40">
        <f>VLOOKUP(D325,MEMORIA!B:F,$A$3+3)</f>
        <v>38.58</v>
      </c>
      <c r="N325" s="40">
        <f>IFERROR(VLOOKUP(G325,SINAPI!A:D,4,0),"")</f>
        <v>17.559999999999999</v>
      </c>
      <c r="O325" s="1571">
        <f t="shared" si="264"/>
        <v>0.24379999999999999</v>
      </c>
      <c r="P325" s="41">
        <f t="shared" si="265"/>
        <v>21.84</v>
      </c>
      <c r="Q325" s="580">
        <f t="shared" si="260"/>
        <v>842.59</v>
      </c>
      <c r="R325" s="1444">
        <f t="shared" si="210"/>
        <v>842.59</v>
      </c>
      <c r="U325" s="668"/>
      <c r="V325" s="668"/>
    </row>
    <row r="326" spans="1:22" ht="15" hidden="1" customHeight="1" outlineLevel="1" x14ac:dyDescent="0.25">
      <c r="A326" s="576">
        <f t="shared" ca="1" si="266"/>
        <v>5</v>
      </c>
      <c r="B326" s="576">
        <f>IF(M326=0,0,MAX($B$323:B325)+1)</f>
        <v>0</v>
      </c>
      <c r="C326" s="576">
        <f t="shared" si="261"/>
        <v>0</v>
      </c>
      <c r="D326" s="515">
        <f t="shared" ref="D326:D349" si="267">D325+1</f>
        <v>273</v>
      </c>
      <c r="E326" s="35" t="str">
        <f t="shared" ca="1" si="262"/>
        <v>5.0</v>
      </c>
      <c r="F326" s="576" t="s">
        <v>2639</v>
      </c>
      <c r="G326" s="550">
        <v>5213407</v>
      </c>
      <c r="H326" s="224" t="str">
        <f t="shared" si="263"/>
        <v>Pintura de setas e zebrados com tinta acrílica emulsionada em água - espessura de 0,5 mm</v>
      </c>
      <c r="I326" s="37" t="str">
        <f>IFERROR(VLOOKUP(G326,SINAPI!A:D,2,0),"")</f>
        <v>Pintura de setas e zebrados com tinta acrílica emulsionada em água - espessura de 0,5 mm</v>
      </c>
      <c r="J326" s="626" t="s">
        <v>5</v>
      </c>
      <c r="K326" s="326" t="s">
        <v>31</v>
      </c>
      <c r="L326" s="40" t="str">
        <f>IFERROR(VLOOKUP(G326,SINAPI!A:D,3,0),"")</f>
        <v>m²</v>
      </c>
      <c r="M326" s="40">
        <f>VLOOKUP(D326,MEMORIA!B:F,$A$3+3)</f>
        <v>0</v>
      </c>
      <c r="N326" s="40">
        <f>IFERROR(VLOOKUP(G326,SINAPI!A:D,4,0),"")</f>
        <v>31.28</v>
      </c>
      <c r="O326" s="1571">
        <f t="shared" si="264"/>
        <v>0.24379999999999999</v>
      </c>
      <c r="P326" s="41">
        <f t="shared" si="265"/>
        <v>38.909999999999997</v>
      </c>
      <c r="Q326" s="580">
        <f t="shared" si="260"/>
        <v>0</v>
      </c>
      <c r="R326" s="1444">
        <f t="shared" si="210"/>
        <v>0</v>
      </c>
      <c r="U326" s="668"/>
      <c r="V326" s="668"/>
    </row>
    <row r="327" spans="1:22" s="2" customFormat="1" ht="15" hidden="1" customHeight="1" outlineLevel="1" x14ac:dyDescent="0.25">
      <c r="A327" s="576">
        <f t="shared" ca="1" si="266"/>
        <v>5</v>
      </c>
      <c r="B327" s="576">
        <f>IF(M327=0,0,MAX($B$323:B326)+1)</f>
        <v>0</v>
      </c>
      <c r="C327" s="36">
        <f t="shared" ref="C327" si="268">IF(B327=0,0,1)</f>
        <v>0</v>
      </c>
      <c r="D327" s="420">
        <f>D326+1</f>
        <v>274</v>
      </c>
      <c r="E327" s="35" t="str">
        <f t="shared" ref="E327" ca="1" si="269">CONCATENATE(A327,".",B327)</f>
        <v>5.0</v>
      </c>
      <c r="F327" s="576" t="s">
        <v>2639</v>
      </c>
      <c r="G327" s="550">
        <v>5213408</v>
      </c>
      <c r="H327" s="224" t="str">
        <f t="shared" si="263"/>
        <v>Pintura de faixa com termoplástico por aspersão - espessura de 1,5 mm</v>
      </c>
      <c r="I327" s="37" t="str">
        <f>IFERROR(VLOOKUP(G327,SINAPI!A:D,2,0),"")</f>
        <v>Pintura de faixa com termoplástico por aspersão - espessura de 1,5 mm</v>
      </c>
      <c r="J327" s="45" t="s">
        <v>5</v>
      </c>
      <c r="K327" s="46" t="s">
        <v>3931</v>
      </c>
      <c r="L327" s="41" t="str">
        <f>IFERROR(VLOOKUP(G327,SINAPI!A:D,3,0),"")</f>
        <v>m²</v>
      </c>
      <c r="M327" s="41">
        <f>VLOOKUP(D327,MEMORIA!B:F,$A$3+3)</f>
        <v>0</v>
      </c>
      <c r="N327" s="41">
        <f>IFERROR(VLOOKUP(G327,SINAPI!A:D,4,0),"")</f>
        <v>41.55</v>
      </c>
      <c r="O327" s="1571">
        <f t="shared" si="264"/>
        <v>0.24379999999999999</v>
      </c>
      <c r="P327" s="41">
        <f t="shared" si="265"/>
        <v>51.68</v>
      </c>
      <c r="Q327" s="42"/>
      <c r="R327" s="1444">
        <f t="shared" si="210"/>
        <v>0</v>
      </c>
      <c r="S327" s="315"/>
      <c r="T327" s="315"/>
      <c r="U327" s="668"/>
      <c r="V327" s="668"/>
    </row>
    <row r="328" spans="1:22" s="2" customFormat="1" ht="30" customHeight="1" outlineLevel="1" x14ac:dyDescent="0.25">
      <c r="A328" s="576">
        <f t="shared" ca="1" si="266"/>
        <v>5</v>
      </c>
      <c r="B328" s="576">
        <f>IF(M328=0,0,MAX($B$323:B327)+1)</f>
        <v>3</v>
      </c>
      <c r="C328" s="36">
        <f t="shared" si="261"/>
        <v>1</v>
      </c>
      <c r="D328" s="839">
        <f t="shared" si="267"/>
        <v>275</v>
      </c>
      <c r="E328" s="35" t="str">
        <f t="shared" ca="1" si="262"/>
        <v>5.3</v>
      </c>
      <c r="F328" s="576" t="s">
        <v>2639</v>
      </c>
      <c r="G328" s="550">
        <v>5213857</v>
      </c>
      <c r="H328" s="224" t="str">
        <f t="shared" si="263"/>
        <v>Suporte metálico galvanizado para placa de regulamentação - R1 - lado de 0,414 m - fornecimento e implantação</v>
      </c>
      <c r="I328" s="37" t="str">
        <f>IFERROR(VLOOKUP(G328,SINAPI!A:D,2,0),"")</f>
        <v>Suporte metálico galvanizado para placa de regulamentação - R1 - lado de 0,414 m - fornecimento e implantação</v>
      </c>
      <c r="J328" s="45" t="s">
        <v>5</v>
      </c>
      <c r="K328" s="46" t="s">
        <v>6766</v>
      </c>
      <c r="L328" s="41" t="str">
        <f>IFERROR(VLOOKUP(G328,SINAPI!A:D,3,0),"")</f>
        <v>un</v>
      </c>
      <c r="M328" s="41">
        <f>VLOOKUP(D328,MEMORIA!B:F,$A$3+3)</f>
        <v>1</v>
      </c>
      <c r="N328" s="41">
        <f>IFERROR(VLOOKUP(G328,SINAPI!A:D,4,0),"")</f>
        <v>426.49</v>
      </c>
      <c r="O328" s="1571">
        <f t="shared" si="264"/>
        <v>0.24379999999999999</v>
      </c>
      <c r="P328" s="41">
        <f t="shared" si="265"/>
        <v>530.47</v>
      </c>
      <c r="Q328" s="42">
        <f t="shared" si="260"/>
        <v>530.47</v>
      </c>
      <c r="R328" s="1444">
        <f t="shared" si="210"/>
        <v>530.47</v>
      </c>
      <c r="S328" s="315"/>
      <c r="T328" s="315"/>
      <c r="U328" s="839"/>
      <c r="V328" s="839"/>
    </row>
    <row r="329" spans="1:22" s="2" customFormat="1" ht="30" customHeight="1" outlineLevel="1" x14ac:dyDescent="0.25">
      <c r="A329" s="576">
        <f t="shared" ca="1" si="266"/>
        <v>5</v>
      </c>
      <c r="B329" s="576">
        <f>IF(M329=0,0,MAX($B$323:B328)+1)</f>
        <v>4</v>
      </c>
      <c r="C329" s="36">
        <f t="shared" ref="C329:C330" si="270">IF(B329=0,0,1)</f>
        <v>1</v>
      </c>
      <c r="D329" s="839">
        <f t="shared" si="267"/>
        <v>276</v>
      </c>
      <c r="E329" s="35" t="str">
        <f t="shared" ref="E329:E330" ca="1" si="271">CONCATENATE(A329,".",B329)</f>
        <v>5.4</v>
      </c>
      <c r="F329" s="576" t="s">
        <v>2639</v>
      </c>
      <c r="G329" s="550">
        <v>5213446</v>
      </c>
      <c r="H329" s="224" t="str">
        <f t="shared" si="263"/>
        <v>Placa de regulamentação em aço, R1 lado 0,414 m - película retrorrefletiva tipo I + SI - fornecimento e implantação</v>
      </c>
      <c r="I329" s="37" t="str">
        <f>IFERROR(VLOOKUP(G329,SINAPI!A:D,2,0),"")</f>
        <v>Placa de regulamentação em aço, R1 lado 0,414 m - película retrorrefletiva tipo I + SI - fornecimento e implantação</v>
      </c>
      <c r="J329" s="45" t="s">
        <v>5</v>
      </c>
      <c r="K329" s="46"/>
      <c r="L329" s="41" t="str">
        <f>IFERROR(VLOOKUP(G329,SINAPI!A:D,3,0),"")</f>
        <v>un</v>
      </c>
      <c r="M329" s="41">
        <f>VLOOKUP(D329,MEMORIA!B:F,$A$3+3)</f>
        <v>1</v>
      </c>
      <c r="N329" s="41">
        <f>IFERROR(VLOOKUP(G329,SINAPI!A:D,4,0),"")</f>
        <v>471.4</v>
      </c>
      <c r="O329" s="1571">
        <f t="shared" si="264"/>
        <v>0.24379999999999999</v>
      </c>
      <c r="P329" s="41">
        <f t="shared" si="265"/>
        <v>586.33000000000004</v>
      </c>
      <c r="Q329" s="42">
        <f t="shared" ref="Q329:Q330" si="272">IF(M329="","",ROUND(M329*P329,2))</f>
        <v>586.33000000000004</v>
      </c>
      <c r="R329" s="1444">
        <f t="shared" si="210"/>
        <v>586.33000000000004</v>
      </c>
      <c r="S329" s="315"/>
      <c r="T329" s="315"/>
      <c r="U329" s="839"/>
      <c r="V329" s="839"/>
    </row>
    <row r="330" spans="1:22" s="2" customFormat="1" ht="30" hidden="1" customHeight="1" outlineLevel="1" x14ac:dyDescent="0.25">
      <c r="A330" s="576">
        <f t="shared" ca="1" si="266"/>
        <v>5</v>
      </c>
      <c r="B330" s="576">
        <f>IF(M330=0,0,MAX($B$323:B329)+1)</f>
        <v>0</v>
      </c>
      <c r="C330" s="36">
        <f t="shared" si="270"/>
        <v>0</v>
      </c>
      <c r="D330" s="1096">
        <f t="shared" si="267"/>
        <v>277</v>
      </c>
      <c r="E330" s="35" t="str">
        <f t="shared" ca="1" si="271"/>
        <v>5.0</v>
      </c>
      <c r="F330" s="576" t="s">
        <v>2639</v>
      </c>
      <c r="G330" s="550">
        <v>5213450</v>
      </c>
      <c r="H330" s="224" t="str">
        <f t="shared" si="263"/>
        <v>Placa de regulamentação em aço, R2 lado 1,00 m - película retrorrefletiva tipo I + SI - fornecimento e implantação</v>
      </c>
      <c r="I330" s="37" t="str">
        <f>IFERROR(VLOOKUP(G330,SINAPI!A:D,2,0),"")</f>
        <v>Placa de regulamentação em aço, R2 lado 1,00 m - película retrorrefletiva tipo I + SI - fornecimento e implantação</v>
      </c>
      <c r="J330" s="45" t="s">
        <v>5</v>
      </c>
      <c r="K330" s="46"/>
      <c r="L330" s="41" t="str">
        <f>IFERROR(VLOOKUP(G330,SINAPI!A:D,3,0),"")</f>
        <v>un</v>
      </c>
      <c r="M330" s="41">
        <f>VLOOKUP(D330,MEMORIA!B:F,$A$3+3)</f>
        <v>0</v>
      </c>
      <c r="N330" s="41">
        <f>IFERROR(VLOOKUP(G330,SINAPI!A:D,4,0),"")</f>
        <v>303.06</v>
      </c>
      <c r="O330" s="1571">
        <f t="shared" si="264"/>
        <v>0.24379999999999999</v>
      </c>
      <c r="P330" s="41">
        <f t="shared" si="265"/>
        <v>376.95</v>
      </c>
      <c r="Q330" s="42">
        <f t="shared" si="272"/>
        <v>0</v>
      </c>
      <c r="R330" s="1444">
        <f t="shared" si="210"/>
        <v>0</v>
      </c>
      <c r="S330" s="315"/>
      <c r="T330" s="315"/>
      <c r="U330" s="1096"/>
      <c r="V330" s="1096"/>
    </row>
    <row r="331" spans="1:22" s="2" customFormat="1" ht="30" hidden="1" customHeight="1" outlineLevel="1" x14ac:dyDescent="0.25">
      <c r="A331" s="576">
        <f t="shared" ca="1" si="266"/>
        <v>5</v>
      </c>
      <c r="B331" s="576">
        <f>IF(M331=0,0,MAX($B$323:B330)+1)</f>
        <v>0</v>
      </c>
      <c r="C331" s="36">
        <f t="shared" ref="C331" si="273">IF(B331=0,0,1)</f>
        <v>0</v>
      </c>
      <c r="D331" s="1096">
        <f t="shared" si="267"/>
        <v>278</v>
      </c>
      <c r="E331" s="35" t="str">
        <f t="shared" ref="E331" ca="1" si="274">CONCATENATE(A331,".",B331)</f>
        <v>5.0</v>
      </c>
      <c r="F331" s="576" t="s">
        <v>2639</v>
      </c>
      <c r="G331" s="550">
        <v>5213861</v>
      </c>
      <c r="H331" s="224" t="str">
        <f t="shared" si="263"/>
        <v>Suporte metálico galvanizado para placa de regulamentação - R2 - lado de 1,00 m - fornecimento e implantação</v>
      </c>
      <c r="I331" s="37" t="str">
        <f>IFERROR(VLOOKUP(G331,SINAPI!A:D,2,0),"")</f>
        <v>Suporte metálico galvanizado para placa de regulamentação - R2 - lado de 1,00 m - fornecimento e implantação</v>
      </c>
      <c r="J331" s="45" t="s">
        <v>5</v>
      </c>
      <c r="K331" s="46"/>
      <c r="L331" s="41" t="str">
        <f>IFERROR(VLOOKUP(G331,SINAPI!A:D,3,0),"")</f>
        <v>un</v>
      </c>
      <c r="M331" s="41">
        <f>VLOOKUP(D331,MEMORIA!B:F,$A$3+3)</f>
        <v>0</v>
      </c>
      <c r="N331" s="41">
        <f>IFERROR(VLOOKUP(G331,SINAPI!A:D,4,0),"")</f>
        <v>480.47</v>
      </c>
      <c r="O331" s="1571">
        <f t="shared" si="264"/>
        <v>0.24379999999999999</v>
      </c>
      <c r="P331" s="41">
        <f t="shared" si="265"/>
        <v>597.61</v>
      </c>
      <c r="Q331" s="42">
        <f t="shared" ref="Q331" si="275">IF(M331="","",ROUND(M331*P331,2))</f>
        <v>0</v>
      </c>
      <c r="R331" s="1444">
        <f t="shared" si="210"/>
        <v>0</v>
      </c>
      <c r="S331" s="315"/>
      <c r="T331" s="315"/>
      <c r="U331" s="1096"/>
      <c r="V331" s="1096"/>
    </row>
    <row r="332" spans="1:22" s="2" customFormat="1" ht="30" customHeight="1" outlineLevel="1" x14ac:dyDescent="0.25">
      <c r="A332" s="576">
        <f ca="1">A329</f>
        <v>5</v>
      </c>
      <c r="B332" s="576">
        <f>IF(M332=0,0,MAX($B$323:B329)+1)</f>
        <v>5</v>
      </c>
      <c r="C332" s="36">
        <f t="shared" si="261"/>
        <v>1</v>
      </c>
      <c r="D332" s="1096">
        <f t="shared" si="267"/>
        <v>279</v>
      </c>
      <c r="E332" s="35" t="str">
        <f t="shared" ca="1" si="262"/>
        <v>5.5</v>
      </c>
      <c r="F332" s="576" t="s">
        <v>2639</v>
      </c>
      <c r="G332" s="550">
        <v>5213441</v>
      </c>
      <c r="H332" s="224" t="str">
        <f t="shared" si="263"/>
        <v>Placa de regulamentação em aço D = 0,80 m - película retrorrefletiva tipo I + SI - fornecimento e implantação</v>
      </c>
      <c r="I332" s="37" t="str">
        <f>IFERROR(VLOOKUP(G332,SINAPI!A:D,2,0),"")</f>
        <v>Placa de regulamentação em aço D = 0,80 m - película retrorrefletiva tipo I + SI - fornecimento e implantação</v>
      </c>
      <c r="J332" s="45" t="s">
        <v>5</v>
      </c>
      <c r="K332" s="46" t="s">
        <v>6767</v>
      </c>
      <c r="L332" s="41" t="str">
        <f>IFERROR(VLOOKUP(G332,SINAPI!A:D,3,0),"")</f>
        <v>un</v>
      </c>
      <c r="M332" s="41">
        <f>VLOOKUP(D332,MEMORIA!B:F,$A$3+3)</f>
        <v>2</v>
      </c>
      <c r="N332" s="41">
        <f>IFERROR(VLOOKUP(G332,SINAPI!A:D,4,0),"")</f>
        <v>339.15</v>
      </c>
      <c r="O332" s="1571">
        <f t="shared" si="264"/>
        <v>0.24379999999999999</v>
      </c>
      <c r="P332" s="41">
        <f t="shared" si="265"/>
        <v>421.83</v>
      </c>
      <c r="Q332" s="42">
        <f t="shared" si="260"/>
        <v>843.66</v>
      </c>
      <c r="R332" s="1444">
        <f t="shared" si="210"/>
        <v>843.66</v>
      </c>
      <c r="S332" s="315"/>
      <c r="T332" s="315"/>
      <c r="U332" s="839"/>
      <c r="V332" s="839"/>
    </row>
    <row r="333" spans="1:22" s="2" customFormat="1" ht="30" customHeight="1" outlineLevel="1" x14ac:dyDescent="0.25">
      <c r="A333" s="576">
        <f t="shared" ca="1" si="266"/>
        <v>5</v>
      </c>
      <c r="B333" s="576">
        <f>IF(M333=0,0,MAX($B$323:B332)+1)</f>
        <v>6</v>
      </c>
      <c r="C333" s="36">
        <f t="shared" ref="C333" si="276">IF(B333=0,0,1)</f>
        <v>1</v>
      </c>
      <c r="D333" s="1096">
        <f t="shared" si="267"/>
        <v>280</v>
      </c>
      <c r="E333" s="35" t="str">
        <f t="shared" ref="E333" ca="1" si="277">CONCATENATE(A333,".",B333)</f>
        <v>5.6</v>
      </c>
      <c r="F333" s="576" t="s">
        <v>2639</v>
      </c>
      <c r="G333" s="550">
        <v>5213864</v>
      </c>
      <c r="H333" s="224" t="str">
        <f t="shared" si="263"/>
        <v>Suporte metálico galvanizado para placa de advertência ou regulamentação - lado ou diâmetro de 0,80 m - fornecimento e implantação</v>
      </c>
      <c r="I333" s="37" t="str">
        <f>IFERROR(VLOOKUP(G333,SINAPI!A:D,2,0),"")</f>
        <v>Suporte metálico galvanizado para placa de advertência ou regulamentação - lado ou diâmetro de 0,80 m - fornecimento e implantação</v>
      </c>
      <c r="J333" s="45" t="s">
        <v>5</v>
      </c>
      <c r="K333" s="46"/>
      <c r="L333" s="41" t="str">
        <f>IFERROR(VLOOKUP(G333,SINAPI!A:D,3,0),"")</f>
        <v>un</v>
      </c>
      <c r="M333" s="41">
        <f>VLOOKUP(D333,MEMORIA!B:F,$A$3+3)</f>
        <v>2</v>
      </c>
      <c r="N333" s="41">
        <f>IFERROR(VLOOKUP(G333,SINAPI!A:D,4,0),"")</f>
        <v>471.32</v>
      </c>
      <c r="O333" s="1571">
        <f t="shared" si="264"/>
        <v>0.24379999999999999</v>
      </c>
      <c r="P333" s="41">
        <f t="shared" si="265"/>
        <v>586.23</v>
      </c>
      <c r="Q333" s="42">
        <f t="shared" ref="Q333" si="278">IF(M333="","",ROUND(M333*P333,2))</f>
        <v>1172.46</v>
      </c>
      <c r="R333" s="1444">
        <f t="shared" si="210"/>
        <v>1172.46</v>
      </c>
      <c r="S333" s="315"/>
      <c r="T333" s="315"/>
      <c r="U333" s="839"/>
      <c r="V333" s="839"/>
    </row>
    <row r="334" spans="1:22" s="2" customFormat="1" ht="25.5" outlineLevel="1" x14ac:dyDescent="0.25">
      <c r="A334" s="576">
        <f t="shared" ca="1" si="266"/>
        <v>5</v>
      </c>
      <c r="B334" s="576">
        <f>IF(M334=0,0,MAX($B$323:B333)+1)</f>
        <v>7</v>
      </c>
      <c r="C334" s="36">
        <f t="shared" si="261"/>
        <v>1</v>
      </c>
      <c r="D334" s="1096">
        <f t="shared" si="267"/>
        <v>281</v>
      </c>
      <c r="E334" s="35" t="str">
        <f t="shared" ca="1" si="262"/>
        <v>5.7</v>
      </c>
      <c r="F334" s="576" t="s">
        <v>2639</v>
      </c>
      <c r="G334" s="550">
        <v>5213465</v>
      </c>
      <c r="H334" s="224" t="str">
        <f t="shared" si="263"/>
        <v>Placa de advertência em aço, lado de 0,80 m - película retrorrefletiva tipo I + SI - fornecimento e implantação</v>
      </c>
      <c r="I334" s="37" t="str">
        <f>IFERROR(VLOOKUP(G334,SINAPI!A:D,2,0),"")</f>
        <v>Placa de advertência em aço, lado de 0,80 m - película retrorrefletiva tipo I + SI - fornecimento e implantação</v>
      </c>
      <c r="J334" s="45" t="s">
        <v>5</v>
      </c>
      <c r="K334" s="46" t="s">
        <v>6768</v>
      </c>
      <c r="L334" s="41" t="str">
        <f>IFERROR(VLOOKUP(G334,SINAPI!A:D,3,0),"")</f>
        <v>un</v>
      </c>
      <c r="M334" s="41">
        <f>VLOOKUP(D334,MEMORIA!B:F,$A$3+3)</f>
        <v>3</v>
      </c>
      <c r="N334" s="41">
        <f>IFERROR(VLOOKUP(G334,SINAPI!A:D,4,0),"")</f>
        <v>339.15</v>
      </c>
      <c r="O334" s="1571">
        <f t="shared" si="264"/>
        <v>0.24379999999999999</v>
      </c>
      <c r="P334" s="41">
        <f t="shared" si="265"/>
        <v>421.83</v>
      </c>
      <c r="Q334" s="42">
        <f t="shared" si="260"/>
        <v>1265.49</v>
      </c>
      <c r="R334" s="1444">
        <f t="shared" si="210"/>
        <v>1265.49</v>
      </c>
      <c r="S334" s="315"/>
      <c r="T334" s="315"/>
      <c r="U334" s="839"/>
      <c r="V334" s="839"/>
    </row>
    <row r="335" spans="1:22" s="2" customFormat="1" ht="25.5" outlineLevel="1" x14ac:dyDescent="0.25">
      <c r="A335" s="576">
        <f t="shared" ca="1" si="266"/>
        <v>5</v>
      </c>
      <c r="B335" s="576">
        <f>IF(M335=0,0,MAX($B$323:B334)+1)</f>
        <v>8</v>
      </c>
      <c r="C335" s="36">
        <f t="shared" ref="C335" si="279">IF(B335=0,0,1)</f>
        <v>1</v>
      </c>
      <c r="D335" s="1096">
        <f t="shared" si="267"/>
        <v>282</v>
      </c>
      <c r="E335" s="35" t="str">
        <f t="shared" ref="E335" ca="1" si="280">CONCATENATE(A335,".",B335)</f>
        <v>5.8</v>
      </c>
      <c r="F335" s="576" t="s">
        <v>2639</v>
      </c>
      <c r="G335" s="550">
        <v>5213864</v>
      </c>
      <c r="H335" s="224" t="str">
        <f t="shared" si="263"/>
        <v>Suporte metálico galvanizado para placa de advertência ou regulamentação - lado ou diâmetro de 0,80 m - fornecimento e implantação</v>
      </c>
      <c r="I335" s="37" t="str">
        <f>IFERROR(VLOOKUP(G335,SINAPI!A:D,2,0),"")</f>
        <v>Suporte metálico galvanizado para placa de advertência ou regulamentação - lado ou diâmetro de 0,80 m - fornecimento e implantação</v>
      </c>
      <c r="J335" s="45" t="s">
        <v>5</v>
      </c>
      <c r="K335" s="46"/>
      <c r="L335" s="41" t="str">
        <f>IFERROR(VLOOKUP(G335,SINAPI!A:D,3,0),"")</f>
        <v>un</v>
      </c>
      <c r="M335" s="41">
        <f>VLOOKUP(D335,MEMORIA!B:F,$A$3+3)</f>
        <v>3</v>
      </c>
      <c r="N335" s="41">
        <f>IFERROR(VLOOKUP(G335,SINAPI!A:D,4,0),"")</f>
        <v>471.32</v>
      </c>
      <c r="O335" s="1571">
        <f t="shared" si="264"/>
        <v>0.24379999999999999</v>
      </c>
      <c r="P335" s="41">
        <f t="shared" si="265"/>
        <v>586.23</v>
      </c>
      <c r="Q335" s="42">
        <f t="shared" ref="Q335" si="281">IF(M335="","",ROUND(M335*P335,2))</f>
        <v>1758.69</v>
      </c>
      <c r="R335" s="1444">
        <f t="shared" si="210"/>
        <v>1758.69</v>
      </c>
      <c r="S335" s="315"/>
      <c r="T335" s="315"/>
      <c r="U335" s="839"/>
      <c r="V335" s="839"/>
    </row>
    <row r="336" spans="1:22" s="2" customFormat="1" ht="15" hidden="1" customHeight="1" outlineLevel="1" x14ac:dyDescent="0.25">
      <c r="A336" s="576">
        <f t="shared" ca="1" si="266"/>
        <v>5</v>
      </c>
      <c r="B336" s="576">
        <f>IF(M336=0,0,MAX($B$323:B335)+1)</f>
        <v>0</v>
      </c>
      <c r="C336" s="36">
        <f t="shared" si="261"/>
        <v>0</v>
      </c>
      <c r="D336" s="1096">
        <f t="shared" si="267"/>
        <v>283</v>
      </c>
      <c r="E336" s="35" t="str">
        <f t="shared" ca="1" si="262"/>
        <v>5.0</v>
      </c>
      <c r="F336" s="576" t="s">
        <v>2639</v>
      </c>
      <c r="G336" s="550">
        <v>5213489</v>
      </c>
      <c r="H336" s="224" t="str">
        <f t="shared" si="263"/>
        <v>Placa em aço - 2,00 x 1,00 m - película retrorrefletiva tipo I + I - fornecimento e implantação</v>
      </c>
      <c r="I336" s="37" t="str">
        <f>IFERROR(VLOOKUP(G336,SINAPI!A:D,2,0),"")</f>
        <v>Placa em aço - 2,00 x 1,00 m - película retrorrefletiva tipo I + I - fornecimento e implantação</v>
      </c>
      <c r="J336" s="45" t="s">
        <v>5</v>
      </c>
      <c r="K336" s="46" t="s">
        <v>3931</v>
      </c>
      <c r="L336" s="41" t="str">
        <f>IFERROR(VLOOKUP(G336,SINAPI!A:D,3,0),"")</f>
        <v>un</v>
      </c>
      <c r="M336" s="41">
        <f>VLOOKUP(D336,MEMORIA!B:F,$A$3+3)</f>
        <v>0</v>
      </c>
      <c r="N336" s="41">
        <f>IFERROR(VLOOKUP(G336,SINAPI!A:D,4,0),"")</f>
        <v>898.52</v>
      </c>
      <c r="O336" s="1571">
        <f t="shared" si="264"/>
        <v>0.24379999999999999</v>
      </c>
      <c r="P336" s="41">
        <f t="shared" si="265"/>
        <v>1117.58</v>
      </c>
      <c r="Q336" s="42">
        <f t="shared" si="260"/>
        <v>0</v>
      </c>
      <c r="R336" s="1444">
        <f t="shared" ref="R336:R383" si="282">Q336</f>
        <v>0</v>
      </c>
      <c r="S336" s="315"/>
      <c r="T336" s="315"/>
      <c r="U336" s="839"/>
      <c r="V336" s="839"/>
    </row>
    <row r="337" spans="1:22" s="2" customFormat="1" ht="15" hidden="1" customHeight="1" outlineLevel="1" x14ac:dyDescent="0.25">
      <c r="A337" s="576">
        <f t="shared" ca="1" si="266"/>
        <v>5</v>
      </c>
      <c r="B337" s="576">
        <f>IF(M337=0,0,MAX($B$323:B336)+1)</f>
        <v>0</v>
      </c>
      <c r="C337" s="36">
        <f t="shared" ref="C337:C341" si="283">IF(B337=0,0,1)</f>
        <v>0</v>
      </c>
      <c r="D337" s="1108">
        <f t="shared" si="267"/>
        <v>284</v>
      </c>
      <c r="E337" s="35" t="str">
        <f t="shared" ref="E337:E341" ca="1" si="284">CONCATENATE(A337,".",B337)</f>
        <v>5.0</v>
      </c>
      <c r="F337" s="576" t="s">
        <v>2639</v>
      </c>
      <c r="G337" s="550">
        <v>5213868</v>
      </c>
      <c r="H337" s="224" t="str">
        <f t="shared" si="263"/>
        <v>Suporte metálico galvanizado para placas - 2,00 x 1,00 m - fornecimento e implantação</v>
      </c>
      <c r="I337" s="37" t="str">
        <f>IFERROR(VLOOKUP(G337,SINAPI!A:D,2,0),"")</f>
        <v>Suporte metálico galvanizado para placas - 2,00 x 1,00 m - fornecimento e implantação</v>
      </c>
      <c r="J337" s="45" t="s">
        <v>5</v>
      </c>
      <c r="K337" s="46"/>
      <c r="L337" s="41" t="str">
        <f>IFERROR(VLOOKUP(G337,SINAPI!A:D,3,0),"")</f>
        <v>un</v>
      </c>
      <c r="M337" s="41">
        <f>VLOOKUP(D337,MEMORIA!B:F,$A$3+3)</f>
        <v>0</v>
      </c>
      <c r="N337" s="41">
        <f>IFERROR(VLOOKUP(G337,SINAPI!A:D,4,0),"")</f>
        <v>1087.5899999999999</v>
      </c>
      <c r="O337" s="1571">
        <f t="shared" si="264"/>
        <v>0.24379999999999999</v>
      </c>
      <c r="P337" s="41">
        <f t="shared" si="265"/>
        <v>1352.74</v>
      </c>
      <c r="Q337" s="42">
        <f t="shared" ref="Q337:Q341" si="285">IF(M337="","",ROUND(M337*P337,2))</f>
        <v>0</v>
      </c>
      <c r="R337" s="1444">
        <f t="shared" si="282"/>
        <v>0</v>
      </c>
      <c r="S337" s="315"/>
      <c r="T337" s="315"/>
      <c r="U337" s="849"/>
      <c r="V337" s="849"/>
    </row>
    <row r="338" spans="1:22" s="2" customFormat="1" ht="15" hidden="1" customHeight="1" outlineLevel="1" x14ac:dyDescent="0.25">
      <c r="A338" s="576">
        <f t="shared" ca="1" si="266"/>
        <v>5</v>
      </c>
      <c r="B338" s="576">
        <f>IF(M338=0,0,MAX($B$323:B337)+1)</f>
        <v>0</v>
      </c>
      <c r="C338" s="36">
        <f t="shared" si="283"/>
        <v>0</v>
      </c>
      <c r="D338" s="1108">
        <f t="shared" si="267"/>
        <v>285</v>
      </c>
      <c r="E338" s="35" t="str">
        <f t="shared" ca="1" si="284"/>
        <v>5.0</v>
      </c>
      <c r="F338" s="576" t="s">
        <v>17</v>
      </c>
      <c r="G338" s="550" t="s">
        <v>5695</v>
      </c>
      <c r="H338" s="224" t="str">
        <f t="shared" si="263"/>
        <v>Placa em aço - 2,00 x 0,50 m - película retrorrefletiva tipo I + I - fornecimento e implantação</v>
      </c>
      <c r="I338" s="37" t="str">
        <f>IFERROR(VLOOKUP(G338,SINAPI!A:D,2,0),"")</f>
        <v>Placa em aço - 2,00 x 0,50 m - película retrorrefletiva tipo I + I - fornecimento e implantação</v>
      </c>
      <c r="J338" s="45" t="s">
        <v>5</v>
      </c>
      <c r="K338" s="46"/>
      <c r="L338" s="41" t="str">
        <f>IFERROR(VLOOKUP(G338,SINAPI!A:D,3,0),"")</f>
        <v>und</v>
      </c>
      <c r="M338" s="41">
        <f>VLOOKUP(D338,MEMORIA!B:F,$A$3+3)</f>
        <v>0</v>
      </c>
      <c r="N338" s="41">
        <f>IFERROR(VLOOKUP(G338,SINAPI!A:D,4,0),"")</f>
        <v>465.24</v>
      </c>
      <c r="O338" s="1571">
        <f t="shared" si="264"/>
        <v>0.24379999999999999</v>
      </c>
      <c r="P338" s="41">
        <f t="shared" si="265"/>
        <v>578.66999999999996</v>
      </c>
      <c r="Q338" s="42">
        <f t="shared" si="285"/>
        <v>0</v>
      </c>
      <c r="R338" s="1444">
        <f t="shared" si="282"/>
        <v>0</v>
      </c>
      <c r="S338" s="315"/>
      <c r="T338" s="315"/>
      <c r="U338" s="1096"/>
      <c r="V338" s="1096"/>
    </row>
    <row r="339" spans="1:22" s="2" customFormat="1" ht="15" hidden="1" customHeight="1" outlineLevel="1" x14ac:dyDescent="0.25">
      <c r="A339" s="576">
        <f t="shared" ca="1" si="266"/>
        <v>5</v>
      </c>
      <c r="B339" s="576">
        <f>IF(M339=0,0,MAX($B$323:B338)+1)</f>
        <v>0</v>
      </c>
      <c r="C339" s="36">
        <f t="shared" ref="C339" si="286">IF(B339=0,0,1)</f>
        <v>0</v>
      </c>
      <c r="D339" s="1108">
        <f t="shared" si="267"/>
        <v>286</v>
      </c>
      <c r="E339" s="35" t="str">
        <f t="shared" ref="E339" ca="1" si="287">CONCATENATE(A339,".",B339)</f>
        <v>5.0</v>
      </c>
      <c r="F339" s="576" t="s">
        <v>17</v>
      </c>
      <c r="G339" s="550" t="s">
        <v>5696</v>
      </c>
      <c r="H339" s="224" t="str">
        <f t="shared" si="263"/>
        <v>Suporte metálico galvanizado para placas - 2,00 x 0,50 m - fornecimento e implantação</v>
      </c>
      <c r="I339" s="37" t="str">
        <f>IFERROR(VLOOKUP(G339,SINAPI!A:D,2,0),"")</f>
        <v>Suporte metálico galvanizado para placas - 2,00 x 0,50 m - fornecimento e implantação</v>
      </c>
      <c r="J339" s="45" t="s">
        <v>5</v>
      </c>
      <c r="K339" s="46"/>
      <c r="L339" s="41" t="str">
        <f>IFERROR(VLOOKUP(G339,SINAPI!A:D,3,0),"")</f>
        <v>und</v>
      </c>
      <c r="M339" s="41">
        <f>VLOOKUP(D339,MEMORIA!B:F,$A$3+3)</f>
        <v>0</v>
      </c>
      <c r="N339" s="41">
        <f>IFERROR(VLOOKUP(G339,SINAPI!A:D,4,0),"")</f>
        <v>910.9</v>
      </c>
      <c r="O339" s="1571">
        <f t="shared" si="264"/>
        <v>0.24379999999999999</v>
      </c>
      <c r="P339" s="41">
        <f t="shared" si="265"/>
        <v>1132.98</v>
      </c>
      <c r="Q339" s="42">
        <f t="shared" ref="Q339" si="288">IF(M339="","",ROUND(M339*P339,2))</f>
        <v>0</v>
      </c>
      <c r="R339" s="1444">
        <f t="shared" si="282"/>
        <v>0</v>
      </c>
      <c r="S339" s="315"/>
      <c r="T339" s="315"/>
      <c r="U339" s="1096"/>
      <c r="V339" s="1096"/>
    </row>
    <row r="340" spans="1:22" s="2" customFormat="1" ht="15" hidden="1" customHeight="1" outlineLevel="1" x14ac:dyDescent="0.25">
      <c r="A340" s="576">
        <f ca="1">A337</f>
        <v>5</v>
      </c>
      <c r="B340" s="576">
        <f>IF(M340=0,0,MAX($B$323:B337)+1)</f>
        <v>0</v>
      </c>
      <c r="C340" s="36">
        <f t="shared" si="283"/>
        <v>0</v>
      </c>
      <c r="D340" s="1403">
        <f t="shared" si="267"/>
        <v>287</v>
      </c>
      <c r="E340" s="35" t="str">
        <f t="shared" ca="1" si="284"/>
        <v>5.0</v>
      </c>
      <c r="F340" s="576" t="s">
        <v>17</v>
      </c>
      <c r="G340" s="550" t="s">
        <v>7254</v>
      </c>
      <c r="H340" s="224" t="str">
        <f t="shared" si="263"/>
        <v>Placa em aço - 0,60 x 0,67 m - película retrorrefletiva tipo I + I - fornecimento e implantação</v>
      </c>
      <c r="I340" s="37" t="str">
        <f>IFERROR(VLOOKUP(G340,SINAPI!A:D,2,0),"")</f>
        <v>Placa em aço - 0,60 x 0,67 m - película retrorrefletiva tipo I + I - fornecimento e implantação</v>
      </c>
      <c r="J340" s="45" t="s">
        <v>5</v>
      </c>
      <c r="K340" s="46"/>
      <c r="L340" s="41" t="str">
        <f>IFERROR(VLOOKUP(G340,SINAPI!A:D,3,0),"")</f>
        <v>und</v>
      </c>
      <c r="M340" s="41">
        <f>VLOOKUP(D340,MEMORIA!B:F,$A$3+3)</f>
        <v>0</v>
      </c>
      <c r="N340" s="41">
        <f>IFERROR(VLOOKUP(G340,SINAPI!A:D,4,0),"")</f>
        <v>219.25</v>
      </c>
      <c r="O340" s="1571">
        <f t="shared" si="264"/>
        <v>0.24379999999999999</v>
      </c>
      <c r="P340" s="41">
        <f t="shared" si="265"/>
        <v>272.7</v>
      </c>
      <c r="Q340" s="42">
        <f t="shared" si="285"/>
        <v>0</v>
      </c>
      <c r="R340" s="1444">
        <f t="shared" si="282"/>
        <v>0</v>
      </c>
      <c r="S340" s="315"/>
      <c r="T340" s="315"/>
      <c r="U340" s="1403"/>
      <c r="V340" s="1403"/>
    </row>
    <row r="341" spans="1:22" s="2" customFormat="1" ht="15" hidden="1" customHeight="1" outlineLevel="1" x14ac:dyDescent="0.25">
      <c r="A341" s="576">
        <f t="shared" ca="1" si="266"/>
        <v>5</v>
      </c>
      <c r="B341" s="576">
        <f>IF(M341=0,0,MAX($B$323:B340)+1)</f>
        <v>0</v>
      </c>
      <c r="C341" s="36">
        <f t="shared" si="283"/>
        <v>0</v>
      </c>
      <c r="D341" s="1108">
        <f t="shared" si="267"/>
        <v>288</v>
      </c>
      <c r="E341" s="35" t="str">
        <f t="shared" ca="1" si="284"/>
        <v>5.0</v>
      </c>
      <c r="F341" s="576" t="s">
        <v>17</v>
      </c>
      <c r="G341" s="550" t="s">
        <v>7255</v>
      </c>
      <c r="H341" s="224" t="str">
        <f t="shared" si="263"/>
        <v>Suporte metálico galvanizado para placas - 0,60 x0,67 m - fornecimento e implantação</v>
      </c>
      <c r="I341" s="37" t="str">
        <f>IFERROR(VLOOKUP(G341,SINAPI!A:D,2,0),"")</f>
        <v>Suporte metálico galvanizado para placas - 0,60 x0,67 m - fornecimento e implantação</v>
      </c>
      <c r="J341" s="45" t="s">
        <v>5</v>
      </c>
      <c r="K341" s="46"/>
      <c r="L341" s="41" t="str">
        <f>IFERROR(VLOOKUP(G341,SINAPI!A:D,3,0),"")</f>
        <v>und</v>
      </c>
      <c r="M341" s="41">
        <f>VLOOKUP(D341,MEMORIA!B:F,$A$3+3)</f>
        <v>0</v>
      </c>
      <c r="N341" s="41">
        <f>IFERROR(VLOOKUP(G341,SINAPI!A:D,4,0),"")</f>
        <v>490.26</v>
      </c>
      <c r="O341" s="1571">
        <f t="shared" si="264"/>
        <v>0.24379999999999999</v>
      </c>
      <c r="P341" s="41">
        <f t="shared" si="265"/>
        <v>609.79</v>
      </c>
      <c r="Q341" s="42">
        <f t="shared" si="285"/>
        <v>0</v>
      </c>
      <c r="R341" s="1444">
        <f t="shared" si="282"/>
        <v>0</v>
      </c>
      <c r="S341" s="315"/>
      <c r="T341" s="315"/>
      <c r="U341" s="849"/>
      <c r="V341" s="849"/>
    </row>
    <row r="342" spans="1:22" s="2" customFormat="1" ht="15" hidden="1" customHeight="1" outlineLevel="1" x14ac:dyDescent="0.25">
      <c r="A342" s="576">
        <f t="shared" ca="1" si="266"/>
        <v>5</v>
      </c>
      <c r="B342" s="576">
        <f>IF(M342=0,0,MAX($B$323:B341)+1)</f>
        <v>0</v>
      </c>
      <c r="C342" s="36">
        <f t="shared" ref="C342:C343" si="289">IF(B342=0,0,1)</f>
        <v>0</v>
      </c>
      <c r="D342" s="1108">
        <f t="shared" si="267"/>
        <v>289</v>
      </c>
      <c r="E342" s="35" t="str">
        <f t="shared" ref="E342:E343" ca="1" si="290">CONCATENATE(A342,".",B342)</f>
        <v>5.0</v>
      </c>
      <c r="F342" s="576" t="s">
        <v>17</v>
      </c>
      <c r="G342" s="550" t="s">
        <v>6750</v>
      </c>
      <c r="H342" s="224" t="str">
        <f t="shared" si="263"/>
        <v>Placa em aço - 0,60 x 1,00 m - película retrorrefletiva tipo I + I - fornecimento e implantação</v>
      </c>
      <c r="I342" s="37" t="str">
        <f>IFERROR(VLOOKUP(G342,SINAPI!A:D,2,0),"")</f>
        <v>Placa em aço - 0,60 x 1,00 m - película retrorrefletiva tipo I + I - fornecimento e implantação</v>
      </c>
      <c r="J342" s="45" t="s">
        <v>5</v>
      </c>
      <c r="K342" s="46" t="s">
        <v>6769</v>
      </c>
      <c r="L342" s="41" t="str">
        <f>IFERROR(VLOOKUP(G342,SINAPI!A:D,3,0),"")</f>
        <v>und</v>
      </c>
      <c r="M342" s="41">
        <f>VLOOKUP(D342,MEMORIA!B:F,$A$3+3)</f>
        <v>0</v>
      </c>
      <c r="N342" s="41">
        <f>IFERROR(VLOOKUP(G342,SINAPI!A:D,4,0),"")</f>
        <v>300.7</v>
      </c>
      <c r="O342" s="1571">
        <f t="shared" si="264"/>
        <v>0.24379999999999999</v>
      </c>
      <c r="P342" s="41">
        <f t="shared" si="265"/>
        <v>374.01</v>
      </c>
      <c r="Q342" s="42">
        <f t="shared" ref="Q342:Q343" si="291">IF(M342="","",ROUND(M342*P342,2))</f>
        <v>0</v>
      </c>
      <c r="R342" s="1444">
        <f t="shared" si="282"/>
        <v>0</v>
      </c>
      <c r="S342" s="315"/>
      <c r="T342" s="315"/>
      <c r="U342" s="1096"/>
      <c r="V342" s="1096"/>
    </row>
    <row r="343" spans="1:22" s="2" customFormat="1" ht="15" hidden="1" customHeight="1" outlineLevel="1" x14ac:dyDescent="0.25">
      <c r="A343" s="576">
        <f t="shared" ca="1" si="266"/>
        <v>5</v>
      </c>
      <c r="B343" s="576">
        <f>IF(M343=0,0,MAX($B$323:B342)+1)</f>
        <v>0</v>
      </c>
      <c r="C343" s="36">
        <f t="shared" si="289"/>
        <v>0</v>
      </c>
      <c r="D343" s="1403">
        <f t="shared" si="267"/>
        <v>290</v>
      </c>
      <c r="E343" s="35" t="str">
        <f t="shared" ca="1" si="290"/>
        <v>5.0</v>
      </c>
      <c r="F343" s="576" t="s">
        <v>17</v>
      </c>
      <c r="G343" s="550" t="s">
        <v>6752</v>
      </c>
      <c r="H343" s="224" t="str">
        <f t="shared" si="263"/>
        <v>Suporte metálico galvanizado para placas - 0,60 x 1,00 m - fornecimento e implantação</v>
      </c>
      <c r="I343" s="37" t="str">
        <f>IFERROR(VLOOKUP(G343,SINAPI!A:D,2,0),"")</f>
        <v>Suporte metálico galvanizado para placas - 0,60 x 1,00 m - fornecimento e implantação</v>
      </c>
      <c r="J343" s="45" t="s">
        <v>5</v>
      </c>
      <c r="K343" s="46"/>
      <c r="L343" s="41" t="str">
        <f>IFERROR(VLOOKUP(G343,SINAPI!A:D,3,0),"")</f>
        <v>und</v>
      </c>
      <c r="M343" s="41">
        <f>VLOOKUP(D343,MEMORIA!B:F,$A$3+3)</f>
        <v>0</v>
      </c>
      <c r="N343" s="41">
        <f>IFERROR(VLOOKUP(G343,SINAPI!A:D,4,0),"")</f>
        <v>490.26</v>
      </c>
      <c r="O343" s="1571">
        <f t="shared" si="264"/>
        <v>0.24379999999999999</v>
      </c>
      <c r="P343" s="41">
        <f t="shared" si="265"/>
        <v>609.79</v>
      </c>
      <c r="Q343" s="42">
        <f t="shared" si="291"/>
        <v>0</v>
      </c>
      <c r="R343" s="1444">
        <f t="shared" si="282"/>
        <v>0</v>
      </c>
      <c r="S343" s="315"/>
      <c r="T343" s="315"/>
      <c r="U343" s="1096"/>
      <c r="V343" s="1096"/>
    </row>
    <row r="344" spans="1:22" s="2" customFormat="1" ht="15" hidden="1" customHeight="1" outlineLevel="1" x14ac:dyDescent="0.25">
      <c r="A344" s="576">
        <f t="shared" ca="1" si="266"/>
        <v>5</v>
      </c>
      <c r="B344" s="576">
        <f>IF(M344=0,0,MAX($B$323:B343)+1)</f>
        <v>0</v>
      </c>
      <c r="C344" s="36">
        <f t="shared" ref="C344:C345" si="292">IF(B344=0,0,1)</f>
        <v>0</v>
      </c>
      <c r="D344" s="1403">
        <f t="shared" si="267"/>
        <v>291</v>
      </c>
      <c r="E344" s="35" t="str">
        <f t="shared" ref="E344:E345" ca="1" si="293">CONCATENATE(A344,".",B344)</f>
        <v>5.0</v>
      </c>
      <c r="F344" s="576" t="s">
        <v>17</v>
      </c>
      <c r="G344" s="550" t="s">
        <v>7258</v>
      </c>
      <c r="H344" s="224" t="str">
        <f t="shared" ref="H344:H345" si="294">I344</f>
        <v>Placa em aço - 0,50 x 1,50m - película retrorrefletiva tipo I + I - fornecimento e implantação</v>
      </c>
      <c r="I344" s="37" t="str">
        <f>IFERROR(VLOOKUP(G344,SINAPI!A:D,2,0),"")</f>
        <v>Placa em aço - 0,50 x 1,50m - película retrorrefletiva tipo I + I - fornecimento e implantação</v>
      </c>
      <c r="J344" s="45" t="s">
        <v>5</v>
      </c>
      <c r="K344" s="46"/>
      <c r="L344" s="41" t="str">
        <f>IFERROR(VLOOKUP(G344,SINAPI!A:D,3,0),"")</f>
        <v>und</v>
      </c>
      <c r="M344" s="41">
        <f>VLOOKUP(D344,MEMORIA!B:F,$A$3+3)</f>
        <v>0</v>
      </c>
      <c r="N344" s="41">
        <f>IFERROR(VLOOKUP(G344,SINAPI!A:D,4,0),"")</f>
        <v>362.4</v>
      </c>
      <c r="O344" s="1571">
        <f t="shared" si="264"/>
        <v>0.24379999999999999</v>
      </c>
      <c r="P344" s="41">
        <f t="shared" si="265"/>
        <v>450.75</v>
      </c>
      <c r="Q344" s="42">
        <f t="shared" ref="Q344:Q345" si="295">IF(M344="","",ROUND(M344*P344,2))</f>
        <v>0</v>
      </c>
      <c r="R344" s="1444">
        <f t="shared" si="282"/>
        <v>0</v>
      </c>
      <c r="S344" s="315"/>
      <c r="T344" s="315"/>
      <c r="U344" s="1403"/>
      <c r="V344" s="1403"/>
    </row>
    <row r="345" spans="1:22" s="2" customFormat="1" ht="15" hidden="1" customHeight="1" outlineLevel="1" x14ac:dyDescent="0.25">
      <c r="A345" s="576">
        <f t="shared" ca="1" si="266"/>
        <v>5</v>
      </c>
      <c r="B345" s="576">
        <f>IF(M345=0,0,MAX($B$323:B344)+1)</f>
        <v>0</v>
      </c>
      <c r="C345" s="36">
        <f t="shared" si="292"/>
        <v>0</v>
      </c>
      <c r="D345" s="1403">
        <f t="shared" si="267"/>
        <v>292</v>
      </c>
      <c r="E345" s="35" t="str">
        <f t="shared" ca="1" si="293"/>
        <v>5.0</v>
      </c>
      <c r="F345" s="576" t="s">
        <v>17</v>
      </c>
      <c r="G345" s="550" t="s">
        <v>7259</v>
      </c>
      <c r="H345" s="224" t="str">
        <f t="shared" si="294"/>
        <v>Suporte metálico galvanizado para placas - 0,60 x0,67 m - fornecimento e implantação</v>
      </c>
      <c r="I345" s="37" t="str">
        <f>IFERROR(VLOOKUP(G345,SINAPI!A:D,2,0),"")</f>
        <v>Suporte metálico galvanizado para placas - 0,60 x0,67 m - fornecimento e implantação</v>
      </c>
      <c r="J345" s="45" t="s">
        <v>5</v>
      </c>
      <c r="K345" s="46"/>
      <c r="L345" s="41" t="str">
        <f>IFERROR(VLOOKUP(G345,SINAPI!A:D,3,0),"")</f>
        <v>und</v>
      </c>
      <c r="M345" s="41">
        <f>VLOOKUP(D345,MEMORIA!B:F,$A$3+3)</f>
        <v>0</v>
      </c>
      <c r="N345" s="41">
        <f>IFERROR(VLOOKUP(G345,SINAPI!A:D,4,0),"")</f>
        <v>490.26</v>
      </c>
      <c r="O345" s="1571">
        <f t="shared" si="264"/>
        <v>0.24379999999999999</v>
      </c>
      <c r="P345" s="41">
        <f t="shared" si="265"/>
        <v>609.79</v>
      </c>
      <c r="Q345" s="42">
        <f t="shared" si="295"/>
        <v>0</v>
      </c>
      <c r="R345" s="1444">
        <f t="shared" si="282"/>
        <v>0</v>
      </c>
      <c r="S345" s="315"/>
      <c r="T345" s="315"/>
      <c r="U345" s="1403"/>
      <c r="V345" s="1403"/>
    </row>
    <row r="346" spans="1:22" s="2" customFormat="1" ht="12.75" hidden="1" outlineLevel="1" x14ac:dyDescent="0.25">
      <c r="A346" s="576">
        <f ca="1">A341</f>
        <v>5</v>
      </c>
      <c r="B346" s="576">
        <f>IF(M346=0,0,MAX($B$323:B341)+1)</f>
        <v>0</v>
      </c>
      <c r="C346" s="36">
        <f t="shared" ref="C346:C349" si="296">IF(B346=0,0,1)</f>
        <v>0</v>
      </c>
      <c r="D346" s="1403">
        <f t="shared" si="267"/>
        <v>293</v>
      </c>
      <c r="E346" s="35" t="str">
        <f t="shared" ref="E346" ca="1" si="297">CONCATENATE(A346,".",B346)</f>
        <v>5.0</v>
      </c>
      <c r="F346" s="36" t="s">
        <v>2639</v>
      </c>
      <c r="G346" s="550">
        <f>G347</f>
        <v>5213362</v>
      </c>
      <c r="H346" s="224" t="str">
        <f t="shared" si="263"/>
        <v>Tachão refletivo em plástico injetado - bidirecional - fornecimento e colocação</v>
      </c>
      <c r="I346" s="37" t="str">
        <f>IFERROR(VLOOKUP(G346,SINAPI!A:D,2,0),"")</f>
        <v>Tachão refletivo em plástico injetado - bidirecional - fornecimento e colocação</v>
      </c>
      <c r="J346" s="45" t="s">
        <v>5</v>
      </c>
      <c r="K346" s="40" t="s">
        <v>29</v>
      </c>
      <c r="L346" s="41" t="str">
        <f>IFERROR(VLOOKUP(G346,SINAPI!A:D,3,0),"")</f>
        <v>un</v>
      </c>
      <c r="M346" s="41">
        <f>VLOOKUP(D346,MEMORIA!B:F,$A$3+3)</f>
        <v>0</v>
      </c>
      <c r="N346" s="41">
        <f>IFERROR(VLOOKUP(G346,SINAPI!A:D,4,0),"")</f>
        <v>91.37</v>
      </c>
      <c r="O346" s="1571">
        <f t="shared" si="264"/>
        <v>0.24379999999999999</v>
      </c>
      <c r="P346" s="41">
        <f t="shared" si="265"/>
        <v>113.65</v>
      </c>
      <c r="Q346" s="42">
        <f t="shared" ref="Q346:Q349" si="298">IF(M346="","",ROUND(M346*P346,2))</f>
        <v>0</v>
      </c>
      <c r="R346" s="1444">
        <f t="shared" si="282"/>
        <v>0</v>
      </c>
      <c r="S346" s="315"/>
      <c r="T346" s="315"/>
      <c r="U346" s="839"/>
      <c r="V346" s="839"/>
    </row>
    <row r="347" spans="1:22" s="2" customFormat="1" ht="12.75" hidden="1" outlineLevel="1" x14ac:dyDescent="0.25">
      <c r="A347" s="576">
        <f t="shared" ca="1" si="266"/>
        <v>5</v>
      </c>
      <c r="B347" s="576">
        <f>IF(M347=0,0,MAX($B$323:B346)+1)</f>
        <v>0</v>
      </c>
      <c r="C347" s="36">
        <f t="shared" si="296"/>
        <v>0</v>
      </c>
      <c r="D347" s="1403">
        <f t="shared" si="267"/>
        <v>294</v>
      </c>
      <c r="E347" s="35" t="str">
        <f t="shared" ref="E347:E348" ca="1" si="299">CONCATENATE(A347,".",B347)</f>
        <v>5.0</v>
      </c>
      <c r="F347" s="36" t="s">
        <v>2639</v>
      </c>
      <c r="G347" s="550">
        <v>5213362</v>
      </c>
      <c r="H347" s="224" t="str">
        <f t="shared" si="263"/>
        <v>Tachão refletivo em plástico injetado - bidirecional - fornecimento e colocação</v>
      </c>
      <c r="I347" s="37" t="str">
        <f>IFERROR(VLOOKUP(G347,SINAPI!A:D,2,0),"")</f>
        <v>Tachão refletivo em plástico injetado - bidirecional - fornecimento e colocação</v>
      </c>
      <c r="J347" s="45" t="s">
        <v>5</v>
      </c>
      <c r="K347" s="40" t="s">
        <v>30</v>
      </c>
      <c r="L347" s="41" t="str">
        <f>IFERROR(VLOOKUP(G347,SINAPI!A:D,3,0),"")</f>
        <v>un</v>
      </c>
      <c r="M347" s="41">
        <f>VLOOKUP(D347,MEMORIA!B:F,$A$3+3)</f>
        <v>0</v>
      </c>
      <c r="N347" s="41">
        <f>IFERROR(VLOOKUP(G347,SINAPI!A:D,4,0),"")</f>
        <v>91.37</v>
      </c>
      <c r="O347" s="1571">
        <f t="shared" si="264"/>
        <v>0.24379999999999999</v>
      </c>
      <c r="P347" s="41">
        <f t="shared" si="265"/>
        <v>113.65</v>
      </c>
      <c r="Q347" s="42">
        <f t="shared" si="298"/>
        <v>0</v>
      </c>
      <c r="R347" s="1444">
        <f t="shared" si="282"/>
        <v>0</v>
      </c>
      <c r="S347" s="315"/>
      <c r="T347" s="315"/>
      <c r="U347" s="839"/>
      <c r="V347" s="839"/>
    </row>
    <row r="348" spans="1:22" s="2" customFormat="1" ht="15" hidden="1" customHeight="1" outlineLevel="1" x14ac:dyDescent="0.25">
      <c r="A348" s="576">
        <f t="shared" ca="1" si="266"/>
        <v>5</v>
      </c>
      <c r="B348" s="576">
        <f>IF(M348=0,0,MAX($B$323:B347)+1)</f>
        <v>0</v>
      </c>
      <c r="C348" s="36">
        <f t="shared" si="296"/>
        <v>0</v>
      </c>
      <c r="D348" s="1403">
        <f t="shared" si="267"/>
        <v>295</v>
      </c>
      <c r="E348" s="35" t="str">
        <f t="shared" ca="1" si="299"/>
        <v>5.0</v>
      </c>
      <c r="F348" s="36" t="s">
        <v>2639</v>
      </c>
      <c r="G348" s="550">
        <v>5213394</v>
      </c>
      <c r="H348" s="224" t="str">
        <f t="shared" si="263"/>
        <v>Tacha refletiva metálica - bidirecional tipo II - com um pino - fornecimento e colocação</v>
      </c>
      <c r="I348" s="37" t="str">
        <f>IFERROR(VLOOKUP(G348,SINAPI!A:D,2,0),"")</f>
        <v>Tacha refletiva metálica - bidirecional tipo II - com um pino - fornecimento e colocação</v>
      </c>
      <c r="J348" s="45" t="s">
        <v>5</v>
      </c>
      <c r="K348" s="40" t="s">
        <v>29</v>
      </c>
      <c r="L348" s="41" t="str">
        <f>IFERROR(VLOOKUP(G348,SINAPI!A:D,3,0),"")</f>
        <v>un</v>
      </c>
      <c r="M348" s="41">
        <f>VLOOKUP(D348,MEMORIA!B:F,$A$3+3)</f>
        <v>0</v>
      </c>
      <c r="N348" s="41">
        <f>IFERROR(VLOOKUP(G348,SINAPI!A:D,4,0),"")</f>
        <v>34.659999999999997</v>
      </c>
      <c r="O348" s="1571">
        <f t="shared" si="264"/>
        <v>0.24379999999999999</v>
      </c>
      <c r="P348" s="41">
        <f t="shared" si="265"/>
        <v>43.11</v>
      </c>
      <c r="Q348" s="42">
        <f t="shared" si="298"/>
        <v>0</v>
      </c>
      <c r="R348" s="1444">
        <f t="shared" si="282"/>
        <v>0</v>
      </c>
      <c r="S348" s="315"/>
      <c r="T348" s="315"/>
      <c r="U348" s="839"/>
      <c r="V348" s="839"/>
    </row>
    <row r="349" spans="1:22" s="2" customFormat="1" ht="15" hidden="1" customHeight="1" outlineLevel="1" x14ac:dyDescent="0.25">
      <c r="A349" s="576">
        <f t="shared" ca="1" si="266"/>
        <v>5</v>
      </c>
      <c r="B349" s="576">
        <f>IF(M349=0,0,MAX($B$323:B348)+1)</f>
        <v>0</v>
      </c>
      <c r="C349" s="36">
        <f t="shared" si="296"/>
        <v>0</v>
      </c>
      <c r="D349" s="1403">
        <f t="shared" si="267"/>
        <v>296</v>
      </c>
      <c r="E349" s="35" t="str">
        <f t="shared" ref="E349" ca="1" si="300">CONCATENATE(A349,".",B349)</f>
        <v>5.0</v>
      </c>
      <c r="F349" s="36" t="s">
        <v>2639</v>
      </c>
      <c r="G349" s="550">
        <f>G348</f>
        <v>5213394</v>
      </c>
      <c r="H349" s="224" t="str">
        <f t="shared" si="263"/>
        <v>Tacha refletiva metálica - bidirecional tipo II - com um pino - fornecimento e colocação</v>
      </c>
      <c r="I349" s="37" t="str">
        <f>IFERROR(VLOOKUP(G349,SINAPI!A:D,2,0),"")</f>
        <v>Tacha refletiva metálica - bidirecional tipo II - com um pino - fornecimento e colocação</v>
      </c>
      <c r="J349" s="45" t="s">
        <v>5</v>
      </c>
      <c r="K349" s="40" t="s">
        <v>30</v>
      </c>
      <c r="L349" s="41" t="str">
        <f>IFERROR(VLOOKUP(G349,SINAPI!A:D,3,0),"")</f>
        <v>un</v>
      </c>
      <c r="M349" s="41">
        <f>VLOOKUP(D349,MEMORIA!B:F,$A$3+3)</f>
        <v>0</v>
      </c>
      <c r="N349" s="41">
        <f>IFERROR(VLOOKUP(G349,SINAPI!A:D,4,0),"")</f>
        <v>34.659999999999997</v>
      </c>
      <c r="O349" s="1571">
        <f t="shared" si="264"/>
        <v>0.24379999999999999</v>
      </c>
      <c r="P349" s="41">
        <f t="shared" si="265"/>
        <v>43.11</v>
      </c>
      <c r="Q349" s="42">
        <f t="shared" si="298"/>
        <v>0</v>
      </c>
      <c r="R349" s="1444">
        <f t="shared" si="282"/>
        <v>0</v>
      </c>
      <c r="S349" s="315"/>
      <c r="T349" s="315"/>
      <c r="U349" s="839"/>
      <c r="V349" s="839"/>
    </row>
    <row r="350" spans="1:22" ht="15" customHeight="1" outlineLevel="1" thickBot="1" x14ac:dyDescent="0.3">
      <c r="A350" s="218"/>
      <c r="B350" s="218"/>
      <c r="C350" s="218">
        <f>C323</f>
        <v>1</v>
      </c>
      <c r="E350" s="230" t="s">
        <v>2607</v>
      </c>
      <c r="F350" s="231"/>
      <c r="G350" s="231"/>
      <c r="H350" s="231"/>
      <c r="I350" s="231"/>
      <c r="J350" s="231"/>
      <c r="K350" s="231"/>
      <c r="L350" s="231"/>
      <c r="M350" s="231"/>
      <c r="N350" s="232"/>
      <c r="O350" s="232"/>
      <c r="P350" s="621"/>
      <c r="Q350" s="581">
        <f>SUM(Q324:Q349)</f>
        <v>7545.69</v>
      </c>
      <c r="R350" s="581">
        <f>SUM(R324:R349)</f>
        <v>7545.69</v>
      </c>
      <c r="U350" s="668"/>
      <c r="V350" s="668"/>
    </row>
    <row r="351" spans="1:22" ht="13.5" hidden="1" outlineLevel="1" thickBot="1" x14ac:dyDescent="0.3">
      <c r="A351" s="617">
        <f ca="1">A323+C351</f>
        <v>5</v>
      </c>
      <c r="B351" s="617">
        <v>0</v>
      </c>
      <c r="C351" s="617">
        <f>IF(SUM(B352:B367)&gt;0,1,0)</f>
        <v>0</v>
      </c>
      <c r="E351" s="618" t="str">
        <f ca="1">CONCATENATE(A351,".",B351)</f>
        <v>5.0</v>
      </c>
      <c r="F351" s="627"/>
      <c r="G351" s="627" t="s">
        <v>2633</v>
      </c>
      <c r="H351" s="627"/>
      <c r="I351" s="44"/>
      <c r="J351" s="628"/>
      <c r="K351" s="629"/>
      <c r="L351" s="630" t="s">
        <v>2603</v>
      </c>
      <c r="M351" s="631"/>
      <c r="N351" s="631" t="s">
        <v>2603</v>
      </c>
      <c r="O351" s="1569"/>
      <c r="P351" s="631" t="str">
        <f>IF(N351="","",(ROUND(N351*(1+BDI),2)))</f>
        <v/>
      </c>
      <c r="Q351" s="632" t="str">
        <f t="shared" ref="Q351:Q357" si="301">IF(M351="","",ROUND(M351*P351,2))</f>
        <v/>
      </c>
      <c r="R351" s="1444" t="str">
        <f t="shared" si="282"/>
        <v/>
      </c>
      <c r="U351" s="668"/>
      <c r="V351" s="668"/>
    </row>
    <row r="352" spans="1:22" ht="15" hidden="1" customHeight="1" outlineLevel="1" x14ac:dyDescent="0.3">
      <c r="A352" s="576">
        <f ca="1">A351</f>
        <v>5</v>
      </c>
      <c r="B352" s="576">
        <f>IF(M352=0,0,MAX($B$351:B351)+1)</f>
        <v>0</v>
      </c>
      <c r="C352" s="576">
        <f t="shared" ref="C352:C356" si="302">IF(B352=0,0,1)</f>
        <v>0</v>
      </c>
      <c r="D352" s="515">
        <f>D349+1</f>
        <v>297</v>
      </c>
      <c r="E352" s="35" t="str">
        <f ca="1">CONCATENATE(A352,".",B352)</f>
        <v>5.0</v>
      </c>
      <c r="F352" s="576" t="s">
        <v>17</v>
      </c>
      <c r="G352" s="576" t="s">
        <v>2700</v>
      </c>
      <c r="H352" s="224" t="str">
        <f t="shared" ref="H352:H365" si="303">I352</f>
        <v>Remoção e relocação de postes</v>
      </c>
      <c r="I352" s="37" t="str">
        <f>IFERROR(VLOOKUP(G352,SINAPI!A:D,2,0),"")</f>
        <v>Remoção e relocação de postes</v>
      </c>
      <c r="J352" s="626" t="s">
        <v>5</v>
      </c>
      <c r="K352" s="40"/>
      <c r="L352" s="40" t="str">
        <f>IFERROR(VLOOKUP(G352,SINAPI!A:D,3,0),"")</f>
        <v>un</v>
      </c>
      <c r="M352" s="40">
        <f>VLOOKUP(D352,MEMORIA!B:F,$A$3+3)</f>
        <v>0</v>
      </c>
      <c r="N352" s="40">
        <f>IFERROR(VLOOKUP(G352,SINAPI!A:D,4,0),"")</f>
        <v>5695.07</v>
      </c>
      <c r="O352" s="1571">
        <f t="shared" ref="O352:O367" si="304">$N$7</f>
        <v>0.24379999999999999</v>
      </c>
      <c r="P352" s="41">
        <f t="shared" ref="P352:P367" si="305">IF(N352="","",(ROUND(N352*(1+O352),2)))</f>
        <v>7083.53</v>
      </c>
      <c r="Q352" s="580">
        <f t="shared" si="301"/>
        <v>0</v>
      </c>
      <c r="R352" s="1444">
        <f t="shared" si="282"/>
        <v>0</v>
      </c>
      <c r="U352" s="668"/>
      <c r="V352" s="668"/>
    </row>
    <row r="353" spans="1:22" ht="15" hidden="1" customHeight="1" outlineLevel="1" x14ac:dyDescent="0.3">
      <c r="A353" s="576">
        <f t="shared" ref="A353:A367" ca="1" si="306">A351</f>
        <v>5</v>
      </c>
      <c r="B353" s="576">
        <f>IF(M353=0,0,MAX($B$351:B352)+1)</f>
        <v>0</v>
      </c>
      <c r="C353" s="576">
        <f t="shared" si="302"/>
        <v>0</v>
      </c>
      <c r="D353" s="515">
        <f>D352+1</f>
        <v>298</v>
      </c>
      <c r="E353" s="35" t="str">
        <f t="shared" ref="E353" ca="1" si="307">CONCATENATE(A353,".",B353)</f>
        <v>5.0</v>
      </c>
      <c r="F353" s="576" t="str">
        <f>F352</f>
        <v>Composição</v>
      </c>
      <c r="G353" s="576" t="str">
        <f>G352</f>
        <v>COMP 23</v>
      </c>
      <c r="H353" s="224" t="str">
        <f t="shared" si="303"/>
        <v>Remoção e relocação de postes</v>
      </c>
      <c r="I353" s="37" t="str">
        <f>IFERROR(VLOOKUP(G353,SINAPI!A:D,2,0),"")</f>
        <v>Remoção e relocação de postes</v>
      </c>
      <c r="J353" s="626" t="s">
        <v>5</v>
      </c>
      <c r="K353" s="40"/>
      <c r="L353" s="40" t="str">
        <f>IFERROR(VLOOKUP(G353,SINAPI!A:D,3,0),"")</f>
        <v>un</v>
      </c>
      <c r="M353" s="40">
        <f>VLOOKUP(D353,MEMORIA!B:F,$A$3+3)</f>
        <v>0</v>
      </c>
      <c r="N353" s="40">
        <f>IFERROR(VLOOKUP(G353,SINAPI!A:D,4,0),"")</f>
        <v>5695.07</v>
      </c>
      <c r="O353" s="1571">
        <f t="shared" si="304"/>
        <v>0.24379999999999999</v>
      </c>
      <c r="P353" s="41">
        <f t="shared" si="305"/>
        <v>7083.53</v>
      </c>
      <c r="Q353" s="580">
        <f t="shared" si="301"/>
        <v>0</v>
      </c>
      <c r="R353" s="1444">
        <f t="shared" si="282"/>
        <v>0</v>
      </c>
      <c r="U353" s="668"/>
      <c r="V353" s="668"/>
    </row>
    <row r="354" spans="1:22" ht="13.5" hidden="1" outlineLevel="1" thickBot="1" x14ac:dyDescent="0.3">
      <c r="A354" s="576">
        <f t="shared" ca="1" si="306"/>
        <v>5</v>
      </c>
      <c r="B354" s="576">
        <f>IF(M354=0,0,MAX($B$351:B353)+1)</f>
        <v>0</v>
      </c>
      <c r="C354" s="576">
        <f t="shared" ref="C354" si="308">IF(B354=0,0,1)</f>
        <v>0</v>
      </c>
      <c r="D354" s="515">
        <f t="shared" ref="D354:D367" si="309">D353+1</f>
        <v>299</v>
      </c>
      <c r="E354" s="35" t="str">
        <f t="shared" ref="E354" ca="1" si="310">CONCATENATE(A354,".",B354)</f>
        <v>5.0</v>
      </c>
      <c r="F354" s="36" t="s">
        <v>2639</v>
      </c>
      <c r="G354" s="576">
        <v>1600966</v>
      </c>
      <c r="H354" s="224" t="str">
        <f t="shared" si="303"/>
        <v>Remoção de cerca com mourões de concreto</v>
      </c>
      <c r="I354" s="37" t="str">
        <f>IFERROR(VLOOKUP(G354,SINAPI!A:D,2,0),"")</f>
        <v>Remoção de cerca com mourões de concreto</v>
      </c>
      <c r="J354" s="626" t="s">
        <v>5</v>
      </c>
      <c r="K354" s="40"/>
      <c r="L354" s="40" t="str">
        <f>IFERROR(VLOOKUP(G354,SINAPI!A:D,3,0),"")</f>
        <v>m</v>
      </c>
      <c r="M354" s="40">
        <f>VLOOKUP(D354,MEMORIA!B:F,$A$3+3)</f>
        <v>0</v>
      </c>
      <c r="N354" s="40">
        <f>IFERROR(VLOOKUP(G354,SINAPI!A:D,4,0),"")</f>
        <v>0.69</v>
      </c>
      <c r="O354" s="1571">
        <f t="shared" si="304"/>
        <v>0.24379999999999999</v>
      </c>
      <c r="P354" s="41">
        <f t="shared" si="305"/>
        <v>0.86</v>
      </c>
      <c r="Q354" s="580">
        <f t="shared" ref="Q354" si="311">IF(M354="","",ROUND(M354*P354,2))</f>
        <v>0</v>
      </c>
      <c r="R354" s="1444">
        <f t="shared" si="282"/>
        <v>0</v>
      </c>
      <c r="U354" s="849"/>
      <c r="V354" s="849"/>
    </row>
    <row r="355" spans="1:22" ht="15" hidden="1" customHeight="1" outlineLevel="1" x14ac:dyDescent="0.3">
      <c r="A355" s="576">
        <f t="shared" ca="1" si="306"/>
        <v>5</v>
      </c>
      <c r="B355" s="576">
        <f>IF(M355=0,0,MAX($B$351:B354)+1)</f>
        <v>0</v>
      </c>
      <c r="C355" s="576">
        <f t="shared" si="302"/>
        <v>0</v>
      </c>
      <c r="D355" s="515">
        <f t="shared" si="309"/>
        <v>300</v>
      </c>
      <c r="E355" s="35" t="str">
        <f t="shared" ref="E355:E356" ca="1" si="312">CONCATENATE(A355,".",B355)</f>
        <v>5.0</v>
      </c>
      <c r="F355" s="36" t="s">
        <v>2639</v>
      </c>
      <c r="G355" s="576">
        <v>4915727</v>
      </c>
      <c r="H355" s="224" t="str">
        <f t="shared" si="303"/>
        <v>Recomposição parcial de cerca com mourão de concreto - arame</v>
      </c>
      <c r="I355" s="37" t="str">
        <f>IFERROR(VLOOKUP(G355,SINAPI!A:D,2,0),"")</f>
        <v>Recomposição parcial de cerca com mourão de concreto - arame</v>
      </c>
      <c r="J355" s="626" t="s">
        <v>5</v>
      </c>
      <c r="K355" s="40"/>
      <c r="L355" s="40" t="str">
        <f>IFERROR(VLOOKUP(G355,SINAPI!A:D,3,0),"")</f>
        <v>m</v>
      </c>
      <c r="M355" s="40">
        <f>VLOOKUP(D355,MEMORIA!B:F,$A$3+3)</f>
        <v>0</v>
      </c>
      <c r="N355" s="40">
        <f>IFERROR(VLOOKUP(G355,SINAPI!A:D,4,0),"")</f>
        <v>10</v>
      </c>
      <c r="O355" s="1571">
        <f t="shared" si="304"/>
        <v>0.24379999999999999</v>
      </c>
      <c r="P355" s="41">
        <f t="shared" si="305"/>
        <v>12.44</v>
      </c>
      <c r="Q355" s="580">
        <f t="shared" si="301"/>
        <v>0</v>
      </c>
      <c r="R355" s="1444">
        <f t="shared" si="282"/>
        <v>0</v>
      </c>
      <c r="U355" s="668"/>
      <c r="V355" s="668"/>
    </row>
    <row r="356" spans="1:22" ht="15" hidden="1" customHeight="1" outlineLevel="1" x14ac:dyDescent="0.3">
      <c r="A356" s="576">
        <f t="shared" ca="1" si="306"/>
        <v>5</v>
      </c>
      <c r="B356" s="576">
        <f>IF(M356=0,0,MAX($B$351:B355)+1)</f>
        <v>0</v>
      </c>
      <c r="C356" s="576">
        <f t="shared" si="302"/>
        <v>0</v>
      </c>
      <c r="D356" s="515">
        <f t="shared" si="309"/>
        <v>301</v>
      </c>
      <c r="E356" s="35" t="str">
        <f t="shared" ca="1" si="312"/>
        <v>5.0</v>
      </c>
      <c r="F356" s="36" t="s">
        <v>2639</v>
      </c>
      <c r="G356" s="576">
        <v>3713608</v>
      </c>
      <c r="H356" s="224" t="str">
        <f t="shared" si="303"/>
        <v>Cerca com 4 fios de arame farpado e mourão de madeira a cada 2,5 m e esticador a cada 50 m</v>
      </c>
      <c r="I356" s="37" t="str">
        <f>IFERROR(VLOOKUP(G356,SINAPI!A:D,2,0),"")</f>
        <v>Cerca com 4 fios de arame farpado e mourão de madeira a cada 2,5 m e esticador a cada 50 m</v>
      </c>
      <c r="J356" s="626" t="s">
        <v>5</v>
      </c>
      <c r="K356" s="40"/>
      <c r="L356" s="40" t="str">
        <f>IFERROR(VLOOKUP(G356,SINAPI!A:D,3,0),"")</f>
        <v>m</v>
      </c>
      <c r="M356" s="40">
        <f>VLOOKUP(D356,MEMORIA!B:F,$A$3+3)</f>
        <v>0</v>
      </c>
      <c r="N356" s="40">
        <f>IFERROR(VLOOKUP(G356,SINAPI!A:D,4,0),"")</f>
        <v>21.34</v>
      </c>
      <c r="O356" s="1571">
        <f t="shared" si="304"/>
        <v>0.24379999999999999</v>
      </c>
      <c r="P356" s="41">
        <f t="shared" si="305"/>
        <v>26.54</v>
      </c>
      <c r="Q356" s="580">
        <f t="shared" ref="Q356" si="313">IF(M356="","",ROUND(M356*P356,2))</f>
        <v>0</v>
      </c>
      <c r="R356" s="1444">
        <f t="shared" si="282"/>
        <v>0</v>
      </c>
      <c r="U356" s="849"/>
      <c r="V356" s="849"/>
    </row>
    <row r="357" spans="1:22" ht="15" hidden="1" customHeight="1" outlineLevel="1" x14ac:dyDescent="0.3">
      <c r="A357" s="576">
        <f t="shared" ca="1" si="306"/>
        <v>5</v>
      </c>
      <c r="B357" s="576">
        <f>IF(M357=0,0,MAX($B$351:B356)+1)</f>
        <v>0</v>
      </c>
      <c r="C357" s="576">
        <f t="shared" ref="C357" si="314">IF(B357=0,0,1)</f>
        <v>0</v>
      </c>
      <c r="D357" s="515">
        <f t="shared" si="309"/>
        <v>302</v>
      </c>
      <c r="E357" s="35" t="str">
        <f t="shared" ref="E357:E361" ca="1" si="315">CONCATENATE(A357,".",B357)</f>
        <v>5.0</v>
      </c>
      <c r="F357" s="576" t="s">
        <v>17</v>
      </c>
      <c r="G357" s="576" t="s">
        <v>5697</v>
      </c>
      <c r="H357" s="224" t="str">
        <f t="shared" si="303"/>
        <v>Corpo de BSTC D = 2,00 m PA2 - areia, brita e pedra de mão comerciais</v>
      </c>
      <c r="I357" s="37" t="str">
        <f>IFERROR(VLOOKUP(G357,SINAPI!A:D,2,0),"")</f>
        <v>Corpo de BSTC D = 2,00 m PA2 - areia, brita e pedra de mão comerciais</v>
      </c>
      <c r="J357" s="626" t="s">
        <v>5</v>
      </c>
      <c r="K357" s="40"/>
      <c r="L357" s="40" t="str">
        <f>IFERROR(VLOOKUP(G357,SINAPI!A:D,3,0),"")</f>
        <v>m</v>
      </c>
      <c r="M357" s="40">
        <f>VLOOKUP(D357,MEMORIA!B:F,$A$3+3)</f>
        <v>0</v>
      </c>
      <c r="N357" s="40">
        <f>IFERROR(VLOOKUP(G357,SINAPI!A:D,4,0),"")</f>
        <v>3334.98</v>
      </c>
      <c r="O357" s="1571">
        <f t="shared" si="304"/>
        <v>0.24379999999999999</v>
      </c>
      <c r="P357" s="41">
        <f t="shared" si="305"/>
        <v>4148.05</v>
      </c>
      <c r="Q357" s="580">
        <f t="shared" si="301"/>
        <v>0</v>
      </c>
      <c r="R357" s="1444">
        <f t="shared" si="282"/>
        <v>0</v>
      </c>
      <c r="U357" s="668"/>
      <c r="V357" s="668"/>
    </row>
    <row r="358" spans="1:22" ht="15" hidden="1" customHeight="1" outlineLevel="1" x14ac:dyDescent="0.3">
      <c r="A358" s="576">
        <f t="shared" ca="1" si="306"/>
        <v>5</v>
      </c>
      <c r="B358" s="576">
        <f>IF(M358=0,0,MAX($B$351:B357)+1)</f>
        <v>0</v>
      </c>
      <c r="C358" s="576">
        <f>IF(B358=0,0,1)</f>
        <v>0</v>
      </c>
      <c r="D358" s="515">
        <f t="shared" si="309"/>
        <v>303</v>
      </c>
      <c r="E358" s="35" t="str">
        <f t="shared" ca="1" si="315"/>
        <v>5.0</v>
      </c>
      <c r="F358" s="36" t="s">
        <v>2639</v>
      </c>
      <c r="G358" s="576">
        <v>804161</v>
      </c>
      <c r="H358" s="224" t="str">
        <f t="shared" si="303"/>
        <v>Boca de BSTC D = 1,50 m - esconsidade 0° - areia e brita comerciais - alas retas</v>
      </c>
      <c r="I358" s="37" t="str">
        <f>IFERROR(VLOOKUP(G358,SINAPI!A:D,2,0),"")</f>
        <v>Boca de BSTC D = 1,50 m - esconsidade 0° - areia e brita comerciais - alas retas</v>
      </c>
      <c r="J358" s="637"/>
      <c r="K358" s="439"/>
      <c r="L358" s="40" t="str">
        <f>IFERROR(VLOOKUP(G358,SINAPI!A:D,3,0),"")</f>
        <v>un</v>
      </c>
      <c r="M358" s="40">
        <f>VLOOKUP(D358,MEMORIA!B:F,$A$3+3)</f>
        <v>0</v>
      </c>
      <c r="N358" s="40">
        <f>IFERROR(VLOOKUP(G358,SINAPI!A:D,4,0),"")</f>
        <v>4293.3</v>
      </c>
      <c r="O358" s="1571">
        <f t="shared" si="304"/>
        <v>0.24379999999999999</v>
      </c>
      <c r="P358" s="41">
        <f t="shared" si="305"/>
        <v>5340.01</v>
      </c>
      <c r="Q358" s="580">
        <f>IF(M358="","",ROUND(M358*P358,2))</f>
        <v>0</v>
      </c>
      <c r="R358" s="1444">
        <f t="shared" si="282"/>
        <v>0</v>
      </c>
      <c r="U358" s="668"/>
      <c r="V358" s="668"/>
    </row>
    <row r="359" spans="1:22" s="1085" customFormat="1" ht="12" hidden="1" customHeight="1" outlineLevel="1" x14ac:dyDescent="0.3">
      <c r="A359" s="576">
        <f t="shared" ca="1" si="306"/>
        <v>5</v>
      </c>
      <c r="B359" s="576">
        <f>IF(M359=0,0,MAX($B$351:B358)+1)</f>
        <v>0</v>
      </c>
      <c r="C359" s="576">
        <f t="shared" ref="C359:C361" si="316">IF(B359=0,0,1)</f>
        <v>0</v>
      </c>
      <c r="D359" s="515">
        <f t="shared" si="309"/>
        <v>304</v>
      </c>
      <c r="E359" s="35" t="str">
        <f t="shared" ca="1" si="315"/>
        <v>5.0</v>
      </c>
      <c r="F359" s="576" t="s">
        <v>2639</v>
      </c>
      <c r="G359" s="576">
        <v>4805762</v>
      </c>
      <c r="H359" s="224" t="str">
        <f t="shared" si="303"/>
        <v>Escavação mecânica de vala em material de 2ª categoria</v>
      </c>
      <c r="I359" s="37" t="str">
        <f>IFERROR(VLOOKUP(G359,SINAPI!A:D,2,0),"")</f>
        <v>Escavação mecânica de vala em material de 2ª categoria</v>
      </c>
      <c r="J359" s="637"/>
      <c r="K359" s="439"/>
      <c r="L359" s="40" t="str">
        <f>IFERROR(VLOOKUP(G359,SINAPI!A:D,3,0),"")</f>
        <v>m³</v>
      </c>
      <c r="M359" s="40">
        <f>VLOOKUP(D359,MEMORIA!B:F,$A$3+3)</f>
        <v>0</v>
      </c>
      <c r="N359" s="40">
        <f>IFERROR(VLOOKUP(G359,SINAPI!A:D,4,0),"")</f>
        <v>8.91</v>
      </c>
      <c r="O359" s="1571">
        <f t="shared" si="304"/>
        <v>0.24379999999999999</v>
      </c>
      <c r="P359" s="41">
        <f t="shared" si="305"/>
        <v>11.08</v>
      </c>
      <c r="Q359" s="580">
        <f t="shared" ref="Q359:Q361" si="317">IF(M359="","",ROUND(M359*P359,2))</f>
        <v>0</v>
      </c>
      <c r="R359" s="1444">
        <f t="shared" si="282"/>
        <v>0</v>
      </c>
      <c r="S359" s="1084"/>
      <c r="T359" s="1084"/>
      <c r="U359" s="1083"/>
      <c r="V359" s="1083"/>
    </row>
    <row r="360" spans="1:22" s="1085" customFormat="1" ht="12" hidden="1" customHeight="1" outlineLevel="1" x14ac:dyDescent="0.3">
      <c r="A360" s="576">
        <f t="shared" ca="1" si="306"/>
        <v>5</v>
      </c>
      <c r="B360" s="576">
        <f>IF(M360=0,0,MAX($B$351:B359)+1)</f>
        <v>0</v>
      </c>
      <c r="C360" s="576">
        <f t="shared" si="316"/>
        <v>0</v>
      </c>
      <c r="D360" s="515">
        <f t="shared" si="309"/>
        <v>305</v>
      </c>
      <c r="E360" s="35" t="str">
        <f t="shared" ca="1" si="315"/>
        <v>5.0</v>
      </c>
      <c r="F360" s="576" t="s">
        <v>2639</v>
      </c>
      <c r="G360" s="576">
        <v>4815671</v>
      </c>
      <c r="H360" s="224" t="str">
        <f t="shared" si="303"/>
        <v>Reaterro e compactação com soquete vibratório</v>
      </c>
      <c r="I360" s="37" t="str">
        <f>IFERROR(VLOOKUP(G360,SINAPI!A:D,2,0),"")</f>
        <v>Reaterro e compactação com soquete vibratório</v>
      </c>
      <c r="J360" s="637"/>
      <c r="K360" s="439"/>
      <c r="L360" s="40" t="str">
        <f>IFERROR(VLOOKUP(G360,SINAPI!A:D,3,0),"")</f>
        <v>m³</v>
      </c>
      <c r="M360" s="40">
        <f>VLOOKUP(D360,MEMORIA!B:F,$A$3+3)</f>
        <v>0</v>
      </c>
      <c r="N360" s="40">
        <f>IFERROR(VLOOKUP(G360,SINAPI!A:D,4,0),"")</f>
        <v>16.04</v>
      </c>
      <c r="O360" s="1571">
        <f t="shared" si="304"/>
        <v>0.24379999999999999</v>
      </c>
      <c r="P360" s="41">
        <f t="shared" si="305"/>
        <v>19.95</v>
      </c>
      <c r="Q360" s="580">
        <f t="shared" si="317"/>
        <v>0</v>
      </c>
      <c r="R360" s="1444">
        <f t="shared" si="282"/>
        <v>0</v>
      </c>
      <c r="S360" s="1084"/>
      <c r="T360" s="1084"/>
      <c r="U360" s="1083"/>
      <c r="V360" s="1083"/>
    </row>
    <row r="361" spans="1:22" ht="15" hidden="1" customHeight="1" outlineLevel="1" x14ac:dyDescent="0.3">
      <c r="A361" s="576">
        <f t="shared" ca="1" si="306"/>
        <v>5</v>
      </c>
      <c r="B361" s="576">
        <f>IF(M361=0,0,MAX($B$351:B360)+1)</f>
        <v>0</v>
      </c>
      <c r="C361" s="576">
        <f t="shared" si="316"/>
        <v>0</v>
      </c>
      <c r="D361" s="515">
        <f t="shared" si="309"/>
        <v>306</v>
      </c>
      <c r="E361" s="35" t="str">
        <f t="shared" ca="1" si="315"/>
        <v>5.0</v>
      </c>
      <c r="F361" s="36" t="s">
        <v>2639</v>
      </c>
      <c r="G361" s="36">
        <v>4805754</v>
      </c>
      <c r="H361" s="224" t="str">
        <f t="shared" si="303"/>
        <v>Compactação manual com soquete vibratório</v>
      </c>
      <c r="I361" s="37" t="str">
        <f>IFERROR(VLOOKUP(G361,SINAPI!A:D,2,0),"")</f>
        <v>Compactação manual com soquete vibratório</v>
      </c>
      <c r="J361" s="637"/>
      <c r="K361" s="439"/>
      <c r="L361" s="40" t="str">
        <f>IFERROR(VLOOKUP(G361,SINAPI!A:D,3,0),"")</f>
        <v>m³</v>
      </c>
      <c r="M361" s="40">
        <f>VLOOKUP(D361,MEMORIA!B:F,$A$3+3)</f>
        <v>0</v>
      </c>
      <c r="N361" s="40">
        <f>IFERROR(VLOOKUP(G361,SINAPI!A:D,4,0),"")</f>
        <v>6.73</v>
      </c>
      <c r="O361" s="1571">
        <f t="shared" si="304"/>
        <v>0.24379999999999999</v>
      </c>
      <c r="P361" s="41">
        <f t="shared" si="305"/>
        <v>8.3699999999999992</v>
      </c>
      <c r="Q361" s="580">
        <f t="shared" si="317"/>
        <v>0</v>
      </c>
      <c r="R361" s="1444">
        <f t="shared" si="282"/>
        <v>0</v>
      </c>
      <c r="U361" s="999"/>
      <c r="V361" s="999"/>
    </row>
    <row r="362" spans="1:22" ht="15" hidden="1" customHeight="1" outlineLevel="1" x14ac:dyDescent="0.3">
      <c r="A362" s="576">
        <f ca="1">A358</f>
        <v>5</v>
      </c>
      <c r="B362" s="576">
        <f>IF(M362=0,0,MAX($B$351:B361)+1)</f>
        <v>0</v>
      </c>
      <c r="C362" s="576">
        <f t="shared" ref="C362:C363" si="318">IF(B362=0,0,1)</f>
        <v>0</v>
      </c>
      <c r="D362" s="515">
        <f t="shared" si="309"/>
        <v>307</v>
      </c>
      <c r="E362" s="35" t="str">
        <f t="shared" ref="E362:E363" ca="1" si="319">CONCATENATE(A362,".",B362)</f>
        <v>5.0</v>
      </c>
      <c r="F362" s="36" t="s">
        <v>2639</v>
      </c>
      <c r="G362" s="36">
        <v>4016096</v>
      </c>
      <c r="H362" s="224" t="str">
        <f t="shared" si="303"/>
        <v>Escavação e carga de material de jazida com escavadeira hidráulica de 1,56 m³</v>
      </c>
      <c r="I362" s="37" t="str">
        <f>IFERROR(VLOOKUP(G362,SINAPI!A:D,2,0),"")</f>
        <v>Escavação e carga de material de jazida com escavadeira hidráulica de 1,56 m³</v>
      </c>
      <c r="J362" s="637"/>
      <c r="K362" s="439"/>
      <c r="L362" s="40" t="str">
        <f>IFERROR(VLOOKUP(G362,SINAPI!A:D,3,0),"")</f>
        <v>m³</v>
      </c>
      <c r="M362" s="40">
        <f>VLOOKUP(D362,MEMORIA!B:F,$A$3+3)</f>
        <v>0</v>
      </c>
      <c r="N362" s="40">
        <f>IFERROR(VLOOKUP(G362,SINAPI!A:D,4,0),"")</f>
        <v>1.67</v>
      </c>
      <c r="O362" s="1571">
        <f t="shared" si="304"/>
        <v>0.24379999999999999</v>
      </c>
      <c r="P362" s="41">
        <f t="shared" si="305"/>
        <v>2.08</v>
      </c>
      <c r="Q362" s="580">
        <f t="shared" ref="Q362:Q363" si="320">IF(M362="","",ROUND(M362*P362,2))</f>
        <v>0</v>
      </c>
      <c r="R362" s="1444">
        <f t="shared" si="282"/>
        <v>0</v>
      </c>
      <c r="U362" s="999"/>
      <c r="V362" s="999"/>
    </row>
    <row r="363" spans="1:22" ht="15" hidden="1" customHeight="1" outlineLevel="1" x14ac:dyDescent="0.3">
      <c r="A363" s="576">
        <f t="shared" ca="1" si="306"/>
        <v>5</v>
      </c>
      <c r="B363" s="576">
        <f>IF(M363=0,0,MAX($B$351:B362)+1)</f>
        <v>0</v>
      </c>
      <c r="C363" s="576">
        <f t="shared" si="318"/>
        <v>0</v>
      </c>
      <c r="D363" s="515">
        <f t="shared" si="309"/>
        <v>308</v>
      </c>
      <c r="E363" s="35" t="str">
        <f t="shared" ca="1" si="319"/>
        <v>5.0</v>
      </c>
      <c r="F363" s="36" t="s">
        <v>2639</v>
      </c>
      <c r="G363" s="36">
        <v>5914374</v>
      </c>
      <c r="H363" s="224" t="str">
        <f t="shared" si="303"/>
        <v>Transporte com caminhão basculante de 10 m³ - rodovia em revestimento primário</v>
      </c>
      <c r="I363" s="37" t="str">
        <f>IFERROR(VLOOKUP(G363,SINAPI!A:D,2,0),"")</f>
        <v>Transporte com caminhão basculante de 10 m³ - rodovia em revestimento primário</v>
      </c>
      <c r="J363" s="637"/>
      <c r="K363" s="439"/>
      <c r="L363" s="40" t="str">
        <f>IFERROR(VLOOKUP(G363,SINAPI!A:D,3,0),"")</f>
        <v>tkm</v>
      </c>
      <c r="M363" s="40">
        <f>VLOOKUP(D363,MEMORIA!B:F,$A$3+3)</f>
        <v>0</v>
      </c>
      <c r="N363" s="40">
        <f>IFERROR(VLOOKUP(G363,SINAPI!A:D,4,0),"")</f>
        <v>1.05</v>
      </c>
      <c r="O363" s="1571">
        <f t="shared" si="304"/>
        <v>0.24379999999999999</v>
      </c>
      <c r="P363" s="41">
        <f t="shared" si="305"/>
        <v>1.31</v>
      </c>
      <c r="Q363" s="580">
        <f t="shared" si="320"/>
        <v>0</v>
      </c>
      <c r="R363" s="1444">
        <f t="shared" si="282"/>
        <v>0</v>
      </c>
      <c r="U363" s="999"/>
      <c r="V363" s="999"/>
    </row>
    <row r="364" spans="1:22" ht="15" hidden="1" customHeight="1" outlineLevel="1" x14ac:dyDescent="0.3">
      <c r="A364" s="576">
        <f t="shared" ca="1" si="306"/>
        <v>5</v>
      </c>
      <c r="B364" s="576">
        <f>IF(M364=0,0,MAX($B$351:B363)+1)</f>
        <v>0</v>
      </c>
      <c r="C364" s="576">
        <f t="shared" ref="C364" si="321">IF(B364=0,0,1)</f>
        <v>0</v>
      </c>
      <c r="D364" s="515">
        <f t="shared" si="309"/>
        <v>309</v>
      </c>
      <c r="E364" s="35" t="str">
        <f t="shared" ref="E364" ca="1" si="322">CONCATENATE(A364,".",B364)</f>
        <v>5.0</v>
      </c>
      <c r="F364" s="36" t="s">
        <v>20</v>
      </c>
      <c r="G364" s="576">
        <v>903848</v>
      </c>
      <c r="H364" s="224" t="str">
        <f t="shared" si="303"/>
        <v>Muro em alvenaria de blocos de concreto com espessura de 0,20 m h = 1,0 m</v>
      </c>
      <c r="I364" s="37" t="str">
        <f>IFERROR(VLOOKUP(G364,SINAPI!A:D,2,0),"")</f>
        <v>Muro em alvenaria de blocos de concreto com espessura de 0,20 m h = 1,0 m</v>
      </c>
      <c r="J364" s="637"/>
      <c r="K364" s="439"/>
      <c r="L364" s="40" t="str">
        <f>IFERROR(VLOOKUP(G364,SINAPI!A:D,3,0),"")</f>
        <v>m</v>
      </c>
      <c r="M364" s="40">
        <f>VLOOKUP(D364,MEMORIA!B:F,$A$3+3)</f>
        <v>0</v>
      </c>
      <c r="N364" s="40">
        <f>IFERROR(VLOOKUP(G364,SINAPI!A:D,4,0),"")</f>
        <v>149.41</v>
      </c>
      <c r="O364" s="1571">
        <f t="shared" si="304"/>
        <v>0.24379999999999999</v>
      </c>
      <c r="P364" s="41">
        <f t="shared" si="305"/>
        <v>185.84</v>
      </c>
      <c r="Q364" s="580">
        <f t="shared" ref="Q364" si="323">IF(M364="","",ROUND(M364*P364,2))</f>
        <v>0</v>
      </c>
      <c r="R364" s="1444">
        <f t="shared" si="282"/>
        <v>0</v>
      </c>
      <c r="U364" s="1009"/>
      <c r="V364" s="1009"/>
    </row>
    <row r="365" spans="1:22" ht="15" hidden="1" customHeight="1" outlineLevel="1" x14ac:dyDescent="0.3">
      <c r="A365" s="576">
        <f t="shared" ca="1" si="306"/>
        <v>5</v>
      </c>
      <c r="B365" s="576">
        <f>IF(M365=0,0,MAX($B$351:B364)+1)</f>
        <v>0</v>
      </c>
      <c r="C365" s="576">
        <f t="shared" ref="C365" si="324">IF(B365=0,0,1)</f>
        <v>0</v>
      </c>
      <c r="D365" s="515">
        <f t="shared" si="309"/>
        <v>310</v>
      </c>
      <c r="E365" s="35" t="str">
        <f t="shared" ref="E365" ca="1" si="325">CONCATENATE(A365,".",B365)</f>
        <v>5.0</v>
      </c>
      <c r="F365" s="36" t="s">
        <v>20</v>
      </c>
      <c r="G365" s="576">
        <v>3713604</v>
      </c>
      <c r="H365" s="224" t="str">
        <f t="shared" si="303"/>
        <v>Defensa semimaleável simples - fornecimento e implantação</v>
      </c>
      <c r="I365" s="37" t="str">
        <f>IFERROR(VLOOKUP(G365,SINAPI!A:D,2,0),"")</f>
        <v>Defensa semimaleável simples - fornecimento e implantação</v>
      </c>
      <c r="J365" s="637"/>
      <c r="K365" s="439"/>
      <c r="L365" s="40" t="str">
        <f>IFERROR(VLOOKUP(G365,SINAPI!A:D,3,0),"")</f>
        <v>m</v>
      </c>
      <c r="M365" s="40">
        <f>VLOOKUP(D365,MEMORIA!B:F,$A$3+3)</f>
        <v>0</v>
      </c>
      <c r="N365" s="40">
        <f>IFERROR(VLOOKUP(G365,SINAPI!A:D,4,0),"")</f>
        <v>495.82</v>
      </c>
      <c r="O365" s="1571">
        <f t="shared" si="304"/>
        <v>0.24379999999999999</v>
      </c>
      <c r="P365" s="41">
        <f t="shared" si="305"/>
        <v>616.70000000000005</v>
      </c>
      <c r="Q365" s="580">
        <f t="shared" ref="Q365" si="326">IF(M365="","",ROUND(M365*P365,2))</f>
        <v>0</v>
      </c>
      <c r="R365" s="1444">
        <f t="shared" si="282"/>
        <v>0</v>
      </c>
      <c r="U365" s="1061"/>
      <c r="V365" s="1061"/>
    </row>
    <row r="366" spans="1:22" ht="26.25" hidden="1" outlineLevel="1" thickBot="1" x14ac:dyDescent="0.3">
      <c r="A366" s="576">
        <f t="shared" ca="1" si="306"/>
        <v>5</v>
      </c>
      <c r="B366" s="576">
        <f>IF(M366=0,0,MAX($B$351:B365)+1)</f>
        <v>0</v>
      </c>
      <c r="C366" s="576">
        <f t="shared" ref="C366" si="327">IF(B366=0,0,1)</f>
        <v>0</v>
      </c>
      <c r="D366" s="515">
        <f t="shared" si="309"/>
        <v>311</v>
      </c>
      <c r="E366" s="35" t="str">
        <f t="shared" ref="E366" ca="1" si="328">CONCATENATE(A366,".",B366)</f>
        <v>5.0</v>
      </c>
      <c r="F366" s="576" t="s">
        <v>17</v>
      </c>
      <c r="G366" s="576" t="s">
        <v>7265</v>
      </c>
      <c r="H366" s="224" t="str">
        <f t="shared" ref="H366:H367" si="329">I366</f>
        <v>Barreira simples de concreto, não armada, moldada no local (perfil New Jersey) - H = 810 + 100 mm, inclusive fornecimento de concreto FCK 20MPa</v>
      </c>
      <c r="I366" s="37" t="str">
        <f>IFERROR(VLOOKUP(G366,SINAPI!A:D,2,0),"")</f>
        <v>Barreira simples de concreto, não armada, moldada no local (perfil New Jersey) - H = 810 + 100 mm, inclusive fornecimento de concreto FCK 20MPa</v>
      </c>
      <c r="J366" s="637"/>
      <c r="K366" s="439"/>
      <c r="L366" s="40" t="str">
        <f>IFERROR(VLOOKUP(G366,SINAPI!A:D,3,0),"")</f>
        <v>m</v>
      </c>
      <c r="M366" s="40">
        <f>VLOOKUP(D366,MEMORIA!B:F,$A$3+3)</f>
        <v>0</v>
      </c>
      <c r="N366" s="40">
        <f>IFERROR(VLOOKUP(G366,SINAPI!A:D,4,0),"")</f>
        <v>176.58</v>
      </c>
      <c r="O366" s="1571">
        <f t="shared" si="304"/>
        <v>0.24379999999999999</v>
      </c>
      <c r="P366" s="41">
        <f t="shared" si="305"/>
        <v>219.63</v>
      </c>
      <c r="Q366" s="580">
        <f t="shared" ref="Q366" si="330">IF(M366="","",ROUND(M366*P366,2))</f>
        <v>0</v>
      </c>
      <c r="R366" s="1444">
        <f t="shared" si="282"/>
        <v>0</v>
      </c>
      <c r="U366" s="1422"/>
      <c r="V366" s="1422"/>
    </row>
    <row r="367" spans="1:22" ht="13.5" hidden="1" outlineLevel="1" thickBot="1" x14ac:dyDescent="0.3">
      <c r="A367" s="576">
        <f t="shared" ca="1" si="306"/>
        <v>5</v>
      </c>
      <c r="B367" s="576">
        <f>IF(M367=0,0,MAX($B$351:B366)+1)</f>
        <v>0</v>
      </c>
      <c r="C367" s="576">
        <f t="shared" ref="C367" si="331">IF(B367=0,0,1)</f>
        <v>0</v>
      </c>
      <c r="D367" s="515">
        <f t="shared" si="309"/>
        <v>312</v>
      </c>
      <c r="E367" s="35" t="str">
        <f t="shared" ref="E367" ca="1" si="332">CONCATENATE(A367,".",B367)</f>
        <v>5.0</v>
      </c>
      <c r="F367" s="576" t="s">
        <v>17</v>
      </c>
      <c r="G367" s="576" t="s">
        <v>7510</v>
      </c>
      <c r="H367" s="224" t="str">
        <f t="shared" si="329"/>
        <v>Babrigo de passageiros padrão DETER, inclusive passeio de concreto</v>
      </c>
      <c r="I367" s="37" t="str">
        <f>IFERROR(VLOOKUP(G367,SINAPI!A:D,2,0),"")</f>
        <v>Babrigo de passageiros padrão DETER, inclusive passeio de concreto</v>
      </c>
      <c r="J367" s="637"/>
      <c r="K367" s="439"/>
      <c r="L367" s="40" t="str">
        <f>IFERROR(VLOOKUP(G367,SINAPI!A:D,3,0),"")</f>
        <v>und</v>
      </c>
      <c r="M367" s="40">
        <f>VLOOKUP(D367,MEMORIA!B:F,$A$3+3)</f>
        <v>0</v>
      </c>
      <c r="N367" s="40">
        <f>IFERROR(VLOOKUP(G367,SINAPI!A:D,4,0),"")</f>
        <v>5202.13</v>
      </c>
      <c r="O367" s="1571">
        <f t="shared" si="304"/>
        <v>0.24379999999999999</v>
      </c>
      <c r="P367" s="41">
        <f t="shared" si="305"/>
        <v>6470.41</v>
      </c>
      <c r="Q367" s="580">
        <f t="shared" ref="Q367" si="333">IF(M367="","",ROUND(M367*P367,2))</f>
        <v>0</v>
      </c>
      <c r="R367" s="1444">
        <f t="shared" si="282"/>
        <v>0</v>
      </c>
      <c r="U367" s="1422"/>
      <c r="V367" s="1422"/>
    </row>
    <row r="368" spans="1:22" ht="13.5" hidden="1" thickBot="1" x14ac:dyDescent="0.3">
      <c r="A368" s="218"/>
      <c r="B368" s="218"/>
      <c r="C368" s="218">
        <f>C351</f>
        <v>0</v>
      </c>
      <c r="E368" s="230" t="s">
        <v>2607</v>
      </c>
      <c r="F368" s="231"/>
      <c r="G368" s="231"/>
      <c r="H368" s="231"/>
      <c r="I368" s="231"/>
      <c r="J368" s="231"/>
      <c r="K368" s="231"/>
      <c r="L368" s="231"/>
      <c r="M368" s="231"/>
      <c r="N368" s="232"/>
      <c r="O368" s="232"/>
      <c r="P368" s="621"/>
      <c r="Q368" s="581">
        <f>SUM(Q352:Q367)</f>
        <v>0</v>
      </c>
      <c r="R368" s="581">
        <f>SUM(R352:R367)</f>
        <v>0</v>
      </c>
      <c r="U368" s="668"/>
      <c r="V368" s="668"/>
    </row>
    <row r="369" spans="1:22" ht="13.5" hidden="1" outlineLevel="1" thickBot="1" x14ac:dyDescent="0.3">
      <c r="A369" s="617">
        <f ca="1">A351+C369</f>
        <v>5</v>
      </c>
      <c r="B369" s="617">
        <v>0</v>
      </c>
      <c r="C369" s="617">
        <f>IF(SUM(B370:B373)&gt;0,1,0)</f>
        <v>0</v>
      </c>
      <c r="E369" s="618" t="str">
        <f ca="1">CONCATENATE(A369,".",B369)</f>
        <v>5.0</v>
      </c>
      <c r="F369" s="627"/>
      <c r="G369" s="627" t="s">
        <v>3322</v>
      </c>
      <c r="H369" s="627"/>
      <c r="I369" s="44"/>
      <c r="J369" s="628"/>
      <c r="K369" s="629"/>
      <c r="L369" s="630" t="s">
        <v>2603</v>
      </c>
      <c r="M369" s="631"/>
      <c r="N369" s="631" t="s">
        <v>2603</v>
      </c>
      <c r="O369" s="1569"/>
      <c r="P369" s="631" t="str">
        <f>IF(N369="","",(ROUND(N369*(1+BDI),2)))</f>
        <v/>
      </c>
      <c r="Q369" s="632" t="str">
        <f>IF(M369="","",ROUND(M369*P369,2))</f>
        <v/>
      </c>
      <c r="R369" s="1444" t="str">
        <f t="shared" si="282"/>
        <v/>
      </c>
      <c r="U369" s="668"/>
      <c r="V369" s="668"/>
    </row>
    <row r="370" spans="1:22" ht="15" hidden="1" customHeight="1" outlineLevel="1" x14ac:dyDescent="0.3">
      <c r="A370" s="576">
        <f ca="1">A369</f>
        <v>5</v>
      </c>
      <c r="B370" s="576">
        <f>IF(M370=0,0,MAX($B$369:B369)+1)</f>
        <v>0</v>
      </c>
      <c r="C370" s="576">
        <f t="shared" ref="C370" si="334">IF(B370=0,0,1)</f>
        <v>0</v>
      </c>
      <c r="D370" s="515">
        <f>D367+1</f>
        <v>313</v>
      </c>
      <c r="E370" s="35" t="str">
        <f ca="1">CONCATENATE(A370,".",B370)</f>
        <v>5.0</v>
      </c>
      <c r="F370" s="576" t="s">
        <v>2639</v>
      </c>
      <c r="G370" s="576">
        <v>4805762</v>
      </c>
      <c r="H370" s="224" t="str">
        <f t="shared" ref="H370:H373" si="335">I370</f>
        <v>Escavação mecânica de vala em material de 2ª categoria</v>
      </c>
      <c r="I370" s="37" t="str">
        <f>IFERROR(VLOOKUP(G370,SINAPI!A:D,2,0),"")</f>
        <v>Escavação mecânica de vala em material de 2ª categoria</v>
      </c>
      <c r="J370" s="626" t="s">
        <v>5</v>
      </c>
      <c r="K370" s="40"/>
      <c r="L370" s="40" t="str">
        <f>IFERROR(VLOOKUP(G370,SINAPI!A:D,3,0),"")</f>
        <v>m³</v>
      </c>
      <c r="M370" s="40">
        <f>VLOOKUP(D370,MEMORIA!B:F,$A$3+3)</f>
        <v>0</v>
      </c>
      <c r="N370" s="40">
        <f>IFERROR(VLOOKUP(G370,SINAPI!A:D,4,0),"")</f>
        <v>8.91</v>
      </c>
      <c r="O370" s="1571">
        <f t="shared" ref="O370:O373" si="336">$N$7</f>
        <v>0.24379999999999999</v>
      </c>
      <c r="P370" s="41">
        <f t="shared" ref="P370:P373" si="337">IF(N370="","",(ROUND(N370*(1+O370),2)))</f>
        <v>11.08</v>
      </c>
      <c r="Q370" s="580">
        <f>IF(M370="","",ROUND(M370*P370,2))</f>
        <v>0</v>
      </c>
      <c r="R370" s="1444">
        <f t="shared" si="282"/>
        <v>0</v>
      </c>
      <c r="U370" s="668"/>
      <c r="V370" s="668"/>
    </row>
    <row r="371" spans="1:22" ht="15" hidden="1" customHeight="1" outlineLevel="1" x14ac:dyDescent="0.3">
      <c r="A371" s="576">
        <f ca="1">A370</f>
        <v>5</v>
      </c>
      <c r="B371" s="576">
        <f>IF(M371=0,0,MAX($B$369:B370)+1)</f>
        <v>0</v>
      </c>
      <c r="C371" s="576">
        <f t="shared" ref="C371" si="338">IF(B371=0,0,1)</f>
        <v>0</v>
      </c>
      <c r="D371" s="515">
        <f>D370+1</f>
        <v>314</v>
      </c>
      <c r="E371" s="35" t="str">
        <f t="shared" ref="E371" ca="1" si="339">CONCATENATE(A371,".",B371)</f>
        <v>5.0</v>
      </c>
      <c r="F371" s="36" t="s">
        <v>2639</v>
      </c>
      <c r="G371" s="576">
        <v>1506055</v>
      </c>
      <c r="H371" s="224" t="str">
        <f t="shared" si="335"/>
        <v>Pedra argamassada com cimento e areia 1:3 - areia e pedra de mão comercial - fornecimento e assentamento</v>
      </c>
      <c r="I371" s="37" t="str">
        <f>IFERROR(VLOOKUP(G371,SINAPI!A:D,2,0),"")</f>
        <v>Pedra argamassada com cimento e areia 1:3 - areia e pedra de mão comercial - fornecimento e assentamento</v>
      </c>
      <c r="J371" s="626" t="s">
        <v>5</v>
      </c>
      <c r="K371" s="40"/>
      <c r="L371" s="40" t="str">
        <f>IFERROR(VLOOKUP(G371,SINAPI!A:D,3,0),"")</f>
        <v>m³</v>
      </c>
      <c r="M371" s="40">
        <f>VLOOKUP(D371,MEMORIA!B:F,$A$3+3)</f>
        <v>0</v>
      </c>
      <c r="N371" s="40">
        <f>IFERROR(VLOOKUP(G371,SINAPI!A:D,4,0),"")</f>
        <v>407.97</v>
      </c>
      <c r="O371" s="1571">
        <f t="shared" si="336"/>
        <v>0.24379999999999999</v>
      </c>
      <c r="P371" s="41">
        <f t="shared" si="337"/>
        <v>507.43</v>
      </c>
      <c r="Q371" s="580">
        <f>IF(M371="","",ROUND(M371*P371,2))</f>
        <v>0</v>
      </c>
      <c r="R371" s="1444">
        <f t="shared" si="282"/>
        <v>0</v>
      </c>
      <c r="U371" s="668"/>
      <c r="V371" s="668"/>
    </row>
    <row r="372" spans="1:22" ht="27.75" hidden="1" customHeight="1" outlineLevel="1" x14ac:dyDescent="0.3">
      <c r="A372" s="576">
        <f t="shared" ref="A372:A373" ca="1" si="340">A371</f>
        <v>5</v>
      </c>
      <c r="B372" s="576">
        <f>IF(M372=0,0,MAX($B$369:B371)+1)</f>
        <v>0</v>
      </c>
      <c r="C372" s="576">
        <f t="shared" ref="C372:C373" si="341">IF(B372=0,0,1)</f>
        <v>0</v>
      </c>
      <c r="D372" s="515">
        <f t="shared" ref="D372" si="342">D371+1</f>
        <v>315</v>
      </c>
      <c r="E372" s="35" t="str">
        <f t="shared" ref="E372:E373" ca="1" si="343">CONCATENATE(A372,".",B372)</f>
        <v>5.0</v>
      </c>
      <c r="F372" s="36" t="s">
        <v>17</v>
      </c>
      <c r="G372" s="576" t="s">
        <v>3911</v>
      </c>
      <c r="H372" s="224" t="str">
        <f t="shared" si="335"/>
        <v>Muro de alvenaria de blocos com vigas e pilares em concreto (e= 20cm) rebocado em uma face, h &lt; 1,50m conforme detalhamento, inclusive escavação, reaterro e pintura em uma face</v>
      </c>
      <c r="I372" s="37" t="str">
        <f>IFERROR(VLOOKUP(G372,SINAPI!A:D,2,0),"")</f>
        <v>Muro de alvenaria de blocos com vigas e pilares em concreto (e= 20cm) rebocado em uma face, h &lt; 1,50m conforme detalhamento, inclusive escavação, reaterro e pintura em uma face</v>
      </c>
      <c r="J372" s="626" t="s">
        <v>5</v>
      </c>
      <c r="K372" s="40"/>
      <c r="L372" s="40" t="str">
        <f>IFERROR(VLOOKUP(G372,SINAPI!A:D,3,0),"")</f>
        <v>m²</v>
      </c>
      <c r="M372" s="40">
        <f>VLOOKUP(D372,MEMORIA!B:F,$A$3+3)</f>
        <v>0</v>
      </c>
      <c r="N372" s="40">
        <f>IFERROR(VLOOKUP(G372,SINAPI!A:D,4,0),"")</f>
        <v>375.73</v>
      </c>
      <c r="O372" s="1571">
        <f t="shared" si="336"/>
        <v>0.24379999999999999</v>
      </c>
      <c r="P372" s="41">
        <f t="shared" si="337"/>
        <v>467.33</v>
      </c>
      <c r="Q372" s="580">
        <f t="shared" ref="Q372:Q373" si="344">IF(M372="","",ROUND(M372*P372,2))</f>
        <v>0</v>
      </c>
      <c r="R372" s="1444">
        <f t="shared" si="282"/>
        <v>0</v>
      </c>
      <c r="U372" s="1146"/>
      <c r="V372" s="1146"/>
    </row>
    <row r="373" spans="1:22" ht="27.75" hidden="1" customHeight="1" outlineLevel="1" x14ac:dyDescent="0.3">
      <c r="A373" s="576">
        <f t="shared" ca="1" si="340"/>
        <v>5</v>
      </c>
      <c r="B373" s="576">
        <f>IF(M373=0,0,MAX($B$369:B372)+1)</f>
        <v>0</v>
      </c>
      <c r="C373" s="576">
        <f t="shared" si="341"/>
        <v>0</v>
      </c>
      <c r="D373" s="515">
        <f>D372+1</f>
        <v>316</v>
      </c>
      <c r="E373" s="35" t="str">
        <f t="shared" ca="1" si="343"/>
        <v>5.0</v>
      </c>
      <c r="F373" s="36" t="s">
        <v>17</v>
      </c>
      <c r="G373" s="576" t="s">
        <v>3912</v>
      </c>
      <c r="H373" s="224" t="str">
        <f t="shared" si="335"/>
        <v>Muro de alvenaria de blocos com vigas e pilares em concreto (e= 20cm) rebocado em uma face, 1,50 &lt; h &lt; 2,50m conforme detalhamento, inclusive escavação, reaterro e pintura em uma face</v>
      </c>
      <c r="I373" s="37" t="str">
        <f>IFERROR(VLOOKUP(G373,SINAPI!A:D,2,0),"")</f>
        <v>Muro de alvenaria de blocos com vigas e pilares em concreto (e= 20cm) rebocado em uma face, 1,50 &lt; h &lt; 2,50m conforme detalhamento, inclusive escavação, reaterro e pintura em uma face</v>
      </c>
      <c r="J373" s="626" t="s">
        <v>5</v>
      </c>
      <c r="K373" s="40"/>
      <c r="L373" s="40" t="str">
        <f>IFERROR(VLOOKUP(G373,SINAPI!A:D,3,0),"")</f>
        <v>m²</v>
      </c>
      <c r="M373" s="40">
        <f>VLOOKUP(D373,MEMORIA!B:F,$A$3+3)</f>
        <v>0</v>
      </c>
      <c r="N373" s="40">
        <f>IFERROR(VLOOKUP(G373,SINAPI!A:D,4,0),"")</f>
        <v>576.32000000000005</v>
      </c>
      <c r="O373" s="1571">
        <f t="shared" si="336"/>
        <v>0.24379999999999999</v>
      </c>
      <c r="P373" s="41">
        <f t="shared" si="337"/>
        <v>716.83</v>
      </c>
      <c r="Q373" s="580">
        <f t="shared" si="344"/>
        <v>0</v>
      </c>
      <c r="R373" s="1444">
        <f t="shared" si="282"/>
        <v>0</v>
      </c>
      <c r="U373" s="1146"/>
      <c r="V373" s="1146"/>
    </row>
    <row r="374" spans="1:22" ht="13.5" hidden="1" collapsed="1" thickBot="1" x14ac:dyDescent="0.3">
      <c r="A374" s="218"/>
      <c r="B374" s="218"/>
      <c r="C374" s="218">
        <f>C369</f>
        <v>0</v>
      </c>
      <c r="E374" s="230" t="s">
        <v>2607</v>
      </c>
      <c r="F374" s="231"/>
      <c r="G374" s="231"/>
      <c r="H374" s="231"/>
      <c r="I374" s="231"/>
      <c r="J374" s="231"/>
      <c r="K374" s="231"/>
      <c r="L374" s="231"/>
      <c r="M374" s="231"/>
      <c r="N374" s="232"/>
      <c r="O374" s="232"/>
      <c r="P374" s="621"/>
      <c r="Q374" s="581">
        <f>SUM(Q370:Q373)</f>
        <v>0</v>
      </c>
      <c r="R374" s="581">
        <f>SUM(R370:R373)</f>
        <v>0</v>
      </c>
      <c r="U374" s="668"/>
      <c r="V374" s="668"/>
    </row>
    <row r="375" spans="1:22" ht="13.5" hidden="1" outlineLevel="1" thickBot="1" x14ac:dyDescent="0.3">
      <c r="A375" s="617">
        <f ca="1">A369+C375</f>
        <v>5</v>
      </c>
      <c r="B375" s="617">
        <v>0</v>
      </c>
      <c r="C375" s="617">
        <f>IF(SUM(B376:B379)&gt;0,1,0)</f>
        <v>0</v>
      </c>
      <c r="E375" s="618" t="str">
        <f ca="1">CONCATENATE(A375,".",B375)</f>
        <v>5.0</v>
      </c>
      <c r="F375" s="627"/>
      <c r="G375" s="627" t="s">
        <v>2610</v>
      </c>
      <c r="H375" s="627"/>
      <c r="I375" s="44"/>
      <c r="J375" s="628"/>
      <c r="K375" s="629"/>
      <c r="L375" s="630" t="s">
        <v>2603</v>
      </c>
      <c r="M375" s="631"/>
      <c r="N375" s="631" t="s">
        <v>2603</v>
      </c>
      <c r="O375" s="1569"/>
      <c r="P375" s="631" t="str">
        <f>IF(N375="","",(ROUND(N375*(1+BDI),2)))</f>
        <v/>
      </c>
      <c r="Q375" s="632" t="str">
        <f>IF(M375="","",ROUND(M375*P375,2))</f>
        <v/>
      </c>
      <c r="R375" s="1444" t="str">
        <f t="shared" si="282"/>
        <v/>
      </c>
      <c r="U375" s="668"/>
      <c r="V375" s="668"/>
    </row>
    <row r="376" spans="1:22" ht="15" hidden="1" customHeight="1" outlineLevel="1" x14ac:dyDescent="0.3">
      <c r="A376" s="576">
        <f ca="1">A375</f>
        <v>5</v>
      </c>
      <c r="B376" s="576">
        <f>IF(M376=0,0,MAX($B$375:B375)+1)</f>
        <v>0</v>
      </c>
      <c r="C376" s="576">
        <f t="shared" ref="C376:C379" si="345">IF(B376=0,0,1)</f>
        <v>0</v>
      </c>
      <c r="D376" s="515">
        <f>D373+1</f>
        <v>317</v>
      </c>
      <c r="E376" s="35" t="str">
        <f ca="1">CONCATENATE(A376,".",B376)</f>
        <v>5.0</v>
      </c>
      <c r="F376" s="576" t="s">
        <v>17</v>
      </c>
      <c r="G376" s="576" t="s">
        <v>3229</v>
      </c>
      <c r="H376" s="224" t="str">
        <f t="shared" ref="H376:H379" si="346">I376</f>
        <v>Ensaio de controle tecnológico da mistura asfáltica - Ensaio Marshall</v>
      </c>
      <c r="I376" s="37" t="str">
        <f>IFERROR(VLOOKUP(G376,SINAPI!A:D,2,0),"")</f>
        <v>Ensaio de controle tecnológico da mistura asfáltica - Ensaio Marshall</v>
      </c>
      <c r="J376" s="626" t="s">
        <v>5</v>
      </c>
      <c r="K376" s="40"/>
      <c r="L376" s="40" t="str">
        <f>IFERROR(VLOOKUP(G376,SINAPI!A:D,3,0),"")</f>
        <v>un</v>
      </c>
      <c r="M376" s="40">
        <f>VLOOKUP(D376,MEMORIA!B:F,$A$3+3)</f>
        <v>0</v>
      </c>
      <c r="N376" s="40">
        <f>IFERROR(VLOOKUP(G376,SINAPI!A:D,4,0),"")</f>
        <v>373.87</v>
      </c>
      <c r="O376" s="1571">
        <f t="shared" ref="O376:O379" si="347">$N$7</f>
        <v>0.24379999999999999</v>
      </c>
      <c r="P376" s="41">
        <f t="shared" ref="P376:P379" si="348">IF(N376="","",(ROUND(N376*(1+O376),2)))</f>
        <v>465.02</v>
      </c>
      <c r="Q376" s="580">
        <f t="shared" ref="Q376:Q378" si="349">IF(M376="","",ROUND(M376*P376,2))</f>
        <v>0</v>
      </c>
      <c r="R376" s="1444">
        <f t="shared" si="282"/>
        <v>0</v>
      </c>
      <c r="U376" s="668"/>
      <c r="V376" s="668"/>
    </row>
    <row r="377" spans="1:22" ht="15" hidden="1" customHeight="1" outlineLevel="1" x14ac:dyDescent="0.3">
      <c r="A377" s="576">
        <f t="shared" ref="A377:A378" ca="1" si="350">A376</f>
        <v>5</v>
      </c>
      <c r="B377" s="576">
        <f>IF(M377=0,0,MAX($B$375:B376)+1)</f>
        <v>0</v>
      </c>
      <c r="C377" s="576">
        <f t="shared" si="345"/>
        <v>0</v>
      </c>
      <c r="D377" s="515">
        <f>D376+1</f>
        <v>318</v>
      </c>
      <c r="E377" s="35" t="str">
        <f t="shared" ref="E377:E378" ca="1" si="351">CONCATENATE(A377,".",B377)</f>
        <v>5.0</v>
      </c>
      <c r="F377" s="576" t="s">
        <v>17</v>
      </c>
      <c r="G377" s="576" t="s">
        <v>3230</v>
      </c>
      <c r="H377" s="224" t="str">
        <f t="shared" si="346"/>
        <v>Ensaio de controle tecnológico da mistura asfáltica - Grau de compactação</v>
      </c>
      <c r="I377" s="37" t="str">
        <f>IFERROR(VLOOKUP(G377,SINAPI!A:D,2,0),"")</f>
        <v>Ensaio de controle tecnológico da mistura asfáltica - Grau de compactação</v>
      </c>
      <c r="J377" s="626" t="s">
        <v>5</v>
      </c>
      <c r="K377" s="40"/>
      <c r="L377" s="40" t="str">
        <f>IFERROR(VLOOKUP(G377,SINAPI!A:D,3,0),"")</f>
        <v>un</v>
      </c>
      <c r="M377" s="40">
        <f>VLOOKUP(D377,MEMORIA!B:F,$A$3+3)</f>
        <v>0</v>
      </c>
      <c r="N377" s="40">
        <f>IFERROR(VLOOKUP(G377,SINAPI!A:D,4,0),"")</f>
        <v>96.14</v>
      </c>
      <c r="O377" s="1571">
        <f t="shared" si="347"/>
        <v>0.24379999999999999</v>
      </c>
      <c r="P377" s="41">
        <f t="shared" si="348"/>
        <v>119.58</v>
      </c>
      <c r="Q377" s="580">
        <f t="shared" si="349"/>
        <v>0</v>
      </c>
      <c r="R377" s="1444">
        <f t="shared" si="282"/>
        <v>0</v>
      </c>
      <c r="U377" s="668"/>
      <c r="V377" s="668"/>
    </row>
    <row r="378" spans="1:22" ht="15" hidden="1" customHeight="1" outlineLevel="1" x14ac:dyDescent="0.3">
      <c r="A378" s="576">
        <f t="shared" ca="1" si="350"/>
        <v>5</v>
      </c>
      <c r="B378" s="576">
        <f>IF(M378=0,0,MAX($B$375:B377)+1)</f>
        <v>0</v>
      </c>
      <c r="C378" s="576">
        <f t="shared" si="345"/>
        <v>0</v>
      </c>
      <c r="D378" s="515">
        <f>D377+1</f>
        <v>319</v>
      </c>
      <c r="E378" s="35" t="str">
        <f t="shared" ca="1" si="351"/>
        <v>5.0</v>
      </c>
      <c r="F378" s="576" t="s">
        <v>17</v>
      </c>
      <c r="G378" s="576" t="s">
        <v>3231</v>
      </c>
      <c r="H378" s="224" t="str">
        <f t="shared" si="346"/>
        <v>Ensaio de controle tecnológico da mistura asfáltica - Teor de betume</v>
      </c>
      <c r="I378" s="37" t="str">
        <f>IFERROR(VLOOKUP(G378,SINAPI!A:D,2,0),"")</f>
        <v>Ensaio de controle tecnológico da mistura asfáltica - Teor de betume</v>
      </c>
      <c r="J378" s="626" t="s">
        <v>5</v>
      </c>
      <c r="K378" s="40"/>
      <c r="L378" s="40" t="str">
        <f>IFERROR(VLOOKUP(G378,SINAPI!A:D,3,0),"")</f>
        <v>un</v>
      </c>
      <c r="M378" s="40">
        <f>VLOOKUP(D378,MEMORIA!B:F,$A$3+3)</f>
        <v>0</v>
      </c>
      <c r="N378" s="40">
        <f>IFERROR(VLOOKUP(G378,SINAPI!A:D,4,0),"")</f>
        <v>160.22999999999999</v>
      </c>
      <c r="O378" s="1571">
        <f t="shared" si="347"/>
        <v>0.24379999999999999</v>
      </c>
      <c r="P378" s="41">
        <f t="shared" si="348"/>
        <v>199.29</v>
      </c>
      <c r="Q378" s="580">
        <f t="shared" si="349"/>
        <v>0</v>
      </c>
      <c r="R378" s="1444">
        <f t="shared" si="282"/>
        <v>0</v>
      </c>
      <c r="U378" s="668"/>
      <c r="V378" s="668"/>
    </row>
    <row r="379" spans="1:22" ht="13.5" hidden="1" outlineLevel="1" thickBot="1" x14ac:dyDescent="0.3">
      <c r="A379" s="576">
        <f t="shared" ref="A379" ca="1" si="352">A378</f>
        <v>5</v>
      </c>
      <c r="B379" s="576">
        <f>IF(M379=0,0,MAX($B$375:B378)+1)</f>
        <v>0</v>
      </c>
      <c r="C379" s="576">
        <f t="shared" si="345"/>
        <v>0</v>
      </c>
      <c r="D379" s="515">
        <f>D378+1</f>
        <v>320</v>
      </c>
      <c r="E379" s="35" t="str">
        <f t="shared" ref="E379" ca="1" si="353">CONCATENATE(A379,".",B379)</f>
        <v>5.0</v>
      </c>
      <c r="F379" s="576" t="s">
        <v>2766</v>
      </c>
      <c r="G379" s="576" t="s">
        <v>2767</v>
      </c>
      <c r="H379" s="224" t="str">
        <f t="shared" si="346"/>
        <v/>
      </c>
      <c r="I379" s="37" t="str">
        <f>IFERROR(VLOOKUP(G379,SINAPI!A:D,2,0),"")</f>
        <v/>
      </c>
      <c r="J379" s="626" t="s">
        <v>5</v>
      </c>
      <c r="K379" s="40"/>
      <c r="L379" s="40" t="str">
        <f>IFERROR(VLOOKUP(G379,SINAPI!A:D,3,0),"")</f>
        <v/>
      </c>
      <c r="M379" s="40">
        <f>VLOOKUP(D379,MEMORIA!B:F,$A$3+3)</f>
        <v>0</v>
      </c>
      <c r="N379" s="40" t="str">
        <f>IFERROR(VLOOKUP(G379,SINAPI!A:D,4,0),"")</f>
        <v/>
      </c>
      <c r="O379" s="1571">
        <f t="shared" si="347"/>
        <v>0.24379999999999999</v>
      </c>
      <c r="P379" s="41" t="str">
        <f t="shared" si="348"/>
        <v/>
      </c>
      <c r="Q379" s="837"/>
      <c r="R379" s="1444">
        <f t="shared" si="282"/>
        <v>0</v>
      </c>
      <c r="U379" s="668"/>
      <c r="V379" s="668"/>
    </row>
    <row r="380" spans="1:22" ht="13.5" hidden="1" collapsed="1" thickBot="1" x14ac:dyDescent="0.3">
      <c r="A380" s="218"/>
      <c r="B380" s="218"/>
      <c r="C380" s="218">
        <f>C375</f>
        <v>0</v>
      </c>
      <c r="E380" s="230" t="s">
        <v>2607</v>
      </c>
      <c r="F380" s="231"/>
      <c r="G380" s="231"/>
      <c r="H380" s="231"/>
      <c r="I380" s="231"/>
      <c r="J380" s="231"/>
      <c r="K380" s="231"/>
      <c r="L380" s="231"/>
      <c r="M380" s="231"/>
      <c r="N380" s="232"/>
      <c r="O380" s="232"/>
      <c r="P380" s="621"/>
      <c r="Q380" s="581">
        <f>SUM(Q376:Q379)</f>
        <v>0</v>
      </c>
      <c r="R380" s="581">
        <f>SUM(R376:R379)</f>
        <v>0</v>
      </c>
      <c r="U380" s="668"/>
      <c r="V380" s="668"/>
    </row>
    <row r="381" spans="1:22" ht="13.5" hidden="1" outlineLevel="1" thickBot="1" x14ac:dyDescent="0.3">
      <c r="A381" s="617">
        <f ca="1">A375+C381</f>
        <v>5</v>
      </c>
      <c r="B381" s="617">
        <v>0</v>
      </c>
      <c r="C381" s="617">
        <f>IF(SUM(B382:B383)&gt;0,1,0)</f>
        <v>0</v>
      </c>
      <c r="E381" s="618" t="str">
        <f ca="1">CONCATENATE(A381,".",B381)</f>
        <v>5.0</v>
      </c>
      <c r="F381" s="1005"/>
      <c r="G381" s="1005" t="s">
        <v>5720</v>
      </c>
      <c r="H381" s="1005"/>
      <c r="I381" s="44"/>
      <c r="J381" s="628"/>
      <c r="K381" s="629"/>
      <c r="L381" s="630" t="s">
        <v>2603</v>
      </c>
      <c r="M381" s="631"/>
      <c r="N381" s="631" t="s">
        <v>2603</v>
      </c>
      <c r="O381" s="1569"/>
      <c r="P381" s="631" t="str">
        <f>IF(N381="","",(ROUND(N381*(1+BDI),2)))</f>
        <v/>
      </c>
      <c r="Q381" s="632" t="str">
        <f>IF(M381="","",ROUND(M381*P381,2))</f>
        <v/>
      </c>
      <c r="R381" s="1444" t="str">
        <f t="shared" si="282"/>
        <v/>
      </c>
      <c r="U381" s="999"/>
      <c r="V381" s="999"/>
    </row>
    <row r="382" spans="1:22" ht="15" hidden="1" customHeight="1" outlineLevel="1" x14ac:dyDescent="0.3">
      <c r="A382" s="576">
        <f ca="1">A381</f>
        <v>5</v>
      </c>
      <c r="B382" s="576">
        <f>IF(M382=0,0,MAX($B$375:B381)+1)</f>
        <v>0</v>
      </c>
      <c r="C382" s="576">
        <f t="shared" ref="C382:C383" si="354">IF(B382=0,0,1)</f>
        <v>0</v>
      </c>
      <c r="D382" s="515">
        <f>D379+1</f>
        <v>321</v>
      </c>
      <c r="E382" s="35" t="str">
        <f ca="1">CONCATENATE(A382,".",B382)</f>
        <v>5.0</v>
      </c>
      <c r="F382" s="550" t="s">
        <v>20</v>
      </c>
      <c r="G382" s="550">
        <v>93567</v>
      </c>
      <c r="H382" s="224" t="s">
        <v>7270</v>
      </c>
      <c r="I382" s="37" t="str">
        <f>IFERROR(VLOOKUP(G382,SINAPI!A:D,2,0),"")</f>
        <v>ENGENHEIRO CIVIL DE OBRA PLENO COM ENCARGOS COMPLEMENTARES</v>
      </c>
      <c r="J382" s="626" t="s">
        <v>5</v>
      </c>
      <c r="K382" s="40"/>
      <c r="L382" s="40" t="str">
        <f>IFERROR(VLOOKUP(G382,SINAPI!A:D,3,0),"")</f>
        <v>MES</v>
      </c>
      <c r="M382" s="40">
        <f>VLOOKUP(D382,MEMORIA!B:F,$A$3+3)</f>
        <v>0</v>
      </c>
      <c r="N382" s="40">
        <f>IFERROR(VLOOKUP(G382,SINAPI!A:D,4,0),"")</f>
        <v>21702.560000000001</v>
      </c>
      <c r="O382" s="1571">
        <f t="shared" ref="O382:O383" si="355">$N$7</f>
        <v>0.24379999999999999</v>
      </c>
      <c r="P382" s="41">
        <f t="shared" ref="P382:P383" si="356">IF(N382="","",(ROUND(N382*(1+O382),2)))</f>
        <v>26993.64</v>
      </c>
      <c r="Q382" s="580">
        <f t="shared" ref="Q382:Q383" si="357">IF(M382="","",ROUND(M382*P382,2))</f>
        <v>0</v>
      </c>
      <c r="R382" s="1444">
        <f t="shared" si="282"/>
        <v>0</v>
      </c>
      <c r="U382" s="999"/>
      <c r="V382" s="999"/>
    </row>
    <row r="383" spans="1:22" ht="15" hidden="1" customHeight="1" outlineLevel="1" x14ac:dyDescent="0.3">
      <c r="A383" s="576">
        <f t="shared" ref="A383" ca="1" si="358">A382</f>
        <v>5</v>
      </c>
      <c r="B383" s="576">
        <f>IF(M383=0,0,MAX($B$375:B382)+1)</f>
        <v>0</v>
      </c>
      <c r="C383" s="576">
        <f t="shared" si="354"/>
        <v>0</v>
      </c>
      <c r="D383" s="515">
        <f>D382+1</f>
        <v>322</v>
      </c>
      <c r="E383" s="35" t="str">
        <f t="shared" ref="E383" ca="1" si="359">CONCATENATE(A383,".",B383)</f>
        <v>5.0</v>
      </c>
      <c r="F383" s="550" t="s">
        <v>20</v>
      </c>
      <c r="G383" s="550">
        <v>93561</v>
      </c>
      <c r="H383" s="224" t="s">
        <v>7271</v>
      </c>
      <c r="I383" s="37" t="str">
        <f>IFERROR(VLOOKUP(G383,SINAPI!A:D,2,0),"")</f>
        <v>DESENHISTA PROJETISTA COM ENCARGOS COMPLEMENTARES</v>
      </c>
      <c r="J383" s="626" t="s">
        <v>5</v>
      </c>
      <c r="K383" s="40"/>
      <c r="L383" s="40" t="str">
        <f>IFERROR(VLOOKUP(G383,SINAPI!A:D,3,0),"")</f>
        <v>MES</v>
      </c>
      <c r="M383" s="40">
        <f>VLOOKUP(D383,MEMORIA!B:F,$A$3+3)</f>
        <v>0</v>
      </c>
      <c r="N383" s="40">
        <f>IFERROR(VLOOKUP(G383,SINAPI!A:D,4,0),"")</f>
        <v>3872.28</v>
      </c>
      <c r="O383" s="1571">
        <f t="shared" si="355"/>
        <v>0.24379999999999999</v>
      </c>
      <c r="P383" s="41">
        <f t="shared" si="356"/>
        <v>4816.34</v>
      </c>
      <c r="Q383" s="580">
        <f t="shared" si="357"/>
        <v>0</v>
      </c>
      <c r="R383" s="1444">
        <f t="shared" si="282"/>
        <v>0</v>
      </c>
      <c r="U383" s="999"/>
      <c r="V383" s="999"/>
    </row>
    <row r="384" spans="1:22" ht="13.5" hidden="1" collapsed="1" thickBot="1" x14ac:dyDescent="0.3">
      <c r="A384" s="218"/>
      <c r="B384" s="218"/>
      <c r="C384" s="218">
        <f>C381</f>
        <v>0</v>
      </c>
      <c r="E384" s="230" t="s">
        <v>2607</v>
      </c>
      <c r="F384" s="231"/>
      <c r="G384" s="231"/>
      <c r="H384" s="231"/>
      <c r="I384" s="231"/>
      <c r="J384" s="231"/>
      <c r="K384" s="231"/>
      <c r="L384" s="231"/>
      <c r="M384" s="231"/>
      <c r="N384" s="232"/>
      <c r="O384" s="232"/>
      <c r="P384" s="621"/>
      <c r="Q384" s="581">
        <f>SUM(Q382:Q383)</f>
        <v>0</v>
      </c>
      <c r="R384" s="581">
        <f>SUM(R382:R383)</f>
        <v>0</v>
      </c>
      <c r="U384" s="999"/>
      <c r="V384" s="999"/>
    </row>
    <row r="385" spans="1:22" ht="15" customHeight="1" thickBot="1" x14ac:dyDescent="0.3">
      <c r="A385" s="634"/>
      <c r="B385" s="634"/>
      <c r="C385" s="634">
        <v>1</v>
      </c>
      <c r="E385" s="635" t="s">
        <v>36</v>
      </c>
      <c r="F385" s="636"/>
      <c r="G385" s="636"/>
      <c r="H385" s="636"/>
      <c r="I385" s="219"/>
      <c r="J385" s="638"/>
      <c r="K385" s="638"/>
      <c r="L385" s="638"/>
      <c r="M385" s="639"/>
      <c r="N385" s="638"/>
      <c r="O385" s="638"/>
      <c r="P385" s="638"/>
      <c r="Q385" s="640">
        <f ca="1">SUM(Q384,Q380,Q374,Q368,Q350,Q322,Q310,Q190,Q178,Q18)</f>
        <v>258454.88</v>
      </c>
      <c r="R385" s="640">
        <f ca="1">SUM(R384,R380,R374,R368,R350,R322,R310,R190,R178,R18)</f>
        <v>258454.88</v>
      </c>
    </row>
    <row r="386" spans="1:22" ht="15" customHeight="1" x14ac:dyDescent="0.25">
      <c r="A386" s="562"/>
      <c r="B386" s="562"/>
      <c r="C386" s="515">
        <f>C385</f>
        <v>1</v>
      </c>
      <c r="G386" s="1017"/>
      <c r="I386" s="2" t="s">
        <v>2603</v>
      </c>
      <c r="J386" s="562"/>
      <c r="K386" s="562"/>
      <c r="L386" s="562"/>
      <c r="M386" s="562"/>
      <c r="Q386" s="605"/>
      <c r="R386" s="605"/>
      <c r="S386" s="562"/>
      <c r="T386" s="562"/>
      <c r="U386" s="562"/>
      <c r="V386" s="562"/>
    </row>
    <row r="387" spans="1:22" ht="15" customHeight="1" x14ac:dyDescent="0.25">
      <c r="A387" s="562"/>
      <c r="B387" s="562"/>
      <c r="C387" s="515">
        <f t="shared" ref="C387:C391" si="360">C386</f>
        <v>1</v>
      </c>
      <c r="E387" s="589" t="s">
        <v>25014</v>
      </c>
      <c r="I387" s="2" t="s">
        <v>2603</v>
      </c>
      <c r="J387" s="562" t="s">
        <v>5</v>
      </c>
      <c r="K387" s="562"/>
      <c r="L387" s="562"/>
      <c r="M387" s="562"/>
      <c r="Q387" s="582"/>
      <c r="R387" s="582"/>
      <c r="S387" s="562"/>
      <c r="T387" s="562"/>
      <c r="U387" s="562"/>
      <c r="V387" s="562"/>
    </row>
    <row r="388" spans="1:22" ht="15" customHeight="1" x14ac:dyDescent="0.25">
      <c r="A388" s="562"/>
      <c r="B388" s="562"/>
      <c r="C388" s="515">
        <f t="shared" si="360"/>
        <v>1</v>
      </c>
      <c r="G388" s="515"/>
      <c r="H388" s="515"/>
      <c r="I388" s="13" t="s">
        <v>2603</v>
      </c>
      <c r="J388" s="591" t="s">
        <v>5</v>
      </c>
      <c r="K388" s="591"/>
      <c r="L388" s="591"/>
      <c r="M388" s="562"/>
      <c r="N388" s="591"/>
      <c r="O388" s="591"/>
      <c r="P388" s="592"/>
      <c r="Q388" s="592"/>
      <c r="R388" s="592"/>
      <c r="S388" s="562"/>
      <c r="T388" s="562"/>
      <c r="U388" s="562"/>
      <c r="V388" s="562"/>
    </row>
    <row r="389" spans="1:22" ht="15" customHeight="1" x14ac:dyDescent="0.25">
      <c r="A389" s="562"/>
      <c r="B389" s="562"/>
      <c r="C389" s="515">
        <f t="shared" si="360"/>
        <v>1</v>
      </c>
      <c r="G389" s="515"/>
      <c r="H389" s="515"/>
      <c r="I389" s="13" t="s">
        <v>2603</v>
      </c>
      <c r="J389" s="591" t="s">
        <v>5</v>
      </c>
      <c r="K389" s="591"/>
      <c r="L389" s="591"/>
      <c r="M389" s="593" t="s">
        <v>37</v>
      </c>
      <c r="N389" s="591"/>
      <c r="O389" s="591"/>
      <c r="P389" s="592"/>
      <c r="Q389" s="592"/>
      <c r="R389" s="592"/>
      <c r="S389" s="562"/>
      <c r="T389" s="562"/>
      <c r="U389" s="562"/>
      <c r="V389" s="562"/>
    </row>
    <row r="390" spans="1:22" ht="15" customHeight="1" x14ac:dyDescent="0.25">
      <c r="A390" s="562"/>
      <c r="B390" s="562"/>
      <c r="C390" s="515">
        <f t="shared" si="360"/>
        <v>1</v>
      </c>
      <c r="G390" s="515"/>
      <c r="H390" s="515"/>
      <c r="I390" s="13" t="s">
        <v>2603</v>
      </c>
      <c r="J390" s="591" t="s">
        <v>5</v>
      </c>
      <c r="K390" s="591"/>
      <c r="L390" s="591"/>
      <c r="M390" s="593" t="s">
        <v>38</v>
      </c>
      <c r="N390" s="591"/>
      <c r="O390" s="591"/>
      <c r="P390" s="592"/>
      <c r="Q390" s="595"/>
      <c r="R390" s="595"/>
      <c r="S390" s="562"/>
      <c r="T390" s="562"/>
      <c r="U390" s="562"/>
      <c r="V390" s="562"/>
    </row>
    <row r="391" spans="1:22" ht="15" customHeight="1" x14ac:dyDescent="0.25">
      <c r="A391" s="562"/>
      <c r="B391" s="562"/>
      <c r="C391" s="515">
        <f t="shared" si="360"/>
        <v>1</v>
      </c>
      <c r="M391" s="593" t="s">
        <v>39</v>
      </c>
      <c r="S391" s="562"/>
      <c r="T391" s="562"/>
      <c r="U391" s="562"/>
      <c r="V391" s="562"/>
    </row>
  </sheetData>
  <autoFilter ref="C13:C391" xr:uid="{00000000-0009-0000-0000-00000B000000}">
    <filterColumn colId="0">
      <filters>
        <filter val="1"/>
      </filters>
    </filterColumn>
  </autoFilter>
  <dataConsolidate/>
  <mergeCells count="17">
    <mergeCell ref="N11:N12"/>
    <mergeCell ref="P5:P9"/>
    <mergeCell ref="L5:M5"/>
    <mergeCell ref="L6:M6"/>
    <mergeCell ref="O11:O12"/>
    <mergeCell ref="E1:Q1"/>
    <mergeCell ref="L7:M7"/>
    <mergeCell ref="L9:M9"/>
    <mergeCell ref="E11:E12"/>
    <mergeCell ref="F11:F12"/>
    <mergeCell ref="G11:G12"/>
    <mergeCell ref="I11:I12"/>
    <mergeCell ref="K11:K12"/>
    <mergeCell ref="H11:H12"/>
    <mergeCell ref="M11:M12"/>
    <mergeCell ref="L11:L12"/>
    <mergeCell ref="P11:Q11"/>
  </mergeCells>
  <phoneticPr fontId="32" type="noConversion"/>
  <printOptions horizontalCentered="1"/>
  <pageMargins left="0.59055118110236227" right="0.59055118110236227" top="0.94488188976377963" bottom="0.6692913385826772" header="0.31496062992125984" footer="0.23622047244094491"/>
  <pageSetup paperSize="9" scale="65" fitToHeight="0" orientation="landscape" r:id="rId1"/>
  <headerFooter>
    <oddHeader>&amp;C&amp;G</oddHeader>
    <oddFooter>&amp;C&amp;G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FFC000"/>
    <pageSetUpPr fitToPage="1"/>
  </sheetPr>
  <dimension ref="A1:X91"/>
  <sheetViews>
    <sheetView view="pageBreakPreview" zoomScaleNormal="100" zoomScaleSheetLayoutView="100" workbookViewId="0">
      <selection activeCell="H14" sqref="H14"/>
    </sheetView>
  </sheetViews>
  <sheetFormatPr defaultColWidth="11.5703125" defaultRowHeight="12.75" x14ac:dyDescent="0.2"/>
  <cols>
    <col min="1" max="1" width="11.5703125" style="225"/>
    <col min="2" max="2" width="6.5703125" style="127" customWidth="1"/>
    <col min="3" max="3" width="7.85546875" style="127" customWidth="1"/>
    <col min="4" max="4" width="21.5703125" style="127" customWidth="1"/>
    <col min="5" max="5" width="13.7109375" style="127" customWidth="1"/>
    <col min="6" max="6" width="12" style="127" customWidth="1"/>
    <col min="7" max="18" width="13.7109375" style="127" customWidth="1"/>
    <col min="19" max="19" width="14" style="127" bestFit="1" customWidth="1"/>
    <col min="20" max="20" width="12.85546875" style="127" bestFit="1" customWidth="1"/>
    <col min="21" max="235" width="11.5703125" style="127"/>
    <col min="236" max="236" width="15.5703125" style="127" customWidth="1"/>
    <col min="237" max="237" width="11.5703125" style="127"/>
    <col min="238" max="238" width="17.7109375" style="127" customWidth="1"/>
    <col min="239" max="491" width="11.5703125" style="127"/>
    <col min="492" max="492" width="15.5703125" style="127" customWidth="1"/>
    <col min="493" max="493" width="11.5703125" style="127"/>
    <col min="494" max="494" width="17.7109375" style="127" customWidth="1"/>
    <col min="495" max="747" width="11.5703125" style="127"/>
    <col min="748" max="748" width="15.5703125" style="127" customWidth="1"/>
    <col min="749" max="749" width="11.5703125" style="127"/>
    <col min="750" max="750" width="17.7109375" style="127" customWidth="1"/>
    <col min="751" max="1003" width="11.5703125" style="127"/>
    <col min="1004" max="1004" width="15.5703125" style="127" customWidth="1"/>
    <col min="1005" max="1005" width="11.5703125" style="127"/>
    <col min="1006" max="1006" width="17.7109375" style="127" customWidth="1"/>
    <col min="1007" max="1259" width="11.5703125" style="127"/>
    <col min="1260" max="1260" width="15.5703125" style="127" customWidth="1"/>
    <col min="1261" max="1261" width="11.5703125" style="127"/>
    <col min="1262" max="1262" width="17.7109375" style="127" customWidth="1"/>
    <col min="1263" max="1515" width="11.5703125" style="127"/>
    <col min="1516" max="1516" width="15.5703125" style="127" customWidth="1"/>
    <col min="1517" max="1517" width="11.5703125" style="127"/>
    <col min="1518" max="1518" width="17.7109375" style="127" customWidth="1"/>
    <col min="1519" max="1771" width="11.5703125" style="127"/>
    <col min="1772" max="1772" width="15.5703125" style="127" customWidth="1"/>
    <col min="1773" max="1773" width="11.5703125" style="127"/>
    <col min="1774" max="1774" width="17.7109375" style="127" customWidth="1"/>
    <col min="1775" max="2027" width="11.5703125" style="127"/>
    <col min="2028" max="2028" width="15.5703125" style="127" customWidth="1"/>
    <col min="2029" max="2029" width="11.5703125" style="127"/>
    <col min="2030" max="2030" width="17.7109375" style="127" customWidth="1"/>
    <col min="2031" max="2283" width="11.5703125" style="127"/>
    <col min="2284" max="2284" width="15.5703125" style="127" customWidth="1"/>
    <col min="2285" max="2285" width="11.5703125" style="127"/>
    <col min="2286" max="2286" width="17.7109375" style="127" customWidth="1"/>
    <col min="2287" max="2539" width="11.5703125" style="127"/>
    <col min="2540" max="2540" width="15.5703125" style="127" customWidth="1"/>
    <col min="2541" max="2541" width="11.5703125" style="127"/>
    <col min="2542" max="2542" width="17.7109375" style="127" customWidth="1"/>
    <col min="2543" max="2795" width="11.5703125" style="127"/>
    <col min="2796" max="2796" width="15.5703125" style="127" customWidth="1"/>
    <col min="2797" max="2797" width="11.5703125" style="127"/>
    <col min="2798" max="2798" width="17.7109375" style="127" customWidth="1"/>
    <col min="2799" max="3051" width="11.5703125" style="127"/>
    <col min="3052" max="3052" width="15.5703125" style="127" customWidth="1"/>
    <col min="3053" max="3053" width="11.5703125" style="127"/>
    <col min="3054" max="3054" width="17.7109375" style="127" customWidth="1"/>
    <col min="3055" max="3307" width="11.5703125" style="127"/>
    <col min="3308" max="3308" width="15.5703125" style="127" customWidth="1"/>
    <col min="3309" max="3309" width="11.5703125" style="127"/>
    <col min="3310" max="3310" width="17.7109375" style="127" customWidth="1"/>
    <col min="3311" max="3563" width="11.5703125" style="127"/>
    <col min="3564" max="3564" width="15.5703125" style="127" customWidth="1"/>
    <col min="3565" max="3565" width="11.5703125" style="127"/>
    <col min="3566" max="3566" width="17.7109375" style="127" customWidth="1"/>
    <col min="3567" max="3819" width="11.5703125" style="127"/>
    <col min="3820" max="3820" width="15.5703125" style="127" customWidth="1"/>
    <col min="3821" max="3821" width="11.5703125" style="127"/>
    <col min="3822" max="3822" width="17.7109375" style="127" customWidth="1"/>
    <col min="3823" max="4075" width="11.5703125" style="127"/>
    <col min="4076" max="4076" width="15.5703125" style="127" customWidth="1"/>
    <col min="4077" max="4077" width="11.5703125" style="127"/>
    <col min="4078" max="4078" width="17.7109375" style="127" customWidth="1"/>
    <col min="4079" max="4331" width="11.5703125" style="127"/>
    <col min="4332" max="4332" width="15.5703125" style="127" customWidth="1"/>
    <col min="4333" max="4333" width="11.5703125" style="127"/>
    <col min="4334" max="4334" width="17.7109375" style="127" customWidth="1"/>
    <col min="4335" max="4587" width="11.5703125" style="127"/>
    <col min="4588" max="4588" width="15.5703125" style="127" customWidth="1"/>
    <col min="4589" max="4589" width="11.5703125" style="127"/>
    <col min="4590" max="4590" width="17.7109375" style="127" customWidth="1"/>
    <col min="4591" max="4843" width="11.5703125" style="127"/>
    <col min="4844" max="4844" width="15.5703125" style="127" customWidth="1"/>
    <col min="4845" max="4845" width="11.5703125" style="127"/>
    <col min="4846" max="4846" width="17.7109375" style="127" customWidth="1"/>
    <col min="4847" max="5099" width="11.5703125" style="127"/>
    <col min="5100" max="5100" width="15.5703125" style="127" customWidth="1"/>
    <col min="5101" max="5101" width="11.5703125" style="127"/>
    <col min="5102" max="5102" width="17.7109375" style="127" customWidth="1"/>
    <col min="5103" max="5355" width="11.5703125" style="127"/>
    <col min="5356" max="5356" width="15.5703125" style="127" customWidth="1"/>
    <col min="5357" max="5357" width="11.5703125" style="127"/>
    <col min="5358" max="5358" width="17.7109375" style="127" customWidth="1"/>
    <col min="5359" max="5611" width="11.5703125" style="127"/>
    <col min="5612" max="5612" width="15.5703125" style="127" customWidth="1"/>
    <col min="5613" max="5613" width="11.5703125" style="127"/>
    <col min="5614" max="5614" width="17.7109375" style="127" customWidth="1"/>
    <col min="5615" max="5867" width="11.5703125" style="127"/>
    <col min="5868" max="5868" width="15.5703125" style="127" customWidth="1"/>
    <col min="5869" max="5869" width="11.5703125" style="127"/>
    <col min="5870" max="5870" width="17.7109375" style="127" customWidth="1"/>
    <col min="5871" max="6123" width="11.5703125" style="127"/>
    <col min="6124" max="6124" width="15.5703125" style="127" customWidth="1"/>
    <col min="6125" max="6125" width="11.5703125" style="127"/>
    <col min="6126" max="6126" width="17.7109375" style="127" customWidth="1"/>
    <col min="6127" max="6379" width="11.5703125" style="127"/>
    <col min="6380" max="6380" width="15.5703125" style="127" customWidth="1"/>
    <col min="6381" max="6381" width="11.5703125" style="127"/>
    <col min="6382" max="6382" width="17.7109375" style="127" customWidth="1"/>
    <col min="6383" max="6635" width="11.5703125" style="127"/>
    <col min="6636" max="6636" width="15.5703125" style="127" customWidth="1"/>
    <col min="6637" max="6637" width="11.5703125" style="127"/>
    <col min="6638" max="6638" width="17.7109375" style="127" customWidth="1"/>
    <col min="6639" max="6891" width="11.5703125" style="127"/>
    <col min="6892" max="6892" width="15.5703125" style="127" customWidth="1"/>
    <col min="6893" max="6893" width="11.5703125" style="127"/>
    <col min="6894" max="6894" width="17.7109375" style="127" customWidth="1"/>
    <col min="6895" max="7147" width="11.5703125" style="127"/>
    <col min="7148" max="7148" width="15.5703125" style="127" customWidth="1"/>
    <col min="7149" max="7149" width="11.5703125" style="127"/>
    <col min="7150" max="7150" width="17.7109375" style="127" customWidth="1"/>
    <col min="7151" max="7403" width="11.5703125" style="127"/>
    <col min="7404" max="7404" width="15.5703125" style="127" customWidth="1"/>
    <col min="7405" max="7405" width="11.5703125" style="127"/>
    <col min="7406" max="7406" width="17.7109375" style="127" customWidth="1"/>
    <col min="7407" max="7659" width="11.5703125" style="127"/>
    <col min="7660" max="7660" width="15.5703125" style="127" customWidth="1"/>
    <col min="7661" max="7661" width="11.5703125" style="127"/>
    <col min="7662" max="7662" width="17.7109375" style="127" customWidth="1"/>
    <col min="7663" max="7915" width="11.5703125" style="127"/>
    <col min="7916" max="7916" width="15.5703125" style="127" customWidth="1"/>
    <col min="7917" max="7917" width="11.5703125" style="127"/>
    <col min="7918" max="7918" width="17.7109375" style="127" customWidth="1"/>
    <col min="7919" max="8171" width="11.5703125" style="127"/>
    <col min="8172" max="8172" width="15.5703125" style="127" customWidth="1"/>
    <col min="8173" max="8173" width="11.5703125" style="127"/>
    <col min="8174" max="8174" width="17.7109375" style="127" customWidth="1"/>
    <col min="8175" max="8427" width="11.5703125" style="127"/>
    <col min="8428" max="8428" width="15.5703125" style="127" customWidth="1"/>
    <col min="8429" max="8429" width="11.5703125" style="127"/>
    <col min="8430" max="8430" width="17.7109375" style="127" customWidth="1"/>
    <col min="8431" max="8683" width="11.5703125" style="127"/>
    <col min="8684" max="8684" width="15.5703125" style="127" customWidth="1"/>
    <col min="8685" max="8685" width="11.5703125" style="127"/>
    <col min="8686" max="8686" width="17.7109375" style="127" customWidth="1"/>
    <col min="8687" max="8939" width="11.5703125" style="127"/>
    <col min="8940" max="8940" width="15.5703125" style="127" customWidth="1"/>
    <col min="8941" max="8941" width="11.5703125" style="127"/>
    <col min="8942" max="8942" width="17.7109375" style="127" customWidth="1"/>
    <col min="8943" max="9195" width="11.5703125" style="127"/>
    <col min="9196" max="9196" width="15.5703125" style="127" customWidth="1"/>
    <col min="9197" max="9197" width="11.5703125" style="127"/>
    <col min="9198" max="9198" width="17.7109375" style="127" customWidth="1"/>
    <col min="9199" max="9451" width="11.5703125" style="127"/>
    <col min="9452" max="9452" width="15.5703125" style="127" customWidth="1"/>
    <col min="9453" max="9453" width="11.5703125" style="127"/>
    <col min="9454" max="9454" width="17.7109375" style="127" customWidth="1"/>
    <col min="9455" max="9707" width="11.5703125" style="127"/>
    <col min="9708" max="9708" width="15.5703125" style="127" customWidth="1"/>
    <col min="9709" max="9709" width="11.5703125" style="127"/>
    <col min="9710" max="9710" width="17.7109375" style="127" customWidth="1"/>
    <col min="9711" max="9963" width="11.5703125" style="127"/>
    <col min="9964" max="9964" width="15.5703125" style="127" customWidth="1"/>
    <col min="9965" max="9965" width="11.5703125" style="127"/>
    <col min="9966" max="9966" width="17.7109375" style="127" customWidth="1"/>
    <col min="9967" max="10219" width="11.5703125" style="127"/>
    <col min="10220" max="10220" width="15.5703125" style="127" customWidth="1"/>
    <col min="10221" max="10221" width="11.5703125" style="127"/>
    <col min="10222" max="10222" width="17.7109375" style="127" customWidth="1"/>
    <col min="10223" max="10475" width="11.5703125" style="127"/>
    <col min="10476" max="10476" width="15.5703125" style="127" customWidth="1"/>
    <col min="10477" max="10477" width="11.5703125" style="127"/>
    <col min="10478" max="10478" width="17.7109375" style="127" customWidth="1"/>
    <col min="10479" max="10731" width="11.5703125" style="127"/>
    <col min="10732" max="10732" width="15.5703125" style="127" customWidth="1"/>
    <col min="10733" max="10733" width="11.5703125" style="127"/>
    <col min="10734" max="10734" width="17.7109375" style="127" customWidth="1"/>
    <col min="10735" max="10987" width="11.5703125" style="127"/>
    <col min="10988" max="10988" width="15.5703125" style="127" customWidth="1"/>
    <col min="10989" max="10989" width="11.5703125" style="127"/>
    <col min="10990" max="10990" width="17.7109375" style="127" customWidth="1"/>
    <col min="10991" max="11243" width="11.5703125" style="127"/>
    <col min="11244" max="11244" width="15.5703125" style="127" customWidth="1"/>
    <col min="11245" max="11245" width="11.5703125" style="127"/>
    <col min="11246" max="11246" width="17.7109375" style="127" customWidth="1"/>
    <col min="11247" max="11499" width="11.5703125" style="127"/>
    <col min="11500" max="11500" width="15.5703125" style="127" customWidth="1"/>
    <col min="11501" max="11501" width="11.5703125" style="127"/>
    <col min="11502" max="11502" width="17.7109375" style="127" customWidth="1"/>
    <col min="11503" max="11755" width="11.5703125" style="127"/>
    <col min="11756" max="11756" width="15.5703125" style="127" customWidth="1"/>
    <col min="11757" max="11757" width="11.5703125" style="127"/>
    <col min="11758" max="11758" width="17.7109375" style="127" customWidth="1"/>
    <col min="11759" max="12011" width="11.5703125" style="127"/>
    <col min="12012" max="12012" width="15.5703125" style="127" customWidth="1"/>
    <col min="12013" max="12013" width="11.5703125" style="127"/>
    <col min="12014" max="12014" width="17.7109375" style="127" customWidth="1"/>
    <col min="12015" max="12267" width="11.5703125" style="127"/>
    <col min="12268" max="12268" width="15.5703125" style="127" customWidth="1"/>
    <col min="12269" max="12269" width="11.5703125" style="127"/>
    <col min="12270" max="12270" width="17.7109375" style="127" customWidth="1"/>
    <col min="12271" max="12523" width="11.5703125" style="127"/>
    <col min="12524" max="12524" width="15.5703125" style="127" customWidth="1"/>
    <col min="12525" max="12525" width="11.5703125" style="127"/>
    <col min="12526" max="12526" width="17.7109375" style="127" customWidth="1"/>
    <col min="12527" max="12779" width="11.5703125" style="127"/>
    <col min="12780" max="12780" width="15.5703125" style="127" customWidth="1"/>
    <col min="12781" max="12781" width="11.5703125" style="127"/>
    <col min="12782" max="12782" width="17.7109375" style="127" customWidth="1"/>
    <col min="12783" max="13035" width="11.5703125" style="127"/>
    <col min="13036" max="13036" width="15.5703125" style="127" customWidth="1"/>
    <col min="13037" max="13037" width="11.5703125" style="127"/>
    <col min="13038" max="13038" width="17.7109375" style="127" customWidth="1"/>
    <col min="13039" max="13291" width="11.5703125" style="127"/>
    <col min="13292" max="13292" width="15.5703125" style="127" customWidth="1"/>
    <col min="13293" max="13293" width="11.5703125" style="127"/>
    <col min="13294" max="13294" width="17.7109375" style="127" customWidth="1"/>
    <col min="13295" max="13547" width="11.5703125" style="127"/>
    <col min="13548" max="13548" width="15.5703125" style="127" customWidth="1"/>
    <col min="13549" max="13549" width="11.5703125" style="127"/>
    <col min="13550" max="13550" width="17.7109375" style="127" customWidth="1"/>
    <col min="13551" max="13803" width="11.5703125" style="127"/>
    <col min="13804" max="13804" width="15.5703125" style="127" customWidth="1"/>
    <col min="13805" max="13805" width="11.5703125" style="127"/>
    <col min="13806" max="13806" width="17.7109375" style="127" customWidth="1"/>
    <col min="13807" max="14059" width="11.5703125" style="127"/>
    <col min="14060" max="14060" width="15.5703125" style="127" customWidth="1"/>
    <col min="14061" max="14061" width="11.5703125" style="127"/>
    <col min="14062" max="14062" width="17.7109375" style="127" customWidth="1"/>
    <col min="14063" max="14315" width="11.5703125" style="127"/>
    <col min="14316" max="14316" width="15.5703125" style="127" customWidth="1"/>
    <col min="14317" max="14317" width="11.5703125" style="127"/>
    <col min="14318" max="14318" width="17.7109375" style="127" customWidth="1"/>
    <col min="14319" max="14571" width="11.5703125" style="127"/>
    <col min="14572" max="14572" width="15.5703125" style="127" customWidth="1"/>
    <col min="14573" max="14573" width="11.5703125" style="127"/>
    <col min="14574" max="14574" width="17.7109375" style="127" customWidth="1"/>
    <col min="14575" max="14827" width="11.5703125" style="127"/>
    <col min="14828" max="14828" width="15.5703125" style="127" customWidth="1"/>
    <col min="14829" max="14829" width="11.5703125" style="127"/>
    <col min="14830" max="14830" width="17.7109375" style="127" customWidth="1"/>
    <col min="14831" max="15083" width="11.5703125" style="127"/>
    <col min="15084" max="15084" width="15.5703125" style="127" customWidth="1"/>
    <col min="15085" max="15085" width="11.5703125" style="127"/>
    <col min="15086" max="15086" width="17.7109375" style="127" customWidth="1"/>
    <col min="15087" max="15339" width="11.5703125" style="127"/>
    <col min="15340" max="15340" width="15.5703125" style="127" customWidth="1"/>
    <col min="15341" max="15341" width="11.5703125" style="127"/>
    <col min="15342" max="15342" width="17.7109375" style="127" customWidth="1"/>
    <col min="15343" max="15595" width="11.5703125" style="127"/>
    <col min="15596" max="15596" width="15.5703125" style="127" customWidth="1"/>
    <col min="15597" max="15597" width="11.5703125" style="127"/>
    <col min="15598" max="15598" width="17.7109375" style="127" customWidth="1"/>
    <col min="15599" max="15851" width="11.5703125" style="127"/>
    <col min="15852" max="15852" width="15.5703125" style="127" customWidth="1"/>
    <col min="15853" max="15853" width="11.5703125" style="127"/>
    <col min="15854" max="15854" width="17.7109375" style="127" customWidth="1"/>
    <col min="15855" max="16107" width="11.5703125" style="127"/>
    <col min="16108" max="16108" width="15.5703125" style="127" customWidth="1"/>
    <col min="16109" max="16109" width="11.5703125" style="127"/>
    <col min="16110" max="16110" width="17.7109375" style="127" customWidth="1"/>
    <col min="16111" max="16384" width="11.5703125" style="127"/>
  </cols>
  <sheetData>
    <row r="1" spans="1:20" s="2" customFormat="1" x14ac:dyDescent="0.25">
      <c r="A1" s="226"/>
      <c r="B1" s="1672" t="s">
        <v>0</v>
      </c>
      <c r="C1" s="1672"/>
      <c r="D1" s="1672"/>
      <c r="E1" s="1672"/>
      <c r="F1" s="1672"/>
      <c r="G1" s="1672"/>
      <c r="H1" s="1672"/>
      <c r="I1" s="1672"/>
      <c r="J1" s="1672"/>
      <c r="K1" s="1672"/>
      <c r="L1" s="1672"/>
      <c r="M1" s="1672"/>
      <c r="N1" s="1672"/>
      <c r="O1" s="1672"/>
      <c r="P1" s="1672"/>
      <c r="Q1" s="1672"/>
      <c r="R1" s="1672"/>
      <c r="S1" s="4"/>
      <c r="T1" s="5"/>
    </row>
    <row r="2" spans="1:20" s="2" customFormat="1" ht="13.5" thickBot="1" x14ac:dyDescent="0.3">
      <c r="A2" s="226"/>
      <c r="B2" s="6"/>
      <c r="C2" s="6"/>
      <c r="D2" s="7"/>
      <c r="E2" s="8"/>
      <c r="F2" s="8"/>
      <c r="G2" s="8"/>
      <c r="H2" s="10"/>
      <c r="I2" s="10"/>
      <c r="J2" s="10"/>
      <c r="K2" s="10"/>
      <c r="L2" s="10"/>
      <c r="M2" s="10"/>
      <c r="N2" s="10"/>
      <c r="O2" s="10"/>
      <c r="P2" s="10"/>
      <c r="Q2" s="10"/>
      <c r="R2" s="10"/>
      <c r="S2" s="4"/>
      <c r="T2" s="5"/>
    </row>
    <row r="3" spans="1:20" s="2" customFormat="1" ht="13.5" thickBot="1" x14ac:dyDescent="0.3">
      <c r="A3" s="226"/>
      <c r="B3" s="2001" t="s">
        <v>2586</v>
      </c>
      <c r="C3" s="2002"/>
      <c r="D3" s="2002"/>
      <c r="E3" s="2002"/>
      <c r="F3" s="2002"/>
      <c r="G3" s="2002"/>
      <c r="H3" s="2002"/>
      <c r="I3" s="2002"/>
      <c r="J3" s="2002"/>
      <c r="K3" s="2002"/>
      <c r="L3" s="2002"/>
      <c r="M3" s="2002"/>
      <c r="N3" s="2002"/>
      <c r="O3" s="2002"/>
      <c r="P3" s="2002"/>
      <c r="Q3" s="2002"/>
      <c r="R3" s="2003"/>
      <c r="S3" s="4"/>
      <c r="T3" s="5"/>
    </row>
    <row r="4" spans="1:20" s="13" customFormat="1" ht="13.5" thickBot="1" x14ac:dyDescent="0.3">
      <c r="A4" s="11"/>
      <c r="B4" s="12"/>
      <c r="C4" s="12"/>
      <c r="E4" s="14"/>
      <c r="F4" s="14"/>
      <c r="G4" s="15"/>
      <c r="H4" s="17"/>
      <c r="I4" s="16"/>
      <c r="J4" s="18"/>
      <c r="K4" s="10"/>
      <c r="L4" s="10"/>
      <c r="M4" s="10"/>
      <c r="N4" s="10"/>
      <c r="O4" s="10"/>
      <c r="P4" s="10"/>
      <c r="Q4" s="10"/>
      <c r="R4" s="10"/>
      <c r="S4" s="19"/>
      <c r="T4" s="20"/>
    </row>
    <row r="5" spans="1:20" s="2" customFormat="1" ht="12.75" customHeight="1" x14ac:dyDescent="0.25">
      <c r="A5" s="226"/>
      <c r="B5" s="21" t="str">
        <f>oR!E5</f>
        <v>PROPRIETÁRIO:</v>
      </c>
      <c r="C5" s="22"/>
      <c r="D5" s="23" t="str">
        <f>oR!G5</f>
        <v>MUNICÍPIO DE PRESIDENTE CASTELLO BRANCO</v>
      </c>
      <c r="E5" s="24"/>
      <c r="F5" s="24"/>
      <c r="G5" s="24"/>
      <c r="H5" s="165"/>
      <c r="I5" s="165"/>
      <c r="J5" s="682" t="s">
        <v>2</v>
      </c>
      <c r="K5" s="2047" t="str">
        <f>oR!N5</f>
        <v>NOVEMBRO/2022</v>
      </c>
      <c r="L5" s="2047"/>
      <c r="M5" s="1140"/>
      <c r="N5" s="1140"/>
      <c r="O5" s="1140"/>
      <c r="P5" s="2006" t="str">
        <f>oR!P5</f>
        <v>DATA BASE PREÇO:</v>
      </c>
      <c r="Q5" s="2004" t="str">
        <f>oR!Q5</f>
        <v>SICRO 07/2022</v>
      </c>
      <c r="R5" s="2005"/>
      <c r="S5" s="4"/>
      <c r="T5" s="1006"/>
    </row>
    <row r="6" spans="1:20" s="2" customFormat="1" x14ac:dyDescent="0.25">
      <c r="A6" s="226"/>
      <c r="B6" s="26" t="str">
        <f>oR!E6</f>
        <v>OBRA:</v>
      </c>
      <c r="C6" s="27"/>
      <c r="D6" s="28" t="str">
        <f>oR!G6</f>
        <v>IMPLANTAÇÃO E PAVIMENTAÇÃO DA ESTRADA DE LINHA TAQUARAL - SEGMENTO 01</v>
      </c>
      <c r="E6" s="29"/>
      <c r="F6" s="29"/>
      <c r="G6" s="29"/>
      <c r="H6" s="13"/>
      <c r="I6" s="13"/>
      <c r="J6" s="683" t="str">
        <f>oR!L6</f>
        <v>Revisão:</v>
      </c>
      <c r="K6" s="2045" t="str">
        <f>oR!N6</f>
        <v>R0A</v>
      </c>
      <c r="L6" s="2045"/>
      <c r="M6" s="1141"/>
      <c r="N6" s="1141"/>
      <c r="O6" s="1141"/>
      <c r="P6" s="2007"/>
      <c r="Q6" s="1997" t="str">
        <f>oR!Q6</f>
        <v>SINAPI 09/2022</v>
      </c>
      <c r="R6" s="1998"/>
      <c r="S6" s="4"/>
      <c r="T6" s="5"/>
    </row>
    <row r="7" spans="1:20" s="2" customFormat="1" x14ac:dyDescent="0.25">
      <c r="A7" s="226"/>
      <c r="B7" s="26" t="str">
        <f>oR!E7</f>
        <v>TRECHO:</v>
      </c>
      <c r="C7" s="27"/>
      <c r="D7" s="28" t="str">
        <f>oR!G7</f>
        <v>Av. Dezessete de Fevereiro - Fim da pavimentação (Km 2+200m)</v>
      </c>
      <c r="E7" s="30"/>
      <c r="F7" s="30"/>
      <c r="G7" s="30"/>
      <c r="H7" s="13"/>
      <c r="I7" s="13"/>
      <c r="J7" s="683" t="str">
        <f>oR!L7</f>
        <v>BDI:</v>
      </c>
      <c r="K7" s="2046">
        <f>oR!N7</f>
        <v>0.24379999999999999</v>
      </c>
      <c r="L7" s="2046"/>
      <c r="M7" s="1141"/>
      <c r="N7" s="1141"/>
      <c r="O7" s="1141"/>
      <c r="P7" s="2007"/>
      <c r="Q7" s="1997" t="str">
        <f>oR!Q7</f>
        <v>ANP 10/2022</v>
      </c>
      <c r="R7" s="1998"/>
      <c r="T7" s="5"/>
    </row>
    <row r="8" spans="1:20" s="2" customFormat="1" x14ac:dyDescent="0.25">
      <c r="A8" s="1572"/>
      <c r="B8" s="26" t="str">
        <f>oR!E8</f>
        <v>SEGMENTO:</v>
      </c>
      <c r="C8" s="27"/>
      <c r="D8" s="28" t="str">
        <f>oR!G8</f>
        <v>Av. Dezessete de Fevereiro - Km 0+140m</v>
      </c>
      <c r="E8" s="30"/>
      <c r="F8" s="30"/>
      <c r="G8" s="30"/>
      <c r="H8" s="13"/>
      <c r="I8" s="13"/>
      <c r="J8" s="683"/>
      <c r="K8" s="1577"/>
      <c r="L8" s="1577"/>
      <c r="M8" s="1141"/>
      <c r="N8" s="1141"/>
      <c r="O8" s="1141"/>
      <c r="P8" s="2007"/>
      <c r="Q8" s="1575"/>
      <c r="R8" s="1576"/>
      <c r="T8" s="5"/>
    </row>
    <row r="9" spans="1:20" s="2" customFormat="1" ht="13.5" thickBot="1" x14ac:dyDescent="0.3">
      <c r="A9" s="226"/>
      <c r="B9" s="31" t="str">
        <f>oR!E9</f>
        <v>EMENDA:</v>
      </c>
      <c r="C9" s="32"/>
      <c r="D9" s="183">
        <f>oR!G9</f>
        <v>2146</v>
      </c>
      <c r="E9" s="34"/>
      <c r="F9" s="34"/>
      <c r="G9" s="34"/>
      <c r="H9" s="684"/>
      <c r="I9" s="685"/>
      <c r="J9" s="184"/>
      <c r="K9" s="1160"/>
      <c r="L9" s="1160"/>
      <c r="M9" s="1160"/>
      <c r="N9" s="1160"/>
      <c r="O9" s="1160"/>
      <c r="P9" s="2008"/>
      <c r="Q9" s="1160"/>
      <c r="R9" s="1161"/>
      <c r="S9" s="4"/>
      <c r="T9" s="5"/>
    </row>
    <row r="10" spans="1:20" ht="13.5" thickBot="1" x14ac:dyDescent="0.25">
      <c r="B10" s="176"/>
      <c r="C10" s="177"/>
      <c r="D10" s="177"/>
      <c r="E10" s="176"/>
      <c r="F10" s="176"/>
      <c r="G10" s="176"/>
      <c r="H10" s="176"/>
      <c r="I10" s="176"/>
      <c r="J10" s="176"/>
      <c r="K10" s="176"/>
      <c r="L10" s="176"/>
      <c r="M10" s="176"/>
      <c r="N10" s="176"/>
      <c r="O10" s="176"/>
      <c r="P10" s="176"/>
      <c r="Q10" s="176"/>
      <c r="R10" s="176"/>
    </row>
    <row r="11" spans="1:20" s="2" customFormat="1" ht="26.25" thickBot="1" x14ac:dyDescent="0.3">
      <c r="A11" s="226" t="s">
        <v>2630</v>
      </c>
      <c r="B11" s="290" t="s">
        <v>6</v>
      </c>
      <c r="C11" s="291" t="s">
        <v>9</v>
      </c>
      <c r="D11" s="292"/>
      <c r="E11" s="314" t="s">
        <v>2770</v>
      </c>
      <c r="F11" s="314" t="s">
        <v>2771</v>
      </c>
      <c r="G11" s="293" t="s">
        <v>2587</v>
      </c>
      <c r="H11" s="294" t="s">
        <v>2588</v>
      </c>
      <c r="I11" s="294" t="s">
        <v>2589</v>
      </c>
      <c r="J11" s="294" t="s">
        <v>2590</v>
      </c>
      <c r="K11" s="294" t="s">
        <v>2591</v>
      </c>
      <c r="L11" s="294" t="s">
        <v>2592</v>
      </c>
      <c r="M11" s="294" t="s">
        <v>6502</v>
      </c>
      <c r="N11" s="294" t="s">
        <v>6503</v>
      </c>
      <c r="O11" s="294" t="s">
        <v>6504</v>
      </c>
      <c r="P11" s="294" t="s">
        <v>6505</v>
      </c>
      <c r="Q11" s="294" t="s">
        <v>6506</v>
      </c>
      <c r="R11" s="295" t="s">
        <v>6507</v>
      </c>
    </row>
    <row r="12" spans="1:20" s="2" customFormat="1" x14ac:dyDescent="0.25">
      <c r="A12" s="226">
        <f>oR!C14</f>
        <v>1</v>
      </c>
      <c r="B12" s="2040" t="str">
        <f>oR!E14</f>
        <v>1.0</v>
      </c>
      <c r="C12" s="2041" t="str">
        <f>oR!G14</f>
        <v>SERVIÇOS INICIAIS</v>
      </c>
      <c r="D12" s="2042"/>
      <c r="E12" s="2043">
        <f>Resumo!K13</f>
        <v>1600.83</v>
      </c>
      <c r="F12" s="2044">
        <f ca="1">E12/$E$33</f>
        <v>6.1999999999999998E-3</v>
      </c>
      <c r="G12" s="296">
        <v>1</v>
      </c>
      <c r="H12" s="297"/>
      <c r="I12" s="298"/>
      <c r="J12" s="298"/>
      <c r="K12" s="298"/>
      <c r="L12" s="298"/>
      <c r="M12" s="298"/>
      <c r="N12" s="298"/>
      <c r="O12" s="298"/>
      <c r="P12" s="298"/>
      <c r="Q12" s="298"/>
      <c r="R12" s="299"/>
      <c r="S12" s="1363"/>
    </row>
    <row r="13" spans="1:20" s="2" customFormat="1" x14ac:dyDescent="0.25">
      <c r="A13" s="226">
        <f>A12</f>
        <v>1</v>
      </c>
      <c r="B13" s="2031"/>
      <c r="C13" s="2034"/>
      <c r="D13" s="2035"/>
      <c r="E13" s="2037"/>
      <c r="F13" s="2039"/>
      <c r="G13" s="300">
        <f>$E$12*G12</f>
        <v>1600.83</v>
      </c>
      <c r="H13" s="301">
        <f t="shared" ref="H13:R13" si="0">$E$12*H12</f>
        <v>0</v>
      </c>
      <c r="I13" s="301">
        <f t="shared" si="0"/>
        <v>0</v>
      </c>
      <c r="J13" s="301">
        <f t="shared" si="0"/>
        <v>0</v>
      </c>
      <c r="K13" s="301">
        <f t="shared" si="0"/>
        <v>0</v>
      </c>
      <c r="L13" s="301">
        <f t="shared" ref="L13:Q13" si="1">$E$12*L12</f>
        <v>0</v>
      </c>
      <c r="M13" s="301">
        <f t="shared" si="1"/>
        <v>0</v>
      </c>
      <c r="N13" s="301">
        <f t="shared" si="1"/>
        <v>0</v>
      </c>
      <c r="O13" s="301">
        <f t="shared" si="1"/>
        <v>0</v>
      </c>
      <c r="P13" s="301">
        <f t="shared" si="1"/>
        <v>0</v>
      </c>
      <c r="Q13" s="301">
        <f t="shared" si="1"/>
        <v>0</v>
      </c>
      <c r="R13" s="302">
        <f t="shared" si="0"/>
        <v>0</v>
      </c>
      <c r="S13" s="47"/>
    </row>
    <row r="14" spans="1:20" s="2" customFormat="1" x14ac:dyDescent="0.25">
      <c r="A14" s="226">
        <f ca="1">oR!C19</f>
        <v>1</v>
      </c>
      <c r="B14" s="2030" t="str">
        <f ca="1">oR!E19</f>
        <v>2.0</v>
      </c>
      <c r="C14" s="2032" t="str">
        <f>oR!G19</f>
        <v>DRENAGEM E OAC</v>
      </c>
      <c r="D14" s="2033"/>
      <c r="E14" s="2036">
        <f ca="1">Resumo!K14</f>
        <v>52567.37</v>
      </c>
      <c r="F14" s="2038">
        <f t="shared" ref="F14" ca="1" si="2">E14/$E$33</f>
        <v>0.2034</v>
      </c>
      <c r="G14" s="399">
        <v>0.5</v>
      </c>
      <c r="H14" s="400"/>
      <c r="I14" s="400">
        <v>0.5</v>
      </c>
      <c r="J14" s="400"/>
      <c r="K14" s="400"/>
      <c r="L14" s="400"/>
      <c r="M14" s="400"/>
      <c r="N14" s="400"/>
      <c r="O14" s="400"/>
      <c r="P14" s="400"/>
      <c r="Q14" s="400"/>
      <c r="R14" s="402"/>
      <c r="S14" s="1363"/>
    </row>
    <row r="15" spans="1:20" s="2" customFormat="1" x14ac:dyDescent="0.25">
      <c r="A15" s="226">
        <f t="shared" ref="A15" ca="1" si="3">A14</f>
        <v>1</v>
      </c>
      <c r="B15" s="2031"/>
      <c r="C15" s="2034"/>
      <c r="D15" s="2035"/>
      <c r="E15" s="2037"/>
      <c r="F15" s="2039"/>
      <c r="G15" s="300">
        <f ca="1">$E$14*G14</f>
        <v>26283.69</v>
      </c>
      <c r="H15" s="301">
        <f ca="1">$E$14*H14</f>
        <v>0</v>
      </c>
      <c r="I15" s="301">
        <f t="shared" ref="I15:K15" ca="1" si="4">$E$14*I14</f>
        <v>26283.69</v>
      </c>
      <c r="J15" s="301">
        <f t="shared" ca="1" si="4"/>
        <v>0</v>
      </c>
      <c r="K15" s="301">
        <f t="shared" ca="1" si="4"/>
        <v>0</v>
      </c>
      <c r="L15" s="301">
        <f t="shared" ref="L15:R15" ca="1" si="5">$E$14*L14</f>
        <v>0</v>
      </c>
      <c r="M15" s="301">
        <f t="shared" ca="1" si="5"/>
        <v>0</v>
      </c>
      <c r="N15" s="301">
        <f t="shared" ca="1" si="5"/>
        <v>0</v>
      </c>
      <c r="O15" s="301">
        <f t="shared" ca="1" si="5"/>
        <v>0</v>
      </c>
      <c r="P15" s="301">
        <f t="shared" ca="1" si="5"/>
        <v>0</v>
      </c>
      <c r="Q15" s="301">
        <f t="shared" ca="1" si="5"/>
        <v>0</v>
      </c>
      <c r="R15" s="302">
        <f t="shared" ca="1" si="5"/>
        <v>0</v>
      </c>
      <c r="S15" s="47"/>
    </row>
    <row r="16" spans="1:20" s="2" customFormat="1" x14ac:dyDescent="0.25">
      <c r="A16" s="377">
        <f>oR!C179</f>
        <v>1</v>
      </c>
      <c r="B16" s="2030" t="str">
        <f ca="1">oR!E179</f>
        <v>3.0</v>
      </c>
      <c r="C16" s="2032" t="str">
        <f>oR!G179</f>
        <v>TERRAPLENAGEM</v>
      </c>
      <c r="D16" s="2033"/>
      <c r="E16" s="2036">
        <f>Resumo!K15</f>
        <v>15389.94</v>
      </c>
      <c r="F16" s="2038">
        <f t="shared" ref="F16" ca="1" si="6">E16/$E$33</f>
        <v>5.9499999999999997E-2</v>
      </c>
      <c r="G16" s="399">
        <v>1</v>
      </c>
      <c r="H16" s="400"/>
      <c r="I16" s="400"/>
      <c r="J16" s="400"/>
      <c r="K16" s="400"/>
      <c r="L16" s="400"/>
      <c r="M16" s="400"/>
      <c r="N16" s="400"/>
      <c r="O16" s="400"/>
      <c r="P16" s="400"/>
      <c r="Q16" s="401"/>
      <c r="R16" s="402"/>
      <c r="S16" s="1363"/>
    </row>
    <row r="17" spans="1:19" s="2" customFormat="1" x14ac:dyDescent="0.25">
      <c r="A17" s="377">
        <f t="shared" ref="A17" si="7">A16</f>
        <v>1</v>
      </c>
      <c r="B17" s="2031"/>
      <c r="C17" s="2034"/>
      <c r="D17" s="2035"/>
      <c r="E17" s="2037"/>
      <c r="F17" s="2039"/>
      <c r="G17" s="300">
        <f>$E$16*G16</f>
        <v>15389.94</v>
      </c>
      <c r="H17" s="301">
        <f t="shared" ref="H17:R17" si="8">$E$16*H16</f>
        <v>0</v>
      </c>
      <c r="I17" s="301">
        <f t="shared" si="8"/>
        <v>0</v>
      </c>
      <c r="J17" s="301">
        <f t="shared" si="8"/>
        <v>0</v>
      </c>
      <c r="K17" s="301">
        <f t="shared" si="8"/>
        <v>0</v>
      </c>
      <c r="L17" s="301">
        <f t="shared" si="8"/>
        <v>0</v>
      </c>
      <c r="M17" s="301">
        <f t="shared" si="8"/>
        <v>0</v>
      </c>
      <c r="N17" s="301">
        <f t="shared" si="8"/>
        <v>0</v>
      </c>
      <c r="O17" s="301">
        <f t="shared" si="8"/>
        <v>0</v>
      </c>
      <c r="P17" s="301">
        <f t="shared" si="8"/>
        <v>0</v>
      </c>
      <c r="Q17" s="301">
        <f t="shared" ref="Q17" si="9">$E$16*Q16</f>
        <v>0</v>
      </c>
      <c r="R17" s="302">
        <f t="shared" si="8"/>
        <v>0</v>
      </c>
      <c r="S17" s="47"/>
    </row>
    <row r="18" spans="1:19" s="2" customFormat="1" x14ac:dyDescent="0.25">
      <c r="A18" s="377">
        <f>oR!C191</f>
        <v>1</v>
      </c>
      <c r="B18" s="2030" t="str">
        <f ca="1">oR!E191</f>
        <v>4.0</v>
      </c>
      <c r="C18" s="2032" t="str">
        <f>oR!G191</f>
        <v>PAVIMENTAÇÃO ASFÁLTICA</v>
      </c>
      <c r="D18" s="2033"/>
      <c r="E18" s="2036">
        <f>Resumo!K16</f>
        <v>181351.05</v>
      </c>
      <c r="F18" s="2038">
        <f t="shared" ref="F18" ca="1" si="10">E18/$E$33</f>
        <v>0.70169999999999999</v>
      </c>
      <c r="G18" s="399"/>
      <c r="H18" s="400">
        <v>0.5</v>
      </c>
      <c r="I18" s="400">
        <v>0.5</v>
      </c>
      <c r="J18" s="400"/>
      <c r="K18" s="400"/>
      <c r="L18" s="400"/>
      <c r="M18" s="400"/>
      <c r="N18" s="400"/>
      <c r="O18" s="400"/>
      <c r="P18" s="400"/>
      <c r="Q18" s="400"/>
      <c r="R18" s="402"/>
      <c r="S18" s="1363"/>
    </row>
    <row r="19" spans="1:19" s="2" customFormat="1" x14ac:dyDescent="0.25">
      <c r="A19" s="377">
        <f>A18</f>
        <v>1</v>
      </c>
      <c r="B19" s="2031"/>
      <c r="C19" s="2034"/>
      <c r="D19" s="2035"/>
      <c r="E19" s="2037"/>
      <c r="F19" s="2039"/>
      <c r="G19" s="300">
        <f>$E$18*G18</f>
        <v>0</v>
      </c>
      <c r="H19" s="301">
        <f t="shared" ref="H19:J19" si="11">$E$18*H18</f>
        <v>90675.53</v>
      </c>
      <c r="I19" s="301">
        <f t="shared" si="11"/>
        <v>90675.53</v>
      </c>
      <c r="J19" s="301">
        <f t="shared" si="11"/>
        <v>0</v>
      </c>
      <c r="K19" s="301">
        <f t="shared" ref="K19:R19" si="12">$E$18*K18</f>
        <v>0</v>
      </c>
      <c r="L19" s="301">
        <f t="shared" si="12"/>
        <v>0</v>
      </c>
      <c r="M19" s="301">
        <f t="shared" ref="M19:Q19" si="13">$E$18*M18</f>
        <v>0</v>
      </c>
      <c r="N19" s="301">
        <f t="shared" si="13"/>
        <v>0</v>
      </c>
      <c r="O19" s="301">
        <f t="shared" si="13"/>
        <v>0</v>
      </c>
      <c r="P19" s="301">
        <f t="shared" si="13"/>
        <v>0</v>
      </c>
      <c r="Q19" s="301">
        <f t="shared" si="13"/>
        <v>0</v>
      </c>
      <c r="R19" s="302">
        <f t="shared" si="12"/>
        <v>0</v>
      </c>
      <c r="S19" s="47"/>
    </row>
    <row r="20" spans="1:19" s="2" customFormat="1" hidden="1" x14ac:dyDescent="0.25">
      <c r="A20" s="377">
        <f>oR!C311</f>
        <v>0</v>
      </c>
      <c r="B20" s="2030" t="str">
        <f ca="1">oR!E311</f>
        <v>4.0</v>
      </c>
      <c r="C20" s="2032" t="str">
        <f>oR!G311</f>
        <v>MEIO-FIO E PASSEIOS</v>
      </c>
      <c r="D20" s="2033"/>
      <c r="E20" s="2036">
        <f>Resumo!K17</f>
        <v>0</v>
      </c>
      <c r="F20" s="2038">
        <f t="shared" ref="F20" ca="1" si="14">E20/$E$33</f>
        <v>0</v>
      </c>
      <c r="G20" s="399"/>
      <c r="H20" s="400"/>
      <c r="I20" s="400">
        <f>I18</f>
        <v>0.5</v>
      </c>
      <c r="J20" s="400">
        <f t="shared" ref="J20:M20" si="15">J18</f>
        <v>0</v>
      </c>
      <c r="K20" s="400">
        <f t="shared" si="15"/>
        <v>0</v>
      </c>
      <c r="L20" s="400">
        <f t="shared" si="15"/>
        <v>0</v>
      </c>
      <c r="M20" s="400">
        <f t="shared" si="15"/>
        <v>0</v>
      </c>
      <c r="N20" s="401"/>
      <c r="O20" s="401"/>
      <c r="P20" s="401"/>
      <c r="Q20" s="401"/>
      <c r="R20" s="402"/>
      <c r="S20" s="1363"/>
    </row>
    <row r="21" spans="1:19" s="2" customFormat="1" hidden="1" x14ac:dyDescent="0.25">
      <c r="A21" s="377">
        <f>A20</f>
        <v>0</v>
      </c>
      <c r="B21" s="2031"/>
      <c r="C21" s="2034"/>
      <c r="D21" s="2035"/>
      <c r="E21" s="2037"/>
      <c r="F21" s="2039"/>
      <c r="G21" s="300">
        <f>$E$20*G20</f>
        <v>0</v>
      </c>
      <c r="H21" s="301">
        <f t="shared" ref="H21" si="16">$E$20*H20</f>
        <v>0</v>
      </c>
      <c r="I21" s="301">
        <f t="shared" ref="I21:R21" si="17">$E$20*I20</f>
        <v>0</v>
      </c>
      <c r="J21" s="301">
        <f>$E$20*J20</f>
        <v>0</v>
      </c>
      <c r="K21" s="301">
        <f t="shared" si="17"/>
        <v>0</v>
      </c>
      <c r="L21" s="301">
        <f t="shared" ref="L21:Q21" si="18">$E$20*L20</f>
        <v>0</v>
      </c>
      <c r="M21" s="301">
        <f t="shared" si="18"/>
        <v>0</v>
      </c>
      <c r="N21" s="301">
        <f t="shared" si="18"/>
        <v>0</v>
      </c>
      <c r="O21" s="301">
        <f t="shared" si="18"/>
        <v>0</v>
      </c>
      <c r="P21" s="301">
        <f t="shared" si="18"/>
        <v>0</v>
      </c>
      <c r="Q21" s="301">
        <f t="shared" si="18"/>
        <v>0</v>
      </c>
      <c r="R21" s="302">
        <f t="shared" si="17"/>
        <v>0</v>
      </c>
      <c r="S21" s="47"/>
    </row>
    <row r="22" spans="1:19" s="2" customFormat="1" x14ac:dyDescent="0.25">
      <c r="A22" s="377">
        <f>oR!C323</f>
        <v>1</v>
      </c>
      <c r="B22" s="2030" t="str">
        <f ca="1">oR!E323</f>
        <v>5.0</v>
      </c>
      <c r="C22" s="2032" t="str">
        <f>oR!G323</f>
        <v>SINALIZAÇÃO</v>
      </c>
      <c r="D22" s="2033"/>
      <c r="E22" s="2036">
        <f>Resumo!K18</f>
        <v>7545.69</v>
      </c>
      <c r="F22" s="2038">
        <f t="shared" ref="F22" ca="1" si="19">E22/$E$33</f>
        <v>2.92E-2</v>
      </c>
      <c r="G22" s="399"/>
      <c r="H22" s="400"/>
      <c r="I22" s="400">
        <v>1</v>
      </c>
      <c r="J22" s="400"/>
      <c r="K22" s="401"/>
      <c r="L22" s="401"/>
      <c r="M22" s="401"/>
      <c r="N22" s="401"/>
      <c r="O22" s="401"/>
      <c r="P22" s="401"/>
      <c r="Q22" s="401"/>
      <c r="R22" s="402"/>
      <c r="S22" s="1363"/>
    </row>
    <row r="23" spans="1:19" s="2" customFormat="1" ht="13.5" thickBot="1" x14ac:dyDescent="0.3">
      <c r="A23" s="377">
        <f>A22</f>
        <v>1</v>
      </c>
      <c r="B23" s="2031"/>
      <c r="C23" s="2034"/>
      <c r="D23" s="2035"/>
      <c r="E23" s="2037"/>
      <c r="F23" s="2039"/>
      <c r="G23" s="300">
        <f>$E$22*G22</f>
        <v>0</v>
      </c>
      <c r="H23" s="301">
        <f t="shared" ref="H23" si="20">$E$22*H22</f>
        <v>0</v>
      </c>
      <c r="I23" s="301">
        <f t="shared" ref="I23:K23" si="21">$E$22*I22</f>
        <v>7545.69</v>
      </c>
      <c r="J23" s="301">
        <f>$E$22*J22</f>
        <v>0</v>
      </c>
      <c r="K23" s="301">
        <f t="shared" si="21"/>
        <v>0</v>
      </c>
      <c r="L23" s="301">
        <f t="shared" ref="L23:R23" si="22">$E$22*L22</f>
        <v>0</v>
      </c>
      <c r="M23" s="301">
        <f t="shared" si="22"/>
        <v>0</v>
      </c>
      <c r="N23" s="301">
        <f t="shared" si="22"/>
        <v>0</v>
      </c>
      <c r="O23" s="301">
        <f t="shared" si="22"/>
        <v>0</v>
      </c>
      <c r="P23" s="301">
        <f t="shared" si="22"/>
        <v>0</v>
      </c>
      <c r="Q23" s="301">
        <f t="shared" si="22"/>
        <v>0</v>
      </c>
      <c r="R23" s="302">
        <f t="shared" si="22"/>
        <v>0</v>
      </c>
      <c r="S23" s="47"/>
    </row>
    <row r="24" spans="1:19" s="2" customFormat="1" ht="13.5" hidden="1" thickBot="1" x14ac:dyDescent="0.3">
      <c r="A24" s="377">
        <f>oR!C351</f>
        <v>0</v>
      </c>
      <c r="B24" s="2030" t="str">
        <f ca="1">oR!E351</f>
        <v>5.0</v>
      </c>
      <c r="C24" s="2032" t="str">
        <f>oR!G351</f>
        <v>OBRAS COMPLEMENTARES</v>
      </c>
      <c r="D24" s="2033"/>
      <c r="E24" s="2036">
        <f>Resumo!K19</f>
        <v>0</v>
      </c>
      <c r="F24" s="2038">
        <f t="shared" ref="F24" ca="1" si="23">E24/$E$33</f>
        <v>0</v>
      </c>
      <c r="G24" s="399">
        <f>G14</f>
        <v>0.5</v>
      </c>
      <c r="H24" s="399">
        <f t="shared" ref="H24:J24" si="24">H14</f>
        <v>0</v>
      </c>
      <c r="I24" s="399">
        <f t="shared" si="24"/>
        <v>0.5</v>
      </c>
      <c r="J24" s="399">
        <f t="shared" si="24"/>
        <v>0</v>
      </c>
      <c r="K24" s="401"/>
      <c r="L24" s="401"/>
      <c r="M24" s="401"/>
      <c r="N24" s="401"/>
      <c r="O24" s="401"/>
      <c r="P24" s="401"/>
      <c r="Q24" s="401"/>
      <c r="R24" s="402"/>
      <c r="S24" s="1363"/>
    </row>
    <row r="25" spans="1:19" s="2" customFormat="1" ht="13.5" hidden="1" thickBot="1" x14ac:dyDescent="0.3">
      <c r="A25" s="377">
        <f>A24</f>
        <v>0</v>
      </c>
      <c r="B25" s="2031"/>
      <c r="C25" s="2034"/>
      <c r="D25" s="2035"/>
      <c r="E25" s="2037"/>
      <c r="F25" s="2039"/>
      <c r="G25" s="300">
        <f>$E$24*G24</f>
        <v>0</v>
      </c>
      <c r="H25" s="301">
        <f>$E$24*H24</f>
        <v>0</v>
      </c>
      <c r="I25" s="301">
        <f t="shared" ref="I25:R25" si="25">$E$24*I24</f>
        <v>0</v>
      </c>
      <c r="J25" s="301">
        <f t="shared" si="25"/>
        <v>0</v>
      </c>
      <c r="K25" s="301">
        <f t="shared" si="25"/>
        <v>0</v>
      </c>
      <c r="L25" s="301">
        <f t="shared" ref="L25:Q25" si="26">$E$24*L24</f>
        <v>0</v>
      </c>
      <c r="M25" s="301">
        <f t="shared" si="26"/>
        <v>0</v>
      </c>
      <c r="N25" s="301">
        <f t="shared" si="26"/>
        <v>0</v>
      </c>
      <c r="O25" s="301">
        <f t="shared" si="26"/>
        <v>0</v>
      </c>
      <c r="P25" s="301">
        <f t="shared" si="26"/>
        <v>0</v>
      </c>
      <c r="Q25" s="301">
        <f t="shared" si="26"/>
        <v>0</v>
      </c>
      <c r="R25" s="302">
        <f t="shared" si="25"/>
        <v>0</v>
      </c>
      <c r="S25" s="47"/>
    </row>
    <row r="26" spans="1:19" s="2" customFormat="1" ht="13.5" hidden="1" thickBot="1" x14ac:dyDescent="0.3">
      <c r="A26" s="420">
        <f>oR!C369</f>
        <v>0</v>
      </c>
      <c r="B26" s="2030" t="str">
        <f ca="1">oR!E369</f>
        <v>5.0</v>
      </c>
      <c r="C26" s="2032" t="str">
        <f>oR!G369</f>
        <v>OBRAS DE CONTENÇÃO</v>
      </c>
      <c r="D26" s="2033"/>
      <c r="E26" s="2036">
        <f>Resumo!K20</f>
        <v>0</v>
      </c>
      <c r="F26" s="2038">
        <f t="shared" ref="F26" ca="1" si="27">E26/$E$33</f>
        <v>0</v>
      </c>
      <c r="G26" s="399"/>
      <c r="H26" s="400"/>
      <c r="I26" s="400"/>
      <c r="J26" s="400"/>
      <c r="K26" s="401"/>
      <c r="L26" s="401"/>
      <c r="M26" s="401"/>
      <c r="N26" s="401"/>
      <c r="O26" s="401"/>
      <c r="P26" s="401"/>
      <c r="Q26" s="401"/>
      <c r="R26" s="402"/>
      <c r="S26" s="1363"/>
    </row>
    <row r="27" spans="1:19" s="2" customFormat="1" ht="13.5" hidden="1" thickBot="1" x14ac:dyDescent="0.3">
      <c r="A27" s="420">
        <f>A26</f>
        <v>0</v>
      </c>
      <c r="B27" s="2031"/>
      <c r="C27" s="2034"/>
      <c r="D27" s="2035"/>
      <c r="E27" s="2037"/>
      <c r="F27" s="2039"/>
      <c r="G27" s="300">
        <f>$E$26*G26</f>
        <v>0</v>
      </c>
      <c r="H27" s="300">
        <f t="shared" ref="H27" si="28">$E$26*H26</f>
        <v>0</v>
      </c>
      <c r="I27" s="300">
        <f t="shared" ref="I27:K27" si="29">$E$26*I26</f>
        <v>0</v>
      </c>
      <c r="J27" s="300">
        <f t="shared" si="29"/>
        <v>0</v>
      </c>
      <c r="K27" s="300">
        <f t="shared" si="29"/>
        <v>0</v>
      </c>
      <c r="L27" s="300">
        <f t="shared" ref="L27:Q27" si="30">$E$26*L26</f>
        <v>0</v>
      </c>
      <c r="M27" s="300">
        <f t="shared" si="30"/>
        <v>0</v>
      </c>
      <c r="N27" s="300">
        <f t="shared" si="30"/>
        <v>0</v>
      </c>
      <c r="O27" s="300">
        <f t="shared" si="30"/>
        <v>0</v>
      </c>
      <c r="P27" s="300">
        <f t="shared" si="30"/>
        <v>0</v>
      </c>
      <c r="Q27" s="300">
        <f t="shared" si="30"/>
        <v>0</v>
      </c>
      <c r="R27" s="302">
        <f t="shared" ref="R27" si="31">$E$24*R26</f>
        <v>0</v>
      </c>
      <c r="S27" s="47"/>
    </row>
    <row r="28" spans="1:19" s="2" customFormat="1" ht="13.5" hidden="1" thickBot="1" x14ac:dyDescent="0.3">
      <c r="A28" s="377">
        <f>oR!C375</f>
        <v>0</v>
      </c>
      <c r="B28" s="2030" t="str">
        <f ca="1">oR!E375</f>
        <v>5.0</v>
      </c>
      <c r="C28" s="2032" t="str">
        <f>oR!G375</f>
        <v>CONTROLE TECNOLÓGICO</v>
      </c>
      <c r="D28" s="2033"/>
      <c r="E28" s="2036">
        <f>Resumo!K21</f>
        <v>0</v>
      </c>
      <c r="F28" s="2038">
        <f t="shared" ref="F28" ca="1" si="32">E28/$E$33</f>
        <v>0</v>
      </c>
      <c r="G28" s="399"/>
      <c r="H28" s="400"/>
      <c r="I28" s="400"/>
      <c r="J28" s="400"/>
      <c r="K28" s="401"/>
      <c r="L28" s="401"/>
      <c r="M28" s="401"/>
      <c r="N28" s="401"/>
      <c r="O28" s="401"/>
      <c r="P28" s="401"/>
      <c r="Q28" s="401"/>
      <c r="R28" s="402"/>
      <c r="S28" s="1363"/>
    </row>
    <row r="29" spans="1:19" s="2" customFormat="1" ht="13.5" hidden="1" thickBot="1" x14ac:dyDescent="0.3">
      <c r="A29" s="377">
        <f>A28</f>
        <v>0</v>
      </c>
      <c r="B29" s="2031"/>
      <c r="C29" s="2034"/>
      <c r="D29" s="2035"/>
      <c r="E29" s="2037"/>
      <c r="F29" s="2039"/>
      <c r="G29" s="300">
        <f>$E$28*G28</f>
        <v>0</v>
      </c>
      <c r="H29" s="301">
        <f t="shared" ref="H29" si="33">$E$28*H28</f>
        <v>0</v>
      </c>
      <c r="I29" s="301">
        <f t="shared" ref="I29:R29" si="34">$E$28*I28</f>
        <v>0</v>
      </c>
      <c r="J29" s="301">
        <f t="shared" si="34"/>
        <v>0</v>
      </c>
      <c r="K29" s="301">
        <f t="shared" si="34"/>
        <v>0</v>
      </c>
      <c r="L29" s="301">
        <f t="shared" ref="L29:Q29" si="35">$E$28*L28</f>
        <v>0</v>
      </c>
      <c r="M29" s="301">
        <f t="shared" si="35"/>
        <v>0</v>
      </c>
      <c r="N29" s="301">
        <f t="shared" si="35"/>
        <v>0</v>
      </c>
      <c r="O29" s="301">
        <f t="shared" si="35"/>
        <v>0</v>
      </c>
      <c r="P29" s="301">
        <f t="shared" si="35"/>
        <v>0</v>
      </c>
      <c r="Q29" s="301">
        <f t="shared" si="35"/>
        <v>0</v>
      </c>
      <c r="R29" s="302">
        <f t="shared" si="34"/>
        <v>0</v>
      </c>
      <c r="S29" s="47"/>
    </row>
    <row r="30" spans="1:19" s="2" customFormat="1" ht="13.5" hidden="1" thickBot="1" x14ac:dyDescent="0.3">
      <c r="A30" s="999">
        <f>oR!C381</f>
        <v>0</v>
      </c>
      <c r="B30" s="2030" t="str">
        <f ca="1">oR!E381</f>
        <v>5.0</v>
      </c>
      <c r="C30" s="2032" t="str">
        <f>oR!G381</f>
        <v>SERVIÇOS TÉCNICOS AMBIENTAIS</v>
      </c>
      <c r="D30" s="2033"/>
      <c r="E30" s="2036">
        <f>Resumo!K22</f>
        <v>0</v>
      </c>
      <c r="F30" s="2038">
        <f t="shared" ref="F30" ca="1" si="36">E30/$E$33</f>
        <v>0</v>
      </c>
      <c r="G30" s="399">
        <v>0.15</v>
      </c>
      <c r="H30" s="400">
        <f>G30</f>
        <v>0.15</v>
      </c>
      <c r="I30" s="400">
        <f t="shared" ref="I30:L30" si="37">H30</f>
        <v>0.15</v>
      </c>
      <c r="J30" s="400">
        <f t="shared" si="37"/>
        <v>0.15</v>
      </c>
      <c r="K30" s="400">
        <f t="shared" si="37"/>
        <v>0.15</v>
      </c>
      <c r="L30" s="400">
        <f t="shared" si="37"/>
        <v>0.15</v>
      </c>
      <c r="M30" s="400">
        <f>1-G30-H30-I30-J30-K30-L30</f>
        <v>0.1</v>
      </c>
      <c r="N30" s="400"/>
      <c r="O30" s="400"/>
      <c r="P30" s="400"/>
      <c r="Q30" s="400"/>
      <c r="R30" s="402"/>
      <c r="S30" s="1363"/>
    </row>
    <row r="31" spans="1:19" s="2" customFormat="1" ht="13.5" hidden="1" thickBot="1" x14ac:dyDescent="0.3">
      <c r="A31" s="999">
        <f>A30</f>
        <v>0</v>
      </c>
      <c r="B31" s="2031"/>
      <c r="C31" s="2034"/>
      <c r="D31" s="2035"/>
      <c r="E31" s="2037"/>
      <c r="F31" s="2039"/>
      <c r="G31" s="300">
        <f>$E$30*G30</f>
        <v>0</v>
      </c>
      <c r="H31" s="301">
        <f t="shared" ref="H31:K31" si="38">$E$30*H30</f>
        <v>0</v>
      </c>
      <c r="I31" s="301">
        <f t="shared" si="38"/>
        <v>0</v>
      </c>
      <c r="J31" s="301">
        <f t="shared" si="38"/>
        <v>0</v>
      </c>
      <c r="K31" s="301">
        <f t="shared" si="38"/>
        <v>0</v>
      </c>
      <c r="L31" s="301">
        <f t="shared" ref="L31:R31" si="39">$E$30*L30</f>
        <v>0</v>
      </c>
      <c r="M31" s="301">
        <f t="shared" si="39"/>
        <v>0</v>
      </c>
      <c r="N31" s="301">
        <f t="shared" si="39"/>
        <v>0</v>
      </c>
      <c r="O31" s="301">
        <f t="shared" si="39"/>
        <v>0</v>
      </c>
      <c r="P31" s="301">
        <f t="shared" si="39"/>
        <v>0</v>
      </c>
      <c r="Q31" s="301">
        <f t="shared" si="39"/>
        <v>0</v>
      </c>
      <c r="R31" s="302">
        <f t="shared" si="39"/>
        <v>0</v>
      </c>
      <c r="S31" s="47"/>
    </row>
    <row r="32" spans="1:19" x14ac:dyDescent="0.2">
      <c r="A32" s="225">
        <v>1</v>
      </c>
      <c r="B32" s="1993" t="s">
        <v>2593</v>
      </c>
      <c r="C32" s="1994"/>
      <c r="D32" s="1994"/>
      <c r="E32" s="304"/>
      <c r="F32" s="305">
        <f ca="1">E33/E33</f>
        <v>1</v>
      </c>
      <c r="G32" s="306">
        <f t="shared" ref="G32:R32" ca="1" si="40">G33/$E$33</f>
        <v>0.16739999999999999</v>
      </c>
      <c r="H32" s="307">
        <f t="shared" ca="1" si="40"/>
        <v>0.3508</v>
      </c>
      <c r="I32" s="307">
        <f t="shared" ca="1" si="40"/>
        <v>0.48170000000000002</v>
      </c>
      <c r="J32" s="307">
        <f t="shared" ca="1" si="40"/>
        <v>0</v>
      </c>
      <c r="K32" s="307">
        <f t="shared" ca="1" si="40"/>
        <v>0</v>
      </c>
      <c r="L32" s="307">
        <f t="shared" ca="1" si="40"/>
        <v>0</v>
      </c>
      <c r="M32" s="307">
        <f ca="1">1-L34</f>
        <v>1E-4</v>
      </c>
      <c r="N32" s="307">
        <f t="shared" ca="1" si="40"/>
        <v>0</v>
      </c>
      <c r="O32" s="307">
        <f t="shared" ca="1" si="40"/>
        <v>0</v>
      </c>
      <c r="P32" s="307">
        <f t="shared" ca="1" si="40"/>
        <v>0</v>
      </c>
      <c r="Q32" s="307">
        <f t="shared" ca="1" si="40"/>
        <v>0</v>
      </c>
      <c r="R32" s="308">
        <f t="shared" ca="1" si="40"/>
        <v>0</v>
      </c>
      <c r="S32" s="455"/>
    </row>
    <row r="33" spans="1:24" ht="13.5" thickBot="1" x14ac:dyDescent="0.25">
      <c r="A33" s="225">
        <v>1</v>
      </c>
      <c r="B33" s="1995"/>
      <c r="C33" s="1996"/>
      <c r="D33" s="1996"/>
      <c r="E33" s="309">
        <f ca="1">SUM(E12:E31)</f>
        <v>258454.88</v>
      </c>
      <c r="F33" s="310"/>
      <c r="G33" s="311">
        <f ca="1">SUM(G29,G25,G23,G21,G19,G17,G15,G13,G27,G31)</f>
        <v>43274.46</v>
      </c>
      <c r="H33" s="312">
        <f t="shared" ref="H33:K33" ca="1" si="41">SUM(H29,H25,H23,H21,H19,H17,H15,H13,H27,H31)</f>
        <v>90675.53</v>
      </c>
      <c r="I33" s="312">
        <f t="shared" ca="1" si="41"/>
        <v>124504.91</v>
      </c>
      <c r="J33" s="312">
        <f t="shared" ca="1" si="41"/>
        <v>0</v>
      </c>
      <c r="K33" s="312">
        <f t="shared" ca="1" si="41"/>
        <v>0</v>
      </c>
      <c r="L33" s="312">
        <f ca="1">SUM(L29,L25,L23,L21,L19,L17,L15,L13,L27,L31)</f>
        <v>0</v>
      </c>
      <c r="M33" s="312">
        <f t="shared" ref="M33:N33" ca="1" si="42">SUM(M29,M25,M23,M21,M19,M17,M15,M13,M27,M31)</f>
        <v>0</v>
      </c>
      <c r="N33" s="312">
        <f t="shared" ca="1" si="42"/>
        <v>0</v>
      </c>
      <c r="O33" s="312">
        <f t="shared" ref="O33:R33" ca="1" si="43">SUM(O29,O25,O23,O21,O19,O17,O15,O13,O27,O31)</f>
        <v>0</v>
      </c>
      <c r="P33" s="312">
        <f t="shared" ca="1" si="43"/>
        <v>0</v>
      </c>
      <c r="Q33" s="312">
        <f t="shared" ca="1" si="43"/>
        <v>0</v>
      </c>
      <c r="R33" s="313">
        <f t="shared" ca="1" si="43"/>
        <v>0</v>
      </c>
    </row>
    <row r="34" spans="1:24" x14ac:dyDescent="0.2">
      <c r="A34" s="225">
        <v>1</v>
      </c>
      <c r="B34" s="1993" t="s">
        <v>2594</v>
      </c>
      <c r="C34" s="1994"/>
      <c r="D34" s="1994"/>
      <c r="E34" s="304"/>
      <c r="F34" s="305">
        <f ca="1">E35/$E$33</f>
        <v>1</v>
      </c>
      <c r="G34" s="306">
        <f ca="1">G32</f>
        <v>0.16739999999999999</v>
      </c>
      <c r="H34" s="307">
        <f t="shared" ref="H34:J34" ca="1" si="44">H32+G34</f>
        <v>0.51819999999999999</v>
      </c>
      <c r="I34" s="307">
        <f ca="1">I32+H34</f>
        <v>0.99990000000000001</v>
      </c>
      <c r="J34" s="307">
        <f t="shared" ca="1" si="44"/>
        <v>0.99990000000000001</v>
      </c>
      <c r="K34" s="307">
        <f t="shared" ref="K34" ca="1" si="45">K32+J34</f>
        <v>0.99990000000000001</v>
      </c>
      <c r="L34" s="307">
        <f t="shared" ref="L34:L35" ca="1" si="46">L32+K34</f>
        <v>0.99990000000000001</v>
      </c>
      <c r="M34" s="307">
        <f ca="1">M32+L34</f>
        <v>1</v>
      </c>
      <c r="N34" s="307">
        <f t="shared" ref="N34" ca="1" si="47">N32+M34</f>
        <v>1</v>
      </c>
      <c r="O34" s="307">
        <f t="shared" ref="O34:O35" ca="1" si="48">O32+N34</f>
        <v>1</v>
      </c>
      <c r="P34" s="307">
        <f t="shared" ref="P34:P35" ca="1" si="49">P32+O34</f>
        <v>1</v>
      </c>
      <c r="Q34" s="307">
        <f t="shared" ref="Q34:Q35" ca="1" si="50">Q32+P34</f>
        <v>1</v>
      </c>
      <c r="R34" s="308">
        <f t="shared" ref="R34:R35" ca="1" si="51">R32+Q34</f>
        <v>1</v>
      </c>
    </row>
    <row r="35" spans="1:24" ht="13.5" thickBot="1" x14ac:dyDescent="0.25">
      <c r="A35" s="225">
        <v>1</v>
      </c>
      <c r="B35" s="1995"/>
      <c r="C35" s="1996"/>
      <c r="D35" s="1996"/>
      <c r="E35" s="309">
        <f ca="1">E33</f>
        <v>258454.88</v>
      </c>
      <c r="F35" s="310"/>
      <c r="G35" s="311">
        <f ca="1">G33</f>
        <v>43274.46</v>
      </c>
      <c r="H35" s="312">
        <f t="shared" ref="H35:I35" ca="1" si="52">H33+G35</f>
        <v>133949.99</v>
      </c>
      <c r="I35" s="312">
        <f t="shared" ca="1" si="52"/>
        <v>258454.9</v>
      </c>
      <c r="J35" s="312">
        <f t="shared" ref="J35:K35" ca="1" si="53">J33+I35</f>
        <v>258454.9</v>
      </c>
      <c r="K35" s="312">
        <f t="shared" ca="1" si="53"/>
        <v>258454.9</v>
      </c>
      <c r="L35" s="312">
        <f t="shared" ca="1" si="46"/>
        <v>258454.9</v>
      </c>
      <c r="M35" s="312">
        <f t="shared" ref="M35" ca="1" si="54">M33+L35</f>
        <v>258454.9</v>
      </c>
      <c r="N35" s="312">
        <f t="shared" ref="N35" ca="1" si="55">N33+M35</f>
        <v>258454.9</v>
      </c>
      <c r="O35" s="312">
        <f t="shared" ca="1" si="48"/>
        <v>258454.9</v>
      </c>
      <c r="P35" s="312">
        <f t="shared" ca="1" si="49"/>
        <v>258454.9</v>
      </c>
      <c r="Q35" s="312">
        <f t="shared" ca="1" si="50"/>
        <v>258454.9</v>
      </c>
      <c r="R35" s="313">
        <f t="shared" ca="1" si="51"/>
        <v>258454.9</v>
      </c>
      <c r="S35" s="161">
        <f ca="1">E33-R35</f>
        <v>-0.02</v>
      </c>
      <c r="X35" s="303"/>
    </row>
    <row r="36" spans="1:24" s="2" customFormat="1" ht="26.25" thickBot="1" x14ac:dyDescent="0.3">
      <c r="A36" s="1331" t="s">
        <v>2630</v>
      </c>
      <c r="B36" s="290" t="s">
        <v>6</v>
      </c>
      <c r="C36" s="291" t="s">
        <v>9</v>
      </c>
      <c r="D36" s="292"/>
      <c r="E36" s="314" t="s">
        <v>2770</v>
      </c>
      <c r="F36" s="314" t="s">
        <v>2771</v>
      </c>
      <c r="G36" s="293" t="s">
        <v>7165</v>
      </c>
      <c r="H36" s="294" t="s">
        <v>7166</v>
      </c>
      <c r="I36" s="294" t="s">
        <v>7167</v>
      </c>
      <c r="J36" s="294" t="s">
        <v>7168</v>
      </c>
      <c r="K36" s="294" t="s">
        <v>7169</v>
      </c>
      <c r="L36" s="294" t="s">
        <v>7170</v>
      </c>
      <c r="M36" s="294" t="s">
        <v>7171</v>
      </c>
      <c r="N36" s="294" t="s">
        <v>7172</v>
      </c>
      <c r="O36" s="294" t="s">
        <v>7173</v>
      </c>
      <c r="P36" s="294" t="s">
        <v>7174</v>
      </c>
      <c r="Q36" s="294" t="s">
        <v>7175</v>
      </c>
      <c r="R36" s="295" t="s">
        <v>7176</v>
      </c>
    </row>
    <row r="37" spans="1:24" s="2" customFormat="1" hidden="1" x14ac:dyDescent="0.25">
      <c r="A37" s="1331">
        <f ca="1">oR!C39</f>
        <v>0</v>
      </c>
      <c r="B37" s="2040" t="str">
        <f>B12</f>
        <v>1.0</v>
      </c>
      <c r="C37" s="2041" t="str">
        <f t="shared" ref="C37:D37" si="56">C12</f>
        <v>SERVIÇOS INICIAIS</v>
      </c>
      <c r="D37" s="2042">
        <f t="shared" si="56"/>
        <v>0</v>
      </c>
      <c r="E37" s="2043">
        <f>E12</f>
        <v>1600.83</v>
      </c>
      <c r="F37" s="2044">
        <f ca="1">E37/$E$33</f>
        <v>6.1999999999999998E-3</v>
      </c>
      <c r="G37" s="296"/>
      <c r="H37" s="297"/>
      <c r="I37" s="298"/>
      <c r="J37" s="298"/>
      <c r="K37" s="298"/>
      <c r="L37" s="298"/>
      <c r="M37" s="298"/>
      <c r="N37" s="298"/>
      <c r="O37" s="298"/>
      <c r="P37" s="298"/>
      <c r="Q37" s="298"/>
      <c r="R37" s="299"/>
      <c r="S37" s="1363">
        <f>SUM(G37:R37,G12:R12)</f>
        <v>1</v>
      </c>
      <c r="T37" s="154"/>
    </row>
    <row r="38" spans="1:24" s="2" customFormat="1" hidden="1" x14ac:dyDescent="0.25">
      <c r="A38" s="1331">
        <f ca="1">A37</f>
        <v>0</v>
      </c>
      <c r="B38" s="2031"/>
      <c r="C38" s="2034"/>
      <c r="D38" s="2035"/>
      <c r="E38" s="2037"/>
      <c r="F38" s="2039"/>
      <c r="G38" s="300">
        <f>$E$12*G37</f>
        <v>0</v>
      </c>
      <c r="H38" s="301">
        <f t="shared" ref="H38:R38" si="57">$E$12*H37</f>
        <v>0</v>
      </c>
      <c r="I38" s="301">
        <f t="shared" si="57"/>
        <v>0</v>
      </c>
      <c r="J38" s="301">
        <f t="shared" si="57"/>
        <v>0</v>
      </c>
      <c r="K38" s="301">
        <f t="shared" si="57"/>
        <v>0</v>
      </c>
      <c r="L38" s="301">
        <f t="shared" si="57"/>
        <v>0</v>
      </c>
      <c r="M38" s="301">
        <f t="shared" si="57"/>
        <v>0</v>
      </c>
      <c r="N38" s="301">
        <f t="shared" si="57"/>
        <v>0</v>
      </c>
      <c r="O38" s="301">
        <f t="shared" si="57"/>
        <v>0</v>
      </c>
      <c r="P38" s="301">
        <f t="shared" si="57"/>
        <v>0</v>
      </c>
      <c r="Q38" s="301">
        <f t="shared" si="57"/>
        <v>0</v>
      </c>
      <c r="R38" s="302">
        <f t="shared" si="57"/>
        <v>0</v>
      </c>
      <c r="S38" s="315">
        <f t="shared" ref="S38:S56" si="58">SUM(G38:R38,G13:R13)</f>
        <v>1600.83</v>
      </c>
      <c r="T38" s="47">
        <f t="shared" ref="T38" si="59">S13+S38-E37</f>
        <v>0</v>
      </c>
    </row>
    <row r="39" spans="1:24" s="2" customFormat="1" hidden="1" x14ac:dyDescent="0.25">
      <c r="A39" s="1331">
        <f ca="1">oR!C44</f>
        <v>0</v>
      </c>
      <c r="B39" s="2030" t="str">
        <f t="shared" ref="B39:E39" ca="1" si="60">B14</f>
        <v>2.0</v>
      </c>
      <c r="C39" s="2032" t="str">
        <f t="shared" si="60"/>
        <v>DRENAGEM E OAC</v>
      </c>
      <c r="D39" s="2033">
        <f t="shared" si="60"/>
        <v>0</v>
      </c>
      <c r="E39" s="2036">
        <f t="shared" ca="1" si="60"/>
        <v>52567.37</v>
      </c>
      <c r="F39" s="2038">
        <f t="shared" ref="F39" ca="1" si="61">E39/$E$33</f>
        <v>0.2034</v>
      </c>
      <c r="G39" s="399"/>
      <c r="H39" s="400"/>
      <c r="I39" s="400"/>
      <c r="J39" s="400"/>
      <c r="K39" s="400"/>
      <c r="L39" s="400"/>
      <c r="M39" s="400"/>
      <c r="N39" s="400"/>
      <c r="O39" s="400"/>
      <c r="P39" s="400"/>
      <c r="Q39" s="400"/>
      <c r="R39" s="402"/>
      <c r="S39" s="1363">
        <f t="shared" si="58"/>
        <v>1</v>
      </c>
      <c r="T39" s="154">
        <f t="shared" ref="T39" si="62">S14+S39</f>
        <v>1</v>
      </c>
    </row>
    <row r="40" spans="1:24" s="2" customFormat="1" hidden="1" x14ac:dyDescent="0.25">
      <c r="A40" s="1331">
        <f t="shared" ref="A40" ca="1" si="63">A39</f>
        <v>0</v>
      </c>
      <c r="B40" s="2031"/>
      <c r="C40" s="2034"/>
      <c r="D40" s="2035"/>
      <c r="E40" s="2037"/>
      <c r="F40" s="2039"/>
      <c r="G40" s="300">
        <f ca="1">$E$14*G39</f>
        <v>0</v>
      </c>
      <c r="H40" s="301">
        <f ca="1">$E$14*H39</f>
        <v>0</v>
      </c>
      <c r="I40" s="301">
        <f t="shared" ref="I40:J40" ca="1" si="64">$E$14*I39</f>
        <v>0</v>
      </c>
      <c r="J40" s="301">
        <f t="shared" ca="1" si="64"/>
        <v>0</v>
      </c>
      <c r="K40" s="301">
        <f t="shared" ref="K40:R40" ca="1" si="65">$E$14*K39</f>
        <v>0</v>
      </c>
      <c r="L40" s="301">
        <f t="shared" ca="1" si="65"/>
        <v>0</v>
      </c>
      <c r="M40" s="301">
        <f t="shared" ca="1" si="65"/>
        <v>0</v>
      </c>
      <c r="N40" s="301">
        <f t="shared" ca="1" si="65"/>
        <v>0</v>
      </c>
      <c r="O40" s="301">
        <f t="shared" ca="1" si="65"/>
        <v>0</v>
      </c>
      <c r="P40" s="301">
        <f t="shared" ca="1" si="65"/>
        <v>0</v>
      </c>
      <c r="Q40" s="301">
        <f t="shared" ca="1" si="65"/>
        <v>0</v>
      </c>
      <c r="R40" s="302">
        <f t="shared" ca="1" si="65"/>
        <v>0</v>
      </c>
      <c r="S40" s="315">
        <f t="shared" ca="1" si="58"/>
        <v>52567.38</v>
      </c>
      <c r="T40" s="47">
        <f ca="1">S15+S40-E39</f>
        <v>0.01</v>
      </c>
    </row>
    <row r="41" spans="1:24" s="2" customFormat="1" hidden="1" x14ac:dyDescent="0.25">
      <c r="A41" s="1331">
        <f>oR!C204</f>
        <v>0</v>
      </c>
      <c r="B41" s="2030" t="str">
        <f t="shared" ref="B41:E41" ca="1" si="66">B16</f>
        <v>3.0</v>
      </c>
      <c r="C41" s="2032" t="str">
        <f t="shared" si="66"/>
        <v>TERRAPLENAGEM</v>
      </c>
      <c r="D41" s="2033">
        <f t="shared" si="66"/>
        <v>0</v>
      </c>
      <c r="E41" s="2036">
        <f t="shared" si="66"/>
        <v>15389.94</v>
      </c>
      <c r="F41" s="2038">
        <f t="shared" ref="F41" ca="1" si="67">E41/$E$33</f>
        <v>5.9499999999999997E-2</v>
      </c>
      <c r="G41" s="399"/>
      <c r="H41" s="400"/>
      <c r="I41" s="400"/>
      <c r="J41" s="400"/>
      <c r="K41" s="401"/>
      <c r="L41" s="401"/>
      <c r="M41" s="401"/>
      <c r="N41" s="401"/>
      <c r="O41" s="401"/>
      <c r="P41" s="401"/>
      <c r="Q41" s="401"/>
      <c r="R41" s="402"/>
      <c r="S41" s="1363">
        <f t="shared" si="58"/>
        <v>1</v>
      </c>
      <c r="T41" s="154">
        <f t="shared" ref="T41" si="68">S16+S41</f>
        <v>1</v>
      </c>
    </row>
    <row r="42" spans="1:24" s="2" customFormat="1" hidden="1" x14ac:dyDescent="0.25">
      <c r="A42" s="1331">
        <f t="shared" ref="A42" si="69">A41</f>
        <v>0</v>
      </c>
      <c r="B42" s="2031"/>
      <c r="C42" s="2034"/>
      <c r="D42" s="2035"/>
      <c r="E42" s="2037"/>
      <c r="F42" s="2039"/>
      <c r="G42" s="300">
        <f>$E$16*G41</f>
        <v>0</v>
      </c>
      <c r="H42" s="301">
        <f t="shared" ref="H42:J42" si="70">$E$16*H41</f>
        <v>0</v>
      </c>
      <c r="I42" s="301">
        <f t="shared" si="70"/>
        <v>0</v>
      </c>
      <c r="J42" s="301">
        <f t="shared" si="70"/>
        <v>0</v>
      </c>
      <c r="K42" s="301">
        <f t="shared" ref="K42:R42" si="71">$E$16*K41</f>
        <v>0</v>
      </c>
      <c r="L42" s="301">
        <f t="shared" si="71"/>
        <v>0</v>
      </c>
      <c r="M42" s="301">
        <f t="shared" si="71"/>
        <v>0</v>
      </c>
      <c r="N42" s="301">
        <f t="shared" si="71"/>
        <v>0</v>
      </c>
      <c r="O42" s="301">
        <f t="shared" si="71"/>
        <v>0</v>
      </c>
      <c r="P42" s="301">
        <f t="shared" si="71"/>
        <v>0</v>
      </c>
      <c r="Q42" s="301">
        <f t="shared" si="71"/>
        <v>0</v>
      </c>
      <c r="R42" s="302">
        <f t="shared" si="71"/>
        <v>0</v>
      </c>
      <c r="S42" s="315">
        <f t="shared" si="58"/>
        <v>15389.94</v>
      </c>
      <c r="T42" s="47">
        <f t="shared" ref="T42" si="72">S17+S42-E41</f>
        <v>0</v>
      </c>
    </row>
    <row r="43" spans="1:24" s="2" customFormat="1" x14ac:dyDescent="0.25">
      <c r="A43" s="1331">
        <f>oR!C216</f>
        <v>1</v>
      </c>
      <c r="B43" s="2030" t="str">
        <f t="shared" ref="B43:E43" ca="1" si="73">B18</f>
        <v>4.0</v>
      </c>
      <c r="C43" s="2032" t="str">
        <f t="shared" si="73"/>
        <v>PAVIMENTAÇÃO ASFÁLTICA</v>
      </c>
      <c r="D43" s="2033">
        <f t="shared" si="73"/>
        <v>0</v>
      </c>
      <c r="E43" s="2036">
        <f t="shared" si="73"/>
        <v>181351.05</v>
      </c>
      <c r="F43" s="2038">
        <f t="shared" ref="F43" ca="1" si="74">E43/$E$33</f>
        <v>0.70169999999999999</v>
      </c>
      <c r="G43" s="399"/>
      <c r="H43" s="400"/>
      <c r="I43" s="400"/>
      <c r="J43" s="400"/>
      <c r="K43" s="400"/>
      <c r="L43" s="400"/>
      <c r="M43" s="400"/>
      <c r="N43" s="400"/>
      <c r="O43" s="400"/>
      <c r="P43" s="400"/>
      <c r="Q43" s="400"/>
      <c r="R43" s="402"/>
      <c r="S43" s="1363">
        <f t="shared" si="58"/>
        <v>1</v>
      </c>
      <c r="T43" s="154">
        <f t="shared" ref="T43" si="75">S18+S43</f>
        <v>1</v>
      </c>
    </row>
    <row r="44" spans="1:24" s="2" customFormat="1" x14ac:dyDescent="0.25">
      <c r="A44" s="1331">
        <f>A43</f>
        <v>1</v>
      </c>
      <c r="B44" s="2031"/>
      <c r="C44" s="2034"/>
      <c r="D44" s="2035"/>
      <c r="E44" s="2037"/>
      <c r="F44" s="2039"/>
      <c r="G44" s="300">
        <f>$E$18*G43</f>
        <v>0</v>
      </c>
      <c r="H44" s="301">
        <f t="shared" ref="H44:P44" si="76">$E$18*H43</f>
        <v>0</v>
      </c>
      <c r="I44" s="301">
        <f t="shared" si="76"/>
        <v>0</v>
      </c>
      <c r="J44" s="301">
        <f t="shared" si="76"/>
        <v>0</v>
      </c>
      <c r="K44" s="301">
        <f t="shared" si="76"/>
        <v>0</v>
      </c>
      <c r="L44" s="301">
        <f t="shared" si="76"/>
        <v>0</v>
      </c>
      <c r="M44" s="301">
        <f t="shared" si="76"/>
        <v>0</v>
      </c>
      <c r="N44" s="301">
        <f t="shared" si="76"/>
        <v>0</v>
      </c>
      <c r="O44" s="301">
        <f t="shared" si="76"/>
        <v>0</v>
      </c>
      <c r="P44" s="301">
        <f t="shared" si="76"/>
        <v>0</v>
      </c>
      <c r="Q44" s="301">
        <f t="shared" ref="Q44:R44" si="77">$E$18*Q43</f>
        <v>0</v>
      </c>
      <c r="R44" s="302">
        <f t="shared" si="77"/>
        <v>0</v>
      </c>
      <c r="S44" s="315">
        <f t="shared" si="58"/>
        <v>181351.06</v>
      </c>
      <c r="T44" s="47">
        <f t="shared" ref="T44" si="78">S19+S44-E43</f>
        <v>0.01</v>
      </c>
    </row>
    <row r="45" spans="1:24" s="2" customFormat="1" hidden="1" x14ac:dyDescent="0.25">
      <c r="A45" s="1331">
        <f>oR!C336</f>
        <v>0</v>
      </c>
      <c r="B45" s="2030" t="str">
        <f t="shared" ref="B45:E45" ca="1" si="79">B20</f>
        <v>4.0</v>
      </c>
      <c r="C45" s="2032" t="str">
        <f t="shared" si="79"/>
        <v>MEIO-FIO E PASSEIOS</v>
      </c>
      <c r="D45" s="2033">
        <f t="shared" si="79"/>
        <v>0</v>
      </c>
      <c r="E45" s="2036">
        <f t="shared" si="79"/>
        <v>0</v>
      </c>
      <c r="F45" s="2038">
        <f t="shared" ref="F45" ca="1" si="80">E45/$E$33</f>
        <v>0</v>
      </c>
      <c r="G45" s="399"/>
      <c r="H45" s="400"/>
      <c r="I45" s="400"/>
      <c r="J45" s="400">
        <v>0.25</v>
      </c>
      <c r="K45" s="401">
        <v>0.25</v>
      </c>
      <c r="L45" s="401">
        <v>0.25</v>
      </c>
      <c r="M45" s="401">
        <v>0.25</v>
      </c>
      <c r="N45" s="401"/>
      <c r="O45" s="401"/>
      <c r="P45" s="401"/>
      <c r="Q45" s="401"/>
      <c r="R45" s="402"/>
      <c r="S45" s="1363">
        <f t="shared" si="58"/>
        <v>1.5</v>
      </c>
      <c r="T45" s="154">
        <f t="shared" ref="T45" si="81">S20+S45</f>
        <v>1.5</v>
      </c>
    </row>
    <row r="46" spans="1:24" s="2" customFormat="1" hidden="1" x14ac:dyDescent="0.25">
      <c r="A46" s="1331">
        <f>A45</f>
        <v>0</v>
      </c>
      <c r="B46" s="2031"/>
      <c r="C46" s="2034"/>
      <c r="D46" s="2035"/>
      <c r="E46" s="2037"/>
      <c r="F46" s="2039"/>
      <c r="G46" s="300">
        <f>$E$20*G45</f>
        <v>0</v>
      </c>
      <c r="H46" s="301">
        <f t="shared" ref="H46:I46" si="82">$E$20*H45</f>
        <v>0</v>
      </c>
      <c r="I46" s="301">
        <f t="shared" si="82"/>
        <v>0</v>
      </c>
      <c r="J46" s="301">
        <f>$E$20*J45</f>
        <v>0</v>
      </c>
      <c r="K46" s="301">
        <f t="shared" ref="K46:L46" si="83">$E$20*K45</f>
        <v>0</v>
      </c>
      <c r="L46" s="301">
        <f t="shared" si="83"/>
        <v>0</v>
      </c>
      <c r="M46" s="301">
        <f>E45-G46-H46-I46-J46-K46-L46</f>
        <v>0</v>
      </c>
      <c r="N46" s="301">
        <f t="shared" ref="N46:R46" si="84">$E$20*N45</f>
        <v>0</v>
      </c>
      <c r="O46" s="301">
        <f t="shared" si="84"/>
        <v>0</v>
      </c>
      <c r="P46" s="301">
        <f t="shared" si="84"/>
        <v>0</v>
      </c>
      <c r="Q46" s="301">
        <f t="shared" si="84"/>
        <v>0</v>
      </c>
      <c r="R46" s="302">
        <f t="shared" si="84"/>
        <v>0</v>
      </c>
      <c r="S46" s="315">
        <f t="shared" si="58"/>
        <v>0</v>
      </c>
      <c r="T46" s="47">
        <f t="shared" ref="T46" si="85">S21+S46-E45</f>
        <v>0</v>
      </c>
    </row>
    <row r="47" spans="1:24" s="2" customFormat="1" x14ac:dyDescent="0.25">
      <c r="A47" s="1331">
        <f>oR!C350</f>
        <v>1</v>
      </c>
      <c r="B47" s="2030" t="str">
        <f t="shared" ref="B47:E47" ca="1" si="86">B22</f>
        <v>5.0</v>
      </c>
      <c r="C47" s="2032" t="str">
        <f t="shared" si="86"/>
        <v>SINALIZAÇÃO</v>
      </c>
      <c r="D47" s="2033">
        <f t="shared" si="86"/>
        <v>0</v>
      </c>
      <c r="E47" s="2036">
        <f t="shared" si="86"/>
        <v>7545.69</v>
      </c>
      <c r="F47" s="2038">
        <f t="shared" ref="F47" ca="1" si="87">E47/$E$33</f>
        <v>2.92E-2</v>
      </c>
      <c r="G47" s="399"/>
      <c r="H47" s="400"/>
      <c r="I47" s="400"/>
      <c r="J47" s="400"/>
      <c r="K47" s="401"/>
      <c r="L47" s="401"/>
      <c r="M47" s="401"/>
      <c r="N47" s="401"/>
      <c r="O47" s="401"/>
      <c r="P47" s="401"/>
      <c r="Q47" s="401"/>
      <c r="R47" s="402"/>
      <c r="S47" s="1363">
        <f t="shared" si="58"/>
        <v>1</v>
      </c>
      <c r="T47" s="154">
        <f t="shared" ref="T47" si="88">S22+S47</f>
        <v>1</v>
      </c>
    </row>
    <row r="48" spans="1:24" s="2" customFormat="1" ht="13.5" thickBot="1" x14ac:dyDescent="0.3">
      <c r="A48" s="1331">
        <f>A47</f>
        <v>1</v>
      </c>
      <c r="B48" s="2031"/>
      <c r="C48" s="2034"/>
      <c r="D48" s="2035"/>
      <c r="E48" s="2037"/>
      <c r="F48" s="2039"/>
      <c r="G48" s="300">
        <f>$E$22*G47</f>
        <v>0</v>
      </c>
      <c r="H48" s="301">
        <f t="shared" ref="H48:I48" si="89">$E$22*H47</f>
        <v>0</v>
      </c>
      <c r="I48" s="301">
        <f t="shared" si="89"/>
        <v>0</v>
      </c>
      <c r="J48" s="301">
        <f>$E$22*J47</f>
        <v>0</v>
      </c>
      <c r="K48" s="301">
        <f t="shared" ref="K48:R48" si="90">$E$22*K47</f>
        <v>0</v>
      </c>
      <c r="L48" s="301">
        <f t="shared" si="90"/>
        <v>0</v>
      </c>
      <c r="M48" s="301">
        <f t="shared" si="90"/>
        <v>0</v>
      </c>
      <c r="N48" s="301">
        <f t="shared" si="90"/>
        <v>0</v>
      </c>
      <c r="O48" s="301">
        <f t="shared" si="90"/>
        <v>0</v>
      </c>
      <c r="P48" s="301">
        <f t="shared" si="90"/>
        <v>0</v>
      </c>
      <c r="Q48" s="301">
        <f t="shared" si="90"/>
        <v>0</v>
      </c>
      <c r="R48" s="302">
        <f t="shared" si="90"/>
        <v>0</v>
      </c>
      <c r="S48" s="315">
        <f t="shared" si="58"/>
        <v>7545.69</v>
      </c>
      <c r="T48" s="47">
        <f t="shared" ref="T48" si="91">S23+S48-E47</f>
        <v>0</v>
      </c>
    </row>
    <row r="49" spans="1:24" s="2" customFormat="1" ht="13.5" hidden="1" thickBot="1" x14ac:dyDescent="0.3">
      <c r="A49" s="1331">
        <f>oR!C378</f>
        <v>0</v>
      </c>
      <c r="B49" s="2030" t="str">
        <f t="shared" ref="B49:E49" ca="1" si="92">B24</f>
        <v>5.0</v>
      </c>
      <c r="C49" s="2032" t="str">
        <f t="shared" si="92"/>
        <v>OBRAS COMPLEMENTARES</v>
      </c>
      <c r="D49" s="2033">
        <f t="shared" si="92"/>
        <v>0</v>
      </c>
      <c r="E49" s="2036">
        <f t="shared" si="92"/>
        <v>0</v>
      </c>
      <c r="F49" s="2038">
        <f t="shared" ref="F49" ca="1" si="93">E49/$E$33</f>
        <v>0</v>
      </c>
      <c r="G49" s="399"/>
      <c r="H49" s="400"/>
      <c r="I49" s="400"/>
      <c r="J49" s="400"/>
      <c r="K49" s="401"/>
      <c r="L49" s="401"/>
      <c r="M49" s="401"/>
      <c r="N49" s="401"/>
      <c r="O49" s="401"/>
      <c r="P49" s="401"/>
      <c r="Q49" s="401"/>
      <c r="R49" s="402"/>
      <c r="S49" s="1363">
        <f t="shared" si="58"/>
        <v>1</v>
      </c>
      <c r="T49" s="154">
        <f t="shared" ref="T49" si="94">S24+S49</f>
        <v>1</v>
      </c>
    </row>
    <row r="50" spans="1:24" s="2" customFormat="1" ht="13.5" hidden="1" thickBot="1" x14ac:dyDescent="0.3">
      <c r="A50" s="1331">
        <f>A49</f>
        <v>0</v>
      </c>
      <c r="B50" s="2031"/>
      <c r="C50" s="2034"/>
      <c r="D50" s="2035"/>
      <c r="E50" s="2037"/>
      <c r="F50" s="2039"/>
      <c r="G50" s="300">
        <f>$E$24*G49</f>
        <v>0</v>
      </c>
      <c r="H50" s="301">
        <f>$E$24*H49</f>
        <v>0</v>
      </c>
      <c r="I50" s="301">
        <f t="shared" ref="I50:K50" si="95">$E$24*I49</f>
        <v>0</v>
      </c>
      <c r="J50" s="301">
        <f t="shared" si="95"/>
        <v>0</v>
      </c>
      <c r="K50" s="301">
        <f t="shared" si="95"/>
        <v>0</v>
      </c>
      <c r="L50" s="301">
        <f t="shared" ref="L50:R50" si="96">$E$24*L49</f>
        <v>0</v>
      </c>
      <c r="M50" s="301">
        <f t="shared" si="96"/>
        <v>0</v>
      </c>
      <c r="N50" s="301">
        <f t="shared" si="96"/>
        <v>0</v>
      </c>
      <c r="O50" s="301">
        <f t="shared" si="96"/>
        <v>0</v>
      </c>
      <c r="P50" s="301">
        <f t="shared" si="96"/>
        <v>0</v>
      </c>
      <c r="Q50" s="301">
        <f t="shared" si="96"/>
        <v>0</v>
      </c>
      <c r="R50" s="302">
        <f t="shared" si="96"/>
        <v>0</v>
      </c>
      <c r="S50" s="315">
        <f t="shared" si="58"/>
        <v>0</v>
      </c>
      <c r="T50" s="47">
        <f t="shared" ref="T50" si="97">S25+S50-E49</f>
        <v>0</v>
      </c>
    </row>
    <row r="51" spans="1:24" s="2" customFormat="1" ht="13.5" hidden="1" thickBot="1" x14ac:dyDescent="0.3">
      <c r="A51" s="1331">
        <f>oR!C394</f>
        <v>0</v>
      </c>
      <c r="B51" s="2030" t="str">
        <f t="shared" ref="B51:E51" ca="1" si="98">B26</f>
        <v>5.0</v>
      </c>
      <c r="C51" s="2032" t="str">
        <f t="shared" si="98"/>
        <v>OBRAS DE CONTENÇÃO</v>
      </c>
      <c r="D51" s="2033">
        <f t="shared" si="98"/>
        <v>0</v>
      </c>
      <c r="E51" s="2036">
        <f t="shared" si="98"/>
        <v>0</v>
      </c>
      <c r="F51" s="2038">
        <f t="shared" ref="F51" ca="1" si="99">E51/$E$33</f>
        <v>0</v>
      </c>
      <c r="G51" s="399"/>
      <c r="H51" s="400"/>
      <c r="I51" s="400"/>
      <c r="J51" s="400"/>
      <c r="K51" s="401"/>
      <c r="L51" s="401"/>
      <c r="M51" s="401"/>
      <c r="N51" s="401"/>
      <c r="O51" s="401"/>
      <c r="P51" s="401"/>
      <c r="Q51" s="401"/>
      <c r="R51" s="402"/>
      <c r="S51" s="1363">
        <f t="shared" si="58"/>
        <v>0</v>
      </c>
      <c r="T51" s="154">
        <f t="shared" ref="T51" si="100">S26+S51</f>
        <v>0</v>
      </c>
    </row>
    <row r="52" spans="1:24" s="2" customFormat="1" ht="13.5" hidden="1" thickBot="1" x14ac:dyDescent="0.3">
      <c r="A52" s="1331">
        <f>A51</f>
        <v>0</v>
      </c>
      <c r="B52" s="2031"/>
      <c r="C52" s="2034"/>
      <c r="D52" s="2035"/>
      <c r="E52" s="2037"/>
      <c r="F52" s="2039"/>
      <c r="G52" s="300">
        <f>$E$26*G51</f>
        <v>0</v>
      </c>
      <c r="H52" s="300">
        <f t="shared" ref="H52:Q52" si="101">$E$26*H51</f>
        <v>0</v>
      </c>
      <c r="I52" s="300">
        <f t="shared" si="101"/>
        <v>0</v>
      </c>
      <c r="J52" s="300">
        <f t="shared" si="101"/>
        <v>0</v>
      </c>
      <c r="K52" s="300">
        <f t="shared" si="101"/>
        <v>0</v>
      </c>
      <c r="L52" s="300">
        <f t="shared" si="101"/>
        <v>0</v>
      </c>
      <c r="M52" s="300">
        <f t="shared" si="101"/>
        <v>0</v>
      </c>
      <c r="N52" s="300">
        <f t="shared" si="101"/>
        <v>0</v>
      </c>
      <c r="O52" s="300">
        <f t="shared" si="101"/>
        <v>0</v>
      </c>
      <c r="P52" s="300">
        <f t="shared" si="101"/>
        <v>0</v>
      </c>
      <c r="Q52" s="300">
        <f t="shared" si="101"/>
        <v>0</v>
      </c>
      <c r="R52" s="302">
        <f t="shared" ref="R52" si="102">$E$24*R51</f>
        <v>0</v>
      </c>
      <c r="S52" s="315">
        <f t="shared" si="58"/>
        <v>0</v>
      </c>
      <c r="T52" s="47">
        <f t="shared" ref="T52" si="103">S27+S52-E51</f>
        <v>0</v>
      </c>
    </row>
    <row r="53" spans="1:24" s="2" customFormat="1" ht="13.5" hidden="1" thickBot="1" x14ac:dyDescent="0.3">
      <c r="A53" s="1331">
        <f>oR!C400</f>
        <v>0</v>
      </c>
      <c r="B53" s="2030" t="str">
        <f t="shared" ref="B53:E53" ca="1" si="104">B28</f>
        <v>5.0</v>
      </c>
      <c r="C53" s="2032" t="str">
        <f t="shared" si="104"/>
        <v>CONTROLE TECNOLÓGICO</v>
      </c>
      <c r="D53" s="2033">
        <f t="shared" si="104"/>
        <v>0</v>
      </c>
      <c r="E53" s="2036">
        <f t="shared" si="104"/>
        <v>0</v>
      </c>
      <c r="F53" s="2038">
        <f t="shared" ref="F53" ca="1" si="105">E53/$E$33</f>
        <v>0</v>
      </c>
      <c r="G53" s="399"/>
      <c r="H53" s="400"/>
      <c r="I53" s="400"/>
      <c r="J53" s="400"/>
      <c r="K53" s="401"/>
      <c r="L53" s="401"/>
      <c r="M53" s="401"/>
      <c r="N53" s="401"/>
      <c r="O53" s="401"/>
      <c r="P53" s="401"/>
      <c r="Q53" s="401"/>
      <c r="R53" s="402"/>
      <c r="S53" s="1363">
        <f t="shared" si="58"/>
        <v>0</v>
      </c>
      <c r="T53" s="154">
        <f t="shared" ref="T53" si="106">S28+S53</f>
        <v>0</v>
      </c>
    </row>
    <row r="54" spans="1:24" s="2" customFormat="1" ht="13.5" hidden="1" thickBot="1" x14ac:dyDescent="0.3">
      <c r="A54" s="1331">
        <f>A53</f>
        <v>0</v>
      </c>
      <c r="B54" s="2031"/>
      <c r="C54" s="2034"/>
      <c r="D54" s="2035"/>
      <c r="E54" s="2037"/>
      <c r="F54" s="2039"/>
      <c r="G54" s="300">
        <f>$E$28*G53</f>
        <v>0</v>
      </c>
      <c r="H54" s="301">
        <f t="shared" ref="H54:R54" si="107">$E$28*H53</f>
        <v>0</v>
      </c>
      <c r="I54" s="301">
        <f t="shared" si="107"/>
        <v>0</v>
      </c>
      <c r="J54" s="301">
        <f t="shared" si="107"/>
        <v>0</v>
      </c>
      <c r="K54" s="301">
        <f t="shared" si="107"/>
        <v>0</v>
      </c>
      <c r="L54" s="301">
        <f t="shared" si="107"/>
        <v>0</v>
      </c>
      <c r="M54" s="301">
        <f t="shared" si="107"/>
        <v>0</v>
      </c>
      <c r="N54" s="301">
        <f t="shared" si="107"/>
        <v>0</v>
      </c>
      <c r="O54" s="301">
        <f t="shared" si="107"/>
        <v>0</v>
      </c>
      <c r="P54" s="301">
        <f t="shared" si="107"/>
        <v>0</v>
      </c>
      <c r="Q54" s="301">
        <f t="shared" si="107"/>
        <v>0</v>
      </c>
      <c r="R54" s="302">
        <f t="shared" si="107"/>
        <v>0</v>
      </c>
      <c r="S54" s="315">
        <f t="shared" si="58"/>
        <v>0</v>
      </c>
      <c r="T54" s="47">
        <f t="shared" ref="T54" si="108">S29+S54-E53</f>
        <v>0</v>
      </c>
    </row>
    <row r="55" spans="1:24" s="2" customFormat="1" ht="13.5" hidden="1" thickBot="1" x14ac:dyDescent="0.3">
      <c r="A55" s="1331">
        <f>oR!C406</f>
        <v>0</v>
      </c>
      <c r="B55" s="2030" t="str">
        <f t="shared" ref="B55:E55" ca="1" si="109">B30</f>
        <v>5.0</v>
      </c>
      <c r="C55" s="2032" t="str">
        <f t="shared" si="109"/>
        <v>SERVIÇOS TÉCNICOS AMBIENTAIS</v>
      </c>
      <c r="D55" s="2033">
        <f t="shared" si="109"/>
        <v>0</v>
      </c>
      <c r="E55" s="2036">
        <f t="shared" si="109"/>
        <v>0</v>
      </c>
      <c r="F55" s="2038">
        <f t="shared" ref="F55" ca="1" si="110">E55/$E$33</f>
        <v>0</v>
      </c>
      <c r="G55" s="399"/>
      <c r="H55" s="400"/>
      <c r="I55" s="400"/>
      <c r="J55" s="400"/>
      <c r="K55" s="400"/>
      <c r="L55" s="400"/>
      <c r="M55" s="400"/>
      <c r="N55" s="400"/>
      <c r="O55" s="400"/>
      <c r="P55" s="400"/>
      <c r="Q55" s="400"/>
      <c r="R55" s="402"/>
      <c r="S55" s="1363">
        <f t="shared" si="58"/>
        <v>1</v>
      </c>
      <c r="T55" s="154">
        <f>S30+S55</f>
        <v>1</v>
      </c>
    </row>
    <row r="56" spans="1:24" s="2" customFormat="1" ht="13.5" hidden="1" thickBot="1" x14ac:dyDescent="0.3">
      <c r="A56" s="1331">
        <f>A55</f>
        <v>0</v>
      </c>
      <c r="B56" s="2031"/>
      <c r="C56" s="2034"/>
      <c r="D56" s="2035"/>
      <c r="E56" s="2037"/>
      <c r="F56" s="2039"/>
      <c r="G56" s="300">
        <f>$E$30*G55</f>
        <v>0</v>
      </c>
      <c r="H56" s="301">
        <f t="shared" ref="H56:R56" si="111">$E$30*H55</f>
        <v>0</v>
      </c>
      <c r="I56" s="301">
        <f t="shared" si="111"/>
        <v>0</v>
      </c>
      <c r="J56" s="301">
        <f t="shared" si="111"/>
        <v>0</v>
      </c>
      <c r="K56" s="301">
        <f t="shared" si="111"/>
        <v>0</v>
      </c>
      <c r="L56" s="301">
        <f t="shared" si="111"/>
        <v>0</v>
      </c>
      <c r="M56" s="301">
        <f t="shared" si="111"/>
        <v>0</v>
      </c>
      <c r="N56" s="301">
        <f t="shared" si="111"/>
        <v>0</v>
      </c>
      <c r="O56" s="301">
        <f t="shared" si="111"/>
        <v>0</v>
      </c>
      <c r="P56" s="301">
        <f t="shared" si="111"/>
        <v>0</v>
      </c>
      <c r="Q56" s="301">
        <f t="shared" si="111"/>
        <v>0</v>
      </c>
      <c r="R56" s="302">
        <f t="shared" si="111"/>
        <v>0</v>
      </c>
      <c r="S56" s="315">
        <f t="shared" si="58"/>
        <v>0</v>
      </c>
      <c r="T56" s="47">
        <f>S31+S56-E55</f>
        <v>0</v>
      </c>
    </row>
    <row r="57" spans="1:24" x14ac:dyDescent="0.2">
      <c r="A57" s="1330">
        <v>1</v>
      </c>
      <c r="B57" s="1993" t="s">
        <v>2593</v>
      </c>
      <c r="C57" s="1994"/>
      <c r="D57" s="1994"/>
      <c r="E57" s="304"/>
      <c r="F57" s="305">
        <f ca="1">E58/E58</f>
        <v>1</v>
      </c>
      <c r="G57" s="306">
        <f t="shared" ref="G57:Q57" ca="1" si="112">G58/$E$33</f>
        <v>0</v>
      </c>
      <c r="H57" s="307">
        <f t="shared" ca="1" si="112"/>
        <v>0</v>
      </c>
      <c r="I57" s="307">
        <f t="shared" ca="1" si="112"/>
        <v>0</v>
      </c>
      <c r="J57" s="307">
        <f t="shared" ca="1" si="112"/>
        <v>0</v>
      </c>
      <c r="K57" s="307">
        <f t="shared" ca="1" si="112"/>
        <v>0</v>
      </c>
      <c r="L57" s="307">
        <f t="shared" ca="1" si="112"/>
        <v>0</v>
      </c>
      <c r="M57" s="307">
        <f t="shared" ca="1" si="112"/>
        <v>0</v>
      </c>
      <c r="N57" s="307">
        <f t="shared" ca="1" si="112"/>
        <v>0</v>
      </c>
      <c r="O57" s="307">
        <f t="shared" ca="1" si="112"/>
        <v>0</v>
      </c>
      <c r="P57" s="307">
        <f t="shared" ca="1" si="112"/>
        <v>0</v>
      </c>
      <c r="Q57" s="307">
        <f t="shared" ca="1" si="112"/>
        <v>0</v>
      </c>
      <c r="R57" s="308">
        <f ca="1">1-Q59</f>
        <v>0</v>
      </c>
      <c r="S57" s="455"/>
    </row>
    <row r="58" spans="1:24" ht="13.5" thickBot="1" x14ac:dyDescent="0.25">
      <c r="A58" s="1330">
        <v>1</v>
      </c>
      <c r="B58" s="1995"/>
      <c r="C58" s="1996"/>
      <c r="D58" s="1996"/>
      <c r="E58" s="309">
        <f ca="1">SUM(E37:E56)</f>
        <v>258454.88</v>
      </c>
      <c r="F58" s="310"/>
      <c r="G58" s="311">
        <f ca="1">SUM(G54,G50,G48,G46,G44,G42,G40,G38,G52,G56)</f>
        <v>0</v>
      </c>
      <c r="H58" s="312">
        <f t="shared" ref="H58:R58" ca="1" si="113">SUM(H54,H50,H48,H46,H44,H42,H40,H38,H52,H56)</f>
        <v>0</v>
      </c>
      <c r="I58" s="312">
        <f t="shared" ca="1" si="113"/>
        <v>0</v>
      </c>
      <c r="J58" s="312">
        <f t="shared" ca="1" si="113"/>
        <v>0</v>
      </c>
      <c r="K58" s="312">
        <f t="shared" ca="1" si="113"/>
        <v>0</v>
      </c>
      <c r="L58" s="312">
        <f t="shared" ca="1" si="113"/>
        <v>0</v>
      </c>
      <c r="M58" s="312">
        <f t="shared" ca="1" si="113"/>
        <v>0</v>
      </c>
      <c r="N58" s="312">
        <f t="shared" ca="1" si="113"/>
        <v>0</v>
      </c>
      <c r="O58" s="312">
        <f t="shared" ca="1" si="113"/>
        <v>0</v>
      </c>
      <c r="P58" s="312">
        <f t="shared" ca="1" si="113"/>
        <v>0</v>
      </c>
      <c r="Q58" s="312">
        <f t="shared" ca="1" si="113"/>
        <v>0</v>
      </c>
      <c r="R58" s="313">
        <f t="shared" ca="1" si="113"/>
        <v>0</v>
      </c>
    </row>
    <row r="59" spans="1:24" x14ac:dyDescent="0.2">
      <c r="A59" s="1330">
        <v>1</v>
      </c>
      <c r="B59" s="1993" t="s">
        <v>2594</v>
      </c>
      <c r="C59" s="1994"/>
      <c r="D59" s="1994"/>
      <c r="E59" s="304"/>
      <c r="F59" s="305">
        <f ca="1">E60/$E$33</f>
        <v>1</v>
      </c>
      <c r="G59" s="306">
        <f ca="1">G57+R34</f>
        <v>1</v>
      </c>
      <c r="H59" s="307">
        <f t="shared" ref="H59:H60" ca="1" si="114">H57+G59</f>
        <v>1</v>
      </c>
      <c r="I59" s="307">
        <f ca="1">I57+H59</f>
        <v>1</v>
      </c>
      <c r="J59" s="307">
        <f t="shared" ref="J59:J60" ca="1" si="115">J57+I59</f>
        <v>1</v>
      </c>
      <c r="K59" s="307">
        <f t="shared" ref="K59:K60" ca="1" si="116">K57+J59</f>
        <v>1</v>
      </c>
      <c r="L59" s="307">
        <f t="shared" ref="L59:L60" ca="1" si="117">L57+K59</f>
        <v>1</v>
      </c>
      <c r="M59" s="307">
        <f t="shared" ref="M59:M60" ca="1" si="118">M57+L59</f>
        <v>1</v>
      </c>
      <c r="N59" s="307">
        <f t="shared" ref="N59:N60" ca="1" si="119">N57+M59</f>
        <v>1</v>
      </c>
      <c r="O59" s="307">
        <f t="shared" ref="O59:O60" ca="1" si="120">O57+N59</f>
        <v>1</v>
      </c>
      <c r="P59" s="307">
        <f t="shared" ref="P59:P60" ca="1" si="121">P57+O59</f>
        <v>1</v>
      </c>
      <c r="Q59" s="307">
        <f t="shared" ref="Q59:Q60" ca="1" si="122">Q57+P59</f>
        <v>1</v>
      </c>
      <c r="R59" s="308">
        <f t="shared" ref="R59:R60" ca="1" si="123">R57+Q59</f>
        <v>1</v>
      </c>
    </row>
    <row r="60" spans="1:24" ht="13.5" thickBot="1" x14ac:dyDescent="0.25">
      <c r="A60" s="1330">
        <v>1</v>
      </c>
      <c r="B60" s="1995"/>
      <c r="C60" s="1996"/>
      <c r="D60" s="1996"/>
      <c r="E60" s="309">
        <f ca="1">E58</f>
        <v>258454.88</v>
      </c>
      <c r="F60" s="310"/>
      <c r="G60" s="311">
        <f ca="1">G58+R35</f>
        <v>258454.9</v>
      </c>
      <c r="H60" s="312">
        <f t="shared" ca="1" si="114"/>
        <v>258454.9</v>
      </c>
      <c r="I60" s="312">
        <f t="shared" ref="I60" ca="1" si="124">I58+H60</f>
        <v>258454.9</v>
      </c>
      <c r="J60" s="312">
        <f t="shared" ca="1" si="115"/>
        <v>258454.9</v>
      </c>
      <c r="K60" s="312">
        <f t="shared" ca="1" si="116"/>
        <v>258454.9</v>
      </c>
      <c r="L60" s="312">
        <f t="shared" ca="1" si="117"/>
        <v>258454.9</v>
      </c>
      <c r="M60" s="312">
        <f t="shared" ca="1" si="118"/>
        <v>258454.9</v>
      </c>
      <c r="N60" s="312">
        <f t="shared" ca="1" si="119"/>
        <v>258454.9</v>
      </c>
      <c r="O60" s="312">
        <f t="shared" ca="1" si="120"/>
        <v>258454.9</v>
      </c>
      <c r="P60" s="312">
        <f t="shared" ca="1" si="121"/>
        <v>258454.9</v>
      </c>
      <c r="Q60" s="312">
        <f t="shared" ca="1" si="122"/>
        <v>258454.9</v>
      </c>
      <c r="R60" s="313">
        <f t="shared" ca="1" si="123"/>
        <v>258454.9</v>
      </c>
      <c r="S60" s="161">
        <f ca="1">E58-R60</f>
        <v>-0.02</v>
      </c>
      <c r="X60" s="303"/>
    </row>
    <row r="61" spans="1:24" x14ac:dyDescent="0.2">
      <c r="A61" s="225">
        <v>1</v>
      </c>
      <c r="G61" s="178"/>
    </row>
    <row r="62" spans="1:24" x14ac:dyDescent="0.2">
      <c r="A62" s="225">
        <v>1</v>
      </c>
      <c r="B62" s="179" t="str">
        <f>oR!E387</f>
        <v>Presidente Castello Branco - SC, novembro de 2022.</v>
      </c>
    </row>
    <row r="63" spans="1:24" x14ac:dyDescent="0.2">
      <c r="A63" s="225">
        <v>1</v>
      </c>
      <c r="B63" s="179"/>
    </row>
    <row r="64" spans="1:24" x14ac:dyDescent="0.2">
      <c r="A64" s="1107">
        <v>1</v>
      </c>
      <c r="B64" s="179"/>
    </row>
    <row r="65" spans="1:8" x14ac:dyDescent="0.2">
      <c r="A65" s="1107">
        <v>1</v>
      </c>
      <c r="B65" s="179"/>
    </row>
    <row r="66" spans="1:8" x14ac:dyDescent="0.2">
      <c r="A66" s="1107">
        <v>1</v>
      </c>
      <c r="H66" s="163" t="str">
        <f>oR!M389</f>
        <v>Juliano Wolschick</v>
      </c>
    </row>
    <row r="67" spans="1:8" x14ac:dyDescent="0.2">
      <c r="A67" s="1107">
        <v>1</v>
      </c>
      <c r="H67" s="163" t="str">
        <f>oR!M390</f>
        <v>Eng. Civil CREA/SC 057.254-9</v>
      </c>
    </row>
    <row r="68" spans="1:8" x14ac:dyDescent="0.2">
      <c r="A68" s="1107">
        <v>1</v>
      </c>
      <c r="H68" s="163" t="str">
        <f>oR!M391</f>
        <v>Responsável Técnico</v>
      </c>
    </row>
    <row r="69" spans="1:8" x14ac:dyDescent="0.2">
      <c r="A69" s="225">
        <v>1</v>
      </c>
      <c r="H69" s="163"/>
    </row>
    <row r="70" spans="1:8" x14ac:dyDescent="0.2">
      <c r="A70" s="225">
        <v>1</v>
      </c>
      <c r="H70" s="163"/>
    </row>
    <row r="71" spans="1:8" x14ac:dyDescent="0.2">
      <c r="A71" s="225">
        <v>1</v>
      </c>
    </row>
    <row r="72" spans="1:8" x14ac:dyDescent="0.2">
      <c r="A72" s="225">
        <v>1</v>
      </c>
    </row>
    <row r="73" spans="1:8" x14ac:dyDescent="0.2">
      <c r="A73" s="225">
        <v>1</v>
      </c>
    </row>
    <row r="74" spans="1:8" x14ac:dyDescent="0.2">
      <c r="A74" s="225">
        <v>1</v>
      </c>
    </row>
    <row r="75" spans="1:8" x14ac:dyDescent="0.2">
      <c r="A75" s="225">
        <v>1</v>
      </c>
    </row>
    <row r="76" spans="1:8" x14ac:dyDescent="0.2">
      <c r="A76" s="225">
        <v>1</v>
      </c>
    </row>
    <row r="77" spans="1:8" x14ac:dyDescent="0.2">
      <c r="A77" s="225">
        <v>1</v>
      </c>
    </row>
    <row r="78" spans="1:8" x14ac:dyDescent="0.2">
      <c r="A78" s="225">
        <v>1</v>
      </c>
    </row>
    <row r="79" spans="1:8" x14ac:dyDescent="0.2">
      <c r="A79" s="225">
        <v>1</v>
      </c>
    </row>
    <row r="80" spans="1:8" x14ac:dyDescent="0.2">
      <c r="A80" s="225">
        <v>1</v>
      </c>
    </row>
    <row r="81" spans="1:18" x14ac:dyDescent="0.2">
      <c r="A81" s="225">
        <v>1</v>
      </c>
    </row>
    <row r="82" spans="1:18" x14ac:dyDescent="0.2">
      <c r="A82" s="225">
        <v>1</v>
      </c>
    </row>
    <row r="83" spans="1:18" x14ac:dyDescent="0.2">
      <c r="A83" s="225">
        <v>1</v>
      </c>
    </row>
    <row r="84" spans="1:18" x14ac:dyDescent="0.2">
      <c r="A84" s="225">
        <v>1</v>
      </c>
    </row>
    <row r="85" spans="1:18" x14ac:dyDescent="0.2">
      <c r="A85" s="659">
        <v>1</v>
      </c>
    </row>
    <row r="86" spans="1:18" x14ac:dyDescent="0.2">
      <c r="A86" s="659">
        <v>1</v>
      </c>
      <c r="B86" s="176"/>
      <c r="C86" s="177"/>
      <c r="D86" s="177"/>
      <c r="E86" s="176"/>
      <c r="F86" s="176"/>
      <c r="G86" s="176"/>
      <c r="H86" s="176"/>
      <c r="I86" s="176"/>
      <c r="J86" s="176"/>
      <c r="K86" s="176"/>
      <c r="L86" s="176"/>
      <c r="M86" s="176"/>
      <c r="N86" s="176"/>
      <c r="O86" s="176"/>
      <c r="P86" s="176"/>
      <c r="Q86" s="176"/>
      <c r="R86" s="176"/>
    </row>
    <row r="87" spans="1:18" x14ac:dyDescent="0.2">
      <c r="A87" s="659">
        <v>1</v>
      </c>
      <c r="B87" s="176"/>
      <c r="C87" s="177"/>
      <c r="D87" s="177"/>
      <c r="E87" s="180"/>
      <c r="F87" s="180"/>
      <c r="G87" s="181"/>
      <c r="H87" s="181"/>
      <c r="I87" s="181"/>
      <c r="J87" s="181"/>
      <c r="K87" s="181"/>
      <c r="L87" s="181"/>
      <c r="M87" s="181"/>
      <c r="N87" s="181"/>
      <c r="O87" s="181"/>
      <c r="P87" s="181"/>
      <c r="Q87" s="181"/>
      <c r="R87" s="181"/>
    </row>
    <row r="88" spans="1:18" x14ac:dyDescent="0.2">
      <c r="A88" s="659">
        <v>1</v>
      </c>
      <c r="B88" s="176"/>
      <c r="C88" s="177"/>
      <c r="D88" s="177"/>
      <c r="E88" s="180"/>
      <c r="F88" s="180"/>
      <c r="G88" s="182"/>
      <c r="H88" s="182"/>
      <c r="I88" s="182"/>
      <c r="J88" s="182"/>
      <c r="K88" s="182"/>
      <c r="L88" s="182"/>
      <c r="M88" s="182"/>
      <c r="N88" s="182"/>
      <c r="O88" s="182"/>
      <c r="P88" s="182"/>
      <c r="Q88" s="182"/>
      <c r="R88" s="182"/>
    </row>
    <row r="89" spans="1:18" x14ac:dyDescent="0.2">
      <c r="A89" s="659">
        <v>1</v>
      </c>
      <c r="B89" s="176"/>
      <c r="C89" s="177"/>
      <c r="D89" s="177"/>
      <c r="E89" s="180"/>
      <c r="F89" s="180"/>
      <c r="G89" s="176"/>
      <c r="H89" s="176"/>
      <c r="I89" s="176"/>
      <c r="J89" s="176"/>
      <c r="K89" s="176"/>
      <c r="L89" s="176"/>
      <c r="M89" s="176"/>
      <c r="N89" s="176"/>
      <c r="O89" s="176"/>
      <c r="P89" s="176"/>
      <c r="Q89" s="176"/>
      <c r="R89" s="176"/>
    </row>
    <row r="90" spans="1:18" x14ac:dyDescent="0.2">
      <c r="A90" s="659">
        <v>1</v>
      </c>
      <c r="B90" s="176"/>
      <c r="C90" s="177"/>
      <c r="D90" s="177"/>
      <c r="E90" s="180"/>
      <c r="F90" s="180"/>
      <c r="G90" s="181"/>
      <c r="H90" s="181"/>
      <c r="I90" s="181"/>
      <c r="J90" s="181"/>
      <c r="K90" s="181"/>
      <c r="L90" s="181"/>
      <c r="M90" s="181"/>
      <c r="N90" s="181"/>
      <c r="O90" s="181"/>
      <c r="P90" s="181"/>
      <c r="Q90" s="181"/>
      <c r="R90" s="181"/>
    </row>
    <row r="91" spans="1:18" x14ac:dyDescent="0.2">
      <c r="B91" s="176"/>
      <c r="C91" s="177"/>
      <c r="D91" s="177"/>
      <c r="E91" s="180"/>
      <c r="F91" s="180"/>
      <c r="G91" s="182"/>
      <c r="H91" s="182"/>
      <c r="I91" s="182"/>
      <c r="J91" s="182"/>
      <c r="K91" s="182"/>
      <c r="L91" s="182"/>
      <c r="M91" s="182"/>
      <c r="N91" s="182"/>
      <c r="O91" s="182"/>
      <c r="P91" s="182"/>
      <c r="Q91" s="182"/>
      <c r="R91" s="182"/>
    </row>
  </sheetData>
  <autoFilter ref="A11:S90" xr:uid="{00000000-0009-0000-0000-00000C000000}">
    <filterColumn colId="0">
      <filters>
        <filter val="1"/>
        <filter val="Filtro"/>
      </filters>
    </filterColumn>
  </autoFilter>
  <mergeCells count="93">
    <mergeCell ref="F26:F27"/>
    <mergeCell ref="B28:B29"/>
    <mergeCell ref="C28:D29"/>
    <mergeCell ref="E28:E29"/>
    <mergeCell ref="F28:F29"/>
    <mergeCell ref="B1:R1"/>
    <mergeCell ref="B3:R3"/>
    <mergeCell ref="E16:E17"/>
    <mergeCell ref="F12:F13"/>
    <mergeCell ref="F14:F15"/>
    <mergeCell ref="C12:D13"/>
    <mergeCell ref="P5:P9"/>
    <mergeCell ref="B12:B13"/>
    <mergeCell ref="E12:E13"/>
    <mergeCell ref="Q5:R5"/>
    <mergeCell ref="Q6:R6"/>
    <mergeCell ref="Q7:R7"/>
    <mergeCell ref="F16:F17"/>
    <mergeCell ref="B16:B17"/>
    <mergeCell ref="C16:D17"/>
    <mergeCell ref="K5:L5"/>
    <mergeCell ref="B34:D35"/>
    <mergeCell ref="B32:D33"/>
    <mergeCell ref="B22:B23"/>
    <mergeCell ref="B14:B15"/>
    <mergeCell ref="C14:D15"/>
    <mergeCell ref="C22:D23"/>
    <mergeCell ref="B24:B25"/>
    <mergeCell ref="C24:D25"/>
    <mergeCell ref="B18:B19"/>
    <mergeCell ref="C18:D19"/>
    <mergeCell ref="B20:B21"/>
    <mergeCell ref="C20:D21"/>
    <mergeCell ref="B26:B27"/>
    <mergeCell ref="C26:D27"/>
    <mergeCell ref="K6:L6"/>
    <mergeCell ref="K7:L7"/>
    <mergeCell ref="B30:B31"/>
    <mergeCell ref="C30:D31"/>
    <mergeCell ref="E30:E31"/>
    <mergeCell ref="F30:F31"/>
    <mergeCell ref="E14:E15"/>
    <mergeCell ref="E22:E23"/>
    <mergeCell ref="F18:F19"/>
    <mergeCell ref="F20:F21"/>
    <mergeCell ref="F22:F23"/>
    <mergeCell ref="F24:F25"/>
    <mergeCell ref="E24:E25"/>
    <mergeCell ref="E18:E19"/>
    <mergeCell ref="E20:E21"/>
    <mergeCell ref="E26:E27"/>
    <mergeCell ref="B37:B38"/>
    <mergeCell ref="C37:D38"/>
    <mergeCell ref="E37:E38"/>
    <mergeCell ref="F37:F38"/>
    <mergeCell ref="B39:B40"/>
    <mergeCell ref="C39:D40"/>
    <mergeCell ref="E39:E40"/>
    <mergeCell ref="F39:F40"/>
    <mergeCell ref="B41:B42"/>
    <mergeCell ref="C41:D42"/>
    <mergeCell ref="E41:E42"/>
    <mergeCell ref="F41:F42"/>
    <mergeCell ref="B43:B44"/>
    <mergeCell ref="C43:D44"/>
    <mergeCell ref="E43:E44"/>
    <mergeCell ref="F43:F44"/>
    <mergeCell ref="B45:B46"/>
    <mergeCell ref="C45:D46"/>
    <mergeCell ref="E45:E46"/>
    <mergeCell ref="F45:F46"/>
    <mergeCell ref="B47:B48"/>
    <mergeCell ref="C47:D48"/>
    <mergeCell ref="E47:E48"/>
    <mergeCell ref="F47:F48"/>
    <mergeCell ref="B49:B50"/>
    <mergeCell ref="C49:D50"/>
    <mergeCell ref="E49:E50"/>
    <mergeCell ref="F49:F50"/>
    <mergeCell ref="B51:B52"/>
    <mergeCell ref="C51:D52"/>
    <mergeCell ref="E51:E52"/>
    <mergeCell ref="F51:F52"/>
    <mergeCell ref="F53:F54"/>
    <mergeCell ref="B55:B56"/>
    <mergeCell ref="C55:D56"/>
    <mergeCell ref="E55:E56"/>
    <mergeCell ref="F55:F56"/>
    <mergeCell ref="B57:D58"/>
    <mergeCell ref="B59:D60"/>
    <mergeCell ref="B53:B54"/>
    <mergeCell ref="C53:D54"/>
    <mergeCell ref="E53:E54"/>
  </mergeCells>
  <phoneticPr fontId="32" type="noConversion"/>
  <conditionalFormatting sqref="E12">
    <cfRule type="cellIs" dxfId="54" priority="181" operator="equal">
      <formula>0</formula>
    </cfRule>
  </conditionalFormatting>
  <conditionalFormatting sqref="C12">
    <cfRule type="cellIs" dxfId="53" priority="160" operator="equal">
      <formula>0</formula>
    </cfRule>
  </conditionalFormatting>
  <conditionalFormatting sqref="E14">
    <cfRule type="cellIs" dxfId="52" priority="115" operator="equal">
      <formula>0</formula>
    </cfRule>
  </conditionalFormatting>
  <conditionalFormatting sqref="C14">
    <cfRule type="cellIs" dxfId="51" priority="114" operator="equal">
      <formula>0</formula>
    </cfRule>
  </conditionalFormatting>
  <conditionalFormatting sqref="F12">
    <cfRule type="cellIs" dxfId="50" priority="109" operator="equal">
      <formula>0</formula>
    </cfRule>
  </conditionalFormatting>
  <conditionalFormatting sqref="F14">
    <cfRule type="cellIs" dxfId="49" priority="108" operator="equal">
      <formula>0</formula>
    </cfRule>
  </conditionalFormatting>
  <conditionalFormatting sqref="E16 E18 E20 E22 E24 E28">
    <cfRule type="cellIs" dxfId="48" priority="41" operator="equal">
      <formula>0</formula>
    </cfRule>
  </conditionalFormatting>
  <conditionalFormatting sqref="C16 C18 C20 C22 C24 C28">
    <cfRule type="cellIs" dxfId="47" priority="40" operator="equal">
      <formula>0</formula>
    </cfRule>
  </conditionalFormatting>
  <conditionalFormatting sqref="F16 F18 F20 F22 F24 F28">
    <cfRule type="cellIs" dxfId="46" priority="39" operator="equal">
      <formula>0</formula>
    </cfRule>
  </conditionalFormatting>
  <conditionalFormatting sqref="E26">
    <cfRule type="cellIs" dxfId="45" priority="33" operator="equal">
      <formula>0</formula>
    </cfRule>
  </conditionalFormatting>
  <conditionalFormatting sqref="C26">
    <cfRule type="cellIs" dxfId="44" priority="32" operator="equal">
      <formula>0</formula>
    </cfRule>
  </conditionalFormatting>
  <conditionalFormatting sqref="F26">
    <cfRule type="cellIs" dxfId="43" priority="31" operator="equal">
      <formula>0</formula>
    </cfRule>
  </conditionalFormatting>
  <conditionalFormatting sqref="R12:R29 G12:K13 G19:L19 G14:Q14 G15:K15 G16:P17 G18:Q18 G20:M20 G21:K29">
    <cfRule type="cellIs" dxfId="42" priority="26" operator="greaterThan">
      <formula>0</formula>
    </cfRule>
  </conditionalFormatting>
  <conditionalFormatting sqref="E30">
    <cfRule type="cellIs" dxfId="41" priority="25" operator="equal">
      <formula>0</formula>
    </cfRule>
  </conditionalFormatting>
  <conditionalFormatting sqref="C30">
    <cfRule type="cellIs" dxfId="40" priority="24" operator="equal">
      <formula>0</formula>
    </cfRule>
  </conditionalFormatting>
  <conditionalFormatting sqref="F30">
    <cfRule type="cellIs" dxfId="39" priority="23" operator="equal">
      <formula>0</formula>
    </cfRule>
  </conditionalFormatting>
  <conditionalFormatting sqref="G31:K31 R30:R31 G30:Q30">
    <cfRule type="cellIs" dxfId="38" priority="22" operator="greaterThan">
      <formula>0</formula>
    </cfRule>
  </conditionalFormatting>
  <conditionalFormatting sqref="L12:Q13 Q16:Q17 M19:Q19 L21:Q29 L15:Q15 N20:Q20">
    <cfRule type="cellIs" dxfId="37" priority="21" operator="greaterThan">
      <formula>0</formula>
    </cfRule>
  </conditionalFormatting>
  <conditionalFormatting sqref="L31:Q31">
    <cfRule type="cellIs" dxfId="36" priority="20" operator="greaterThan">
      <formula>0</formula>
    </cfRule>
  </conditionalFormatting>
  <conditionalFormatting sqref="E37">
    <cfRule type="cellIs" dxfId="35" priority="19" operator="equal">
      <formula>0</formula>
    </cfRule>
  </conditionalFormatting>
  <conditionalFormatting sqref="C37">
    <cfRule type="cellIs" dxfId="34" priority="18" operator="equal">
      <formula>0</formula>
    </cfRule>
  </conditionalFormatting>
  <conditionalFormatting sqref="E39">
    <cfRule type="cellIs" dxfId="33" priority="17" operator="equal">
      <formula>0</formula>
    </cfRule>
  </conditionalFormatting>
  <conditionalFormatting sqref="C39">
    <cfRule type="cellIs" dxfId="32" priority="16" operator="equal">
      <formula>0</formula>
    </cfRule>
  </conditionalFormatting>
  <conditionalFormatting sqref="F37">
    <cfRule type="cellIs" dxfId="31" priority="15" operator="equal">
      <formula>0</formula>
    </cfRule>
  </conditionalFormatting>
  <conditionalFormatting sqref="F39">
    <cfRule type="cellIs" dxfId="30" priority="14" operator="equal">
      <formula>0</formula>
    </cfRule>
  </conditionalFormatting>
  <conditionalFormatting sqref="E41 E43 E45 E47 E49 E53">
    <cfRule type="cellIs" dxfId="29" priority="13" operator="equal">
      <formula>0</formula>
    </cfRule>
  </conditionalFormatting>
  <conditionalFormatting sqref="C41 C43 C45 C47 C49 C53">
    <cfRule type="cellIs" dxfId="28" priority="12" operator="equal">
      <formula>0</formula>
    </cfRule>
  </conditionalFormatting>
  <conditionalFormatting sqref="F41 F43 F45 F47 F49 F53">
    <cfRule type="cellIs" dxfId="27" priority="11" operator="equal">
      <formula>0</formula>
    </cfRule>
  </conditionalFormatting>
  <conditionalFormatting sqref="E51">
    <cfRule type="cellIs" dxfId="26" priority="10" operator="equal">
      <formula>0</formula>
    </cfRule>
  </conditionalFormatting>
  <conditionalFormatting sqref="C51">
    <cfRule type="cellIs" dxfId="25" priority="9" operator="equal">
      <formula>0</formula>
    </cfRule>
  </conditionalFormatting>
  <conditionalFormatting sqref="F51">
    <cfRule type="cellIs" dxfId="24" priority="8" operator="equal">
      <formula>0</formula>
    </cfRule>
  </conditionalFormatting>
  <conditionalFormatting sqref="R37:R54 G37:K38 G45:K54 G39:Q39 G40:K42 G43:Q43 G44:P44">
    <cfRule type="cellIs" dxfId="23" priority="7" operator="greaterThan">
      <formula>0</formula>
    </cfRule>
  </conditionalFormatting>
  <conditionalFormatting sqref="E55">
    <cfRule type="cellIs" dxfId="22" priority="6" operator="equal">
      <formula>0</formula>
    </cfRule>
  </conditionalFormatting>
  <conditionalFormatting sqref="C55">
    <cfRule type="cellIs" dxfId="21" priority="5" operator="equal">
      <formula>0</formula>
    </cfRule>
  </conditionalFormatting>
  <conditionalFormatting sqref="F55">
    <cfRule type="cellIs" dxfId="20" priority="4" operator="equal">
      <formula>0</formula>
    </cfRule>
  </conditionalFormatting>
  <conditionalFormatting sqref="R55:R56 G55:K56 L55:P55">
    <cfRule type="cellIs" dxfId="19" priority="3" operator="greaterThan">
      <formula>0</formula>
    </cfRule>
  </conditionalFormatting>
  <conditionalFormatting sqref="L37:Q38 L45:Q54 L40:Q42 Q44">
    <cfRule type="cellIs" dxfId="18" priority="2" operator="greaterThan">
      <formula>0</formula>
    </cfRule>
  </conditionalFormatting>
  <conditionalFormatting sqref="L56:Q56 Q55">
    <cfRule type="cellIs" dxfId="17" priority="1" operator="greaterThan">
      <formula>0</formula>
    </cfRule>
  </conditionalFormatting>
  <printOptions horizontalCentered="1"/>
  <pageMargins left="0.59055118110236227" right="0.59055118110236227" top="0.94488188976377963" bottom="0.6692913385826772" header="0.31496062992125984" footer="0.23622047244094491"/>
  <pageSetup paperSize="9" scale="59" fitToHeight="0" orientation="landscape" r:id="rId1"/>
  <headerFooter>
    <oddHeader>&amp;C&amp;G</oddHeader>
    <oddFooter>&amp;C&amp;G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E17A-91EB-4EB5-A6C7-4586ED8994AC}">
  <sheetPr filterMode="1">
    <tabColor rgb="FFFFC000"/>
    <pageSetUpPr fitToPage="1"/>
  </sheetPr>
  <dimension ref="A1:R53"/>
  <sheetViews>
    <sheetView view="pageBreakPreview" zoomScaleNormal="100" zoomScaleSheetLayoutView="100" workbookViewId="0">
      <selection activeCell="O16" sqref="O16"/>
    </sheetView>
  </sheetViews>
  <sheetFormatPr defaultColWidth="11.5703125" defaultRowHeight="12.75" x14ac:dyDescent="0.2"/>
  <cols>
    <col min="1" max="1" width="11.5703125" style="1369"/>
    <col min="2" max="2" width="6.5703125" style="127" customWidth="1"/>
    <col min="3" max="3" width="7.85546875" style="127" customWidth="1"/>
    <col min="4" max="4" width="21.5703125" style="127" customWidth="1"/>
    <col min="5" max="16" width="10.7109375" style="127" customWidth="1"/>
    <col min="17" max="17" width="14" style="127" bestFit="1" customWidth="1"/>
    <col min="18" max="18" width="12.85546875" style="127" bestFit="1" customWidth="1"/>
    <col min="19" max="233" width="11.5703125" style="127"/>
    <col min="234" max="234" width="15.5703125" style="127" customWidth="1"/>
    <col min="235" max="235" width="11.5703125" style="127"/>
    <col min="236" max="236" width="17.7109375" style="127" customWidth="1"/>
    <col min="237" max="489" width="11.5703125" style="127"/>
    <col min="490" max="490" width="15.5703125" style="127" customWidth="1"/>
    <col min="491" max="491" width="11.5703125" style="127"/>
    <col min="492" max="492" width="17.7109375" style="127" customWidth="1"/>
    <col min="493" max="745" width="11.5703125" style="127"/>
    <col min="746" max="746" width="15.5703125" style="127" customWidth="1"/>
    <col min="747" max="747" width="11.5703125" style="127"/>
    <col min="748" max="748" width="17.7109375" style="127" customWidth="1"/>
    <col min="749" max="1001" width="11.5703125" style="127"/>
    <col min="1002" max="1002" width="15.5703125" style="127" customWidth="1"/>
    <col min="1003" max="1003" width="11.5703125" style="127"/>
    <col min="1004" max="1004" width="17.7109375" style="127" customWidth="1"/>
    <col min="1005" max="1257" width="11.5703125" style="127"/>
    <col min="1258" max="1258" width="15.5703125" style="127" customWidth="1"/>
    <col min="1259" max="1259" width="11.5703125" style="127"/>
    <col min="1260" max="1260" width="17.7109375" style="127" customWidth="1"/>
    <col min="1261" max="1513" width="11.5703125" style="127"/>
    <col min="1514" max="1514" width="15.5703125" style="127" customWidth="1"/>
    <col min="1515" max="1515" width="11.5703125" style="127"/>
    <col min="1516" max="1516" width="17.7109375" style="127" customWidth="1"/>
    <col min="1517" max="1769" width="11.5703125" style="127"/>
    <col min="1770" max="1770" width="15.5703125" style="127" customWidth="1"/>
    <col min="1771" max="1771" width="11.5703125" style="127"/>
    <col min="1772" max="1772" width="17.7109375" style="127" customWidth="1"/>
    <col min="1773" max="2025" width="11.5703125" style="127"/>
    <col min="2026" max="2026" width="15.5703125" style="127" customWidth="1"/>
    <col min="2027" max="2027" width="11.5703125" style="127"/>
    <col min="2028" max="2028" width="17.7109375" style="127" customWidth="1"/>
    <col min="2029" max="2281" width="11.5703125" style="127"/>
    <col min="2282" max="2282" width="15.5703125" style="127" customWidth="1"/>
    <col min="2283" max="2283" width="11.5703125" style="127"/>
    <col min="2284" max="2284" width="17.7109375" style="127" customWidth="1"/>
    <col min="2285" max="2537" width="11.5703125" style="127"/>
    <col min="2538" max="2538" width="15.5703125" style="127" customWidth="1"/>
    <col min="2539" max="2539" width="11.5703125" style="127"/>
    <col min="2540" max="2540" width="17.7109375" style="127" customWidth="1"/>
    <col min="2541" max="2793" width="11.5703125" style="127"/>
    <col min="2794" max="2794" width="15.5703125" style="127" customWidth="1"/>
    <col min="2795" max="2795" width="11.5703125" style="127"/>
    <col min="2796" max="2796" width="17.7109375" style="127" customWidth="1"/>
    <col min="2797" max="3049" width="11.5703125" style="127"/>
    <col min="3050" max="3050" width="15.5703125" style="127" customWidth="1"/>
    <col min="3051" max="3051" width="11.5703125" style="127"/>
    <col min="3052" max="3052" width="17.7109375" style="127" customWidth="1"/>
    <col min="3053" max="3305" width="11.5703125" style="127"/>
    <col min="3306" max="3306" width="15.5703125" style="127" customWidth="1"/>
    <col min="3307" max="3307" width="11.5703125" style="127"/>
    <col min="3308" max="3308" width="17.7109375" style="127" customWidth="1"/>
    <col min="3309" max="3561" width="11.5703125" style="127"/>
    <col min="3562" max="3562" width="15.5703125" style="127" customWidth="1"/>
    <col min="3563" max="3563" width="11.5703125" style="127"/>
    <col min="3564" max="3564" width="17.7109375" style="127" customWidth="1"/>
    <col min="3565" max="3817" width="11.5703125" style="127"/>
    <col min="3818" max="3818" width="15.5703125" style="127" customWidth="1"/>
    <col min="3819" max="3819" width="11.5703125" style="127"/>
    <col min="3820" max="3820" width="17.7109375" style="127" customWidth="1"/>
    <col min="3821" max="4073" width="11.5703125" style="127"/>
    <col min="4074" max="4074" width="15.5703125" style="127" customWidth="1"/>
    <col min="4075" max="4075" width="11.5703125" style="127"/>
    <col min="4076" max="4076" width="17.7109375" style="127" customWidth="1"/>
    <col min="4077" max="4329" width="11.5703125" style="127"/>
    <col min="4330" max="4330" width="15.5703125" style="127" customWidth="1"/>
    <col min="4331" max="4331" width="11.5703125" style="127"/>
    <col min="4332" max="4332" width="17.7109375" style="127" customWidth="1"/>
    <col min="4333" max="4585" width="11.5703125" style="127"/>
    <col min="4586" max="4586" width="15.5703125" style="127" customWidth="1"/>
    <col min="4587" max="4587" width="11.5703125" style="127"/>
    <col min="4588" max="4588" width="17.7109375" style="127" customWidth="1"/>
    <col min="4589" max="4841" width="11.5703125" style="127"/>
    <col min="4842" max="4842" width="15.5703125" style="127" customWidth="1"/>
    <col min="4843" max="4843" width="11.5703125" style="127"/>
    <col min="4844" max="4844" width="17.7109375" style="127" customWidth="1"/>
    <col min="4845" max="5097" width="11.5703125" style="127"/>
    <col min="5098" max="5098" width="15.5703125" style="127" customWidth="1"/>
    <col min="5099" max="5099" width="11.5703125" style="127"/>
    <col min="5100" max="5100" width="17.7109375" style="127" customWidth="1"/>
    <col min="5101" max="5353" width="11.5703125" style="127"/>
    <col min="5354" max="5354" width="15.5703125" style="127" customWidth="1"/>
    <col min="5355" max="5355" width="11.5703125" style="127"/>
    <col min="5356" max="5356" width="17.7109375" style="127" customWidth="1"/>
    <col min="5357" max="5609" width="11.5703125" style="127"/>
    <col min="5610" max="5610" width="15.5703125" style="127" customWidth="1"/>
    <col min="5611" max="5611" width="11.5703125" style="127"/>
    <col min="5612" max="5612" width="17.7109375" style="127" customWidth="1"/>
    <col min="5613" max="5865" width="11.5703125" style="127"/>
    <col min="5866" max="5866" width="15.5703125" style="127" customWidth="1"/>
    <col min="5867" max="5867" width="11.5703125" style="127"/>
    <col min="5868" max="5868" width="17.7109375" style="127" customWidth="1"/>
    <col min="5869" max="6121" width="11.5703125" style="127"/>
    <col min="6122" max="6122" width="15.5703125" style="127" customWidth="1"/>
    <col min="6123" max="6123" width="11.5703125" style="127"/>
    <col min="6124" max="6124" width="17.7109375" style="127" customWidth="1"/>
    <col min="6125" max="6377" width="11.5703125" style="127"/>
    <col min="6378" max="6378" width="15.5703125" style="127" customWidth="1"/>
    <col min="6379" max="6379" width="11.5703125" style="127"/>
    <col min="6380" max="6380" width="17.7109375" style="127" customWidth="1"/>
    <col min="6381" max="6633" width="11.5703125" style="127"/>
    <col min="6634" max="6634" width="15.5703125" style="127" customWidth="1"/>
    <col min="6635" max="6635" width="11.5703125" style="127"/>
    <col min="6636" max="6636" width="17.7109375" style="127" customWidth="1"/>
    <col min="6637" max="6889" width="11.5703125" style="127"/>
    <col min="6890" max="6890" width="15.5703125" style="127" customWidth="1"/>
    <col min="6891" max="6891" width="11.5703125" style="127"/>
    <col min="6892" max="6892" width="17.7109375" style="127" customWidth="1"/>
    <col min="6893" max="7145" width="11.5703125" style="127"/>
    <col min="7146" max="7146" width="15.5703125" style="127" customWidth="1"/>
    <col min="7147" max="7147" width="11.5703125" style="127"/>
    <col min="7148" max="7148" width="17.7109375" style="127" customWidth="1"/>
    <col min="7149" max="7401" width="11.5703125" style="127"/>
    <col min="7402" max="7402" width="15.5703125" style="127" customWidth="1"/>
    <col min="7403" max="7403" width="11.5703125" style="127"/>
    <col min="7404" max="7404" width="17.7109375" style="127" customWidth="1"/>
    <col min="7405" max="7657" width="11.5703125" style="127"/>
    <col min="7658" max="7658" width="15.5703125" style="127" customWidth="1"/>
    <col min="7659" max="7659" width="11.5703125" style="127"/>
    <col min="7660" max="7660" width="17.7109375" style="127" customWidth="1"/>
    <col min="7661" max="7913" width="11.5703125" style="127"/>
    <col min="7914" max="7914" width="15.5703125" style="127" customWidth="1"/>
    <col min="7915" max="7915" width="11.5703125" style="127"/>
    <col min="7916" max="7916" width="17.7109375" style="127" customWidth="1"/>
    <col min="7917" max="8169" width="11.5703125" style="127"/>
    <col min="8170" max="8170" width="15.5703125" style="127" customWidth="1"/>
    <col min="8171" max="8171" width="11.5703125" style="127"/>
    <col min="8172" max="8172" width="17.7109375" style="127" customWidth="1"/>
    <col min="8173" max="8425" width="11.5703125" style="127"/>
    <col min="8426" max="8426" width="15.5703125" style="127" customWidth="1"/>
    <col min="8427" max="8427" width="11.5703125" style="127"/>
    <col min="8428" max="8428" width="17.7109375" style="127" customWidth="1"/>
    <col min="8429" max="8681" width="11.5703125" style="127"/>
    <col min="8682" max="8682" width="15.5703125" style="127" customWidth="1"/>
    <col min="8683" max="8683" width="11.5703125" style="127"/>
    <col min="8684" max="8684" width="17.7109375" style="127" customWidth="1"/>
    <col min="8685" max="8937" width="11.5703125" style="127"/>
    <col min="8938" max="8938" width="15.5703125" style="127" customWidth="1"/>
    <col min="8939" max="8939" width="11.5703125" style="127"/>
    <col min="8940" max="8940" width="17.7109375" style="127" customWidth="1"/>
    <col min="8941" max="9193" width="11.5703125" style="127"/>
    <col min="9194" max="9194" width="15.5703125" style="127" customWidth="1"/>
    <col min="9195" max="9195" width="11.5703125" style="127"/>
    <col min="9196" max="9196" width="17.7109375" style="127" customWidth="1"/>
    <col min="9197" max="9449" width="11.5703125" style="127"/>
    <col min="9450" max="9450" width="15.5703125" style="127" customWidth="1"/>
    <col min="9451" max="9451" width="11.5703125" style="127"/>
    <col min="9452" max="9452" width="17.7109375" style="127" customWidth="1"/>
    <col min="9453" max="9705" width="11.5703125" style="127"/>
    <col min="9706" max="9706" width="15.5703125" style="127" customWidth="1"/>
    <col min="9707" max="9707" width="11.5703125" style="127"/>
    <col min="9708" max="9708" width="17.7109375" style="127" customWidth="1"/>
    <col min="9709" max="9961" width="11.5703125" style="127"/>
    <col min="9962" max="9962" width="15.5703125" style="127" customWidth="1"/>
    <col min="9963" max="9963" width="11.5703125" style="127"/>
    <col min="9964" max="9964" width="17.7109375" style="127" customWidth="1"/>
    <col min="9965" max="10217" width="11.5703125" style="127"/>
    <col min="10218" max="10218" width="15.5703125" style="127" customWidth="1"/>
    <col min="10219" max="10219" width="11.5703125" style="127"/>
    <col min="10220" max="10220" width="17.7109375" style="127" customWidth="1"/>
    <col min="10221" max="10473" width="11.5703125" style="127"/>
    <col min="10474" max="10474" width="15.5703125" style="127" customWidth="1"/>
    <col min="10475" max="10475" width="11.5703125" style="127"/>
    <col min="10476" max="10476" width="17.7109375" style="127" customWidth="1"/>
    <col min="10477" max="10729" width="11.5703125" style="127"/>
    <col min="10730" max="10730" width="15.5703125" style="127" customWidth="1"/>
    <col min="10731" max="10731" width="11.5703125" style="127"/>
    <col min="10732" max="10732" width="17.7109375" style="127" customWidth="1"/>
    <col min="10733" max="10985" width="11.5703125" style="127"/>
    <col min="10986" max="10986" width="15.5703125" style="127" customWidth="1"/>
    <col min="10987" max="10987" width="11.5703125" style="127"/>
    <col min="10988" max="10988" width="17.7109375" style="127" customWidth="1"/>
    <col min="10989" max="11241" width="11.5703125" style="127"/>
    <col min="11242" max="11242" width="15.5703125" style="127" customWidth="1"/>
    <col min="11243" max="11243" width="11.5703125" style="127"/>
    <col min="11244" max="11244" width="17.7109375" style="127" customWidth="1"/>
    <col min="11245" max="11497" width="11.5703125" style="127"/>
    <col min="11498" max="11498" width="15.5703125" style="127" customWidth="1"/>
    <col min="11499" max="11499" width="11.5703125" style="127"/>
    <col min="11500" max="11500" width="17.7109375" style="127" customWidth="1"/>
    <col min="11501" max="11753" width="11.5703125" style="127"/>
    <col min="11754" max="11754" width="15.5703125" style="127" customWidth="1"/>
    <col min="11755" max="11755" width="11.5703125" style="127"/>
    <col min="11756" max="11756" width="17.7109375" style="127" customWidth="1"/>
    <col min="11757" max="12009" width="11.5703125" style="127"/>
    <col min="12010" max="12010" width="15.5703125" style="127" customWidth="1"/>
    <col min="12011" max="12011" width="11.5703125" style="127"/>
    <col min="12012" max="12012" width="17.7109375" style="127" customWidth="1"/>
    <col min="12013" max="12265" width="11.5703125" style="127"/>
    <col min="12266" max="12266" width="15.5703125" style="127" customWidth="1"/>
    <col min="12267" max="12267" width="11.5703125" style="127"/>
    <col min="12268" max="12268" width="17.7109375" style="127" customWidth="1"/>
    <col min="12269" max="12521" width="11.5703125" style="127"/>
    <col min="12522" max="12522" width="15.5703125" style="127" customWidth="1"/>
    <col min="12523" max="12523" width="11.5703125" style="127"/>
    <col min="12524" max="12524" width="17.7109375" style="127" customWidth="1"/>
    <col min="12525" max="12777" width="11.5703125" style="127"/>
    <col min="12778" max="12778" width="15.5703125" style="127" customWidth="1"/>
    <col min="12779" max="12779" width="11.5703125" style="127"/>
    <col min="12780" max="12780" width="17.7109375" style="127" customWidth="1"/>
    <col min="12781" max="13033" width="11.5703125" style="127"/>
    <col min="13034" max="13034" width="15.5703125" style="127" customWidth="1"/>
    <col min="13035" max="13035" width="11.5703125" style="127"/>
    <col min="13036" max="13036" width="17.7109375" style="127" customWidth="1"/>
    <col min="13037" max="13289" width="11.5703125" style="127"/>
    <col min="13290" max="13290" width="15.5703125" style="127" customWidth="1"/>
    <col min="13291" max="13291" width="11.5703125" style="127"/>
    <col min="13292" max="13292" width="17.7109375" style="127" customWidth="1"/>
    <col min="13293" max="13545" width="11.5703125" style="127"/>
    <col min="13546" max="13546" width="15.5703125" style="127" customWidth="1"/>
    <col min="13547" max="13547" width="11.5703125" style="127"/>
    <col min="13548" max="13548" width="17.7109375" style="127" customWidth="1"/>
    <col min="13549" max="13801" width="11.5703125" style="127"/>
    <col min="13802" max="13802" width="15.5703125" style="127" customWidth="1"/>
    <col min="13803" max="13803" width="11.5703125" style="127"/>
    <col min="13804" max="13804" width="17.7109375" style="127" customWidth="1"/>
    <col min="13805" max="14057" width="11.5703125" style="127"/>
    <col min="14058" max="14058" width="15.5703125" style="127" customWidth="1"/>
    <col min="14059" max="14059" width="11.5703125" style="127"/>
    <col min="14060" max="14060" width="17.7109375" style="127" customWidth="1"/>
    <col min="14061" max="14313" width="11.5703125" style="127"/>
    <col min="14314" max="14314" width="15.5703125" style="127" customWidth="1"/>
    <col min="14315" max="14315" width="11.5703125" style="127"/>
    <col min="14316" max="14316" width="17.7109375" style="127" customWidth="1"/>
    <col min="14317" max="14569" width="11.5703125" style="127"/>
    <col min="14570" max="14570" width="15.5703125" style="127" customWidth="1"/>
    <col min="14571" max="14571" width="11.5703125" style="127"/>
    <col min="14572" max="14572" width="17.7109375" style="127" customWidth="1"/>
    <col min="14573" max="14825" width="11.5703125" style="127"/>
    <col min="14826" max="14826" width="15.5703125" style="127" customWidth="1"/>
    <col min="14827" max="14827" width="11.5703125" style="127"/>
    <col min="14828" max="14828" width="17.7109375" style="127" customWidth="1"/>
    <col min="14829" max="15081" width="11.5703125" style="127"/>
    <col min="15082" max="15082" width="15.5703125" style="127" customWidth="1"/>
    <col min="15083" max="15083" width="11.5703125" style="127"/>
    <col min="15084" max="15084" width="17.7109375" style="127" customWidth="1"/>
    <col min="15085" max="15337" width="11.5703125" style="127"/>
    <col min="15338" max="15338" width="15.5703125" style="127" customWidth="1"/>
    <col min="15339" max="15339" width="11.5703125" style="127"/>
    <col min="15340" max="15340" width="17.7109375" style="127" customWidth="1"/>
    <col min="15341" max="15593" width="11.5703125" style="127"/>
    <col min="15594" max="15594" width="15.5703125" style="127" customWidth="1"/>
    <col min="15595" max="15595" width="11.5703125" style="127"/>
    <col min="15596" max="15596" width="17.7109375" style="127" customWidth="1"/>
    <col min="15597" max="15849" width="11.5703125" style="127"/>
    <col min="15850" max="15850" width="15.5703125" style="127" customWidth="1"/>
    <col min="15851" max="15851" width="11.5703125" style="127"/>
    <col min="15852" max="15852" width="17.7109375" style="127" customWidth="1"/>
    <col min="15853" max="16105" width="11.5703125" style="127"/>
    <col min="16106" max="16106" width="15.5703125" style="127" customWidth="1"/>
    <col min="16107" max="16107" width="11.5703125" style="127"/>
    <col min="16108" max="16108" width="17.7109375" style="127" customWidth="1"/>
    <col min="16109" max="16384" width="11.5703125" style="127"/>
  </cols>
  <sheetData>
    <row r="1" spans="1:18" s="2" customFormat="1" x14ac:dyDescent="0.25">
      <c r="A1" s="1370"/>
      <c r="B1" s="1672" t="s">
        <v>0</v>
      </c>
      <c r="C1" s="1672"/>
      <c r="D1" s="1672"/>
      <c r="E1" s="1672"/>
      <c r="F1" s="1672"/>
      <c r="G1" s="1672"/>
      <c r="H1" s="1672"/>
      <c r="I1" s="1672"/>
      <c r="J1" s="1672"/>
      <c r="K1" s="1672"/>
      <c r="L1" s="1672"/>
      <c r="M1" s="1672"/>
      <c r="N1" s="1672"/>
      <c r="O1" s="1672"/>
      <c r="P1" s="1672"/>
      <c r="Q1" s="4"/>
      <c r="R1" s="5"/>
    </row>
    <row r="2" spans="1:18" s="2" customFormat="1" ht="13.5" thickBot="1" x14ac:dyDescent="0.3">
      <c r="A2" s="1370"/>
      <c r="B2" s="6"/>
      <c r="C2" s="6"/>
      <c r="D2" s="7"/>
      <c r="E2" s="8"/>
      <c r="F2" s="10"/>
      <c r="G2" s="10"/>
      <c r="H2" s="10"/>
      <c r="I2" s="10"/>
      <c r="J2" s="10"/>
      <c r="K2" s="10"/>
      <c r="L2" s="10"/>
      <c r="M2" s="10"/>
      <c r="N2" s="10"/>
      <c r="O2" s="10"/>
      <c r="P2" s="10"/>
      <c r="Q2" s="4"/>
      <c r="R2" s="5"/>
    </row>
    <row r="3" spans="1:18" s="2" customFormat="1" ht="13.5" thickBot="1" x14ac:dyDescent="0.3">
      <c r="A3" s="1370"/>
      <c r="B3" s="2001" t="s">
        <v>7205</v>
      </c>
      <c r="C3" s="2002"/>
      <c r="D3" s="2002"/>
      <c r="E3" s="2002"/>
      <c r="F3" s="2002"/>
      <c r="G3" s="2002"/>
      <c r="H3" s="2002"/>
      <c r="I3" s="2002"/>
      <c r="J3" s="2002"/>
      <c r="K3" s="2002"/>
      <c r="L3" s="2002"/>
      <c r="M3" s="2002"/>
      <c r="N3" s="2002"/>
      <c r="O3" s="2002"/>
      <c r="P3" s="2003"/>
      <c r="Q3" s="4"/>
      <c r="R3" s="5"/>
    </row>
    <row r="4" spans="1:18" s="13" customFormat="1" ht="13.5" thickBot="1" x14ac:dyDescent="0.3">
      <c r="A4" s="11"/>
      <c r="B4" s="12"/>
      <c r="C4" s="12"/>
      <c r="E4" s="15"/>
      <c r="F4" s="1371"/>
      <c r="G4" s="1372"/>
      <c r="H4" s="18"/>
      <c r="I4" s="10"/>
      <c r="J4" s="10"/>
      <c r="K4" s="10"/>
      <c r="L4" s="10"/>
      <c r="M4" s="10"/>
      <c r="N4" s="10"/>
      <c r="O4" s="10"/>
      <c r="P4" s="10"/>
      <c r="Q4" s="19"/>
      <c r="R4" s="20"/>
    </row>
    <row r="5" spans="1:18" s="2" customFormat="1" ht="12.75" customHeight="1" x14ac:dyDescent="0.25">
      <c r="A5" s="1370"/>
      <c r="B5" s="21" t="str">
        <f>oR!E5</f>
        <v>PROPRIETÁRIO:</v>
      </c>
      <c r="C5" s="22"/>
      <c r="D5" s="23" t="str">
        <f>oR!G5</f>
        <v>MUNICÍPIO DE PRESIDENTE CASTELLO BRANCO</v>
      </c>
      <c r="E5" s="24"/>
      <c r="F5" s="165"/>
      <c r="G5" s="165"/>
      <c r="H5" s="682"/>
      <c r="I5" s="1395"/>
      <c r="J5" s="1395"/>
      <c r="K5" s="1140"/>
      <c r="L5" s="1140"/>
      <c r="M5" s="1140"/>
      <c r="N5" s="1396"/>
      <c r="O5" s="1140"/>
      <c r="P5" s="1399"/>
      <c r="Q5" s="4"/>
      <c r="R5" s="1006"/>
    </row>
    <row r="6" spans="1:18" s="2" customFormat="1" x14ac:dyDescent="0.25">
      <c r="A6" s="1370"/>
      <c r="B6" s="26" t="str">
        <f>oR!E6</f>
        <v>OBRA:</v>
      </c>
      <c r="C6" s="27"/>
      <c r="D6" s="28" t="str">
        <f>oR!G6</f>
        <v>IMPLANTAÇÃO E PAVIMENTAÇÃO DA ESTRADA DE LINHA TAQUARAL - SEGMENTO 01</v>
      </c>
      <c r="E6" s="29"/>
      <c r="F6" s="13"/>
      <c r="G6" s="13"/>
      <c r="H6" s="683"/>
      <c r="I6" s="1400"/>
      <c r="J6" s="1400"/>
      <c r="K6" s="1141"/>
      <c r="L6" s="1141"/>
      <c r="M6" s="1141"/>
      <c r="N6" s="1397"/>
      <c r="O6" s="1141"/>
      <c r="P6" s="1401"/>
      <c r="Q6" s="4"/>
      <c r="R6" s="5"/>
    </row>
    <row r="7" spans="1:18" s="2" customFormat="1" x14ac:dyDescent="0.25">
      <c r="A7" s="1370"/>
      <c r="B7" s="26" t="str">
        <f>oR!E7</f>
        <v>TRECHO:</v>
      </c>
      <c r="C7" s="27"/>
      <c r="D7" s="28" t="str">
        <f>oR!G7</f>
        <v>Av. Dezessete de Fevereiro - Fim da pavimentação (Km 2+200m)</v>
      </c>
      <c r="E7" s="30"/>
      <c r="F7" s="13"/>
      <c r="G7" s="13"/>
      <c r="H7" s="683"/>
      <c r="I7" s="1402"/>
      <c r="J7" s="1402"/>
      <c r="K7" s="1141"/>
      <c r="L7" s="1141"/>
      <c r="M7" s="1141"/>
      <c r="N7" s="1397"/>
      <c r="O7" s="1141"/>
      <c r="P7" s="1401"/>
      <c r="R7" s="5"/>
    </row>
    <row r="8" spans="1:18" s="2" customFormat="1" ht="13.5" thickBot="1" x14ac:dyDescent="0.3">
      <c r="A8" s="1370"/>
      <c r="B8" s="31"/>
      <c r="C8" s="32"/>
      <c r="D8" s="183"/>
      <c r="E8" s="34"/>
      <c r="F8" s="684"/>
      <c r="G8" s="685"/>
      <c r="H8" s="184"/>
      <c r="I8" s="1373"/>
      <c r="J8" s="1373"/>
      <c r="K8" s="1373"/>
      <c r="L8" s="1373"/>
      <c r="M8" s="1373"/>
      <c r="N8" s="1398"/>
      <c r="O8" s="1373"/>
      <c r="P8" s="1374"/>
      <c r="Q8" s="4"/>
      <c r="R8" s="5"/>
    </row>
    <row r="9" spans="1:18" ht="13.5" thickBot="1" x14ac:dyDescent="0.25">
      <c r="B9" s="176"/>
      <c r="C9" s="177"/>
      <c r="D9" s="177"/>
      <c r="E9" s="176"/>
      <c r="F9" s="176"/>
      <c r="G9" s="176"/>
      <c r="H9" s="176"/>
      <c r="I9" s="176"/>
      <c r="J9" s="176"/>
      <c r="K9" s="176"/>
      <c r="L9" s="176"/>
      <c r="M9" s="176"/>
      <c r="N9" s="176"/>
      <c r="O9" s="176"/>
      <c r="P9" s="176"/>
    </row>
    <row r="10" spans="1:18" s="2" customFormat="1" ht="13.5" thickBot="1" x14ac:dyDescent="0.3">
      <c r="A10" s="1370" t="s">
        <v>2630</v>
      </c>
      <c r="B10" s="290" t="s">
        <v>6</v>
      </c>
      <c r="C10" s="291" t="s">
        <v>9</v>
      </c>
      <c r="D10" s="292"/>
      <c r="E10" s="293" t="s">
        <v>2587</v>
      </c>
      <c r="F10" s="294" t="s">
        <v>2588</v>
      </c>
      <c r="G10" s="294" t="s">
        <v>2589</v>
      </c>
      <c r="H10" s="294" t="s">
        <v>2590</v>
      </c>
      <c r="I10" s="294" t="s">
        <v>2591</v>
      </c>
      <c r="J10" s="294" t="s">
        <v>2592</v>
      </c>
      <c r="K10" s="294" t="s">
        <v>6502</v>
      </c>
      <c r="L10" s="294" t="s">
        <v>6503</v>
      </c>
      <c r="M10" s="294" t="s">
        <v>6504</v>
      </c>
      <c r="N10" s="294" t="s">
        <v>6505</v>
      </c>
      <c r="O10" s="294" t="s">
        <v>6506</v>
      </c>
      <c r="P10" s="295" t="s">
        <v>6507</v>
      </c>
    </row>
    <row r="11" spans="1:18" s="2" customFormat="1" hidden="1" x14ac:dyDescent="0.25">
      <c r="A11" s="1370">
        <f>oR!C14</f>
        <v>1</v>
      </c>
      <c r="B11" s="1385">
        <v>0</v>
      </c>
      <c r="C11" s="2052" t="str">
        <f>oR!G14</f>
        <v>SERVIÇOS INICIAIS</v>
      </c>
      <c r="D11" s="2053"/>
      <c r="E11" s="1386">
        <f>cR!G12</f>
        <v>1</v>
      </c>
      <c r="F11" s="1387">
        <f>cR!H12</f>
        <v>0</v>
      </c>
      <c r="G11" s="1388">
        <f>cR!I12</f>
        <v>0</v>
      </c>
      <c r="H11" s="1388">
        <f>cR!J12</f>
        <v>0</v>
      </c>
      <c r="I11" s="1388">
        <f>cR!K12</f>
        <v>0</v>
      </c>
      <c r="J11" s="1388">
        <f>cR!L12</f>
        <v>0</v>
      </c>
      <c r="K11" s="1388">
        <f>cR!M12</f>
        <v>0</v>
      </c>
      <c r="L11" s="1388">
        <f>cR!N12</f>
        <v>0</v>
      </c>
      <c r="M11" s="1388">
        <f>cR!O12</f>
        <v>0</v>
      </c>
      <c r="N11" s="1388">
        <f>cR!P12</f>
        <v>0</v>
      </c>
      <c r="O11" s="1388">
        <f>cR!Q12</f>
        <v>0</v>
      </c>
      <c r="P11" s="1389">
        <f>cR!R12</f>
        <v>0</v>
      </c>
      <c r="Q11" s="1363"/>
    </row>
    <row r="12" spans="1:18" s="2" customFormat="1" x14ac:dyDescent="0.25">
      <c r="A12" s="1370">
        <v>1</v>
      </c>
      <c r="B12" s="1390" t="s">
        <v>7206</v>
      </c>
      <c r="C12" s="2050" t="str">
        <f>oR!G19</f>
        <v>DRENAGEM E OAC</v>
      </c>
      <c r="D12" s="2051"/>
      <c r="E12" s="1391">
        <f>cR!G14</f>
        <v>0.5</v>
      </c>
      <c r="F12" s="1392">
        <f>cR!H14</f>
        <v>0</v>
      </c>
      <c r="G12" s="1392">
        <f>cR!I14</f>
        <v>0.5</v>
      </c>
      <c r="H12" s="1392">
        <f>cR!J14</f>
        <v>0</v>
      </c>
      <c r="I12" s="1392">
        <f>cR!K14</f>
        <v>0</v>
      </c>
      <c r="J12" s="1392">
        <f>cR!L14</f>
        <v>0</v>
      </c>
      <c r="K12" s="1392">
        <f>cR!M14</f>
        <v>0</v>
      </c>
      <c r="L12" s="1392">
        <f>cR!N14</f>
        <v>0</v>
      </c>
      <c r="M12" s="1392">
        <f>cR!O14</f>
        <v>0</v>
      </c>
      <c r="N12" s="1392">
        <f>cR!P14</f>
        <v>0</v>
      </c>
      <c r="O12" s="1392">
        <f>cR!Q14</f>
        <v>0</v>
      </c>
      <c r="P12" s="1393">
        <f>cR!R14</f>
        <v>0</v>
      </c>
      <c r="Q12" s="1363"/>
    </row>
    <row r="13" spans="1:18" s="2" customFormat="1" x14ac:dyDescent="0.25">
      <c r="A13" s="1370">
        <v>1</v>
      </c>
      <c r="B13" s="1390" t="s">
        <v>7207</v>
      </c>
      <c r="C13" s="2050" t="str">
        <f>oR!G179</f>
        <v>TERRAPLENAGEM</v>
      </c>
      <c r="D13" s="2051"/>
      <c r="E13" s="1391">
        <f>cR!G16</f>
        <v>1</v>
      </c>
      <c r="F13" s="1392">
        <f>cR!H16</f>
        <v>0</v>
      </c>
      <c r="G13" s="1392">
        <f>cR!I16</f>
        <v>0</v>
      </c>
      <c r="H13" s="1392">
        <f>cR!J16</f>
        <v>0</v>
      </c>
      <c r="I13" s="1392">
        <f>cR!K16</f>
        <v>0</v>
      </c>
      <c r="J13" s="1392">
        <f>cR!L16</f>
        <v>0</v>
      </c>
      <c r="K13" s="1392">
        <f>cR!M16</f>
        <v>0</v>
      </c>
      <c r="L13" s="1392">
        <f>cR!N16</f>
        <v>0</v>
      </c>
      <c r="M13" s="1392">
        <f>cR!O16</f>
        <v>0</v>
      </c>
      <c r="N13" s="1392">
        <f>cR!P16</f>
        <v>0</v>
      </c>
      <c r="O13" s="1394">
        <f>cR!Q16</f>
        <v>0</v>
      </c>
      <c r="P13" s="1393">
        <f>cR!R16</f>
        <v>0</v>
      </c>
      <c r="Q13" s="1363"/>
    </row>
    <row r="14" spans="1:18" s="2" customFormat="1" x14ac:dyDescent="0.25">
      <c r="A14" s="1370">
        <v>1</v>
      </c>
      <c r="B14" s="1390" t="s">
        <v>7208</v>
      </c>
      <c r="C14" s="2050" t="str">
        <f>oR!G191</f>
        <v>PAVIMENTAÇÃO ASFÁLTICA</v>
      </c>
      <c r="D14" s="2051"/>
      <c r="E14" s="1391">
        <f>cR!G18</f>
        <v>0</v>
      </c>
      <c r="F14" s="1392">
        <f>cR!H18</f>
        <v>0.5</v>
      </c>
      <c r="G14" s="1392">
        <f>cR!I18</f>
        <v>0.5</v>
      </c>
      <c r="H14" s="1392">
        <f>cR!J18</f>
        <v>0</v>
      </c>
      <c r="I14" s="1392">
        <f>cR!K18</f>
        <v>0</v>
      </c>
      <c r="J14" s="1392">
        <f>cR!L18</f>
        <v>0</v>
      </c>
      <c r="K14" s="1392">
        <f>cR!M18</f>
        <v>0</v>
      </c>
      <c r="L14" s="1392">
        <f>cR!N18</f>
        <v>0</v>
      </c>
      <c r="M14" s="1392">
        <f>cR!O18</f>
        <v>0</v>
      </c>
      <c r="N14" s="1392">
        <f>cR!P18</f>
        <v>0</v>
      </c>
      <c r="O14" s="1392">
        <f>cR!Q18</f>
        <v>0</v>
      </c>
      <c r="P14" s="1393">
        <f>cR!R18</f>
        <v>0</v>
      </c>
      <c r="Q14" s="1363"/>
    </row>
    <row r="15" spans="1:18" s="2" customFormat="1" x14ac:dyDescent="0.25">
      <c r="A15" s="1370">
        <v>1</v>
      </c>
      <c r="B15" s="1390" t="s">
        <v>7209</v>
      </c>
      <c r="C15" s="2050" t="str">
        <f>oR!G311</f>
        <v>MEIO-FIO E PASSEIOS</v>
      </c>
      <c r="D15" s="2051"/>
      <c r="E15" s="1391">
        <f>cR!G20</f>
        <v>0</v>
      </c>
      <c r="F15" s="1392">
        <f>cR!H20</f>
        <v>0</v>
      </c>
      <c r="G15" s="1392">
        <f>cR!I20</f>
        <v>0.5</v>
      </c>
      <c r="H15" s="1392">
        <f>cR!J20</f>
        <v>0</v>
      </c>
      <c r="I15" s="1394">
        <f>cR!K20</f>
        <v>0</v>
      </c>
      <c r="J15" s="1394">
        <f>cR!L20</f>
        <v>0</v>
      </c>
      <c r="K15" s="1394">
        <f>cR!M20</f>
        <v>0</v>
      </c>
      <c r="L15" s="1394">
        <f>cR!N20</f>
        <v>0</v>
      </c>
      <c r="M15" s="1394">
        <f>cR!O20</f>
        <v>0</v>
      </c>
      <c r="N15" s="1394">
        <f>cR!P20</f>
        <v>0</v>
      </c>
      <c r="O15" s="1394">
        <f>cR!Q20</f>
        <v>0</v>
      </c>
      <c r="P15" s="1393">
        <f>cR!R20</f>
        <v>0</v>
      </c>
      <c r="Q15" s="1363"/>
    </row>
    <row r="16" spans="1:18" s="2" customFormat="1" x14ac:dyDescent="0.25">
      <c r="A16" s="1370">
        <v>1</v>
      </c>
      <c r="B16" s="1390" t="s">
        <v>7210</v>
      </c>
      <c r="C16" s="2050" t="str">
        <f>oR!G323</f>
        <v>SINALIZAÇÃO</v>
      </c>
      <c r="D16" s="2051"/>
      <c r="E16" s="1391">
        <f>cR!G22</f>
        <v>0</v>
      </c>
      <c r="F16" s="1392">
        <f>cR!H22</f>
        <v>0</v>
      </c>
      <c r="G16" s="1392">
        <f>cR!I22</f>
        <v>1</v>
      </c>
      <c r="H16" s="1392">
        <f>cR!J22</f>
        <v>0</v>
      </c>
      <c r="I16" s="1394">
        <f>cR!K22</f>
        <v>0</v>
      </c>
      <c r="J16" s="1394">
        <f>cR!L22</f>
        <v>0</v>
      </c>
      <c r="K16" s="1394">
        <f>cR!M22</f>
        <v>0</v>
      </c>
      <c r="L16" s="1394">
        <f>cR!N22</f>
        <v>0</v>
      </c>
      <c r="M16" s="1394">
        <f>cR!O22</f>
        <v>0</v>
      </c>
      <c r="N16" s="1394">
        <f>cR!P22</f>
        <v>0</v>
      </c>
      <c r="O16" s="1394">
        <f>cR!Q22</f>
        <v>0</v>
      </c>
      <c r="P16" s="1393">
        <f>cR!R22</f>
        <v>0</v>
      </c>
      <c r="Q16" s="1363"/>
    </row>
    <row r="17" spans="1:18" s="2" customFormat="1" x14ac:dyDescent="0.25">
      <c r="A17" s="1370">
        <v>1</v>
      </c>
      <c r="B17" s="1390" t="s">
        <v>7211</v>
      </c>
      <c r="C17" s="2050" t="str">
        <f>oR!G351</f>
        <v>OBRAS COMPLEMENTARES</v>
      </c>
      <c r="D17" s="2051"/>
      <c r="E17" s="1391">
        <f>cR!G24</f>
        <v>0.5</v>
      </c>
      <c r="F17" s="1392">
        <f>cR!H24</f>
        <v>0</v>
      </c>
      <c r="G17" s="1392">
        <f>cR!I24</f>
        <v>0.5</v>
      </c>
      <c r="H17" s="1392">
        <f>cR!J24</f>
        <v>0</v>
      </c>
      <c r="I17" s="1394">
        <f>cR!K24</f>
        <v>0</v>
      </c>
      <c r="J17" s="1394">
        <f>cR!L24</f>
        <v>0</v>
      </c>
      <c r="K17" s="1394">
        <f>cR!M24</f>
        <v>0</v>
      </c>
      <c r="L17" s="1394">
        <f>cR!N24</f>
        <v>0</v>
      </c>
      <c r="M17" s="1394">
        <f>cR!O24</f>
        <v>0</v>
      </c>
      <c r="N17" s="1394">
        <f>cR!P24</f>
        <v>0</v>
      </c>
      <c r="O17" s="1394">
        <f>cR!Q24</f>
        <v>0</v>
      </c>
      <c r="P17" s="1393">
        <f>cR!R24</f>
        <v>0</v>
      </c>
      <c r="Q17" s="1363"/>
    </row>
    <row r="18" spans="1:18" s="2" customFormat="1" x14ac:dyDescent="0.25">
      <c r="A18" s="1370">
        <v>1</v>
      </c>
      <c r="B18" s="1390" t="s">
        <v>7212</v>
      </c>
      <c r="C18" s="2050" t="str">
        <f>oR!G369</f>
        <v>OBRAS DE CONTENÇÃO</v>
      </c>
      <c r="D18" s="2051"/>
      <c r="E18" s="1391">
        <f>cR!G26</f>
        <v>0</v>
      </c>
      <c r="F18" s="1392">
        <f>cR!H26</f>
        <v>0</v>
      </c>
      <c r="G18" s="1392">
        <f>cR!I26</f>
        <v>0</v>
      </c>
      <c r="H18" s="1392">
        <f>cR!J26</f>
        <v>0</v>
      </c>
      <c r="I18" s="1394">
        <f>cR!K26</f>
        <v>0</v>
      </c>
      <c r="J18" s="1394">
        <f>cR!L26</f>
        <v>0</v>
      </c>
      <c r="K18" s="1394">
        <f>cR!M26</f>
        <v>0</v>
      </c>
      <c r="L18" s="1394">
        <f>cR!N26</f>
        <v>0</v>
      </c>
      <c r="M18" s="1394">
        <f>cR!O26</f>
        <v>0</v>
      </c>
      <c r="N18" s="1394">
        <f>cR!P26</f>
        <v>0</v>
      </c>
      <c r="O18" s="1394">
        <f>cR!Q26</f>
        <v>0</v>
      </c>
      <c r="P18" s="1393">
        <f>cR!R26</f>
        <v>0</v>
      </c>
      <c r="Q18" s="1363"/>
    </row>
    <row r="19" spans="1:18" s="2" customFormat="1" hidden="1" x14ac:dyDescent="0.25">
      <c r="A19" s="1370">
        <f>oR!C375</f>
        <v>0</v>
      </c>
      <c r="B19" s="1390">
        <v>0</v>
      </c>
      <c r="C19" s="2050" t="str">
        <f>oR!G375</f>
        <v>CONTROLE TECNOLÓGICO</v>
      </c>
      <c r="D19" s="2051"/>
      <c r="E19" s="1391">
        <f>cR!G28</f>
        <v>0</v>
      </c>
      <c r="F19" s="1392">
        <f>cR!H28</f>
        <v>0</v>
      </c>
      <c r="G19" s="1392">
        <f>cR!I28</f>
        <v>0</v>
      </c>
      <c r="H19" s="1392">
        <f>cR!J28</f>
        <v>0</v>
      </c>
      <c r="I19" s="1394">
        <f>cR!K28</f>
        <v>0</v>
      </c>
      <c r="J19" s="1394">
        <f>cR!L28</f>
        <v>0</v>
      </c>
      <c r="K19" s="1394">
        <f>cR!M28</f>
        <v>0</v>
      </c>
      <c r="L19" s="1394">
        <f>cR!N28</f>
        <v>0</v>
      </c>
      <c r="M19" s="1394">
        <f>cR!O28</f>
        <v>0</v>
      </c>
      <c r="N19" s="1394">
        <f>cR!P28</f>
        <v>0</v>
      </c>
      <c r="O19" s="1394">
        <f>cR!Q28</f>
        <v>0</v>
      </c>
      <c r="P19" s="1393">
        <f>cR!R28</f>
        <v>0</v>
      </c>
      <c r="Q19" s="1363"/>
    </row>
    <row r="20" spans="1:18" s="2" customFormat="1" ht="13.5" thickBot="1" x14ac:dyDescent="0.3">
      <c r="A20" s="1370">
        <f>oR!C381</f>
        <v>0</v>
      </c>
      <c r="B20" s="1381" t="s">
        <v>7213</v>
      </c>
      <c r="C20" s="2048" t="str">
        <f>oR!G381</f>
        <v>SERVIÇOS TÉCNICOS AMBIENTAIS</v>
      </c>
      <c r="D20" s="2049"/>
      <c r="E20" s="1382">
        <f>cR!G30</f>
        <v>0.15</v>
      </c>
      <c r="F20" s="1383">
        <f>cR!H30</f>
        <v>0.15</v>
      </c>
      <c r="G20" s="1383">
        <f>cR!I30</f>
        <v>0.15</v>
      </c>
      <c r="H20" s="1383">
        <f>cR!J30</f>
        <v>0.15</v>
      </c>
      <c r="I20" s="1383">
        <f>cR!K30</f>
        <v>0.15</v>
      </c>
      <c r="J20" s="1383">
        <f>cR!L30</f>
        <v>0.15</v>
      </c>
      <c r="K20" s="1383">
        <f>cR!M30</f>
        <v>0.1</v>
      </c>
      <c r="L20" s="1383">
        <f>cR!N30</f>
        <v>0</v>
      </c>
      <c r="M20" s="1383">
        <f>cR!O30</f>
        <v>0</v>
      </c>
      <c r="N20" s="1383">
        <f>cR!P30</f>
        <v>0</v>
      </c>
      <c r="O20" s="1383">
        <f>cR!Q30</f>
        <v>0</v>
      </c>
      <c r="P20" s="1384">
        <f>cR!R30</f>
        <v>0</v>
      </c>
      <c r="Q20" s="1363"/>
    </row>
    <row r="21" spans="1:18" s="2" customFormat="1" ht="13.5" thickBot="1" x14ac:dyDescent="0.3">
      <c r="A21" s="1370" t="s">
        <v>2630</v>
      </c>
      <c r="B21" s="290" t="s">
        <v>6</v>
      </c>
      <c r="C21" s="291" t="s">
        <v>9</v>
      </c>
      <c r="D21" s="292"/>
      <c r="E21" s="293" t="str">
        <f>cR!G36</f>
        <v>Mês 13</v>
      </c>
      <c r="F21" s="294" t="str">
        <f>cR!H36</f>
        <v>Mês 14</v>
      </c>
      <c r="G21" s="294" t="str">
        <f>cR!I36</f>
        <v>Mês 15</v>
      </c>
      <c r="H21" s="294" t="str">
        <f>cR!J36</f>
        <v>Mês 16</v>
      </c>
      <c r="I21" s="294" t="str">
        <f>cR!K36</f>
        <v>Mês 17</v>
      </c>
      <c r="J21" s="294" t="str">
        <f>cR!L36</f>
        <v>Mês 18</v>
      </c>
      <c r="K21" s="294" t="str">
        <f>cR!M36</f>
        <v>Mês 19</v>
      </c>
      <c r="L21" s="294" t="str">
        <f>cR!N36</f>
        <v>Mês 20</v>
      </c>
      <c r="M21" s="294" t="str">
        <f>cR!O36</f>
        <v>Mês 21</v>
      </c>
      <c r="N21" s="294" t="str">
        <f>cR!P36</f>
        <v>Mês 22</v>
      </c>
      <c r="O21" s="294" t="str">
        <f>cR!Q36</f>
        <v>Mês 23</v>
      </c>
      <c r="P21" s="295" t="str">
        <f>cR!R36</f>
        <v>Mês 24</v>
      </c>
    </row>
    <row r="22" spans="1:18" s="2" customFormat="1" ht="13.5" hidden="1" customHeight="1" x14ac:dyDescent="0.25">
      <c r="A22" s="1370">
        <f>A11</f>
        <v>1</v>
      </c>
      <c r="B22" s="1385">
        <f>B11</f>
        <v>0</v>
      </c>
      <c r="C22" s="2052" t="str">
        <f>C11</f>
        <v>SERVIÇOS INICIAIS</v>
      </c>
      <c r="D22" s="2053">
        <f>D11</f>
        <v>0</v>
      </c>
      <c r="E22" s="1386">
        <f>cR!G37</f>
        <v>0</v>
      </c>
      <c r="F22" s="1387">
        <f>cR!H37</f>
        <v>0</v>
      </c>
      <c r="G22" s="1388">
        <f>cR!I37</f>
        <v>0</v>
      </c>
      <c r="H22" s="1388">
        <f>cR!J37</f>
        <v>0</v>
      </c>
      <c r="I22" s="1388">
        <f>cR!K37</f>
        <v>0</v>
      </c>
      <c r="J22" s="1388">
        <f>cR!L37</f>
        <v>0</v>
      </c>
      <c r="K22" s="1388">
        <f>cR!M37</f>
        <v>0</v>
      </c>
      <c r="L22" s="1388">
        <f>cR!N37</f>
        <v>0</v>
      </c>
      <c r="M22" s="1388">
        <f>cR!O37</f>
        <v>0</v>
      </c>
      <c r="N22" s="1388">
        <f>cR!P37</f>
        <v>0</v>
      </c>
      <c r="O22" s="1388">
        <f>cR!Q37</f>
        <v>0</v>
      </c>
      <c r="P22" s="1389">
        <f>cR!R37</f>
        <v>0</v>
      </c>
      <c r="Q22" s="1363">
        <f t="shared" ref="Q22:Q31" si="0">SUM(E22:P22,E11:P11)</f>
        <v>1</v>
      </c>
      <c r="R22" s="154"/>
    </row>
    <row r="23" spans="1:18" s="2" customFormat="1" ht="12.75" customHeight="1" x14ac:dyDescent="0.25">
      <c r="A23" s="1370">
        <f t="shared" ref="A23:A31" si="1">A12</f>
        <v>1</v>
      </c>
      <c r="B23" s="1390" t="str">
        <f t="shared" ref="B23:D31" si="2">B12</f>
        <v>1.0</v>
      </c>
      <c r="C23" s="2050" t="str">
        <f t="shared" si="2"/>
        <v>DRENAGEM E OAC</v>
      </c>
      <c r="D23" s="2051">
        <f t="shared" si="2"/>
        <v>0</v>
      </c>
      <c r="E23" s="1391">
        <f>cR!G39</f>
        <v>0</v>
      </c>
      <c r="F23" s="1392">
        <f>cR!H39</f>
        <v>0</v>
      </c>
      <c r="G23" s="1392">
        <f>cR!I39</f>
        <v>0</v>
      </c>
      <c r="H23" s="1392">
        <f>cR!J39</f>
        <v>0</v>
      </c>
      <c r="I23" s="1392">
        <f>cR!K39</f>
        <v>0</v>
      </c>
      <c r="J23" s="1392">
        <f>cR!L39</f>
        <v>0</v>
      </c>
      <c r="K23" s="1392">
        <f>cR!M39</f>
        <v>0</v>
      </c>
      <c r="L23" s="1392">
        <f>cR!N39</f>
        <v>0</v>
      </c>
      <c r="M23" s="1392">
        <f>cR!O39</f>
        <v>0</v>
      </c>
      <c r="N23" s="1392">
        <f>cR!P39</f>
        <v>0</v>
      </c>
      <c r="O23" s="1392">
        <f>cR!Q39</f>
        <v>0</v>
      </c>
      <c r="P23" s="1393">
        <f>cR!R39</f>
        <v>0</v>
      </c>
      <c r="Q23" s="1363">
        <f t="shared" si="0"/>
        <v>1</v>
      </c>
      <c r="R23" s="154">
        <f t="shared" ref="R23:R31" si="3">Q12+Q23</f>
        <v>1</v>
      </c>
    </row>
    <row r="24" spans="1:18" s="2" customFormat="1" ht="12.75" customHeight="1" x14ac:dyDescent="0.25">
      <c r="A24" s="1370">
        <f t="shared" si="1"/>
        <v>1</v>
      </c>
      <c r="B24" s="1390" t="str">
        <f t="shared" si="2"/>
        <v>2.0</v>
      </c>
      <c r="C24" s="2050" t="str">
        <f t="shared" si="2"/>
        <v>TERRAPLENAGEM</v>
      </c>
      <c r="D24" s="2051">
        <f t="shared" si="2"/>
        <v>0</v>
      </c>
      <c r="E24" s="1391">
        <f>cR!G41</f>
        <v>0</v>
      </c>
      <c r="F24" s="1392">
        <f>cR!H41</f>
        <v>0</v>
      </c>
      <c r="G24" s="1392">
        <f>cR!I41</f>
        <v>0</v>
      </c>
      <c r="H24" s="1392">
        <f>cR!J41</f>
        <v>0</v>
      </c>
      <c r="I24" s="1392">
        <f>cR!K41</f>
        <v>0</v>
      </c>
      <c r="J24" s="1392">
        <f>cR!L41</f>
        <v>0</v>
      </c>
      <c r="K24" s="1392">
        <f>cR!M41</f>
        <v>0</v>
      </c>
      <c r="L24" s="1392">
        <f>cR!N41</f>
        <v>0</v>
      </c>
      <c r="M24" s="1392">
        <f>cR!O41</f>
        <v>0</v>
      </c>
      <c r="N24" s="1392">
        <f>cR!P41</f>
        <v>0</v>
      </c>
      <c r="O24" s="1394">
        <f>cR!Q41</f>
        <v>0</v>
      </c>
      <c r="P24" s="1393">
        <f>cR!R41</f>
        <v>0</v>
      </c>
      <c r="Q24" s="1363">
        <f t="shared" si="0"/>
        <v>1</v>
      </c>
      <c r="R24" s="154">
        <f t="shared" si="3"/>
        <v>1</v>
      </c>
    </row>
    <row r="25" spans="1:18" s="2" customFormat="1" ht="12.75" customHeight="1" x14ac:dyDescent="0.25">
      <c r="A25" s="1370">
        <f t="shared" si="1"/>
        <v>1</v>
      </c>
      <c r="B25" s="1390" t="str">
        <f t="shared" si="2"/>
        <v>3.0</v>
      </c>
      <c r="C25" s="2050" t="str">
        <f t="shared" si="2"/>
        <v>PAVIMENTAÇÃO ASFÁLTICA</v>
      </c>
      <c r="D25" s="2051">
        <f t="shared" si="2"/>
        <v>0</v>
      </c>
      <c r="E25" s="1391">
        <f>cR!G43</f>
        <v>0</v>
      </c>
      <c r="F25" s="1392">
        <f>cR!H43</f>
        <v>0</v>
      </c>
      <c r="G25" s="1392">
        <f>cR!I43</f>
        <v>0</v>
      </c>
      <c r="H25" s="1392">
        <f>cR!J43</f>
        <v>0</v>
      </c>
      <c r="I25" s="1392">
        <f>cR!K43</f>
        <v>0</v>
      </c>
      <c r="J25" s="1392">
        <f>cR!L43</f>
        <v>0</v>
      </c>
      <c r="K25" s="1392">
        <f>cR!M43</f>
        <v>0</v>
      </c>
      <c r="L25" s="1392">
        <f>cR!N43</f>
        <v>0</v>
      </c>
      <c r="M25" s="1392">
        <f>cR!O43</f>
        <v>0</v>
      </c>
      <c r="N25" s="1392">
        <f>cR!P43</f>
        <v>0</v>
      </c>
      <c r="O25" s="1392">
        <f>cR!Q43</f>
        <v>0</v>
      </c>
      <c r="P25" s="1393">
        <f>cR!R43</f>
        <v>0</v>
      </c>
      <c r="Q25" s="1363">
        <f t="shared" si="0"/>
        <v>1</v>
      </c>
      <c r="R25" s="154">
        <f t="shared" si="3"/>
        <v>1</v>
      </c>
    </row>
    <row r="26" spans="1:18" s="2" customFormat="1" ht="12.75" customHeight="1" x14ac:dyDescent="0.25">
      <c r="A26" s="1370">
        <f t="shared" si="1"/>
        <v>1</v>
      </c>
      <c r="B26" s="1390" t="str">
        <f t="shared" si="2"/>
        <v>4.0</v>
      </c>
      <c r="C26" s="2050" t="str">
        <f t="shared" si="2"/>
        <v>MEIO-FIO E PASSEIOS</v>
      </c>
      <c r="D26" s="2051">
        <f t="shared" si="2"/>
        <v>0</v>
      </c>
      <c r="E26" s="1391">
        <f>cR!G45</f>
        <v>0</v>
      </c>
      <c r="F26" s="1392">
        <f>cR!H45</f>
        <v>0</v>
      </c>
      <c r="G26" s="1392">
        <f>cR!I45</f>
        <v>0</v>
      </c>
      <c r="H26" s="1392">
        <f>cR!J45</f>
        <v>0.25</v>
      </c>
      <c r="I26" s="1394">
        <f>cR!K45</f>
        <v>0.25</v>
      </c>
      <c r="J26" s="1394">
        <f>cR!L45</f>
        <v>0.25</v>
      </c>
      <c r="K26" s="1394">
        <f>cR!M45</f>
        <v>0.25</v>
      </c>
      <c r="L26" s="1394">
        <f>cR!N45</f>
        <v>0</v>
      </c>
      <c r="M26" s="1394">
        <f>cR!O45</f>
        <v>0</v>
      </c>
      <c r="N26" s="1394">
        <f>cR!P45</f>
        <v>0</v>
      </c>
      <c r="O26" s="1394">
        <f>cR!Q45</f>
        <v>0</v>
      </c>
      <c r="P26" s="1393">
        <f>cR!R45</f>
        <v>0</v>
      </c>
      <c r="Q26" s="1363">
        <f t="shared" si="0"/>
        <v>1.5</v>
      </c>
      <c r="R26" s="154">
        <f t="shared" si="3"/>
        <v>1.5</v>
      </c>
    </row>
    <row r="27" spans="1:18" s="2" customFormat="1" ht="12.75" customHeight="1" x14ac:dyDescent="0.25">
      <c r="A27" s="1370">
        <f t="shared" si="1"/>
        <v>1</v>
      </c>
      <c r="B27" s="1390" t="str">
        <f t="shared" si="2"/>
        <v>5.0</v>
      </c>
      <c r="C27" s="2050" t="str">
        <f t="shared" si="2"/>
        <v>SINALIZAÇÃO</v>
      </c>
      <c r="D27" s="2051">
        <f t="shared" si="2"/>
        <v>0</v>
      </c>
      <c r="E27" s="1391">
        <f>cR!G47</f>
        <v>0</v>
      </c>
      <c r="F27" s="1392">
        <f>cR!H47</f>
        <v>0</v>
      </c>
      <c r="G27" s="1392">
        <f>cR!I47</f>
        <v>0</v>
      </c>
      <c r="H27" s="1392">
        <f>cR!J47</f>
        <v>0</v>
      </c>
      <c r="I27" s="1394">
        <f>cR!K47</f>
        <v>0</v>
      </c>
      <c r="J27" s="1394">
        <f>cR!L47</f>
        <v>0</v>
      </c>
      <c r="K27" s="1394">
        <f>cR!M47</f>
        <v>0</v>
      </c>
      <c r="L27" s="1394">
        <f>cR!N47</f>
        <v>0</v>
      </c>
      <c r="M27" s="1394">
        <f>cR!O47</f>
        <v>0</v>
      </c>
      <c r="N27" s="1394">
        <f>cR!P47</f>
        <v>0</v>
      </c>
      <c r="O27" s="1394">
        <f>cR!Q47</f>
        <v>0</v>
      </c>
      <c r="P27" s="1393">
        <f>cR!R47</f>
        <v>0</v>
      </c>
      <c r="Q27" s="1363">
        <f t="shared" si="0"/>
        <v>1</v>
      </c>
      <c r="R27" s="154">
        <f t="shared" si="3"/>
        <v>1</v>
      </c>
    </row>
    <row r="28" spans="1:18" s="2" customFormat="1" ht="12.75" customHeight="1" x14ac:dyDescent="0.25">
      <c r="A28" s="1370">
        <f t="shared" si="1"/>
        <v>1</v>
      </c>
      <c r="B28" s="1390" t="str">
        <f t="shared" si="2"/>
        <v>6.0</v>
      </c>
      <c r="C28" s="2050" t="str">
        <f t="shared" si="2"/>
        <v>OBRAS COMPLEMENTARES</v>
      </c>
      <c r="D28" s="2051">
        <f t="shared" si="2"/>
        <v>0</v>
      </c>
      <c r="E28" s="1391">
        <f>cR!G49</f>
        <v>0</v>
      </c>
      <c r="F28" s="1392">
        <f>cR!H49</f>
        <v>0</v>
      </c>
      <c r="G28" s="1392">
        <f>cR!I49</f>
        <v>0</v>
      </c>
      <c r="H28" s="1392">
        <f>cR!J49</f>
        <v>0</v>
      </c>
      <c r="I28" s="1394">
        <f>cR!K49</f>
        <v>0</v>
      </c>
      <c r="J28" s="1394">
        <f>cR!L49</f>
        <v>0</v>
      </c>
      <c r="K28" s="1394">
        <f>cR!M49</f>
        <v>0</v>
      </c>
      <c r="L28" s="1394">
        <f>cR!N49</f>
        <v>0</v>
      </c>
      <c r="M28" s="1394">
        <f>cR!O49</f>
        <v>0</v>
      </c>
      <c r="N28" s="1394">
        <f>cR!P49</f>
        <v>0</v>
      </c>
      <c r="O28" s="1394">
        <f>cR!Q49</f>
        <v>0</v>
      </c>
      <c r="P28" s="1393">
        <f>cR!R49</f>
        <v>0</v>
      </c>
      <c r="Q28" s="1363">
        <f t="shared" si="0"/>
        <v>1</v>
      </c>
      <c r="R28" s="154">
        <f t="shared" si="3"/>
        <v>1</v>
      </c>
    </row>
    <row r="29" spans="1:18" s="2" customFormat="1" ht="13.5" customHeight="1" x14ac:dyDescent="0.25">
      <c r="A29" s="1370">
        <f t="shared" si="1"/>
        <v>1</v>
      </c>
      <c r="B29" s="1390" t="str">
        <f t="shared" si="2"/>
        <v>7.0</v>
      </c>
      <c r="C29" s="2050" t="str">
        <f t="shared" si="2"/>
        <v>OBRAS DE CONTENÇÃO</v>
      </c>
      <c r="D29" s="2051">
        <f t="shared" si="2"/>
        <v>0</v>
      </c>
      <c r="E29" s="1391">
        <f>cR!G51</f>
        <v>0</v>
      </c>
      <c r="F29" s="1392">
        <f>cR!H51</f>
        <v>0</v>
      </c>
      <c r="G29" s="1392">
        <f>cR!I51</f>
        <v>0</v>
      </c>
      <c r="H29" s="1392">
        <f>cR!J51</f>
        <v>0</v>
      </c>
      <c r="I29" s="1394">
        <f>cR!K51</f>
        <v>0</v>
      </c>
      <c r="J29" s="1394">
        <f>cR!L51</f>
        <v>0</v>
      </c>
      <c r="K29" s="1394">
        <f>cR!M51</f>
        <v>0</v>
      </c>
      <c r="L29" s="1394">
        <f>cR!N51</f>
        <v>0</v>
      </c>
      <c r="M29" s="1394">
        <f>cR!O51</f>
        <v>0</v>
      </c>
      <c r="N29" s="1394">
        <f>cR!P51</f>
        <v>0</v>
      </c>
      <c r="O29" s="1394">
        <f>cR!Q51</f>
        <v>0</v>
      </c>
      <c r="P29" s="1393">
        <f>cR!R51</f>
        <v>0</v>
      </c>
      <c r="Q29" s="1363">
        <f t="shared" si="0"/>
        <v>0</v>
      </c>
      <c r="R29" s="154">
        <f t="shared" si="3"/>
        <v>0</v>
      </c>
    </row>
    <row r="30" spans="1:18" s="2" customFormat="1" ht="13.5" hidden="1" customHeight="1" x14ac:dyDescent="0.25">
      <c r="A30" s="1370">
        <f t="shared" si="1"/>
        <v>0</v>
      </c>
      <c r="B30" s="1390">
        <f t="shared" si="2"/>
        <v>0</v>
      </c>
      <c r="C30" s="2050" t="str">
        <f t="shared" si="2"/>
        <v>CONTROLE TECNOLÓGICO</v>
      </c>
      <c r="D30" s="2051">
        <f t="shared" si="2"/>
        <v>0</v>
      </c>
      <c r="E30" s="1391">
        <f>cR!G53</f>
        <v>0</v>
      </c>
      <c r="F30" s="1392">
        <f>cR!H53</f>
        <v>0</v>
      </c>
      <c r="G30" s="1392">
        <f>cR!I53</f>
        <v>0</v>
      </c>
      <c r="H30" s="1392">
        <f>cR!J53</f>
        <v>0</v>
      </c>
      <c r="I30" s="1394">
        <f>cR!K53</f>
        <v>0</v>
      </c>
      <c r="J30" s="1394">
        <f>cR!L53</f>
        <v>0</v>
      </c>
      <c r="K30" s="1394">
        <f>cR!M53</f>
        <v>0</v>
      </c>
      <c r="L30" s="1394">
        <f>cR!N53</f>
        <v>0</v>
      </c>
      <c r="M30" s="1394">
        <f>cR!O53</f>
        <v>0</v>
      </c>
      <c r="N30" s="1394">
        <f>cR!P53</f>
        <v>0</v>
      </c>
      <c r="O30" s="1394">
        <f>cR!Q53</f>
        <v>0</v>
      </c>
      <c r="P30" s="1393">
        <f>cR!R53</f>
        <v>0</v>
      </c>
      <c r="Q30" s="1363">
        <f t="shared" si="0"/>
        <v>0</v>
      </c>
      <c r="R30" s="154">
        <f t="shared" si="3"/>
        <v>0</v>
      </c>
    </row>
    <row r="31" spans="1:18" s="2" customFormat="1" ht="13.5" customHeight="1" thickBot="1" x14ac:dyDescent="0.3">
      <c r="A31" s="1370">
        <f t="shared" si="1"/>
        <v>0</v>
      </c>
      <c r="B31" s="1381" t="str">
        <f t="shared" si="2"/>
        <v>8.0</v>
      </c>
      <c r="C31" s="2048" t="str">
        <f t="shared" si="2"/>
        <v>SERVIÇOS TÉCNICOS AMBIENTAIS</v>
      </c>
      <c r="D31" s="2049">
        <f t="shared" si="2"/>
        <v>0</v>
      </c>
      <c r="E31" s="1382">
        <f>cR!G55</f>
        <v>0</v>
      </c>
      <c r="F31" s="1383">
        <f>cR!H55</f>
        <v>0</v>
      </c>
      <c r="G31" s="1383">
        <f>cR!I55</f>
        <v>0</v>
      </c>
      <c r="H31" s="1383">
        <f>cR!J55</f>
        <v>0</v>
      </c>
      <c r="I31" s="1383">
        <f>cR!K55</f>
        <v>0</v>
      </c>
      <c r="J31" s="1383">
        <f>cR!L55</f>
        <v>0</v>
      </c>
      <c r="K31" s="1383">
        <f>cR!M55</f>
        <v>0</v>
      </c>
      <c r="L31" s="1383">
        <f>cR!N55</f>
        <v>0</v>
      </c>
      <c r="M31" s="1383">
        <f>cR!O55</f>
        <v>0</v>
      </c>
      <c r="N31" s="1383">
        <f>cR!P55</f>
        <v>0</v>
      </c>
      <c r="O31" s="1383">
        <f>cR!Q55</f>
        <v>0</v>
      </c>
      <c r="P31" s="1384">
        <f>cR!R55</f>
        <v>0</v>
      </c>
      <c r="Q31" s="1363">
        <f t="shared" si="0"/>
        <v>1</v>
      </c>
      <c r="R31" s="154">
        <f t="shared" si="3"/>
        <v>1</v>
      </c>
    </row>
    <row r="32" spans="1:18" x14ac:dyDescent="0.2">
      <c r="F32" s="163"/>
    </row>
    <row r="48" spans="2:16" x14ac:dyDescent="0.2">
      <c r="B48" s="176"/>
      <c r="C48" s="177"/>
      <c r="D48" s="177"/>
      <c r="E48" s="176"/>
      <c r="F48" s="176"/>
      <c r="G48" s="176"/>
      <c r="H48" s="176"/>
      <c r="I48" s="176"/>
      <c r="J48" s="176"/>
      <c r="K48" s="176"/>
      <c r="L48" s="176"/>
      <c r="M48" s="176"/>
      <c r="N48" s="176"/>
      <c r="O48" s="176"/>
      <c r="P48" s="176"/>
    </row>
    <row r="49" spans="2:16" x14ac:dyDescent="0.2">
      <c r="B49" s="176"/>
      <c r="C49" s="177"/>
      <c r="D49" s="177"/>
      <c r="E49" s="181"/>
      <c r="F49" s="181"/>
      <c r="G49" s="181"/>
      <c r="H49" s="181"/>
      <c r="I49" s="181"/>
      <c r="J49" s="181"/>
      <c r="K49" s="181"/>
      <c r="L49" s="181"/>
      <c r="M49" s="181"/>
      <c r="N49" s="181"/>
      <c r="O49" s="181"/>
      <c r="P49" s="181"/>
    </row>
    <row r="50" spans="2:16" x14ac:dyDescent="0.2">
      <c r="B50" s="176"/>
      <c r="C50" s="177"/>
      <c r="D50" s="177"/>
      <c r="E50" s="182"/>
      <c r="F50" s="182"/>
      <c r="G50" s="182"/>
      <c r="H50" s="182"/>
      <c r="I50" s="182"/>
      <c r="J50" s="182"/>
      <c r="K50" s="182"/>
      <c r="L50" s="182"/>
      <c r="M50" s="182"/>
      <c r="N50" s="182"/>
      <c r="O50" s="182"/>
      <c r="P50" s="182"/>
    </row>
    <row r="51" spans="2:16" x14ac:dyDescent="0.2">
      <c r="B51" s="176"/>
      <c r="C51" s="177"/>
      <c r="D51" s="177"/>
      <c r="E51" s="176"/>
      <c r="F51" s="176"/>
      <c r="G51" s="176"/>
      <c r="H51" s="176"/>
      <c r="I51" s="176"/>
      <c r="J51" s="176"/>
      <c r="K51" s="176"/>
      <c r="L51" s="176"/>
      <c r="M51" s="176"/>
      <c r="N51" s="176"/>
      <c r="O51" s="176"/>
      <c r="P51" s="176"/>
    </row>
    <row r="52" spans="2:16" x14ac:dyDescent="0.2">
      <c r="B52" s="176"/>
      <c r="C52" s="177"/>
      <c r="D52" s="177"/>
      <c r="E52" s="181"/>
      <c r="F52" s="181"/>
      <c r="G52" s="181"/>
      <c r="H52" s="181"/>
      <c r="I52" s="181"/>
      <c r="J52" s="181"/>
      <c r="K52" s="181"/>
      <c r="L52" s="181"/>
      <c r="M52" s="181"/>
      <c r="N52" s="181"/>
      <c r="O52" s="181"/>
      <c r="P52" s="181"/>
    </row>
    <row r="53" spans="2:16" x14ac:dyDescent="0.2">
      <c r="B53" s="176"/>
      <c r="C53" s="177"/>
      <c r="D53" s="177"/>
      <c r="E53" s="182"/>
      <c r="F53" s="182"/>
      <c r="G53" s="182"/>
      <c r="H53" s="182"/>
      <c r="I53" s="182"/>
      <c r="J53" s="182"/>
      <c r="K53" s="182"/>
      <c r="L53" s="182"/>
      <c r="M53" s="182"/>
      <c r="N53" s="182"/>
      <c r="O53" s="182"/>
      <c r="P53" s="182"/>
    </row>
  </sheetData>
  <autoFilter ref="A10:Q52" xr:uid="{00000000-0009-0000-0000-00000C000000}">
    <filterColumn colId="0">
      <filters blank="1">
        <filter val="1"/>
        <filter val="Filtro"/>
      </filters>
    </filterColumn>
  </autoFilter>
  <mergeCells count="22">
    <mergeCell ref="C13:D13"/>
    <mergeCell ref="C14:D14"/>
    <mergeCell ref="C11:D11"/>
    <mergeCell ref="C12:D12"/>
    <mergeCell ref="B1:P1"/>
    <mergeCell ref="B3:P3"/>
    <mergeCell ref="C19:D19"/>
    <mergeCell ref="C20:D20"/>
    <mergeCell ref="C17:D17"/>
    <mergeCell ref="C18:D18"/>
    <mergeCell ref="C15:D15"/>
    <mergeCell ref="C16:D16"/>
    <mergeCell ref="C25:D25"/>
    <mergeCell ref="C26:D26"/>
    <mergeCell ref="C23:D23"/>
    <mergeCell ref="C24:D24"/>
    <mergeCell ref="C22:D22"/>
    <mergeCell ref="C31:D31"/>
    <mergeCell ref="C29:D29"/>
    <mergeCell ref="C30:D30"/>
    <mergeCell ref="C27:D27"/>
    <mergeCell ref="C28:D28"/>
  </mergeCells>
  <phoneticPr fontId="32" type="noConversion"/>
  <conditionalFormatting sqref="C11">
    <cfRule type="cellIs" dxfId="16" priority="46" operator="equal">
      <formula>0</formula>
    </cfRule>
  </conditionalFormatting>
  <conditionalFormatting sqref="C12">
    <cfRule type="cellIs" dxfId="15" priority="44" operator="equal">
      <formula>0</formula>
    </cfRule>
  </conditionalFormatting>
  <conditionalFormatting sqref="C13:C17 C19">
    <cfRule type="cellIs" dxfId="14" priority="40" operator="equal">
      <formula>0</formula>
    </cfRule>
  </conditionalFormatting>
  <conditionalFormatting sqref="C18">
    <cfRule type="cellIs" dxfId="13" priority="37" operator="equal">
      <formula>0</formula>
    </cfRule>
  </conditionalFormatting>
  <conditionalFormatting sqref="E11:I11 E12:O12 E13:N13 E14:O19 P11:P19">
    <cfRule type="cellIs" dxfId="12" priority="35" operator="greaterThan">
      <formula>0</formula>
    </cfRule>
  </conditionalFormatting>
  <conditionalFormatting sqref="C20">
    <cfRule type="cellIs" dxfId="11" priority="33" operator="equal">
      <formula>0</formula>
    </cfRule>
  </conditionalFormatting>
  <conditionalFormatting sqref="E20:P20">
    <cfRule type="cellIs" dxfId="10" priority="31" operator="greaterThan">
      <formula>0</formula>
    </cfRule>
  </conditionalFormatting>
  <conditionalFormatting sqref="J11:O11 O13">
    <cfRule type="cellIs" dxfId="9" priority="30" operator="greaterThan">
      <formula>0</formula>
    </cfRule>
  </conditionalFormatting>
  <conditionalFormatting sqref="C22">
    <cfRule type="cellIs" dxfId="8" priority="9" operator="equal">
      <formula>0</formula>
    </cfRule>
  </conditionalFormatting>
  <conditionalFormatting sqref="C23">
    <cfRule type="cellIs" dxfId="7" priority="8" operator="equal">
      <formula>0</formula>
    </cfRule>
  </conditionalFormatting>
  <conditionalFormatting sqref="C24:C28 C30">
    <cfRule type="cellIs" dxfId="6" priority="7" operator="equal">
      <formula>0</formula>
    </cfRule>
  </conditionalFormatting>
  <conditionalFormatting sqref="C29">
    <cfRule type="cellIs" dxfId="5" priority="6" operator="equal">
      <formula>0</formula>
    </cfRule>
  </conditionalFormatting>
  <conditionalFormatting sqref="E22:I22 E23:O23 E24:N24 E25:O30 P22:P30">
    <cfRule type="cellIs" dxfId="4" priority="5" operator="greaterThan">
      <formula>0</formula>
    </cfRule>
  </conditionalFormatting>
  <conditionalFormatting sqref="C31">
    <cfRule type="cellIs" dxfId="3" priority="4" operator="equal">
      <formula>0</formula>
    </cfRule>
  </conditionalFormatting>
  <conditionalFormatting sqref="E31:P31">
    <cfRule type="cellIs" dxfId="2" priority="3" operator="greaterThan">
      <formula>0</formula>
    </cfRule>
  </conditionalFormatting>
  <conditionalFormatting sqref="J22:O22 O24">
    <cfRule type="cellIs" dxfId="1" priority="2" operator="greaterThan">
      <formula>0</formula>
    </cfRule>
  </conditionalFormatting>
  <conditionalFormatting sqref="E12:P31">
    <cfRule type="cellIs" dxfId="0" priority="1" operator="equal">
      <formula>0</formula>
    </cfRule>
  </conditionalFormatting>
  <printOptions horizontalCentered="1"/>
  <pageMargins left="0.59055118110236227" right="0.59055118110236227" top="0.9055118110236221" bottom="0.6692913385826772" header="0.31496062992125984" footer="0.23622047244094491"/>
  <pageSetup paperSize="9" scale="81" fitToHeight="0" orientation="landscape" r:id="rId1"/>
  <headerFooter>
    <oddHeader>&amp;C&amp;G</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90"/>
  <sheetViews>
    <sheetView topLeftCell="A34" workbookViewId="0">
      <selection activeCell="F83" sqref="F83"/>
    </sheetView>
  </sheetViews>
  <sheetFormatPr defaultRowHeight="15" x14ac:dyDescent="0.25"/>
  <cols>
    <col min="1" max="1" width="10" bestFit="1" customWidth="1"/>
    <col min="2" max="2" width="11.42578125" bestFit="1" customWidth="1"/>
    <col min="3" max="3" width="54" bestFit="1" customWidth="1"/>
    <col min="4" max="4" width="7" style="520" bestFit="1" customWidth="1"/>
    <col min="5" max="5" width="8" bestFit="1" customWidth="1"/>
    <col min="6" max="6" width="9" customWidth="1"/>
    <col min="7" max="7" width="8" bestFit="1" customWidth="1"/>
    <col min="8" max="8" width="9.5703125" bestFit="1" customWidth="1"/>
    <col min="9" max="11" width="8" bestFit="1" customWidth="1"/>
    <col min="12" max="12" width="9" bestFit="1" customWidth="1"/>
    <col min="13" max="14" width="8" bestFit="1" customWidth="1"/>
    <col min="15" max="16" width="8.42578125" style="520" customWidth="1"/>
  </cols>
  <sheetData>
    <row r="2" spans="2:20" x14ac:dyDescent="0.25">
      <c r="C2" s="236"/>
      <c r="D2" s="517"/>
      <c r="E2" s="1612" t="s">
        <v>2707</v>
      </c>
      <c r="F2" s="1613"/>
      <c r="G2" s="1613"/>
      <c r="H2" s="1613"/>
      <c r="I2" s="1613"/>
      <c r="J2" s="1613"/>
      <c r="K2" s="1613"/>
      <c r="L2" s="1613"/>
      <c r="M2" s="1613"/>
      <c r="N2" s="1614"/>
      <c r="O2" s="1612" t="s">
        <v>2708</v>
      </c>
      <c r="P2" s="1614"/>
      <c r="Q2" s="1612" t="s">
        <v>2709</v>
      </c>
      <c r="R2" s="1614"/>
      <c r="S2" s="1612" t="s">
        <v>2710</v>
      </c>
      <c r="T2" s="1614"/>
    </row>
    <row r="3" spans="2:20" x14ac:dyDescent="0.25">
      <c r="C3" s="237"/>
      <c r="D3" s="519"/>
      <c r="E3" s="1615" t="s">
        <v>2711</v>
      </c>
      <c r="F3" s="1616"/>
      <c r="G3" s="1616" t="s">
        <v>2712</v>
      </c>
      <c r="H3" s="1616"/>
      <c r="I3" s="1616" t="s">
        <v>2713</v>
      </c>
      <c r="J3" s="1616"/>
      <c r="K3" s="1616" t="s">
        <v>2714</v>
      </c>
      <c r="L3" s="1616"/>
      <c r="M3" s="1616" t="s">
        <v>2715</v>
      </c>
      <c r="N3" s="1617"/>
      <c r="O3" s="518" t="str">
        <f>I3</f>
        <v>Ø80cm</v>
      </c>
      <c r="P3" s="519" t="str">
        <f>M3</f>
        <v>Ø120cm</v>
      </c>
      <c r="Q3" s="518" t="str">
        <f>O3</f>
        <v>Ø80cm</v>
      </c>
      <c r="R3" s="519" t="str">
        <f>P3</f>
        <v>Ø120cm</v>
      </c>
      <c r="S3" s="518" t="str">
        <f>R3</f>
        <v>Ø120cm</v>
      </c>
      <c r="T3" s="519" t="str">
        <f>S3</f>
        <v>Ø120cm</v>
      </c>
    </row>
    <row r="4" spans="2:20" x14ac:dyDescent="0.25">
      <c r="C4" s="238"/>
      <c r="D4" s="239" t="s">
        <v>588</v>
      </c>
      <c r="E4" s="240">
        <v>1.5</v>
      </c>
      <c r="F4" s="241">
        <v>2</v>
      </c>
      <c r="G4" s="241">
        <f>E4</f>
        <v>1.5</v>
      </c>
      <c r="H4" s="241">
        <f>F4</f>
        <v>2</v>
      </c>
      <c r="I4" s="241">
        <v>2</v>
      </c>
      <c r="J4" s="241">
        <v>2.5</v>
      </c>
      <c r="K4" s="241">
        <v>2</v>
      </c>
      <c r="L4" s="241">
        <v>2.5</v>
      </c>
      <c r="M4" s="241">
        <v>2</v>
      </c>
      <c r="N4" s="242">
        <v>2.5</v>
      </c>
      <c r="O4" s="240">
        <v>1</v>
      </c>
      <c r="P4" s="242">
        <v>1.5</v>
      </c>
      <c r="Q4" s="240">
        <v>1.5</v>
      </c>
      <c r="R4" s="242">
        <v>2</v>
      </c>
      <c r="S4" s="240">
        <v>3</v>
      </c>
      <c r="T4" s="242">
        <v>5</v>
      </c>
    </row>
    <row r="5" spans="2:20" x14ac:dyDescent="0.25">
      <c r="C5" s="237" t="s">
        <v>2699</v>
      </c>
      <c r="D5" s="519" t="s">
        <v>2595</v>
      </c>
      <c r="E5" s="243">
        <f>((E17-E27*2)*2+E18*2)*E19+((E20-E27)*2+E21*2)*E22</f>
        <v>4.1230000000000002</v>
      </c>
      <c r="F5" s="244">
        <f t="shared" ref="F5:P5" si="0">((F17-F27)*2+F18*2)*F19+((F20-F27)*2+F21*2)*F22</f>
        <v>6.4050000000000002</v>
      </c>
      <c r="G5" s="244">
        <f t="shared" si="0"/>
        <v>5.1870000000000003</v>
      </c>
      <c r="H5" s="244">
        <f t="shared" si="0"/>
        <v>7.1369999999999996</v>
      </c>
      <c r="I5" s="244">
        <f t="shared" si="0"/>
        <v>7.6020000000000003</v>
      </c>
      <c r="J5" s="244">
        <f t="shared" si="0"/>
        <v>9.5519999999999996</v>
      </c>
      <c r="K5" s="244">
        <f t="shared" si="0"/>
        <v>8.202</v>
      </c>
      <c r="L5" s="244">
        <f t="shared" si="0"/>
        <v>10.151999999999999</v>
      </c>
      <c r="M5" s="244">
        <f t="shared" si="0"/>
        <v>8.202</v>
      </c>
      <c r="N5" s="245">
        <f t="shared" si="0"/>
        <v>10.151999999999999</v>
      </c>
      <c r="O5" s="243">
        <f>((O17-O27*2)*2+O18*2)*O19+((O20-O27)*2+O21*2)*O22</f>
        <v>4.96</v>
      </c>
      <c r="P5" s="244">
        <f t="shared" si="0"/>
        <v>11.18</v>
      </c>
      <c r="Q5" s="243">
        <f>((Q17-Q27)*2+Q18*2)*Q19+((Q20-Q27)*2+Q21*2)*Q22</f>
        <v>7.2480000000000002</v>
      </c>
      <c r="R5" s="245">
        <f>((R17-R27)*2+R18*2)*R19+((R20-R27)*2+R21*2)*R22</f>
        <v>13.548</v>
      </c>
      <c r="S5" s="243">
        <f>((S17-S27)*2+S18*2)*S19+((S20-S27)*2+S21*2)*S22</f>
        <v>22.797999999999998</v>
      </c>
      <c r="T5" s="245">
        <f>((T17-T27)*2+T18*2)*T19+((T20-T27)*2+T21*2)*T22</f>
        <v>39.997999999999998</v>
      </c>
    </row>
    <row r="6" spans="2:20" x14ac:dyDescent="0.25">
      <c r="C6" s="237" t="s">
        <v>2702</v>
      </c>
      <c r="D6" s="519" t="s">
        <v>2596</v>
      </c>
      <c r="E6" s="243">
        <f>E17*E18*E24+E17*E18*E25-(E20-E27)*(E21-E27)*E25</f>
        <v>9.5000000000000001E-2</v>
      </c>
      <c r="F6" s="244">
        <f t="shared" ref="F6:N6" si="1">F17*F18*F24+F17*F18*F25-(F20-F27)*(F21-F27)*F25</f>
        <v>9.5000000000000001E-2</v>
      </c>
      <c r="G6" s="244">
        <f t="shared" si="1"/>
        <v>0.11600000000000001</v>
      </c>
      <c r="H6" s="244">
        <f t="shared" si="1"/>
        <v>0.11600000000000001</v>
      </c>
      <c r="I6" s="244">
        <f t="shared" si="1"/>
        <v>0.26600000000000001</v>
      </c>
      <c r="J6" s="244">
        <f t="shared" si="1"/>
        <v>0.26600000000000001</v>
      </c>
      <c r="K6" s="244">
        <f t="shared" si="1"/>
        <v>0.318</v>
      </c>
      <c r="L6" s="244">
        <f>L17*L18*L24+L17*L18*L25-(L20-L27)*(L21-L27)*L25</f>
        <v>0.318</v>
      </c>
      <c r="M6" s="244">
        <f>M17*M18*M24+M17*M18*M25-(M20-M27)*(M21-M27)*M25</f>
        <v>0.318</v>
      </c>
      <c r="N6" s="245">
        <f t="shared" si="1"/>
        <v>0.318</v>
      </c>
      <c r="O6" s="243">
        <f t="shared" ref="O6:T6" si="2">O17*O18*O24+O17*O18*O25-(O20-O27)*(O21-O27)*O25+O17*O18*O26</f>
        <v>0.61299999999999999</v>
      </c>
      <c r="P6" s="245">
        <f t="shared" si="2"/>
        <v>1.0129999999999999</v>
      </c>
      <c r="Q6" s="243">
        <f t="shared" si="2"/>
        <v>0.67</v>
      </c>
      <c r="R6" s="245">
        <f t="shared" si="2"/>
        <v>1.17</v>
      </c>
      <c r="S6" s="243">
        <f t="shared" si="2"/>
        <v>1.17</v>
      </c>
      <c r="T6" s="245">
        <f t="shared" si="2"/>
        <v>1.17</v>
      </c>
    </row>
    <row r="7" spans="2:20" x14ac:dyDescent="0.25">
      <c r="C7" s="237" t="s">
        <v>2703</v>
      </c>
      <c r="D7" s="519" t="s">
        <v>2595</v>
      </c>
      <c r="E7" s="243">
        <f>(E17*2+E18*2)*(E24+E25)+(E20*2+E21*2)*E26</f>
        <v>0.39</v>
      </c>
      <c r="F7" s="244">
        <f>(F17*2+F18*2)*(F24+F25)+(F20*2+F21*2)*F26</f>
        <v>0.39</v>
      </c>
      <c r="G7" s="244">
        <f>(G17*2+G18*2)*(G24+G25)+(G20*2+G21*2)*G26</f>
        <v>0.43</v>
      </c>
      <c r="H7" s="244">
        <f>(H17*2+H18*2)*(H24+H25)+(H20*2+H21*2)*H26</f>
        <v>0.43</v>
      </c>
      <c r="I7" s="244">
        <f t="shared" ref="I7:N7" si="3">(I17*2+I18*2)*(I24+I25)+(I20*2+I21*2)*I26-(2*(I20-I27-I27)+2*(I21-I27-I27))*I25</f>
        <v>0.84499999999999997</v>
      </c>
      <c r="J7" s="244">
        <f t="shared" si="3"/>
        <v>0.84499999999999997</v>
      </c>
      <c r="K7" s="244">
        <f t="shared" si="3"/>
        <v>0.94499999999999995</v>
      </c>
      <c r="L7" s="244">
        <f t="shared" si="3"/>
        <v>0.94499999999999995</v>
      </c>
      <c r="M7" s="244">
        <f t="shared" si="3"/>
        <v>0.94499999999999995</v>
      </c>
      <c r="N7" s="245">
        <f t="shared" si="3"/>
        <v>0.94499999999999995</v>
      </c>
      <c r="O7" s="243">
        <f>(O17*2+O18*2)*(O24+O25)+(O20*2+O21*2)*O26</f>
        <v>1.4</v>
      </c>
      <c r="P7" s="245">
        <f>(P17*2+P18*2)*(P24+P25)+(P20*2+P21*2)*P26</f>
        <v>1.8</v>
      </c>
      <c r="Q7" s="243">
        <f>(Q17*2+Q18*2)*(Q24+Q25)+(Q20*2+Q21*2)*Q26-(2*(Q20-Q27-Q27)+2*(Q21-Q27-Q27))*Q25</f>
        <v>1.39</v>
      </c>
      <c r="R7" s="245">
        <f>(R17*2+R18*2)*(R24+R25)+(R20*2+R21*2)*R26-(2*(R20-R27-R27)+2*(R21-R27-R27))*R25</f>
        <v>1.89</v>
      </c>
      <c r="S7" s="243">
        <f>(S17*2+S18*2)*(S24+S25)+(S20*2+S21*2)*S26-(2*(S20-S27-S27)+2*(S21-S27-S27))*S25</f>
        <v>1.89</v>
      </c>
      <c r="T7" s="245">
        <f>(T17*2+T18*2)*(T24+T25)+(T20*2+T21*2)*T26-(2*(T20-T27-T27)+2*(T21-T27-T27))*T25</f>
        <v>1.89</v>
      </c>
    </row>
    <row r="8" spans="2:20" x14ac:dyDescent="0.25">
      <c r="B8">
        <v>30</v>
      </c>
      <c r="C8" s="237" t="s">
        <v>2704</v>
      </c>
      <c r="D8" s="519" t="s">
        <v>2716</v>
      </c>
      <c r="E8" s="243">
        <f>E6*$B$8</f>
        <v>2.85</v>
      </c>
      <c r="F8" s="244">
        <f t="shared" ref="F8:T8" si="4">F6*$B$8</f>
        <v>2.85</v>
      </c>
      <c r="G8" s="244">
        <f t="shared" si="4"/>
        <v>3.48</v>
      </c>
      <c r="H8" s="244">
        <f t="shared" si="4"/>
        <v>3.48</v>
      </c>
      <c r="I8" s="244">
        <f t="shared" si="4"/>
        <v>7.98</v>
      </c>
      <c r="J8" s="244">
        <f t="shared" si="4"/>
        <v>7.98</v>
      </c>
      <c r="K8" s="244">
        <f t="shared" si="4"/>
        <v>9.5399999999999991</v>
      </c>
      <c r="L8" s="244">
        <f t="shared" si="4"/>
        <v>9.5399999999999991</v>
      </c>
      <c r="M8" s="244">
        <f t="shared" si="4"/>
        <v>9.5399999999999991</v>
      </c>
      <c r="N8" s="245">
        <f t="shared" si="4"/>
        <v>9.5399999999999991</v>
      </c>
      <c r="O8" s="243">
        <f t="shared" si="4"/>
        <v>18.39</v>
      </c>
      <c r="P8" s="245">
        <f t="shared" si="4"/>
        <v>30.39</v>
      </c>
      <c r="Q8" s="243">
        <f t="shared" si="4"/>
        <v>20.100000000000001</v>
      </c>
      <c r="R8" s="245">
        <f t="shared" si="4"/>
        <v>35.1</v>
      </c>
      <c r="S8" s="243">
        <f t="shared" si="4"/>
        <v>35.1</v>
      </c>
      <c r="T8" s="245">
        <f t="shared" si="4"/>
        <v>35.1</v>
      </c>
    </row>
    <row r="9" spans="2:20" x14ac:dyDescent="0.25">
      <c r="C9" s="237" t="s">
        <v>2705</v>
      </c>
      <c r="D9" s="519" t="s">
        <v>2596</v>
      </c>
      <c r="E9" s="243">
        <f>(((E17-E27)*2+(E18-E27)*2)*E19+((E20-E27)*2+(E21-E27)*2)*E22)*E28</f>
        <v>8.2000000000000003E-2</v>
      </c>
      <c r="F9" s="244">
        <f>(((F17-F27)*2+(F18-F27)*2)*F19+((F20-F27)*2+(F21-F27)*2)*F22)*F28</f>
        <v>0.113</v>
      </c>
      <c r="G9" s="244">
        <f>(((G17-G27)*2+(G18-G27)*2)*G19+((G20-G27)*2+(G21-G27)*2)*G22)*G28</f>
        <v>9.2999999999999999E-2</v>
      </c>
      <c r="H9" s="244">
        <f>(((H17-H27)*2+(H18-H27)*2)*H19+((H20-H27)*2+(H21-H27)*2)*H22)*H28</f>
        <v>0.128</v>
      </c>
      <c r="I9" s="244">
        <f>(((I17-I27)*2+(I18-I27)*2)*I19+((I20-I27)*2+(I21-I27)*2)*I22)*I28</f>
        <v>0.13900000000000001</v>
      </c>
      <c r="J9" s="244">
        <f t="shared" ref="J9:T9" si="5">(((J17-J27)*2+(J18-J27)*2)*J19+((J20-J27)*2+(J21-J27)*2)*J22)*J28</f>
        <v>0.17399999999999999</v>
      </c>
      <c r="K9" s="244">
        <f t="shared" si="5"/>
        <v>0.151</v>
      </c>
      <c r="L9" s="244">
        <f t="shared" si="5"/>
        <v>0.186</v>
      </c>
      <c r="M9" s="244">
        <f t="shared" si="5"/>
        <v>0.151</v>
      </c>
      <c r="N9" s="245">
        <f t="shared" si="5"/>
        <v>0.186</v>
      </c>
      <c r="O9" s="243">
        <f t="shared" si="5"/>
        <v>9.9000000000000005E-2</v>
      </c>
      <c r="P9" s="245">
        <f t="shared" si="5"/>
        <v>0.21299999999999999</v>
      </c>
      <c r="Q9" s="243">
        <f t="shared" si="5"/>
        <v>0.13600000000000001</v>
      </c>
      <c r="R9" s="245">
        <f t="shared" si="5"/>
        <v>0.25800000000000001</v>
      </c>
      <c r="S9" s="243">
        <f t="shared" si="5"/>
        <v>0.435</v>
      </c>
      <c r="T9" s="245">
        <f t="shared" si="5"/>
        <v>0.76300000000000001</v>
      </c>
    </row>
    <row r="10" spans="2:20" x14ac:dyDescent="0.25">
      <c r="C10" s="237" t="s">
        <v>2706</v>
      </c>
      <c r="D10" s="519" t="s">
        <v>2596</v>
      </c>
      <c r="E10" s="243">
        <f>+(E17-E27*2)*E27*E29</f>
        <v>8.9999999999999993E-3</v>
      </c>
      <c r="F10" s="244">
        <f>+(F17-F27*2)*F27*F29</f>
        <v>8.9999999999999993E-3</v>
      </c>
      <c r="G10" s="244">
        <f>+(G17-G27*2)*G27*G29</f>
        <v>8.9999999999999993E-3</v>
      </c>
      <c r="H10" s="244">
        <f>+(H17-H27*2)*H27*H29</f>
        <v>8.9999999999999993E-3</v>
      </c>
      <c r="I10" s="244">
        <f>+(I20-I27*2)*I27*I29</f>
        <v>8.9999999999999993E-3</v>
      </c>
      <c r="J10" s="244">
        <f t="shared" ref="J10:T10" si="6">+(J20-J27*2)*J27*J29</f>
        <v>8.9999999999999993E-3</v>
      </c>
      <c r="K10" s="244">
        <f t="shared" si="6"/>
        <v>8.9999999999999993E-3</v>
      </c>
      <c r="L10" s="244">
        <f t="shared" si="6"/>
        <v>8.9999999999999993E-3</v>
      </c>
      <c r="M10" s="244">
        <f t="shared" si="6"/>
        <v>8.9999999999999993E-3</v>
      </c>
      <c r="N10" s="245">
        <f t="shared" si="6"/>
        <v>8.9999999999999993E-3</v>
      </c>
      <c r="O10" s="243">
        <f t="shared" si="6"/>
        <v>0</v>
      </c>
      <c r="P10" s="245">
        <f t="shared" si="6"/>
        <v>0</v>
      </c>
      <c r="Q10" s="243">
        <f t="shared" si="6"/>
        <v>8.0000000000000002E-3</v>
      </c>
      <c r="R10" s="245">
        <f t="shared" si="6"/>
        <v>8.0000000000000002E-3</v>
      </c>
      <c r="S10" s="243">
        <f t="shared" si="6"/>
        <v>8.0000000000000002E-3</v>
      </c>
      <c r="T10" s="245">
        <f t="shared" si="6"/>
        <v>8.0000000000000002E-3</v>
      </c>
    </row>
    <row r="11" spans="2:20" x14ac:dyDescent="0.25">
      <c r="C11" s="237" t="str">
        <f>C31</f>
        <v>Grade BL 75x60cm</v>
      </c>
      <c r="D11" s="519" t="s">
        <v>2599</v>
      </c>
      <c r="E11" s="243">
        <v>1</v>
      </c>
      <c r="F11" s="244">
        <f>E11</f>
        <v>1</v>
      </c>
      <c r="G11" s="244"/>
      <c r="H11" s="244"/>
      <c r="I11" s="244"/>
      <c r="J11" s="244"/>
      <c r="K11" s="244"/>
      <c r="L11" s="244"/>
      <c r="M11" s="244"/>
      <c r="N11" s="245"/>
      <c r="O11" s="243"/>
      <c r="P11" s="245"/>
      <c r="Q11" s="243"/>
      <c r="R11" s="245"/>
      <c r="S11" s="243"/>
      <c r="T11" s="245"/>
    </row>
    <row r="12" spans="2:20" x14ac:dyDescent="0.25">
      <c r="C12" s="237" t="str">
        <f>C38</f>
        <v>Grade BL 75x80cm</v>
      </c>
      <c r="D12" s="519" t="s">
        <v>2599</v>
      </c>
      <c r="E12" s="243"/>
      <c r="F12" s="244"/>
      <c r="G12" s="244">
        <v>1</v>
      </c>
      <c r="H12" s="244">
        <f>G12</f>
        <v>1</v>
      </c>
      <c r="I12" s="244"/>
      <c r="J12" s="244"/>
      <c r="K12" s="244"/>
      <c r="L12" s="244"/>
      <c r="M12" s="244"/>
      <c r="N12" s="245"/>
      <c r="O12" s="243"/>
      <c r="P12" s="245"/>
      <c r="Q12" s="243"/>
      <c r="R12" s="245"/>
      <c r="S12" s="243"/>
      <c r="T12" s="245"/>
    </row>
    <row r="13" spans="2:20" x14ac:dyDescent="0.25">
      <c r="C13" s="237" t="str">
        <f>C45</f>
        <v>Grade BL 75x115cm</v>
      </c>
      <c r="D13" s="700" t="s">
        <v>2599</v>
      </c>
      <c r="E13" s="243"/>
      <c r="F13" s="244"/>
      <c r="G13" s="244"/>
      <c r="H13" s="244"/>
      <c r="I13" s="244">
        <v>1</v>
      </c>
      <c r="J13" s="244">
        <f t="shared" ref="J13" si="7">I13</f>
        <v>1</v>
      </c>
      <c r="K13" s="244"/>
      <c r="L13" s="244"/>
      <c r="M13" s="244"/>
      <c r="N13" s="245"/>
      <c r="O13" s="243"/>
      <c r="P13" s="245"/>
      <c r="Q13" s="243"/>
      <c r="R13" s="245"/>
      <c r="S13" s="243"/>
      <c r="T13" s="245"/>
    </row>
    <row r="14" spans="2:20" x14ac:dyDescent="0.25">
      <c r="C14" s="237" t="str">
        <f>C52</f>
        <v>Grade BL 75x135cm</v>
      </c>
      <c r="D14" s="700" t="s">
        <v>2599</v>
      </c>
      <c r="E14" s="243"/>
      <c r="F14" s="244"/>
      <c r="G14" s="244"/>
      <c r="H14" s="244"/>
      <c r="I14" s="244"/>
      <c r="J14" s="244"/>
      <c r="K14" s="244">
        <v>1</v>
      </c>
      <c r="L14" s="244">
        <f t="shared" ref="L14" si="8">K14</f>
        <v>1</v>
      </c>
      <c r="M14" s="244"/>
      <c r="N14" s="245"/>
      <c r="O14" s="243"/>
      <c r="P14" s="245"/>
      <c r="Q14" s="243"/>
      <c r="R14" s="245"/>
      <c r="S14" s="243"/>
      <c r="T14" s="245"/>
    </row>
    <row r="15" spans="2:20" x14ac:dyDescent="0.25">
      <c r="C15" s="237" t="s">
        <v>2719</v>
      </c>
      <c r="D15" s="519"/>
      <c r="E15" s="243"/>
      <c r="F15" s="244"/>
      <c r="G15" s="244"/>
      <c r="H15" s="244"/>
      <c r="I15" s="244"/>
      <c r="J15" s="244"/>
      <c r="K15" s="244"/>
      <c r="L15" s="244"/>
      <c r="M15" s="244"/>
      <c r="N15" s="245"/>
      <c r="O15" s="243"/>
      <c r="P15" s="245"/>
      <c r="Q15" s="243">
        <v>1</v>
      </c>
      <c r="R15" s="245">
        <f>Q15</f>
        <v>1</v>
      </c>
      <c r="S15" s="243">
        <v>1</v>
      </c>
      <c r="T15" s="245">
        <f>S15</f>
        <v>1</v>
      </c>
    </row>
    <row r="16" spans="2:20" x14ac:dyDescent="0.25">
      <c r="C16" s="237"/>
      <c r="D16" s="519"/>
      <c r="E16" s="237"/>
      <c r="F16" s="246"/>
      <c r="G16" s="246"/>
      <c r="H16" s="246"/>
      <c r="I16" s="246"/>
      <c r="J16" s="246"/>
      <c r="K16" s="246"/>
      <c r="L16" s="246"/>
      <c r="M16" s="246"/>
      <c r="N16" s="247"/>
      <c r="O16" s="237"/>
      <c r="P16" s="247"/>
      <c r="Q16" s="237"/>
      <c r="R16" s="247"/>
      <c r="S16" s="237"/>
      <c r="T16" s="247"/>
    </row>
    <row r="17" spans="3:20" x14ac:dyDescent="0.25">
      <c r="C17" s="237" t="s">
        <v>2720</v>
      </c>
      <c r="D17" s="519" t="s">
        <v>2598</v>
      </c>
      <c r="E17" s="248">
        <v>1.05</v>
      </c>
      <c r="F17" s="249">
        <f>E17</f>
        <v>1.05</v>
      </c>
      <c r="G17" s="532">
        <f>E17</f>
        <v>1.05</v>
      </c>
      <c r="H17" s="532">
        <f>G17</f>
        <v>1.05</v>
      </c>
      <c r="I17" s="532">
        <f>G17</f>
        <v>1.05</v>
      </c>
      <c r="J17" s="532">
        <f>I17</f>
        <v>1.05</v>
      </c>
      <c r="K17" s="532">
        <f>I17</f>
        <v>1.05</v>
      </c>
      <c r="L17" s="532">
        <f>K17</f>
        <v>1.05</v>
      </c>
      <c r="M17" s="532">
        <f>E17</f>
        <v>1.05</v>
      </c>
      <c r="N17" s="533">
        <f>M17</f>
        <v>1.05</v>
      </c>
      <c r="O17" s="248">
        <v>1.75</v>
      </c>
      <c r="P17" s="533">
        <v>2.25</v>
      </c>
      <c r="Q17" s="248">
        <v>1.75</v>
      </c>
      <c r="R17" s="533">
        <f>P17</f>
        <v>2.25</v>
      </c>
      <c r="S17" s="248">
        <f>R17</f>
        <v>2.25</v>
      </c>
      <c r="T17" s="250">
        <f>S17</f>
        <v>2.25</v>
      </c>
    </row>
    <row r="18" spans="3:20" x14ac:dyDescent="0.25">
      <c r="C18" s="237" t="s">
        <v>2721</v>
      </c>
      <c r="D18" s="519" t="s">
        <v>2598</v>
      </c>
      <c r="E18" s="534">
        <v>0.9</v>
      </c>
      <c r="F18" s="532">
        <f>E18</f>
        <v>0.9</v>
      </c>
      <c r="G18" s="532">
        <v>1.1000000000000001</v>
      </c>
      <c r="H18" s="532">
        <f>G18</f>
        <v>1.1000000000000001</v>
      </c>
      <c r="I18" s="532">
        <v>1.45</v>
      </c>
      <c r="J18" s="532">
        <f>I18</f>
        <v>1.45</v>
      </c>
      <c r="K18" s="532">
        <v>1.65</v>
      </c>
      <c r="L18" s="532">
        <f>K18</f>
        <v>1.65</v>
      </c>
      <c r="M18" s="532">
        <v>1.65</v>
      </c>
      <c r="N18" s="533">
        <f>M18</f>
        <v>1.65</v>
      </c>
      <c r="O18" s="248">
        <f>O17</f>
        <v>1.75</v>
      </c>
      <c r="P18" s="533">
        <f>P17</f>
        <v>2.25</v>
      </c>
      <c r="Q18" s="248">
        <f>Q17</f>
        <v>1.75</v>
      </c>
      <c r="R18" s="533">
        <f>P18</f>
        <v>2.25</v>
      </c>
      <c r="S18" s="248">
        <f>S17</f>
        <v>2.25</v>
      </c>
      <c r="T18" s="250">
        <f>T17</f>
        <v>2.25</v>
      </c>
    </row>
    <row r="19" spans="3:20" x14ac:dyDescent="0.25">
      <c r="C19" s="237" t="s">
        <v>149</v>
      </c>
      <c r="D19" s="519" t="s">
        <v>2598</v>
      </c>
      <c r="E19" s="248">
        <f>E4-E22-E24-E25-E29-E26</f>
        <v>1.33</v>
      </c>
      <c r="F19" s="249">
        <f>F4-F22-F24-F25-F29-F26</f>
        <v>1.83</v>
      </c>
      <c r="G19" s="249">
        <f>G4-G22-G24-G25-G29-G26</f>
        <v>1.33</v>
      </c>
      <c r="H19" s="249">
        <f>H4-H22-H24-H25-H29-H26</f>
        <v>1.83</v>
      </c>
      <c r="I19" s="249">
        <v>1.5</v>
      </c>
      <c r="J19" s="249">
        <f>I19</f>
        <v>1.5</v>
      </c>
      <c r="K19" s="249">
        <f>I19</f>
        <v>1.5</v>
      </c>
      <c r="L19" s="249">
        <f>K19</f>
        <v>1.5</v>
      </c>
      <c r="M19" s="249">
        <f>K19</f>
        <v>1.5</v>
      </c>
      <c r="N19" s="250">
        <f>M19</f>
        <v>1.5</v>
      </c>
      <c r="O19" s="248">
        <f>O4-O22-O24-O25-O29-O26</f>
        <v>0.8</v>
      </c>
      <c r="P19" s="250">
        <f>P4-P22-P24-P25-P29-P26</f>
        <v>1.3</v>
      </c>
      <c r="Q19" s="248">
        <v>1</v>
      </c>
      <c r="R19" s="250">
        <v>1.5</v>
      </c>
      <c r="S19" s="248">
        <f>S4-S29-S24-0.2</f>
        <v>2.63</v>
      </c>
      <c r="T19" s="250">
        <f>T4-T29-T24-0.2</f>
        <v>4.63</v>
      </c>
    </row>
    <row r="20" spans="3:20" x14ac:dyDescent="0.25">
      <c r="C20" s="237" t="s">
        <v>2722</v>
      </c>
      <c r="D20" s="519" t="s">
        <v>2598</v>
      </c>
      <c r="E20" s="248">
        <f>E17</f>
        <v>1.05</v>
      </c>
      <c r="F20" s="249">
        <f t="shared" ref="F20:H21" si="9">F17</f>
        <v>1.05</v>
      </c>
      <c r="G20" s="249">
        <f t="shared" si="9"/>
        <v>1.05</v>
      </c>
      <c r="H20" s="249">
        <f t="shared" si="9"/>
        <v>1.05</v>
      </c>
      <c r="I20" s="249">
        <f>G17</f>
        <v>1.05</v>
      </c>
      <c r="J20" s="249">
        <f>I20</f>
        <v>1.05</v>
      </c>
      <c r="K20" s="249">
        <f>G17</f>
        <v>1.05</v>
      </c>
      <c r="L20" s="249">
        <f>K20</f>
        <v>1.05</v>
      </c>
      <c r="M20" s="249">
        <f>G17</f>
        <v>1.05</v>
      </c>
      <c r="N20" s="250">
        <f>M20</f>
        <v>1.05</v>
      </c>
      <c r="O20" s="248">
        <f>O17</f>
        <v>1.75</v>
      </c>
      <c r="P20" s="250">
        <f>P17</f>
        <v>2.25</v>
      </c>
      <c r="Q20" s="248">
        <v>1</v>
      </c>
      <c r="R20" s="250">
        <f>Q20</f>
        <v>1</v>
      </c>
      <c r="S20" s="248">
        <f>Q20</f>
        <v>1</v>
      </c>
      <c r="T20" s="250">
        <f>S20</f>
        <v>1</v>
      </c>
    </row>
    <row r="21" spans="3:20" x14ac:dyDescent="0.25">
      <c r="C21" s="237" t="s">
        <v>2723</v>
      </c>
      <c r="D21" s="519" t="s">
        <v>2598</v>
      </c>
      <c r="E21" s="248">
        <f>E18</f>
        <v>0.9</v>
      </c>
      <c r="F21" s="249">
        <f t="shared" si="9"/>
        <v>0.9</v>
      </c>
      <c r="G21" s="249">
        <f t="shared" si="9"/>
        <v>1.1000000000000001</v>
      </c>
      <c r="H21" s="249">
        <f t="shared" si="9"/>
        <v>1.1000000000000001</v>
      </c>
      <c r="I21" s="249">
        <f>G18</f>
        <v>1.1000000000000001</v>
      </c>
      <c r="J21" s="249">
        <f>I21</f>
        <v>1.1000000000000001</v>
      </c>
      <c r="K21" s="249">
        <f>G18</f>
        <v>1.1000000000000001</v>
      </c>
      <c r="L21" s="249">
        <f>K21</f>
        <v>1.1000000000000001</v>
      </c>
      <c r="M21" s="249">
        <f>G18</f>
        <v>1.1000000000000001</v>
      </c>
      <c r="N21" s="250">
        <f>M21</f>
        <v>1.1000000000000001</v>
      </c>
      <c r="O21" s="248">
        <f>O18</f>
        <v>1.75</v>
      </c>
      <c r="P21" s="250">
        <f>P18</f>
        <v>2.25</v>
      </c>
      <c r="Q21" s="248">
        <f>Q20</f>
        <v>1</v>
      </c>
      <c r="R21" s="250">
        <f>Q21</f>
        <v>1</v>
      </c>
      <c r="S21" s="248">
        <f>S20</f>
        <v>1</v>
      </c>
      <c r="T21" s="250">
        <f>S21</f>
        <v>1</v>
      </c>
    </row>
    <row r="22" spans="3:20" x14ac:dyDescent="0.25">
      <c r="C22" s="237" t="s">
        <v>2724</v>
      </c>
      <c r="D22" s="519" t="s">
        <v>2598</v>
      </c>
      <c r="E22" s="248"/>
      <c r="F22" s="249"/>
      <c r="G22" s="249"/>
      <c r="H22" s="249"/>
      <c r="I22" s="249">
        <f t="shared" ref="I22:N22" si="10">I4-I19-I24-I25-I29-I26</f>
        <v>0.18</v>
      </c>
      <c r="J22" s="249">
        <f t="shared" si="10"/>
        <v>0.68</v>
      </c>
      <c r="K22" s="249">
        <f t="shared" si="10"/>
        <v>0.18</v>
      </c>
      <c r="L22" s="249">
        <f t="shared" si="10"/>
        <v>0.68</v>
      </c>
      <c r="M22" s="249">
        <f t="shared" si="10"/>
        <v>0.18</v>
      </c>
      <c r="N22" s="250">
        <f t="shared" si="10"/>
        <v>0.68</v>
      </c>
      <c r="Q22" s="248">
        <f>Q4-Q19-Q24-Q25-Q29-Q26</f>
        <v>0.18</v>
      </c>
      <c r="R22" s="250">
        <f>R4-R19-R24-R25-R29-R26</f>
        <v>0.18</v>
      </c>
      <c r="S22" s="248">
        <f>S4-S19-S24-S25-S29-S26</f>
        <v>0.05</v>
      </c>
      <c r="T22" s="250">
        <f>T4-T19-T24-T25-T29-T26</f>
        <v>0.05</v>
      </c>
    </row>
    <row r="23" spans="3:20" x14ac:dyDescent="0.25">
      <c r="C23" s="237"/>
      <c r="D23" s="519"/>
      <c r="E23" s="248"/>
      <c r="F23" s="249"/>
      <c r="G23" s="249"/>
      <c r="H23" s="249"/>
      <c r="I23" s="249"/>
      <c r="J23" s="249"/>
      <c r="K23" s="249"/>
      <c r="L23" s="249"/>
      <c r="M23" s="249"/>
      <c r="N23" s="250"/>
      <c r="Q23" s="248"/>
      <c r="R23" s="250"/>
      <c r="S23" s="248"/>
      <c r="T23" s="250"/>
    </row>
    <row r="24" spans="3:20" x14ac:dyDescent="0.25">
      <c r="C24" s="237" t="s">
        <v>2725</v>
      </c>
      <c r="D24" s="519" t="s">
        <v>2598</v>
      </c>
      <c r="E24" s="248">
        <v>0.1</v>
      </c>
      <c r="F24" s="249">
        <f>E24</f>
        <v>0.1</v>
      </c>
      <c r="G24" s="249">
        <f t="shared" ref="G24:T25" si="11">F24</f>
        <v>0.1</v>
      </c>
      <c r="H24" s="249">
        <f t="shared" si="11"/>
        <v>0.1</v>
      </c>
      <c r="I24" s="249">
        <f>E24</f>
        <v>0.1</v>
      </c>
      <c r="J24" s="249">
        <f t="shared" si="11"/>
        <v>0.1</v>
      </c>
      <c r="K24" s="249">
        <f t="shared" si="11"/>
        <v>0.1</v>
      </c>
      <c r="L24" s="249">
        <f t="shared" si="11"/>
        <v>0.1</v>
      </c>
      <c r="M24" s="249">
        <f t="shared" si="11"/>
        <v>0.1</v>
      </c>
      <c r="N24" s="250">
        <f t="shared" si="11"/>
        <v>0.1</v>
      </c>
      <c r="O24" s="248">
        <f t="shared" si="11"/>
        <v>0.1</v>
      </c>
      <c r="P24" s="250">
        <f t="shared" si="11"/>
        <v>0.1</v>
      </c>
      <c r="Q24" s="248">
        <f t="shared" si="11"/>
        <v>0.1</v>
      </c>
      <c r="R24" s="250">
        <f t="shared" si="11"/>
        <v>0.1</v>
      </c>
      <c r="S24" s="248">
        <f t="shared" si="11"/>
        <v>0.1</v>
      </c>
      <c r="T24" s="250">
        <f t="shared" si="11"/>
        <v>0.1</v>
      </c>
    </row>
    <row r="25" spans="3:20" x14ac:dyDescent="0.25">
      <c r="C25" s="237" t="s">
        <v>2726</v>
      </c>
      <c r="D25" s="519" t="str">
        <f>D24</f>
        <v>m</v>
      </c>
      <c r="E25" s="248"/>
      <c r="F25" s="249"/>
      <c r="G25" s="249"/>
      <c r="H25" s="249"/>
      <c r="I25" s="249">
        <v>0.15</v>
      </c>
      <c r="J25" s="249">
        <f t="shared" si="11"/>
        <v>0.15</v>
      </c>
      <c r="K25" s="249">
        <f t="shared" si="11"/>
        <v>0.15</v>
      </c>
      <c r="L25" s="249">
        <f t="shared" si="11"/>
        <v>0.15</v>
      </c>
      <c r="M25" s="249">
        <f t="shared" si="11"/>
        <v>0.15</v>
      </c>
      <c r="N25" s="250">
        <f t="shared" si="11"/>
        <v>0.15</v>
      </c>
      <c r="O25" s="248"/>
      <c r="P25" s="250"/>
      <c r="Q25" s="248">
        <v>0.15</v>
      </c>
      <c r="R25" s="250">
        <f>Q25</f>
        <v>0.15</v>
      </c>
      <c r="S25" s="248">
        <f>Q25</f>
        <v>0.15</v>
      </c>
      <c r="T25" s="250">
        <f>S25</f>
        <v>0.15</v>
      </c>
    </row>
    <row r="26" spans="3:20" x14ac:dyDescent="0.25">
      <c r="C26" s="237" t="s">
        <v>2727</v>
      </c>
      <c r="D26" s="519" t="s">
        <v>2598</v>
      </c>
      <c r="E26" s="248"/>
      <c r="F26" s="249"/>
      <c r="G26" s="249"/>
      <c r="H26" s="249"/>
      <c r="I26" s="249"/>
      <c r="J26" s="249"/>
      <c r="K26" s="249"/>
      <c r="L26" s="249"/>
      <c r="M26" s="249"/>
      <c r="N26" s="250"/>
      <c r="O26" s="248">
        <v>0.1</v>
      </c>
      <c r="P26" s="250">
        <f>O26</f>
        <v>0.1</v>
      </c>
      <c r="Q26" s="248"/>
      <c r="R26" s="250"/>
      <c r="S26" s="248"/>
      <c r="T26" s="250"/>
    </row>
    <row r="27" spans="3:20" x14ac:dyDescent="0.25">
      <c r="C27" s="237" t="s">
        <v>2728</v>
      </c>
      <c r="D27" s="519" t="s">
        <v>2598</v>
      </c>
      <c r="E27" s="248">
        <v>0.2</v>
      </c>
      <c r="F27" s="249">
        <f>E27</f>
        <v>0.2</v>
      </c>
      <c r="G27" s="249">
        <f t="shared" ref="G27:T29" si="12">F27</f>
        <v>0.2</v>
      </c>
      <c r="H27" s="249">
        <f t="shared" si="12"/>
        <v>0.2</v>
      </c>
      <c r="I27" s="249">
        <f t="shared" si="12"/>
        <v>0.2</v>
      </c>
      <c r="J27" s="249">
        <f t="shared" si="12"/>
        <v>0.2</v>
      </c>
      <c r="K27" s="249">
        <f t="shared" si="12"/>
        <v>0.2</v>
      </c>
      <c r="L27" s="249">
        <f t="shared" si="12"/>
        <v>0.2</v>
      </c>
      <c r="M27" s="249">
        <f t="shared" si="12"/>
        <v>0.2</v>
      </c>
      <c r="N27" s="250">
        <f t="shared" si="12"/>
        <v>0.2</v>
      </c>
      <c r="O27" s="248">
        <f t="shared" si="12"/>
        <v>0.2</v>
      </c>
      <c r="P27" s="250">
        <f t="shared" si="12"/>
        <v>0.2</v>
      </c>
      <c r="Q27" s="248">
        <f t="shared" si="12"/>
        <v>0.2</v>
      </c>
      <c r="R27" s="250">
        <f t="shared" si="12"/>
        <v>0.2</v>
      </c>
      <c r="S27" s="248">
        <f t="shared" si="12"/>
        <v>0.2</v>
      </c>
      <c r="T27" s="250">
        <f t="shared" si="12"/>
        <v>0.2</v>
      </c>
    </row>
    <row r="28" spans="3:20" x14ac:dyDescent="0.25">
      <c r="C28" s="237" t="s">
        <v>2729</v>
      </c>
      <c r="D28" s="519" t="s">
        <v>2598</v>
      </c>
      <c r="E28" s="248">
        <v>0.02</v>
      </c>
      <c r="F28" s="249">
        <f>E28</f>
        <v>0.02</v>
      </c>
      <c r="G28" s="249">
        <f t="shared" si="12"/>
        <v>0.02</v>
      </c>
      <c r="H28" s="249">
        <f t="shared" si="12"/>
        <v>0.02</v>
      </c>
      <c r="I28" s="249">
        <f t="shared" si="12"/>
        <v>0.02</v>
      </c>
      <c r="J28" s="249">
        <f t="shared" si="12"/>
        <v>0.02</v>
      </c>
      <c r="K28" s="249">
        <f t="shared" si="12"/>
        <v>0.02</v>
      </c>
      <c r="L28" s="249">
        <f t="shared" si="12"/>
        <v>0.02</v>
      </c>
      <c r="M28" s="249">
        <f t="shared" si="12"/>
        <v>0.02</v>
      </c>
      <c r="N28" s="250">
        <f t="shared" si="12"/>
        <v>0.02</v>
      </c>
      <c r="O28" s="248">
        <f t="shared" si="12"/>
        <v>0.02</v>
      </c>
      <c r="P28" s="250">
        <f t="shared" si="12"/>
        <v>0.02</v>
      </c>
      <c r="Q28" s="248">
        <f t="shared" si="12"/>
        <v>0.02</v>
      </c>
      <c r="R28" s="250">
        <f t="shared" si="12"/>
        <v>0.02</v>
      </c>
      <c r="S28" s="248">
        <f t="shared" si="12"/>
        <v>0.02</v>
      </c>
      <c r="T28" s="250">
        <f t="shared" si="12"/>
        <v>0.02</v>
      </c>
    </row>
    <row r="29" spans="3:20" x14ac:dyDescent="0.25">
      <c r="C29" s="238" t="s">
        <v>2730</v>
      </c>
      <c r="D29" s="239" t="s">
        <v>2598</v>
      </c>
      <c r="E29" s="251">
        <v>7.0000000000000007E-2</v>
      </c>
      <c r="F29" s="252">
        <f>E29</f>
        <v>7.0000000000000007E-2</v>
      </c>
      <c r="G29" s="252">
        <f t="shared" si="12"/>
        <v>7.0000000000000007E-2</v>
      </c>
      <c r="H29" s="252">
        <f t="shared" si="12"/>
        <v>7.0000000000000007E-2</v>
      </c>
      <c r="I29" s="252">
        <f t="shared" si="12"/>
        <v>7.0000000000000007E-2</v>
      </c>
      <c r="J29" s="252">
        <f t="shared" si="12"/>
        <v>7.0000000000000007E-2</v>
      </c>
      <c r="K29" s="252">
        <f t="shared" si="12"/>
        <v>7.0000000000000007E-2</v>
      </c>
      <c r="L29" s="252">
        <f t="shared" si="12"/>
        <v>7.0000000000000007E-2</v>
      </c>
      <c r="M29" s="252">
        <f t="shared" si="12"/>
        <v>7.0000000000000007E-2</v>
      </c>
      <c r="N29" s="253">
        <f t="shared" si="12"/>
        <v>7.0000000000000007E-2</v>
      </c>
      <c r="O29" s="251"/>
      <c r="P29" s="253"/>
      <c r="Q29" s="251">
        <v>7.0000000000000007E-2</v>
      </c>
      <c r="R29" s="253">
        <f>Q29</f>
        <v>7.0000000000000007E-2</v>
      </c>
      <c r="S29" s="251">
        <v>7.0000000000000007E-2</v>
      </c>
      <c r="T29" s="253">
        <f>S29</f>
        <v>7.0000000000000007E-2</v>
      </c>
    </row>
    <row r="30" spans="3:20" x14ac:dyDescent="0.25">
      <c r="E30" s="254"/>
      <c r="F30" s="255"/>
      <c r="G30" s="255"/>
      <c r="H30" s="255"/>
      <c r="I30" s="255"/>
      <c r="J30" s="255"/>
      <c r="K30" s="255"/>
      <c r="L30" s="255"/>
      <c r="M30" s="255"/>
      <c r="N30" s="255"/>
    </row>
    <row r="31" spans="3:20" x14ac:dyDescent="0.25">
      <c r="C31" s="256" t="s">
        <v>3340</v>
      </c>
      <c r="D31" s="520" t="s">
        <v>2731</v>
      </c>
      <c r="E31" s="520" t="s">
        <v>2732</v>
      </c>
      <c r="F31" s="520" t="s">
        <v>2733</v>
      </c>
      <c r="G31" s="520" t="s">
        <v>2734</v>
      </c>
      <c r="I31" s="520" t="s">
        <v>2598</v>
      </c>
      <c r="J31" s="520" t="s">
        <v>2735</v>
      </c>
      <c r="K31" s="520" t="s">
        <v>2716</v>
      </c>
    </row>
    <row r="32" spans="3:20" x14ac:dyDescent="0.25">
      <c r="C32" t="s">
        <v>3181</v>
      </c>
      <c r="D32" s="531">
        <f>E33/5</f>
        <v>12</v>
      </c>
      <c r="E32" s="254">
        <v>75</v>
      </c>
      <c r="F32">
        <f>2.54/4</f>
        <v>0.63500000000000001</v>
      </c>
      <c r="G32" s="255">
        <f>E32-F32</f>
        <v>74.37</v>
      </c>
      <c r="H32" s="255">
        <f>G32*D32</f>
        <v>892.44</v>
      </c>
    </row>
    <row r="33" spans="3:16" x14ac:dyDescent="0.25">
      <c r="C33" t="str">
        <f>C32</f>
        <v>ferro Ø3/4</v>
      </c>
      <c r="D33" s="520">
        <v>4</v>
      </c>
      <c r="E33" s="535">
        <v>60</v>
      </c>
      <c r="F33">
        <f>2.54/4</f>
        <v>0.63500000000000001</v>
      </c>
      <c r="G33" s="255">
        <f>E33-F33</f>
        <v>59.37</v>
      </c>
      <c r="H33" s="255">
        <f>G33*D33</f>
        <v>237.48</v>
      </c>
      <c r="I33" s="255">
        <f>SUM(H32:H33)/100</f>
        <v>11.3</v>
      </c>
      <c r="J33">
        <v>2.4660000000000002</v>
      </c>
      <c r="K33" s="255">
        <f>J33*I33</f>
        <v>27.87</v>
      </c>
      <c r="L33" s="257" t="s">
        <v>2736</v>
      </c>
    </row>
    <row r="34" spans="3:16" x14ac:dyDescent="0.25">
      <c r="C34" t="s">
        <v>2737</v>
      </c>
      <c r="D34" s="520">
        <v>2</v>
      </c>
      <c r="E34" s="255">
        <f>E32</f>
        <v>75</v>
      </c>
      <c r="G34" s="255">
        <f>E34-F34</f>
        <v>75</v>
      </c>
      <c r="H34" s="255">
        <f>G34*D34</f>
        <v>150</v>
      </c>
    </row>
    <row r="35" spans="3:16" x14ac:dyDescent="0.25">
      <c r="C35" t="str">
        <f>C34</f>
        <v>cantoneira 2 x 1/4"</v>
      </c>
      <c r="D35" s="520">
        <v>2</v>
      </c>
      <c r="E35" s="255">
        <f>E33</f>
        <v>60</v>
      </c>
      <c r="G35" s="255">
        <f>E35-F35</f>
        <v>60</v>
      </c>
      <c r="H35" s="255">
        <f>G35*D35</f>
        <v>120</v>
      </c>
    </row>
    <row r="36" spans="3:16" x14ac:dyDescent="0.25">
      <c r="C36" t="str">
        <f>C35</f>
        <v>cantoneira 2 x 1/4"</v>
      </c>
      <c r="D36" s="520">
        <v>2</v>
      </c>
      <c r="E36" s="254">
        <v>5</v>
      </c>
      <c r="G36" s="255">
        <f>E36-F36</f>
        <v>5</v>
      </c>
      <c r="H36" s="255">
        <f>G36*D36</f>
        <v>10</v>
      </c>
      <c r="I36" s="255">
        <f>SUM(H34:H36)/100</f>
        <v>2.8</v>
      </c>
      <c r="J36">
        <v>5.0599999999999996</v>
      </c>
      <c r="K36" s="255">
        <f>I36*J36</f>
        <v>14.17</v>
      </c>
      <c r="L36" s="257" t="s">
        <v>2738</v>
      </c>
    </row>
    <row r="38" spans="3:16" x14ac:dyDescent="0.25">
      <c r="C38" s="256" t="s">
        <v>3341</v>
      </c>
      <c r="D38" s="520" t="s">
        <v>2731</v>
      </c>
      <c r="E38" s="520" t="s">
        <v>2732</v>
      </c>
      <c r="F38" s="520" t="s">
        <v>2733</v>
      </c>
      <c r="G38" s="520" t="s">
        <v>2734</v>
      </c>
      <c r="I38" s="520" t="s">
        <v>2598</v>
      </c>
      <c r="J38" s="520" t="s">
        <v>2735</v>
      </c>
      <c r="K38" s="520" t="s">
        <v>2716</v>
      </c>
    </row>
    <row r="39" spans="3:16" x14ac:dyDescent="0.25">
      <c r="C39" t="str">
        <f>C32</f>
        <v>ferro Ø3/4</v>
      </c>
      <c r="D39" s="531">
        <f>E40/5</f>
        <v>16</v>
      </c>
      <c r="E39" s="254">
        <v>75</v>
      </c>
      <c r="F39">
        <f>2.54/4</f>
        <v>0.63500000000000001</v>
      </c>
      <c r="G39" s="255">
        <f>E39-F39</f>
        <v>74.37</v>
      </c>
      <c r="H39" s="255">
        <f>G39*D39</f>
        <v>1189.92</v>
      </c>
    </row>
    <row r="40" spans="3:16" x14ac:dyDescent="0.25">
      <c r="C40" t="str">
        <f>C33</f>
        <v>ferro Ø3/4</v>
      </c>
      <c r="D40" s="520">
        <v>4</v>
      </c>
      <c r="E40" s="535">
        <v>80</v>
      </c>
      <c r="F40">
        <f>2.54/4</f>
        <v>0.63500000000000001</v>
      </c>
      <c r="G40" s="255">
        <f>E40-F40</f>
        <v>79.37</v>
      </c>
      <c r="H40" s="255">
        <f>G40*D40</f>
        <v>317.48</v>
      </c>
      <c r="I40" s="255">
        <f>SUM(H39:H40)/100</f>
        <v>15.07</v>
      </c>
      <c r="J40">
        <v>2.4660000000000002</v>
      </c>
      <c r="K40" s="255">
        <f>J40*I40</f>
        <v>37.159999999999997</v>
      </c>
      <c r="L40" s="257" t="s">
        <v>2736</v>
      </c>
    </row>
    <row r="41" spans="3:16" x14ac:dyDescent="0.25">
      <c r="C41" t="s">
        <v>2737</v>
      </c>
      <c r="D41" s="520">
        <v>2</v>
      </c>
      <c r="E41" s="255">
        <f>E39</f>
        <v>75</v>
      </c>
      <c r="G41" s="255">
        <f>E41-F41</f>
        <v>75</v>
      </c>
      <c r="H41" s="255">
        <f>G41*D41</f>
        <v>150</v>
      </c>
    </row>
    <row r="42" spans="3:16" x14ac:dyDescent="0.25">
      <c r="C42" t="str">
        <f>C41</f>
        <v>cantoneira 2 x 1/4"</v>
      </c>
      <c r="D42" s="520">
        <v>2</v>
      </c>
      <c r="E42" s="255">
        <f>E40</f>
        <v>80</v>
      </c>
      <c r="G42" s="255">
        <f>E42-F42</f>
        <v>80</v>
      </c>
      <c r="H42" s="255">
        <f>G42*D42</f>
        <v>160</v>
      </c>
    </row>
    <row r="43" spans="3:16" x14ac:dyDescent="0.25">
      <c r="C43" t="str">
        <f>C42</f>
        <v>cantoneira 2 x 1/4"</v>
      </c>
      <c r="D43" s="520">
        <v>2</v>
      </c>
      <c r="E43" s="254">
        <v>5</v>
      </c>
      <c r="G43" s="255">
        <f>E43-F43</f>
        <v>5</v>
      </c>
      <c r="H43" s="255">
        <f>G43*D43</f>
        <v>10</v>
      </c>
      <c r="I43" s="255">
        <f>SUM(H41:H43)/100</f>
        <v>3.2</v>
      </c>
      <c r="J43" s="255">
        <f>J36</f>
        <v>5.0599999999999996</v>
      </c>
      <c r="K43" s="255">
        <f>I43*J43</f>
        <v>16.190000000000001</v>
      </c>
      <c r="L43" s="257" t="s">
        <v>2738</v>
      </c>
    </row>
    <row r="44" spans="3:16" x14ac:dyDescent="0.25">
      <c r="D44" s="701"/>
      <c r="O44" s="701"/>
      <c r="P44" s="701"/>
    </row>
    <row r="45" spans="3:16" x14ac:dyDescent="0.25">
      <c r="C45" s="256" t="s">
        <v>3344</v>
      </c>
      <c r="D45" s="701" t="s">
        <v>2731</v>
      </c>
      <c r="E45" s="701" t="s">
        <v>2732</v>
      </c>
      <c r="F45" s="701" t="s">
        <v>2733</v>
      </c>
      <c r="G45" s="701" t="s">
        <v>2734</v>
      </c>
      <c r="I45" s="701" t="s">
        <v>2598</v>
      </c>
      <c r="J45" s="701" t="s">
        <v>2735</v>
      </c>
      <c r="K45" s="701" t="s">
        <v>2716</v>
      </c>
      <c r="O45" s="701"/>
      <c r="P45" s="701"/>
    </row>
    <row r="46" spans="3:16" x14ac:dyDescent="0.25">
      <c r="C46" t="str">
        <f>C39</f>
        <v>ferro Ø3/4</v>
      </c>
      <c r="D46" s="531">
        <f>E47/5</f>
        <v>23</v>
      </c>
      <c r="E46" s="254">
        <v>75</v>
      </c>
      <c r="F46">
        <f>2.54/4</f>
        <v>0.63500000000000001</v>
      </c>
      <c r="G46" s="255">
        <f>E46-F46</f>
        <v>74.37</v>
      </c>
      <c r="H46" s="255">
        <f>G46*D46</f>
        <v>1710.51</v>
      </c>
      <c r="O46" s="701"/>
      <c r="P46" s="701"/>
    </row>
    <row r="47" spans="3:16" x14ac:dyDescent="0.25">
      <c r="C47" t="str">
        <f>C40</f>
        <v>ferro Ø3/4</v>
      </c>
      <c r="D47" s="701">
        <v>4</v>
      </c>
      <c r="E47" s="535">
        <v>115</v>
      </c>
      <c r="F47">
        <f>2.54/4</f>
        <v>0.63500000000000001</v>
      </c>
      <c r="G47" s="255">
        <f>E47-F47</f>
        <v>114.37</v>
      </c>
      <c r="H47" s="255">
        <f>G47*D47</f>
        <v>457.48</v>
      </c>
      <c r="I47" s="255">
        <f>SUM(H46:H47)/100</f>
        <v>21.68</v>
      </c>
      <c r="J47">
        <v>2.4660000000000002</v>
      </c>
      <c r="K47" s="255">
        <f>J47*I47</f>
        <v>53.46</v>
      </c>
      <c r="L47" s="257" t="s">
        <v>2736</v>
      </c>
      <c r="O47" s="701"/>
      <c r="P47" s="701"/>
    </row>
    <row r="48" spans="3:16" x14ac:dyDescent="0.25">
      <c r="C48" t="s">
        <v>2737</v>
      </c>
      <c r="D48" s="701">
        <v>2</v>
      </c>
      <c r="E48" s="255">
        <f>E46</f>
        <v>75</v>
      </c>
      <c r="G48" s="255">
        <f>E48-F48</f>
        <v>75</v>
      </c>
      <c r="H48" s="255">
        <f>G48*D48</f>
        <v>150</v>
      </c>
      <c r="O48" s="701"/>
      <c r="P48" s="701"/>
    </row>
    <row r="49" spans="3:20" x14ac:dyDescent="0.25">
      <c r="C49" t="str">
        <f>C48</f>
        <v>cantoneira 2 x 1/4"</v>
      </c>
      <c r="D49" s="701">
        <v>2</v>
      </c>
      <c r="E49" s="255">
        <f>E47</f>
        <v>115</v>
      </c>
      <c r="G49" s="255">
        <f>E49-F49</f>
        <v>115</v>
      </c>
      <c r="H49" s="255">
        <f>G49*D49</f>
        <v>230</v>
      </c>
      <c r="O49" s="701"/>
      <c r="P49" s="701"/>
    </row>
    <row r="50" spans="3:20" x14ac:dyDescent="0.25">
      <c r="C50" t="str">
        <f>C49</f>
        <v>cantoneira 2 x 1/4"</v>
      </c>
      <c r="D50" s="701">
        <v>2</v>
      </c>
      <c r="E50" s="254">
        <v>5</v>
      </c>
      <c r="G50" s="255">
        <f>E50-F50</f>
        <v>5</v>
      </c>
      <c r="H50" s="255">
        <f>G50*D50</f>
        <v>10</v>
      </c>
      <c r="I50" s="255">
        <f>SUM(H48:H50)/100</f>
        <v>3.9</v>
      </c>
      <c r="J50" s="255">
        <f>J43</f>
        <v>5.0599999999999996</v>
      </c>
      <c r="K50" s="255">
        <f>I50*J50</f>
        <v>19.73</v>
      </c>
      <c r="L50" s="257" t="s">
        <v>2738</v>
      </c>
      <c r="O50" s="701"/>
      <c r="P50" s="701"/>
    </row>
    <row r="51" spans="3:20" x14ac:dyDescent="0.25">
      <c r="D51" s="701"/>
      <c r="O51" s="701"/>
      <c r="P51" s="701"/>
    </row>
    <row r="52" spans="3:20" x14ac:dyDescent="0.25">
      <c r="C52" s="256" t="s">
        <v>3345</v>
      </c>
      <c r="D52" s="701" t="s">
        <v>2731</v>
      </c>
      <c r="E52" s="701" t="s">
        <v>2732</v>
      </c>
      <c r="F52" s="701" t="s">
        <v>2733</v>
      </c>
      <c r="G52" s="701" t="s">
        <v>2734</v>
      </c>
      <c r="I52" s="701" t="s">
        <v>2598</v>
      </c>
      <c r="J52" s="701" t="s">
        <v>2735</v>
      </c>
      <c r="K52" s="701" t="s">
        <v>2716</v>
      </c>
      <c r="O52" s="701"/>
      <c r="P52" s="701"/>
    </row>
    <row r="53" spans="3:20" x14ac:dyDescent="0.25">
      <c r="C53" t="str">
        <f>C46</f>
        <v>ferro Ø3/4</v>
      </c>
      <c r="D53" s="531">
        <f>E54/5</f>
        <v>27</v>
      </c>
      <c r="E53" s="254">
        <v>75</v>
      </c>
      <c r="F53">
        <f>2.54/4</f>
        <v>0.63500000000000001</v>
      </c>
      <c r="G53" s="255">
        <f>E53-F53</f>
        <v>74.37</v>
      </c>
      <c r="H53" s="255">
        <f>G53*D53</f>
        <v>2007.99</v>
      </c>
      <c r="O53" s="701"/>
      <c r="P53" s="701"/>
    </row>
    <row r="54" spans="3:20" x14ac:dyDescent="0.25">
      <c r="C54" t="str">
        <f>C47</f>
        <v>ferro Ø3/4</v>
      </c>
      <c r="D54" s="701">
        <v>4</v>
      </c>
      <c r="E54" s="535">
        <v>135</v>
      </c>
      <c r="F54">
        <f>2.54/4</f>
        <v>0.63500000000000001</v>
      </c>
      <c r="G54" s="255">
        <f>E54-F54</f>
        <v>134.37</v>
      </c>
      <c r="H54" s="255">
        <f>G54*D54</f>
        <v>537.48</v>
      </c>
      <c r="I54" s="255">
        <f>SUM(H53:H54)/100</f>
        <v>25.45</v>
      </c>
      <c r="J54">
        <v>2.4660000000000002</v>
      </c>
      <c r="K54" s="255">
        <f>J54*I54</f>
        <v>62.76</v>
      </c>
      <c r="L54" s="257" t="s">
        <v>2736</v>
      </c>
      <c r="O54" s="701"/>
      <c r="P54" s="701"/>
    </row>
    <row r="55" spans="3:20" x14ac:dyDescent="0.25">
      <c r="C55" t="s">
        <v>2737</v>
      </c>
      <c r="D55" s="701">
        <v>2</v>
      </c>
      <c r="E55" s="255">
        <f>E53</f>
        <v>75</v>
      </c>
      <c r="G55" s="255">
        <f>E55-F55</f>
        <v>75</v>
      </c>
      <c r="H55" s="255">
        <f>G55*D55</f>
        <v>150</v>
      </c>
      <c r="O55" s="701"/>
      <c r="P55" s="701"/>
    </row>
    <row r="56" spans="3:20" x14ac:dyDescent="0.25">
      <c r="C56" t="str">
        <f>C55</f>
        <v>cantoneira 2 x 1/4"</v>
      </c>
      <c r="D56" s="701">
        <v>2</v>
      </c>
      <c r="E56" s="255">
        <f>E54</f>
        <v>135</v>
      </c>
      <c r="G56" s="255">
        <f>E56-F56</f>
        <v>135</v>
      </c>
      <c r="H56" s="255">
        <f>G56*D56</f>
        <v>270</v>
      </c>
      <c r="O56" s="701"/>
      <c r="P56" s="701"/>
    </row>
    <row r="57" spans="3:20" x14ac:dyDescent="0.25">
      <c r="C57" t="str">
        <f>C56</f>
        <v>cantoneira 2 x 1/4"</v>
      </c>
      <c r="D57" s="701">
        <v>2</v>
      </c>
      <c r="E57" s="254">
        <v>5</v>
      </c>
      <c r="G57" s="255">
        <f>E57-F57</f>
        <v>5</v>
      </c>
      <c r="H57" s="255">
        <f>G57*D57</f>
        <v>10</v>
      </c>
      <c r="I57" s="255">
        <f>SUM(H55:H57)/100</f>
        <v>4.3</v>
      </c>
      <c r="J57" s="255">
        <f>J50</f>
        <v>5.0599999999999996</v>
      </c>
      <c r="K57" s="255">
        <f>I57*J57</f>
        <v>21.76</v>
      </c>
      <c r="L57" s="257" t="s">
        <v>2738</v>
      </c>
      <c r="O57" s="701"/>
      <c r="P57" s="701"/>
    </row>
    <row r="60" spans="3:20" x14ac:dyDescent="0.25">
      <c r="C60" s="236"/>
      <c r="D60" s="537"/>
      <c r="E60" s="1612" t="s">
        <v>3235</v>
      </c>
      <c r="F60" s="1618"/>
      <c r="G60" s="1618"/>
      <c r="H60" s="1618"/>
      <c r="I60" s="1618"/>
      <c r="J60" s="1618"/>
      <c r="K60" s="1618"/>
      <c r="L60" s="1618"/>
      <c r="M60" s="1618"/>
      <c r="N60" s="1614"/>
      <c r="O60" s="1612" t="s">
        <v>2708</v>
      </c>
      <c r="P60" s="1614"/>
      <c r="Q60" s="1612" t="s">
        <v>2709</v>
      </c>
      <c r="R60" s="1614"/>
      <c r="S60" s="1612" t="s">
        <v>2710</v>
      </c>
      <c r="T60" s="1614"/>
    </row>
    <row r="61" spans="3:20" x14ac:dyDescent="0.25">
      <c r="C61" s="237"/>
      <c r="D61" s="539"/>
      <c r="E61" s="1615" t="s">
        <v>2711</v>
      </c>
      <c r="F61" s="1616"/>
      <c r="G61" s="1616" t="s">
        <v>2712</v>
      </c>
      <c r="H61" s="1616"/>
      <c r="I61" s="1616" t="s">
        <v>2713</v>
      </c>
      <c r="J61" s="1616"/>
      <c r="K61" s="1616" t="s">
        <v>2714</v>
      </c>
      <c r="L61" s="1616"/>
      <c r="M61" s="1616" t="s">
        <v>2715</v>
      </c>
      <c r="N61" s="1617"/>
      <c r="O61" s="538" t="str">
        <f>I61</f>
        <v>Ø80cm</v>
      </c>
      <c r="P61" s="539" t="str">
        <f>M61</f>
        <v>Ø120cm</v>
      </c>
      <c r="Q61" s="538" t="str">
        <f>O61</f>
        <v>Ø80cm</v>
      </c>
      <c r="R61" s="539" t="str">
        <f>P61</f>
        <v>Ø120cm</v>
      </c>
      <c r="S61" s="538" t="str">
        <f>R61</f>
        <v>Ø120cm</v>
      </c>
      <c r="T61" s="539" t="str">
        <f>S61</f>
        <v>Ø120cm</v>
      </c>
    </row>
    <row r="62" spans="3:20" x14ac:dyDescent="0.25">
      <c r="C62" s="238"/>
      <c r="D62" s="239" t="s">
        <v>588</v>
      </c>
      <c r="E62" s="240">
        <v>1.5</v>
      </c>
      <c r="F62" s="241">
        <v>2</v>
      </c>
      <c r="G62" s="241">
        <f>E62</f>
        <v>1.5</v>
      </c>
      <c r="H62" s="241">
        <f>F62</f>
        <v>2</v>
      </c>
      <c r="I62" s="241">
        <v>2</v>
      </c>
      <c r="J62" s="241">
        <v>2.5</v>
      </c>
      <c r="K62" s="241">
        <v>2</v>
      </c>
      <c r="L62" s="241">
        <v>2.5</v>
      </c>
      <c r="M62" s="241">
        <v>2</v>
      </c>
      <c r="N62" s="242">
        <v>2.5</v>
      </c>
      <c r="O62" s="240">
        <v>1</v>
      </c>
      <c r="P62" s="242">
        <v>1.5</v>
      </c>
      <c r="Q62" s="240">
        <v>1.5</v>
      </c>
      <c r="R62" s="242">
        <v>2</v>
      </c>
      <c r="S62" s="240">
        <v>3</v>
      </c>
      <c r="T62" s="242">
        <v>5</v>
      </c>
    </row>
    <row r="63" spans="3:20" x14ac:dyDescent="0.25">
      <c r="C63" s="237" t="s">
        <v>2699</v>
      </c>
      <c r="D63" s="539" t="s">
        <v>2595</v>
      </c>
      <c r="E63" s="243"/>
      <c r="F63" s="244"/>
      <c r="G63" s="244"/>
      <c r="H63" s="244"/>
      <c r="I63" s="244"/>
      <c r="J63" s="244"/>
      <c r="K63" s="244"/>
      <c r="L63" s="244"/>
      <c r="M63" s="244"/>
      <c r="N63" s="245"/>
      <c r="O63" s="243"/>
      <c r="P63" s="244"/>
      <c r="Q63" s="243"/>
      <c r="R63" s="245"/>
      <c r="S63" s="243"/>
      <c r="T63" s="245"/>
    </row>
    <row r="64" spans="3:20" x14ac:dyDescent="0.25">
      <c r="C64" s="237" t="s">
        <v>2702</v>
      </c>
      <c r="D64" s="539" t="s">
        <v>2596</v>
      </c>
      <c r="E64" s="243">
        <f>E86+E87</f>
        <v>0.54600000000000004</v>
      </c>
      <c r="F64" s="244">
        <f t="shared" ref="F64:N64" si="13">F73*F74*F80+F73*F74*F81-(F76-F83)*(F77-F83)*F81+F73*F83*F75*2+(F74-F83-F83)*F75*F83</f>
        <v>0.59699999999999998</v>
      </c>
      <c r="G64" s="244">
        <f t="shared" si="13"/>
        <v>0.51100000000000001</v>
      </c>
      <c r="H64" s="244">
        <f t="shared" si="13"/>
        <v>0.65600000000000003</v>
      </c>
      <c r="I64" s="244">
        <f t="shared" si="13"/>
        <v>0.71399999999999997</v>
      </c>
      <c r="J64" s="244">
        <f t="shared" si="13"/>
        <v>0.71399999999999997</v>
      </c>
      <c r="K64" s="244">
        <f t="shared" si="13"/>
        <v>0.79600000000000004</v>
      </c>
      <c r="L64" s="244">
        <f t="shared" si="13"/>
        <v>0.79600000000000004</v>
      </c>
      <c r="M64" s="244">
        <f t="shared" si="13"/>
        <v>0.79600000000000004</v>
      </c>
      <c r="N64" s="245">
        <f t="shared" si="13"/>
        <v>0.79600000000000004</v>
      </c>
      <c r="O64" s="243">
        <f t="shared" ref="O64:T64" si="14">O73*O74*O80+O73*O74*O81-(O76-O83)*(O77-O83)*O81+O73*O74*O82</f>
        <v>0.61299999999999999</v>
      </c>
      <c r="P64" s="245">
        <f t="shared" si="14"/>
        <v>1.0129999999999999</v>
      </c>
      <c r="Q64" s="243">
        <f t="shared" si="14"/>
        <v>0.64400000000000002</v>
      </c>
      <c r="R64" s="245">
        <f t="shared" si="14"/>
        <v>1.1439999999999999</v>
      </c>
      <c r="S64" s="243">
        <f t="shared" si="14"/>
        <v>1.1439999999999999</v>
      </c>
      <c r="T64" s="245">
        <f t="shared" si="14"/>
        <v>1.1439999999999999</v>
      </c>
    </row>
    <row r="65" spans="3:20" x14ac:dyDescent="0.25">
      <c r="C65" s="237" t="s">
        <v>2703</v>
      </c>
      <c r="D65" s="539" t="s">
        <v>2595</v>
      </c>
      <c r="E65" s="243">
        <f>E89+E90</f>
        <v>9.32</v>
      </c>
      <c r="F65" s="244">
        <f t="shared" ref="F65:T65" si="15">F89+F90</f>
        <v>12.62</v>
      </c>
      <c r="G65" s="244">
        <f t="shared" si="15"/>
        <v>10.44</v>
      </c>
      <c r="H65" s="244">
        <f t="shared" si="15"/>
        <v>14.14</v>
      </c>
      <c r="I65" s="244">
        <f t="shared" si="15"/>
        <v>13.4</v>
      </c>
      <c r="J65" s="244">
        <f t="shared" si="15"/>
        <v>13.4</v>
      </c>
      <c r="K65" s="244">
        <f t="shared" si="15"/>
        <v>14.6</v>
      </c>
      <c r="L65" s="244">
        <f t="shared" si="15"/>
        <v>14.6</v>
      </c>
      <c r="M65" s="244">
        <f t="shared" si="15"/>
        <v>14.6</v>
      </c>
      <c r="N65" s="245">
        <f t="shared" si="15"/>
        <v>14.6</v>
      </c>
      <c r="O65" s="243">
        <f t="shared" si="15"/>
        <v>10.72</v>
      </c>
      <c r="P65" s="245">
        <f t="shared" si="15"/>
        <v>22.52</v>
      </c>
      <c r="Q65" s="243">
        <f t="shared" si="15"/>
        <v>13.4</v>
      </c>
      <c r="R65" s="245">
        <f t="shared" si="15"/>
        <v>26</v>
      </c>
      <c r="S65" s="243">
        <f t="shared" si="15"/>
        <v>45.436</v>
      </c>
      <c r="T65" s="245">
        <f t="shared" si="15"/>
        <v>79.835999999999999</v>
      </c>
    </row>
    <row r="66" spans="3:20" x14ac:dyDescent="0.25">
      <c r="C66" s="237" t="s">
        <v>2704</v>
      </c>
      <c r="D66" s="539" t="s">
        <v>2716</v>
      </c>
      <c r="E66" s="243">
        <f>E86*$B$86+E87*$B$87</f>
        <v>4.83</v>
      </c>
      <c r="F66" s="244">
        <f t="shared" ref="F66:N66" si="16">F86*$B$86+F87*$B$87</f>
        <v>5.6550000000000002</v>
      </c>
      <c r="G66" s="244">
        <f t="shared" si="16"/>
        <v>5.74</v>
      </c>
      <c r="H66" s="244">
        <f t="shared" si="16"/>
        <v>6.665</v>
      </c>
      <c r="I66" s="244">
        <f t="shared" si="16"/>
        <v>10.08</v>
      </c>
      <c r="J66" s="244">
        <f t="shared" si="16"/>
        <v>10.08</v>
      </c>
      <c r="K66" s="244">
        <f t="shared" si="16"/>
        <v>11.97</v>
      </c>
      <c r="L66" s="244">
        <f t="shared" si="16"/>
        <v>11.97</v>
      </c>
      <c r="M66" s="244">
        <f t="shared" si="16"/>
        <v>11.97</v>
      </c>
      <c r="N66" s="245">
        <f t="shared" si="16"/>
        <v>11.97</v>
      </c>
      <c r="O66" s="243">
        <f t="shared" ref="O66:T66" si="17">O64*$B$8</f>
        <v>18.39</v>
      </c>
      <c r="P66" s="245">
        <f t="shared" si="17"/>
        <v>30.39</v>
      </c>
      <c r="Q66" s="243">
        <f t="shared" si="17"/>
        <v>19.32</v>
      </c>
      <c r="R66" s="245">
        <f t="shared" si="17"/>
        <v>34.32</v>
      </c>
      <c r="S66" s="243">
        <f t="shared" si="17"/>
        <v>34.32</v>
      </c>
      <c r="T66" s="245">
        <f t="shared" si="17"/>
        <v>34.32</v>
      </c>
    </row>
    <row r="67" spans="3:20" x14ac:dyDescent="0.25">
      <c r="C67" s="237" t="s">
        <v>2705</v>
      </c>
      <c r="D67" s="539" t="s">
        <v>2596</v>
      </c>
      <c r="E67" s="243">
        <f>(((E73-E83)*2+(E74-E83)*2)*E75+((E76-E83)*2+(E77-E83)*2)*E78)*E84</f>
        <v>0</v>
      </c>
      <c r="F67" s="244">
        <f>(((F73-F83)*2+(F74-F83)*2)*F75+((F76-F83)*2+(F77-F83)*2)*F78)*F84</f>
        <v>0</v>
      </c>
      <c r="G67" s="244">
        <f>(((G73-G83)*2+(G74-G83)*2)*G75+((G76-G83)*2+(G77-G83)*2)*G78)*G84</f>
        <v>0</v>
      </c>
      <c r="H67" s="244">
        <f>(((H73-H83)*2+(H74-H83)*2)*H75+((H76-H83)*2+(H77-H83)*2)*H78)*H84</f>
        <v>0</v>
      </c>
      <c r="I67" s="244">
        <f>(((I73-I83)*2+(I74-I83)*2)*I75+((I76-I83)*2+(I77-I83)*2)*I78)*I84</f>
        <v>0</v>
      </c>
      <c r="J67" s="244">
        <f t="shared" ref="J67:T67" si="18">(((J73-J83)*2+(J74-J83)*2)*J75+((J76-J83)*2+(J77-J83)*2)*J78)*J84</f>
        <v>0</v>
      </c>
      <c r="K67" s="244">
        <f t="shared" si="18"/>
        <v>0</v>
      </c>
      <c r="L67" s="244">
        <f t="shared" si="18"/>
        <v>0</v>
      </c>
      <c r="M67" s="244">
        <f t="shared" si="18"/>
        <v>0</v>
      </c>
      <c r="N67" s="245">
        <f t="shared" si="18"/>
        <v>0</v>
      </c>
      <c r="O67" s="243">
        <f t="shared" si="18"/>
        <v>0</v>
      </c>
      <c r="P67" s="245">
        <f t="shared" si="18"/>
        <v>0</v>
      </c>
      <c r="Q67" s="243">
        <f t="shared" si="18"/>
        <v>0</v>
      </c>
      <c r="R67" s="245">
        <f t="shared" si="18"/>
        <v>0</v>
      </c>
      <c r="S67" s="243">
        <f t="shared" si="18"/>
        <v>0</v>
      </c>
      <c r="T67" s="245">
        <f t="shared" si="18"/>
        <v>0</v>
      </c>
    </row>
    <row r="68" spans="3:20" x14ac:dyDescent="0.25">
      <c r="C68" s="237" t="s">
        <v>2706</v>
      </c>
      <c r="D68" s="539" t="s">
        <v>2596</v>
      </c>
      <c r="E68" s="243">
        <f>+(E73-E83*2)*E83*E85</f>
        <v>0</v>
      </c>
      <c r="F68" s="244">
        <f>+(F73-F83*2)*F83*F85</f>
        <v>0</v>
      </c>
      <c r="G68" s="244">
        <f>+(G73-G83*2)*G83*G85</f>
        <v>0</v>
      </c>
      <c r="H68" s="244">
        <f>+(H73-H83*2)*H83*H85</f>
        <v>0</v>
      </c>
      <c r="I68" s="244">
        <f>+(I76-I83*2)*I83*I85</f>
        <v>0</v>
      </c>
      <c r="J68" s="244">
        <f t="shared" ref="J68:T68" si="19">+(J76-J83*2)*J83*J85</f>
        <v>0</v>
      </c>
      <c r="K68" s="244">
        <f t="shared" si="19"/>
        <v>0</v>
      </c>
      <c r="L68" s="244">
        <f t="shared" si="19"/>
        <v>0</v>
      </c>
      <c r="M68" s="244">
        <f t="shared" si="19"/>
        <v>0</v>
      </c>
      <c r="N68" s="245">
        <f t="shared" si="19"/>
        <v>0</v>
      </c>
      <c r="O68" s="243">
        <f t="shared" si="19"/>
        <v>0</v>
      </c>
      <c r="P68" s="245">
        <f t="shared" si="19"/>
        <v>0</v>
      </c>
      <c r="Q68" s="243">
        <f t="shared" si="19"/>
        <v>6.0000000000000001E-3</v>
      </c>
      <c r="R68" s="245">
        <f t="shared" si="19"/>
        <v>6.0000000000000001E-3</v>
      </c>
      <c r="S68" s="243">
        <f t="shared" si="19"/>
        <v>6.0000000000000001E-3</v>
      </c>
      <c r="T68" s="245">
        <f t="shared" si="19"/>
        <v>6.0000000000000001E-3</v>
      </c>
    </row>
    <row r="69" spans="3:20" x14ac:dyDescent="0.25">
      <c r="C69" s="237" t="s">
        <v>2717</v>
      </c>
      <c r="D69" s="539" t="s">
        <v>2599</v>
      </c>
      <c r="E69" s="243">
        <v>1</v>
      </c>
      <c r="F69" s="244">
        <f>E69</f>
        <v>1</v>
      </c>
      <c r="G69" s="244"/>
      <c r="H69" s="244"/>
      <c r="I69" s="244"/>
      <c r="J69" s="244"/>
      <c r="K69" s="244"/>
      <c r="L69" s="244"/>
      <c r="M69" s="244"/>
      <c r="N69" s="245"/>
      <c r="O69" s="243"/>
      <c r="P69" s="245"/>
      <c r="Q69" s="243"/>
      <c r="R69" s="245"/>
      <c r="S69" s="243"/>
      <c r="T69" s="245"/>
    </row>
    <row r="70" spans="3:20" x14ac:dyDescent="0.25">
      <c r="C70" s="237" t="s">
        <v>2718</v>
      </c>
      <c r="D70" s="539" t="s">
        <v>2599</v>
      </c>
      <c r="E70" s="243"/>
      <c r="F70" s="244"/>
      <c r="G70" s="244">
        <v>1</v>
      </c>
      <c r="H70" s="244">
        <f>G70</f>
        <v>1</v>
      </c>
      <c r="I70" s="244">
        <f>G70</f>
        <v>1</v>
      </c>
      <c r="J70" s="244">
        <f>I70</f>
        <v>1</v>
      </c>
      <c r="K70" s="244">
        <f>G70</f>
        <v>1</v>
      </c>
      <c r="L70" s="244">
        <f>K70</f>
        <v>1</v>
      </c>
      <c r="M70" s="244">
        <f>G70</f>
        <v>1</v>
      </c>
      <c r="N70" s="245">
        <f>M70</f>
        <v>1</v>
      </c>
      <c r="O70" s="243"/>
      <c r="P70" s="245"/>
      <c r="Q70" s="243"/>
      <c r="R70" s="245"/>
      <c r="S70" s="243"/>
      <c r="T70" s="245"/>
    </row>
    <row r="71" spans="3:20" x14ac:dyDescent="0.25">
      <c r="C71" s="237" t="s">
        <v>2719</v>
      </c>
      <c r="D71" s="539"/>
      <c r="E71" s="243"/>
      <c r="F71" s="244"/>
      <c r="G71" s="244"/>
      <c r="H71" s="244"/>
      <c r="I71" s="244"/>
      <c r="J71" s="244"/>
      <c r="K71" s="244"/>
      <c r="L71" s="244"/>
      <c r="M71" s="244"/>
      <c r="N71" s="245"/>
      <c r="O71" s="243"/>
      <c r="P71" s="245"/>
      <c r="Q71" s="243">
        <v>1</v>
      </c>
      <c r="R71" s="245">
        <f>Q71</f>
        <v>1</v>
      </c>
      <c r="S71" s="243">
        <v>1</v>
      </c>
      <c r="T71" s="245">
        <f>S71</f>
        <v>1</v>
      </c>
    </row>
    <row r="72" spans="3:20" x14ac:dyDescent="0.25">
      <c r="C72" s="237"/>
      <c r="D72" s="539"/>
      <c r="E72" s="237"/>
      <c r="F72" s="246"/>
      <c r="G72" s="246"/>
      <c r="H72" s="246"/>
      <c r="I72" s="246"/>
      <c r="J72" s="246"/>
      <c r="K72" s="246"/>
      <c r="L72" s="246"/>
      <c r="M72" s="246"/>
      <c r="N72" s="247"/>
      <c r="O72" s="237"/>
      <c r="P72" s="247"/>
      <c r="Q72" s="237"/>
      <c r="R72" s="247"/>
      <c r="S72" s="237"/>
      <c r="T72" s="247"/>
    </row>
    <row r="73" spans="3:20" x14ac:dyDescent="0.25">
      <c r="C73" s="237" t="s">
        <v>2720</v>
      </c>
      <c r="D73" s="539" t="s">
        <v>2598</v>
      </c>
      <c r="E73" s="534">
        <v>1.05</v>
      </c>
      <c r="F73" s="532">
        <f>E73</f>
        <v>1.05</v>
      </c>
      <c r="G73" s="532">
        <f>E73</f>
        <v>1.05</v>
      </c>
      <c r="H73" s="532">
        <f>G73</f>
        <v>1.05</v>
      </c>
      <c r="I73" s="532">
        <f>G73</f>
        <v>1.05</v>
      </c>
      <c r="J73" s="532">
        <f>I73</f>
        <v>1.05</v>
      </c>
      <c r="K73" s="532">
        <f>I73</f>
        <v>1.05</v>
      </c>
      <c r="L73" s="532">
        <f>K73</f>
        <v>1.05</v>
      </c>
      <c r="M73" s="532">
        <f>E73</f>
        <v>1.05</v>
      </c>
      <c r="N73" s="533">
        <f>M73</f>
        <v>1.05</v>
      </c>
      <c r="O73" s="553">
        <v>1.75</v>
      </c>
      <c r="P73" s="533">
        <v>2.25</v>
      </c>
      <c r="Q73" s="248">
        <v>1.75</v>
      </c>
      <c r="R73" s="554">
        <f>P73</f>
        <v>2.25</v>
      </c>
      <c r="S73" s="248">
        <f>R73</f>
        <v>2.25</v>
      </c>
      <c r="T73" s="250">
        <f>S73</f>
        <v>2.25</v>
      </c>
    </row>
    <row r="74" spans="3:20" x14ac:dyDescent="0.25">
      <c r="C74" s="237" t="s">
        <v>2721</v>
      </c>
      <c r="D74" s="539" t="s">
        <v>2598</v>
      </c>
      <c r="E74" s="534">
        <v>0.8</v>
      </c>
      <c r="F74" s="532">
        <f>E74</f>
        <v>0.8</v>
      </c>
      <c r="G74" s="532">
        <v>1</v>
      </c>
      <c r="H74" s="532">
        <f>G74</f>
        <v>1</v>
      </c>
      <c r="I74" s="532">
        <v>1.35</v>
      </c>
      <c r="J74" s="532">
        <f>I74</f>
        <v>1.35</v>
      </c>
      <c r="K74" s="532">
        <v>1.55</v>
      </c>
      <c r="L74" s="532">
        <f>K74</f>
        <v>1.55</v>
      </c>
      <c r="M74" s="532">
        <f>K74</f>
        <v>1.55</v>
      </c>
      <c r="N74" s="533">
        <f>M74</f>
        <v>1.55</v>
      </c>
      <c r="O74" s="553">
        <f>O73</f>
        <v>1.75</v>
      </c>
      <c r="P74" s="533">
        <f>P73</f>
        <v>2.25</v>
      </c>
      <c r="Q74" s="248">
        <f>Q73</f>
        <v>1.75</v>
      </c>
      <c r="R74" s="554">
        <f>P74</f>
        <v>2.25</v>
      </c>
      <c r="S74" s="248">
        <f>S73</f>
        <v>2.25</v>
      </c>
      <c r="T74" s="250">
        <f>T73</f>
        <v>2.25</v>
      </c>
    </row>
    <row r="75" spans="3:20" x14ac:dyDescent="0.25">
      <c r="C75" s="237" t="s">
        <v>149</v>
      </c>
      <c r="D75" s="539" t="s">
        <v>2598</v>
      </c>
      <c r="E75" s="553">
        <f>E62-E78-E80-E81-E85-E82</f>
        <v>1.4</v>
      </c>
      <c r="F75" s="555">
        <f>F62-F78-F80-F81-F85-F82</f>
        <v>1.9</v>
      </c>
      <c r="G75" s="555">
        <f>G62-G78-G80-G81-G85-G82</f>
        <v>1.4</v>
      </c>
      <c r="H75" s="555">
        <f>H62-H78-H80-H81-H85-H82</f>
        <v>1.9</v>
      </c>
      <c r="I75" s="555">
        <v>1.5</v>
      </c>
      <c r="J75" s="555">
        <f>I75</f>
        <v>1.5</v>
      </c>
      <c r="K75" s="555">
        <f>I75</f>
        <v>1.5</v>
      </c>
      <c r="L75" s="555">
        <f>K75</f>
        <v>1.5</v>
      </c>
      <c r="M75" s="555">
        <f>K75</f>
        <v>1.5</v>
      </c>
      <c r="N75" s="556">
        <f>M75</f>
        <v>1.5</v>
      </c>
      <c r="O75" s="248">
        <f>O62-O78-O80-O81-O85-O82</f>
        <v>0.8</v>
      </c>
      <c r="P75" s="250">
        <f>P62-P78-P80-P81-P85-P82</f>
        <v>1.3</v>
      </c>
      <c r="Q75" s="248">
        <v>1</v>
      </c>
      <c r="R75" s="250">
        <v>1.5</v>
      </c>
      <c r="S75" s="248">
        <f>S62-S85-S80-0.2</f>
        <v>2.63</v>
      </c>
      <c r="T75" s="250">
        <f>T62-T85-T80-0.2</f>
        <v>4.63</v>
      </c>
    </row>
    <row r="76" spans="3:20" x14ac:dyDescent="0.25">
      <c r="C76" s="237" t="s">
        <v>2722</v>
      </c>
      <c r="D76" s="539" t="s">
        <v>2598</v>
      </c>
      <c r="E76" s="553">
        <f>E73</f>
        <v>1.05</v>
      </c>
      <c r="F76" s="555">
        <f t="shared" ref="F76:H77" si="20">F73</f>
        <v>1.05</v>
      </c>
      <c r="G76" s="555">
        <f t="shared" si="20"/>
        <v>1.05</v>
      </c>
      <c r="H76" s="555">
        <f t="shared" si="20"/>
        <v>1.05</v>
      </c>
      <c r="I76" s="555">
        <f>G73</f>
        <v>1.05</v>
      </c>
      <c r="J76" s="555">
        <f>I76</f>
        <v>1.05</v>
      </c>
      <c r="K76" s="555">
        <f>G73</f>
        <v>1.05</v>
      </c>
      <c r="L76" s="555">
        <f>K76</f>
        <v>1.05</v>
      </c>
      <c r="M76" s="555">
        <f>G73</f>
        <v>1.05</v>
      </c>
      <c r="N76" s="556">
        <f>M76</f>
        <v>1.05</v>
      </c>
      <c r="O76" s="248">
        <f>O73</f>
        <v>1.75</v>
      </c>
      <c r="P76" s="250">
        <f>P73</f>
        <v>2.25</v>
      </c>
      <c r="Q76" s="248">
        <v>1</v>
      </c>
      <c r="R76" s="250">
        <f>Q76</f>
        <v>1</v>
      </c>
      <c r="S76" s="248">
        <f>Q76</f>
        <v>1</v>
      </c>
      <c r="T76" s="250">
        <f>S76</f>
        <v>1</v>
      </c>
    </row>
    <row r="77" spans="3:20" x14ac:dyDescent="0.25">
      <c r="C77" s="237" t="s">
        <v>2723</v>
      </c>
      <c r="D77" s="539" t="s">
        <v>2598</v>
      </c>
      <c r="E77" s="553">
        <f>E74</f>
        <v>0.8</v>
      </c>
      <c r="F77" s="555">
        <f t="shared" si="20"/>
        <v>0.8</v>
      </c>
      <c r="G77" s="555">
        <f t="shared" si="20"/>
        <v>1</v>
      </c>
      <c r="H77" s="555">
        <f t="shared" si="20"/>
        <v>1</v>
      </c>
      <c r="I77" s="555">
        <f>G74</f>
        <v>1</v>
      </c>
      <c r="J77" s="555">
        <f>I77</f>
        <v>1</v>
      </c>
      <c r="K77" s="555">
        <f>G74</f>
        <v>1</v>
      </c>
      <c r="L77" s="555">
        <f>K77</f>
        <v>1</v>
      </c>
      <c r="M77" s="555">
        <f>G74</f>
        <v>1</v>
      </c>
      <c r="N77" s="556">
        <f>M77</f>
        <v>1</v>
      </c>
      <c r="O77" s="248">
        <f>O74</f>
        <v>1.75</v>
      </c>
      <c r="P77" s="250">
        <f>P74</f>
        <v>2.25</v>
      </c>
      <c r="Q77" s="248">
        <f>Q76</f>
        <v>1</v>
      </c>
      <c r="R77" s="250">
        <f>Q77</f>
        <v>1</v>
      </c>
      <c r="S77" s="248">
        <f>S76</f>
        <v>1</v>
      </c>
      <c r="T77" s="250">
        <f>S77</f>
        <v>1</v>
      </c>
    </row>
    <row r="78" spans="3:20" x14ac:dyDescent="0.25">
      <c r="C78" s="237" t="s">
        <v>2724</v>
      </c>
      <c r="D78" s="539" t="s">
        <v>2598</v>
      </c>
      <c r="E78" s="553"/>
      <c r="F78" s="555"/>
      <c r="G78" s="555"/>
      <c r="H78" s="555"/>
      <c r="I78" s="555">
        <f t="shared" ref="I78:N78" si="21">I62-I75-I80-I81-I85-I82</f>
        <v>0.25</v>
      </c>
      <c r="J78" s="555">
        <f t="shared" si="21"/>
        <v>0.75</v>
      </c>
      <c r="K78" s="555">
        <f t="shared" si="21"/>
        <v>0.25</v>
      </c>
      <c r="L78" s="555">
        <f t="shared" si="21"/>
        <v>0.75</v>
      </c>
      <c r="M78" s="555">
        <f t="shared" si="21"/>
        <v>0.25</v>
      </c>
      <c r="N78" s="556">
        <f t="shared" si="21"/>
        <v>0.75</v>
      </c>
      <c r="O78" s="540"/>
      <c r="P78" s="540"/>
      <c r="Q78" s="248">
        <f>Q62-Q75-Q80-Q81-Q85-Q82</f>
        <v>0.18</v>
      </c>
      <c r="R78" s="250">
        <f>R62-R75-R80-R81-R85-R82</f>
        <v>0.18</v>
      </c>
      <c r="S78" s="248">
        <f>S62-S75-S80-S81-S85-S82</f>
        <v>0.05</v>
      </c>
      <c r="T78" s="250">
        <f>T62-T75-T80-T81-T85-T82</f>
        <v>0.05</v>
      </c>
    </row>
    <row r="79" spans="3:20" x14ac:dyDescent="0.25">
      <c r="C79" s="237"/>
      <c r="D79" s="539"/>
      <c r="E79" s="553"/>
      <c r="F79" s="555"/>
      <c r="G79" s="555"/>
      <c r="H79" s="555"/>
      <c r="I79" s="555"/>
      <c r="J79" s="555"/>
      <c r="K79" s="555"/>
      <c r="L79" s="555"/>
      <c r="M79" s="555"/>
      <c r="N79" s="556"/>
      <c r="O79" s="540"/>
      <c r="P79" s="540"/>
      <c r="Q79" s="248"/>
      <c r="R79" s="250"/>
      <c r="S79" s="248"/>
      <c r="T79" s="250"/>
    </row>
    <row r="80" spans="3:20" x14ac:dyDescent="0.25">
      <c r="C80" s="237" t="s">
        <v>2725</v>
      </c>
      <c r="D80" s="539" t="s">
        <v>2598</v>
      </c>
      <c r="E80" s="553">
        <v>0.1</v>
      </c>
      <c r="F80" s="555">
        <f>E80</f>
        <v>0.1</v>
      </c>
      <c r="G80" s="555">
        <f t="shared" ref="G80:H80" si="22">F80</f>
        <v>0.1</v>
      </c>
      <c r="H80" s="555">
        <f t="shared" si="22"/>
        <v>0.1</v>
      </c>
      <c r="I80" s="555">
        <f>E80</f>
        <v>0.1</v>
      </c>
      <c r="J80" s="555">
        <f t="shared" ref="J80:T81" si="23">I80</f>
        <v>0.1</v>
      </c>
      <c r="K80" s="555">
        <f t="shared" si="23"/>
        <v>0.1</v>
      </c>
      <c r="L80" s="555">
        <f t="shared" si="23"/>
        <v>0.1</v>
      </c>
      <c r="M80" s="555">
        <f t="shared" si="23"/>
        <v>0.1</v>
      </c>
      <c r="N80" s="556">
        <f t="shared" si="23"/>
        <v>0.1</v>
      </c>
      <c r="O80" s="248">
        <f t="shared" si="23"/>
        <v>0.1</v>
      </c>
      <c r="P80" s="250">
        <f t="shared" si="23"/>
        <v>0.1</v>
      </c>
      <c r="Q80" s="248">
        <f t="shared" si="23"/>
        <v>0.1</v>
      </c>
      <c r="R80" s="250">
        <f t="shared" si="23"/>
        <v>0.1</v>
      </c>
      <c r="S80" s="248">
        <f t="shared" si="23"/>
        <v>0.1</v>
      </c>
      <c r="T80" s="250">
        <f t="shared" si="23"/>
        <v>0.1</v>
      </c>
    </row>
    <row r="81" spans="2:20" x14ac:dyDescent="0.25">
      <c r="C81" s="237" t="s">
        <v>2726</v>
      </c>
      <c r="D81" s="539" t="str">
        <f>D80</f>
        <v>m</v>
      </c>
      <c r="E81" s="553"/>
      <c r="F81" s="555"/>
      <c r="G81" s="555"/>
      <c r="H81" s="555"/>
      <c r="I81" s="555">
        <v>0.15</v>
      </c>
      <c r="J81" s="555">
        <f t="shared" si="23"/>
        <v>0.15</v>
      </c>
      <c r="K81" s="555">
        <f t="shared" si="23"/>
        <v>0.15</v>
      </c>
      <c r="L81" s="555">
        <f t="shared" si="23"/>
        <v>0.15</v>
      </c>
      <c r="M81" s="555">
        <f t="shared" si="23"/>
        <v>0.15</v>
      </c>
      <c r="N81" s="556">
        <f t="shared" si="23"/>
        <v>0.15</v>
      </c>
      <c r="O81" s="248"/>
      <c r="P81" s="250"/>
      <c r="Q81" s="248">
        <v>0.15</v>
      </c>
      <c r="R81" s="250">
        <f>Q81</f>
        <v>0.15</v>
      </c>
      <c r="S81" s="248">
        <f>Q81</f>
        <v>0.15</v>
      </c>
      <c r="T81" s="250">
        <f>S81</f>
        <v>0.15</v>
      </c>
    </row>
    <row r="82" spans="2:20" x14ac:dyDescent="0.25">
      <c r="C82" s="237" t="s">
        <v>2727</v>
      </c>
      <c r="D82" s="539" t="s">
        <v>2598</v>
      </c>
      <c r="E82" s="553"/>
      <c r="F82" s="555"/>
      <c r="G82" s="555"/>
      <c r="H82" s="555"/>
      <c r="I82" s="555"/>
      <c r="J82" s="555"/>
      <c r="K82" s="555"/>
      <c r="L82" s="555"/>
      <c r="M82" s="555"/>
      <c r="N82" s="556"/>
      <c r="O82" s="248">
        <v>0.1</v>
      </c>
      <c r="P82" s="250">
        <f>O82</f>
        <v>0.1</v>
      </c>
      <c r="Q82" s="248"/>
      <c r="R82" s="250"/>
      <c r="S82" s="248"/>
      <c r="T82" s="250"/>
    </row>
    <row r="83" spans="2:20" x14ac:dyDescent="0.25">
      <c r="C83" s="237" t="s">
        <v>2728</v>
      </c>
      <c r="D83" s="539" t="s">
        <v>2598</v>
      </c>
      <c r="E83" s="534">
        <v>0.1</v>
      </c>
      <c r="F83" s="532">
        <f>E83</f>
        <v>0.1</v>
      </c>
      <c r="G83" s="532">
        <f t="shared" ref="G83:T85" si="24">F83</f>
        <v>0.1</v>
      </c>
      <c r="H83" s="532">
        <f t="shared" si="24"/>
        <v>0.1</v>
      </c>
      <c r="I83" s="532">
        <f t="shared" si="24"/>
        <v>0.1</v>
      </c>
      <c r="J83" s="532">
        <f t="shared" si="24"/>
        <v>0.1</v>
      </c>
      <c r="K83" s="532">
        <f t="shared" si="24"/>
        <v>0.1</v>
      </c>
      <c r="L83" s="532">
        <f t="shared" si="24"/>
        <v>0.1</v>
      </c>
      <c r="M83" s="532">
        <f t="shared" si="24"/>
        <v>0.1</v>
      </c>
      <c r="N83" s="533">
        <f t="shared" si="24"/>
        <v>0.1</v>
      </c>
      <c r="O83" s="534">
        <f t="shared" si="24"/>
        <v>0.1</v>
      </c>
      <c r="P83" s="533">
        <f t="shared" si="24"/>
        <v>0.1</v>
      </c>
      <c r="Q83" s="534">
        <f t="shared" si="24"/>
        <v>0.1</v>
      </c>
      <c r="R83" s="533">
        <f t="shared" si="24"/>
        <v>0.1</v>
      </c>
      <c r="S83" s="534">
        <f t="shared" si="24"/>
        <v>0.1</v>
      </c>
      <c r="T83" s="533">
        <f t="shared" si="24"/>
        <v>0.1</v>
      </c>
    </row>
    <row r="84" spans="2:20" x14ac:dyDescent="0.25">
      <c r="C84" s="237" t="s">
        <v>2729</v>
      </c>
      <c r="D84" s="539" t="s">
        <v>2598</v>
      </c>
      <c r="E84" s="553">
        <v>0</v>
      </c>
      <c r="F84" s="555">
        <f>E84</f>
        <v>0</v>
      </c>
      <c r="G84" s="555">
        <f t="shared" si="24"/>
        <v>0</v>
      </c>
      <c r="H84" s="555">
        <f t="shared" si="24"/>
        <v>0</v>
      </c>
      <c r="I84" s="555">
        <f t="shared" si="24"/>
        <v>0</v>
      </c>
      <c r="J84" s="555">
        <f t="shared" si="24"/>
        <v>0</v>
      </c>
      <c r="K84" s="555">
        <f t="shared" si="24"/>
        <v>0</v>
      </c>
      <c r="L84" s="555">
        <f t="shared" si="24"/>
        <v>0</v>
      </c>
      <c r="M84" s="555">
        <f t="shared" si="24"/>
        <v>0</v>
      </c>
      <c r="N84" s="556">
        <f t="shared" si="24"/>
        <v>0</v>
      </c>
      <c r="O84" s="248">
        <f t="shared" si="24"/>
        <v>0</v>
      </c>
      <c r="P84" s="250">
        <f t="shared" si="24"/>
        <v>0</v>
      </c>
      <c r="Q84" s="248">
        <f t="shared" si="24"/>
        <v>0</v>
      </c>
      <c r="R84" s="250">
        <f t="shared" si="24"/>
        <v>0</v>
      </c>
      <c r="S84" s="248">
        <f t="shared" si="24"/>
        <v>0</v>
      </c>
      <c r="T84" s="250">
        <f t="shared" si="24"/>
        <v>0</v>
      </c>
    </row>
    <row r="85" spans="2:20" x14ac:dyDescent="0.25">
      <c r="C85" s="238" t="s">
        <v>2730</v>
      </c>
      <c r="D85" s="239" t="s">
        <v>2598</v>
      </c>
      <c r="E85" s="557">
        <v>0</v>
      </c>
      <c r="F85" s="558">
        <f>E85</f>
        <v>0</v>
      </c>
      <c r="G85" s="558">
        <f t="shared" si="24"/>
        <v>0</v>
      </c>
      <c r="H85" s="558">
        <f t="shared" si="24"/>
        <v>0</v>
      </c>
      <c r="I85" s="558">
        <f t="shared" si="24"/>
        <v>0</v>
      </c>
      <c r="J85" s="558">
        <f t="shared" si="24"/>
        <v>0</v>
      </c>
      <c r="K85" s="558">
        <f t="shared" si="24"/>
        <v>0</v>
      </c>
      <c r="L85" s="558">
        <f t="shared" si="24"/>
        <v>0</v>
      </c>
      <c r="M85" s="558">
        <f t="shared" si="24"/>
        <v>0</v>
      </c>
      <c r="N85" s="559">
        <f t="shared" si="24"/>
        <v>0</v>
      </c>
      <c r="O85" s="251"/>
      <c r="P85" s="253"/>
      <c r="Q85" s="251">
        <v>7.0000000000000007E-2</v>
      </c>
      <c r="R85" s="253">
        <f>Q85</f>
        <v>7.0000000000000007E-2</v>
      </c>
      <c r="S85" s="251">
        <v>7.0000000000000007E-2</v>
      </c>
      <c r="T85" s="253">
        <f>S85</f>
        <v>7.0000000000000007E-2</v>
      </c>
    </row>
    <row r="86" spans="2:20" x14ac:dyDescent="0.25">
      <c r="B86">
        <v>5</v>
      </c>
      <c r="C86" s="560" t="s">
        <v>3236</v>
      </c>
      <c r="D86" s="540"/>
      <c r="E86" s="243">
        <f>E73*E83*E75*2+(E74-E83-E83)*E75*E83*2</f>
        <v>0.46200000000000002</v>
      </c>
      <c r="F86" s="244">
        <f t="shared" ref="F86:T86" si="25">F73*F83*F75*2+(F74-F83-F83)*F75*F83*2</f>
        <v>0.627</v>
      </c>
      <c r="G86" s="244">
        <f t="shared" si="25"/>
        <v>0.51800000000000002</v>
      </c>
      <c r="H86" s="244">
        <f t="shared" si="25"/>
        <v>0.70299999999999996</v>
      </c>
      <c r="I86" s="244">
        <f t="shared" si="25"/>
        <v>0.66</v>
      </c>
      <c r="J86" s="244">
        <f t="shared" si="25"/>
        <v>0.66</v>
      </c>
      <c r="K86" s="244">
        <f t="shared" si="25"/>
        <v>0.72</v>
      </c>
      <c r="L86" s="244">
        <f t="shared" si="25"/>
        <v>0.72</v>
      </c>
      <c r="M86" s="244">
        <f t="shared" si="25"/>
        <v>0.72</v>
      </c>
      <c r="N86" s="245">
        <f t="shared" si="25"/>
        <v>0.72</v>
      </c>
      <c r="O86" s="243">
        <f t="shared" si="25"/>
        <v>0.52800000000000002</v>
      </c>
      <c r="P86" s="245">
        <f t="shared" si="25"/>
        <v>1.1180000000000001</v>
      </c>
      <c r="Q86" s="243">
        <f t="shared" si="25"/>
        <v>0.66</v>
      </c>
      <c r="R86" s="245">
        <f t="shared" si="25"/>
        <v>1.29</v>
      </c>
      <c r="S86" s="243">
        <f t="shared" si="25"/>
        <v>2.262</v>
      </c>
      <c r="T86" s="245">
        <f t="shared" si="25"/>
        <v>3.9820000000000002</v>
      </c>
    </row>
    <row r="87" spans="2:20" x14ac:dyDescent="0.25">
      <c r="B87">
        <v>30</v>
      </c>
      <c r="C87" s="560" t="s">
        <v>3237</v>
      </c>
      <c r="D87" s="540"/>
      <c r="E87" s="243">
        <f>E73*E74*E80+E73*E74*E81-(E76-E83)*(E77-E83)*E81</f>
        <v>8.4000000000000005E-2</v>
      </c>
      <c r="F87" s="244">
        <f t="shared" ref="F87:T87" si="26">F73*F74*F80+F73*F74*F81-(F76-F83)*(F77-F83)*F81</f>
        <v>8.4000000000000005E-2</v>
      </c>
      <c r="G87" s="244">
        <f t="shared" si="26"/>
        <v>0.105</v>
      </c>
      <c r="H87" s="244">
        <f t="shared" si="26"/>
        <v>0.105</v>
      </c>
      <c r="I87" s="244">
        <f t="shared" si="26"/>
        <v>0.22600000000000001</v>
      </c>
      <c r="J87" s="244">
        <f t="shared" si="26"/>
        <v>0.22600000000000001</v>
      </c>
      <c r="K87" s="244">
        <f t="shared" si="26"/>
        <v>0.27900000000000003</v>
      </c>
      <c r="L87" s="244">
        <f t="shared" si="26"/>
        <v>0.27900000000000003</v>
      </c>
      <c r="M87" s="244">
        <f t="shared" si="26"/>
        <v>0.27900000000000003</v>
      </c>
      <c r="N87" s="245">
        <f t="shared" si="26"/>
        <v>0.27900000000000003</v>
      </c>
      <c r="O87" s="243">
        <f t="shared" si="26"/>
        <v>0.30599999999999999</v>
      </c>
      <c r="P87" s="245">
        <f t="shared" si="26"/>
        <v>0.50600000000000001</v>
      </c>
      <c r="Q87" s="243">
        <f t="shared" si="26"/>
        <v>0.64400000000000002</v>
      </c>
      <c r="R87" s="245">
        <f t="shared" si="26"/>
        <v>1.1439999999999999</v>
      </c>
      <c r="S87" s="243">
        <f t="shared" si="26"/>
        <v>1.1439999999999999</v>
      </c>
      <c r="T87" s="245">
        <f t="shared" si="26"/>
        <v>1.1439999999999999</v>
      </c>
    </row>
    <row r="88" spans="2:20" x14ac:dyDescent="0.25">
      <c r="D88" s="540"/>
      <c r="O88" s="540"/>
      <c r="P88" s="540"/>
    </row>
    <row r="89" spans="2:20" x14ac:dyDescent="0.25">
      <c r="C89" s="560" t="s">
        <v>3236</v>
      </c>
      <c r="D89" s="540"/>
      <c r="E89" s="243">
        <f>(E73+E73+E74+E74)*E75+(E75-E80-E81-E82)*((E73-E83*2)*2+(E74-E83*2)*2)</f>
        <v>8.9499999999999993</v>
      </c>
      <c r="F89" s="244">
        <f>(F73+F73+F74+F74)*F75+(F75-F80-F81-F82)*((F73-F83*2)*2+(F74-F83*2)*2)</f>
        <v>12.25</v>
      </c>
      <c r="G89" s="244">
        <f t="shared" ref="G89:T89" si="27">(G73+G73+G74+G74)*G75+(G75-G80-G81-G82)*((G73-G83*2)*2+(G74-G83*2)*2)</f>
        <v>10.029999999999999</v>
      </c>
      <c r="H89" s="244">
        <f t="shared" si="27"/>
        <v>13.73</v>
      </c>
      <c r="I89" s="244">
        <f t="shared" si="27"/>
        <v>12.2</v>
      </c>
      <c r="J89" s="244">
        <f t="shared" si="27"/>
        <v>12.2</v>
      </c>
      <c r="K89" s="244">
        <f t="shared" si="27"/>
        <v>13.3</v>
      </c>
      <c r="L89" s="244">
        <f t="shared" si="27"/>
        <v>13.3</v>
      </c>
      <c r="M89" s="244">
        <f t="shared" si="27"/>
        <v>13.3</v>
      </c>
      <c r="N89" s="245">
        <f t="shared" si="27"/>
        <v>13.3</v>
      </c>
      <c r="O89" s="243">
        <f t="shared" si="27"/>
        <v>9.32</v>
      </c>
      <c r="P89" s="245">
        <f t="shared" si="27"/>
        <v>20.72</v>
      </c>
      <c r="Q89" s="243">
        <f t="shared" si="27"/>
        <v>11.65</v>
      </c>
      <c r="R89" s="245">
        <f t="shared" si="27"/>
        <v>23.75</v>
      </c>
      <c r="S89" s="243">
        <f t="shared" si="27"/>
        <v>43.186</v>
      </c>
      <c r="T89" s="245">
        <f t="shared" si="27"/>
        <v>77.585999999999999</v>
      </c>
    </row>
    <row r="90" spans="2:20" x14ac:dyDescent="0.25">
      <c r="C90" s="560" t="s">
        <v>3237</v>
      </c>
      <c r="D90" s="540"/>
      <c r="E90" s="243">
        <f>(E73*2+E74*2)*(E80+E81)+(E76*2+E77*2)*E82</f>
        <v>0.37</v>
      </c>
      <c r="F90" s="244">
        <f t="shared" ref="F90:T90" si="28">(F73*2+F74*2)*(F80+F81)+(F76*2+F77*2)*F82</f>
        <v>0.37</v>
      </c>
      <c r="G90" s="244">
        <f t="shared" si="28"/>
        <v>0.41</v>
      </c>
      <c r="H90" s="244">
        <f t="shared" si="28"/>
        <v>0.41</v>
      </c>
      <c r="I90" s="244">
        <f t="shared" si="28"/>
        <v>1.2</v>
      </c>
      <c r="J90" s="244">
        <f t="shared" si="28"/>
        <v>1.2</v>
      </c>
      <c r="K90" s="244">
        <f t="shared" si="28"/>
        <v>1.3</v>
      </c>
      <c r="L90" s="244">
        <f t="shared" si="28"/>
        <v>1.3</v>
      </c>
      <c r="M90" s="244">
        <f t="shared" si="28"/>
        <v>1.3</v>
      </c>
      <c r="N90" s="245">
        <f t="shared" si="28"/>
        <v>1.3</v>
      </c>
      <c r="O90" s="243">
        <f t="shared" si="28"/>
        <v>1.4</v>
      </c>
      <c r="P90" s="245">
        <f t="shared" si="28"/>
        <v>1.8</v>
      </c>
      <c r="Q90" s="243">
        <f t="shared" si="28"/>
        <v>1.75</v>
      </c>
      <c r="R90" s="245">
        <f t="shared" si="28"/>
        <v>2.25</v>
      </c>
      <c r="S90" s="243">
        <f t="shared" si="28"/>
        <v>2.25</v>
      </c>
      <c r="T90" s="245">
        <f t="shared" si="28"/>
        <v>2.25</v>
      </c>
    </row>
  </sheetData>
  <mergeCells count="18">
    <mergeCell ref="E60:N60"/>
    <mergeCell ref="O60:P60"/>
    <mergeCell ref="Q60:R60"/>
    <mergeCell ref="S60:T60"/>
    <mergeCell ref="E61:F61"/>
    <mergeCell ref="G61:H61"/>
    <mergeCell ref="I61:J61"/>
    <mergeCell ref="K61:L61"/>
    <mergeCell ref="M61:N61"/>
    <mergeCell ref="E2:N2"/>
    <mergeCell ref="O2:P2"/>
    <mergeCell ref="Q2:R2"/>
    <mergeCell ref="S2:T2"/>
    <mergeCell ref="E3:F3"/>
    <mergeCell ref="G3:H3"/>
    <mergeCell ref="I3:J3"/>
    <mergeCell ref="K3:L3"/>
    <mergeCell ref="M3:N3"/>
  </mergeCells>
  <pageMargins left="0.511811024" right="0.511811024" top="0.78740157499999996" bottom="0.78740157499999996" header="0.31496062000000002" footer="0.31496062000000002"/>
  <pageSetup paperSize="9" orientation="portrait" horizontalDpi="4294967292"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1508"/>
  <sheetViews>
    <sheetView topLeftCell="A61" zoomScaleNormal="100" workbookViewId="0">
      <selection activeCell="D127" sqref="D127"/>
    </sheetView>
  </sheetViews>
  <sheetFormatPr defaultRowHeight="15" x14ac:dyDescent="0.25"/>
  <cols>
    <col min="1" max="1" width="11.85546875" style="1086" customWidth="1"/>
    <col min="2" max="2" width="76.7109375" style="1087" customWidth="1"/>
    <col min="3" max="3" width="8.140625" style="1088" customWidth="1"/>
    <col min="4" max="4" width="11.7109375" style="698" customWidth="1"/>
    <col min="5" max="5" width="14.42578125" style="697" customWidth="1"/>
    <col min="6" max="6" width="9.5703125" style="1088" bestFit="1" customWidth="1"/>
    <col min="7" max="7" width="9" style="1088" customWidth="1"/>
    <col min="8" max="8" width="8.5703125" style="1088" bestFit="1" customWidth="1"/>
    <col min="9" max="9" width="6.140625" style="1088" bestFit="1" customWidth="1"/>
    <col min="10" max="10" width="9.140625" style="1088"/>
    <col min="11" max="12" width="12.5703125" style="1088" bestFit="1" customWidth="1"/>
    <col min="13" max="256" width="9.140625" style="1088"/>
    <col min="257" max="257" width="25.5703125" style="1088" bestFit="1" customWidth="1"/>
    <col min="258" max="258" width="97.140625" style="1088" customWidth="1"/>
    <col min="259" max="259" width="8.140625" style="1088" customWidth="1"/>
    <col min="260" max="260" width="21.140625" style="1088" customWidth="1"/>
    <col min="261" max="512" width="9.140625" style="1088"/>
    <col min="513" max="513" width="25.5703125" style="1088" bestFit="1" customWidth="1"/>
    <col min="514" max="514" width="97.140625" style="1088" customWidth="1"/>
    <col min="515" max="515" width="8.140625" style="1088" customWidth="1"/>
    <col min="516" max="516" width="21.140625" style="1088" customWidth="1"/>
    <col min="517" max="768" width="9.140625" style="1088"/>
    <col min="769" max="769" width="25.5703125" style="1088" bestFit="1" customWidth="1"/>
    <col min="770" max="770" width="97.140625" style="1088" customWidth="1"/>
    <col min="771" max="771" width="8.140625" style="1088" customWidth="1"/>
    <col min="772" max="772" width="21.140625" style="1088" customWidth="1"/>
    <col min="773" max="1024" width="9.140625" style="1088"/>
    <col min="1025" max="1025" width="25.5703125" style="1088" bestFit="1" customWidth="1"/>
    <col min="1026" max="1026" width="97.140625" style="1088" customWidth="1"/>
    <col min="1027" max="1027" width="8.140625" style="1088" customWidth="1"/>
    <col min="1028" max="1028" width="21.140625" style="1088" customWidth="1"/>
    <col min="1029" max="1280" width="9.140625" style="1088"/>
    <col min="1281" max="1281" width="25.5703125" style="1088" bestFit="1" customWidth="1"/>
    <col min="1282" max="1282" width="97.140625" style="1088" customWidth="1"/>
    <col min="1283" max="1283" width="8.140625" style="1088" customWidth="1"/>
    <col min="1284" max="1284" width="21.140625" style="1088" customWidth="1"/>
    <col min="1285" max="1536" width="9.140625" style="1088"/>
    <col min="1537" max="1537" width="25.5703125" style="1088" bestFit="1" customWidth="1"/>
    <col min="1538" max="1538" width="97.140625" style="1088" customWidth="1"/>
    <col min="1539" max="1539" width="8.140625" style="1088" customWidth="1"/>
    <col min="1540" max="1540" width="21.140625" style="1088" customWidth="1"/>
    <col min="1541" max="1792" width="9.140625" style="1088"/>
    <col min="1793" max="1793" width="25.5703125" style="1088" bestFit="1" customWidth="1"/>
    <col min="1794" max="1794" width="97.140625" style="1088" customWidth="1"/>
    <col min="1795" max="1795" width="8.140625" style="1088" customWidth="1"/>
    <col min="1796" max="1796" width="21.140625" style="1088" customWidth="1"/>
    <col min="1797" max="2048" width="9.140625" style="1088"/>
    <col min="2049" max="2049" width="25.5703125" style="1088" bestFit="1" customWidth="1"/>
    <col min="2050" max="2050" width="97.140625" style="1088" customWidth="1"/>
    <col min="2051" max="2051" width="8.140625" style="1088" customWidth="1"/>
    <col min="2052" max="2052" width="21.140625" style="1088" customWidth="1"/>
    <col min="2053" max="2304" width="9.140625" style="1088"/>
    <col min="2305" max="2305" width="25.5703125" style="1088" bestFit="1" customWidth="1"/>
    <col min="2306" max="2306" width="97.140625" style="1088" customWidth="1"/>
    <col min="2307" max="2307" width="8.140625" style="1088" customWidth="1"/>
    <col min="2308" max="2308" width="21.140625" style="1088" customWidth="1"/>
    <col min="2309" max="2560" width="9.140625" style="1088"/>
    <col min="2561" max="2561" width="25.5703125" style="1088" bestFit="1" customWidth="1"/>
    <col min="2562" max="2562" width="97.140625" style="1088" customWidth="1"/>
    <col min="2563" max="2563" width="8.140625" style="1088" customWidth="1"/>
    <col min="2564" max="2564" width="21.140625" style="1088" customWidth="1"/>
    <col min="2565" max="2816" width="9.140625" style="1088"/>
    <col min="2817" max="2817" width="25.5703125" style="1088" bestFit="1" customWidth="1"/>
    <col min="2818" max="2818" width="97.140625" style="1088" customWidth="1"/>
    <col min="2819" max="2819" width="8.140625" style="1088" customWidth="1"/>
    <col min="2820" max="2820" width="21.140625" style="1088" customWidth="1"/>
    <col min="2821" max="3072" width="9.140625" style="1088"/>
    <col min="3073" max="3073" width="25.5703125" style="1088" bestFit="1" customWidth="1"/>
    <col min="3074" max="3074" width="97.140625" style="1088" customWidth="1"/>
    <col min="3075" max="3075" width="8.140625" style="1088" customWidth="1"/>
    <col min="3076" max="3076" width="21.140625" style="1088" customWidth="1"/>
    <col min="3077" max="3328" width="9.140625" style="1088"/>
    <col min="3329" max="3329" width="25.5703125" style="1088" bestFit="1" customWidth="1"/>
    <col min="3330" max="3330" width="97.140625" style="1088" customWidth="1"/>
    <col min="3331" max="3331" width="8.140625" style="1088" customWidth="1"/>
    <col min="3332" max="3332" width="21.140625" style="1088" customWidth="1"/>
    <col min="3333" max="3584" width="9.140625" style="1088"/>
    <col min="3585" max="3585" width="25.5703125" style="1088" bestFit="1" customWidth="1"/>
    <col min="3586" max="3586" width="97.140625" style="1088" customWidth="1"/>
    <col min="3587" max="3587" width="8.140625" style="1088" customWidth="1"/>
    <col min="3588" max="3588" width="21.140625" style="1088" customWidth="1"/>
    <col min="3589" max="3840" width="9.140625" style="1088"/>
    <col min="3841" max="3841" width="25.5703125" style="1088" bestFit="1" customWidth="1"/>
    <col min="3842" max="3842" width="97.140625" style="1088" customWidth="1"/>
    <col min="3843" max="3843" width="8.140625" style="1088" customWidth="1"/>
    <col min="3844" max="3844" width="21.140625" style="1088" customWidth="1"/>
    <col min="3845" max="4096" width="9.140625" style="1088"/>
    <col min="4097" max="4097" width="25.5703125" style="1088" bestFit="1" customWidth="1"/>
    <col min="4098" max="4098" width="97.140625" style="1088" customWidth="1"/>
    <col min="4099" max="4099" width="8.140625" style="1088" customWidth="1"/>
    <col min="4100" max="4100" width="21.140625" style="1088" customWidth="1"/>
    <col min="4101" max="4352" width="9.140625" style="1088"/>
    <col min="4353" max="4353" width="25.5703125" style="1088" bestFit="1" customWidth="1"/>
    <col min="4354" max="4354" width="97.140625" style="1088" customWidth="1"/>
    <col min="4355" max="4355" width="8.140625" style="1088" customWidth="1"/>
    <col min="4356" max="4356" width="21.140625" style="1088" customWidth="1"/>
    <col min="4357" max="4608" width="9.140625" style="1088"/>
    <col min="4609" max="4609" width="25.5703125" style="1088" bestFit="1" customWidth="1"/>
    <col min="4610" max="4610" width="97.140625" style="1088" customWidth="1"/>
    <col min="4611" max="4611" width="8.140625" style="1088" customWidth="1"/>
    <col min="4612" max="4612" width="21.140625" style="1088" customWidth="1"/>
    <col min="4613" max="4864" width="9.140625" style="1088"/>
    <col min="4865" max="4865" width="25.5703125" style="1088" bestFit="1" customWidth="1"/>
    <col min="4866" max="4866" width="97.140625" style="1088" customWidth="1"/>
    <col min="4867" max="4867" width="8.140625" style="1088" customWidth="1"/>
    <col min="4868" max="4868" width="21.140625" style="1088" customWidth="1"/>
    <col min="4869" max="5120" width="9.140625" style="1088"/>
    <col min="5121" max="5121" width="25.5703125" style="1088" bestFit="1" customWidth="1"/>
    <col min="5122" max="5122" width="97.140625" style="1088" customWidth="1"/>
    <col min="5123" max="5123" width="8.140625" style="1088" customWidth="1"/>
    <col min="5124" max="5124" width="21.140625" style="1088" customWidth="1"/>
    <col min="5125" max="5376" width="9.140625" style="1088"/>
    <col min="5377" max="5377" width="25.5703125" style="1088" bestFit="1" customWidth="1"/>
    <col min="5378" max="5378" width="97.140625" style="1088" customWidth="1"/>
    <col min="5379" max="5379" width="8.140625" style="1088" customWidth="1"/>
    <col min="5380" max="5380" width="21.140625" style="1088" customWidth="1"/>
    <col min="5381" max="5632" width="9.140625" style="1088"/>
    <col min="5633" max="5633" width="25.5703125" style="1088" bestFit="1" customWidth="1"/>
    <col min="5634" max="5634" width="97.140625" style="1088" customWidth="1"/>
    <col min="5635" max="5635" width="8.140625" style="1088" customWidth="1"/>
    <col min="5636" max="5636" width="21.140625" style="1088" customWidth="1"/>
    <col min="5637" max="5888" width="9.140625" style="1088"/>
    <col min="5889" max="5889" width="25.5703125" style="1088" bestFit="1" customWidth="1"/>
    <col min="5890" max="5890" width="97.140625" style="1088" customWidth="1"/>
    <col min="5891" max="5891" width="8.140625" style="1088" customWidth="1"/>
    <col min="5892" max="5892" width="21.140625" style="1088" customWidth="1"/>
    <col min="5893" max="6144" width="9.140625" style="1088"/>
    <col min="6145" max="6145" width="25.5703125" style="1088" bestFit="1" customWidth="1"/>
    <col min="6146" max="6146" width="97.140625" style="1088" customWidth="1"/>
    <col min="6147" max="6147" width="8.140625" style="1088" customWidth="1"/>
    <col min="6148" max="6148" width="21.140625" style="1088" customWidth="1"/>
    <col min="6149" max="6400" width="9.140625" style="1088"/>
    <col min="6401" max="6401" width="25.5703125" style="1088" bestFit="1" customWidth="1"/>
    <col min="6402" max="6402" width="97.140625" style="1088" customWidth="1"/>
    <col min="6403" max="6403" width="8.140625" style="1088" customWidth="1"/>
    <col min="6404" max="6404" width="21.140625" style="1088" customWidth="1"/>
    <col min="6405" max="6656" width="9.140625" style="1088"/>
    <col min="6657" max="6657" width="25.5703125" style="1088" bestFit="1" customWidth="1"/>
    <col min="6658" max="6658" width="97.140625" style="1088" customWidth="1"/>
    <col min="6659" max="6659" width="8.140625" style="1088" customWidth="1"/>
    <col min="6660" max="6660" width="21.140625" style="1088" customWidth="1"/>
    <col min="6661" max="6912" width="9.140625" style="1088"/>
    <col min="6913" max="6913" width="25.5703125" style="1088" bestFit="1" customWidth="1"/>
    <col min="6914" max="6914" width="97.140625" style="1088" customWidth="1"/>
    <col min="6915" max="6915" width="8.140625" style="1088" customWidth="1"/>
    <col min="6916" max="6916" width="21.140625" style="1088" customWidth="1"/>
    <col min="6917" max="7168" width="9.140625" style="1088"/>
    <col min="7169" max="7169" width="25.5703125" style="1088" bestFit="1" customWidth="1"/>
    <col min="7170" max="7170" width="97.140625" style="1088" customWidth="1"/>
    <col min="7171" max="7171" width="8.140625" style="1088" customWidth="1"/>
    <col min="7172" max="7172" width="21.140625" style="1088" customWidth="1"/>
    <col min="7173" max="7424" width="9.140625" style="1088"/>
    <col min="7425" max="7425" width="25.5703125" style="1088" bestFit="1" customWidth="1"/>
    <col min="7426" max="7426" width="97.140625" style="1088" customWidth="1"/>
    <col min="7427" max="7427" width="8.140625" style="1088" customWidth="1"/>
    <col min="7428" max="7428" width="21.140625" style="1088" customWidth="1"/>
    <col min="7429" max="7680" width="9.140625" style="1088"/>
    <col min="7681" max="7681" width="25.5703125" style="1088" bestFit="1" customWidth="1"/>
    <col min="7682" max="7682" width="97.140625" style="1088" customWidth="1"/>
    <col min="7683" max="7683" width="8.140625" style="1088" customWidth="1"/>
    <col min="7684" max="7684" width="21.140625" style="1088" customWidth="1"/>
    <col min="7685" max="7936" width="9.140625" style="1088"/>
    <col min="7937" max="7937" width="25.5703125" style="1088" bestFit="1" customWidth="1"/>
    <col min="7938" max="7938" width="97.140625" style="1088" customWidth="1"/>
    <col min="7939" max="7939" width="8.140625" style="1088" customWidth="1"/>
    <col min="7940" max="7940" width="21.140625" style="1088" customWidth="1"/>
    <col min="7941" max="8192" width="9.140625" style="1088"/>
    <col min="8193" max="8193" width="25.5703125" style="1088" bestFit="1" customWidth="1"/>
    <col min="8194" max="8194" width="97.140625" style="1088" customWidth="1"/>
    <col min="8195" max="8195" width="8.140625" style="1088" customWidth="1"/>
    <col min="8196" max="8196" width="21.140625" style="1088" customWidth="1"/>
    <col min="8197" max="8448" width="9.140625" style="1088"/>
    <col min="8449" max="8449" width="25.5703125" style="1088" bestFit="1" customWidth="1"/>
    <col min="8450" max="8450" width="97.140625" style="1088" customWidth="1"/>
    <col min="8451" max="8451" width="8.140625" style="1088" customWidth="1"/>
    <col min="8452" max="8452" width="21.140625" style="1088" customWidth="1"/>
    <col min="8453" max="8704" width="9.140625" style="1088"/>
    <col min="8705" max="8705" width="25.5703125" style="1088" bestFit="1" customWidth="1"/>
    <col min="8706" max="8706" width="97.140625" style="1088" customWidth="1"/>
    <col min="8707" max="8707" width="8.140625" style="1088" customWidth="1"/>
    <col min="8708" max="8708" width="21.140625" style="1088" customWidth="1"/>
    <col min="8709" max="8960" width="9.140625" style="1088"/>
    <col min="8961" max="8961" width="25.5703125" style="1088" bestFit="1" customWidth="1"/>
    <col min="8962" max="8962" width="97.140625" style="1088" customWidth="1"/>
    <col min="8963" max="8963" width="8.140625" style="1088" customWidth="1"/>
    <col min="8964" max="8964" width="21.140625" style="1088" customWidth="1"/>
    <col min="8965" max="9216" width="9.140625" style="1088"/>
    <col min="9217" max="9217" width="25.5703125" style="1088" bestFit="1" customWidth="1"/>
    <col min="9218" max="9218" width="97.140625" style="1088" customWidth="1"/>
    <col min="9219" max="9219" width="8.140625" style="1088" customWidth="1"/>
    <col min="9220" max="9220" width="21.140625" style="1088" customWidth="1"/>
    <col min="9221" max="9472" width="9.140625" style="1088"/>
    <col min="9473" max="9473" width="25.5703125" style="1088" bestFit="1" customWidth="1"/>
    <col min="9474" max="9474" width="97.140625" style="1088" customWidth="1"/>
    <col min="9475" max="9475" width="8.140625" style="1088" customWidth="1"/>
    <col min="9476" max="9476" width="21.140625" style="1088" customWidth="1"/>
    <col min="9477" max="9728" width="9.140625" style="1088"/>
    <col min="9729" max="9729" width="25.5703125" style="1088" bestFit="1" customWidth="1"/>
    <col min="9730" max="9730" width="97.140625" style="1088" customWidth="1"/>
    <col min="9731" max="9731" width="8.140625" style="1088" customWidth="1"/>
    <col min="9732" max="9732" width="21.140625" style="1088" customWidth="1"/>
    <col min="9733" max="9984" width="9.140625" style="1088"/>
    <col min="9985" max="9985" width="25.5703125" style="1088" bestFit="1" customWidth="1"/>
    <col min="9986" max="9986" width="97.140625" style="1088" customWidth="1"/>
    <col min="9987" max="9987" width="8.140625" style="1088" customWidth="1"/>
    <col min="9988" max="9988" width="21.140625" style="1088" customWidth="1"/>
    <col min="9989" max="10240" width="9.140625" style="1088"/>
    <col min="10241" max="10241" width="25.5703125" style="1088" bestFit="1" customWidth="1"/>
    <col min="10242" max="10242" width="97.140625" style="1088" customWidth="1"/>
    <col min="10243" max="10243" width="8.140625" style="1088" customWidth="1"/>
    <col min="10244" max="10244" width="21.140625" style="1088" customWidth="1"/>
    <col min="10245" max="10496" width="9.140625" style="1088"/>
    <col min="10497" max="10497" width="25.5703125" style="1088" bestFit="1" customWidth="1"/>
    <col min="10498" max="10498" width="97.140625" style="1088" customWidth="1"/>
    <col min="10499" max="10499" width="8.140625" style="1088" customWidth="1"/>
    <col min="10500" max="10500" width="21.140625" style="1088" customWidth="1"/>
    <col min="10501" max="10752" width="9.140625" style="1088"/>
    <col min="10753" max="10753" width="25.5703125" style="1088" bestFit="1" customWidth="1"/>
    <col min="10754" max="10754" width="97.140625" style="1088" customWidth="1"/>
    <col min="10755" max="10755" width="8.140625" style="1088" customWidth="1"/>
    <col min="10756" max="10756" width="21.140625" style="1088" customWidth="1"/>
    <col min="10757" max="11008" width="9.140625" style="1088"/>
    <col min="11009" max="11009" width="25.5703125" style="1088" bestFit="1" customWidth="1"/>
    <col min="11010" max="11010" width="97.140625" style="1088" customWidth="1"/>
    <col min="11011" max="11011" width="8.140625" style="1088" customWidth="1"/>
    <col min="11012" max="11012" width="21.140625" style="1088" customWidth="1"/>
    <col min="11013" max="11264" width="9.140625" style="1088"/>
    <col min="11265" max="11265" width="25.5703125" style="1088" bestFit="1" customWidth="1"/>
    <col min="11266" max="11266" width="97.140625" style="1088" customWidth="1"/>
    <col min="11267" max="11267" width="8.140625" style="1088" customWidth="1"/>
    <col min="11268" max="11268" width="21.140625" style="1088" customWidth="1"/>
    <col min="11269" max="11520" width="9.140625" style="1088"/>
    <col min="11521" max="11521" width="25.5703125" style="1088" bestFit="1" customWidth="1"/>
    <col min="11522" max="11522" width="97.140625" style="1088" customWidth="1"/>
    <col min="11523" max="11523" width="8.140625" style="1088" customWidth="1"/>
    <col min="11524" max="11524" width="21.140625" style="1088" customWidth="1"/>
    <col min="11525" max="11776" width="9.140625" style="1088"/>
    <col min="11777" max="11777" width="25.5703125" style="1088" bestFit="1" customWidth="1"/>
    <col min="11778" max="11778" width="97.140625" style="1088" customWidth="1"/>
    <col min="11779" max="11779" width="8.140625" style="1088" customWidth="1"/>
    <col min="11780" max="11780" width="21.140625" style="1088" customWidth="1"/>
    <col min="11781" max="12032" width="9.140625" style="1088"/>
    <col min="12033" max="12033" width="25.5703125" style="1088" bestFit="1" customWidth="1"/>
    <col min="12034" max="12034" width="97.140625" style="1088" customWidth="1"/>
    <col min="12035" max="12035" width="8.140625" style="1088" customWidth="1"/>
    <col min="12036" max="12036" width="21.140625" style="1088" customWidth="1"/>
    <col min="12037" max="12288" width="9.140625" style="1088"/>
    <col min="12289" max="12289" width="25.5703125" style="1088" bestFit="1" customWidth="1"/>
    <col min="12290" max="12290" width="97.140625" style="1088" customWidth="1"/>
    <col min="12291" max="12291" width="8.140625" style="1088" customWidth="1"/>
    <col min="12292" max="12292" width="21.140625" style="1088" customWidth="1"/>
    <col min="12293" max="12544" width="9.140625" style="1088"/>
    <col min="12545" max="12545" width="25.5703125" style="1088" bestFit="1" customWidth="1"/>
    <col min="12546" max="12546" width="97.140625" style="1088" customWidth="1"/>
    <col min="12547" max="12547" width="8.140625" style="1088" customWidth="1"/>
    <col min="12548" max="12548" width="21.140625" style="1088" customWidth="1"/>
    <col min="12549" max="12800" width="9.140625" style="1088"/>
    <col min="12801" max="12801" width="25.5703125" style="1088" bestFit="1" customWidth="1"/>
    <col min="12802" max="12802" width="97.140625" style="1088" customWidth="1"/>
    <col min="12803" max="12803" width="8.140625" style="1088" customWidth="1"/>
    <col min="12804" max="12804" width="21.140625" style="1088" customWidth="1"/>
    <col min="12805" max="13056" width="9.140625" style="1088"/>
    <col min="13057" max="13057" width="25.5703125" style="1088" bestFit="1" customWidth="1"/>
    <col min="13058" max="13058" width="97.140625" style="1088" customWidth="1"/>
    <col min="13059" max="13059" width="8.140625" style="1088" customWidth="1"/>
    <col min="13060" max="13060" width="21.140625" style="1088" customWidth="1"/>
    <col min="13061" max="13312" width="9.140625" style="1088"/>
    <col min="13313" max="13313" width="25.5703125" style="1088" bestFit="1" customWidth="1"/>
    <col min="13314" max="13314" width="97.140625" style="1088" customWidth="1"/>
    <col min="13315" max="13315" width="8.140625" style="1088" customWidth="1"/>
    <col min="13316" max="13316" width="21.140625" style="1088" customWidth="1"/>
    <col min="13317" max="13568" width="9.140625" style="1088"/>
    <col min="13569" max="13569" width="25.5703125" style="1088" bestFit="1" customWidth="1"/>
    <col min="13570" max="13570" width="97.140625" style="1088" customWidth="1"/>
    <col min="13571" max="13571" width="8.140625" style="1088" customWidth="1"/>
    <col min="13572" max="13572" width="21.140625" style="1088" customWidth="1"/>
    <col min="13573" max="13824" width="9.140625" style="1088"/>
    <col min="13825" max="13825" width="25.5703125" style="1088" bestFit="1" customWidth="1"/>
    <col min="13826" max="13826" width="97.140625" style="1088" customWidth="1"/>
    <col min="13827" max="13827" width="8.140625" style="1088" customWidth="1"/>
    <col min="13828" max="13828" width="21.140625" style="1088" customWidth="1"/>
    <col min="13829" max="14080" width="9.140625" style="1088"/>
    <col min="14081" max="14081" width="25.5703125" style="1088" bestFit="1" customWidth="1"/>
    <col min="14082" max="14082" width="97.140625" style="1088" customWidth="1"/>
    <col min="14083" max="14083" width="8.140625" style="1088" customWidth="1"/>
    <col min="14084" max="14084" width="21.140625" style="1088" customWidth="1"/>
    <col min="14085" max="14336" width="9.140625" style="1088"/>
    <col min="14337" max="14337" width="25.5703125" style="1088" bestFit="1" customWidth="1"/>
    <col min="14338" max="14338" width="97.140625" style="1088" customWidth="1"/>
    <col min="14339" max="14339" width="8.140625" style="1088" customWidth="1"/>
    <col min="14340" max="14340" width="21.140625" style="1088" customWidth="1"/>
    <col min="14341" max="14592" width="9.140625" style="1088"/>
    <col min="14593" max="14593" width="25.5703125" style="1088" bestFit="1" customWidth="1"/>
    <col min="14594" max="14594" width="97.140625" style="1088" customWidth="1"/>
    <col min="14595" max="14595" width="8.140625" style="1088" customWidth="1"/>
    <col min="14596" max="14596" width="21.140625" style="1088" customWidth="1"/>
    <col min="14597" max="14848" width="9.140625" style="1088"/>
    <col min="14849" max="14849" width="25.5703125" style="1088" bestFit="1" customWidth="1"/>
    <col min="14850" max="14850" width="97.140625" style="1088" customWidth="1"/>
    <col min="14851" max="14851" width="8.140625" style="1088" customWidth="1"/>
    <col min="14852" max="14852" width="21.140625" style="1088" customWidth="1"/>
    <col min="14853" max="15104" width="9.140625" style="1088"/>
    <col min="15105" max="15105" width="25.5703125" style="1088" bestFit="1" customWidth="1"/>
    <col min="15106" max="15106" width="97.140625" style="1088" customWidth="1"/>
    <col min="15107" max="15107" width="8.140625" style="1088" customWidth="1"/>
    <col min="15108" max="15108" width="21.140625" style="1088" customWidth="1"/>
    <col min="15109" max="15360" width="9.140625" style="1088"/>
    <col min="15361" max="15361" width="25.5703125" style="1088" bestFit="1" customWidth="1"/>
    <col min="15362" max="15362" width="97.140625" style="1088" customWidth="1"/>
    <col min="15363" max="15363" width="8.140625" style="1088" customWidth="1"/>
    <col min="15364" max="15364" width="21.140625" style="1088" customWidth="1"/>
    <col min="15365" max="15616" width="9.140625" style="1088"/>
    <col min="15617" max="15617" width="25.5703125" style="1088" bestFit="1" customWidth="1"/>
    <col min="15618" max="15618" width="97.140625" style="1088" customWidth="1"/>
    <col min="15619" max="15619" width="8.140625" style="1088" customWidth="1"/>
    <col min="15620" max="15620" width="21.140625" style="1088" customWidth="1"/>
    <col min="15621" max="15872" width="9.140625" style="1088"/>
    <col min="15873" max="15873" width="25.5703125" style="1088" bestFit="1" customWidth="1"/>
    <col min="15874" max="15874" width="97.140625" style="1088" customWidth="1"/>
    <col min="15875" max="15875" width="8.140625" style="1088" customWidth="1"/>
    <col min="15876" max="15876" width="21.140625" style="1088" customWidth="1"/>
    <col min="15877" max="16128" width="9.140625" style="1088"/>
    <col min="16129" max="16129" width="25.5703125" style="1088" bestFit="1" customWidth="1"/>
    <col min="16130" max="16130" width="97.140625" style="1088" customWidth="1"/>
    <col min="16131" max="16131" width="8.140625" style="1088" customWidth="1"/>
    <col min="16132" max="16132" width="21.140625" style="1088" customWidth="1"/>
    <col min="16133" max="16384" width="9.140625" style="1088"/>
  </cols>
  <sheetData>
    <row r="1" spans="1:6" x14ac:dyDescent="0.25">
      <c r="A1" s="1086" t="s">
        <v>18</v>
      </c>
      <c r="B1" s="1087" t="s">
        <v>2620</v>
      </c>
      <c r="C1" s="1088" t="s">
        <v>2640</v>
      </c>
      <c r="D1" s="698">
        <f>VLOOKUP(A1,COMPOSIÇÕES!N:O,2)</f>
        <v>2022.44</v>
      </c>
    </row>
    <row r="2" spans="1:6" x14ac:dyDescent="0.25">
      <c r="A2" s="1086" t="s">
        <v>19</v>
      </c>
      <c r="B2" s="1089" t="s">
        <v>2622</v>
      </c>
      <c r="C2" s="1088" t="s">
        <v>2640</v>
      </c>
      <c r="D2" s="698">
        <f>VLOOKUP(A2,COMPOSIÇÕES!N:O,2)</f>
        <v>2489.37</v>
      </c>
    </row>
    <row r="3" spans="1:6" x14ac:dyDescent="0.25">
      <c r="A3" s="1086" t="s">
        <v>28</v>
      </c>
      <c r="B3" s="1089" t="s">
        <v>2623</v>
      </c>
      <c r="C3" s="1088" t="s">
        <v>2640</v>
      </c>
      <c r="D3" s="698">
        <f>VLOOKUP(A3,COMPOSIÇÕES!N:O,2)</f>
        <v>3623.85</v>
      </c>
    </row>
    <row r="4" spans="1:6" x14ac:dyDescent="0.25">
      <c r="A4" s="1086" t="s">
        <v>139</v>
      </c>
      <c r="B4" s="1089" t="s">
        <v>2621</v>
      </c>
      <c r="C4" s="1088" t="s">
        <v>2640</v>
      </c>
      <c r="D4" s="698">
        <f>VLOOKUP(A4,COMPOSIÇÕES!N:O,2)</f>
        <v>4059.46</v>
      </c>
    </row>
    <row r="5" spans="1:6" x14ac:dyDescent="0.25">
      <c r="A5" s="1086" t="s">
        <v>32</v>
      </c>
      <c r="B5" s="1089" t="s">
        <v>2624</v>
      </c>
      <c r="C5" s="1088" t="s">
        <v>2640</v>
      </c>
      <c r="D5" s="698">
        <f>VLOOKUP(A5,COMPOSIÇÕES!N:O,2)</f>
        <v>2197.86</v>
      </c>
    </row>
    <row r="6" spans="1:6" x14ac:dyDescent="0.25">
      <c r="A6" s="1086" t="s">
        <v>33</v>
      </c>
      <c r="B6" s="1089" t="s">
        <v>2625</v>
      </c>
      <c r="C6" s="1088" t="s">
        <v>2640</v>
      </c>
      <c r="D6" s="698">
        <f>VLOOKUP(A6,COMPOSIÇÕES!N:O,2)</f>
        <v>4374.0600000000004</v>
      </c>
    </row>
    <row r="7" spans="1:6" x14ac:dyDescent="0.25">
      <c r="A7" s="1086" t="s">
        <v>34</v>
      </c>
      <c r="B7" s="1089" t="s">
        <v>2626</v>
      </c>
      <c r="C7" s="1088" t="s">
        <v>2640</v>
      </c>
      <c r="D7" s="698">
        <f>VLOOKUP(A7,COMPOSIÇÕES!N:O,2)</f>
        <v>3597.96</v>
      </c>
    </row>
    <row r="8" spans="1:6" x14ac:dyDescent="0.25">
      <c r="A8" s="1086" t="s">
        <v>140</v>
      </c>
      <c r="B8" s="1089" t="s">
        <v>2627</v>
      </c>
      <c r="C8" s="1088" t="s">
        <v>2640</v>
      </c>
      <c r="D8" s="698">
        <f>VLOOKUP(A8,COMPOSIÇÕES!N:O,2)</f>
        <v>5929.99</v>
      </c>
    </row>
    <row r="9" spans="1:6" x14ac:dyDescent="0.25">
      <c r="A9" s="1086" t="s">
        <v>35</v>
      </c>
      <c r="B9" s="1089" t="s">
        <v>2617</v>
      </c>
      <c r="C9" s="1088" t="s">
        <v>2640</v>
      </c>
      <c r="D9" s="698">
        <f>VLOOKUP(A9,COMPOSIÇÕES!N:O,2)</f>
        <v>655.85</v>
      </c>
    </row>
    <row r="10" spans="1:6" x14ac:dyDescent="0.25">
      <c r="A10" s="1086" t="s">
        <v>141</v>
      </c>
      <c r="B10" s="1089" t="s">
        <v>2618</v>
      </c>
      <c r="C10" s="1088" t="s">
        <v>2640</v>
      </c>
      <c r="D10" s="698">
        <f>VLOOKUP(A10,COMPOSIÇÕES!N:O,2)</f>
        <v>1625.3</v>
      </c>
    </row>
    <row r="11" spans="1:6" x14ac:dyDescent="0.25">
      <c r="A11" s="1086" t="s">
        <v>142</v>
      </c>
      <c r="B11" s="1089" t="s">
        <v>2927</v>
      </c>
      <c r="C11" s="1088" t="s">
        <v>2640</v>
      </c>
      <c r="D11" s="698">
        <f>VLOOKUP(A11,COMPOSIÇÕES!N:O,2)</f>
        <v>715.12</v>
      </c>
    </row>
    <row r="12" spans="1:6" x14ac:dyDescent="0.25">
      <c r="A12" s="1086" t="s">
        <v>26</v>
      </c>
      <c r="B12" s="1089" t="s">
        <v>2928</v>
      </c>
      <c r="C12" s="1088" t="s">
        <v>2640</v>
      </c>
      <c r="D12" s="698">
        <f>VLOOKUP(A12,COMPOSIÇÕES!N:O,2)</f>
        <v>1213.06</v>
      </c>
    </row>
    <row r="13" spans="1:6" x14ac:dyDescent="0.25">
      <c r="A13" s="1086" t="s">
        <v>25</v>
      </c>
      <c r="B13" s="1089" t="s">
        <v>2929</v>
      </c>
      <c r="C13" s="1088" t="s">
        <v>2640</v>
      </c>
      <c r="D13" s="698">
        <f>VLOOKUP(A13,COMPOSIÇÕES!N:O,2)</f>
        <v>1809.92</v>
      </c>
    </row>
    <row r="14" spans="1:6" x14ac:dyDescent="0.25">
      <c r="A14" s="1086" t="s">
        <v>27</v>
      </c>
      <c r="B14" s="1089" t="s">
        <v>2930</v>
      </c>
      <c r="C14" s="1088" t="s">
        <v>2640</v>
      </c>
      <c r="D14" s="698">
        <f>VLOOKUP(A14,COMPOSIÇÕES!N:O,2)</f>
        <v>2896.06</v>
      </c>
    </row>
    <row r="15" spans="1:6" x14ac:dyDescent="0.25">
      <c r="A15" s="1086" t="s">
        <v>143</v>
      </c>
      <c r="B15" s="1089" t="s">
        <v>2632</v>
      </c>
      <c r="C15" s="1088" t="s">
        <v>2695</v>
      </c>
      <c r="D15" s="698">
        <f>VLOOKUP(A15,COMPOSIÇÕES!N:O,2)</f>
        <v>661.68</v>
      </c>
      <c r="E15" s="698"/>
      <c r="F15" s="1090"/>
    </row>
    <row r="16" spans="1:6" x14ac:dyDescent="0.25">
      <c r="A16" s="1086" t="s">
        <v>144</v>
      </c>
      <c r="B16" s="1119" t="s">
        <v>3323</v>
      </c>
      <c r="C16" s="1088" t="s">
        <v>2598</v>
      </c>
      <c r="D16" s="698">
        <f>VLOOKUP(A16,COMPOSIÇÕES!N:O,2)</f>
        <v>57.01</v>
      </c>
      <c r="F16" s="1090"/>
    </row>
    <row r="17" spans="1:6" ht="30" x14ac:dyDescent="0.25">
      <c r="A17" s="1086" t="s">
        <v>145</v>
      </c>
      <c r="B17" s="1119" t="s">
        <v>6742</v>
      </c>
      <c r="C17" s="1088" t="s">
        <v>2595</v>
      </c>
      <c r="D17" s="698">
        <f>VLOOKUP(A17,COMPOSIÇÕES!N:O,2)</f>
        <v>104.85</v>
      </c>
      <c r="F17" s="1090"/>
    </row>
    <row r="18" spans="1:6" ht="30" x14ac:dyDescent="0.25">
      <c r="A18" s="1086" t="s">
        <v>146</v>
      </c>
      <c r="B18" s="1119" t="s">
        <v>6740</v>
      </c>
      <c r="C18" s="1088" t="s">
        <v>2595</v>
      </c>
      <c r="D18" s="698">
        <f>VLOOKUP(A18,COMPOSIÇÕES!N:O,2)</f>
        <v>75.2</v>
      </c>
      <c r="F18" s="1090"/>
    </row>
    <row r="19" spans="1:6" ht="45" x14ac:dyDescent="0.25">
      <c r="A19" s="1086" t="s">
        <v>147</v>
      </c>
      <c r="B19" s="1119" t="s">
        <v>5684</v>
      </c>
      <c r="C19" s="1088" t="s">
        <v>2640</v>
      </c>
      <c r="D19" s="698">
        <f>VLOOKUP(A19,COMPOSIÇÕES!N:O,2)</f>
        <v>452.25</v>
      </c>
      <c r="F19" s="1090"/>
    </row>
    <row r="20" spans="1:6" ht="45" x14ac:dyDescent="0.25">
      <c r="A20" s="1086" t="s">
        <v>148</v>
      </c>
      <c r="B20" s="1119" t="s">
        <v>5685</v>
      </c>
      <c r="C20" s="1088" t="s">
        <v>2640</v>
      </c>
      <c r="D20" s="698">
        <f>VLOOKUP(A20,COMPOSIÇÕES!N:O,2)</f>
        <v>388.11</v>
      </c>
      <c r="F20" s="1090"/>
    </row>
    <row r="21" spans="1:6" ht="45" x14ac:dyDescent="0.25">
      <c r="A21" s="1086" t="s">
        <v>2696</v>
      </c>
      <c r="B21" s="1119" t="s">
        <v>5686</v>
      </c>
      <c r="C21" s="1088" t="s">
        <v>2640</v>
      </c>
      <c r="D21" s="698">
        <f>VLOOKUP(A21,COMPOSIÇÕES!N:O,2)</f>
        <v>394.5</v>
      </c>
      <c r="F21" s="1090"/>
    </row>
    <row r="22" spans="1:6" ht="45" x14ac:dyDescent="0.25">
      <c r="A22" s="1086" t="s">
        <v>2697</v>
      </c>
      <c r="B22" s="1119" t="s">
        <v>5687</v>
      </c>
      <c r="C22" s="1088" t="s">
        <v>2640</v>
      </c>
      <c r="D22" s="698">
        <f>VLOOKUP(A22,COMPOSIÇÕES!N:O,2)</f>
        <v>325.93</v>
      </c>
      <c r="F22" s="1090"/>
    </row>
    <row r="23" spans="1:6" x14ac:dyDescent="0.25">
      <c r="A23" s="1086" t="s">
        <v>2700</v>
      </c>
      <c r="B23" s="1089" t="s">
        <v>2634</v>
      </c>
      <c r="C23" s="1088" t="s">
        <v>2640</v>
      </c>
      <c r="D23" s="698">
        <f>VLOOKUP(A23,COMPOSIÇÕES!N:O,2)</f>
        <v>5695.07</v>
      </c>
      <c r="F23" s="1090"/>
    </row>
    <row r="24" spans="1:6" x14ac:dyDescent="0.25">
      <c r="A24" s="1086" t="s">
        <v>2701</v>
      </c>
      <c r="B24" s="1089" t="s">
        <v>3219</v>
      </c>
      <c r="C24" s="1088" t="s">
        <v>2640</v>
      </c>
      <c r="D24" s="698">
        <f>VLOOKUP(A24,COMPOSIÇÕES!N:O,2)</f>
        <v>768.45</v>
      </c>
      <c r="F24" s="1090"/>
    </row>
    <row r="25" spans="1:6" x14ac:dyDescent="0.25">
      <c r="A25" s="1086" t="s">
        <v>2757</v>
      </c>
      <c r="B25" s="1089" t="s">
        <v>3220</v>
      </c>
      <c r="C25" s="1088" t="s">
        <v>2640</v>
      </c>
      <c r="D25" s="698">
        <f>VLOOKUP(A25,COMPOSIÇÕES!N:O,2)</f>
        <v>927.95</v>
      </c>
      <c r="F25" s="1090"/>
    </row>
    <row r="26" spans="1:6" x14ac:dyDescent="0.25">
      <c r="A26" s="1086" t="s">
        <v>2849</v>
      </c>
      <c r="B26" s="1089" t="s">
        <v>3171</v>
      </c>
      <c r="C26" s="1088" t="s">
        <v>2598</v>
      </c>
      <c r="D26" s="698">
        <f>VLOOKUP(A26,COMPOSIÇÕES!N:O,2)</f>
        <v>30.11</v>
      </c>
      <c r="F26" s="1090"/>
    </row>
    <row r="27" spans="1:6" x14ac:dyDescent="0.25">
      <c r="A27" s="1086" t="s">
        <v>2850</v>
      </c>
      <c r="B27" s="1089" t="s">
        <v>3171</v>
      </c>
      <c r="C27" s="1088" t="s">
        <v>2598</v>
      </c>
      <c r="D27" s="698">
        <f>VLOOKUP(A27,COMPOSIÇÕES!N:O,2)</f>
        <v>23.8</v>
      </c>
      <c r="F27" s="1090"/>
    </row>
    <row r="28" spans="1:6" x14ac:dyDescent="0.25">
      <c r="A28" s="1086" t="s">
        <v>2904</v>
      </c>
      <c r="B28" s="1089" t="s">
        <v>6739</v>
      </c>
      <c r="C28" s="1088" t="s">
        <v>2595</v>
      </c>
      <c r="D28" s="698">
        <f>VLOOKUP(A28,COMPOSIÇÕES!N:O,2)</f>
        <v>32.21</v>
      </c>
      <c r="F28" s="1090"/>
    </row>
    <row r="29" spans="1:6" x14ac:dyDescent="0.25">
      <c r="A29" s="1086" t="s">
        <v>2923</v>
      </c>
      <c r="B29" s="1089" t="s">
        <v>2914</v>
      </c>
      <c r="C29" s="1088" t="s">
        <v>2598</v>
      </c>
      <c r="D29" s="698">
        <f>VLOOKUP(A29,COMPOSIÇÕES!N:O,2)</f>
        <v>98.53</v>
      </c>
      <c r="F29" s="1090"/>
    </row>
    <row r="30" spans="1:6" x14ac:dyDescent="0.25">
      <c r="A30" s="1086" t="s">
        <v>2931</v>
      </c>
      <c r="B30" s="1089" t="s">
        <v>3172</v>
      </c>
      <c r="C30" s="1088" t="s">
        <v>2595</v>
      </c>
      <c r="D30" s="698">
        <f>VLOOKUP(A30,COMPOSIÇÕES!N:O,2)</f>
        <v>56.51</v>
      </c>
      <c r="F30" s="1090"/>
    </row>
    <row r="31" spans="1:6" ht="45" x14ac:dyDescent="0.25">
      <c r="A31" s="1086" t="s">
        <v>2933</v>
      </c>
      <c r="B31" s="1119" t="s">
        <v>5688</v>
      </c>
      <c r="C31" s="1088" t="s">
        <v>2640</v>
      </c>
      <c r="D31" s="698">
        <f>VLOOKUP(A31,COMPOSIÇÕES!N:O,2)</f>
        <v>417.4</v>
      </c>
      <c r="F31" s="1090"/>
    </row>
    <row r="32" spans="1:6" ht="30" x14ac:dyDescent="0.25">
      <c r="A32" s="1086" t="s">
        <v>2934</v>
      </c>
      <c r="B32" s="1119" t="s">
        <v>5689</v>
      </c>
      <c r="C32" s="1088" t="s">
        <v>2640</v>
      </c>
      <c r="D32" s="698">
        <f>VLOOKUP(A32,COMPOSIÇÕES!N:O,2)</f>
        <v>1499.73</v>
      </c>
      <c r="F32" s="1090"/>
    </row>
    <row r="33" spans="1:6" ht="45" x14ac:dyDescent="0.25">
      <c r="A33" s="1086" t="s">
        <v>2944</v>
      </c>
      <c r="B33" s="1119" t="s">
        <v>5690</v>
      </c>
      <c r="C33" s="1088" t="s">
        <v>2640</v>
      </c>
      <c r="D33" s="698">
        <f>VLOOKUP(A33,COMPOSIÇÕES!N:O,2)</f>
        <v>415.92</v>
      </c>
      <c r="F33" s="1090"/>
    </row>
    <row r="34" spans="1:6" x14ac:dyDescent="0.25">
      <c r="A34" s="1086" t="s">
        <v>3040</v>
      </c>
      <c r="B34" s="1089" t="s">
        <v>3039</v>
      </c>
      <c r="C34" s="1088" t="s">
        <v>2598</v>
      </c>
      <c r="D34" s="698">
        <f>VLOOKUP(A34,COMPOSIÇÕES!N:O,2)</f>
        <v>22.63</v>
      </c>
      <c r="F34" s="1090"/>
    </row>
    <row r="35" spans="1:6" x14ac:dyDescent="0.25">
      <c r="A35" s="1086" t="s">
        <v>3165</v>
      </c>
      <c r="B35" s="1089" t="s">
        <v>3173</v>
      </c>
      <c r="C35" s="1088" t="s">
        <v>2598</v>
      </c>
      <c r="D35" s="698">
        <f>VLOOKUP(A35,COMPOSIÇÕES!N:O,2)</f>
        <v>379.21</v>
      </c>
      <c r="F35" s="1090"/>
    </row>
    <row r="36" spans="1:6" x14ac:dyDescent="0.25">
      <c r="A36" s="1086" t="s">
        <v>3174</v>
      </c>
      <c r="B36" s="1089" t="s">
        <v>3175</v>
      </c>
      <c r="C36" s="1088" t="s">
        <v>2595</v>
      </c>
      <c r="D36" s="698">
        <f>VLOOKUP(A36,COMPOSIÇÕES!N:O,2)</f>
        <v>4714.1899999999996</v>
      </c>
    </row>
    <row r="37" spans="1:6" x14ac:dyDescent="0.25">
      <c r="A37" s="1086" t="s">
        <v>3177</v>
      </c>
      <c r="B37" s="1089" t="s">
        <v>3178</v>
      </c>
      <c r="C37" s="1088" t="s">
        <v>2640</v>
      </c>
      <c r="D37" s="698">
        <f>VLOOKUP(A37,COMPOSIÇÕES!N:O,2)</f>
        <v>1909.02</v>
      </c>
      <c r="F37" s="1090"/>
    </row>
    <row r="38" spans="1:6" s="1093" customFormat="1" x14ac:dyDescent="0.25">
      <c r="A38" s="1086" t="s">
        <v>3229</v>
      </c>
      <c r="B38" s="1089" t="s">
        <v>2635</v>
      </c>
      <c r="C38" s="1088" t="s">
        <v>2640</v>
      </c>
      <c r="D38" s="698">
        <f>VLOOKUP(A38,COMPOSIÇÕES!N:O,2)</f>
        <v>373.87</v>
      </c>
      <c r="E38" s="1091"/>
      <c r="F38" s="1092"/>
    </row>
    <row r="39" spans="1:6" x14ac:dyDescent="0.25">
      <c r="A39" s="1086" t="s">
        <v>3230</v>
      </c>
      <c r="B39" s="1089" t="s">
        <v>2636</v>
      </c>
      <c r="C39" s="1088" t="s">
        <v>2640</v>
      </c>
      <c r="D39" s="698">
        <f>VLOOKUP(A39,COMPOSIÇÕES!N:O,2)</f>
        <v>96.14</v>
      </c>
      <c r="E39" s="1094"/>
      <c r="F39" s="1086"/>
    </row>
    <row r="40" spans="1:6" x14ac:dyDescent="0.25">
      <c r="A40" s="1086" t="s">
        <v>3231</v>
      </c>
      <c r="B40" s="1089" t="s">
        <v>2637</v>
      </c>
      <c r="C40" s="1088" t="s">
        <v>2640</v>
      </c>
      <c r="D40" s="698">
        <f>VLOOKUP(A40,COMPOSIÇÕES!N:O,2)</f>
        <v>160.22999999999999</v>
      </c>
      <c r="E40" s="1094"/>
      <c r="F40" s="1086"/>
    </row>
    <row r="41" spans="1:6" x14ac:dyDescent="0.25">
      <c r="A41" s="1086" t="s">
        <v>3232</v>
      </c>
      <c r="B41" s="1089" t="s">
        <v>3233</v>
      </c>
      <c r="C41" s="1088" t="s">
        <v>2599</v>
      </c>
      <c r="D41" s="698">
        <f>VLOOKUP(A41,COMPOSIÇÕES!N:O,2)</f>
        <v>1981.63</v>
      </c>
      <c r="E41" s="1094"/>
      <c r="F41" s="1086"/>
    </row>
    <row r="42" spans="1:6" x14ac:dyDescent="0.25">
      <c r="A42" s="1086" t="s">
        <v>3241</v>
      </c>
      <c r="B42" s="1089" t="s">
        <v>3248</v>
      </c>
      <c r="C42" s="1088" t="s">
        <v>2599</v>
      </c>
      <c r="D42" s="698">
        <f>VLOOKUP(A42,COMPOSIÇÕES!N:O,2)</f>
        <v>905.75</v>
      </c>
      <c r="E42" s="1094"/>
      <c r="F42" s="1086"/>
    </row>
    <row r="43" spans="1:6" x14ac:dyDescent="0.25">
      <c r="A43" s="1086" t="s">
        <v>3242</v>
      </c>
      <c r="B43" s="1089" t="s">
        <v>3249</v>
      </c>
      <c r="C43" s="1088" t="s">
        <v>2599</v>
      </c>
      <c r="D43" s="698">
        <f>VLOOKUP(A43,COMPOSIÇÕES!N:O,2)</f>
        <v>1065.25</v>
      </c>
      <c r="E43" s="1094"/>
      <c r="F43" s="1086"/>
    </row>
    <row r="44" spans="1:6" x14ac:dyDescent="0.25">
      <c r="A44" s="1086" t="s">
        <v>3243</v>
      </c>
      <c r="B44" s="1089" t="s">
        <v>3326</v>
      </c>
      <c r="C44" s="1088" t="s">
        <v>2599</v>
      </c>
      <c r="D44" s="698">
        <f>VLOOKUP(A44,COMPOSIÇÕES!N:O,2)</f>
        <v>290.24</v>
      </c>
      <c r="E44" s="1094"/>
      <c r="F44" s="1086"/>
    </row>
    <row r="45" spans="1:6" x14ac:dyDescent="0.25">
      <c r="A45" s="1086" t="s">
        <v>3244</v>
      </c>
      <c r="B45" s="1089" t="s">
        <v>3325</v>
      </c>
      <c r="C45" s="1088" t="s">
        <v>2599</v>
      </c>
      <c r="D45" s="698">
        <f>VLOOKUP(A45,COMPOSIÇÕES!N:O,2)</f>
        <v>945.2</v>
      </c>
      <c r="E45" s="1094"/>
      <c r="F45" s="1086"/>
    </row>
    <row r="46" spans="1:6" x14ac:dyDescent="0.25">
      <c r="A46" s="1086" t="s">
        <v>3301</v>
      </c>
      <c r="B46" s="1089" t="s">
        <v>3302</v>
      </c>
      <c r="C46" s="1088" t="s">
        <v>2596</v>
      </c>
      <c r="D46" s="698">
        <f>VLOOKUP(A46,COMPOSIÇÕES!N:O,2)</f>
        <v>130.66</v>
      </c>
      <c r="F46" s="1090"/>
    </row>
    <row r="47" spans="1:6" x14ac:dyDescent="0.25">
      <c r="A47" s="1086" t="s">
        <v>3343</v>
      </c>
      <c r="B47" s="1089" t="s">
        <v>3342</v>
      </c>
      <c r="C47" s="1088" t="s">
        <v>2640</v>
      </c>
      <c r="D47" s="698">
        <f>VLOOKUP(A47,COMPOSIÇÕES!N:O,2)</f>
        <v>1199.21</v>
      </c>
      <c r="F47" s="1090"/>
    </row>
    <row r="48" spans="1:6" x14ac:dyDescent="0.25">
      <c r="A48" s="1086" t="s">
        <v>3346</v>
      </c>
      <c r="B48" s="1089" t="s">
        <v>3347</v>
      </c>
      <c r="C48" s="1088" t="s">
        <v>2640</v>
      </c>
      <c r="D48" s="698">
        <f>VLOOKUP(A48,COMPOSIÇÕES!N:O,2)</f>
        <v>1402.38</v>
      </c>
      <c r="F48" s="1090"/>
    </row>
    <row r="49" spans="1:6" x14ac:dyDescent="0.25">
      <c r="A49" s="1086" t="s">
        <v>3908</v>
      </c>
      <c r="B49" s="1089" t="s">
        <v>3909</v>
      </c>
      <c r="C49" s="1088" t="s">
        <v>2595</v>
      </c>
      <c r="D49" s="698">
        <f>VLOOKUP(A49,COMPOSIÇÕES!N:O,2)</f>
        <v>50.46</v>
      </c>
      <c r="F49" s="1090"/>
    </row>
    <row r="50" spans="1:6" x14ac:dyDescent="0.25">
      <c r="A50" s="1086" t="s">
        <v>3911</v>
      </c>
      <c r="B50" s="1089" t="s">
        <v>3922</v>
      </c>
      <c r="C50" s="1088" t="s">
        <v>2595</v>
      </c>
      <c r="D50" s="698">
        <f>VLOOKUP(A50,COMPOSIÇÕES!N:O,2)</f>
        <v>375.73</v>
      </c>
      <c r="F50" s="1090"/>
    </row>
    <row r="51" spans="1:6" x14ac:dyDescent="0.25">
      <c r="A51" s="1086" t="s">
        <v>3912</v>
      </c>
      <c r="B51" s="1089" t="s">
        <v>3923</v>
      </c>
      <c r="C51" s="1088" t="s">
        <v>2595</v>
      </c>
      <c r="D51" s="698">
        <f>VLOOKUP(A51,COMPOSIÇÕES!N:O,2)</f>
        <v>576.32000000000005</v>
      </c>
      <c r="F51" s="1090"/>
    </row>
    <row r="52" spans="1:6" x14ac:dyDescent="0.25">
      <c r="A52" s="1086" t="s">
        <v>4258</v>
      </c>
      <c r="B52" s="1089" t="s">
        <v>6428</v>
      </c>
      <c r="C52" s="1088" t="s">
        <v>2598</v>
      </c>
      <c r="D52" s="698">
        <f>VLOOKUP(A52,COMPOSIÇÕES!N:O,2)</f>
        <v>149.94999999999999</v>
      </c>
      <c r="F52" s="1090"/>
    </row>
    <row r="53" spans="1:6" x14ac:dyDescent="0.25">
      <c r="A53" s="1086" t="s">
        <v>4259</v>
      </c>
      <c r="B53" s="1089" t="s">
        <v>4260</v>
      </c>
      <c r="C53" s="1088" t="s">
        <v>2598</v>
      </c>
      <c r="D53" s="698">
        <f>VLOOKUP(A53,COMPOSIÇÕES!N:O,2)</f>
        <v>153.59</v>
      </c>
      <c r="F53" s="1090"/>
    </row>
    <row r="54" spans="1:6" x14ac:dyDescent="0.25">
      <c r="A54" s="1086" t="s">
        <v>4593</v>
      </c>
      <c r="B54" s="1089" t="s">
        <v>2699</v>
      </c>
      <c r="C54" s="1088" t="s">
        <v>2595</v>
      </c>
      <c r="D54" s="698">
        <f>VLOOKUP(A54,COMPOSIÇÕES!N:O,2)</f>
        <v>256.19</v>
      </c>
      <c r="F54" s="1090"/>
    </row>
    <row r="55" spans="1:6" x14ac:dyDescent="0.25">
      <c r="A55" s="1086" t="s">
        <v>4596</v>
      </c>
      <c r="B55" s="1089" t="s">
        <v>4597</v>
      </c>
      <c r="C55" s="1088" t="s">
        <v>2599</v>
      </c>
      <c r="D55" s="698">
        <f>VLOOKUP(A55,COMPOSIÇÕES!N:O,2)</f>
        <v>5304.69</v>
      </c>
      <c r="F55" s="1090"/>
    </row>
    <row r="56" spans="1:6" x14ac:dyDescent="0.25">
      <c r="A56" s="1086" t="s">
        <v>4619</v>
      </c>
      <c r="B56" s="1089" t="s">
        <v>4603</v>
      </c>
      <c r="C56" s="1088" t="s">
        <v>2598</v>
      </c>
      <c r="D56" s="698">
        <f>VLOOKUP(A56,COMPOSIÇÕES!N:O,2)</f>
        <v>564.73</v>
      </c>
      <c r="F56" s="1090"/>
    </row>
    <row r="57" spans="1:6" ht="30" x14ac:dyDescent="0.25">
      <c r="A57" s="1086" t="s">
        <v>4620</v>
      </c>
      <c r="B57" s="1119" t="s">
        <v>4613</v>
      </c>
      <c r="C57" s="1088" t="s">
        <v>2599</v>
      </c>
      <c r="D57" s="698">
        <f>VLOOKUP(A57,COMPOSIÇÕES!N:O,2)</f>
        <v>321.83</v>
      </c>
      <c r="F57" s="1090"/>
    </row>
    <row r="58" spans="1:6" ht="30" x14ac:dyDescent="0.25">
      <c r="A58" s="1086" t="s">
        <v>4621</v>
      </c>
      <c r="B58" s="1119" t="s">
        <v>5691</v>
      </c>
      <c r="C58" s="1088" t="s">
        <v>2599</v>
      </c>
      <c r="D58" s="698">
        <f>VLOOKUP(A58,COMPOSIÇÕES!N:O,2)</f>
        <v>424.67</v>
      </c>
      <c r="F58" s="1090"/>
    </row>
    <row r="59" spans="1:6" ht="45" x14ac:dyDescent="0.25">
      <c r="A59" s="1086" t="s">
        <v>4622</v>
      </c>
      <c r="B59" s="1119" t="s">
        <v>5698</v>
      </c>
      <c r="C59" s="1088" t="s">
        <v>2599</v>
      </c>
      <c r="D59" s="698">
        <f>VLOOKUP(A59,COMPOSIÇÕES!N:O,2)</f>
        <v>424.79</v>
      </c>
      <c r="F59" s="1090"/>
    </row>
    <row r="60" spans="1:6" ht="45" x14ac:dyDescent="0.25">
      <c r="A60" s="1086" t="s">
        <v>5692</v>
      </c>
      <c r="B60" s="1119" t="s">
        <v>5699</v>
      </c>
      <c r="C60" s="1088" t="s">
        <v>2599</v>
      </c>
      <c r="D60" s="698">
        <f>VLOOKUP(A60,COMPOSIÇÕES!N:O,2)</f>
        <v>381.24</v>
      </c>
      <c r="F60" s="1090"/>
    </row>
    <row r="61" spans="1:6" ht="45" x14ac:dyDescent="0.25">
      <c r="A61" s="1086" t="s">
        <v>5693</v>
      </c>
      <c r="B61" s="1119" t="s">
        <v>5700</v>
      </c>
      <c r="C61" s="1088" t="s">
        <v>2599</v>
      </c>
      <c r="D61" s="698">
        <f>VLOOKUP(A61,COMPOSIÇÕES!N:O,2)</f>
        <v>363.61</v>
      </c>
      <c r="F61" s="1090"/>
    </row>
    <row r="62" spans="1:6" x14ac:dyDescent="0.25">
      <c r="A62" s="1086" t="s">
        <v>5694</v>
      </c>
      <c r="B62" s="1089" t="s">
        <v>6195</v>
      </c>
      <c r="C62" s="1088" t="s">
        <v>2595</v>
      </c>
      <c r="D62" s="698">
        <f>VLOOKUP(A62,COMPOSIÇÕES!N:O,2)</f>
        <v>107.53</v>
      </c>
      <c r="F62" s="1090"/>
    </row>
    <row r="63" spans="1:6" ht="30" x14ac:dyDescent="0.25">
      <c r="A63" s="1086" t="s">
        <v>5695</v>
      </c>
      <c r="B63" s="1119" t="s">
        <v>6455</v>
      </c>
      <c r="C63" s="1088" t="s">
        <v>2599</v>
      </c>
      <c r="D63" s="698">
        <f>VLOOKUP(A63,COMPOSIÇÕES!N:O,2)</f>
        <v>465.24</v>
      </c>
      <c r="F63" s="1090"/>
    </row>
    <row r="64" spans="1:6" x14ac:dyDescent="0.25">
      <c r="A64" s="1086" t="s">
        <v>5696</v>
      </c>
      <c r="B64" s="1089" t="s">
        <v>6464</v>
      </c>
      <c r="C64" s="1088" t="s">
        <v>2599</v>
      </c>
      <c r="D64" s="698">
        <f>VLOOKUP(A64,COMPOSIÇÕES!N:O,2)</f>
        <v>910.9</v>
      </c>
      <c r="F64" s="1090"/>
    </row>
    <row r="65" spans="1:9" x14ac:dyDescent="0.25">
      <c r="A65" s="1086" t="s">
        <v>5697</v>
      </c>
      <c r="B65" s="1087" t="s">
        <v>6471</v>
      </c>
      <c r="C65" s="1088" t="s">
        <v>2598</v>
      </c>
      <c r="D65" s="698">
        <f>VLOOKUP(A65,COMPOSIÇÕES!N:O,2)</f>
        <v>3334.98</v>
      </c>
      <c r="F65" s="1090"/>
    </row>
    <row r="66" spans="1:9" ht="30" x14ac:dyDescent="0.25">
      <c r="A66" s="1086" t="s">
        <v>6750</v>
      </c>
      <c r="B66" s="1119" t="s">
        <v>6749</v>
      </c>
      <c r="C66" s="1088" t="s">
        <v>2599</v>
      </c>
      <c r="D66" s="698">
        <f>VLOOKUP(A66,COMPOSIÇÕES!N:O,2)</f>
        <v>300.7</v>
      </c>
      <c r="F66" s="1090"/>
    </row>
    <row r="67" spans="1:9" x14ac:dyDescent="0.25">
      <c r="A67" s="1086" t="s">
        <v>6752</v>
      </c>
      <c r="B67" s="1089" t="s">
        <v>6753</v>
      </c>
      <c r="C67" s="1088" t="s">
        <v>2599</v>
      </c>
      <c r="D67" s="698">
        <f>VLOOKUP(A67,COMPOSIÇÕES!N:O,2)</f>
        <v>490.26</v>
      </c>
      <c r="F67" s="1090"/>
    </row>
    <row r="68" spans="1:9" x14ac:dyDescent="0.25">
      <c r="A68" s="1086" t="s">
        <v>7254</v>
      </c>
      <c r="B68" s="1089" t="s">
        <v>7256</v>
      </c>
      <c r="C68" s="1088" t="s">
        <v>2599</v>
      </c>
      <c r="D68" s="698">
        <f>VLOOKUP(A68,COMPOSIÇÕES!N:O,2)</f>
        <v>219.25</v>
      </c>
      <c r="F68" s="1090"/>
    </row>
    <row r="69" spans="1:9" x14ac:dyDescent="0.25">
      <c r="A69" s="1086" t="s">
        <v>7255</v>
      </c>
      <c r="B69" s="1089" t="s">
        <v>7257</v>
      </c>
      <c r="C69" s="1088" t="s">
        <v>2599</v>
      </c>
      <c r="D69" s="698">
        <f>VLOOKUP(A69,COMPOSIÇÕES!N:O,2)</f>
        <v>490.26</v>
      </c>
      <c r="F69" s="1090"/>
    </row>
    <row r="70" spans="1:9" x14ac:dyDescent="0.25">
      <c r="A70" s="1086" t="s">
        <v>7258</v>
      </c>
      <c r="B70" s="1089" t="s">
        <v>7260</v>
      </c>
      <c r="C70" s="1088" t="s">
        <v>2599</v>
      </c>
      <c r="D70" s="698">
        <f>VLOOKUP(A70,COMPOSIÇÕES!N:O,2)</f>
        <v>362.4</v>
      </c>
      <c r="F70" s="1090"/>
    </row>
    <row r="71" spans="1:9" x14ac:dyDescent="0.25">
      <c r="A71" s="1086" t="s">
        <v>7259</v>
      </c>
      <c r="B71" s="1089" t="s">
        <v>7257</v>
      </c>
      <c r="C71" s="1088" t="s">
        <v>2599</v>
      </c>
      <c r="D71" s="698">
        <f>VLOOKUP(A71,COMPOSIÇÕES!N:O,2)</f>
        <v>490.26</v>
      </c>
      <c r="F71" s="1090"/>
    </row>
    <row r="72" spans="1:9" x14ac:dyDescent="0.25">
      <c r="A72" s="1086" t="s">
        <v>7265</v>
      </c>
      <c r="B72" s="1089" t="s">
        <v>7267</v>
      </c>
      <c r="C72" s="1088" t="s">
        <v>2598</v>
      </c>
      <c r="D72" s="698">
        <f>VLOOKUP(A72,COMPOSIÇÕES!N:O,2)</f>
        <v>176.58</v>
      </c>
      <c r="F72" s="1090"/>
    </row>
    <row r="73" spans="1:9" x14ac:dyDescent="0.25">
      <c r="A73" s="1086" t="s">
        <v>7510</v>
      </c>
      <c r="B73" s="1089" t="s">
        <v>7511</v>
      </c>
      <c r="C73" s="1088" t="s">
        <v>2599</v>
      </c>
      <c r="D73" s="698">
        <f>VLOOKUP(A73,COMPOSIÇÕES!N:O,2)</f>
        <v>5202.13</v>
      </c>
      <c r="F73" s="1090"/>
    </row>
    <row r="74" spans="1:9" x14ac:dyDescent="0.25">
      <c r="B74" s="1089"/>
      <c r="F74" s="1090"/>
    </row>
    <row r="75" spans="1:9" x14ac:dyDescent="0.25">
      <c r="B75" s="1089"/>
      <c r="F75" s="1090"/>
    </row>
    <row r="76" spans="1:9" x14ac:dyDescent="0.25">
      <c r="B76" s="1089"/>
      <c r="F76" s="1090"/>
    </row>
    <row r="77" spans="1:9" x14ac:dyDescent="0.25">
      <c r="B77" s="1089"/>
      <c r="F77" s="1090"/>
    </row>
    <row r="78" spans="1:9" ht="15.75" thickBot="1" x14ac:dyDescent="0.3">
      <c r="B78" s="1089"/>
      <c r="F78" s="1090"/>
    </row>
    <row r="79" spans="1:9" s="1362" customFormat="1" x14ac:dyDescent="0.25">
      <c r="A79" s="1619" t="s">
        <v>3</v>
      </c>
      <c r="B79" s="1555" t="s">
        <v>13669</v>
      </c>
      <c r="C79"/>
      <c r="D79" s="254"/>
      <c r="E79" t="s">
        <v>13670</v>
      </c>
      <c r="F79"/>
      <c r="G79">
        <v>12</v>
      </c>
      <c r="H79"/>
      <c r="I79" s="489"/>
    </row>
    <row r="80" spans="1:9" s="1362" customFormat="1" x14ac:dyDescent="0.25">
      <c r="A80" s="1620"/>
      <c r="B80" s="1556" t="s">
        <v>13671</v>
      </c>
      <c r="C80"/>
      <c r="D80" s="254"/>
      <c r="E80" t="s">
        <v>3188</v>
      </c>
      <c r="F80"/>
      <c r="G80">
        <v>25</v>
      </c>
      <c r="H80"/>
      <c r="I80" s="489"/>
    </row>
    <row r="81" spans="1:9" s="1362" customFormat="1" x14ac:dyDescent="0.25">
      <c r="A81" s="1620"/>
      <c r="B81" s="1015" t="s">
        <v>13672</v>
      </c>
      <c r="C81"/>
      <c r="D81" s="254"/>
      <c r="E81" t="s">
        <v>2639</v>
      </c>
      <c r="F81" t="s">
        <v>13673</v>
      </c>
      <c r="G81">
        <v>61</v>
      </c>
      <c r="H81"/>
      <c r="I81" s="489"/>
    </row>
    <row r="82" spans="1:9" s="1362" customFormat="1" ht="15.75" thickBot="1" x14ac:dyDescent="0.3">
      <c r="A82" s="1621"/>
      <c r="B82" s="1016" t="s">
        <v>3239</v>
      </c>
      <c r="C82"/>
      <c r="D82" s="254"/>
      <c r="E82"/>
      <c r="F82" t="s">
        <v>13674</v>
      </c>
      <c r="G82">
        <v>6420</v>
      </c>
      <c r="H82"/>
      <c r="I82" s="489"/>
    </row>
    <row r="83" spans="1:9" s="1362" customFormat="1" x14ac:dyDescent="0.25">
      <c r="A83" t="s">
        <v>13675</v>
      </c>
      <c r="B83">
        <v>537.96400000000006</v>
      </c>
      <c r="C83"/>
      <c r="D83" s="254"/>
      <c r="E83"/>
      <c r="F83" t="s">
        <v>13676</v>
      </c>
      <c r="G83">
        <v>8080</v>
      </c>
      <c r="H83"/>
      <c r="I83" s="489"/>
    </row>
    <row r="84" spans="1:9" s="1362" customFormat="1" x14ac:dyDescent="0.25">
      <c r="A84"/>
      <c r="B84"/>
      <c r="C84"/>
      <c r="D84" s="254"/>
      <c r="E84"/>
      <c r="F84" t="s">
        <v>13677</v>
      </c>
      <c r="G84">
        <v>8280</v>
      </c>
      <c r="H84"/>
      <c r="I84" s="489"/>
    </row>
    <row r="85" spans="1:9" s="1362" customFormat="1" x14ac:dyDescent="0.25">
      <c r="A85"/>
      <c r="B85"/>
      <c r="C85"/>
      <c r="D85" s="254"/>
      <c r="E85" t="s">
        <v>20</v>
      </c>
      <c r="F85" t="s">
        <v>13673</v>
      </c>
      <c r="G85">
        <v>8740</v>
      </c>
      <c r="H85"/>
      <c r="I85" s="489"/>
    </row>
    <row r="86" spans="1:9" s="1362" customFormat="1" x14ac:dyDescent="0.25">
      <c r="A86"/>
      <c r="B86"/>
      <c r="C86"/>
      <c r="D86" s="254"/>
      <c r="E86"/>
      <c r="F86" t="s">
        <v>13678</v>
      </c>
      <c r="G86">
        <v>16260</v>
      </c>
      <c r="H86"/>
      <c r="I86" s="489"/>
    </row>
    <row r="87" spans="1:9" s="1362" customFormat="1" x14ac:dyDescent="0.25">
      <c r="A87"/>
      <c r="B87"/>
      <c r="C87"/>
      <c r="D87" s="254"/>
      <c r="E87"/>
      <c r="F87"/>
      <c r="G87"/>
      <c r="H87"/>
      <c r="I87" s="489"/>
    </row>
    <row r="88" spans="1:9" s="1362" customFormat="1" x14ac:dyDescent="0.25">
      <c r="A88"/>
      <c r="B88"/>
      <c r="C88"/>
      <c r="D88" s="254"/>
      <c r="E88"/>
      <c r="F88"/>
      <c r="G88"/>
      <c r="H88"/>
      <c r="I88" s="489"/>
    </row>
    <row r="89" spans="1:9" s="1362" customFormat="1" x14ac:dyDescent="0.25">
      <c r="A89" t="s">
        <v>2889</v>
      </c>
      <c r="B89" t="s">
        <v>3228</v>
      </c>
      <c r="C89" s="1445" t="s">
        <v>2595</v>
      </c>
      <c r="D89" s="254">
        <f>MEDIAN(F89:H89)</f>
        <v>25.5</v>
      </c>
      <c r="E89"/>
      <c r="F89" s="254">
        <v>25.5</v>
      </c>
      <c r="G89" s="254">
        <v>24.7</v>
      </c>
      <c r="H89" s="254">
        <v>35</v>
      </c>
      <c r="I89" s="489"/>
    </row>
    <row r="90" spans="1:9" s="1362" customFormat="1" x14ac:dyDescent="0.25">
      <c r="A90" t="s">
        <v>2890</v>
      </c>
      <c r="B90" t="s">
        <v>3334</v>
      </c>
      <c r="C90" s="1445" t="s">
        <v>2595</v>
      </c>
      <c r="D90" s="254">
        <f t="shared" ref="D90:D98" si="0">MEDIAN(F90:H90)</f>
        <v>29</v>
      </c>
      <c r="E90"/>
      <c r="F90" s="254">
        <v>29</v>
      </c>
      <c r="G90" s="254">
        <v>28.2</v>
      </c>
      <c r="H90" s="254">
        <v>40</v>
      </c>
      <c r="I90" s="489"/>
    </row>
    <row r="91" spans="1:9" s="1362" customFormat="1" x14ac:dyDescent="0.25">
      <c r="A91" t="s">
        <v>2902</v>
      </c>
      <c r="B91" t="s">
        <v>2903</v>
      </c>
      <c r="C91" s="1445" t="s">
        <v>2598</v>
      </c>
      <c r="D91" s="254">
        <f t="shared" si="0"/>
        <v>18</v>
      </c>
      <c r="E91"/>
      <c r="F91" s="254">
        <v>18</v>
      </c>
      <c r="G91" s="254">
        <v>17</v>
      </c>
      <c r="H91" s="254">
        <v>22.5</v>
      </c>
      <c r="I91" s="489"/>
    </row>
    <row r="92" spans="1:9" s="1362" customFormat="1" x14ac:dyDescent="0.25">
      <c r="A92" t="s">
        <v>13679</v>
      </c>
      <c r="B92" t="s">
        <v>13680</v>
      </c>
      <c r="C92" s="1445" t="s">
        <v>13681</v>
      </c>
      <c r="D92" s="254">
        <f t="shared" si="0"/>
        <v>17.98</v>
      </c>
      <c r="E92"/>
      <c r="F92" s="254">
        <v>17.98</v>
      </c>
      <c r="G92" s="254">
        <v>17.5</v>
      </c>
      <c r="H92" s="254">
        <v>19</v>
      </c>
      <c r="I92" s="489"/>
    </row>
    <row r="93" spans="1:9" s="1362" customFormat="1" x14ac:dyDescent="0.25">
      <c r="A93" t="s">
        <v>13682</v>
      </c>
      <c r="B93" t="s">
        <v>13683</v>
      </c>
      <c r="C93" s="1445" t="s">
        <v>2695</v>
      </c>
      <c r="D93" s="254" t="e">
        <f t="shared" ref="D93:D97" si="1">MEDIAN(F93:I93)</f>
        <v>#NUM!</v>
      </c>
      <c r="E93" s="254"/>
      <c r="F93" s="254"/>
      <c r="G93" s="254"/>
      <c r="H93" s="254"/>
      <c r="I93" s="1557"/>
    </row>
    <row r="94" spans="1:9" s="1362" customFormat="1" x14ac:dyDescent="0.25">
      <c r="A94" t="s">
        <v>13684</v>
      </c>
      <c r="B94" t="s">
        <v>13685</v>
      </c>
      <c r="C94" s="1445" t="s">
        <v>2695</v>
      </c>
      <c r="D94" s="254" t="e">
        <f t="shared" si="1"/>
        <v>#NUM!</v>
      </c>
      <c r="E94" s="254"/>
      <c r="F94" s="254"/>
      <c r="G94" s="254"/>
      <c r="H94" s="254"/>
      <c r="I94" s="1557"/>
    </row>
    <row r="95" spans="1:9" s="1362" customFormat="1" x14ac:dyDescent="0.25">
      <c r="A95" t="s">
        <v>13686</v>
      </c>
      <c r="B95" t="s">
        <v>13687</v>
      </c>
      <c r="C95" s="1445" t="s">
        <v>2695</v>
      </c>
      <c r="D95" s="254" t="e">
        <f t="shared" si="1"/>
        <v>#NUM!</v>
      </c>
      <c r="E95" s="254"/>
      <c r="F95" s="254"/>
      <c r="G95" s="254"/>
      <c r="H95" s="254"/>
      <c r="I95" s="1557"/>
    </row>
    <row r="96" spans="1:9" s="1362" customFormat="1" x14ac:dyDescent="0.25">
      <c r="A96" t="s">
        <v>13688</v>
      </c>
      <c r="B96" t="s">
        <v>13689</v>
      </c>
      <c r="C96" s="1445" t="s">
        <v>2695</v>
      </c>
      <c r="D96" s="254" t="e">
        <f t="shared" si="1"/>
        <v>#NUM!</v>
      </c>
      <c r="E96" s="254"/>
      <c r="F96" s="254"/>
      <c r="G96" s="254"/>
      <c r="H96" s="254"/>
      <c r="I96" s="1557"/>
    </row>
    <row r="97" spans="1:9" s="1362" customFormat="1" x14ac:dyDescent="0.25">
      <c r="A97" t="s">
        <v>13690</v>
      </c>
      <c r="B97" t="s">
        <v>13689</v>
      </c>
      <c r="C97" s="1445" t="s">
        <v>2695</v>
      </c>
      <c r="D97" s="254" t="e">
        <f t="shared" si="1"/>
        <v>#NUM!</v>
      </c>
      <c r="E97" s="254"/>
      <c r="F97" s="254"/>
      <c r="G97" s="254"/>
      <c r="H97" s="254"/>
      <c r="I97" s="1557"/>
    </row>
    <row r="98" spans="1:9" s="1362" customFormat="1" x14ac:dyDescent="0.25">
      <c r="A98" t="s">
        <v>13691</v>
      </c>
      <c r="B98"/>
      <c r="C98"/>
      <c r="D98" s="254" t="e">
        <f t="shared" si="0"/>
        <v>#NUM!</v>
      </c>
      <c r="E98"/>
      <c r="F98"/>
      <c r="G98"/>
      <c r="H98"/>
      <c r="I98" s="489"/>
    </row>
    <row r="99" spans="1:9" s="1362" customFormat="1" x14ac:dyDescent="0.25">
      <c r="A99"/>
      <c r="B99"/>
      <c r="C99"/>
      <c r="D99" s="254"/>
      <c r="E99"/>
      <c r="F99"/>
      <c r="G99"/>
      <c r="H99"/>
      <c r="I99" s="489"/>
    </row>
    <row r="100" spans="1:9" s="1362" customFormat="1" x14ac:dyDescent="0.25">
      <c r="A100" t="s">
        <v>13692</v>
      </c>
      <c r="B100" s="1558" t="s">
        <v>13693</v>
      </c>
      <c r="C100" s="1445" t="s">
        <v>2695</v>
      </c>
      <c r="D100" s="254"/>
      <c r="E100"/>
      <c r="F100"/>
      <c r="G100"/>
      <c r="H100"/>
      <c r="I100" s="489"/>
    </row>
    <row r="101" spans="1:9" s="1362" customFormat="1" x14ac:dyDescent="0.25">
      <c r="A101" t="s">
        <v>13694</v>
      </c>
      <c r="B101" s="1558" t="s">
        <v>13695</v>
      </c>
      <c r="C101" s="1445" t="s">
        <v>2695</v>
      </c>
      <c r="D101" s="254">
        <f>BET!X21</f>
        <v>291.75</v>
      </c>
      <c r="E101"/>
      <c r="F101"/>
      <c r="G101"/>
      <c r="H101"/>
      <c r="I101" s="489"/>
    </row>
    <row r="102" spans="1:9" s="1362" customFormat="1" x14ac:dyDescent="0.25">
      <c r="A102" t="s">
        <v>13696</v>
      </c>
      <c r="B102" s="1558" t="s">
        <v>13697</v>
      </c>
      <c r="C102" s="1445" t="s">
        <v>2695</v>
      </c>
      <c r="D102" s="254"/>
      <c r="E102"/>
      <c r="F102"/>
      <c r="G102"/>
      <c r="H102"/>
      <c r="I102" s="489"/>
    </row>
    <row r="103" spans="1:9" s="1362" customFormat="1" x14ac:dyDescent="0.25">
      <c r="A103" t="s">
        <v>13698</v>
      </c>
      <c r="B103" s="1558" t="s">
        <v>13699</v>
      </c>
      <c r="C103" s="1445" t="s">
        <v>2695</v>
      </c>
      <c r="D103" s="254"/>
      <c r="E103"/>
      <c r="F103"/>
      <c r="G103"/>
      <c r="H103"/>
      <c r="I103" s="489"/>
    </row>
    <row r="104" spans="1:9" s="1362" customFormat="1" x14ac:dyDescent="0.25">
      <c r="A104" t="s">
        <v>13700</v>
      </c>
      <c r="B104" s="1558" t="s">
        <v>13701</v>
      </c>
      <c r="C104" s="1445" t="s">
        <v>2695</v>
      </c>
      <c r="D104" s="254">
        <f>BET!X22</f>
        <v>291.75</v>
      </c>
      <c r="E104"/>
      <c r="F104"/>
      <c r="G104"/>
      <c r="H104"/>
      <c r="I104" s="489"/>
    </row>
    <row r="105" spans="1:9" s="1362" customFormat="1" x14ac:dyDescent="0.25">
      <c r="A105" t="s">
        <v>13702</v>
      </c>
      <c r="B105" s="1558" t="s">
        <v>13703</v>
      </c>
      <c r="C105" s="1445" t="s">
        <v>2695</v>
      </c>
      <c r="D105" s="254">
        <f>BET!X23</f>
        <v>291.75</v>
      </c>
      <c r="E105"/>
      <c r="F105"/>
      <c r="G105"/>
      <c r="H105"/>
      <c r="I105" s="489"/>
    </row>
    <row r="106" spans="1:9" s="1362" customFormat="1" x14ac:dyDescent="0.25">
      <c r="A106" t="s">
        <v>13704</v>
      </c>
      <c r="B106" s="1558" t="s">
        <v>13705</v>
      </c>
      <c r="C106" s="1445" t="s">
        <v>2695</v>
      </c>
      <c r="D106" s="1559"/>
      <c r="E106"/>
      <c r="F106"/>
      <c r="G106"/>
      <c r="H106"/>
      <c r="I106" s="489"/>
    </row>
    <row r="107" spans="1:9" s="1362" customFormat="1" x14ac:dyDescent="0.25">
      <c r="A107" t="s">
        <v>13706</v>
      </c>
      <c r="B107" s="1558" t="s">
        <v>13707</v>
      </c>
      <c r="C107" s="1445" t="s">
        <v>2695</v>
      </c>
      <c r="D107" s="1559"/>
      <c r="E107"/>
      <c r="F107"/>
      <c r="G107"/>
      <c r="H107"/>
      <c r="I107" s="489"/>
    </row>
    <row r="108" spans="1:9" x14ac:dyDescent="0.25">
      <c r="A108" t="s">
        <v>13708</v>
      </c>
      <c r="B108" s="1558" t="s">
        <v>13709</v>
      </c>
      <c r="C108" s="1445" t="s">
        <v>2695</v>
      </c>
      <c r="D108" s="254"/>
      <c r="E108"/>
      <c r="F108"/>
      <c r="G108"/>
      <c r="H108"/>
      <c r="I108" s="489"/>
    </row>
    <row r="109" spans="1:9" x14ac:dyDescent="0.25">
      <c r="A109" t="s">
        <v>13710</v>
      </c>
      <c r="B109" s="1558" t="s">
        <v>13711</v>
      </c>
      <c r="C109" s="1445" t="s">
        <v>2695</v>
      </c>
      <c r="D109" s="254">
        <f>BET!X24</f>
        <v>291.75</v>
      </c>
      <c r="E109"/>
      <c r="F109"/>
      <c r="G109"/>
      <c r="H109"/>
      <c r="I109" s="489"/>
    </row>
    <row r="110" spans="1:9" x14ac:dyDescent="0.25">
      <c r="A110" t="s">
        <v>13712</v>
      </c>
      <c r="B110" s="1558" t="s">
        <v>13713</v>
      </c>
      <c r="C110" s="1445" t="s">
        <v>2695</v>
      </c>
      <c r="D110" s="254"/>
      <c r="E110"/>
      <c r="F110"/>
      <c r="G110"/>
      <c r="H110"/>
      <c r="I110" s="489"/>
    </row>
    <row r="111" spans="1:9" s="1362" customFormat="1" x14ac:dyDescent="0.25">
      <c r="A111"/>
      <c r="B111"/>
      <c r="C111"/>
      <c r="D111" s="254"/>
      <c r="E111"/>
      <c r="F111"/>
      <c r="G111"/>
      <c r="H111"/>
      <c r="I111" s="489"/>
    </row>
    <row r="112" spans="1:9" s="1362" customFormat="1" x14ac:dyDescent="0.25">
      <c r="A112"/>
      <c r="B112"/>
      <c r="C112"/>
      <c r="D112" s="254"/>
      <c r="E112"/>
      <c r="F112"/>
      <c r="G112"/>
      <c r="H112"/>
      <c r="I112" s="489"/>
    </row>
    <row r="113" spans="1:9" s="1362" customFormat="1" x14ac:dyDescent="0.25">
      <c r="A113" t="s">
        <v>13714</v>
      </c>
      <c r="B113" s="1558" t="s">
        <v>13715</v>
      </c>
      <c r="C113" t="s">
        <v>2695</v>
      </c>
      <c r="D113" s="254"/>
      <c r="E113">
        <v>4.6635740019521696</v>
      </c>
      <c r="F113"/>
      <c r="G113"/>
      <c r="H113"/>
      <c r="I113" s="489"/>
    </row>
    <row r="114" spans="1:9" s="1362" customFormat="1" x14ac:dyDescent="0.25">
      <c r="A114" t="s">
        <v>6480</v>
      </c>
      <c r="B114" s="1558" t="s">
        <v>7232</v>
      </c>
      <c r="C114" t="s">
        <v>2695</v>
      </c>
      <c r="D114" s="254">
        <f>BET!W21</f>
        <v>4712.2299999999996</v>
      </c>
      <c r="E114">
        <v>4.4766236114729798</v>
      </c>
      <c r="F114"/>
      <c r="G114"/>
      <c r="H114"/>
      <c r="I114" s="489"/>
    </row>
    <row r="115" spans="1:9" s="1362" customFormat="1" x14ac:dyDescent="0.25">
      <c r="A115" t="s">
        <v>13716</v>
      </c>
      <c r="B115" s="1558" t="s">
        <v>13717</v>
      </c>
      <c r="C115" t="s">
        <v>2695</v>
      </c>
      <c r="D115" s="254"/>
      <c r="E115">
        <v>4.8228416910534202</v>
      </c>
      <c r="F115"/>
      <c r="G115"/>
      <c r="H115"/>
      <c r="I115" s="489"/>
    </row>
    <row r="116" spans="1:9" s="1362" customFormat="1" x14ac:dyDescent="0.25">
      <c r="A116" t="s">
        <v>13718</v>
      </c>
      <c r="B116" s="1558" t="s">
        <v>13719</v>
      </c>
      <c r="C116" t="s">
        <v>2695</v>
      </c>
      <c r="D116" s="254"/>
      <c r="E116">
        <v>4.5973336639490601</v>
      </c>
      <c r="F116"/>
      <c r="G116"/>
      <c r="H116"/>
      <c r="I116" s="489"/>
    </row>
    <row r="117" spans="1:9" s="1362" customFormat="1" x14ac:dyDescent="0.25">
      <c r="A117" t="s">
        <v>6039</v>
      </c>
      <c r="B117" s="1558" t="s">
        <v>7233</v>
      </c>
      <c r="C117" t="s">
        <v>2695</v>
      </c>
      <c r="D117" s="254">
        <f>BET!W22</f>
        <v>4568.07</v>
      </c>
      <c r="E117">
        <v>3.79150221717848</v>
      </c>
      <c r="F117"/>
      <c r="G117"/>
      <c r="H117"/>
      <c r="I117" s="489"/>
    </row>
    <row r="118" spans="1:9" s="1362" customFormat="1" x14ac:dyDescent="0.25">
      <c r="A118" t="s">
        <v>3176</v>
      </c>
      <c r="B118" s="1558" t="s">
        <v>7234</v>
      </c>
      <c r="C118" t="s">
        <v>2695</v>
      </c>
      <c r="D118" s="254">
        <f>BET!W23</f>
        <v>3625.95</v>
      </c>
      <c r="E118">
        <v>3.0095351128383299</v>
      </c>
      <c r="F118"/>
      <c r="G118"/>
      <c r="H118"/>
      <c r="I118" s="489"/>
    </row>
    <row r="119" spans="1:9" s="1362" customFormat="1" x14ac:dyDescent="0.25">
      <c r="A119" t="s">
        <v>7155</v>
      </c>
      <c r="B119" s="1558" t="s">
        <v>13720</v>
      </c>
      <c r="C119" t="s">
        <v>2695</v>
      </c>
      <c r="D119" s="254"/>
      <c r="E119">
        <v>3.77281287929749</v>
      </c>
      <c r="F119"/>
      <c r="G119"/>
      <c r="H119"/>
      <c r="I119" s="489"/>
    </row>
    <row r="120" spans="1:9" s="1362" customFormat="1" x14ac:dyDescent="0.25">
      <c r="A120" t="s">
        <v>7156</v>
      </c>
      <c r="B120" s="1558" t="s">
        <v>7235</v>
      </c>
      <c r="C120" t="s">
        <v>2695</v>
      </c>
      <c r="D120" s="254"/>
      <c r="E120">
        <v>2.9861973590408599</v>
      </c>
      <c r="F120"/>
      <c r="G120"/>
      <c r="H120"/>
      <c r="I120" s="489"/>
    </row>
    <row r="121" spans="1:9" s="1362" customFormat="1" x14ac:dyDescent="0.25">
      <c r="A121" t="s">
        <v>13721</v>
      </c>
      <c r="B121" s="1558" t="s">
        <v>7236</v>
      </c>
      <c r="C121" t="s">
        <v>2695</v>
      </c>
      <c r="D121" s="254"/>
      <c r="E121">
        <v>3.1436366715450599</v>
      </c>
      <c r="F121"/>
      <c r="G121"/>
      <c r="H121"/>
      <c r="I121" s="489"/>
    </row>
    <row r="122" spans="1:9" s="1362" customFormat="1" x14ac:dyDescent="0.25">
      <c r="A122" t="s">
        <v>6481</v>
      </c>
      <c r="B122" s="1558" t="s">
        <v>7237</v>
      </c>
      <c r="C122" t="s">
        <v>2695</v>
      </c>
      <c r="D122" s="254">
        <f>BET!W24</f>
        <v>3291.71</v>
      </c>
      <c r="E122">
        <v>2.7321216744933299</v>
      </c>
      <c r="F122"/>
      <c r="G122"/>
      <c r="H122"/>
      <c r="I122" s="489"/>
    </row>
    <row r="123" spans="1:9" s="1362" customFormat="1" x14ac:dyDescent="0.25">
      <c r="A123" t="s">
        <v>6482</v>
      </c>
      <c r="B123" s="1558" t="s">
        <v>13722</v>
      </c>
      <c r="C123" t="s">
        <v>2695</v>
      </c>
      <c r="D123" s="1560"/>
      <c r="E123">
        <v>3.0826038576627601</v>
      </c>
      <c r="F123"/>
      <c r="G123"/>
      <c r="H123"/>
      <c r="I123" s="489"/>
    </row>
    <row r="124" spans="1:9" x14ac:dyDescent="0.25">
      <c r="A124" s="1360"/>
      <c r="B124" s="1561"/>
      <c r="C124" s="1362"/>
      <c r="F124" s="1090"/>
      <c r="G124" s="1362"/>
      <c r="H124" s="1362"/>
      <c r="I124" s="1362"/>
    </row>
    <row r="125" spans="1:9" ht="15.75" customHeight="1" x14ac:dyDescent="0.25">
      <c r="A125" s="1360"/>
      <c r="B125" s="1561"/>
      <c r="C125" s="1362"/>
      <c r="F125" s="1090"/>
      <c r="G125" s="1362"/>
      <c r="H125" s="1362"/>
      <c r="I125" s="1362"/>
    </row>
    <row r="126" spans="1:9" x14ac:dyDescent="0.25">
      <c r="A126" s="515"/>
      <c r="B126" s="589"/>
      <c r="C126" s="1562"/>
      <c r="D126" s="592"/>
      <c r="E126" s="1563"/>
      <c r="F126" s="1562"/>
      <c r="G126" s="1562"/>
      <c r="H126" s="1562"/>
      <c r="I126" s="1562"/>
    </row>
    <row r="127" spans="1:9" x14ac:dyDescent="0.25">
      <c r="A127" s="515" t="s">
        <v>6435</v>
      </c>
      <c r="B127" s="1564" t="s">
        <v>6437</v>
      </c>
      <c r="C127" s="1562" t="s">
        <v>149</v>
      </c>
      <c r="D127" s="1565">
        <f>VLOOKUP(F127,A8288:E8809,4,0)</f>
        <v>7.66</v>
      </c>
      <c r="E127" s="1566"/>
      <c r="F127" s="1562" t="s">
        <v>6395</v>
      </c>
      <c r="G127" s="1562"/>
      <c r="H127" s="1562"/>
      <c r="I127" s="1562"/>
    </row>
    <row r="128" spans="1:9" x14ac:dyDescent="0.25">
      <c r="A128" s="515" t="s">
        <v>6436</v>
      </c>
      <c r="B128" s="1564" t="s">
        <v>6438</v>
      </c>
      <c r="C128" s="1562" t="s">
        <v>149</v>
      </c>
      <c r="D128" s="1565">
        <f>VLOOKUP(F128,A8288:E8809,5,0)</f>
        <v>0.81</v>
      </c>
      <c r="E128" s="1566"/>
      <c r="F128" s="1562" t="s">
        <v>6395</v>
      </c>
      <c r="G128" s="1562"/>
      <c r="H128" s="1562"/>
      <c r="I128" s="1562"/>
    </row>
    <row r="129" spans="1:13" x14ac:dyDescent="0.25">
      <c r="A129" s="515" t="s">
        <v>6410</v>
      </c>
      <c r="B129" s="1564" t="s">
        <v>6411</v>
      </c>
      <c r="C129" s="1562" t="s">
        <v>149</v>
      </c>
      <c r="D129" s="1565">
        <f>VLOOKUP(F129,A8290:E8811,4,0)</f>
        <v>300.83999999999997</v>
      </c>
      <c r="E129" s="1566"/>
      <c r="F129" s="1562" t="s">
        <v>13723</v>
      </c>
      <c r="G129" s="1562"/>
      <c r="H129" s="1562"/>
      <c r="I129" s="1562"/>
    </row>
    <row r="130" spans="1:13" x14ac:dyDescent="0.25">
      <c r="A130" s="515" t="s">
        <v>6413</v>
      </c>
      <c r="B130" s="1564" t="s">
        <v>6412</v>
      </c>
      <c r="C130" s="1562" t="s">
        <v>149</v>
      </c>
      <c r="D130" s="1565">
        <f>VLOOKUP(F130,A8290:E8811,5,0)</f>
        <v>72.34</v>
      </c>
      <c r="E130" s="1566"/>
      <c r="F130" s="1562" t="s">
        <v>13723</v>
      </c>
      <c r="G130" s="1562"/>
      <c r="H130" s="1562"/>
      <c r="I130" s="1562"/>
    </row>
    <row r="131" spans="1:13" x14ac:dyDescent="0.25">
      <c r="A131" s="515" t="s">
        <v>6421</v>
      </c>
      <c r="B131" s="1564" t="s">
        <v>6423</v>
      </c>
      <c r="C131" s="1562" t="s">
        <v>149</v>
      </c>
      <c r="D131" s="1565">
        <f>VLOOKUP(F131,A8292:E8813,4,0)</f>
        <v>339.73</v>
      </c>
      <c r="E131" s="1566"/>
      <c r="F131" s="1562" t="s">
        <v>13724</v>
      </c>
      <c r="G131" s="1562"/>
      <c r="H131" s="1562"/>
      <c r="I131" s="1562"/>
    </row>
    <row r="132" spans="1:13" x14ac:dyDescent="0.25">
      <c r="A132" s="515" t="s">
        <v>6422</v>
      </c>
      <c r="B132" s="1564" t="s">
        <v>6424</v>
      </c>
      <c r="C132" s="1562" t="s">
        <v>149</v>
      </c>
      <c r="D132" s="1565">
        <f>VLOOKUP(F132,A8292:E8813,5,0)</f>
        <v>108.53</v>
      </c>
      <c r="E132" s="1566"/>
      <c r="F132" s="1562" t="s">
        <v>13724</v>
      </c>
      <c r="G132" s="1562"/>
      <c r="H132" s="1562"/>
      <c r="I132" s="1562"/>
    </row>
    <row r="133" spans="1:13" x14ac:dyDescent="0.25">
      <c r="A133" s="515" t="s">
        <v>6429</v>
      </c>
      <c r="B133" s="1564" t="s">
        <v>6431</v>
      </c>
      <c r="C133" s="1562" t="s">
        <v>149</v>
      </c>
      <c r="D133" s="1565">
        <f>VLOOKUP(F133,A8294:E8827,4,0)</f>
        <v>163.31</v>
      </c>
      <c r="E133" s="1566"/>
      <c r="F133" s="1562" t="s">
        <v>13725</v>
      </c>
      <c r="G133" s="1562"/>
      <c r="H133" s="1562"/>
      <c r="I133" s="1562"/>
    </row>
    <row r="134" spans="1:13" x14ac:dyDescent="0.25">
      <c r="A134" s="515" t="s">
        <v>6430</v>
      </c>
      <c r="B134" s="1564" t="s">
        <v>6432</v>
      </c>
      <c r="C134" s="1562" t="s">
        <v>149</v>
      </c>
      <c r="D134" s="1565">
        <f>VLOOKUP(F134,A8294:E8827,5,0)</f>
        <v>74.73</v>
      </c>
      <c r="E134" s="1566"/>
      <c r="F134" s="1562" t="s">
        <v>13725</v>
      </c>
      <c r="G134" s="1562"/>
      <c r="H134" s="1562"/>
      <c r="I134" s="1562"/>
    </row>
    <row r="135" spans="1:13" s="1093" customFormat="1" x14ac:dyDescent="0.25">
      <c r="A135" s="515" t="s">
        <v>6458</v>
      </c>
      <c r="B135" s="1564" t="s">
        <v>6460</v>
      </c>
      <c r="C135" s="1562" t="s">
        <v>149</v>
      </c>
      <c r="D135" s="1565">
        <f>VLOOKUP(F135,A8296:E8829,4,0)</f>
        <v>159.11000000000001</v>
      </c>
      <c r="E135" s="1566"/>
      <c r="F135" s="1562" t="s">
        <v>13726</v>
      </c>
      <c r="G135" s="1562"/>
      <c r="H135" s="1562"/>
      <c r="I135" s="1562"/>
    </row>
    <row r="136" spans="1:13" x14ac:dyDescent="0.25">
      <c r="A136" s="515" t="s">
        <v>6459</v>
      </c>
      <c r="B136" s="1564" t="s">
        <v>6461</v>
      </c>
      <c r="C136" s="1562" t="s">
        <v>149</v>
      </c>
      <c r="D136" s="1565">
        <f>VLOOKUP(F136,A8296:E8829,5,0)</f>
        <v>52.72</v>
      </c>
      <c r="E136" s="1566"/>
      <c r="F136" s="1562" t="s">
        <v>13726</v>
      </c>
      <c r="G136" s="1562"/>
      <c r="H136" s="1562"/>
      <c r="I136" s="1562"/>
    </row>
    <row r="137" spans="1:13" x14ac:dyDescent="0.25">
      <c r="A137" s="1360" t="s">
        <v>13727</v>
      </c>
      <c r="B137" s="1361" t="s">
        <v>13728</v>
      </c>
      <c r="C137" s="1362" t="s">
        <v>149</v>
      </c>
      <c r="D137" s="1565">
        <f t="shared" ref="D137" si="2">VLOOKUP(F137,A8298:E8819,4,0)</f>
        <v>426.39</v>
      </c>
      <c r="E137" s="1566"/>
      <c r="F137" s="1562" t="s">
        <v>13729</v>
      </c>
      <c r="G137" s="1562"/>
      <c r="H137" s="1562"/>
      <c r="I137" s="1562"/>
      <c r="J137" s="1095"/>
      <c r="K137" s="1095"/>
      <c r="L137" s="1095"/>
      <c r="M137" s="1095"/>
    </row>
    <row r="138" spans="1:13" x14ac:dyDescent="0.25">
      <c r="A138" s="1360" t="s">
        <v>13730</v>
      </c>
      <c r="B138" s="1361" t="s">
        <v>13731</v>
      </c>
      <c r="C138" s="1362" t="s">
        <v>149</v>
      </c>
      <c r="D138" s="1565">
        <f t="shared" ref="D138" si="3">VLOOKUP(F138,A8298:E8819,5,0)</f>
        <v>202.61</v>
      </c>
      <c r="E138" s="1566"/>
      <c r="F138" s="1562" t="s">
        <v>13729</v>
      </c>
      <c r="G138" s="1562"/>
      <c r="H138" s="1562"/>
      <c r="I138" s="1562"/>
      <c r="J138" s="1095"/>
      <c r="K138" s="1095"/>
      <c r="L138" s="1095"/>
      <c r="M138" s="1095"/>
    </row>
    <row r="139" spans="1:13" x14ac:dyDescent="0.25">
      <c r="A139" s="1360" t="s">
        <v>13732</v>
      </c>
      <c r="B139" s="1361" t="s">
        <v>13733</v>
      </c>
      <c r="C139" s="1362" t="s">
        <v>149</v>
      </c>
      <c r="D139" s="1565">
        <f t="shared" ref="D139" si="4">VLOOKUP(F139,A8300:E8821,4,0)</f>
        <v>37.92</v>
      </c>
      <c r="E139" s="1566"/>
      <c r="F139" s="1562" t="s">
        <v>13734</v>
      </c>
      <c r="G139" s="1562"/>
      <c r="H139" s="1562"/>
      <c r="I139" s="1562"/>
      <c r="J139" s="1095"/>
      <c r="K139" s="1095"/>
      <c r="L139" s="1095"/>
      <c r="M139" s="1095"/>
    </row>
    <row r="140" spans="1:13" x14ac:dyDescent="0.25">
      <c r="A140" s="1360" t="s">
        <v>13735</v>
      </c>
      <c r="B140" s="1361" t="s">
        <v>13736</v>
      </c>
      <c r="C140" s="1362" t="s">
        <v>149</v>
      </c>
      <c r="D140" s="1565">
        <f t="shared" ref="D140" si="5">VLOOKUP(F140,A8300:E8821,5,0)</f>
        <v>5.7</v>
      </c>
      <c r="E140" s="1566"/>
      <c r="F140" s="1562" t="s">
        <v>13734</v>
      </c>
      <c r="G140" s="1562"/>
      <c r="H140" s="1562"/>
      <c r="I140" s="1562"/>
      <c r="J140" s="1095"/>
      <c r="K140" s="1095"/>
      <c r="L140" s="1095"/>
      <c r="M140" s="1095"/>
    </row>
    <row r="141" spans="1:13" x14ac:dyDescent="0.25">
      <c r="A141" s="1360" t="s">
        <v>13737</v>
      </c>
      <c r="B141" s="1361" t="s">
        <v>13738</v>
      </c>
      <c r="C141" s="1362" t="s">
        <v>149</v>
      </c>
      <c r="D141" s="1565">
        <f>VLOOKUP(F141,A8302:E8823,4,0)</f>
        <v>194.4</v>
      </c>
      <c r="E141" s="1566"/>
      <c r="F141" s="1562" t="s">
        <v>13739</v>
      </c>
      <c r="G141" s="1562"/>
      <c r="H141" s="1562"/>
      <c r="I141" s="1562"/>
      <c r="J141" s="1095"/>
      <c r="K141" s="1095"/>
      <c r="L141" s="1095"/>
      <c r="M141" s="1095"/>
    </row>
    <row r="142" spans="1:13" x14ac:dyDescent="0.25">
      <c r="A142" s="1360" t="s">
        <v>13740</v>
      </c>
      <c r="B142" s="1361" t="s">
        <v>13741</v>
      </c>
      <c r="C142" s="1362" t="s">
        <v>149</v>
      </c>
      <c r="D142" s="1565">
        <f>VLOOKUP(F142,A8302:E8823,5,0)</f>
        <v>63.24</v>
      </c>
      <c r="E142" s="1566"/>
      <c r="F142" s="1562" t="s">
        <v>13739</v>
      </c>
      <c r="G142" s="1562"/>
      <c r="H142" s="1562"/>
      <c r="I142" s="1562"/>
      <c r="J142" s="1095"/>
      <c r="K142" s="1095"/>
      <c r="L142" s="1095"/>
      <c r="M142" s="1095"/>
    </row>
    <row r="143" spans="1:13" x14ac:dyDescent="0.25">
      <c r="A143" s="515" t="s">
        <v>6421</v>
      </c>
      <c r="B143" s="1564" t="s">
        <v>13742</v>
      </c>
      <c r="C143" s="1362" t="s">
        <v>149</v>
      </c>
      <c r="D143" s="1565">
        <f>VLOOKUP(F143,A8304:E8825,4,0)</f>
        <v>339.73</v>
      </c>
      <c r="E143" s="1566"/>
      <c r="F143" s="515" t="s">
        <v>13724</v>
      </c>
      <c r="G143" s="1562"/>
      <c r="H143" s="1562"/>
      <c r="I143" s="1562"/>
      <c r="J143" s="1095"/>
      <c r="K143" s="1095"/>
      <c r="L143" s="1095"/>
      <c r="M143" s="1095"/>
    </row>
    <row r="144" spans="1:13" x14ac:dyDescent="0.25">
      <c r="A144" s="515" t="s">
        <v>6422</v>
      </c>
      <c r="B144" s="1564" t="s">
        <v>13743</v>
      </c>
      <c r="C144" s="1362" t="s">
        <v>149</v>
      </c>
      <c r="D144" s="1565">
        <f>VLOOKUP(F144,A8304:E8825,5,0)</f>
        <v>108.53</v>
      </c>
      <c r="E144" s="1566"/>
      <c r="F144" s="1562" t="str">
        <f>F143</f>
        <v>E9686</v>
      </c>
      <c r="G144" s="1562"/>
      <c r="H144" s="1562"/>
      <c r="I144" s="1562"/>
      <c r="J144" s="1095"/>
      <c r="K144" s="1095"/>
      <c r="L144" s="1095"/>
      <c r="M144" s="1095"/>
    </row>
    <row r="145" spans="1:13" ht="25.5" x14ac:dyDescent="0.25">
      <c r="A145" s="515" t="s">
        <v>13744</v>
      </c>
      <c r="B145" s="1564" t="s">
        <v>13745</v>
      </c>
      <c r="C145" s="1562" t="s">
        <v>149</v>
      </c>
      <c r="D145" s="1565">
        <f>VLOOKUP(F145,A8306:E8827,4,0)</f>
        <v>379.14</v>
      </c>
      <c r="E145" s="1566"/>
      <c r="F145" s="1562" t="s">
        <v>13746</v>
      </c>
      <c r="G145" s="1562"/>
      <c r="H145" s="1562"/>
      <c r="I145" s="1562"/>
      <c r="J145" s="1095"/>
      <c r="K145" s="1095"/>
      <c r="L145" s="1095"/>
      <c r="M145" s="1095"/>
    </row>
    <row r="146" spans="1:13" ht="25.5" x14ac:dyDescent="0.25">
      <c r="A146" s="515" t="s">
        <v>13747</v>
      </c>
      <c r="B146" s="1564" t="s">
        <v>13748</v>
      </c>
      <c r="C146" s="1362" t="s">
        <v>149</v>
      </c>
      <c r="D146" s="1565">
        <f>VLOOKUP(F146,A8306:E8827,5,0)</f>
        <v>139.83000000000001</v>
      </c>
      <c r="E146"/>
      <c r="F146" t="s">
        <v>13746</v>
      </c>
      <c r="G146"/>
      <c r="H146"/>
      <c r="I146" s="489"/>
      <c r="J146" s="1095"/>
      <c r="K146" s="1095"/>
      <c r="L146" s="1095"/>
      <c r="M146" s="1095"/>
    </row>
    <row r="147" spans="1:13" x14ac:dyDescent="0.25">
      <c r="A147"/>
      <c r="B147"/>
      <c r="C147"/>
      <c r="D147" s="254"/>
      <c r="E147"/>
      <c r="F147"/>
      <c r="G147"/>
      <c r="H147"/>
      <c r="I147" s="489"/>
      <c r="J147" s="1095"/>
      <c r="K147" s="1095"/>
      <c r="L147" s="1095"/>
      <c r="M147" s="1095"/>
    </row>
    <row r="148" spans="1:13" x14ac:dyDescent="0.25">
      <c r="A148"/>
      <c r="B148"/>
      <c r="C148"/>
      <c r="D148" s="254"/>
      <c r="E148"/>
      <c r="F148"/>
      <c r="G148"/>
      <c r="H148"/>
      <c r="I148" s="489"/>
      <c r="J148" s="1095"/>
      <c r="K148" s="1095"/>
      <c r="L148" s="1095"/>
      <c r="M148" s="1095"/>
    </row>
    <row r="149" spans="1:13" x14ac:dyDescent="0.25">
      <c r="A149">
        <v>307731</v>
      </c>
      <c r="B149" t="s">
        <v>7524</v>
      </c>
      <c r="C149" t="s">
        <v>7525</v>
      </c>
      <c r="D149" s="254">
        <v>110.86</v>
      </c>
      <c r="E149"/>
      <c r="F149"/>
      <c r="G149"/>
      <c r="H149"/>
      <c r="I149" s="489"/>
      <c r="J149" s="1095"/>
      <c r="K149" s="1095"/>
      <c r="L149" s="1095"/>
      <c r="M149" s="1095"/>
    </row>
    <row r="150" spans="1:13" x14ac:dyDescent="0.25">
      <c r="A150">
        <v>307732</v>
      </c>
      <c r="B150" t="s">
        <v>7526</v>
      </c>
      <c r="C150" t="s">
        <v>7525</v>
      </c>
      <c r="D150" s="254">
        <v>87.2</v>
      </c>
      <c r="E150"/>
      <c r="F150"/>
      <c r="G150"/>
      <c r="H150"/>
      <c r="I150" s="489"/>
      <c r="J150" s="1095"/>
      <c r="K150" s="1095"/>
      <c r="L150" s="1095"/>
      <c r="M150" s="1095"/>
    </row>
    <row r="151" spans="1:13" x14ac:dyDescent="0.25">
      <c r="A151">
        <v>308308</v>
      </c>
      <c r="B151" t="s">
        <v>7527</v>
      </c>
      <c r="C151" t="s">
        <v>2640</v>
      </c>
      <c r="D151" s="254">
        <v>15268.78</v>
      </c>
      <c r="E151"/>
      <c r="F151"/>
      <c r="G151"/>
      <c r="H151"/>
      <c r="I151" s="489"/>
      <c r="J151" s="1095"/>
      <c r="K151" s="1095"/>
      <c r="L151" s="1095"/>
      <c r="M151" s="1095"/>
    </row>
    <row r="152" spans="1:13" x14ac:dyDescent="0.25">
      <c r="A152">
        <v>308313</v>
      </c>
      <c r="B152" t="s">
        <v>7528</v>
      </c>
      <c r="C152" t="s">
        <v>2640</v>
      </c>
      <c r="D152" s="254">
        <v>100296.01</v>
      </c>
      <c r="E152"/>
      <c r="F152"/>
      <c r="G152"/>
      <c r="H152"/>
      <c r="I152" s="489"/>
      <c r="J152" s="1095"/>
      <c r="K152" s="1095"/>
      <c r="L152" s="1095"/>
      <c r="M152" s="1095"/>
    </row>
    <row r="153" spans="1:13" x14ac:dyDescent="0.25">
      <c r="A153">
        <v>308309</v>
      </c>
      <c r="B153" t="s">
        <v>7529</v>
      </c>
      <c r="C153" t="s">
        <v>2640</v>
      </c>
      <c r="D153" s="254">
        <v>24971.16</v>
      </c>
      <c r="E153"/>
      <c r="F153"/>
      <c r="G153"/>
      <c r="H153"/>
      <c r="I153" s="489"/>
      <c r="J153" s="1095"/>
      <c r="K153" s="1095"/>
      <c r="L153" s="1095"/>
      <c r="M153" s="1095"/>
    </row>
    <row r="154" spans="1:13" x14ac:dyDescent="0.25">
      <c r="A154">
        <v>308310</v>
      </c>
      <c r="B154" t="s">
        <v>7530</v>
      </c>
      <c r="C154" t="s">
        <v>2640</v>
      </c>
      <c r="D154" s="254">
        <v>40254.28</v>
      </c>
      <c r="E154"/>
      <c r="F154"/>
      <c r="G154"/>
      <c r="H154"/>
      <c r="I154" s="489"/>
      <c r="J154" s="1095"/>
      <c r="K154" s="1095"/>
      <c r="L154" s="1095"/>
      <c r="M154" s="1095"/>
    </row>
    <row r="155" spans="1:13" x14ac:dyDescent="0.25">
      <c r="A155">
        <v>308311</v>
      </c>
      <c r="B155" t="s">
        <v>7531</v>
      </c>
      <c r="C155" t="s">
        <v>2640</v>
      </c>
      <c r="D155" s="254">
        <v>54036.89</v>
      </c>
      <c r="E155"/>
      <c r="F155"/>
      <c r="G155"/>
      <c r="H155"/>
      <c r="I155" s="489"/>
      <c r="J155" s="1095"/>
      <c r="K155" s="1095"/>
      <c r="L155" s="1095"/>
      <c r="M155" s="1095"/>
    </row>
    <row r="156" spans="1:13" x14ac:dyDescent="0.25">
      <c r="A156">
        <v>308312</v>
      </c>
      <c r="B156" t="s">
        <v>7532</v>
      </c>
      <c r="C156" t="s">
        <v>2640</v>
      </c>
      <c r="D156" s="254">
        <v>74142.600000000006</v>
      </c>
      <c r="E156"/>
      <c r="F156"/>
      <c r="G156"/>
      <c r="H156"/>
      <c r="I156" s="489"/>
      <c r="J156" s="1095"/>
      <c r="K156" s="1095"/>
      <c r="L156" s="1095"/>
      <c r="M156" s="1095"/>
    </row>
    <row r="157" spans="1:13" x14ac:dyDescent="0.25">
      <c r="A157">
        <v>308307</v>
      </c>
      <c r="B157" t="s">
        <v>7533</v>
      </c>
      <c r="C157" t="s">
        <v>2640</v>
      </c>
      <c r="D157" s="254">
        <v>10204.31</v>
      </c>
      <c r="E157"/>
      <c r="F157"/>
      <c r="G157"/>
      <c r="H157"/>
      <c r="I157" s="489"/>
      <c r="J157" s="1095"/>
      <c r="K157" s="1095"/>
      <c r="L157" s="1095"/>
      <c r="M157" s="1095"/>
    </row>
    <row r="158" spans="1:13" x14ac:dyDescent="0.25">
      <c r="A158">
        <v>308322</v>
      </c>
      <c r="B158" t="s">
        <v>7534</v>
      </c>
      <c r="C158" t="s">
        <v>2640</v>
      </c>
      <c r="D158" s="254">
        <v>8209.1</v>
      </c>
      <c r="E158"/>
      <c r="F158"/>
      <c r="G158"/>
      <c r="H158"/>
      <c r="I158" s="489"/>
      <c r="J158" s="1095"/>
      <c r="K158" s="1095"/>
      <c r="L158" s="1095"/>
      <c r="M158" s="1095"/>
    </row>
    <row r="159" spans="1:13" x14ac:dyDescent="0.25">
      <c r="A159">
        <v>308327</v>
      </c>
      <c r="B159" t="s">
        <v>7535</v>
      </c>
      <c r="C159" t="s">
        <v>2640</v>
      </c>
      <c r="D159" s="254">
        <v>49431.7</v>
      </c>
      <c r="E159"/>
      <c r="F159"/>
      <c r="G159"/>
      <c r="H159"/>
      <c r="I159" s="489"/>
      <c r="J159" s="1095"/>
      <c r="K159" s="1095"/>
      <c r="L159" s="1095"/>
      <c r="M159" s="1095"/>
    </row>
    <row r="160" spans="1:13" x14ac:dyDescent="0.25">
      <c r="A160">
        <v>308323</v>
      </c>
      <c r="B160" t="s">
        <v>7536</v>
      </c>
      <c r="C160" t="s">
        <v>2640</v>
      </c>
      <c r="D160" s="254">
        <v>12660.52</v>
      </c>
      <c r="E160"/>
      <c r="F160"/>
      <c r="G160"/>
      <c r="H160"/>
      <c r="I160" s="489"/>
      <c r="J160" s="1095"/>
      <c r="K160" s="1095"/>
      <c r="L160" s="1095"/>
      <c r="M160" s="1095"/>
    </row>
    <row r="161" spans="1:13" x14ac:dyDescent="0.25">
      <c r="A161">
        <v>308324</v>
      </c>
      <c r="B161" t="s">
        <v>7537</v>
      </c>
      <c r="C161" t="s">
        <v>2640</v>
      </c>
      <c r="D161" s="254">
        <v>20972.87</v>
      </c>
      <c r="E161"/>
      <c r="F161"/>
      <c r="G161"/>
      <c r="H161"/>
      <c r="I161" s="489"/>
      <c r="J161" s="1095"/>
      <c r="K161" s="1095"/>
      <c r="L161" s="1095"/>
      <c r="M161" s="1095"/>
    </row>
    <row r="162" spans="1:13" x14ac:dyDescent="0.25">
      <c r="A162">
        <v>308325</v>
      </c>
      <c r="B162" t="s">
        <v>7538</v>
      </c>
      <c r="C162" t="s">
        <v>2640</v>
      </c>
      <c r="D162" s="254">
        <v>29434.47</v>
      </c>
      <c r="E162"/>
      <c r="F162"/>
      <c r="G162"/>
      <c r="H162"/>
      <c r="I162" s="489"/>
      <c r="J162" s="1095"/>
      <c r="K162" s="1095"/>
      <c r="L162" s="1095"/>
      <c r="M162" s="1095"/>
    </row>
    <row r="163" spans="1:13" x14ac:dyDescent="0.25">
      <c r="A163">
        <v>308326</v>
      </c>
      <c r="B163" t="s">
        <v>7539</v>
      </c>
      <c r="C163" t="s">
        <v>2640</v>
      </c>
      <c r="D163" s="254">
        <v>35702.79</v>
      </c>
      <c r="E163"/>
      <c r="F163"/>
      <c r="G163"/>
      <c r="H163"/>
      <c r="I163" s="489"/>
      <c r="J163" s="1095"/>
      <c r="K163" s="1095"/>
      <c r="L163" s="1095"/>
      <c r="M163" s="1095"/>
    </row>
    <row r="164" spans="1:13" x14ac:dyDescent="0.25">
      <c r="A164">
        <v>308321</v>
      </c>
      <c r="B164" t="s">
        <v>7540</v>
      </c>
      <c r="C164" t="s">
        <v>2640</v>
      </c>
      <c r="D164" s="254">
        <v>5208.9399999999996</v>
      </c>
      <c r="E164"/>
      <c r="F164"/>
      <c r="G164"/>
      <c r="H164"/>
      <c r="I164" s="489"/>
      <c r="J164" s="1095"/>
      <c r="K164" s="1095"/>
      <c r="L164" s="1095"/>
      <c r="M164" s="1095"/>
    </row>
    <row r="165" spans="1:13" x14ac:dyDescent="0.25">
      <c r="A165">
        <v>308315</v>
      </c>
      <c r="B165" t="s">
        <v>7541</v>
      </c>
      <c r="C165" t="s">
        <v>2640</v>
      </c>
      <c r="D165" s="254">
        <v>10536.47</v>
      </c>
      <c r="E165"/>
      <c r="F165"/>
      <c r="G165"/>
      <c r="H165"/>
      <c r="I165" s="489"/>
      <c r="J165" s="1095"/>
      <c r="K165" s="1095"/>
      <c r="L165" s="1095"/>
      <c r="M165" s="1095"/>
    </row>
    <row r="166" spans="1:13" x14ac:dyDescent="0.25">
      <c r="A166">
        <v>308320</v>
      </c>
      <c r="B166" t="s">
        <v>7542</v>
      </c>
      <c r="C166" t="s">
        <v>2640</v>
      </c>
      <c r="D166" s="254">
        <v>55273.87</v>
      </c>
      <c r="E166"/>
      <c r="F166"/>
      <c r="G166"/>
      <c r="H166"/>
      <c r="I166" s="489"/>
      <c r="J166" s="1095"/>
      <c r="K166" s="1095"/>
      <c r="L166" s="1095"/>
      <c r="M166" s="1095"/>
    </row>
    <row r="167" spans="1:13" x14ac:dyDescent="0.25">
      <c r="A167">
        <v>308316</v>
      </c>
      <c r="B167" t="s">
        <v>7543</v>
      </c>
      <c r="C167" t="s">
        <v>2640</v>
      </c>
      <c r="D167" s="254">
        <v>16649.8</v>
      </c>
      <c r="E167"/>
      <c r="F167"/>
      <c r="G167"/>
      <c r="H167"/>
      <c r="I167" s="489"/>
      <c r="J167" s="1095"/>
      <c r="K167" s="1095"/>
      <c r="L167" s="1095"/>
      <c r="M167" s="1095"/>
    </row>
    <row r="168" spans="1:13" x14ac:dyDescent="0.25">
      <c r="A168">
        <v>308317</v>
      </c>
      <c r="B168" t="s">
        <v>7544</v>
      </c>
      <c r="C168" t="s">
        <v>2640</v>
      </c>
      <c r="D168" s="254">
        <v>25489.33</v>
      </c>
      <c r="E168"/>
      <c r="F168"/>
      <c r="G168"/>
      <c r="H168"/>
      <c r="I168" s="489"/>
      <c r="J168" s="1095"/>
      <c r="K168" s="1095"/>
      <c r="L168" s="1095"/>
      <c r="M168" s="1095"/>
    </row>
    <row r="169" spans="1:13" x14ac:dyDescent="0.25">
      <c r="A169">
        <v>308318</v>
      </c>
      <c r="B169" t="s">
        <v>7545</v>
      </c>
      <c r="C169" t="s">
        <v>2640</v>
      </c>
      <c r="D169" s="254">
        <v>31967.5</v>
      </c>
      <c r="E169"/>
      <c r="F169"/>
      <c r="G169"/>
      <c r="H169"/>
      <c r="I169" s="489"/>
      <c r="J169" s="1095"/>
      <c r="K169" s="1095"/>
      <c r="L169" s="1095"/>
      <c r="M169" s="1095"/>
    </row>
    <row r="170" spans="1:13" x14ac:dyDescent="0.25">
      <c r="A170">
        <v>308319</v>
      </c>
      <c r="B170" t="s">
        <v>7546</v>
      </c>
      <c r="C170" t="s">
        <v>2640</v>
      </c>
      <c r="D170" s="254">
        <v>43576.91</v>
      </c>
      <c r="E170"/>
      <c r="F170"/>
      <c r="G170"/>
      <c r="H170"/>
      <c r="I170" s="489"/>
      <c r="J170" s="1095"/>
      <c r="K170" s="1095"/>
      <c r="L170" s="1095"/>
      <c r="M170" s="1095"/>
    </row>
    <row r="171" spans="1:13" x14ac:dyDescent="0.25">
      <c r="A171">
        <v>308314</v>
      </c>
      <c r="B171" t="s">
        <v>7547</v>
      </c>
      <c r="C171" t="s">
        <v>2640</v>
      </c>
      <c r="D171" s="254">
        <v>7752.42</v>
      </c>
      <c r="E171"/>
      <c r="F171"/>
      <c r="G171"/>
      <c r="H171"/>
      <c r="I171" s="489"/>
      <c r="J171" s="1095"/>
      <c r="K171" s="1095"/>
      <c r="L171" s="1095"/>
      <c r="M171" s="1095"/>
    </row>
    <row r="172" spans="1:13" x14ac:dyDescent="0.25">
      <c r="A172">
        <v>308250</v>
      </c>
      <c r="B172" t="s">
        <v>7548</v>
      </c>
      <c r="C172" t="s">
        <v>2640</v>
      </c>
      <c r="D172" s="254">
        <v>4377.1499999999996</v>
      </c>
      <c r="E172"/>
      <c r="F172"/>
      <c r="G172"/>
      <c r="H172"/>
      <c r="I172" s="489"/>
      <c r="J172" s="1095"/>
      <c r="K172" s="1095"/>
      <c r="L172" s="1095"/>
      <c r="M172" s="1095"/>
    </row>
    <row r="173" spans="1:13" x14ac:dyDescent="0.25">
      <c r="A173">
        <v>308251</v>
      </c>
      <c r="B173" t="s">
        <v>7549</v>
      </c>
      <c r="C173" t="s">
        <v>2640</v>
      </c>
      <c r="D173" s="254">
        <v>6500.73</v>
      </c>
      <c r="E173"/>
      <c r="F173"/>
      <c r="G173"/>
      <c r="H173"/>
      <c r="I173" s="489"/>
      <c r="J173" s="1095"/>
      <c r="K173" s="1095"/>
      <c r="L173" s="1095"/>
      <c r="M173" s="1095"/>
    </row>
    <row r="174" spans="1:13" x14ac:dyDescent="0.25">
      <c r="A174">
        <v>308268</v>
      </c>
      <c r="B174" t="s">
        <v>7550</v>
      </c>
      <c r="C174" t="s">
        <v>2640</v>
      </c>
      <c r="D174" s="254">
        <v>142533.99</v>
      </c>
      <c r="E174"/>
      <c r="F174"/>
      <c r="G174"/>
      <c r="H174"/>
      <c r="I174" s="489"/>
      <c r="J174" s="1095"/>
      <c r="K174" s="1095"/>
      <c r="L174" s="1095"/>
      <c r="M174" s="1095"/>
    </row>
    <row r="175" spans="1:13" x14ac:dyDescent="0.25">
      <c r="A175">
        <v>308252</v>
      </c>
      <c r="B175" t="s">
        <v>7551</v>
      </c>
      <c r="C175" t="s">
        <v>2640</v>
      </c>
      <c r="D175" s="254">
        <v>8219.44</v>
      </c>
      <c r="E175"/>
      <c r="F175"/>
      <c r="G175"/>
      <c r="H175"/>
      <c r="I175" s="489"/>
      <c r="J175" s="1095"/>
      <c r="K175" s="1095"/>
      <c r="L175" s="1095"/>
      <c r="M175" s="1095"/>
    </row>
    <row r="176" spans="1:13" x14ac:dyDescent="0.25">
      <c r="A176">
        <v>308253</v>
      </c>
      <c r="B176" t="s">
        <v>7552</v>
      </c>
      <c r="C176" t="s">
        <v>2640</v>
      </c>
      <c r="D176" s="254">
        <v>10362.790000000001</v>
      </c>
      <c r="E176"/>
      <c r="F176"/>
      <c r="G176"/>
      <c r="H176"/>
      <c r="I176" s="489"/>
      <c r="J176" s="1095"/>
      <c r="K176" s="1095"/>
      <c r="L176" s="1095"/>
      <c r="M176" s="1095"/>
    </row>
    <row r="177" spans="1:13" x14ac:dyDescent="0.25">
      <c r="A177">
        <v>308254</v>
      </c>
      <c r="B177" t="s">
        <v>7553</v>
      </c>
      <c r="C177" t="s">
        <v>2640</v>
      </c>
      <c r="D177" s="254">
        <v>11899</v>
      </c>
      <c r="E177"/>
      <c r="F177"/>
      <c r="G177"/>
      <c r="H177"/>
      <c r="I177" s="489"/>
      <c r="J177" s="1095"/>
      <c r="K177" s="1095"/>
      <c r="L177" s="1095"/>
      <c r="M177" s="1095"/>
    </row>
    <row r="178" spans="1:13" x14ac:dyDescent="0.25">
      <c r="A178">
        <v>308255</v>
      </c>
      <c r="B178" t="s">
        <v>7554</v>
      </c>
      <c r="C178" t="s">
        <v>2640</v>
      </c>
      <c r="D178" s="254">
        <v>14367.41</v>
      </c>
      <c r="E178"/>
      <c r="F178"/>
      <c r="G178"/>
      <c r="H178"/>
      <c r="I178" s="489"/>
      <c r="J178" s="1095"/>
      <c r="K178" s="1095"/>
      <c r="L178" s="1095"/>
      <c r="M178" s="1095"/>
    </row>
    <row r="179" spans="1:13" x14ac:dyDescent="0.25">
      <c r="A179">
        <v>308256</v>
      </c>
      <c r="B179" t="s">
        <v>7555</v>
      </c>
      <c r="C179" t="s">
        <v>2640</v>
      </c>
      <c r="D179" s="254">
        <v>16932.3</v>
      </c>
      <c r="E179"/>
      <c r="F179"/>
      <c r="G179"/>
      <c r="H179"/>
      <c r="I179" s="489"/>
      <c r="J179" s="1095"/>
      <c r="K179" s="1095"/>
      <c r="L179" s="1095"/>
      <c r="M179" s="1095"/>
    </row>
    <row r="180" spans="1:13" x14ac:dyDescent="0.25">
      <c r="A180">
        <v>308257</v>
      </c>
      <c r="B180" t="s">
        <v>7556</v>
      </c>
      <c r="C180" t="s">
        <v>2640</v>
      </c>
      <c r="D180" s="254">
        <v>63013.88</v>
      </c>
      <c r="E180"/>
      <c r="F180"/>
      <c r="G180"/>
      <c r="H180"/>
      <c r="I180" s="489"/>
      <c r="J180" s="1095"/>
      <c r="K180" s="1095"/>
      <c r="L180" s="1095"/>
      <c r="M180" s="1095"/>
    </row>
    <row r="181" spans="1:13" x14ac:dyDescent="0.25">
      <c r="A181">
        <v>308258</v>
      </c>
      <c r="B181" t="s">
        <v>7557</v>
      </c>
      <c r="C181" t="s">
        <v>2640</v>
      </c>
      <c r="D181" s="254">
        <v>70068.28</v>
      </c>
      <c r="E181"/>
      <c r="F181"/>
      <c r="G181"/>
      <c r="H181"/>
      <c r="I181" s="489"/>
      <c r="J181" s="1095"/>
      <c r="K181" s="1095"/>
      <c r="L181" s="1095"/>
      <c r="M181" s="1095"/>
    </row>
    <row r="182" spans="1:13" x14ac:dyDescent="0.25">
      <c r="A182">
        <v>308259</v>
      </c>
      <c r="B182" t="s">
        <v>7558</v>
      </c>
      <c r="C182" t="s">
        <v>2640</v>
      </c>
      <c r="D182" s="254">
        <v>76006.240000000005</v>
      </c>
      <c r="E182"/>
      <c r="F182"/>
      <c r="G182"/>
      <c r="H182"/>
      <c r="I182" s="489"/>
      <c r="J182" s="1095"/>
      <c r="K182" s="1095"/>
      <c r="L182" s="1095"/>
      <c r="M182" s="1095"/>
    </row>
    <row r="183" spans="1:13" x14ac:dyDescent="0.25">
      <c r="A183">
        <v>308260</v>
      </c>
      <c r="B183" t="s">
        <v>7559</v>
      </c>
      <c r="C183" t="s">
        <v>2640</v>
      </c>
      <c r="D183" s="254">
        <v>81997.259999999995</v>
      </c>
      <c r="E183"/>
      <c r="F183"/>
      <c r="G183"/>
      <c r="H183"/>
      <c r="I183" s="489"/>
      <c r="J183" s="1095"/>
      <c r="K183" s="1095"/>
      <c r="L183" s="1095"/>
      <c r="M183" s="1095"/>
    </row>
    <row r="184" spans="1:13" x14ac:dyDescent="0.25">
      <c r="A184">
        <v>308261</v>
      </c>
      <c r="B184" t="s">
        <v>7560</v>
      </c>
      <c r="C184" t="s">
        <v>2640</v>
      </c>
      <c r="D184" s="254">
        <v>93198.65</v>
      </c>
      <c r="E184"/>
      <c r="F184"/>
      <c r="G184"/>
      <c r="H184"/>
      <c r="I184" s="489"/>
      <c r="J184" s="1095"/>
      <c r="K184" s="1095"/>
      <c r="L184" s="1095"/>
      <c r="M184" s="1095"/>
    </row>
    <row r="185" spans="1:13" x14ac:dyDescent="0.25">
      <c r="A185">
        <v>308262</v>
      </c>
      <c r="B185" t="s">
        <v>7561</v>
      </c>
      <c r="C185" t="s">
        <v>2640</v>
      </c>
      <c r="D185" s="254">
        <v>96166.76</v>
      </c>
      <c r="E185"/>
      <c r="F185"/>
      <c r="G185"/>
      <c r="H185"/>
      <c r="I185" s="489"/>
      <c r="J185" s="1095"/>
      <c r="K185" s="1095"/>
      <c r="L185" s="1095"/>
      <c r="M185" s="1095"/>
    </row>
    <row r="186" spans="1:13" x14ac:dyDescent="0.25">
      <c r="A186">
        <v>308263</v>
      </c>
      <c r="B186" t="s">
        <v>7562</v>
      </c>
      <c r="C186" t="s">
        <v>2640</v>
      </c>
      <c r="D186" s="254">
        <v>107455.89</v>
      </c>
      <c r="E186"/>
      <c r="F186"/>
      <c r="G186"/>
      <c r="H186"/>
      <c r="I186" s="489"/>
      <c r="J186" s="1095"/>
      <c r="K186" s="1095"/>
      <c r="L186" s="1095"/>
      <c r="M186" s="1095"/>
    </row>
    <row r="187" spans="1:13" x14ac:dyDescent="0.25">
      <c r="A187">
        <v>308264</v>
      </c>
      <c r="B187" t="s">
        <v>7563</v>
      </c>
      <c r="C187" t="s">
        <v>2640</v>
      </c>
      <c r="D187" s="254">
        <v>114874.48</v>
      </c>
      <c r="E187"/>
      <c r="F187"/>
      <c r="G187"/>
      <c r="H187"/>
      <c r="I187" s="489"/>
      <c r="J187" s="1095"/>
      <c r="K187" s="1095"/>
      <c r="L187" s="1095"/>
      <c r="M187" s="1095"/>
    </row>
    <row r="188" spans="1:13" x14ac:dyDescent="0.25">
      <c r="A188">
        <v>308265</v>
      </c>
      <c r="B188" t="s">
        <v>7564</v>
      </c>
      <c r="C188" t="s">
        <v>2640</v>
      </c>
      <c r="D188" s="254">
        <v>116364.28</v>
      </c>
      <c r="E188"/>
      <c r="F188"/>
      <c r="G188"/>
      <c r="H188"/>
      <c r="I188" s="489"/>
      <c r="J188" s="1095"/>
      <c r="K188" s="1095"/>
      <c r="L188" s="1095"/>
      <c r="M188" s="1095"/>
    </row>
    <row r="189" spans="1:13" x14ac:dyDescent="0.25">
      <c r="A189">
        <v>308266</v>
      </c>
      <c r="B189" t="s">
        <v>7565</v>
      </c>
      <c r="C189" t="s">
        <v>2640</v>
      </c>
      <c r="D189" s="254">
        <v>126857.32</v>
      </c>
      <c r="E189"/>
      <c r="F189"/>
      <c r="G189"/>
      <c r="H189"/>
      <c r="I189" s="489"/>
      <c r="J189" s="1095"/>
      <c r="K189" s="1095"/>
      <c r="L189" s="1095"/>
      <c r="M189" s="1095"/>
    </row>
    <row r="190" spans="1:13" x14ac:dyDescent="0.25">
      <c r="A190">
        <v>308267</v>
      </c>
      <c r="B190" t="s">
        <v>7566</v>
      </c>
      <c r="C190" t="s">
        <v>2640</v>
      </c>
      <c r="D190" s="254">
        <v>133665.54999999999</v>
      </c>
      <c r="E190"/>
      <c r="F190"/>
      <c r="G190"/>
      <c r="H190"/>
      <c r="I190" s="489"/>
      <c r="J190" s="1095"/>
      <c r="K190" s="1095"/>
      <c r="L190" s="1095"/>
      <c r="M190" s="1095"/>
    </row>
    <row r="191" spans="1:13" x14ac:dyDescent="0.25">
      <c r="A191">
        <v>308288</v>
      </c>
      <c r="B191" t="s">
        <v>7567</v>
      </c>
      <c r="C191" t="s">
        <v>2640</v>
      </c>
      <c r="D191" s="254">
        <v>9874.4500000000007</v>
      </c>
      <c r="E191"/>
      <c r="F191"/>
      <c r="G191"/>
      <c r="H191"/>
      <c r="I191" s="489"/>
      <c r="J191" s="1095"/>
      <c r="K191" s="1095"/>
      <c r="L191" s="1095"/>
      <c r="M191" s="1095"/>
    </row>
    <row r="192" spans="1:13" x14ac:dyDescent="0.25">
      <c r="A192">
        <v>308289</v>
      </c>
      <c r="B192" t="s">
        <v>7568</v>
      </c>
      <c r="C192" t="s">
        <v>2640</v>
      </c>
      <c r="D192" s="254">
        <v>12966.55</v>
      </c>
      <c r="E192"/>
      <c r="F192"/>
      <c r="G192"/>
      <c r="H192"/>
      <c r="I192" s="489"/>
      <c r="J192" s="1095"/>
      <c r="K192" s="1095"/>
      <c r="L192" s="1095"/>
      <c r="M192" s="1095"/>
    </row>
    <row r="193" spans="1:13" x14ac:dyDescent="0.25">
      <c r="A193">
        <v>308306</v>
      </c>
      <c r="B193" t="s">
        <v>7569</v>
      </c>
      <c r="C193" t="s">
        <v>2640</v>
      </c>
      <c r="D193" s="254">
        <v>86298.77</v>
      </c>
      <c r="E193"/>
      <c r="F193"/>
      <c r="G193"/>
      <c r="H193"/>
      <c r="I193" s="489"/>
      <c r="J193" s="1095"/>
      <c r="K193" s="1095"/>
      <c r="L193" s="1095"/>
      <c r="M193" s="1095"/>
    </row>
    <row r="194" spans="1:13" x14ac:dyDescent="0.25">
      <c r="A194">
        <v>308290</v>
      </c>
      <c r="B194" t="s">
        <v>7570</v>
      </c>
      <c r="C194" t="s">
        <v>2640</v>
      </c>
      <c r="D194" s="254">
        <v>16502.23</v>
      </c>
      <c r="E194"/>
      <c r="F194"/>
      <c r="G194"/>
      <c r="H194"/>
      <c r="I194" s="489"/>
      <c r="J194" s="1095"/>
      <c r="K194" s="1095"/>
      <c r="L194" s="1095"/>
      <c r="M194" s="1095"/>
    </row>
    <row r="195" spans="1:13" x14ac:dyDescent="0.25">
      <c r="A195">
        <v>308291</v>
      </c>
      <c r="B195" t="s">
        <v>7571</v>
      </c>
      <c r="C195" t="s">
        <v>2640</v>
      </c>
      <c r="D195" s="254">
        <v>21540.92</v>
      </c>
      <c r="E195"/>
      <c r="F195"/>
      <c r="G195"/>
      <c r="H195"/>
      <c r="I195" s="489"/>
      <c r="J195" s="1095"/>
      <c r="K195" s="1095"/>
      <c r="L195" s="1095"/>
      <c r="M195" s="1095"/>
    </row>
    <row r="196" spans="1:13" x14ac:dyDescent="0.25">
      <c r="A196">
        <v>308292</v>
      </c>
      <c r="B196" t="s">
        <v>7572</v>
      </c>
      <c r="C196" t="s">
        <v>2640</v>
      </c>
      <c r="D196" s="254">
        <v>24672.19</v>
      </c>
      <c r="E196"/>
      <c r="F196"/>
      <c r="G196"/>
      <c r="H196"/>
      <c r="I196" s="489"/>
      <c r="J196" s="1095"/>
      <c r="K196" s="1095"/>
      <c r="L196" s="1095"/>
      <c r="M196" s="1095"/>
    </row>
    <row r="197" spans="1:13" x14ac:dyDescent="0.25">
      <c r="A197">
        <v>308293</v>
      </c>
      <c r="B197" t="s">
        <v>7573</v>
      </c>
      <c r="C197" t="s">
        <v>2640</v>
      </c>
      <c r="D197" s="254">
        <v>28739.14</v>
      </c>
      <c r="E197"/>
      <c r="F197"/>
      <c r="G197"/>
      <c r="H197"/>
      <c r="I197" s="489"/>
      <c r="J197" s="1095"/>
      <c r="K197" s="1095"/>
      <c r="L197" s="1095"/>
      <c r="M197" s="1095"/>
    </row>
    <row r="198" spans="1:13" x14ac:dyDescent="0.25">
      <c r="A198">
        <v>308294</v>
      </c>
      <c r="B198" t="s">
        <v>7574</v>
      </c>
      <c r="C198" t="s">
        <v>2640</v>
      </c>
      <c r="D198" s="254">
        <v>33498.370000000003</v>
      </c>
      <c r="E198"/>
      <c r="F198"/>
      <c r="G198"/>
      <c r="H198"/>
      <c r="I198" s="489"/>
      <c r="J198" s="1095"/>
      <c r="K198" s="1095"/>
      <c r="L198" s="1095"/>
      <c r="M198" s="1095"/>
    </row>
    <row r="199" spans="1:13" x14ac:dyDescent="0.25">
      <c r="A199">
        <v>308295</v>
      </c>
      <c r="B199" t="s">
        <v>7575</v>
      </c>
      <c r="C199" t="s">
        <v>2640</v>
      </c>
      <c r="D199" s="254">
        <v>37283.19</v>
      </c>
      <c r="E199"/>
      <c r="F199"/>
      <c r="G199"/>
      <c r="H199"/>
      <c r="I199" s="489"/>
      <c r="J199" s="1095"/>
      <c r="K199" s="1095"/>
      <c r="L199" s="1095"/>
      <c r="M199" s="1095"/>
    </row>
    <row r="200" spans="1:13" x14ac:dyDescent="0.25">
      <c r="A200">
        <v>308296</v>
      </c>
      <c r="B200" t="s">
        <v>7576</v>
      </c>
      <c r="C200" t="s">
        <v>2640</v>
      </c>
      <c r="D200" s="254">
        <v>42385.57</v>
      </c>
      <c r="E200"/>
      <c r="F200"/>
      <c r="G200"/>
      <c r="H200"/>
      <c r="I200" s="489"/>
      <c r="J200" s="1095"/>
      <c r="K200" s="1095"/>
      <c r="L200" s="1095"/>
      <c r="M200" s="1095"/>
    </row>
    <row r="201" spans="1:13" x14ac:dyDescent="0.25">
      <c r="A201">
        <v>308297</v>
      </c>
      <c r="B201" t="s">
        <v>7577</v>
      </c>
      <c r="C201" t="s">
        <v>2640</v>
      </c>
      <c r="D201" s="254">
        <v>45711.78</v>
      </c>
      <c r="E201"/>
      <c r="F201"/>
      <c r="G201"/>
      <c r="H201"/>
      <c r="I201" s="489"/>
      <c r="J201" s="1095"/>
      <c r="K201" s="1095"/>
      <c r="L201" s="1095"/>
      <c r="M201" s="1095"/>
    </row>
    <row r="202" spans="1:13" x14ac:dyDescent="0.25">
      <c r="A202">
        <v>308298</v>
      </c>
      <c r="B202" t="s">
        <v>7578</v>
      </c>
      <c r="C202" t="s">
        <v>2640</v>
      </c>
      <c r="D202" s="254">
        <v>52365.7</v>
      </c>
      <c r="E202"/>
      <c r="F202"/>
      <c r="G202"/>
      <c r="H202"/>
      <c r="I202" s="489"/>
      <c r="J202" s="1095"/>
      <c r="K202" s="1095"/>
      <c r="L202" s="1095"/>
      <c r="M202" s="1095"/>
    </row>
    <row r="203" spans="1:13" x14ac:dyDescent="0.25">
      <c r="A203">
        <v>308299</v>
      </c>
      <c r="B203" t="s">
        <v>7579</v>
      </c>
      <c r="C203" t="s">
        <v>2640</v>
      </c>
      <c r="D203" s="254">
        <v>56358.53</v>
      </c>
      <c r="E203"/>
      <c r="F203"/>
      <c r="G203"/>
      <c r="H203"/>
      <c r="I203" s="489"/>
      <c r="J203" s="1095"/>
      <c r="K203" s="1095"/>
      <c r="L203" s="1095"/>
      <c r="M203" s="1095"/>
    </row>
    <row r="204" spans="1:13" x14ac:dyDescent="0.25">
      <c r="A204">
        <v>308300</v>
      </c>
      <c r="B204" t="s">
        <v>7580</v>
      </c>
      <c r="C204" t="s">
        <v>2640</v>
      </c>
      <c r="D204" s="254">
        <v>60219</v>
      </c>
      <c r="E204"/>
      <c r="F204"/>
      <c r="G204"/>
      <c r="H204"/>
      <c r="I204" s="489"/>
      <c r="J204" s="1095"/>
      <c r="K204" s="1095"/>
      <c r="L204" s="1095"/>
      <c r="M204" s="1095"/>
    </row>
    <row r="205" spans="1:13" x14ac:dyDescent="0.25">
      <c r="A205">
        <v>308301</v>
      </c>
      <c r="B205" t="s">
        <v>7581</v>
      </c>
      <c r="C205" t="s">
        <v>2640</v>
      </c>
      <c r="D205" s="254">
        <v>62303.93</v>
      </c>
      <c r="E205"/>
      <c r="F205"/>
      <c r="G205"/>
      <c r="H205"/>
      <c r="I205" s="489"/>
      <c r="J205" s="1095"/>
      <c r="K205" s="1095"/>
      <c r="L205" s="1095"/>
      <c r="M205" s="1095"/>
    </row>
    <row r="206" spans="1:13" x14ac:dyDescent="0.25">
      <c r="A206">
        <v>308302</v>
      </c>
      <c r="B206" t="s">
        <v>7582</v>
      </c>
      <c r="C206" t="s">
        <v>2640</v>
      </c>
      <c r="D206" s="254">
        <v>68739.05</v>
      </c>
      <c r="E206"/>
      <c r="F206"/>
      <c r="G206"/>
      <c r="H206"/>
      <c r="I206" s="489"/>
      <c r="J206" s="1095"/>
      <c r="K206" s="1095"/>
      <c r="L206" s="1095"/>
      <c r="M206" s="1095"/>
    </row>
    <row r="207" spans="1:13" x14ac:dyDescent="0.25">
      <c r="A207">
        <v>308303</v>
      </c>
      <c r="B207" t="s">
        <v>7583</v>
      </c>
      <c r="C207" t="s">
        <v>2640</v>
      </c>
      <c r="D207" s="254">
        <v>71470.429999999993</v>
      </c>
      <c r="E207"/>
      <c r="F207"/>
      <c r="G207"/>
      <c r="H207"/>
      <c r="I207" s="489"/>
      <c r="J207" s="1095"/>
      <c r="K207" s="1095"/>
      <c r="L207" s="1095"/>
      <c r="M207" s="1095"/>
    </row>
    <row r="208" spans="1:13" x14ac:dyDescent="0.25">
      <c r="A208">
        <v>308304</v>
      </c>
      <c r="B208" t="s">
        <v>7584</v>
      </c>
      <c r="C208" t="s">
        <v>2640</v>
      </c>
      <c r="D208" s="254">
        <v>75345.53</v>
      </c>
      <c r="E208"/>
      <c r="F208"/>
      <c r="G208"/>
      <c r="H208"/>
      <c r="I208" s="489"/>
      <c r="J208" s="1095"/>
      <c r="K208" s="1095"/>
      <c r="L208" s="1095"/>
      <c r="M208" s="1095"/>
    </row>
    <row r="209" spans="1:13" x14ac:dyDescent="0.25">
      <c r="A209">
        <v>308305</v>
      </c>
      <c r="B209" t="s">
        <v>7585</v>
      </c>
      <c r="C209" t="s">
        <v>2640</v>
      </c>
      <c r="D209" s="254">
        <v>81313.119999999995</v>
      </c>
      <c r="E209"/>
      <c r="F209"/>
      <c r="G209"/>
      <c r="H209"/>
      <c r="I209" s="489"/>
      <c r="J209" s="1095"/>
      <c r="K209" s="1095"/>
      <c r="L209" s="1095"/>
      <c r="M209" s="1095"/>
    </row>
    <row r="210" spans="1:13" x14ac:dyDescent="0.25">
      <c r="A210">
        <v>308269</v>
      </c>
      <c r="B210" t="s">
        <v>7586</v>
      </c>
      <c r="C210" t="s">
        <v>2640</v>
      </c>
      <c r="D210" s="254">
        <v>5329.75</v>
      </c>
      <c r="E210"/>
      <c r="F210"/>
      <c r="G210"/>
      <c r="H210"/>
      <c r="I210" s="489"/>
      <c r="J210" s="1095"/>
      <c r="K210" s="1095"/>
      <c r="L210" s="1095"/>
      <c r="M210" s="1095"/>
    </row>
    <row r="211" spans="1:13" x14ac:dyDescent="0.25">
      <c r="A211">
        <v>308270</v>
      </c>
      <c r="B211" t="s">
        <v>7587</v>
      </c>
      <c r="C211" t="s">
        <v>2640</v>
      </c>
      <c r="D211" s="254">
        <v>8256.68</v>
      </c>
      <c r="E211"/>
      <c r="F211"/>
      <c r="G211"/>
      <c r="H211"/>
      <c r="I211" s="489"/>
      <c r="J211" s="1095"/>
      <c r="K211" s="1095"/>
      <c r="L211" s="1095"/>
      <c r="M211" s="1095"/>
    </row>
    <row r="212" spans="1:13" x14ac:dyDescent="0.25">
      <c r="A212">
        <v>308287</v>
      </c>
      <c r="B212" t="s">
        <v>7588</v>
      </c>
      <c r="C212" t="s">
        <v>2640</v>
      </c>
      <c r="D212" s="254">
        <v>92909.19</v>
      </c>
      <c r="E212"/>
      <c r="F212"/>
      <c r="G212"/>
      <c r="H212"/>
      <c r="I212" s="489"/>
      <c r="J212" s="1095"/>
      <c r="K212" s="1095"/>
      <c r="L212" s="1095"/>
      <c r="M212" s="1095"/>
    </row>
    <row r="213" spans="1:13" x14ac:dyDescent="0.25">
      <c r="A213">
        <v>308271</v>
      </c>
      <c r="B213" t="s">
        <v>7589</v>
      </c>
      <c r="C213" t="s">
        <v>2640</v>
      </c>
      <c r="D213" s="254">
        <v>10031.23</v>
      </c>
      <c r="E213"/>
      <c r="F213"/>
      <c r="G213"/>
      <c r="H213"/>
      <c r="I213" s="489"/>
      <c r="J213" s="1095"/>
      <c r="K213" s="1095"/>
      <c r="L213" s="1095"/>
      <c r="M213" s="1095"/>
    </row>
    <row r="214" spans="1:13" x14ac:dyDescent="0.25">
      <c r="A214">
        <v>308272</v>
      </c>
      <c r="B214" t="s">
        <v>7590</v>
      </c>
      <c r="C214" t="s">
        <v>2640</v>
      </c>
      <c r="D214" s="254">
        <v>12484.03</v>
      </c>
      <c r="E214"/>
      <c r="F214"/>
      <c r="G214"/>
      <c r="H214"/>
      <c r="I214" s="489"/>
      <c r="J214" s="1095"/>
      <c r="K214" s="1095"/>
      <c r="L214" s="1095"/>
      <c r="M214" s="1095"/>
    </row>
    <row r="215" spans="1:13" x14ac:dyDescent="0.25">
      <c r="A215">
        <v>308273</v>
      </c>
      <c r="B215" t="s">
        <v>7591</v>
      </c>
      <c r="C215" t="s">
        <v>2640</v>
      </c>
      <c r="D215" s="254">
        <v>15366.8</v>
      </c>
      <c r="E215"/>
      <c r="F215"/>
      <c r="G215"/>
      <c r="H215"/>
      <c r="I215" s="489"/>
      <c r="J215" s="1095"/>
      <c r="K215" s="1095"/>
      <c r="L215" s="1095"/>
      <c r="M215" s="1095"/>
    </row>
    <row r="216" spans="1:13" x14ac:dyDescent="0.25">
      <c r="A216">
        <v>308274</v>
      </c>
      <c r="B216" t="s">
        <v>7592</v>
      </c>
      <c r="C216" t="s">
        <v>2640</v>
      </c>
      <c r="D216" s="254">
        <v>17407.64</v>
      </c>
      <c r="E216"/>
      <c r="F216"/>
      <c r="G216"/>
      <c r="H216"/>
      <c r="I216" s="489"/>
      <c r="J216" s="1095"/>
      <c r="K216" s="1095"/>
      <c r="L216" s="1095"/>
      <c r="M216" s="1095"/>
    </row>
    <row r="217" spans="1:13" x14ac:dyDescent="0.25">
      <c r="A217">
        <v>308275</v>
      </c>
      <c r="B217" t="s">
        <v>7593</v>
      </c>
      <c r="C217" t="s">
        <v>2640</v>
      </c>
      <c r="D217" s="254">
        <v>26106.81</v>
      </c>
      <c r="E217"/>
      <c r="F217"/>
      <c r="G217"/>
      <c r="H217"/>
      <c r="I217" s="489"/>
      <c r="J217" s="1095"/>
      <c r="K217" s="1095"/>
      <c r="L217" s="1095"/>
      <c r="M217" s="1095"/>
    </row>
    <row r="218" spans="1:13" x14ac:dyDescent="0.25">
      <c r="A218">
        <v>308276</v>
      </c>
      <c r="B218" t="s">
        <v>7594</v>
      </c>
      <c r="C218" t="s">
        <v>2640</v>
      </c>
      <c r="D218" s="254">
        <v>43152.33</v>
      </c>
      <c r="E218"/>
      <c r="F218"/>
      <c r="G218"/>
      <c r="H218"/>
      <c r="I218" s="489"/>
      <c r="J218" s="1095"/>
      <c r="K218" s="1095"/>
      <c r="L218" s="1095"/>
      <c r="M218" s="1095"/>
    </row>
    <row r="219" spans="1:13" x14ac:dyDescent="0.25">
      <c r="A219">
        <v>308277</v>
      </c>
      <c r="B219" t="s">
        <v>7595</v>
      </c>
      <c r="C219" t="s">
        <v>2640</v>
      </c>
      <c r="D219" s="254">
        <v>47631.06</v>
      </c>
      <c r="E219"/>
      <c r="F219"/>
      <c r="G219"/>
      <c r="H219"/>
      <c r="I219" s="489"/>
      <c r="J219" s="1095"/>
      <c r="K219" s="1095"/>
      <c r="L219" s="1095"/>
      <c r="M219" s="1095"/>
    </row>
    <row r="220" spans="1:13" x14ac:dyDescent="0.25">
      <c r="A220">
        <v>308278</v>
      </c>
      <c r="B220" t="s">
        <v>7596</v>
      </c>
      <c r="C220" t="s">
        <v>2640</v>
      </c>
      <c r="D220" s="254">
        <v>52100.01</v>
      </c>
      <c r="E220"/>
      <c r="F220"/>
      <c r="G220"/>
      <c r="H220"/>
      <c r="I220" s="489"/>
      <c r="J220" s="1095"/>
      <c r="K220" s="1095"/>
      <c r="L220" s="1095"/>
      <c r="M220" s="1095"/>
    </row>
    <row r="221" spans="1:13" x14ac:dyDescent="0.25">
      <c r="A221">
        <v>308279</v>
      </c>
      <c r="B221" t="s">
        <v>7597</v>
      </c>
      <c r="C221" t="s">
        <v>2640</v>
      </c>
      <c r="D221" s="254">
        <v>56068.55</v>
      </c>
      <c r="E221"/>
      <c r="F221"/>
      <c r="G221"/>
      <c r="H221"/>
      <c r="I221" s="489"/>
      <c r="J221" s="1095"/>
      <c r="K221" s="1095"/>
      <c r="L221" s="1095"/>
      <c r="M221" s="1095"/>
    </row>
    <row r="222" spans="1:13" x14ac:dyDescent="0.25">
      <c r="A222">
        <v>308280</v>
      </c>
      <c r="B222" t="s">
        <v>7598</v>
      </c>
      <c r="C222" t="s">
        <v>2640</v>
      </c>
      <c r="D222" s="254">
        <v>61846.36</v>
      </c>
      <c r="E222"/>
      <c r="F222"/>
      <c r="G222"/>
      <c r="H222"/>
      <c r="I222" s="489"/>
      <c r="J222" s="1095"/>
      <c r="K222" s="1095"/>
      <c r="L222" s="1095"/>
      <c r="M222" s="1095"/>
    </row>
    <row r="223" spans="1:13" x14ac:dyDescent="0.25">
      <c r="A223">
        <v>308281</v>
      </c>
      <c r="B223" t="s">
        <v>7599</v>
      </c>
      <c r="C223" t="s">
        <v>2640</v>
      </c>
      <c r="D223" s="254">
        <v>66688.740000000005</v>
      </c>
      <c r="E223"/>
      <c r="F223"/>
      <c r="G223"/>
      <c r="H223"/>
      <c r="I223" s="489"/>
      <c r="J223" s="1095"/>
      <c r="K223" s="1095"/>
      <c r="L223" s="1095"/>
      <c r="M223" s="1095"/>
    </row>
    <row r="224" spans="1:13" x14ac:dyDescent="0.25">
      <c r="A224">
        <v>308282</v>
      </c>
      <c r="B224" t="s">
        <v>7600</v>
      </c>
      <c r="C224" t="s">
        <v>2640</v>
      </c>
      <c r="D224" s="254">
        <v>73117.97</v>
      </c>
      <c r="E224"/>
      <c r="F224"/>
      <c r="G224"/>
      <c r="H224"/>
      <c r="I224" s="489"/>
      <c r="J224" s="1095"/>
      <c r="K224" s="1095"/>
      <c r="L224" s="1095"/>
      <c r="M224" s="1095"/>
    </row>
    <row r="225" spans="1:13" x14ac:dyDescent="0.25">
      <c r="A225">
        <v>308283</v>
      </c>
      <c r="B225" t="s">
        <v>7601</v>
      </c>
      <c r="C225" t="s">
        <v>2640</v>
      </c>
      <c r="D225" s="254">
        <v>76014.41</v>
      </c>
      <c r="E225"/>
      <c r="F225"/>
      <c r="G225"/>
      <c r="H225"/>
      <c r="I225" s="489"/>
      <c r="J225" s="1095"/>
      <c r="K225" s="1095"/>
      <c r="L225" s="1095"/>
      <c r="M225" s="1095"/>
    </row>
    <row r="226" spans="1:13" x14ac:dyDescent="0.25">
      <c r="A226">
        <v>308284</v>
      </c>
      <c r="B226" t="s">
        <v>7602</v>
      </c>
      <c r="C226" t="s">
        <v>2640</v>
      </c>
      <c r="D226" s="254">
        <v>82151.22</v>
      </c>
      <c r="E226"/>
      <c r="F226"/>
      <c r="G226"/>
      <c r="H226"/>
      <c r="I226" s="489"/>
      <c r="J226" s="1095"/>
      <c r="K226" s="1095"/>
      <c r="L226" s="1095"/>
      <c r="M226" s="1095"/>
    </row>
    <row r="227" spans="1:13" x14ac:dyDescent="0.25">
      <c r="A227">
        <v>308285</v>
      </c>
      <c r="B227" t="s">
        <v>7603</v>
      </c>
      <c r="C227" t="s">
        <v>2640</v>
      </c>
      <c r="D227" s="254">
        <v>86798.65</v>
      </c>
      <c r="E227"/>
      <c r="F227"/>
      <c r="G227"/>
      <c r="H227"/>
      <c r="I227" s="489"/>
      <c r="J227" s="1095"/>
      <c r="K227" s="1095"/>
      <c r="L227" s="1095"/>
      <c r="M227" s="1095"/>
    </row>
    <row r="228" spans="1:13" x14ac:dyDescent="0.25">
      <c r="A228">
        <v>308286</v>
      </c>
      <c r="B228" t="s">
        <v>7604</v>
      </c>
      <c r="C228" t="s">
        <v>2640</v>
      </c>
      <c r="D228" s="254">
        <v>91160.07</v>
      </c>
      <c r="E228"/>
      <c r="F228"/>
      <c r="G228"/>
      <c r="H228"/>
      <c r="I228" s="489"/>
      <c r="J228" s="1095"/>
      <c r="K228" s="1095"/>
      <c r="L228" s="1095"/>
      <c r="M228" s="1095"/>
    </row>
    <row r="229" spans="1:13" x14ac:dyDescent="0.25">
      <c r="A229">
        <v>307733</v>
      </c>
      <c r="B229" t="s">
        <v>7605</v>
      </c>
      <c r="C229" t="s">
        <v>2598</v>
      </c>
      <c r="D229" s="254">
        <v>426.7</v>
      </c>
      <c r="E229"/>
      <c r="F229"/>
      <c r="G229"/>
      <c r="H229"/>
      <c r="I229" s="489"/>
      <c r="J229" s="1095"/>
      <c r="K229" s="1095"/>
      <c r="L229" s="1095"/>
      <c r="M229" s="1095"/>
    </row>
    <row r="230" spans="1:13" x14ac:dyDescent="0.25">
      <c r="A230">
        <v>307734</v>
      </c>
      <c r="B230" t="s">
        <v>7606</v>
      </c>
      <c r="C230" t="s">
        <v>2598</v>
      </c>
      <c r="D230" s="254">
        <v>554.41999999999996</v>
      </c>
      <c r="E230"/>
      <c r="F230"/>
      <c r="G230"/>
      <c r="H230"/>
      <c r="I230" s="489"/>
      <c r="J230" s="1095"/>
      <c r="K230" s="1095"/>
      <c r="L230" s="1095"/>
      <c r="M230" s="1095"/>
    </row>
    <row r="231" spans="1:13" x14ac:dyDescent="0.25">
      <c r="A231">
        <v>307735</v>
      </c>
      <c r="B231" t="s">
        <v>7607</v>
      </c>
      <c r="C231" t="s">
        <v>2598</v>
      </c>
      <c r="D231" s="254">
        <v>905.66</v>
      </c>
      <c r="E231"/>
      <c r="F231"/>
      <c r="G231"/>
      <c r="H231"/>
      <c r="I231" s="489"/>
      <c r="J231" s="1095"/>
      <c r="K231" s="1095"/>
      <c r="L231" s="1095"/>
      <c r="M231" s="1095"/>
    </row>
    <row r="232" spans="1:13" x14ac:dyDescent="0.25">
      <c r="A232">
        <v>307736</v>
      </c>
      <c r="B232" t="s">
        <v>7608</v>
      </c>
      <c r="C232" t="s">
        <v>2598</v>
      </c>
      <c r="D232" s="254">
        <v>1207.3499999999999</v>
      </c>
      <c r="E232"/>
      <c r="F232"/>
      <c r="G232"/>
      <c r="H232"/>
      <c r="I232" s="489"/>
      <c r="J232" s="1095"/>
      <c r="K232" s="1095"/>
      <c r="L232" s="1095"/>
      <c r="M232" s="1095"/>
    </row>
    <row r="233" spans="1:13" x14ac:dyDescent="0.25">
      <c r="A233">
        <v>307737</v>
      </c>
      <c r="B233" t="s">
        <v>7609</v>
      </c>
      <c r="C233" t="s">
        <v>2598</v>
      </c>
      <c r="D233" s="254">
        <v>1490.27</v>
      </c>
      <c r="E233"/>
      <c r="F233"/>
      <c r="G233"/>
      <c r="H233"/>
      <c r="I233" s="489"/>
      <c r="J233" s="1095"/>
      <c r="K233" s="1095"/>
      <c r="L233" s="1095"/>
      <c r="M233" s="1095"/>
    </row>
    <row r="234" spans="1:13" x14ac:dyDescent="0.25">
      <c r="A234">
        <v>307730</v>
      </c>
      <c r="B234" t="s">
        <v>7610</v>
      </c>
      <c r="C234" t="s">
        <v>2598</v>
      </c>
      <c r="D234" s="254">
        <v>0</v>
      </c>
      <c r="E234"/>
      <c r="F234"/>
      <c r="G234"/>
      <c r="H234"/>
      <c r="I234" s="489"/>
      <c r="J234" s="1095"/>
      <c r="K234" s="1095"/>
      <c r="L234" s="1095"/>
      <c r="M234" s="1095"/>
    </row>
    <row r="235" spans="1:13" x14ac:dyDescent="0.25">
      <c r="A235">
        <v>307084</v>
      </c>
      <c r="B235" t="s">
        <v>7611</v>
      </c>
      <c r="C235" t="s">
        <v>2598</v>
      </c>
      <c r="D235" s="254">
        <v>31.51</v>
      </c>
      <c r="E235"/>
      <c r="F235"/>
      <c r="G235"/>
      <c r="H235"/>
      <c r="I235" s="489"/>
      <c r="J235" s="1095"/>
      <c r="K235" s="1095"/>
      <c r="L235" s="1095"/>
      <c r="M235" s="1095"/>
    </row>
    <row r="236" spans="1:13" x14ac:dyDescent="0.25">
      <c r="A236">
        <v>407818</v>
      </c>
      <c r="B236" t="s">
        <v>6414</v>
      </c>
      <c r="C236" t="s">
        <v>2716</v>
      </c>
      <c r="D236" s="254">
        <v>15.13</v>
      </c>
      <c r="E236"/>
      <c r="F236"/>
      <c r="G236"/>
      <c r="H236"/>
      <c r="I236" s="489"/>
      <c r="J236" s="1095"/>
      <c r="K236" s="1095"/>
      <c r="L236" s="1095"/>
      <c r="M236" s="1095"/>
    </row>
    <row r="237" spans="1:13" x14ac:dyDescent="0.25">
      <c r="A237">
        <v>407819</v>
      </c>
      <c r="B237" t="s">
        <v>6415</v>
      </c>
      <c r="C237" t="s">
        <v>2716</v>
      </c>
      <c r="D237" s="254">
        <v>14.15</v>
      </c>
      <c r="E237"/>
      <c r="F237"/>
      <c r="G237"/>
      <c r="H237"/>
      <c r="I237" s="489"/>
      <c r="J237" s="1095"/>
      <c r="K237" s="1095"/>
      <c r="L237" s="1095"/>
      <c r="M237" s="1095"/>
    </row>
    <row r="238" spans="1:13" x14ac:dyDescent="0.25">
      <c r="A238">
        <v>407820</v>
      </c>
      <c r="B238" t="s">
        <v>6416</v>
      </c>
      <c r="C238" t="s">
        <v>2716</v>
      </c>
      <c r="D238" s="254">
        <v>15.7</v>
      </c>
      <c r="E238"/>
      <c r="F238"/>
      <c r="G238"/>
      <c r="H238"/>
      <c r="I238" s="489"/>
      <c r="J238" s="1095"/>
      <c r="K238" s="1095"/>
      <c r="L238" s="1095"/>
      <c r="M238" s="1095"/>
    </row>
    <row r="239" spans="1:13" x14ac:dyDescent="0.25">
      <c r="A239">
        <v>407740</v>
      </c>
      <c r="B239" t="s">
        <v>7612</v>
      </c>
      <c r="C239" t="s">
        <v>2716</v>
      </c>
      <c r="D239" s="254">
        <v>16.89</v>
      </c>
      <c r="E239"/>
      <c r="F239"/>
      <c r="G239"/>
      <c r="H239"/>
      <c r="I239" s="489"/>
      <c r="J239" s="1095"/>
      <c r="K239" s="1095"/>
      <c r="L239" s="1095"/>
      <c r="M239" s="1095"/>
    </row>
    <row r="240" spans="1:13" x14ac:dyDescent="0.25">
      <c r="A240">
        <v>408037</v>
      </c>
      <c r="B240" t="s">
        <v>7613</v>
      </c>
      <c r="C240" t="s">
        <v>2640</v>
      </c>
      <c r="D240" s="254">
        <v>24.71</v>
      </c>
      <c r="E240"/>
      <c r="F240"/>
      <c r="G240"/>
      <c r="H240"/>
      <c r="I240" s="489"/>
      <c r="J240" s="1095"/>
      <c r="K240" s="1095"/>
      <c r="L240" s="1095"/>
      <c r="M240" s="1095"/>
    </row>
    <row r="241" spans="1:13" x14ac:dyDescent="0.25">
      <c r="A241">
        <v>408038</v>
      </c>
      <c r="B241" t="s">
        <v>7614</v>
      </c>
      <c r="C241" t="s">
        <v>2640</v>
      </c>
      <c r="D241" s="254">
        <v>35.32</v>
      </c>
      <c r="E241"/>
      <c r="F241"/>
      <c r="G241"/>
      <c r="H241"/>
      <c r="I241" s="489"/>
      <c r="J241" s="1095"/>
      <c r="K241" s="1095"/>
      <c r="L241" s="1095"/>
      <c r="M241" s="1095"/>
    </row>
    <row r="242" spans="1:13" x14ac:dyDescent="0.25">
      <c r="A242">
        <v>408039</v>
      </c>
      <c r="B242" t="s">
        <v>7615</v>
      </c>
      <c r="C242" t="s">
        <v>2640</v>
      </c>
      <c r="D242" s="254">
        <v>46.97</v>
      </c>
      <c r="E242"/>
      <c r="F242"/>
      <c r="G242"/>
      <c r="H242"/>
      <c r="I242" s="489"/>
      <c r="J242" s="1095"/>
      <c r="K242" s="1095"/>
      <c r="L242" s="1095"/>
      <c r="M242" s="1095"/>
    </row>
    <row r="243" spans="1:13" x14ac:dyDescent="0.25">
      <c r="A243">
        <v>408041</v>
      </c>
      <c r="B243" t="s">
        <v>7616</v>
      </c>
      <c r="C243" t="s">
        <v>2640</v>
      </c>
      <c r="D243" s="254">
        <v>68.319999999999993</v>
      </c>
      <c r="E243"/>
      <c r="F243"/>
      <c r="G243"/>
      <c r="H243"/>
      <c r="I243" s="489"/>
      <c r="J243" s="1095"/>
      <c r="K243" s="1095"/>
      <c r="L243" s="1095"/>
      <c r="M243" s="1095"/>
    </row>
    <row r="244" spans="1:13" x14ac:dyDescent="0.25">
      <c r="A244">
        <v>408042</v>
      </c>
      <c r="B244" t="s">
        <v>7617</v>
      </c>
      <c r="C244" t="s">
        <v>2640</v>
      </c>
      <c r="D244" s="254">
        <v>102.27</v>
      </c>
      <c r="E244"/>
      <c r="F244"/>
      <c r="G244"/>
      <c r="H244"/>
      <c r="I244" s="489"/>
      <c r="J244" s="1095"/>
      <c r="K244" s="1095"/>
      <c r="L244" s="1095"/>
      <c r="M244" s="1095"/>
    </row>
    <row r="245" spans="1:13" x14ac:dyDescent="0.25">
      <c r="A245">
        <v>408031</v>
      </c>
      <c r="B245" t="s">
        <v>7618</v>
      </c>
      <c r="C245" t="s">
        <v>2640</v>
      </c>
      <c r="D245" s="254">
        <v>24.16</v>
      </c>
      <c r="E245"/>
      <c r="F245"/>
      <c r="G245"/>
      <c r="H245"/>
      <c r="I245" s="489"/>
      <c r="J245" s="1095"/>
      <c r="K245" s="1095"/>
      <c r="L245" s="1095"/>
      <c r="M245" s="1095"/>
    </row>
    <row r="246" spans="1:13" x14ac:dyDescent="0.25">
      <c r="A246">
        <v>408032</v>
      </c>
      <c r="B246" t="s">
        <v>7619</v>
      </c>
      <c r="C246" t="s">
        <v>2640</v>
      </c>
      <c r="D246" s="254">
        <v>34.159999999999997</v>
      </c>
      <c r="E246"/>
      <c r="F246"/>
      <c r="G246"/>
      <c r="H246"/>
      <c r="I246" s="489"/>
      <c r="J246" s="1095"/>
      <c r="K246" s="1095"/>
      <c r="L246" s="1095"/>
      <c r="M246" s="1095"/>
    </row>
    <row r="247" spans="1:13" x14ac:dyDescent="0.25">
      <c r="A247">
        <v>408033</v>
      </c>
      <c r="B247" t="s">
        <v>7620</v>
      </c>
      <c r="C247" t="s">
        <v>2640</v>
      </c>
      <c r="D247" s="254">
        <v>49.59</v>
      </c>
      <c r="E247"/>
      <c r="F247"/>
      <c r="G247"/>
      <c r="H247"/>
      <c r="I247" s="489"/>
      <c r="J247" s="1095"/>
      <c r="K247" s="1095"/>
      <c r="L247" s="1095"/>
      <c r="M247" s="1095"/>
    </row>
    <row r="248" spans="1:13" x14ac:dyDescent="0.25">
      <c r="A248">
        <v>408035</v>
      </c>
      <c r="B248" t="s">
        <v>7621</v>
      </c>
      <c r="C248" t="s">
        <v>2640</v>
      </c>
      <c r="D248" s="254">
        <v>82.58</v>
      </c>
      <c r="E248"/>
      <c r="F248"/>
      <c r="G248"/>
      <c r="H248"/>
      <c r="I248" s="489"/>
      <c r="J248" s="1095"/>
      <c r="K248" s="1095"/>
      <c r="L248" s="1095"/>
      <c r="M248" s="1095"/>
    </row>
    <row r="249" spans="1:13" x14ac:dyDescent="0.25">
      <c r="A249">
        <v>408036</v>
      </c>
      <c r="B249" t="s">
        <v>7622</v>
      </c>
      <c r="C249" t="s">
        <v>2640</v>
      </c>
      <c r="D249" s="254">
        <v>169.19</v>
      </c>
      <c r="E249"/>
      <c r="F249"/>
      <c r="G249"/>
      <c r="H249"/>
      <c r="I249" s="489"/>
      <c r="J249" s="1095"/>
      <c r="K249" s="1095"/>
      <c r="L249" s="1095"/>
      <c r="M249" s="1095"/>
    </row>
    <row r="250" spans="1:13" x14ac:dyDescent="0.25">
      <c r="A250">
        <v>408067</v>
      </c>
      <c r="B250" t="s">
        <v>13749</v>
      </c>
      <c r="C250" t="s">
        <v>2716</v>
      </c>
      <c r="D250" s="254">
        <v>14.72</v>
      </c>
      <c r="E250"/>
      <c r="F250"/>
      <c r="G250"/>
      <c r="H250"/>
      <c r="I250" s="489"/>
      <c r="J250" s="1095"/>
      <c r="K250" s="1095"/>
      <c r="L250" s="1095"/>
      <c r="M250" s="1095"/>
    </row>
    <row r="251" spans="1:13" x14ac:dyDescent="0.25">
      <c r="A251">
        <v>407743</v>
      </c>
      <c r="B251" t="s">
        <v>7623</v>
      </c>
      <c r="C251" t="s">
        <v>2716</v>
      </c>
      <c r="D251" s="254">
        <v>17.649999999999999</v>
      </c>
      <c r="E251"/>
      <c r="F251"/>
      <c r="G251"/>
      <c r="H251"/>
      <c r="I251" s="489"/>
      <c r="J251" s="1095"/>
      <c r="K251" s="1095"/>
      <c r="L251" s="1095"/>
      <c r="M251" s="1095"/>
    </row>
    <row r="252" spans="1:13" x14ac:dyDescent="0.25">
      <c r="A252">
        <v>607137</v>
      </c>
      <c r="B252" t="s">
        <v>7624</v>
      </c>
      <c r="C252" t="s">
        <v>2598</v>
      </c>
      <c r="D252" s="254">
        <v>59253.32</v>
      </c>
      <c r="E252"/>
      <c r="F252"/>
      <c r="G252"/>
      <c r="H252"/>
      <c r="I252" s="489"/>
      <c r="J252" s="1095"/>
      <c r="K252" s="1095"/>
      <c r="L252" s="1095"/>
      <c r="M252" s="1095"/>
    </row>
    <row r="253" spans="1:13" x14ac:dyDescent="0.25">
      <c r="A253">
        <v>606785</v>
      </c>
      <c r="B253" t="s">
        <v>7625</v>
      </c>
      <c r="C253" t="s">
        <v>2598</v>
      </c>
      <c r="D253" s="254">
        <v>58584.15</v>
      </c>
      <c r="E253"/>
      <c r="F253"/>
      <c r="G253"/>
      <c r="H253"/>
      <c r="I253" s="489"/>
      <c r="J253" s="1095"/>
      <c r="K253" s="1095"/>
      <c r="L253" s="1095"/>
      <c r="M253" s="1095"/>
    </row>
    <row r="254" spans="1:13" x14ac:dyDescent="0.25">
      <c r="A254">
        <v>607139</v>
      </c>
      <c r="B254" t="s">
        <v>7626</v>
      </c>
      <c r="C254" t="s">
        <v>2598</v>
      </c>
      <c r="D254" s="254">
        <v>60094.34</v>
      </c>
      <c r="E254"/>
      <c r="F254"/>
      <c r="G254"/>
      <c r="H254"/>
      <c r="I254" s="489"/>
      <c r="J254" s="1095"/>
      <c r="K254" s="1095"/>
      <c r="L254" s="1095"/>
      <c r="M254" s="1095"/>
    </row>
    <row r="255" spans="1:13" x14ac:dyDescent="0.25">
      <c r="A255">
        <v>606787</v>
      </c>
      <c r="B255" t="s">
        <v>7627</v>
      </c>
      <c r="C255" t="s">
        <v>2598</v>
      </c>
      <c r="D255" s="254">
        <v>59056.11</v>
      </c>
      <c r="E255"/>
      <c r="F255"/>
      <c r="G255"/>
      <c r="H255"/>
      <c r="I255" s="489"/>
      <c r="J255" s="1095"/>
      <c r="K255" s="1095"/>
      <c r="L255" s="1095"/>
      <c r="M255" s="1095"/>
    </row>
    <row r="256" spans="1:13" x14ac:dyDescent="0.25">
      <c r="A256">
        <v>607140</v>
      </c>
      <c r="B256" t="s">
        <v>7628</v>
      </c>
      <c r="C256" t="s">
        <v>2598</v>
      </c>
      <c r="D256" s="254">
        <v>54828.9</v>
      </c>
      <c r="E256"/>
      <c r="F256"/>
      <c r="G256"/>
      <c r="H256"/>
      <c r="I256" s="489"/>
      <c r="J256" s="1095"/>
      <c r="K256" s="1095"/>
      <c r="L256" s="1095"/>
      <c r="M256" s="1095"/>
    </row>
    <row r="257" spans="1:13" x14ac:dyDescent="0.25">
      <c r="A257">
        <v>606788</v>
      </c>
      <c r="B257" t="s">
        <v>7629</v>
      </c>
      <c r="C257" t="s">
        <v>2598</v>
      </c>
      <c r="D257" s="254">
        <v>54567.74</v>
      </c>
      <c r="E257"/>
      <c r="F257"/>
      <c r="G257"/>
      <c r="H257"/>
      <c r="I257" s="489"/>
      <c r="J257" s="1095"/>
      <c r="K257" s="1095"/>
      <c r="L257" s="1095"/>
      <c r="M257" s="1095"/>
    </row>
    <row r="258" spans="1:13" x14ac:dyDescent="0.25">
      <c r="A258">
        <v>607141</v>
      </c>
      <c r="B258" t="s">
        <v>7630</v>
      </c>
      <c r="C258" t="s">
        <v>2598</v>
      </c>
      <c r="D258" s="254">
        <v>61176.68</v>
      </c>
      <c r="E258"/>
      <c r="F258"/>
      <c r="G258"/>
      <c r="H258"/>
      <c r="I258" s="489"/>
      <c r="J258" s="1095"/>
      <c r="K258" s="1095"/>
      <c r="L258" s="1095"/>
      <c r="M258" s="1095"/>
    </row>
    <row r="259" spans="1:13" x14ac:dyDescent="0.25">
      <c r="A259">
        <v>606789</v>
      </c>
      <c r="B259" t="s">
        <v>7631</v>
      </c>
      <c r="C259" t="s">
        <v>2598</v>
      </c>
      <c r="D259" s="254">
        <v>60481.39</v>
      </c>
      <c r="E259"/>
      <c r="F259"/>
      <c r="G259"/>
      <c r="H259"/>
      <c r="I259" s="489"/>
      <c r="J259" s="1095"/>
      <c r="K259" s="1095"/>
      <c r="L259" s="1095"/>
      <c r="M259" s="1095"/>
    </row>
    <row r="260" spans="1:13" x14ac:dyDescent="0.25">
      <c r="A260">
        <v>607144</v>
      </c>
      <c r="B260" t="s">
        <v>7632</v>
      </c>
      <c r="C260" t="s">
        <v>2598</v>
      </c>
      <c r="D260" s="254">
        <v>71400.33</v>
      </c>
      <c r="E260"/>
      <c r="F260"/>
      <c r="G260"/>
      <c r="H260"/>
      <c r="I260" s="489"/>
      <c r="J260" s="1095"/>
      <c r="K260" s="1095"/>
      <c r="L260" s="1095"/>
      <c r="M260" s="1095"/>
    </row>
    <row r="261" spans="1:13" x14ac:dyDescent="0.25">
      <c r="A261">
        <v>606792</v>
      </c>
      <c r="B261" t="s">
        <v>7633</v>
      </c>
      <c r="C261" t="s">
        <v>2598</v>
      </c>
      <c r="D261" s="254">
        <v>70764.06</v>
      </c>
      <c r="E261"/>
      <c r="F261"/>
      <c r="G261"/>
      <c r="H261"/>
      <c r="I261" s="489"/>
      <c r="J261" s="1095"/>
      <c r="K261" s="1095"/>
      <c r="L261" s="1095"/>
      <c r="M261" s="1095"/>
    </row>
    <row r="262" spans="1:13" x14ac:dyDescent="0.25">
      <c r="A262">
        <v>607142</v>
      </c>
      <c r="B262" t="s">
        <v>7634</v>
      </c>
      <c r="C262" t="s">
        <v>2598</v>
      </c>
      <c r="D262" s="254">
        <v>64212.87</v>
      </c>
      <c r="E262"/>
      <c r="F262"/>
      <c r="G262"/>
      <c r="H262"/>
      <c r="I262" s="489"/>
      <c r="J262" s="1095"/>
      <c r="K262" s="1095"/>
      <c r="L262" s="1095"/>
      <c r="M262" s="1095"/>
    </row>
    <row r="263" spans="1:13" x14ac:dyDescent="0.25">
      <c r="A263">
        <v>606790</v>
      </c>
      <c r="B263" t="s">
        <v>7635</v>
      </c>
      <c r="C263" t="s">
        <v>2598</v>
      </c>
      <c r="D263" s="254">
        <v>63462.02</v>
      </c>
      <c r="E263"/>
      <c r="F263"/>
      <c r="G263"/>
      <c r="H263"/>
      <c r="I263" s="489"/>
      <c r="J263" s="1095"/>
      <c r="K263" s="1095"/>
      <c r="L263" s="1095"/>
      <c r="M263" s="1095"/>
    </row>
    <row r="264" spans="1:13" x14ac:dyDescent="0.25">
      <c r="A264">
        <v>607145</v>
      </c>
      <c r="B264" t="s">
        <v>7636</v>
      </c>
      <c r="C264" t="s">
        <v>2598</v>
      </c>
      <c r="D264" s="254">
        <v>78996.399999999994</v>
      </c>
      <c r="E264"/>
      <c r="F264"/>
      <c r="G264"/>
      <c r="H264"/>
      <c r="I264" s="489"/>
      <c r="J264" s="1095"/>
      <c r="K264" s="1095"/>
      <c r="L264" s="1095"/>
      <c r="M264" s="1095"/>
    </row>
    <row r="265" spans="1:13" x14ac:dyDescent="0.25">
      <c r="A265">
        <v>606793</v>
      </c>
      <c r="B265" t="s">
        <v>7637</v>
      </c>
      <c r="C265" t="s">
        <v>2598</v>
      </c>
      <c r="D265" s="254">
        <v>78279.789999999994</v>
      </c>
      <c r="E265"/>
      <c r="F265"/>
      <c r="G265"/>
      <c r="H265"/>
      <c r="I265" s="489"/>
      <c r="J265" s="1095"/>
      <c r="K265" s="1095"/>
      <c r="L265" s="1095"/>
      <c r="M265" s="1095"/>
    </row>
    <row r="266" spans="1:13" x14ac:dyDescent="0.25">
      <c r="A266">
        <v>607146</v>
      </c>
      <c r="B266" t="s">
        <v>7638</v>
      </c>
      <c r="C266" t="s">
        <v>2598</v>
      </c>
      <c r="D266" s="254">
        <v>82357.56</v>
      </c>
      <c r="E266"/>
      <c r="F266"/>
      <c r="G266"/>
      <c r="H266"/>
      <c r="I266" s="489"/>
      <c r="J266" s="1095"/>
      <c r="K266" s="1095"/>
      <c r="L266" s="1095"/>
      <c r="M266" s="1095"/>
    </row>
    <row r="267" spans="1:13" x14ac:dyDescent="0.25">
      <c r="A267">
        <v>606794</v>
      </c>
      <c r="B267" t="s">
        <v>7639</v>
      </c>
      <c r="C267" t="s">
        <v>2598</v>
      </c>
      <c r="D267" s="254">
        <v>81584.72</v>
      </c>
      <c r="E267"/>
      <c r="F267"/>
      <c r="G267"/>
      <c r="H267"/>
      <c r="I267" s="489"/>
      <c r="J267" s="1095"/>
      <c r="K267" s="1095"/>
      <c r="L267" s="1095"/>
      <c r="M267" s="1095"/>
    </row>
    <row r="268" spans="1:13" x14ac:dyDescent="0.25">
      <c r="A268">
        <v>607143</v>
      </c>
      <c r="B268" t="s">
        <v>7640</v>
      </c>
      <c r="C268" t="s">
        <v>2598</v>
      </c>
      <c r="D268" s="254">
        <v>69392.88</v>
      </c>
      <c r="E268"/>
      <c r="F268"/>
      <c r="G268"/>
      <c r="H268"/>
      <c r="I268" s="489"/>
      <c r="J268" s="1095"/>
      <c r="K268" s="1095"/>
      <c r="L268" s="1095"/>
      <c r="M268" s="1095"/>
    </row>
    <row r="269" spans="1:13" x14ac:dyDescent="0.25">
      <c r="A269">
        <v>606791</v>
      </c>
      <c r="B269" t="s">
        <v>7641</v>
      </c>
      <c r="C269" t="s">
        <v>2598</v>
      </c>
      <c r="D269" s="254">
        <v>68527.759999999995</v>
      </c>
      <c r="E269"/>
      <c r="F269"/>
      <c r="G269"/>
      <c r="H269"/>
      <c r="I269" s="489"/>
      <c r="J269" s="1095"/>
      <c r="K269" s="1095"/>
      <c r="L269" s="1095"/>
      <c r="M269" s="1095"/>
    </row>
    <row r="270" spans="1:13" x14ac:dyDescent="0.25">
      <c r="A270">
        <v>607147</v>
      </c>
      <c r="B270" t="s">
        <v>7642</v>
      </c>
      <c r="C270" t="s">
        <v>2598</v>
      </c>
      <c r="D270" s="254">
        <v>88850.53</v>
      </c>
      <c r="E270"/>
      <c r="F270"/>
      <c r="G270"/>
      <c r="H270"/>
      <c r="I270" s="489"/>
      <c r="J270" s="1095"/>
      <c r="K270" s="1095"/>
      <c r="L270" s="1095"/>
      <c r="M270" s="1095"/>
    </row>
    <row r="271" spans="1:13" x14ac:dyDescent="0.25">
      <c r="A271">
        <v>606795</v>
      </c>
      <c r="B271" t="s">
        <v>7643</v>
      </c>
      <c r="C271" t="s">
        <v>2598</v>
      </c>
      <c r="D271" s="254">
        <v>87962.64</v>
      </c>
      <c r="E271"/>
      <c r="F271"/>
      <c r="G271"/>
      <c r="H271"/>
      <c r="I271" s="489"/>
      <c r="J271" s="1095"/>
      <c r="K271" s="1095"/>
      <c r="L271" s="1095"/>
      <c r="M271" s="1095"/>
    </row>
    <row r="272" spans="1:13" x14ac:dyDescent="0.25">
      <c r="A272">
        <v>607112</v>
      </c>
      <c r="B272" t="s">
        <v>7644</v>
      </c>
      <c r="C272" t="s">
        <v>2598</v>
      </c>
      <c r="D272" s="254">
        <v>28851.94</v>
      </c>
      <c r="E272"/>
      <c r="F272"/>
      <c r="G272"/>
      <c r="H272"/>
      <c r="I272" s="489"/>
      <c r="J272" s="1095"/>
      <c r="K272" s="1095"/>
      <c r="L272" s="1095"/>
      <c r="M272" s="1095"/>
    </row>
    <row r="273" spans="1:13" x14ac:dyDescent="0.25">
      <c r="A273">
        <v>606760</v>
      </c>
      <c r="B273" t="s">
        <v>7645</v>
      </c>
      <c r="C273" t="s">
        <v>2598</v>
      </c>
      <c r="D273" s="254">
        <v>28617.79</v>
      </c>
      <c r="E273"/>
      <c r="F273"/>
      <c r="G273"/>
      <c r="H273"/>
      <c r="I273" s="489"/>
      <c r="J273" s="1095"/>
      <c r="K273" s="1095"/>
      <c r="L273" s="1095"/>
      <c r="M273" s="1095"/>
    </row>
    <row r="274" spans="1:13" x14ac:dyDescent="0.25">
      <c r="A274">
        <v>607113</v>
      </c>
      <c r="B274" t="s">
        <v>7646</v>
      </c>
      <c r="C274" t="s">
        <v>2598</v>
      </c>
      <c r="D274" s="254">
        <v>33316.85</v>
      </c>
      <c r="E274"/>
      <c r="F274"/>
      <c r="G274"/>
      <c r="H274"/>
      <c r="I274" s="489"/>
      <c r="J274" s="1095"/>
      <c r="K274" s="1095"/>
      <c r="L274" s="1095"/>
      <c r="M274" s="1095"/>
    </row>
    <row r="275" spans="1:13" x14ac:dyDescent="0.25">
      <c r="A275">
        <v>606761</v>
      </c>
      <c r="B275" t="s">
        <v>7647</v>
      </c>
      <c r="C275" t="s">
        <v>2598</v>
      </c>
      <c r="D275" s="254">
        <v>33048.35</v>
      </c>
      <c r="E275"/>
      <c r="F275"/>
      <c r="G275"/>
      <c r="H275"/>
      <c r="I275" s="489"/>
      <c r="J275" s="1095"/>
      <c r="K275" s="1095"/>
      <c r="L275" s="1095"/>
      <c r="M275" s="1095"/>
    </row>
    <row r="276" spans="1:13" x14ac:dyDescent="0.25">
      <c r="A276">
        <v>606762</v>
      </c>
      <c r="B276" t="s">
        <v>7648</v>
      </c>
      <c r="C276" t="s">
        <v>2598</v>
      </c>
      <c r="D276" s="254">
        <v>33255.97</v>
      </c>
      <c r="E276"/>
      <c r="F276"/>
      <c r="G276"/>
      <c r="H276"/>
      <c r="I276" s="489"/>
      <c r="J276" s="1095"/>
      <c r="K276" s="1095"/>
      <c r="L276" s="1095"/>
      <c r="M276" s="1095"/>
    </row>
    <row r="277" spans="1:13" x14ac:dyDescent="0.25">
      <c r="A277">
        <v>607114</v>
      </c>
      <c r="B277" t="s">
        <v>7649</v>
      </c>
      <c r="C277" t="s">
        <v>2598</v>
      </c>
      <c r="D277" s="254">
        <v>33527.58</v>
      </c>
      <c r="E277"/>
      <c r="F277"/>
      <c r="G277"/>
      <c r="H277"/>
      <c r="I277" s="489"/>
      <c r="J277" s="1095"/>
      <c r="K277" s="1095"/>
      <c r="L277" s="1095"/>
      <c r="M277" s="1095"/>
    </row>
    <row r="278" spans="1:13" x14ac:dyDescent="0.25">
      <c r="A278">
        <v>607116</v>
      </c>
      <c r="B278" t="s">
        <v>7650</v>
      </c>
      <c r="C278" t="s">
        <v>2598</v>
      </c>
      <c r="D278" s="254">
        <v>35557.910000000003</v>
      </c>
      <c r="E278"/>
      <c r="F278"/>
      <c r="G278"/>
      <c r="H278"/>
      <c r="I278" s="489"/>
      <c r="J278" s="1095"/>
      <c r="K278" s="1095"/>
      <c r="L278" s="1095"/>
      <c r="M278" s="1095"/>
    </row>
    <row r="279" spans="1:13" x14ac:dyDescent="0.25">
      <c r="A279">
        <v>606764</v>
      </c>
      <c r="B279" t="s">
        <v>7651</v>
      </c>
      <c r="C279" t="s">
        <v>2598</v>
      </c>
      <c r="D279" s="254">
        <v>35272.17</v>
      </c>
      <c r="E279"/>
      <c r="F279"/>
      <c r="G279"/>
      <c r="H279"/>
      <c r="I279" s="489"/>
      <c r="J279" s="1095"/>
      <c r="K279" s="1095"/>
      <c r="L279" s="1095"/>
      <c r="M279" s="1095"/>
    </row>
    <row r="280" spans="1:13" x14ac:dyDescent="0.25">
      <c r="A280">
        <v>607115</v>
      </c>
      <c r="B280" t="s">
        <v>7652</v>
      </c>
      <c r="C280" t="s">
        <v>2598</v>
      </c>
      <c r="D280" s="254">
        <v>40407.120000000003</v>
      </c>
      <c r="E280"/>
      <c r="F280"/>
      <c r="G280"/>
      <c r="H280"/>
      <c r="I280" s="489"/>
      <c r="J280" s="1095"/>
      <c r="K280" s="1095"/>
      <c r="L280" s="1095"/>
      <c r="M280" s="1095"/>
    </row>
    <row r="281" spans="1:13" x14ac:dyDescent="0.25">
      <c r="A281">
        <v>606763</v>
      </c>
      <c r="B281" t="s">
        <v>7653</v>
      </c>
      <c r="C281" t="s">
        <v>2598</v>
      </c>
      <c r="D281" s="254">
        <v>40062.1</v>
      </c>
      <c r="E281"/>
      <c r="F281"/>
      <c r="G281"/>
      <c r="H281"/>
      <c r="I281" s="489"/>
      <c r="J281" s="1095"/>
      <c r="K281" s="1095"/>
      <c r="L281" s="1095"/>
      <c r="M281" s="1095"/>
    </row>
    <row r="282" spans="1:13" x14ac:dyDescent="0.25">
      <c r="A282">
        <v>607117</v>
      </c>
      <c r="B282" t="s">
        <v>7654</v>
      </c>
      <c r="C282" t="s">
        <v>2598</v>
      </c>
      <c r="D282" s="254">
        <v>40415.919999999998</v>
      </c>
      <c r="E282"/>
      <c r="F282"/>
      <c r="G282"/>
      <c r="H282"/>
      <c r="I282" s="489"/>
      <c r="J282" s="1095"/>
      <c r="K282" s="1095"/>
      <c r="L282" s="1095"/>
      <c r="M282" s="1095"/>
    </row>
    <row r="283" spans="1:13" x14ac:dyDescent="0.25">
      <c r="A283">
        <v>606765</v>
      </c>
      <c r="B283" t="s">
        <v>7655</v>
      </c>
      <c r="C283" t="s">
        <v>2598</v>
      </c>
      <c r="D283" s="254">
        <v>40080.089999999997</v>
      </c>
      <c r="E283"/>
      <c r="F283"/>
      <c r="G283"/>
      <c r="H283"/>
      <c r="I283" s="489"/>
      <c r="J283" s="1095"/>
      <c r="K283" s="1095"/>
      <c r="L283" s="1095"/>
      <c r="M283" s="1095"/>
    </row>
    <row r="284" spans="1:13" x14ac:dyDescent="0.25">
      <c r="A284">
        <v>607118</v>
      </c>
      <c r="B284" t="s">
        <v>7656</v>
      </c>
      <c r="C284" t="s">
        <v>2598</v>
      </c>
      <c r="D284" s="254">
        <v>36204.089999999997</v>
      </c>
      <c r="E284"/>
      <c r="F284"/>
      <c r="G284"/>
      <c r="H284"/>
      <c r="I284" s="489"/>
      <c r="J284" s="1095"/>
      <c r="K284" s="1095"/>
      <c r="L284" s="1095"/>
      <c r="M284" s="1095"/>
    </row>
    <row r="285" spans="1:13" x14ac:dyDescent="0.25">
      <c r="A285">
        <v>606766</v>
      </c>
      <c r="B285" t="s">
        <v>7657</v>
      </c>
      <c r="C285" t="s">
        <v>2598</v>
      </c>
      <c r="D285" s="254">
        <v>35906.910000000003</v>
      </c>
      <c r="E285"/>
      <c r="F285"/>
      <c r="G285"/>
      <c r="H285"/>
      <c r="I285" s="489"/>
      <c r="J285" s="1095"/>
      <c r="K285" s="1095"/>
      <c r="L285" s="1095"/>
      <c r="M285" s="1095"/>
    </row>
    <row r="286" spans="1:13" x14ac:dyDescent="0.25">
      <c r="A286">
        <v>607120</v>
      </c>
      <c r="B286" t="s">
        <v>7658</v>
      </c>
      <c r="C286" t="s">
        <v>2598</v>
      </c>
      <c r="D286" s="254">
        <v>36854.03</v>
      </c>
      <c r="E286"/>
      <c r="F286"/>
      <c r="G286"/>
      <c r="H286"/>
      <c r="I286" s="489"/>
      <c r="J286" s="1095"/>
      <c r="K286" s="1095"/>
      <c r="L286" s="1095"/>
      <c r="M286" s="1095"/>
    </row>
    <row r="287" spans="1:13" x14ac:dyDescent="0.25">
      <c r="A287">
        <v>606768</v>
      </c>
      <c r="B287" t="s">
        <v>7659</v>
      </c>
      <c r="C287" t="s">
        <v>2598</v>
      </c>
      <c r="D287" s="254">
        <v>36543.360000000001</v>
      </c>
      <c r="E287"/>
      <c r="F287"/>
      <c r="G287"/>
      <c r="H287"/>
      <c r="I287" s="489"/>
      <c r="J287" s="1095"/>
      <c r="K287" s="1095"/>
      <c r="L287" s="1095"/>
      <c r="M287" s="1095"/>
    </row>
    <row r="288" spans="1:13" x14ac:dyDescent="0.25">
      <c r="A288">
        <v>607119</v>
      </c>
      <c r="B288" t="s">
        <v>7660</v>
      </c>
      <c r="C288" t="s">
        <v>2598</v>
      </c>
      <c r="D288" s="254">
        <v>42367.82</v>
      </c>
      <c r="E288"/>
      <c r="F288"/>
      <c r="G288"/>
      <c r="H288"/>
      <c r="I288" s="489"/>
      <c r="J288" s="1095"/>
      <c r="K288" s="1095"/>
      <c r="L288" s="1095"/>
      <c r="M288" s="1095"/>
    </row>
    <row r="289" spans="1:13" x14ac:dyDescent="0.25">
      <c r="A289">
        <v>606767</v>
      </c>
      <c r="B289" t="s">
        <v>7661</v>
      </c>
      <c r="C289" t="s">
        <v>2598</v>
      </c>
      <c r="D289" s="254">
        <v>41992.36</v>
      </c>
      <c r="E289"/>
      <c r="F289"/>
      <c r="G289"/>
      <c r="H289"/>
      <c r="I289" s="489"/>
      <c r="J289" s="1095"/>
      <c r="K289" s="1095"/>
      <c r="L289" s="1095"/>
      <c r="M289" s="1095"/>
    </row>
    <row r="290" spans="1:13" x14ac:dyDescent="0.25">
      <c r="A290">
        <v>607121</v>
      </c>
      <c r="B290" t="s">
        <v>7662</v>
      </c>
      <c r="C290" t="s">
        <v>2598</v>
      </c>
      <c r="D290" s="254">
        <v>39925.599999999999</v>
      </c>
      <c r="E290"/>
      <c r="F290"/>
      <c r="G290"/>
      <c r="H290"/>
      <c r="I290" s="489"/>
      <c r="J290" s="1095"/>
      <c r="K290" s="1095"/>
      <c r="L290" s="1095"/>
      <c r="M290" s="1095"/>
    </row>
    <row r="291" spans="1:13" x14ac:dyDescent="0.25">
      <c r="A291">
        <v>606769</v>
      </c>
      <c r="B291" t="s">
        <v>7663</v>
      </c>
      <c r="C291" t="s">
        <v>2598</v>
      </c>
      <c r="D291" s="254">
        <v>39569.79</v>
      </c>
      <c r="E291"/>
      <c r="F291"/>
      <c r="G291"/>
      <c r="H291"/>
      <c r="I291" s="489"/>
      <c r="J291" s="1095"/>
      <c r="K291" s="1095"/>
      <c r="L291" s="1095"/>
      <c r="M291" s="1095"/>
    </row>
    <row r="292" spans="1:13" x14ac:dyDescent="0.25">
      <c r="A292">
        <v>607123</v>
      </c>
      <c r="B292" t="s">
        <v>7664</v>
      </c>
      <c r="C292" t="s">
        <v>2598</v>
      </c>
      <c r="D292" s="254">
        <v>39369.1</v>
      </c>
      <c r="E292"/>
      <c r="F292"/>
      <c r="G292"/>
      <c r="H292"/>
      <c r="I292" s="489"/>
      <c r="J292" s="1095"/>
      <c r="K292" s="1095"/>
      <c r="L292" s="1095"/>
      <c r="M292" s="1095"/>
    </row>
    <row r="293" spans="1:13" x14ac:dyDescent="0.25">
      <c r="A293">
        <v>606771</v>
      </c>
      <c r="B293" t="s">
        <v>7665</v>
      </c>
      <c r="C293" t="s">
        <v>2598</v>
      </c>
      <c r="D293" s="254">
        <v>39017.25</v>
      </c>
      <c r="E293"/>
      <c r="F293"/>
      <c r="G293"/>
      <c r="H293"/>
      <c r="I293" s="489"/>
      <c r="J293" s="1095"/>
      <c r="K293" s="1095"/>
      <c r="L293" s="1095"/>
      <c r="M293" s="1095"/>
    </row>
    <row r="294" spans="1:13" x14ac:dyDescent="0.25">
      <c r="A294">
        <v>607122</v>
      </c>
      <c r="B294" t="s">
        <v>7666</v>
      </c>
      <c r="C294" t="s">
        <v>2598</v>
      </c>
      <c r="D294" s="254">
        <v>43695.74</v>
      </c>
      <c r="E294"/>
      <c r="F294"/>
      <c r="G294"/>
      <c r="H294"/>
      <c r="I294" s="489"/>
      <c r="J294" s="1095"/>
      <c r="K294" s="1095"/>
      <c r="L294" s="1095"/>
      <c r="M294" s="1095"/>
    </row>
    <row r="295" spans="1:13" x14ac:dyDescent="0.25">
      <c r="A295">
        <v>606770</v>
      </c>
      <c r="B295" t="s">
        <v>7667</v>
      </c>
      <c r="C295" t="s">
        <v>2598</v>
      </c>
      <c r="D295" s="254">
        <v>43291.11</v>
      </c>
      <c r="E295"/>
      <c r="F295"/>
      <c r="G295"/>
      <c r="H295"/>
      <c r="I295" s="489"/>
      <c r="J295" s="1095"/>
      <c r="K295" s="1095"/>
      <c r="L295" s="1095"/>
      <c r="M295" s="1095"/>
    </row>
    <row r="296" spans="1:13" x14ac:dyDescent="0.25">
      <c r="A296">
        <v>607125</v>
      </c>
      <c r="B296" t="s">
        <v>7668</v>
      </c>
      <c r="C296" t="s">
        <v>2598</v>
      </c>
      <c r="D296" s="254">
        <v>40698.67</v>
      </c>
      <c r="E296"/>
      <c r="F296"/>
      <c r="G296"/>
      <c r="H296"/>
      <c r="I296" s="489"/>
      <c r="J296" s="1095"/>
      <c r="K296" s="1095"/>
      <c r="L296" s="1095"/>
      <c r="M296" s="1095"/>
    </row>
    <row r="297" spans="1:13" x14ac:dyDescent="0.25">
      <c r="A297">
        <v>606773</v>
      </c>
      <c r="B297" t="s">
        <v>7669</v>
      </c>
      <c r="C297" t="s">
        <v>2598</v>
      </c>
      <c r="D297" s="254">
        <v>40330.870000000003</v>
      </c>
      <c r="E297"/>
      <c r="F297"/>
      <c r="G297"/>
      <c r="H297"/>
      <c r="I297" s="489"/>
      <c r="J297" s="1095"/>
      <c r="K297" s="1095"/>
      <c r="L297" s="1095"/>
      <c r="M297" s="1095"/>
    </row>
    <row r="298" spans="1:13" x14ac:dyDescent="0.25">
      <c r="A298">
        <v>607124</v>
      </c>
      <c r="B298" t="s">
        <v>7670</v>
      </c>
      <c r="C298" t="s">
        <v>2598</v>
      </c>
      <c r="D298" s="254">
        <v>44384.959999999999</v>
      </c>
      <c r="E298"/>
      <c r="F298"/>
      <c r="G298"/>
      <c r="H298"/>
      <c r="I298" s="489"/>
      <c r="J298" s="1095"/>
      <c r="K298" s="1095"/>
      <c r="L298" s="1095"/>
      <c r="M298" s="1095"/>
    </row>
    <row r="299" spans="1:13" x14ac:dyDescent="0.25">
      <c r="A299">
        <v>606772</v>
      </c>
      <c r="B299" t="s">
        <v>7671</v>
      </c>
      <c r="C299" t="s">
        <v>2598</v>
      </c>
      <c r="D299" s="254">
        <v>43964.26</v>
      </c>
      <c r="E299"/>
      <c r="F299"/>
      <c r="G299"/>
      <c r="H299"/>
      <c r="I299" s="489"/>
      <c r="J299" s="1095"/>
      <c r="K299" s="1095"/>
      <c r="L299" s="1095"/>
      <c r="M299" s="1095"/>
    </row>
    <row r="300" spans="1:13" x14ac:dyDescent="0.25">
      <c r="A300">
        <v>607126</v>
      </c>
      <c r="B300" t="s">
        <v>7672</v>
      </c>
      <c r="C300" t="s">
        <v>2598</v>
      </c>
      <c r="D300" s="254">
        <v>45600.56</v>
      </c>
      <c r="E300"/>
      <c r="F300"/>
      <c r="G300"/>
      <c r="H300"/>
      <c r="I300" s="489"/>
      <c r="J300" s="1095"/>
      <c r="K300" s="1095"/>
      <c r="L300" s="1095"/>
      <c r="M300" s="1095"/>
    </row>
    <row r="301" spans="1:13" x14ac:dyDescent="0.25">
      <c r="A301">
        <v>606774</v>
      </c>
      <c r="B301" t="s">
        <v>7673</v>
      </c>
      <c r="C301" t="s">
        <v>2598</v>
      </c>
      <c r="D301" s="254">
        <v>45162.2</v>
      </c>
      <c r="E301"/>
      <c r="F301"/>
      <c r="G301"/>
      <c r="H301"/>
      <c r="I301" s="489"/>
      <c r="J301" s="1095"/>
      <c r="K301" s="1095"/>
      <c r="L301" s="1095"/>
      <c r="M301" s="1095"/>
    </row>
    <row r="302" spans="1:13" x14ac:dyDescent="0.25">
      <c r="A302">
        <v>607127</v>
      </c>
      <c r="B302" t="s">
        <v>7674</v>
      </c>
      <c r="C302" t="s">
        <v>2598</v>
      </c>
      <c r="D302" s="254">
        <v>42012.61</v>
      </c>
      <c r="E302"/>
      <c r="F302"/>
      <c r="G302"/>
      <c r="H302"/>
      <c r="I302" s="489"/>
      <c r="J302" s="1095"/>
      <c r="K302" s="1095"/>
      <c r="L302" s="1095"/>
      <c r="M302" s="1095"/>
    </row>
    <row r="303" spans="1:13" x14ac:dyDescent="0.25">
      <c r="A303">
        <v>606775</v>
      </c>
      <c r="B303" t="s">
        <v>7675</v>
      </c>
      <c r="C303" t="s">
        <v>2598</v>
      </c>
      <c r="D303" s="254">
        <v>41616.81</v>
      </c>
      <c r="E303"/>
      <c r="F303"/>
      <c r="G303"/>
      <c r="H303"/>
      <c r="I303" s="489"/>
      <c r="J303" s="1095"/>
      <c r="K303" s="1095"/>
      <c r="L303" s="1095"/>
      <c r="M303" s="1095"/>
    </row>
    <row r="304" spans="1:13" x14ac:dyDescent="0.25">
      <c r="A304">
        <v>607129</v>
      </c>
      <c r="B304" t="s">
        <v>7676</v>
      </c>
      <c r="C304" t="s">
        <v>2598</v>
      </c>
      <c r="D304" s="254">
        <v>43948.98</v>
      </c>
      <c r="E304"/>
      <c r="F304"/>
      <c r="G304"/>
      <c r="H304"/>
      <c r="I304" s="489"/>
      <c r="J304" s="1095"/>
      <c r="K304" s="1095"/>
      <c r="L304" s="1095"/>
      <c r="M304" s="1095"/>
    </row>
    <row r="305" spans="1:13" x14ac:dyDescent="0.25">
      <c r="A305">
        <v>606777</v>
      </c>
      <c r="B305" t="s">
        <v>7677</v>
      </c>
      <c r="C305" t="s">
        <v>2598</v>
      </c>
      <c r="D305" s="254">
        <v>43519.06</v>
      </c>
      <c r="E305"/>
      <c r="F305"/>
      <c r="G305"/>
      <c r="H305"/>
      <c r="I305" s="489"/>
      <c r="J305" s="1095"/>
      <c r="K305" s="1095"/>
      <c r="L305" s="1095"/>
      <c r="M305" s="1095"/>
    </row>
    <row r="306" spans="1:13" x14ac:dyDescent="0.25">
      <c r="A306">
        <v>607128</v>
      </c>
      <c r="B306" t="s">
        <v>7678</v>
      </c>
      <c r="C306" t="s">
        <v>2598</v>
      </c>
      <c r="D306" s="254">
        <v>48321.45</v>
      </c>
      <c r="E306"/>
      <c r="F306"/>
      <c r="G306"/>
      <c r="H306"/>
      <c r="I306" s="489"/>
      <c r="J306" s="1095"/>
      <c r="K306" s="1095"/>
      <c r="L306" s="1095"/>
      <c r="M306" s="1095"/>
    </row>
    <row r="307" spans="1:13" x14ac:dyDescent="0.25">
      <c r="A307">
        <v>606776</v>
      </c>
      <c r="B307" t="s">
        <v>7679</v>
      </c>
      <c r="C307" t="s">
        <v>2598</v>
      </c>
      <c r="D307" s="254">
        <v>47820.5</v>
      </c>
      <c r="E307"/>
      <c r="F307"/>
      <c r="G307"/>
      <c r="H307"/>
      <c r="I307" s="489"/>
      <c r="J307" s="1095"/>
      <c r="K307" s="1095"/>
      <c r="L307" s="1095"/>
      <c r="M307" s="1095"/>
    </row>
    <row r="308" spans="1:13" x14ac:dyDescent="0.25">
      <c r="A308">
        <v>607130</v>
      </c>
      <c r="B308" t="s">
        <v>7680</v>
      </c>
      <c r="C308" t="s">
        <v>2598</v>
      </c>
      <c r="D308" s="254">
        <v>51512.45</v>
      </c>
      <c r="E308"/>
      <c r="F308"/>
      <c r="G308"/>
      <c r="H308"/>
      <c r="I308" s="489"/>
      <c r="J308" s="1095"/>
      <c r="K308" s="1095"/>
      <c r="L308" s="1095"/>
      <c r="M308" s="1095"/>
    </row>
    <row r="309" spans="1:13" x14ac:dyDescent="0.25">
      <c r="A309">
        <v>606778</v>
      </c>
      <c r="B309" t="s">
        <v>7681</v>
      </c>
      <c r="C309" t="s">
        <v>2598</v>
      </c>
      <c r="D309" s="254">
        <v>50960.79</v>
      </c>
      <c r="E309"/>
      <c r="F309"/>
      <c r="G309"/>
      <c r="H309"/>
      <c r="I309" s="489"/>
      <c r="J309" s="1095"/>
      <c r="K309" s="1095"/>
      <c r="L309" s="1095"/>
      <c r="M309" s="1095"/>
    </row>
    <row r="310" spans="1:13" x14ac:dyDescent="0.25">
      <c r="A310">
        <v>607131</v>
      </c>
      <c r="B310" t="s">
        <v>7682</v>
      </c>
      <c r="C310" t="s">
        <v>2598</v>
      </c>
      <c r="D310" s="254">
        <v>48353.84</v>
      </c>
      <c r="E310"/>
      <c r="F310"/>
      <c r="G310"/>
      <c r="H310"/>
      <c r="I310" s="489"/>
      <c r="J310" s="1095"/>
      <c r="K310" s="1095"/>
      <c r="L310" s="1095"/>
      <c r="M310" s="1095"/>
    </row>
    <row r="311" spans="1:13" x14ac:dyDescent="0.25">
      <c r="A311">
        <v>606779</v>
      </c>
      <c r="B311" t="s">
        <v>7683</v>
      </c>
      <c r="C311" t="s">
        <v>2598</v>
      </c>
      <c r="D311" s="254">
        <v>47866.53</v>
      </c>
      <c r="E311"/>
      <c r="F311"/>
      <c r="G311"/>
      <c r="H311"/>
      <c r="I311" s="489"/>
      <c r="J311" s="1095"/>
      <c r="K311" s="1095"/>
      <c r="L311" s="1095"/>
      <c r="M311" s="1095"/>
    </row>
    <row r="312" spans="1:13" x14ac:dyDescent="0.25">
      <c r="A312">
        <v>607133</v>
      </c>
      <c r="B312" t="s">
        <v>7684</v>
      </c>
      <c r="C312" t="s">
        <v>2598</v>
      </c>
      <c r="D312" s="254">
        <v>49143.63</v>
      </c>
      <c r="E312"/>
      <c r="F312"/>
      <c r="G312"/>
      <c r="H312"/>
      <c r="I312" s="489"/>
      <c r="J312" s="1095"/>
      <c r="K312" s="1095"/>
      <c r="L312" s="1095"/>
      <c r="M312" s="1095"/>
    </row>
    <row r="313" spans="1:13" x14ac:dyDescent="0.25">
      <c r="A313">
        <v>606781</v>
      </c>
      <c r="B313" t="s">
        <v>7685</v>
      </c>
      <c r="C313" t="s">
        <v>2598</v>
      </c>
      <c r="D313" s="254">
        <v>48636.25</v>
      </c>
      <c r="E313"/>
      <c r="F313"/>
      <c r="G313"/>
      <c r="H313"/>
      <c r="I313" s="489"/>
      <c r="J313" s="1095"/>
      <c r="K313" s="1095"/>
      <c r="L313" s="1095"/>
      <c r="M313" s="1095"/>
    </row>
    <row r="314" spans="1:13" x14ac:dyDescent="0.25">
      <c r="A314">
        <v>607132</v>
      </c>
      <c r="B314" t="s">
        <v>7686</v>
      </c>
      <c r="C314" t="s">
        <v>2598</v>
      </c>
      <c r="D314" s="254">
        <v>53539.49</v>
      </c>
      <c r="E314"/>
      <c r="F314"/>
      <c r="G314"/>
      <c r="H314"/>
      <c r="I314" s="489"/>
      <c r="J314" s="1095"/>
      <c r="K314" s="1095"/>
      <c r="L314" s="1095"/>
      <c r="M314" s="1095"/>
    </row>
    <row r="315" spans="1:13" x14ac:dyDescent="0.25">
      <c r="A315">
        <v>606780</v>
      </c>
      <c r="B315" t="s">
        <v>7687</v>
      </c>
      <c r="C315" t="s">
        <v>2598</v>
      </c>
      <c r="D315" s="254">
        <v>52948.43</v>
      </c>
      <c r="E315"/>
      <c r="F315"/>
      <c r="G315"/>
      <c r="H315"/>
      <c r="I315" s="489"/>
      <c r="J315" s="1095"/>
      <c r="K315" s="1095"/>
      <c r="L315" s="1095"/>
      <c r="M315" s="1095"/>
    </row>
    <row r="316" spans="1:13" x14ac:dyDescent="0.25">
      <c r="A316">
        <v>607134</v>
      </c>
      <c r="B316" t="s">
        <v>7688</v>
      </c>
      <c r="C316" t="s">
        <v>2598</v>
      </c>
      <c r="D316" s="254">
        <v>53010.41</v>
      </c>
      <c r="E316"/>
      <c r="F316"/>
      <c r="G316"/>
      <c r="H316"/>
      <c r="I316" s="489"/>
      <c r="J316" s="1095"/>
      <c r="K316" s="1095"/>
      <c r="L316" s="1095"/>
      <c r="M316" s="1095"/>
    </row>
    <row r="317" spans="1:13" x14ac:dyDescent="0.25">
      <c r="A317">
        <v>606782</v>
      </c>
      <c r="B317" t="s">
        <v>7689</v>
      </c>
      <c r="C317" t="s">
        <v>2598</v>
      </c>
      <c r="D317" s="254">
        <v>52433.62</v>
      </c>
      <c r="E317"/>
      <c r="F317"/>
      <c r="G317"/>
      <c r="H317"/>
      <c r="I317" s="489"/>
      <c r="J317" s="1095"/>
      <c r="K317" s="1095"/>
      <c r="L317" s="1095"/>
      <c r="M317" s="1095"/>
    </row>
    <row r="318" spans="1:13" x14ac:dyDescent="0.25">
      <c r="A318">
        <v>607136</v>
      </c>
      <c r="B318" t="s">
        <v>7690</v>
      </c>
      <c r="C318" t="s">
        <v>2598</v>
      </c>
      <c r="D318" s="254">
        <v>52339.85</v>
      </c>
      <c r="E318"/>
      <c r="F318"/>
      <c r="G318"/>
      <c r="H318"/>
      <c r="I318" s="489"/>
      <c r="J318" s="1095"/>
      <c r="K318" s="1095"/>
      <c r="L318" s="1095"/>
      <c r="M318" s="1095"/>
    </row>
    <row r="319" spans="1:13" x14ac:dyDescent="0.25">
      <c r="A319">
        <v>606784</v>
      </c>
      <c r="B319" t="s">
        <v>7691</v>
      </c>
      <c r="C319" t="s">
        <v>2598</v>
      </c>
      <c r="D319" s="254">
        <v>51776.93</v>
      </c>
      <c r="E319"/>
      <c r="F319"/>
      <c r="G319"/>
      <c r="H319"/>
      <c r="I319" s="489"/>
      <c r="J319" s="1095"/>
      <c r="K319" s="1095"/>
      <c r="L319" s="1095"/>
      <c r="M319" s="1095"/>
    </row>
    <row r="320" spans="1:13" x14ac:dyDescent="0.25">
      <c r="A320">
        <v>607135</v>
      </c>
      <c r="B320" t="s">
        <v>7692</v>
      </c>
      <c r="C320" t="s">
        <v>2598</v>
      </c>
      <c r="D320" s="254">
        <v>58399.08</v>
      </c>
      <c r="E320"/>
      <c r="F320"/>
      <c r="G320"/>
      <c r="H320"/>
      <c r="I320" s="489"/>
      <c r="J320" s="1095"/>
      <c r="K320" s="1095"/>
      <c r="L320" s="1095"/>
      <c r="M320" s="1095"/>
    </row>
    <row r="321" spans="1:13" x14ac:dyDescent="0.25">
      <c r="A321">
        <v>606783</v>
      </c>
      <c r="B321" t="s">
        <v>7693</v>
      </c>
      <c r="C321" t="s">
        <v>2598</v>
      </c>
      <c r="D321" s="254">
        <v>57751.4</v>
      </c>
      <c r="E321"/>
      <c r="F321"/>
      <c r="G321"/>
      <c r="H321"/>
      <c r="I321" s="489"/>
      <c r="J321" s="1095"/>
      <c r="K321" s="1095"/>
      <c r="L321" s="1095"/>
      <c r="M321" s="1095"/>
    </row>
    <row r="322" spans="1:13" x14ac:dyDescent="0.25">
      <c r="A322">
        <v>607138</v>
      </c>
      <c r="B322" t="s">
        <v>7694</v>
      </c>
      <c r="C322" t="s">
        <v>2598</v>
      </c>
      <c r="D322" s="254">
        <v>53228.26</v>
      </c>
      <c r="E322"/>
      <c r="F322"/>
      <c r="G322"/>
      <c r="H322"/>
      <c r="I322" s="489"/>
      <c r="J322" s="1095"/>
      <c r="K322" s="1095"/>
      <c r="L322" s="1095"/>
      <c r="M322" s="1095"/>
    </row>
    <row r="323" spans="1:13" x14ac:dyDescent="0.25">
      <c r="A323">
        <v>606786</v>
      </c>
      <c r="B323" t="s">
        <v>7695</v>
      </c>
      <c r="C323" t="s">
        <v>2598</v>
      </c>
      <c r="D323" s="254">
        <v>52631.76</v>
      </c>
      <c r="E323"/>
      <c r="F323"/>
      <c r="G323"/>
      <c r="H323"/>
      <c r="I323" s="489"/>
      <c r="J323" s="1095"/>
      <c r="K323" s="1095"/>
      <c r="L323" s="1095"/>
      <c r="M323" s="1095"/>
    </row>
    <row r="324" spans="1:13" x14ac:dyDescent="0.25">
      <c r="A324">
        <v>606842</v>
      </c>
      <c r="B324" t="s">
        <v>13750</v>
      </c>
      <c r="C324" t="s">
        <v>2598</v>
      </c>
      <c r="D324" s="254">
        <v>65697.320000000007</v>
      </c>
      <c r="E324"/>
      <c r="F324"/>
      <c r="G324"/>
      <c r="H324"/>
      <c r="I324" s="489"/>
      <c r="J324" s="1095"/>
      <c r="K324" s="1095"/>
      <c r="L324" s="1095"/>
      <c r="M324" s="1095"/>
    </row>
    <row r="325" spans="1:13" x14ac:dyDescent="0.25">
      <c r="A325">
        <v>606832</v>
      </c>
      <c r="B325" t="s">
        <v>13751</v>
      </c>
      <c r="C325" t="s">
        <v>2598</v>
      </c>
      <c r="D325" s="254">
        <v>65412.67</v>
      </c>
      <c r="E325"/>
      <c r="F325"/>
      <c r="G325"/>
      <c r="H325"/>
      <c r="I325" s="489"/>
      <c r="J325" s="1095"/>
      <c r="K325" s="1095"/>
      <c r="L325" s="1095"/>
      <c r="M325" s="1095"/>
    </row>
    <row r="326" spans="1:13" x14ac:dyDescent="0.25">
      <c r="A326">
        <v>606843</v>
      </c>
      <c r="B326" t="s">
        <v>13752</v>
      </c>
      <c r="C326" t="s">
        <v>2598</v>
      </c>
      <c r="D326" s="254">
        <v>68445.149999999994</v>
      </c>
      <c r="E326"/>
      <c r="F326"/>
      <c r="G326"/>
      <c r="H326"/>
      <c r="I326" s="489"/>
      <c r="J326" s="1095"/>
      <c r="K326" s="1095"/>
      <c r="L326" s="1095"/>
      <c r="M326" s="1095"/>
    </row>
    <row r="327" spans="1:13" x14ac:dyDescent="0.25">
      <c r="A327">
        <v>606833</v>
      </c>
      <c r="B327" t="s">
        <v>13753</v>
      </c>
      <c r="C327" t="s">
        <v>2598</v>
      </c>
      <c r="D327" s="254">
        <v>68144.070000000007</v>
      </c>
      <c r="E327"/>
      <c r="F327"/>
      <c r="G327"/>
      <c r="H327"/>
      <c r="I327" s="489"/>
      <c r="J327" s="1095"/>
      <c r="K327" s="1095"/>
      <c r="L327" s="1095"/>
      <c r="M327" s="1095"/>
    </row>
    <row r="328" spans="1:13" x14ac:dyDescent="0.25">
      <c r="A328">
        <v>606845</v>
      </c>
      <c r="B328" t="s">
        <v>13754</v>
      </c>
      <c r="C328" t="s">
        <v>2598</v>
      </c>
      <c r="D328" s="254">
        <v>70951.22</v>
      </c>
      <c r="E328"/>
      <c r="F328"/>
      <c r="G328"/>
      <c r="H328"/>
      <c r="I328" s="489"/>
      <c r="J328" s="1095"/>
      <c r="K328" s="1095"/>
      <c r="L328" s="1095"/>
      <c r="M328" s="1095"/>
    </row>
    <row r="329" spans="1:13" x14ac:dyDescent="0.25">
      <c r="A329">
        <v>606835</v>
      </c>
      <c r="B329" t="s">
        <v>13755</v>
      </c>
      <c r="C329" t="s">
        <v>2598</v>
      </c>
      <c r="D329" s="254">
        <v>70653.2</v>
      </c>
      <c r="E329"/>
      <c r="F329"/>
      <c r="G329"/>
      <c r="H329"/>
      <c r="I329" s="489"/>
      <c r="J329" s="1095"/>
      <c r="K329" s="1095"/>
      <c r="L329" s="1095"/>
      <c r="M329" s="1095"/>
    </row>
    <row r="330" spans="1:13" x14ac:dyDescent="0.25">
      <c r="A330">
        <v>606844</v>
      </c>
      <c r="B330" t="s">
        <v>13756</v>
      </c>
      <c r="C330" t="s">
        <v>2598</v>
      </c>
      <c r="D330" s="254">
        <v>69506.649999999994</v>
      </c>
      <c r="E330"/>
      <c r="F330"/>
      <c r="G330"/>
      <c r="H330"/>
      <c r="I330" s="489"/>
      <c r="J330" s="1095"/>
      <c r="K330" s="1095"/>
      <c r="L330" s="1095"/>
      <c r="M330" s="1095"/>
    </row>
    <row r="331" spans="1:13" x14ac:dyDescent="0.25">
      <c r="A331">
        <v>606834</v>
      </c>
      <c r="B331" t="s">
        <v>13757</v>
      </c>
      <c r="C331" t="s">
        <v>2598</v>
      </c>
      <c r="D331" s="254">
        <v>69198.2</v>
      </c>
      <c r="E331"/>
      <c r="F331"/>
      <c r="G331"/>
      <c r="H331"/>
      <c r="I331" s="489"/>
      <c r="J331" s="1095"/>
      <c r="K331" s="1095"/>
      <c r="L331" s="1095"/>
      <c r="M331" s="1095"/>
    </row>
    <row r="332" spans="1:13" x14ac:dyDescent="0.25">
      <c r="A332">
        <v>606847</v>
      </c>
      <c r="B332" t="s">
        <v>13758</v>
      </c>
      <c r="C332" t="s">
        <v>2598</v>
      </c>
      <c r="D332" s="254">
        <v>74183.509999999995</v>
      </c>
      <c r="E332"/>
      <c r="F332"/>
      <c r="G332"/>
      <c r="H332"/>
      <c r="I332" s="489"/>
      <c r="J332" s="1095"/>
      <c r="K332" s="1095"/>
      <c r="L332" s="1095"/>
      <c r="M332" s="1095"/>
    </row>
    <row r="333" spans="1:13" x14ac:dyDescent="0.25">
      <c r="A333">
        <v>606837</v>
      </c>
      <c r="B333" t="s">
        <v>13759</v>
      </c>
      <c r="C333" t="s">
        <v>2598</v>
      </c>
      <c r="D333" s="254">
        <v>73842.97</v>
      </c>
      <c r="E333"/>
      <c r="F333"/>
      <c r="G333"/>
      <c r="H333"/>
      <c r="I333" s="489"/>
      <c r="J333" s="1095"/>
      <c r="K333" s="1095"/>
      <c r="L333" s="1095"/>
      <c r="M333" s="1095"/>
    </row>
    <row r="334" spans="1:13" x14ac:dyDescent="0.25">
      <c r="A334">
        <v>606846</v>
      </c>
      <c r="B334" t="s">
        <v>13760</v>
      </c>
      <c r="C334" t="s">
        <v>2598</v>
      </c>
      <c r="D334" s="254">
        <v>76022.31</v>
      </c>
      <c r="E334"/>
      <c r="F334"/>
      <c r="G334"/>
      <c r="H334"/>
      <c r="I334" s="489"/>
      <c r="J334" s="1095"/>
      <c r="K334" s="1095"/>
      <c r="L334" s="1095"/>
      <c r="M334" s="1095"/>
    </row>
    <row r="335" spans="1:13" x14ac:dyDescent="0.25">
      <c r="A335">
        <v>606836</v>
      </c>
      <c r="B335" t="s">
        <v>13761</v>
      </c>
      <c r="C335" t="s">
        <v>2598</v>
      </c>
      <c r="D335" s="254">
        <v>75679.960000000006</v>
      </c>
      <c r="E335"/>
      <c r="F335"/>
      <c r="G335"/>
      <c r="H335"/>
      <c r="I335" s="489"/>
      <c r="J335" s="1095"/>
      <c r="K335" s="1095"/>
      <c r="L335" s="1095"/>
      <c r="M335" s="1095"/>
    </row>
    <row r="336" spans="1:13" x14ac:dyDescent="0.25">
      <c r="A336">
        <v>606848</v>
      </c>
      <c r="B336" t="s">
        <v>13762</v>
      </c>
      <c r="C336" t="s">
        <v>2598</v>
      </c>
      <c r="D336" s="254">
        <v>75731.67</v>
      </c>
      <c r="E336"/>
      <c r="F336"/>
      <c r="G336"/>
      <c r="H336"/>
      <c r="I336" s="489"/>
      <c r="J336" s="1095"/>
      <c r="K336" s="1095"/>
      <c r="L336" s="1095"/>
      <c r="M336" s="1095"/>
    </row>
    <row r="337" spans="1:13" x14ac:dyDescent="0.25">
      <c r="A337">
        <v>606838</v>
      </c>
      <c r="B337" t="s">
        <v>13763</v>
      </c>
      <c r="C337" t="s">
        <v>2598</v>
      </c>
      <c r="D337" s="254">
        <v>75374.02</v>
      </c>
      <c r="E337"/>
      <c r="F337"/>
      <c r="G337"/>
      <c r="H337"/>
      <c r="I337" s="489"/>
      <c r="J337" s="1095"/>
      <c r="K337" s="1095"/>
      <c r="L337" s="1095"/>
      <c r="M337" s="1095"/>
    </row>
    <row r="338" spans="1:13" x14ac:dyDescent="0.25">
      <c r="A338">
        <v>606849</v>
      </c>
      <c r="B338" t="s">
        <v>13764</v>
      </c>
      <c r="C338" t="s">
        <v>2598</v>
      </c>
      <c r="D338" s="254">
        <v>81020.28</v>
      </c>
      <c r="E338"/>
      <c r="F338"/>
      <c r="G338"/>
      <c r="H338"/>
      <c r="I338" s="489"/>
      <c r="J338" s="1095"/>
      <c r="K338" s="1095"/>
      <c r="L338" s="1095"/>
      <c r="M338" s="1095"/>
    </row>
    <row r="339" spans="1:13" x14ac:dyDescent="0.25">
      <c r="A339">
        <v>606839</v>
      </c>
      <c r="B339" t="s">
        <v>13765</v>
      </c>
      <c r="C339" t="s">
        <v>2598</v>
      </c>
      <c r="D339" s="254">
        <v>80674.710000000006</v>
      </c>
      <c r="E339"/>
      <c r="F339"/>
      <c r="G339"/>
      <c r="H339"/>
      <c r="I339" s="489"/>
      <c r="J339" s="1095"/>
      <c r="K339" s="1095"/>
      <c r="L339" s="1095"/>
      <c r="M339" s="1095"/>
    </row>
    <row r="340" spans="1:13" x14ac:dyDescent="0.25">
      <c r="A340">
        <v>606850</v>
      </c>
      <c r="B340" t="s">
        <v>13766</v>
      </c>
      <c r="C340" t="s">
        <v>2598</v>
      </c>
      <c r="D340" s="254">
        <v>81700.37</v>
      </c>
      <c r="E340"/>
      <c r="F340"/>
      <c r="G340"/>
      <c r="H340"/>
      <c r="I340" s="489"/>
      <c r="J340" s="1095"/>
      <c r="K340" s="1095"/>
      <c r="L340" s="1095"/>
      <c r="M340" s="1095"/>
    </row>
    <row r="341" spans="1:13" x14ac:dyDescent="0.25">
      <c r="A341">
        <v>606840</v>
      </c>
      <c r="B341" t="s">
        <v>13767</v>
      </c>
      <c r="C341" t="s">
        <v>2598</v>
      </c>
      <c r="D341" s="254">
        <v>81318.41</v>
      </c>
      <c r="E341"/>
      <c r="F341"/>
      <c r="G341"/>
      <c r="H341"/>
      <c r="I341" s="489"/>
      <c r="J341" s="1095"/>
      <c r="K341" s="1095"/>
      <c r="L341" s="1095"/>
      <c r="M341" s="1095"/>
    </row>
    <row r="342" spans="1:13" x14ac:dyDescent="0.25">
      <c r="A342">
        <v>606851</v>
      </c>
      <c r="B342" t="s">
        <v>13768</v>
      </c>
      <c r="C342" t="s">
        <v>2598</v>
      </c>
      <c r="D342" s="254">
        <v>82159.73</v>
      </c>
      <c r="E342"/>
      <c r="F342"/>
      <c r="G342"/>
      <c r="H342"/>
      <c r="I342" s="489"/>
      <c r="J342" s="1095"/>
      <c r="K342" s="1095"/>
      <c r="L342" s="1095"/>
      <c r="M342" s="1095"/>
    </row>
    <row r="343" spans="1:13" x14ac:dyDescent="0.25">
      <c r="A343">
        <v>606841</v>
      </c>
      <c r="B343" t="s">
        <v>13769</v>
      </c>
      <c r="C343" t="s">
        <v>2598</v>
      </c>
      <c r="D343" s="254">
        <v>81796.509999999995</v>
      </c>
      <c r="E343"/>
      <c r="F343"/>
      <c r="G343"/>
      <c r="H343"/>
      <c r="I343" s="489"/>
      <c r="J343" s="1095"/>
      <c r="K343" s="1095"/>
      <c r="L343" s="1095"/>
      <c r="M343" s="1095"/>
    </row>
    <row r="344" spans="1:13" x14ac:dyDescent="0.25">
      <c r="A344">
        <v>605604</v>
      </c>
      <c r="B344" t="s">
        <v>7696</v>
      </c>
      <c r="C344" t="s">
        <v>2596</v>
      </c>
      <c r="D344" s="254">
        <v>293.72000000000003</v>
      </c>
      <c r="E344"/>
      <c r="F344"/>
      <c r="G344"/>
      <c r="H344"/>
      <c r="I344" s="489"/>
      <c r="J344" s="1095"/>
      <c r="K344" s="1095"/>
      <c r="L344" s="1095"/>
      <c r="M344" s="1095"/>
    </row>
    <row r="345" spans="1:13" x14ac:dyDescent="0.25">
      <c r="A345">
        <v>605695</v>
      </c>
      <c r="B345" t="s">
        <v>7697</v>
      </c>
      <c r="C345" t="s">
        <v>2598</v>
      </c>
      <c r="D345" s="254">
        <v>1550.31</v>
      </c>
      <c r="E345"/>
      <c r="F345"/>
      <c r="G345"/>
      <c r="H345"/>
      <c r="I345" s="489"/>
      <c r="J345" s="1095"/>
      <c r="K345" s="1095"/>
      <c r="L345" s="1095"/>
      <c r="M345" s="1095"/>
    </row>
    <row r="346" spans="1:13" x14ac:dyDescent="0.25">
      <c r="A346">
        <v>605607</v>
      </c>
      <c r="B346" t="s">
        <v>7698</v>
      </c>
      <c r="C346" t="s">
        <v>2598</v>
      </c>
      <c r="D346" s="254">
        <v>1528.57</v>
      </c>
      <c r="E346"/>
      <c r="F346"/>
      <c r="G346"/>
      <c r="H346"/>
      <c r="I346" s="489"/>
      <c r="J346" s="1095"/>
      <c r="K346" s="1095"/>
      <c r="L346" s="1095"/>
      <c r="M346" s="1095"/>
    </row>
    <row r="347" spans="1:13" x14ac:dyDescent="0.25">
      <c r="A347">
        <v>605696</v>
      </c>
      <c r="B347" t="s">
        <v>7699</v>
      </c>
      <c r="C347" t="s">
        <v>2598</v>
      </c>
      <c r="D347" s="254">
        <v>1785.1</v>
      </c>
      <c r="E347"/>
      <c r="F347"/>
      <c r="G347"/>
      <c r="H347"/>
      <c r="I347" s="489"/>
      <c r="J347" s="1095"/>
      <c r="K347" s="1095"/>
      <c r="L347" s="1095"/>
      <c r="M347" s="1095"/>
    </row>
    <row r="348" spans="1:13" x14ac:dyDescent="0.25">
      <c r="A348">
        <v>605608</v>
      </c>
      <c r="B348" t="s">
        <v>7700</v>
      </c>
      <c r="C348" t="s">
        <v>2598</v>
      </c>
      <c r="D348" s="254">
        <v>1762</v>
      </c>
      <c r="E348"/>
      <c r="F348"/>
      <c r="G348"/>
      <c r="H348"/>
      <c r="I348" s="489"/>
      <c r="J348" s="1095"/>
      <c r="K348" s="1095"/>
      <c r="L348" s="1095"/>
      <c r="M348" s="1095"/>
    </row>
    <row r="349" spans="1:13" x14ac:dyDescent="0.25">
      <c r="A349">
        <v>605697</v>
      </c>
      <c r="B349" t="s">
        <v>7701</v>
      </c>
      <c r="C349" t="s">
        <v>2598</v>
      </c>
      <c r="D349" s="254">
        <v>2019.92</v>
      </c>
      <c r="E349"/>
      <c r="F349"/>
      <c r="G349"/>
      <c r="H349"/>
      <c r="I349" s="489"/>
      <c r="J349" s="1095"/>
      <c r="K349" s="1095"/>
      <c r="L349" s="1095"/>
      <c r="M349" s="1095"/>
    </row>
    <row r="350" spans="1:13" x14ac:dyDescent="0.25">
      <c r="A350">
        <v>605609</v>
      </c>
      <c r="B350" t="s">
        <v>7702</v>
      </c>
      <c r="C350" t="s">
        <v>2598</v>
      </c>
      <c r="D350" s="254">
        <v>1995.47</v>
      </c>
      <c r="E350"/>
      <c r="F350"/>
      <c r="G350"/>
      <c r="H350"/>
      <c r="I350" s="489"/>
      <c r="J350" s="1095"/>
      <c r="K350" s="1095"/>
      <c r="L350" s="1095"/>
      <c r="M350" s="1095"/>
    </row>
    <row r="351" spans="1:13" x14ac:dyDescent="0.25">
      <c r="A351">
        <v>605698</v>
      </c>
      <c r="B351" t="s">
        <v>7703</v>
      </c>
      <c r="C351" t="s">
        <v>2598</v>
      </c>
      <c r="D351" s="254">
        <v>2208.87</v>
      </c>
      <c r="E351"/>
      <c r="F351"/>
      <c r="G351"/>
      <c r="H351"/>
      <c r="I351" s="489"/>
      <c r="J351" s="1095"/>
      <c r="K351" s="1095"/>
      <c r="L351" s="1095"/>
      <c r="M351" s="1095"/>
    </row>
    <row r="352" spans="1:13" x14ac:dyDescent="0.25">
      <c r="A352">
        <v>605610</v>
      </c>
      <c r="B352" t="s">
        <v>7704</v>
      </c>
      <c r="C352" t="s">
        <v>2598</v>
      </c>
      <c r="D352" s="254">
        <v>2183.0500000000002</v>
      </c>
      <c r="E352"/>
      <c r="F352"/>
      <c r="G352"/>
      <c r="H352"/>
      <c r="I352" s="489"/>
      <c r="J352" s="1095"/>
      <c r="K352" s="1095"/>
      <c r="L352" s="1095"/>
      <c r="M352" s="1095"/>
    </row>
    <row r="353" spans="1:13" x14ac:dyDescent="0.25">
      <c r="A353">
        <v>605699</v>
      </c>
      <c r="B353" t="s">
        <v>7705</v>
      </c>
      <c r="C353" t="s">
        <v>2598</v>
      </c>
      <c r="D353" s="254">
        <v>2443.2399999999998</v>
      </c>
      <c r="E353"/>
      <c r="F353"/>
      <c r="G353"/>
      <c r="H353"/>
      <c r="I353" s="489"/>
      <c r="J353" s="1095"/>
      <c r="K353" s="1095"/>
      <c r="L353" s="1095"/>
      <c r="M353" s="1095"/>
    </row>
    <row r="354" spans="1:13" x14ac:dyDescent="0.25">
      <c r="A354">
        <v>605611</v>
      </c>
      <c r="B354" t="s">
        <v>7706</v>
      </c>
      <c r="C354" t="s">
        <v>2598</v>
      </c>
      <c r="D354" s="254">
        <v>2416.0700000000002</v>
      </c>
      <c r="E354"/>
      <c r="F354"/>
      <c r="G354"/>
      <c r="H354"/>
      <c r="I354" s="489"/>
      <c r="J354" s="1095"/>
      <c r="K354" s="1095"/>
      <c r="L354" s="1095"/>
      <c r="M354" s="1095"/>
    </row>
    <row r="355" spans="1:13" x14ac:dyDescent="0.25">
      <c r="A355">
        <v>605700</v>
      </c>
      <c r="B355" t="s">
        <v>7707</v>
      </c>
      <c r="C355" t="s">
        <v>2598</v>
      </c>
      <c r="D355" s="254">
        <v>2770.29</v>
      </c>
      <c r="E355"/>
      <c r="F355"/>
      <c r="G355"/>
      <c r="H355"/>
      <c r="I355" s="489"/>
      <c r="J355" s="1095"/>
      <c r="K355" s="1095"/>
      <c r="L355" s="1095"/>
      <c r="M355" s="1095"/>
    </row>
    <row r="356" spans="1:13" x14ac:dyDescent="0.25">
      <c r="A356">
        <v>605612</v>
      </c>
      <c r="B356" t="s">
        <v>7708</v>
      </c>
      <c r="C356" t="s">
        <v>2598</v>
      </c>
      <c r="D356" s="254">
        <v>2741.76</v>
      </c>
      <c r="E356"/>
      <c r="F356"/>
      <c r="G356"/>
      <c r="H356"/>
      <c r="I356" s="489"/>
      <c r="J356" s="1095"/>
      <c r="K356" s="1095"/>
      <c r="L356" s="1095"/>
      <c r="M356" s="1095"/>
    </row>
    <row r="357" spans="1:13" x14ac:dyDescent="0.25">
      <c r="A357">
        <v>605701</v>
      </c>
      <c r="B357" t="s">
        <v>7709</v>
      </c>
      <c r="C357" t="s">
        <v>2598</v>
      </c>
      <c r="D357" s="254">
        <v>2959.21</v>
      </c>
      <c r="E357"/>
      <c r="F357"/>
      <c r="G357"/>
      <c r="H357"/>
      <c r="I357" s="489"/>
      <c r="J357" s="1095"/>
      <c r="K357" s="1095"/>
      <c r="L357" s="1095"/>
      <c r="M357" s="1095"/>
    </row>
    <row r="358" spans="1:13" x14ac:dyDescent="0.25">
      <c r="A358">
        <v>605613</v>
      </c>
      <c r="B358" t="s">
        <v>7710</v>
      </c>
      <c r="C358" t="s">
        <v>2598</v>
      </c>
      <c r="D358" s="254">
        <v>2929.32</v>
      </c>
      <c r="E358"/>
      <c r="F358"/>
      <c r="G358"/>
      <c r="H358"/>
      <c r="I358" s="489"/>
      <c r="J358" s="1095"/>
      <c r="K358" s="1095"/>
      <c r="L358" s="1095"/>
      <c r="M358" s="1095"/>
    </row>
    <row r="359" spans="1:13" x14ac:dyDescent="0.25">
      <c r="A359">
        <v>605702</v>
      </c>
      <c r="B359" t="s">
        <v>7711</v>
      </c>
      <c r="C359" t="s">
        <v>2598</v>
      </c>
      <c r="D359" s="254">
        <v>3229.21</v>
      </c>
      <c r="E359"/>
      <c r="F359"/>
      <c r="G359"/>
      <c r="H359"/>
      <c r="I359" s="489"/>
      <c r="J359" s="1095"/>
      <c r="K359" s="1095"/>
      <c r="L359" s="1095"/>
      <c r="M359" s="1095"/>
    </row>
    <row r="360" spans="1:13" x14ac:dyDescent="0.25">
      <c r="A360">
        <v>605614</v>
      </c>
      <c r="B360" t="s">
        <v>7712</v>
      </c>
      <c r="C360" t="s">
        <v>2598</v>
      </c>
      <c r="D360" s="254">
        <v>3182.34</v>
      </c>
      <c r="E360"/>
      <c r="F360"/>
      <c r="G360"/>
      <c r="H360"/>
      <c r="I360" s="489"/>
      <c r="J360" s="1095"/>
      <c r="K360" s="1095"/>
      <c r="L360" s="1095"/>
      <c r="M360" s="1095"/>
    </row>
    <row r="361" spans="1:13" x14ac:dyDescent="0.25">
      <c r="A361">
        <v>605703</v>
      </c>
      <c r="B361" t="s">
        <v>7713</v>
      </c>
      <c r="C361" t="s">
        <v>2598</v>
      </c>
      <c r="D361" s="254">
        <v>3421.49</v>
      </c>
      <c r="E361"/>
      <c r="F361"/>
      <c r="G361"/>
      <c r="H361"/>
      <c r="I361" s="489"/>
      <c r="J361" s="1095"/>
      <c r="K361" s="1095"/>
      <c r="L361" s="1095"/>
      <c r="M361" s="1095"/>
    </row>
    <row r="362" spans="1:13" x14ac:dyDescent="0.25">
      <c r="A362">
        <v>605615</v>
      </c>
      <c r="B362" t="s">
        <v>7714</v>
      </c>
      <c r="C362" t="s">
        <v>2598</v>
      </c>
      <c r="D362" s="254">
        <v>3372.59</v>
      </c>
      <c r="E362"/>
      <c r="F362"/>
      <c r="G362"/>
      <c r="H362"/>
      <c r="I362" s="489"/>
      <c r="J362" s="1095"/>
      <c r="K362" s="1095"/>
      <c r="L362" s="1095"/>
      <c r="M362" s="1095"/>
    </row>
    <row r="363" spans="1:13" x14ac:dyDescent="0.25">
      <c r="A363">
        <v>605704</v>
      </c>
      <c r="B363" t="s">
        <v>7715</v>
      </c>
      <c r="C363" t="s">
        <v>2598</v>
      </c>
      <c r="D363" s="254">
        <v>3661.43</v>
      </c>
      <c r="E363"/>
      <c r="F363"/>
      <c r="G363"/>
      <c r="H363"/>
      <c r="I363" s="489"/>
      <c r="J363" s="1095"/>
      <c r="K363" s="1095"/>
      <c r="L363" s="1095"/>
      <c r="M363" s="1095"/>
    </row>
    <row r="364" spans="1:13" x14ac:dyDescent="0.25">
      <c r="A364">
        <v>605616</v>
      </c>
      <c r="B364" t="s">
        <v>7716</v>
      </c>
      <c r="C364" t="s">
        <v>2598</v>
      </c>
      <c r="D364" s="254">
        <v>3610.48</v>
      </c>
      <c r="E364"/>
      <c r="F364"/>
      <c r="G364"/>
      <c r="H364"/>
      <c r="I364" s="489"/>
      <c r="J364" s="1095"/>
      <c r="K364" s="1095"/>
      <c r="L364" s="1095"/>
      <c r="M364" s="1095"/>
    </row>
    <row r="365" spans="1:13" x14ac:dyDescent="0.25">
      <c r="A365">
        <v>605705</v>
      </c>
      <c r="B365" t="s">
        <v>7717</v>
      </c>
      <c r="C365" t="s">
        <v>2598</v>
      </c>
      <c r="D365" s="254">
        <v>3904.28</v>
      </c>
      <c r="E365"/>
      <c r="F365"/>
      <c r="G365"/>
      <c r="H365"/>
      <c r="I365" s="489"/>
      <c r="J365" s="1095"/>
      <c r="K365" s="1095"/>
      <c r="L365" s="1095"/>
      <c r="M365" s="1095"/>
    </row>
    <row r="366" spans="1:13" x14ac:dyDescent="0.25">
      <c r="A366">
        <v>605617</v>
      </c>
      <c r="B366" t="s">
        <v>7718</v>
      </c>
      <c r="C366" t="s">
        <v>2598</v>
      </c>
      <c r="D366" s="254">
        <v>3851.3</v>
      </c>
      <c r="E366"/>
      <c r="F366"/>
      <c r="G366"/>
      <c r="H366"/>
      <c r="I366" s="489"/>
      <c r="J366" s="1095"/>
      <c r="K366" s="1095"/>
      <c r="L366" s="1095"/>
      <c r="M366" s="1095"/>
    </row>
    <row r="367" spans="1:13" x14ac:dyDescent="0.25">
      <c r="A367">
        <v>605706</v>
      </c>
      <c r="B367" t="s">
        <v>7719</v>
      </c>
      <c r="C367" t="s">
        <v>2598</v>
      </c>
      <c r="D367" s="254">
        <v>4102.51</v>
      </c>
      <c r="E367"/>
      <c r="F367"/>
      <c r="G367"/>
      <c r="H367"/>
      <c r="I367" s="489"/>
      <c r="J367" s="1095"/>
      <c r="K367" s="1095"/>
      <c r="L367" s="1095"/>
      <c r="M367" s="1095"/>
    </row>
    <row r="368" spans="1:13" x14ac:dyDescent="0.25">
      <c r="A368">
        <v>605618</v>
      </c>
      <c r="B368" t="s">
        <v>7720</v>
      </c>
      <c r="C368" t="s">
        <v>2598</v>
      </c>
      <c r="D368" s="254">
        <v>4047.48</v>
      </c>
      <c r="E368"/>
      <c r="F368"/>
      <c r="G368"/>
      <c r="H368"/>
      <c r="I368" s="489"/>
      <c r="J368" s="1095"/>
      <c r="K368" s="1095"/>
      <c r="L368" s="1095"/>
      <c r="M368" s="1095"/>
    </row>
    <row r="369" spans="1:13" x14ac:dyDescent="0.25">
      <c r="A369">
        <v>605707</v>
      </c>
      <c r="B369" t="s">
        <v>7721</v>
      </c>
      <c r="C369" t="s">
        <v>2598</v>
      </c>
      <c r="D369" s="254">
        <v>4575.42</v>
      </c>
      <c r="E369"/>
      <c r="F369"/>
      <c r="G369"/>
      <c r="H369"/>
      <c r="I369" s="489"/>
      <c r="J369" s="1095"/>
      <c r="K369" s="1095"/>
      <c r="L369" s="1095"/>
      <c r="M369" s="1095"/>
    </row>
    <row r="370" spans="1:13" x14ac:dyDescent="0.25">
      <c r="A370">
        <v>605619</v>
      </c>
      <c r="B370" t="s">
        <v>7722</v>
      </c>
      <c r="C370" t="s">
        <v>2598</v>
      </c>
      <c r="D370" s="254">
        <v>4518.3599999999997</v>
      </c>
      <c r="E370"/>
      <c r="F370"/>
      <c r="G370"/>
      <c r="H370"/>
      <c r="I370" s="489"/>
      <c r="J370" s="1095"/>
      <c r="K370" s="1095"/>
      <c r="L370" s="1095"/>
      <c r="M370" s="1095"/>
    </row>
    <row r="371" spans="1:13" x14ac:dyDescent="0.25">
      <c r="A371">
        <v>605708</v>
      </c>
      <c r="B371" t="s">
        <v>7723</v>
      </c>
      <c r="C371" t="s">
        <v>2598</v>
      </c>
      <c r="D371" s="254">
        <v>5371.35</v>
      </c>
      <c r="E371"/>
      <c r="F371"/>
      <c r="G371"/>
      <c r="H371"/>
      <c r="I371" s="489"/>
      <c r="J371" s="1095"/>
      <c r="K371" s="1095"/>
      <c r="L371" s="1095"/>
      <c r="M371" s="1095"/>
    </row>
    <row r="372" spans="1:13" x14ac:dyDescent="0.25">
      <c r="A372">
        <v>605620</v>
      </c>
      <c r="B372" t="s">
        <v>7724</v>
      </c>
      <c r="C372" t="s">
        <v>2598</v>
      </c>
      <c r="D372" s="254">
        <v>5312.25</v>
      </c>
      <c r="E372"/>
      <c r="F372"/>
      <c r="G372"/>
      <c r="H372"/>
      <c r="I372" s="489"/>
      <c r="J372" s="1095"/>
      <c r="K372" s="1095"/>
      <c r="L372" s="1095"/>
      <c r="M372" s="1095"/>
    </row>
    <row r="373" spans="1:13" x14ac:dyDescent="0.25">
      <c r="A373">
        <v>605709</v>
      </c>
      <c r="B373" t="s">
        <v>7725</v>
      </c>
      <c r="C373" t="s">
        <v>2598</v>
      </c>
      <c r="D373" s="254">
        <v>5623.86</v>
      </c>
      <c r="E373"/>
      <c r="F373"/>
      <c r="G373"/>
      <c r="H373"/>
      <c r="I373" s="489"/>
      <c r="J373" s="1095"/>
      <c r="K373" s="1095"/>
      <c r="L373" s="1095"/>
      <c r="M373" s="1095"/>
    </row>
    <row r="374" spans="1:13" x14ac:dyDescent="0.25">
      <c r="A374">
        <v>605621</v>
      </c>
      <c r="B374" t="s">
        <v>7726</v>
      </c>
      <c r="C374" t="s">
        <v>2598</v>
      </c>
      <c r="D374" s="254">
        <v>5562.72</v>
      </c>
      <c r="E374"/>
      <c r="F374"/>
      <c r="G374"/>
      <c r="H374"/>
      <c r="I374" s="489"/>
      <c r="J374" s="1095"/>
      <c r="K374" s="1095"/>
      <c r="L374" s="1095"/>
      <c r="M374" s="1095"/>
    </row>
    <row r="375" spans="1:13" x14ac:dyDescent="0.25">
      <c r="A375">
        <v>605710</v>
      </c>
      <c r="B375" t="s">
        <v>7727</v>
      </c>
      <c r="C375" t="s">
        <v>2598</v>
      </c>
      <c r="D375" s="254">
        <v>6042.1</v>
      </c>
      <c r="E375"/>
      <c r="F375"/>
      <c r="G375"/>
      <c r="H375"/>
      <c r="I375" s="489"/>
      <c r="J375" s="1095"/>
      <c r="K375" s="1095"/>
      <c r="L375" s="1095"/>
      <c r="M375" s="1095"/>
    </row>
    <row r="376" spans="1:13" x14ac:dyDescent="0.25">
      <c r="A376">
        <v>605622</v>
      </c>
      <c r="B376" t="s">
        <v>7728</v>
      </c>
      <c r="C376" t="s">
        <v>2598</v>
      </c>
      <c r="D376" s="254">
        <v>5978.93</v>
      </c>
      <c r="E376"/>
      <c r="F376"/>
      <c r="G376"/>
      <c r="H376"/>
      <c r="I376" s="489"/>
      <c r="J376" s="1095"/>
      <c r="K376" s="1095"/>
      <c r="L376" s="1095"/>
      <c r="M376" s="1095"/>
    </row>
    <row r="377" spans="1:13" x14ac:dyDescent="0.25">
      <c r="A377">
        <v>605711</v>
      </c>
      <c r="B377" t="s">
        <v>7729</v>
      </c>
      <c r="C377" t="s">
        <v>2598</v>
      </c>
      <c r="D377" s="254">
        <v>6248</v>
      </c>
      <c r="E377"/>
      <c r="F377"/>
      <c r="G377"/>
      <c r="H377"/>
      <c r="I377" s="489"/>
      <c r="J377" s="1095"/>
      <c r="K377" s="1095"/>
      <c r="L377" s="1095"/>
      <c r="M377" s="1095"/>
    </row>
    <row r="378" spans="1:13" x14ac:dyDescent="0.25">
      <c r="A378">
        <v>605623</v>
      </c>
      <c r="B378" t="s">
        <v>7730</v>
      </c>
      <c r="C378" t="s">
        <v>2598</v>
      </c>
      <c r="D378" s="254">
        <v>6182.79</v>
      </c>
      <c r="E378"/>
      <c r="F378"/>
      <c r="G378"/>
      <c r="H378"/>
      <c r="I378" s="489"/>
      <c r="J378" s="1095"/>
      <c r="K378" s="1095"/>
      <c r="L378" s="1095"/>
      <c r="M378" s="1095"/>
    </row>
    <row r="379" spans="1:13" x14ac:dyDescent="0.25">
      <c r="A379">
        <v>605712</v>
      </c>
      <c r="B379" t="s">
        <v>7731</v>
      </c>
      <c r="C379" t="s">
        <v>2598</v>
      </c>
      <c r="D379" s="254">
        <v>6582.37</v>
      </c>
      <c r="E379"/>
      <c r="F379"/>
      <c r="G379"/>
      <c r="H379"/>
      <c r="I379" s="489"/>
      <c r="J379" s="1095"/>
      <c r="K379" s="1095"/>
      <c r="L379" s="1095"/>
      <c r="M379" s="1095"/>
    </row>
    <row r="380" spans="1:13" x14ac:dyDescent="0.25">
      <c r="A380">
        <v>605624</v>
      </c>
      <c r="B380" t="s">
        <v>7732</v>
      </c>
      <c r="C380" t="s">
        <v>2598</v>
      </c>
      <c r="D380" s="254">
        <v>6515.12</v>
      </c>
      <c r="E380"/>
      <c r="F380"/>
      <c r="G380"/>
      <c r="H380"/>
      <c r="I380" s="489"/>
      <c r="J380" s="1095"/>
      <c r="K380" s="1095"/>
      <c r="L380" s="1095"/>
      <c r="M380" s="1095"/>
    </row>
    <row r="381" spans="1:13" x14ac:dyDescent="0.25">
      <c r="A381">
        <v>605713</v>
      </c>
      <c r="B381" t="s">
        <v>7733</v>
      </c>
      <c r="C381" t="s">
        <v>2598</v>
      </c>
      <c r="D381" s="254">
        <v>8825.9</v>
      </c>
      <c r="E381"/>
      <c r="F381"/>
      <c r="G381"/>
      <c r="H381"/>
      <c r="I381" s="489"/>
      <c r="J381" s="1095"/>
      <c r="K381" s="1095"/>
      <c r="L381" s="1095"/>
      <c r="M381" s="1095"/>
    </row>
    <row r="382" spans="1:13" x14ac:dyDescent="0.25">
      <c r="A382">
        <v>605625</v>
      </c>
      <c r="B382" t="s">
        <v>7734</v>
      </c>
      <c r="C382" t="s">
        <v>2598</v>
      </c>
      <c r="D382" s="254">
        <v>8756.6200000000008</v>
      </c>
      <c r="E382"/>
      <c r="F382"/>
      <c r="G382"/>
      <c r="H382"/>
      <c r="I382" s="489"/>
      <c r="J382" s="1095"/>
      <c r="K382" s="1095"/>
      <c r="L382" s="1095"/>
      <c r="M382" s="1095"/>
    </row>
    <row r="383" spans="1:13" x14ac:dyDescent="0.25">
      <c r="A383">
        <v>605714</v>
      </c>
      <c r="B383" t="s">
        <v>7735</v>
      </c>
      <c r="C383" t="s">
        <v>2598</v>
      </c>
      <c r="D383" s="254">
        <v>11105.48</v>
      </c>
      <c r="E383"/>
      <c r="F383"/>
      <c r="G383"/>
      <c r="H383"/>
      <c r="I383" s="489"/>
      <c r="J383" s="1095"/>
      <c r="K383" s="1095"/>
      <c r="L383" s="1095"/>
      <c r="M383" s="1095"/>
    </row>
    <row r="384" spans="1:13" x14ac:dyDescent="0.25">
      <c r="A384">
        <v>605626</v>
      </c>
      <c r="B384" t="s">
        <v>7736</v>
      </c>
      <c r="C384" t="s">
        <v>2598</v>
      </c>
      <c r="D384" s="254">
        <v>11034.16</v>
      </c>
      <c r="E384"/>
      <c r="F384"/>
      <c r="G384"/>
      <c r="H384"/>
      <c r="I384" s="489"/>
      <c r="J384" s="1095"/>
      <c r="K384" s="1095"/>
      <c r="L384" s="1095"/>
      <c r="M384" s="1095"/>
    </row>
    <row r="385" spans="1:13" x14ac:dyDescent="0.25">
      <c r="A385">
        <v>605715</v>
      </c>
      <c r="B385" t="s">
        <v>7737</v>
      </c>
      <c r="C385" t="s">
        <v>2598</v>
      </c>
      <c r="D385" s="254">
        <v>11865.14</v>
      </c>
      <c r="E385"/>
      <c r="F385"/>
      <c r="G385"/>
      <c r="H385"/>
      <c r="I385" s="489"/>
      <c r="J385" s="1095"/>
      <c r="K385" s="1095"/>
      <c r="L385" s="1095"/>
      <c r="M385" s="1095"/>
    </row>
    <row r="386" spans="1:13" x14ac:dyDescent="0.25">
      <c r="A386">
        <v>605627</v>
      </c>
      <c r="B386" t="s">
        <v>7738</v>
      </c>
      <c r="C386" t="s">
        <v>2598</v>
      </c>
      <c r="D386" s="254">
        <v>11791.78</v>
      </c>
      <c r="E386"/>
      <c r="F386"/>
      <c r="G386"/>
      <c r="H386"/>
      <c r="I386" s="489"/>
      <c r="J386" s="1095"/>
      <c r="K386" s="1095"/>
      <c r="L386" s="1095"/>
      <c r="M386" s="1095"/>
    </row>
    <row r="387" spans="1:13" x14ac:dyDescent="0.25">
      <c r="A387">
        <v>605716</v>
      </c>
      <c r="B387" t="s">
        <v>7739</v>
      </c>
      <c r="C387" t="s">
        <v>2598</v>
      </c>
      <c r="D387" s="254">
        <v>12316.7</v>
      </c>
      <c r="E387"/>
      <c r="F387"/>
      <c r="G387"/>
      <c r="H387"/>
      <c r="I387" s="489"/>
      <c r="J387" s="1095"/>
      <c r="K387" s="1095"/>
      <c r="L387" s="1095"/>
      <c r="M387" s="1095"/>
    </row>
    <row r="388" spans="1:13" x14ac:dyDescent="0.25">
      <c r="A388">
        <v>605628</v>
      </c>
      <c r="B388" t="s">
        <v>7740</v>
      </c>
      <c r="C388" t="s">
        <v>2598</v>
      </c>
      <c r="D388" s="254">
        <v>12241.3</v>
      </c>
      <c r="E388"/>
      <c r="F388"/>
      <c r="G388"/>
      <c r="H388"/>
      <c r="I388" s="489"/>
      <c r="J388" s="1095"/>
      <c r="K388" s="1095"/>
      <c r="L388" s="1095"/>
      <c r="M388" s="1095"/>
    </row>
    <row r="389" spans="1:13" x14ac:dyDescent="0.25">
      <c r="A389">
        <v>605717</v>
      </c>
      <c r="B389" t="s">
        <v>7741</v>
      </c>
      <c r="C389" t="s">
        <v>2598</v>
      </c>
      <c r="D389" s="254">
        <v>13132.75</v>
      </c>
      <c r="E389"/>
      <c r="F389"/>
      <c r="G389"/>
      <c r="H389"/>
      <c r="I389" s="489"/>
      <c r="J389" s="1095"/>
      <c r="K389" s="1095"/>
      <c r="L389" s="1095"/>
      <c r="M389" s="1095"/>
    </row>
    <row r="390" spans="1:13" x14ac:dyDescent="0.25">
      <c r="A390">
        <v>605629</v>
      </c>
      <c r="B390" t="s">
        <v>7742</v>
      </c>
      <c r="C390" t="s">
        <v>2598</v>
      </c>
      <c r="D390" s="254">
        <v>13055.31</v>
      </c>
      <c r="E390"/>
      <c r="F390"/>
      <c r="G390"/>
      <c r="H390"/>
      <c r="I390" s="489"/>
      <c r="J390" s="1095"/>
      <c r="K390" s="1095"/>
      <c r="L390" s="1095"/>
      <c r="M390" s="1095"/>
    </row>
    <row r="391" spans="1:13" x14ac:dyDescent="0.25">
      <c r="A391">
        <v>605651</v>
      </c>
      <c r="B391" t="s">
        <v>7743</v>
      </c>
      <c r="C391" t="s">
        <v>2598</v>
      </c>
      <c r="D391" s="254">
        <v>1466.23</v>
      </c>
      <c r="E391"/>
      <c r="F391"/>
      <c r="G391"/>
      <c r="H391"/>
      <c r="I391" s="489"/>
      <c r="J391" s="1095"/>
      <c r="K391" s="1095"/>
      <c r="L391" s="1095"/>
      <c r="M391" s="1095"/>
    </row>
    <row r="392" spans="1:13" x14ac:dyDescent="0.25">
      <c r="A392">
        <v>605460</v>
      </c>
      <c r="B392" t="s">
        <v>7744</v>
      </c>
      <c r="C392" t="s">
        <v>2598</v>
      </c>
      <c r="D392" s="254">
        <v>1444.49</v>
      </c>
      <c r="E392"/>
      <c r="F392"/>
      <c r="G392"/>
      <c r="H392"/>
      <c r="I392" s="489"/>
      <c r="J392" s="1095"/>
      <c r="K392" s="1095"/>
      <c r="L392" s="1095"/>
      <c r="M392" s="1095"/>
    </row>
    <row r="393" spans="1:13" x14ac:dyDescent="0.25">
      <c r="A393">
        <v>605652</v>
      </c>
      <c r="B393" t="s">
        <v>7745</v>
      </c>
      <c r="C393" t="s">
        <v>2598</v>
      </c>
      <c r="D393" s="254">
        <v>1687.89</v>
      </c>
      <c r="E393"/>
      <c r="F393"/>
      <c r="G393"/>
      <c r="H393"/>
      <c r="I393" s="489"/>
      <c r="J393" s="1095"/>
      <c r="K393" s="1095"/>
      <c r="L393" s="1095"/>
      <c r="M393" s="1095"/>
    </row>
    <row r="394" spans="1:13" x14ac:dyDescent="0.25">
      <c r="A394">
        <v>605461</v>
      </c>
      <c r="B394" t="s">
        <v>7746</v>
      </c>
      <c r="C394" t="s">
        <v>2598</v>
      </c>
      <c r="D394" s="254">
        <v>1664.79</v>
      </c>
      <c r="E394"/>
      <c r="F394"/>
      <c r="G394"/>
      <c r="H394"/>
      <c r="I394" s="489"/>
      <c r="J394" s="1095"/>
      <c r="K394" s="1095"/>
      <c r="L394" s="1095"/>
      <c r="M394" s="1095"/>
    </row>
    <row r="395" spans="1:13" x14ac:dyDescent="0.25">
      <c r="A395">
        <v>605653</v>
      </c>
      <c r="B395" t="s">
        <v>7747</v>
      </c>
      <c r="C395" t="s">
        <v>2598</v>
      </c>
      <c r="D395" s="254">
        <v>1909.58</v>
      </c>
      <c r="E395"/>
      <c r="F395"/>
      <c r="G395"/>
      <c r="H395"/>
      <c r="I395" s="489"/>
      <c r="J395" s="1095"/>
      <c r="K395" s="1095"/>
      <c r="L395" s="1095"/>
      <c r="M395" s="1095"/>
    </row>
    <row r="396" spans="1:13" x14ac:dyDescent="0.25">
      <c r="A396">
        <v>605462</v>
      </c>
      <c r="B396" t="s">
        <v>7748</v>
      </c>
      <c r="C396" t="s">
        <v>2598</v>
      </c>
      <c r="D396" s="254">
        <v>1885.12</v>
      </c>
      <c r="E396"/>
      <c r="F396"/>
      <c r="G396"/>
      <c r="H396"/>
      <c r="I396" s="489"/>
      <c r="J396" s="1095"/>
      <c r="K396" s="1095"/>
      <c r="L396" s="1095"/>
      <c r="M396" s="1095"/>
    </row>
    <row r="397" spans="1:13" x14ac:dyDescent="0.25">
      <c r="A397">
        <v>605654</v>
      </c>
      <c r="B397" t="s">
        <v>7749</v>
      </c>
      <c r="C397" t="s">
        <v>2598</v>
      </c>
      <c r="D397" s="254">
        <v>2088.02</v>
      </c>
      <c r="E397"/>
      <c r="F397"/>
      <c r="G397"/>
      <c r="H397"/>
      <c r="I397" s="489"/>
      <c r="J397" s="1095"/>
      <c r="K397" s="1095"/>
      <c r="L397" s="1095"/>
      <c r="M397" s="1095"/>
    </row>
    <row r="398" spans="1:13" x14ac:dyDescent="0.25">
      <c r="A398">
        <v>605463</v>
      </c>
      <c r="B398" t="s">
        <v>7750</v>
      </c>
      <c r="C398" t="s">
        <v>2598</v>
      </c>
      <c r="D398" s="254">
        <v>2062.21</v>
      </c>
      <c r="E398"/>
      <c r="F398"/>
      <c r="G398"/>
      <c r="H398"/>
      <c r="I398" s="489"/>
      <c r="J398" s="1095"/>
      <c r="K398" s="1095"/>
      <c r="L398" s="1095"/>
      <c r="M398" s="1095"/>
    </row>
    <row r="399" spans="1:13" x14ac:dyDescent="0.25">
      <c r="A399">
        <v>605655</v>
      </c>
      <c r="B399" t="s">
        <v>7751</v>
      </c>
      <c r="C399" t="s">
        <v>2598</v>
      </c>
      <c r="D399" s="254">
        <v>2309.64</v>
      </c>
      <c r="E399"/>
      <c r="F399"/>
      <c r="G399"/>
      <c r="H399"/>
      <c r="I399" s="489"/>
      <c r="J399" s="1095"/>
      <c r="K399" s="1095"/>
      <c r="L399" s="1095"/>
      <c r="M399" s="1095"/>
    </row>
    <row r="400" spans="1:13" x14ac:dyDescent="0.25">
      <c r="A400">
        <v>605464</v>
      </c>
      <c r="B400" t="s">
        <v>7752</v>
      </c>
      <c r="C400" t="s">
        <v>2598</v>
      </c>
      <c r="D400" s="254">
        <v>2282.4699999999998</v>
      </c>
      <c r="E400"/>
      <c r="F400"/>
      <c r="G400"/>
      <c r="H400"/>
      <c r="I400" s="489"/>
      <c r="J400" s="1095"/>
      <c r="K400" s="1095"/>
      <c r="L400" s="1095"/>
      <c r="M400" s="1095"/>
    </row>
    <row r="401" spans="1:13" x14ac:dyDescent="0.25">
      <c r="A401">
        <v>605656</v>
      </c>
      <c r="B401" t="s">
        <v>7753</v>
      </c>
      <c r="C401" t="s">
        <v>2598</v>
      </c>
      <c r="D401" s="254">
        <v>2617.91</v>
      </c>
      <c r="E401"/>
      <c r="F401"/>
      <c r="G401"/>
      <c r="H401"/>
      <c r="I401" s="489"/>
      <c r="J401" s="1095"/>
      <c r="K401" s="1095"/>
      <c r="L401" s="1095"/>
      <c r="M401" s="1095"/>
    </row>
    <row r="402" spans="1:13" x14ac:dyDescent="0.25">
      <c r="A402">
        <v>605465</v>
      </c>
      <c r="B402" t="s">
        <v>7754</v>
      </c>
      <c r="C402" t="s">
        <v>2598</v>
      </c>
      <c r="D402" s="254">
        <v>2589.38</v>
      </c>
      <c r="E402"/>
      <c r="F402"/>
      <c r="G402"/>
      <c r="H402"/>
      <c r="I402" s="489"/>
      <c r="J402" s="1095"/>
      <c r="K402" s="1095"/>
      <c r="L402" s="1095"/>
      <c r="M402" s="1095"/>
    </row>
    <row r="403" spans="1:13" x14ac:dyDescent="0.25">
      <c r="A403">
        <v>605657</v>
      </c>
      <c r="B403" t="s">
        <v>7755</v>
      </c>
      <c r="C403" t="s">
        <v>2598</v>
      </c>
      <c r="D403" s="254">
        <v>2796.32</v>
      </c>
      <c r="E403"/>
      <c r="F403"/>
      <c r="G403"/>
      <c r="H403"/>
      <c r="I403" s="489"/>
      <c r="J403" s="1095"/>
      <c r="K403" s="1095"/>
      <c r="L403" s="1095"/>
      <c r="M403" s="1095"/>
    </row>
    <row r="404" spans="1:13" x14ac:dyDescent="0.25">
      <c r="A404">
        <v>605466</v>
      </c>
      <c r="B404" t="s">
        <v>7756</v>
      </c>
      <c r="C404" t="s">
        <v>2598</v>
      </c>
      <c r="D404" s="254">
        <v>2766.43</v>
      </c>
      <c r="E404"/>
      <c r="F404"/>
      <c r="G404"/>
      <c r="H404"/>
      <c r="I404" s="489"/>
      <c r="J404" s="1095"/>
      <c r="K404" s="1095"/>
      <c r="L404" s="1095"/>
      <c r="M404" s="1095"/>
    </row>
    <row r="405" spans="1:13" x14ac:dyDescent="0.25">
      <c r="A405">
        <v>605658</v>
      </c>
      <c r="B405" t="s">
        <v>7757</v>
      </c>
      <c r="C405" t="s">
        <v>2598</v>
      </c>
      <c r="D405" s="254">
        <v>3053.19</v>
      </c>
      <c r="E405"/>
      <c r="F405"/>
      <c r="G405"/>
      <c r="H405"/>
      <c r="I405" s="489"/>
      <c r="J405" s="1095"/>
      <c r="K405" s="1095"/>
      <c r="L405" s="1095"/>
      <c r="M405" s="1095"/>
    </row>
    <row r="406" spans="1:13" x14ac:dyDescent="0.25">
      <c r="A406">
        <v>605467</v>
      </c>
      <c r="B406" t="s">
        <v>7758</v>
      </c>
      <c r="C406" t="s">
        <v>2598</v>
      </c>
      <c r="D406" s="254">
        <v>3006.31</v>
      </c>
      <c r="E406"/>
      <c r="F406"/>
      <c r="G406"/>
      <c r="H406"/>
      <c r="I406" s="489"/>
      <c r="J406" s="1095"/>
      <c r="K406" s="1095"/>
      <c r="L406" s="1095"/>
      <c r="M406" s="1095"/>
    </row>
    <row r="407" spans="1:13" x14ac:dyDescent="0.25">
      <c r="A407">
        <v>605659</v>
      </c>
      <c r="B407" t="s">
        <v>7759</v>
      </c>
      <c r="C407" t="s">
        <v>2598</v>
      </c>
      <c r="D407" s="254">
        <v>3227.21</v>
      </c>
      <c r="E407"/>
      <c r="F407"/>
      <c r="G407"/>
      <c r="H407"/>
      <c r="I407" s="489"/>
      <c r="J407" s="1095"/>
      <c r="K407" s="1095"/>
      <c r="L407" s="1095"/>
      <c r="M407" s="1095"/>
    </row>
    <row r="408" spans="1:13" x14ac:dyDescent="0.25">
      <c r="A408">
        <v>605468</v>
      </c>
      <c r="B408" t="s">
        <v>7760</v>
      </c>
      <c r="C408" t="s">
        <v>2598</v>
      </c>
      <c r="D408" s="254">
        <v>3178.3</v>
      </c>
      <c r="E408"/>
      <c r="F408"/>
      <c r="G408"/>
      <c r="H408"/>
      <c r="I408" s="489"/>
      <c r="J408" s="1095"/>
      <c r="K408" s="1095"/>
      <c r="L408" s="1095"/>
      <c r="M408" s="1095"/>
    </row>
    <row r="409" spans="1:13" x14ac:dyDescent="0.25">
      <c r="A409">
        <v>605660</v>
      </c>
      <c r="B409" t="s">
        <v>7761</v>
      </c>
      <c r="C409" t="s">
        <v>2598</v>
      </c>
      <c r="D409" s="254">
        <v>3461.76</v>
      </c>
      <c r="E409"/>
      <c r="F409"/>
      <c r="G409"/>
      <c r="H409"/>
      <c r="I409" s="489"/>
      <c r="J409" s="1095"/>
      <c r="K409" s="1095"/>
      <c r="L409" s="1095"/>
      <c r="M409" s="1095"/>
    </row>
    <row r="410" spans="1:13" x14ac:dyDescent="0.25">
      <c r="A410">
        <v>605469</v>
      </c>
      <c r="B410" t="s">
        <v>7762</v>
      </c>
      <c r="C410" t="s">
        <v>2598</v>
      </c>
      <c r="D410" s="254">
        <v>3410.81</v>
      </c>
      <c r="E410"/>
      <c r="F410"/>
      <c r="G410"/>
      <c r="H410"/>
      <c r="I410" s="489"/>
      <c r="J410" s="1095"/>
      <c r="K410" s="1095"/>
      <c r="L410" s="1095"/>
      <c r="M410" s="1095"/>
    </row>
    <row r="411" spans="1:13" x14ac:dyDescent="0.25">
      <c r="A411">
        <v>605661</v>
      </c>
      <c r="B411" t="s">
        <v>7763</v>
      </c>
      <c r="C411" t="s">
        <v>2598</v>
      </c>
      <c r="D411" s="254">
        <v>3691.48</v>
      </c>
      <c r="E411"/>
      <c r="F411"/>
      <c r="G411"/>
      <c r="H411"/>
      <c r="I411" s="489"/>
      <c r="J411" s="1095"/>
      <c r="K411" s="1095"/>
      <c r="L411" s="1095"/>
      <c r="M411" s="1095"/>
    </row>
    <row r="412" spans="1:13" x14ac:dyDescent="0.25">
      <c r="A412">
        <v>605470</v>
      </c>
      <c r="B412" t="s">
        <v>7764</v>
      </c>
      <c r="C412" t="s">
        <v>2598</v>
      </c>
      <c r="D412" s="254">
        <v>3638.49</v>
      </c>
      <c r="E412"/>
      <c r="F412"/>
      <c r="G412"/>
      <c r="H412"/>
      <c r="I412" s="489"/>
      <c r="J412" s="1095"/>
      <c r="K412" s="1095"/>
      <c r="L412" s="1095"/>
      <c r="M412" s="1095"/>
    </row>
    <row r="413" spans="1:13" x14ac:dyDescent="0.25">
      <c r="A413">
        <v>605662</v>
      </c>
      <c r="B413" t="s">
        <v>7765</v>
      </c>
      <c r="C413" t="s">
        <v>2598</v>
      </c>
      <c r="D413" s="254">
        <v>3879.2</v>
      </c>
      <c r="E413"/>
      <c r="F413"/>
      <c r="G413"/>
      <c r="H413"/>
      <c r="I413" s="489"/>
      <c r="J413" s="1095"/>
      <c r="K413" s="1095"/>
      <c r="L413" s="1095"/>
      <c r="M413" s="1095"/>
    </row>
    <row r="414" spans="1:13" x14ac:dyDescent="0.25">
      <c r="A414">
        <v>605471</v>
      </c>
      <c r="B414" t="s">
        <v>7766</v>
      </c>
      <c r="C414" t="s">
        <v>2598</v>
      </c>
      <c r="D414" s="254">
        <v>3824.18</v>
      </c>
      <c r="E414"/>
      <c r="F414"/>
      <c r="G414"/>
      <c r="H414"/>
      <c r="I414" s="489"/>
      <c r="J414" s="1095"/>
      <c r="K414" s="1095"/>
      <c r="L414" s="1095"/>
      <c r="M414" s="1095"/>
    </row>
    <row r="415" spans="1:13" x14ac:dyDescent="0.25">
      <c r="A415">
        <v>605663</v>
      </c>
      <c r="B415" t="s">
        <v>7767</v>
      </c>
      <c r="C415" t="s">
        <v>2598</v>
      </c>
      <c r="D415" s="254">
        <v>4338.92</v>
      </c>
      <c r="E415"/>
      <c r="F415"/>
      <c r="G415"/>
      <c r="H415"/>
      <c r="I415" s="489"/>
      <c r="J415" s="1095"/>
      <c r="K415" s="1095"/>
      <c r="L415" s="1095"/>
      <c r="M415" s="1095"/>
    </row>
    <row r="416" spans="1:13" x14ac:dyDescent="0.25">
      <c r="A416">
        <v>605472</v>
      </c>
      <c r="B416" t="s">
        <v>7768</v>
      </c>
      <c r="C416" t="s">
        <v>2598</v>
      </c>
      <c r="D416" s="254">
        <v>4281.8599999999997</v>
      </c>
      <c r="E416"/>
      <c r="F416"/>
      <c r="G416"/>
      <c r="H416"/>
      <c r="I416" s="489"/>
      <c r="J416" s="1095"/>
      <c r="K416" s="1095"/>
      <c r="L416" s="1095"/>
      <c r="M416" s="1095"/>
    </row>
    <row r="417" spans="1:13" x14ac:dyDescent="0.25">
      <c r="A417">
        <v>605664</v>
      </c>
      <c r="B417" t="s">
        <v>7769</v>
      </c>
      <c r="C417" t="s">
        <v>2598</v>
      </c>
      <c r="D417" s="254">
        <v>5086.62</v>
      </c>
      <c r="E417"/>
      <c r="F417"/>
      <c r="G417"/>
      <c r="H417"/>
      <c r="I417" s="489"/>
      <c r="J417" s="1095"/>
      <c r="K417" s="1095"/>
      <c r="L417" s="1095"/>
      <c r="M417" s="1095"/>
    </row>
    <row r="418" spans="1:13" x14ac:dyDescent="0.25">
      <c r="A418">
        <v>605473</v>
      </c>
      <c r="B418" t="s">
        <v>7770</v>
      </c>
      <c r="C418" t="s">
        <v>2598</v>
      </c>
      <c r="D418" s="254">
        <v>5027.5200000000004</v>
      </c>
      <c r="E418"/>
      <c r="F418"/>
      <c r="G418"/>
      <c r="H418"/>
      <c r="I418" s="489"/>
      <c r="J418" s="1095"/>
      <c r="K418" s="1095"/>
      <c r="L418" s="1095"/>
      <c r="M418" s="1095"/>
    </row>
    <row r="419" spans="1:13" x14ac:dyDescent="0.25">
      <c r="A419">
        <v>605665</v>
      </c>
      <c r="B419" t="s">
        <v>7771</v>
      </c>
      <c r="C419" t="s">
        <v>2598</v>
      </c>
      <c r="D419" s="254">
        <v>5323.74</v>
      </c>
      <c r="E419"/>
      <c r="F419"/>
      <c r="G419"/>
      <c r="H419"/>
      <c r="I419" s="489"/>
      <c r="J419" s="1095"/>
      <c r="K419" s="1095"/>
      <c r="L419" s="1095"/>
      <c r="M419" s="1095"/>
    </row>
    <row r="420" spans="1:13" x14ac:dyDescent="0.25">
      <c r="A420">
        <v>605474</v>
      </c>
      <c r="B420" t="s">
        <v>7772</v>
      </c>
      <c r="C420" t="s">
        <v>2598</v>
      </c>
      <c r="D420" s="254">
        <v>5262.6</v>
      </c>
      <c r="E420"/>
      <c r="F420"/>
      <c r="G420"/>
      <c r="H420"/>
      <c r="I420" s="489"/>
      <c r="J420" s="1095"/>
      <c r="K420" s="1095"/>
      <c r="L420" s="1095"/>
      <c r="M420" s="1095"/>
    </row>
    <row r="421" spans="1:13" x14ac:dyDescent="0.25">
      <c r="A421">
        <v>605666</v>
      </c>
      <c r="B421" t="s">
        <v>7773</v>
      </c>
      <c r="C421" t="s">
        <v>2598</v>
      </c>
      <c r="D421" s="254">
        <v>5721.46</v>
      </c>
      <c r="E421"/>
      <c r="F421"/>
      <c r="G421"/>
      <c r="H421"/>
      <c r="I421" s="489"/>
      <c r="J421" s="1095"/>
      <c r="K421" s="1095"/>
      <c r="L421" s="1095"/>
      <c r="M421" s="1095"/>
    </row>
    <row r="422" spans="1:13" x14ac:dyDescent="0.25">
      <c r="A422">
        <v>605475</v>
      </c>
      <c r="B422" t="s">
        <v>7774</v>
      </c>
      <c r="C422" t="s">
        <v>2598</v>
      </c>
      <c r="D422" s="254">
        <v>5658.28</v>
      </c>
      <c r="E422"/>
      <c r="F422"/>
      <c r="G422"/>
      <c r="H422"/>
      <c r="I422" s="489"/>
      <c r="J422" s="1095"/>
      <c r="K422" s="1095"/>
      <c r="L422" s="1095"/>
      <c r="M422" s="1095"/>
    </row>
    <row r="423" spans="1:13" x14ac:dyDescent="0.25">
      <c r="A423">
        <v>605667</v>
      </c>
      <c r="B423" t="s">
        <v>7775</v>
      </c>
      <c r="C423" t="s">
        <v>2598</v>
      </c>
      <c r="D423" s="254">
        <v>5919.66</v>
      </c>
      <c r="E423"/>
      <c r="F423"/>
      <c r="G423"/>
      <c r="H423"/>
      <c r="I423" s="489"/>
      <c r="J423" s="1095"/>
      <c r="K423" s="1095"/>
      <c r="L423" s="1095"/>
      <c r="M423" s="1095"/>
    </row>
    <row r="424" spans="1:13" x14ac:dyDescent="0.25">
      <c r="A424">
        <v>605476</v>
      </c>
      <c r="B424" t="s">
        <v>7776</v>
      </c>
      <c r="C424" t="s">
        <v>2598</v>
      </c>
      <c r="D424" s="254">
        <v>5854.44</v>
      </c>
      <c r="E424"/>
      <c r="F424"/>
      <c r="G424"/>
      <c r="H424"/>
      <c r="I424" s="489"/>
      <c r="J424" s="1095"/>
      <c r="K424" s="1095"/>
      <c r="L424" s="1095"/>
      <c r="M424" s="1095"/>
    </row>
    <row r="425" spans="1:13" x14ac:dyDescent="0.25">
      <c r="A425">
        <v>605668</v>
      </c>
      <c r="B425" t="s">
        <v>7777</v>
      </c>
      <c r="C425" t="s">
        <v>2598</v>
      </c>
      <c r="D425" s="254">
        <v>6241.21</v>
      </c>
      <c r="E425"/>
      <c r="F425"/>
      <c r="G425"/>
      <c r="H425"/>
      <c r="I425" s="489"/>
      <c r="J425" s="1095"/>
      <c r="K425" s="1095"/>
      <c r="L425" s="1095"/>
      <c r="M425" s="1095"/>
    </row>
    <row r="426" spans="1:13" x14ac:dyDescent="0.25">
      <c r="A426">
        <v>605477</v>
      </c>
      <c r="B426" t="s">
        <v>7778</v>
      </c>
      <c r="C426" t="s">
        <v>2598</v>
      </c>
      <c r="D426" s="254">
        <v>6173.96</v>
      </c>
      <c r="E426"/>
      <c r="F426"/>
      <c r="G426"/>
      <c r="H426"/>
      <c r="I426" s="489"/>
      <c r="J426" s="1095"/>
      <c r="K426" s="1095"/>
      <c r="L426" s="1095"/>
      <c r="M426" s="1095"/>
    </row>
    <row r="427" spans="1:13" x14ac:dyDescent="0.25">
      <c r="A427">
        <v>605669</v>
      </c>
      <c r="B427" t="s">
        <v>7779</v>
      </c>
      <c r="C427" t="s">
        <v>2598</v>
      </c>
      <c r="D427" s="254">
        <v>8195.3700000000008</v>
      </c>
      <c r="E427"/>
      <c r="F427"/>
      <c r="G427"/>
      <c r="H427"/>
      <c r="I427" s="489"/>
      <c r="J427" s="1095"/>
      <c r="K427" s="1095"/>
      <c r="L427" s="1095"/>
      <c r="M427" s="1095"/>
    </row>
    <row r="428" spans="1:13" x14ac:dyDescent="0.25">
      <c r="A428">
        <v>605478</v>
      </c>
      <c r="B428" t="s">
        <v>7780</v>
      </c>
      <c r="C428" t="s">
        <v>2598</v>
      </c>
      <c r="D428" s="254">
        <v>8126.09</v>
      </c>
      <c r="E428"/>
      <c r="F428"/>
      <c r="G428"/>
      <c r="H428"/>
      <c r="I428" s="489"/>
      <c r="J428" s="1095"/>
      <c r="K428" s="1095"/>
      <c r="L428" s="1095"/>
      <c r="M428" s="1095"/>
    </row>
    <row r="429" spans="1:13" x14ac:dyDescent="0.25">
      <c r="A429">
        <v>605670</v>
      </c>
      <c r="B429" t="s">
        <v>7781</v>
      </c>
      <c r="C429" t="s">
        <v>2598</v>
      </c>
      <c r="D429" s="254">
        <v>10308.450000000001</v>
      </c>
      <c r="E429"/>
      <c r="F429"/>
      <c r="G429"/>
      <c r="H429"/>
      <c r="I429" s="489"/>
      <c r="J429" s="1095"/>
      <c r="K429" s="1095"/>
      <c r="L429" s="1095"/>
      <c r="M429" s="1095"/>
    </row>
    <row r="430" spans="1:13" x14ac:dyDescent="0.25">
      <c r="A430">
        <v>605479</v>
      </c>
      <c r="B430" t="s">
        <v>7782</v>
      </c>
      <c r="C430" t="s">
        <v>2598</v>
      </c>
      <c r="D430" s="254">
        <v>10237.120000000001</v>
      </c>
      <c r="E430"/>
      <c r="F430"/>
      <c r="G430"/>
      <c r="H430"/>
      <c r="I430" s="489"/>
      <c r="J430" s="1095"/>
      <c r="K430" s="1095"/>
      <c r="L430" s="1095"/>
      <c r="M430" s="1095"/>
    </row>
    <row r="431" spans="1:13" x14ac:dyDescent="0.25">
      <c r="A431">
        <v>605671</v>
      </c>
      <c r="B431" t="s">
        <v>7783</v>
      </c>
      <c r="C431" t="s">
        <v>2598</v>
      </c>
      <c r="D431" s="254">
        <v>11022.74</v>
      </c>
      <c r="E431"/>
      <c r="F431"/>
      <c r="G431"/>
      <c r="H431"/>
      <c r="I431" s="489"/>
      <c r="J431" s="1095"/>
      <c r="K431" s="1095"/>
      <c r="L431" s="1095"/>
      <c r="M431" s="1095"/>
    </row>
    <row r="432" spans="1:13" x14ac:dyDescent="0.25">
      <c r="A432">
        <v>605480</v>
      </c>
      <c r="B432" t="s">
        <v>7784</v>
      </c>
      <c r="C432" t="s">
        <v>2598</v>
      </c>
      <c r="D432" s="254">
        <v>10949.38</v>
      </c>
      <c r="E432"/>
      <c r="F432"/>
      <c r="G432"/>
      <c r="H432"/>
      <c r="I432" s="489"/>
      <c r="J432" s="1095"/>
      <c r="K432" s="1095"/>
      <c r="L432" s="1095"/>
      <c r="M432" s="1095"/>
    </row>
    <row r="433" spans="1:13" x14ac:dyDescent="0.25">
      <c r="A433">
        <v>605672</v>
      </c>
      <c r="B433" t="s">
        <v>7785</v>
      </c>
      <c r="C433" t="s">
        <v>2598</v>
      </c>
      <c r="D433" s="254">
        <v>11458.09</v>
      </c>
      <c r="E433"/>
      <c r="F433"/>
      <c r="G433"/>
      <c r="H433"/>
      <c r="I433" s="489"/>
      <c r="J433" s="1095"/>
      <c r="K433" s="1095"/>
      <c r="L433" s="1095"/>
      <c r="M433" s="1095"/>
    </row>
    <row r="434" spans="1:13" x14ac:dyDescent="0.25">
      <c r="A434">
        <v>605481</v>
      </c>
      <c r="B434" t="s">
        <v>7786</v>
      </c>
      <c r="C434" t="s">
        <v>2598</v>
      </c>
      <c r="D434" s="254">
        <v>11382.69</v>
      </c>
      <c r="E434"/>
      <c r="F434"/>
      <c r="G434"/>
      <c r="H434"/>
      <c r="I434" s="489"/>
      <c r="J434" s="1095"/>
      <c r="K434" s="1095"/>
      <c r="L434" s="1095"/>
      <c r="M434" s="1095"/>
    </row>
    <row r="435" spans="1:13" x14ac:dyDescent="0.25">
      <c r="A435">
        <v>605673</v>
      </c>
      <c r="B435" t="s">
        <v>7787</v>
      </c>
      <c r="C435" t="s">
        <v>2598</v>
      </c>
      <c r="D435" s="254">
        <v>12232.03</v>
      </c>
      <c r="E435"/>
      <c r="F435"/>
      <c r="G435"/>
      <c r="H435"/>
      <c r="I435" s="489"/>
      <c r="J435" s="1095"/>
      <c r="K435" s="1095"/>
      <c r="L435" s="1095"/>
      <c r="M435" s="1095"/>
    </row>
    <row r="436" spans="1:13" x14ac:dyDescent="0.25">
      <c r="A436">
        <v>605482</v>
      </c>
      <c r="B436" t="s">
        <v>7788</v>
      </c>
      <c r="C436" t="s">
        <v>2598</v>
      </c>
      <c r="D436" s="254">
        <v>12154.59</v>
      </c>
      <c r="E436"/>
      <c r="F436"/>
      <c r="G436"/>
      <c r="H436"/>
      <c r="I436" s="489"/>
      <c r="J436" s="1095"/>
      <c r="K436" s="1095"/>
      <c r="L436" s="1095"/>
      <c r="M436" s="1095"/>
    </row>
    <row r="437" spans="1:13" x14ac:dyDescent="0.25">
      <c r="A437">
        <v>605718</v>
      </c>
      <c r="B437" t="s">
        <v>7789</v>
      </c>
      <c r="C437" t="s">
        <v>2598</v>
      </c>
      <c r="D437" s="254">
        <v>7535.8</v>
      </c>
      <c r="E437"/>
      <c r="F437"/>
      <c r="G437"/>
      <c r="H437"/>
      <c r="I437" s="489"/>
      <c r="J437" s="1095"/>
      <c r="K437" s="1095"/>
      <c r="L437" s="1095"/>
      <c r="M437" s="1095"/>
    </row>
    <row r="438" spans="1:13" x14ac:dyDescent="0.25">
      <c r="A438">
        <v>605630</v>
      </c>
      <c r="B438" t="s">
        <v>7790</v>
      </c>
      <c r="C438" t="s">
        <v>2598</v>
      </c>
      <c r="D438" s="254">
        <v>7484.85</v>
      </c>
      <c r="E438"/>
      <c r="F438"/>
      <c r="G438"/>
      <c r="H438"/>
      <c r="I438" s="489"/>
      <c r="J438" s="1095"/>
      <c r="K438" s="1095"/>
      <c r="L438" s="1095"/>
      <c r="M438" s="1095"/>
    </row>
    <row r="439" spans="1:13" x14ac:dyDescent="0.25">
      <c r="A439">
        <v>605719</v>
      </c>
      <c r="B439" t="s">
        <v>7791</v>
      </c>
      <c r="C439" t="s">
        <v>2598</v>
      </c>
      <c r="D439" s="254">
        <v>9349.35</v>
      </c>
      <c r="E439"/>
      <c r="F439"/>
      <c r="G439"/>
      <c r="H439"/>
      <c r="I439" s="489"/>
      <c r="J439" s="1095"/>
      <c r="K439" s="1095"/>
      <c r="L439" s="1095"/>
      <c r="M439" s="1095"/>
    </row>
    <row r="440" spans="1:13" x14ac:dyDescent="0.25">
      <c r="A440">
        <v>605631</v>
      </c>
      <c r="B440" t="s">
        <v>7792</v>
      </c>
      <c r="C440" t="s">
        <v>2598</v>
      </c>
      <c r="D440" s="254">
        <v>9292.2900000000009</v>
      </c>
      <c r="E440"/>
      <c r="F440"/>
      <c r="G440"/>
      <c r="H440"/>
      <c r="I440" s="489"/>
      <c r="J440" s="1095"/>
      <c r="K440" s="1095"/>
      <c r="L440" s="1095"/>
      <c r="M440" s="1095"/>
    </row>
    <row r="441" spans="1:13" x14ac:dyDescent="0.25">
      <c r="A441">
        <v>605720</v>
      </c>
      <c r="B441" t="s">
        <v>7793</v>
      </c>
      <c r="C441" t="s">
        <v>2598</v>
      </c>
      <c r="D441" s="254">
        <v>9786.8700000000008</v>
      </c>
      <c r="E441"/>
      <c r="F441"/>
      <c r="G441"/>
      <c r="H441"/>
      <c r="I441" s="489"/>
      <c r="J441" s="1095"/>
      <c r="K441" s="1095"/>
      <c r="L441" s="1095"/>
      <c r="M441" s="1095"/>
    </row>
    <row r="442" spans="1:13" x14ac:dyDescent="0.25">
      <c r="A442">
        <v>605632</v>
      </c>
      <c r="B442" t="s">
        <v>7794</v>
      </c>
      <c r="C442" t="s">
        <v>2598</v>
      </c>
      <c r="D442" s="254">
        <v>9727.77</v>
      </c>
      <c r="E442"/>
      <c r="F442"/>
      <c r="G442"/>
      <c r="H442"/>
      <c r="I442" s="489"/>
      <c r="J442" s="1095"/>
      <c r="K442" s="1095"/>
      <c r="L442" s="1095"/>
      <c r="M442" s="1095"/>
    </row>
    <row r="443" spans="1:13" x14ac:dyDescent="0.25">
      <c r="A443">
        <v>605721</v>
      </c>
      <c r="B443" t="s">
        <v>7795</v>
      </c>
      <c r="C443" t="s">
        <v>2598</v>
      </c>
      <c r="D443" s="254">
        <v>10929.54</v>
      </c>
      <c r="E443"/>
      <c r="F443"/>
      <c r="G443"/>
      <c r="H443"/>
      <c r="I443" s="489"/>
      <c r="J443" s="1095"/>
      <c r="K443" s="1095"/>
      <c r="L443" s="1095"/>
      <c r="M443" s="1095"/>
    </row>
    <row r="444" spans="1:13" x14ac:dyDescent="0.25">
      <c r="A444">
        <v>605633</v>
      </c>
      <c r="B444" t="s">
        <v>7796</v>
      </c>
      <c r="C444" t="s">
        <v>2598</v>
      </c>
      <c r="D444" s="254">
        <v>10865.35</v>
      </c>
      <c r="E444"/>
      <c r="F444"/>
      <c r="G444"/>
      <c r="H444"/>
      <c r="I444" s="489"/>
      <c r="J444" s="1095"/>
      <c r="K444" s="1095"/>
      <c r="L444" s="1095"/>
      <c r="M444" s="1095"/>
    </row>
    <row r="445" spans="1:13" x14ac:dyDescent="0.25">
      <c r="A445">
        <v>605722</v>
      </c>
      <c r="B445" t="s">
        <v>7797</v>
      </c>
      <c r="C445" t="s">
        <v>2598</v>
      </c>
      <c r="D445" s="254">
        <v>11580.53</v>
      </c>
      <c r="E445"/>
      <c r="F445"/>
      <c r="G445"/>
      <c r="H445"/>
      <c r="I445" s="489"/>
      <c r="J445" s="1095"/>
      <c r="K445" s="1095"/>
      <c r="L445" s="1095"/>
      <c r="M445" s="1095"/>
    </row>
    <row r="446" spans="1:13" x14ac:dyDescent="0.25">
      <c r="A446">
        <v>605634</v>
      </c>
      <c r="B446" t="s">
        <v>7798</v>
      </c>
      <c r="C446" t="s">
        <v>2598</v>
      </c>
      <c r="D446" s="254">
        <v>11513.28</v>
      </c>
      <c r="E446"/>
      <c r="F446"/>
      <c r="G446"/>
      <c r="H446"/>
      <c r="I446" s="489"/>
      <c r="J446" s="1095"/>
      <c r="K446" s="1095"/>
      <c r="L446" s="1095"/>
      <c r="M446" s="1095"/>
    </row>
    <row r="447" spans="1:13" x14ac:dyDescent="0.25">
      <c r="A447">
        <v>605723</v>
      </c>
      <c r="B447" t="s">
        <v>7799</v>
      </c>
      <c r="C447" t="s">
        <v>2598</v>
      </c>
      <c r="D447" s="254">
        <v>13542.6</v>
      </c>
      <c r="E447"/>
      <c r="F447"/>
      <c r="G447"/>
      <c r="H447"/>
      <c r="I447" s="489"/>
      <c r="J447" s="1095"/>
      <c r="K447" s="1095"/>
      <c r="L447" s="1095"/>
      <c r="M447" s="1095"/>
    </row>
    <row r="448" spans="1:13" x14ac:dyDescent="0.25">
      <c r="A448">
        <v>605635</v>
      </c>
      <c r="B448" t="s">
        <v>7800</v>
      </c>
      <c r="C448" t="s">
        <v>2598</v>
      </c>
      <c r="D448" s="254">
        <v>13468.21</v>
      </c>
      <c r="E448"/>
      <c r="F448"/>
      <c r="G448"/>
      <c r="H448"/>
      <c r="I448" s="489"/>
      <c r="J448" s="1095"/>
      <c r="K448" s="1095"/>
      <c r="L448" s="1095"/>
      <c r="M448" s="1095"/>
    </row>
    <row r="449" spans="1:13" x14ac:dyDescent="0.25">
      <c r="A449">
        <v>605724</v>
      </c>
      <c r="B449" t="s">
        <v>7801</v>
      </c>
      <c r="C449" t="s">
        <v>2598</v>
      </c>
      <c r="D449" s="254">
        <v>15458.76</v>
      </c>
      <c r="E449"/>
      <c r="F449"/>
      <c r="G449"/>
      <c r="H449"/>
      <c r="I449" s="489"/>
      <c r="J449" s="1095"/>
      <c r="K449" s="1095"/>
      <c r="L449" s="1095"/>
      <c r="M449" s="1095"/>
    </row>
    <row r="450" spans="1:13" x14ac:dyDescent="0.25">
      <c r="A450">
        <v>605636</v>
      </c>
      <c r="B450" t="s">
        <v>7802</v>
      </c>
      <c r="C450" t="s">
        <v>2598</v>
      </c>
      <c r="D450" s="254">
        <v>15355.85</v>
      </c>
      <c r="E450"/>
      <c r="F450"/>
      <c r="G450"/>
      <c r="H450"/>
      <c r="I450" s="489"/>
      <c r="J450" s="1095"/>
      <c r="K450" s="1095"/>
      <c r="L450" s="1095"/>
      <c r="M450" s="1095"/>
    </row>
    <row r="451" spans="1:13" x14ac:dyDescent="0.25">
      <c r="A451">
        <v>605725</v>
      </c>
      <c r="B451" t="s">
        <v>7803</v>
      </c>
      <c r="C451" t="s">
        <v>2598</v>
      </c>
      <c r="D451" s="254">
        <v>16412.28</v>
      </c>
      <c r="E451"/>
      <c r="F451"/>
      <c r="G451"/>
      <c r="H451"/>
      <c r="I451" s="489"/>
      <c r="J451" s="1095"/>
      <c r="K451" s="1095"/>
      <c r="L451" s="1095"/>
      <c r="M451" s="1095"/>
    </row>
    <row r="452" spans="1:13" x14ac:dyDescent="0.25">
      <c r="A452">
        <v>605637</v>
      </c>
      <c r="B452" t="s">
        <v>7804</v>
      </c>
      <c r="C452" t="s">
        <v>2598</v>
      </c>
      <c r="D452" s="254">
        <v>16306.31</v>
      </c>
      <c r="E452"/>
      <c r="F452"/>
      <c r="G452"/>
      <c r="H452"/>
      <c r="I452" s="489"/>
      <c r="J452" s="1095"/>
      <c r="K452" s="1095"/>
      <c r="L452" s="1095"/>
      <c r="M452" s="1095"/>
    </row>
    <row r="453" spans="1:13" x14ac:dyDescent="0.25">
      <c r="A453">
        <v>605726</v>
      </c>
      <c r="B453" t="s">
        <v>7805</v>
      </c>
      <c r="C453" t="s">
        <v>2598</v>
      </c>
      <c r="D453" s="254">
        <v>17372.560000000001</v>
      </c>
      <c r="E453"/>
      <c r="F453"/>
      <c r="G453"/>
      <c r="H453"/>
      <c r="I453" s="489"/>
      <c r="J453" s="1095"/>
      <c r="K453" s="1095"/>
      <c r="L453" s="1095"/>
      <c r="M453" s="1095"/>
    </row>
    <row r="454" spans="1:13" x14ac:dyDescent="0.25">
      <c r="A454">
        <v>605638</v>
      </c>
      <c r="B454" t="s">
        <v>7806</v>
      </c>
      <c r="C454" t="s">
        <v>2598</v>
      </c>
      <c r="D454" s="254">
        <v>17262.52</v>
      </c>
      <c r="E454"/>
      <c r="F454"/>
      <c r="G454"/>
      <c r="H454"/>
      <c r="I454" s="489"/>
      <c r="J454" s="1095"/>
      <c r="K454" s="1095"/>
      <c r="L454" s="1095"/>
      <c r="M454" s="1095"/>
    </row>
    <row r="455" spans="1:13" x14ac:dyDescent="0.25">
      <c r="A455">
        <v>605727</v>
      </c>
      <c r="B455" t="s">
        <v>7807</v>
      </c>
      <c r="C455" t="s">
        <v>2598</v>
      </c>
      <c r="D455" s="254">
        <v>18621.21</v>
      </c>
      <c r="E455"/>
      <c r="F455"/>
      <c r="G455"/>
      <c r="H455"/>
      <c r="I455" s="489"/>
      <c r="J455" s="1095"/>
      <c r="K455" s="1095"/>
      <c r="L455" s="1095"/>
      <c r="M455" s="1095"/>
    </row>
    <row r="456" spans="1:13" x14ac:dyDescent="0.25">
      <c r="A456">
        <v>605639</v>
      </c>
      <c r="B456" t="s">
        <v>7808</v>
      </c>
      <c r="C456" t="s">
        <v>2598</v>
      </c>
      <c r="D456" s="254">
        <v>18506.060000000001</v>
      </c>
      <c r="E456"/>
      <c r="F456"/>
      <c r="G456"/>
      <c r="H456"/>
      <c r="I456" s="489"/>
      <c r="J456" s="1095"/>
      <c r="K456" s="1095"/>
      <c r="L456" s="1095"/>
      <c r="M456" s="1095"/>
    </row>
    <row r="457" spans="1:13" x14ac:dyDescent="0.25">
      <c r="A457">
        <v>605728</v>
      </c>
      <c r="B457" t="s">
        <v>7809</v>
      </c>
      <c r="C457" t="s">
        <v>2598</v>
      </c>
      <c r="D457" s="254">
        <v>19318.09</v>
      </c>
      <c r="E457"/>
      <c r="F457"/>
      <c r="G457"/>
      <c r="H457"/>
      <c r="I457" s="489"/>
      <c r="J457" s="1095"/>
      <c r="K457" s="1095"/>
      <c r="L457" s="1095"/>
      <c r="M457" s="1095"/>
    </row>
    <row r="458" spans="1:13" x14ac:dyDescent="0.25">
      <c r="A458">
        <v>605640</v>
      </c>
      <c r="B458" t="s">
        <v>7810</v>
      </c>
      <c r="C458" t="s">
        <v>2598</v>
      </c>
      <c r="D458" s="254">
        <v>19199.89</v>
      </c>
      <c r="E458"/>
      <c r="F458"/>
      <c r="G458"/>
      <c r="H458"/>
      <c r="I458" s="489"/>
      <c r="J458" s="1095"/>
      <c r="K458" s="1095"/>
      <c r="L458" s="1095"/>
      <c r="M458" s="1095"/>
    </row>
    <row r="459" spans="1:13" x14ac:dyDescent="0.25">
      <c r="A459">
        <v>605729</v>
      </c>
      <c r="B459" t="s">
        <v>7811</v>
      </c>
      <c r="C459" t="s">
        <v>2598</v>
      </c>
      <c r="D459" s="254">
        <v>21216.080000000002</v>
      </c>
      <c r="E459"/>
      <c r="F459"/>
      <c r="G459"/>
      <c r="H459"/>
      <c r="I459" s="489"/>
      <c r="J459" s="1095"/>
      <c r="K459" s="1095"/>
      <c r="L459" s="1095"/>
      <c r="M459" s="1095"/>
    </row>
    <row r="460" spans="1:13" x14ac:dyDescent="0.25">
      <c r="A460">
        <v>605641</v>
      </c>
      <c r="B460" t="s">
        <v>7812</v>
      </c>
      <c r="C460" t="s">
        <v>2598</v>
      </c>
      <c r="D460" s="254">
        <v>21089.73</v>
      </c>
      <c r="E460"/>
      <c r="F460"/>
      <c r="G460"/>
      <c r="H460"/>
      <c r="I460" s="489"/>
      <c r="J460" s="1095"/>
      <c r="K460" s="1095"/>
      <c r="L460" s="1095"/>
      <c r="M460" s="1095"/>
    </row>
    <row r="461" spans="1:13" x14ac:dyDescent="0.25">
      <c r="A461">
        <v>605730</v>
      </c>
      <c r="B461" t="s">
        <v>7813</v>
      </c>
      <c r="C461" t="s">
        <v>2598</v>
      </c>
      <c r="D461" s="254">
        <v>23134.53</v>
      </c>
      <c r="E461"/>
      <c r="F461"/>
      <c r="G461"/>
      <c r="H461"/>
      <c r="I461" s="489"/>
      <c r="J461" s="1095"/>
      <c r="K461" s="1095"/>
      <c r="L461" s="1095"/>
      <c r="M461" s="1095"/>
    </row>
    <row r="462" spans="1:13" x14ac:dyDescent="0.25">
      <c r="A462">
        <v>605642</v>
      </c>
      <c r="B462" t="s">
        <v>7814</v>
      </c>
      <c r="C462" t="s">
        <v>2598</v>
      </c>
      <c r="D462" s="254">
        <v>23000.03</v>
      </c>
      <c r="E462"/>
      <c r="F462"/>
      <c r="G462"/>
      <c r="H462"/>
      <c r="I462" s="489"/>
      <c r="J462" s="1095"/>
      <c r="K462" s="1095"/>
      <c r="L462" s="1095"/>
      <c r="M462" s="1095"/>
    </row>
    <row r="463" spans="1:13" x14ac:dyDescent="0.25">
      <c r="A463">
        <v>605731</v>
      </c>
      <c r="B463" t="s">
        <v>7815</v>
      </c>
      <c r="C463" t="s">
        <v>2598</v>
      </c>
      <c r="D463" s="254">
        <v>29335.45</v>
      </c>
      <c r="E463"/>
      <c r="F463"/>
      <c r="G463"/>
      <c r="H463"/>
      <c r="I463" s="489"/>
      <c r="J463" s="1095"/>
      <c r="K463" s="1095"/>
      <c r="L463" s="1095"/>
      <c r="M463" s="1095"/>
    </row>
    <row r="464" spans="1:13" x14ac:dyDescent="0.25">
      <c r="A464">
        <v>605643</v>
      </c>
      <c r="B464" t="s">
        <v>7816</v>
      </c>
      <c r="C464" t="s">
        <v>2598</v>
      </c>
      <c r="D464" s="254">
        <v>29196.87</v>
      </c>
      <c r="E464"/>
      <c r="F464"/>
      <c r="G464"/>
      <c r="H464"/>
      <c r="I464" s="489"/>
      <c r="J464" s="1095"/>
      <c r="K464" s="1095"/>
      <c r="L464" s="1095"/>
      <c r="M464" s="1095"/>
    </row>
    <row r="465" spans="1:13" x14ac:dyDescent="0.25">
      <c r="A465">
        <v>605732</v>
      </c>
      <c r="B465" t="s">
        <v>7817</v>
      </c>
      <c r="C465" t="s">
        <v>2598</v>
      </c>
      <c r="D465" s="254">
        <v>30329.68</v>
      </c>
      <c r="E465"/>
      <c r="F465"/>
      <c r="G465"/>
      <c r="H465"/>
      <c r="I465" s="489"/>
      <c r="J465" s="1095"/>
      <c r="K465" s="1095"/>
      <c r="L465" s="1095"/>
      <c r="M465" s="1095"/>
    </row>
    <row r="466" spans="1:13" x14ac:dyDescent="0.25">
      <c r="A466">
        <v>605644</v>
      </c>
      <c r="B466" t="s">
        <v>7818</v>
      </c>
      <c r="C466" t="s">
        <v>2598</v>
      </c>
      <c r="D466" s="254">
        <v>30163.25</v>
      </c>
      <c r="E466"/>
      <c r="F466"/>
      <c r="G466"/>
      <c r="H466"/>
      <c r="I466" s="489"/>
      <c r="J466" s="1095"/>
      <c r="K466" s="1095"/>
      <c r="L466" s="1095"/>
      <c r="M466" s="1095"/>
    </row>
    <row r="467" spans="1:13" x14ac:dyDescent="0.25">
      <c r="A467">
        <v>605733</v>
      </c>
      <c r="B467" t="s">
        <v>7819</v>
      </c>
      <c r="C467" t="s">
        <v>2598</v>
      </c>
      <c r="D467" s="254">
        <v>36945.89</v>
      </c>
      <c r="E467"/>
      <c r="F467"/>
      <c r="G467"/>
      <c r="H467"/>
      <c r="I467" s="489"/>
      <c r="J467" s="1095"/>
      <c r="K467" s="1095"/>
      <c r="L467" s="1095"/>
      <c r="M467" s="1095"/>
    </row>
    <row r="468" spans="1:13" x14ac:dyDescent="0.25">
      <c r="A468">
        <v>605645</v>
      </c>
      <c r="B468" t="s">
        <v>7820</v>
      </c>
      <c r="C468" t="s">
        <v>2598</v>
      </c>
      <c r="D468" s="254">
        <v>36771.14</v>
      </c>
      <c r="E468"/>
      <c r="F468"/>
      <c r="G468"/>
      <c r="H468"/>
      <c r="I468" s="489"/>
      <c r="J468" s="1095"/>
      <c r="K468" s="1095"/>
      <c r="L468" s="1095"/>
      <c r="M468" s="1095"/>
    </row>
    <row r="469" spans="1:13" x14ac:dyDescent="0.25">
      <c r="A469">
        <v>605734</v>
      </c>
      <c r="B469" t="s">
        <v>7821</v>
      </c>
      <c r="C469" t="s">
        <v>2598</v>
      </c>
      <c r="D469" s="254">
        <v>39692.239999999998</v>
      </c>
      <c r="E469"/>
      <c r="F469"/>
      <c r="G469"/>
      <c r="H469"/>
      <c r="I469" s="489"/>
      <c r="J469" s="1095"/>
      <c r="K469" s="1095"/>
      <c r="L469" s="1095"/>
      <c r="M469" s="1095"/>
    </row>
    <row r="470" spans="1:13" x14ac:dyDescent="0.25">
      <c r="A470">
        <v>605646</v>
      </c>
      <c r="B470" t="s">
        <v>7822</v>
      </c>
      <c r="C470" t="s">
        <v>2598</v>
      </c>
      <c r="D470" s="254">
        <v>39509.17</v>
      </c>
      <c r="E470"/>
      <c r="F470"/>
      <c r="G470"/>
      <c r="H470"/>
      <c r="I470" s="489"/>
      <c r="J470" s="1095"/>
      <c r="K470" s="1095"/>
      <c r="L470" s="1095"/>
      <c r="M470" s="1095"/>
    </row>
    <row r="471" spans="1:13" x14ac:dyDescent="0.25">
      <c r="A471">
        <v>605735</v>
      </c>
      <c r="B471" t="s">
        <v>7823</v>
      </c>
      <c r="C471" t="s">
        <v>2598</v>
      </c>
      <c r="D471" s="254">
        <v>48947.58</v>
      </c>
      <c r="E471"/>
      <c r="F471"/>
      <c r="G471"/>
      <c r="H471"/>
      <c r="I471" s="489"/>
      <c r="J471" s="1095"/>
      <c r="K471" s="1095"/>
      <c r="L471" s="1095"/>
      <c r="M471" s="1095"/>
    </row>
    <row r="472" spans="1:13" x14ac:dyDescent="0.25">
      <c r="A472">
        <v>605647</v>
      </c>
      <c r="B472" t="s">
        <v>7824</v>
      </c>
      <c r="C472" t="s">
        <v>2598</v>
      </c>
      <c r="D472" s="254">
        <v>48755</v>
      </c>
      <c r="E472"/>
      <c r="F472"/>
      <c r="G472"/>
      <c r="H472"/>
      <c r="I472" s="489"/>
      <c r="J472" s="1095"/>
      <c r="K472" s="1095"/>
      <c r="L472" s="1095"/>
      <c r="M472" s="1095"/>
    </row>
    <row r="473" spans="1:13" x14ac:dyDescent="0.25">
      <c r="A473">
        <v>605736</v>
      </c>
      <c r="B473" t="s">
        <v>7825</v>
      </c>
      <c r="C473" t="s">
        <v>2598</v>
      </c>
      <c r="D473" s="254">
        <v>59007.040000000001</v>
      </c>
      <c r="E473"/>
      <c r="F473"/>
      <c r="G473"/>
      <c r="H473"/>
      <c r="I473" s="489"/>
      <c r="J473" s="1095"/>
      <c r="K473" s="1095"/>
      <c r="L473" s="1095"/>
      <c r="M473" s="1095"/>
    </row>
    <row r="474" spans="1:13" x14ac:dyDescent="0.25">
      <c r="A474">
        <v>605648</v>
      </c>
      <c r="B474" t="s">
        <v>7826</v>
      </c>
      <c r="C474" t="s">
        <v>2598</v>
      </c>
      <c r="D474" s="254">
        <v>58804.94</v>
      </c>
      <c r="E474"/>
      <c r="F474"/>
      <c r="G474"/>
      <c r="H474"/>
      <c r="I474" s="489"/>
      <c r="J474" s="1095"/>
      <c r="K474" s="1095"/>
      <c r="L474" s="1095"/>
      <c r="M474" s="1095"/>
    </row>
    <row r="475" spans="1:13" x14ac:dyDescent="0.25">
      <c r="A475">
        <v>605737</v>
      </c>
      <c r="B475" t="s">
        <v>7827</v>
      </c>
      <c r="C475" t="s">
        <v>2598</v>
      </c>
      <c r="D475" s="254">
        <v>66478.149999999994</v>
      </c>
      <c r="E475"/>
      <c r="F475"/>
      <c r="G475"/>
      <c r="H475"/>
      <c r="I475" s="489"/>
      <c r="J475" s="1095"/>
      <c r="K475" s="1095"/>
      <c r="L475" s="1095"/>
      <c r="M475" s="1095"/>
    </row>
    <row r="476" spans="1:13" x14ac:dyDescent="0.25">
      <c r="A476">
        <v>605649</v>
      </c>
      <c r="B476" t="s">
        <v>7828</v>
      </c>
      <c r="C476" t="s">
        <v>2598</v>
      </c>
      <c r="D476" s="254">
        <v>66267.73</v>
      </c>
      <c r="E476"/>
      <c r="F476"/>
      <c r="G476"/>
      <c r="H476"/>
      <c r="I476" s="489"/>
      <c r="J476" s="1095"/>
      <c r="K476" s="1095"/>
      <c r="L476" s="1095"/>
      <c r="M476" s="1095"/>
    </row>
    <row r="477" spans="1:13" x14ac:dyDescent="0.25">
      <c r="A477">
        <v>605738</v>
      </c>
      <c r="B477" t="s">
        <v>7829</v>
      </c>
      <c r="C477" t="s">
        <v>2598</v>
      </c>
      <c r="D477" s="254">
        <v>70489.75</v>
      </c>
      <c r="E477"/>
      <c r="F477"/>
      <c r="G477"/>
      <c r="H477"/>
      <c r="I477" s="489"/>
      <c r="J477" s="1095"/>
      <c r="K477" s="1095"/>
      <c r="L477" s="1095"/>
      <c r="M477" s="1095"/>
    </row>
    <row r="478" spans="1:13" x14ac:dyDescent="0.25">
      <c r="A478">
        <v>605650</v>
      </c>
      <c r="B478" t="s">
        <v>7830</v>
      </c>
      <c r="C478" t="s">
        <v>2598</v>
      </c>
      <c r="D478" s="254">
        <v>70269.83</v>
      </c>
      <c r="E478"/>
      <c r="F478"/>
      <c r="G478"/>
      <c r="H478"/>
      <c r="I478" s="489"/>
      <c r="J478" s="1095"/>
      <c r="K478" s="1095"/>
      <c r="L478" s="1095"/>
      <c r="M478" s="1095"/>
    </row>
    <row r="479" spans="1:13" x14ac:dyDescent="0.25">
      <c r="A479">
        <v>605674</v>
      </c>
      <c r="B479" t="s">
        <v>7831</v>
      </c>
      <c r="C479" t="s">
        <v>2598</v>
      </c>
      <c r="D479" s="254">
        <v>7069.7</v>
      </c>
      <c r="E479"/>
      <c r="F479"/>
      <c r="G479"/>
      <c r="H479"/>
      <c r="I479" s="489"/>
      <c r="J479" s="1095"/>
      <c r="K479" s="1095"/>
      <c r="L479" s="1095"/>
      <c r="M479" s="1095"/>
    </row>
    <row r="480" spans="1:13" x14ac:dyDescent="0.25">
      <c r="A480">
        <v>605483</v>
      </c>
      <c r="B480" t="s">
        <v>7832</v>
      </c>
      <c r="C480" t="s">
        <v>2598</v>
      </c>
      <c r="D480" s="254">
        <v>7018.75</v>
      </c>
      <c r="E480"/>
      <c r="F480"/>
      <c r="G480"/>
      <c r="H480"/>
      <c r="I480" s="489"/>
      <c r="J480" s="1095"/>
      <c r="K480" s="1095"/>
      <c r="L480" s="1095"/>
      <c r="M480" s="1095"/>
    </row>
    <row r="481" spans="1:13" x14ac:dyDescent="0.25">
      <c r="A481">
        <v>605675</v>
      </c>
      <c r="B481" t="s">
        <v>7833</v>
      </c>
      <c r="C481" t="s">
        <v>2598</v>
      </c>
      <c r="D481" s="254">
        <v>8785.76</v>
      </c>
      <c r="E481"/>
      <c r="F481"/>
      <c r="G481"/>
      <c r="H481"/>
      <c r="I481" s="489"/>
      <c r="J481" s="1095"/>
      <c r="K481" s="1095"/>
      <c r="L481" s="1095"/>
      <c r="M481" s="1095"/>
    </row>
    <row r="482" spans="1:13" x14ac:dyDescent="0.25">
      <c r="A482">
        <v>605484</v>
      </c>
      <c r="B482" t="s">
        <v>7834</v>
      </c>
      <c r="C482" t="s">
        <v>2598</v>
      </c>
      <c r="D482" s="254">
        <v>8728.7000000000007</v>
      </c>
      <c r="E482"/>
      <c r="F482"/>
      <c r="G482"/>
      <c r="H482"/>
      <c r="I482" s="489"/>
      <c r="J482" s="1095"/>
      <c r="K482" s="1095"/>
      <c r="L482" s="1095"/>
      <c r="M482" s="1095"/>
    </row>
    <row r="483" spans="1:13" x14ac:dyDescent="0.25">
      <c r="A483">
        <v>605676</v>
      </c>
      <c r="B483" t="s">
        <v>7835</v>
      </c>
      <c r="C483" t="s">
        <v>2598</v>
      </c>
      <c r="D483" s="254">
        <v>9205</v>
      </c>
      <c r="E483"/>
      <c r="F483"/>
      <c r="G483"/>
      <c r="H483"/>
      <c r="I483" s="489"/>
      <c r="J483" s="1095"/>
      <c r="K483" s="1095"/>
      <c r="L483" s="1095"/>
      <c r="M483" s="1095"/>
    </row>
    <row r="484" spans="1:13" x14ac:dyDescent="0.25">
      <c r="A484">
        <v>605485</v>
      </c>
      <c r="B484" t="s">
        <v>7836</v>
      </c>
      <c r="C484" t="s">
        <v>2598</v>
      </c>
      <c r="D484" s="254">
        <v>9145.91</v>
      </c>
      <c r="E484"/>
      <c r="F484"/>
      <c r="G484"/>
      <c r="H484"/>
      <c r="I484" s="489"/>
      <c r="J484" s="1095"/>
      <c r="K484" s="1095"/>
      <c r="L484" s="1095"/>
      <c r="M484" s="1095"/>
    </row>
    <row r="485" spans="1:13" x14ac:dyDescent="0.25">
      <c r="A485">
        <v>605677</v>
      </c>
      <c r="B485" t="s">
        <v>7837</v>
      </c>
      <c r="C485" t="s">
        <v>2598</v>
      </c>
      <c r="D485" s="254">
        <v>10268.469999999999</v>
      </c>
      <c r="E485"/>
      <c r="F485"/>
      <c r="G485"/>
      <c r="H485"/>
      <c r="I485" s="489"/>
      <c r="J485" s="1095"/>
      <c r="K485" s="1095"/>
      <c r="L485" s="1095"/>
      <c r="M485" s="1095"/>
    </row>
    <row r="486" spans="1:13" x14ac:dyDescent="0.25">
      <c r="A486">
        <v>605486</v>
      </c>
      <c r="B486" t="s">
        <v>7838</v>
      </c>
      <c r="C486" t="s">
        <v>2598</v>
      </c>
      <c r="D486" s="254">
        <v>10204.27</v>
      </c>
      <c r="E486"/>
      <c r="F486"/>
      <c r="G486"/>
      <c r="H486"/>
      <c r="I486" s="489"/>
      <c r="J486" s="1095"/>
      <c r="K486" s="1095"/>
      <c r="L486" s="1095"/>
      <c r="M486" s="1095"/>
    </row>
    <row r="487" spans="1:13" x14ac:dyDescent="0.25">
      <c r="A487">
        <v>605678</v>
      </c>
      <c r="B487" t="s">
        <v>7839</v>
      </c>
      <c r="C487" t="s">
        <v>2598</v>
      </c>
      <c r="D487" s="254">
        <v>10882.89</v>
      </c>
      <c r="E487"/>
      <c r="F487"/>
      <c r="G487"/>
      <c r="H487"/>
      <c r="I487" s="489"/>
      <c r="J487" s="1095"/>
      <c r="K487" s="1095"/>
      <c r="L487" s="1095"/>
      <c r="M487" s="1095"/>
    </row>
    <row r="488" spans="1:13" x14ac:dyDescent="0.25">
      <c r="A488">
        <v>605487</v>
      </c>
      <c r="B488" t="s">
        <v>7840</v>
      </c>
      <c r="C488" t="s">
        <v>2598</v>
      </c>
      <c r="D488" s="254">
        <v>10815.64</v>
      </c>
      <c r="E488"/>
      <c r="F488"/>
      <c r="G488"/>
      <c r="H488"/>
      <c r="I488" s="489"/>
      <c r="J488" s="1095"/>
      <c r="K488" s="1095"/>
      <c r="L488" s="1095"/>
      <c r="M488" s="1095"/>
    </row>
    <row r="489" spans="1:13" x14ac:dyDescent="0.25">
      <c r="A489">
        <v>605679</v>
      </c>
      <c r="B489" t="s">
        <v>7841</v>
      </c>
      <c r="C489" t="s">
        <v>2598</v>
      </c>
      <c r="D489" s="254">
        <v>12726.15</v>
      </c>
      <c r="E489"/>
      <c r="F489"/>
      <c r="G489"/>
      <c r="H489"/>
      <c r="I489" s="489"/>
      <c r="J489" s="1095"/>
      <c r="K489" s="1095"/>
      <c r="L489" s="1095"/>
      <c r="M489" s="1095"/>
    </row>
    <row r="490" spans="1:13" x14ac:dyDescent="0.25">
      <c r="A490">
        <v>605488</v>
      </c>
      <c r="B490" t="s">
        <v>7842</v>
      </c>
      <c r="C490" t="s">
        <v>2598</v>
      </c>
      <c r="D490" s="254">
        <v>12651.77</v>
      </c>
      <c r="E490"/>
      <c r="F490"/>
      <c r="G490"/>
      <c r="H490"/>
      <c r="I490" s="489"/>
      <c r="J490" s="1095"/>
      <c r="K490" s="1095"/>
      <c r="L490" s="1095"/>
      <c r="M490" s="1095"/>
    </row>
    <row r="491" spans="1:13" x14ac:dyDescent="0.25">
      <c r="A491">
        <v>605680</v>
      </c>
      <c r="B491" t="s">
        <v>7843</v>
      </c>
      <c r="C491" t="s">
        <v>2598</v>
      </c>
      <c r="D491" s="254">
        <v>14526.55</v>
      </c>
      <c r="E491"/>
      <c r="F491"/>
      <c r="G491"/>
      <c r="H491"/>
      <c r="I491" s="489"/>
      <c r="J491" s="1095"/>
      <c r="K491" s="1095"/>
      <c r="L491" s="1095"/>
      <c r="M491" s="1095"/>
    </row>
    <row r="492" spans="1:13" x14ac:dyDescent="0.25">
      <c r="A492">
        <v>605489</v>
      </c>
      <c r="B492" t="s">
        <v>7844</v>
      </c>
      <c r="C492" t="s">
        <v>2598</v>
      </c>
      <c r="D492" s="254">
        <v>14423.64</v>
      </c>
      <c r="E492"/>
      <c r="F492"/>
      <c r="G492"/>
      <c r="H492"/>
      <c r="I492" s="489"/>
      <c r="J492" s="1095"/>
      <c r="K492" s="1095"/>
      <c r="L492" s="1095"/>
      <c r="M492" s="1095"/>
    </row>
    <row r="493" spans="1:13" x14ac:dyDescent="0.25">
      <c r="A493">
        <v>605681</v>
      </c>
      <c r="B493" t="s">
        <v>7845</v>
      </c>
      <c r="C493" t="s">
        <v>2598</v>
      </c>
      <c r="D493" s="254">
        <v>15422.19</v>
      </c>
      <c r="E493"/>
      <c r="F493"/>
      <c r="G493"/>
      <c r="H493"/>
      <c r="I493" s="489"/>
      <c r="J493" s="1095"/>
      <c r="K493" s="1095"/>
      <c r="L493" s="1095"/>
      <c r="M493" s="1095"/>
    </row>
    <row r="494" spans="1:13" x14ac:dyDescent="0.25">
      <c r="A494">
        <v>605490</v>
      </c>
      <c r="B494" t="s">
        <v>7846</v>
      </c>
      <c r="C494" t="s">
        <v>2598</v>
      </c>
      <c r="D494" s="254">
        <v>15316.22</v>
      </c>
      <c r="E494"/>
      <c r="F494"/>
      <c r="G494"/>
      <c r="H494"/>
      <c r="I494" s="489"/>
      <c r="J494" s="1095"/>
      <c r="K494" s="1095"/>
      <c r="L494" s="1095"/>
      <c r="M494" s="1095"/>
    </row>
    <row r="495" spans="1:13" x14ac:dyDescent="0.25">
      <c r="A495">
        <v>605682</v>
      </c>
      <c r="B495" t="s">
        <v>7847</v>
      </c>
      <c r="C495" t="s">
        <v>2598</v>
      </c>
      <c r="D495" s="254">
        <v>16324.59</v>
      </c>
      <c r="E495"/>
      <c r="F495"/>
      <c r="G495"/>
      <c r="H495"/>
      <c r="I495" s="489"/>
      <c r="J495" s="1095"/>
      <c r="K495" s="1095"/>
      <c r="L495" s="1095"/>
      <c r="M495" s="1095"/>
    </row>
    <row r="496" spans="1:13" x14ac:dyDescent="0.25">
      <c r="A496">
        <v>605491</v>
      </c>
      <c r="B496" t="s">
        <v>7848</v>
      </c>
      <c r="C496" t="s">
        <v>2598</v>
      </c>
      <c r="D496" s="254">
        <v>16214.55</v>
      </c>
      <c r="E496"/>
      <c r="F496"/>
      <c r="G496"/>
      <c r="H496"/>
      <c r="I496" s="489"/>
      <c r="J496" s="1095"/>
      <c r="K496" s="1095"/>
      <c r="L496" s="1095"/>
      <c r="M496" s="1095"/>
    </row>
    <row r="497" spans="1:13" x14ac:dyDescent="0.25">
      <c r="A497">
        <v>605683</v>
      </c>
      <c r="B497" t="s">
        <v>7849</v>
      </c>
      <c r="C497" t="s">
        <v>2598</v>
      </c>
      <c r="D497" s="254">
        <v>17497.07</v>
      </c>
      <c r="E497"/>
      <c r="F497"/>
      <c r="G497"/>
      <c r="H497"/>
      <c r="I497" s="489"/>
      <c r="J497" s="1095"/>
      <c r="K497" s="1095"/>
      <c r="L497" s="1095"/>
      <c r="M497" s="1095"/>
    </row>
    <row r="498" spans="1:13" x14ac:dyDescent="0.25">
      <c r="A498">
        <v>605492</v>
      </c>
      <c r="B498" t="s">
        <v>7850</v>
      </c>
      <c r="C498" t="s">
        <v>2598</v>
      </c>
      <c r="D498" s="254">
        <v>17381.93</v>
      </c>
      <c r="E498"/>
      <c r="F498"/>
      <c r="G498"/>
      <c r="H498"/>
      <c r="I498" s="489"/>
      <c r="J498" s="1095"/>
      <c r="K498" s="1095"/>
      <c r="L498" s="1095"/>
      <c r="M498" s="1095"/>
    </row>
    <row r="499" spans="1:13" x14ac:dyDescent="0.25">
      <c r="A499">
        <v>605684</v>
      </c>
      <c r="B499" t="s">
        <v>7851</v>
      </c>
      <c r="C499" t="s">
        <v>2598</v>
      </c>
      <c r="D499" s="254">
        <v>18154.34</v>
      </c>
      <c r="E499"/>
      <c r="F499"/>
      <c r="G499"/>
      <c r="H499"/>
      <c r="I499" s="489"/>
      <c r="J499" s="1095"/>
      <c r="K499" s="1095"/>
      <c r="L499" s="1095"/>
      <c r="M499" s="1095"/>
    </row>
    <row r="500" spans="1:13" x14ac:dyDescent="0.25">
      <c r="A500">
        <v>605493</v>
      </c>
      <c r="B500" t="s">
        <v>7852</v>
      </c>
      <c r="C500" t="s">
        <v>2598</v>
      </c>
      <c r="D500" s="254">
        <v>18036.150000000001</v>
      </c>
      <c r="E500"/>
      <c r="F500"/>
      <c r="G500"/>
      <c r="H500"/>
      <c r="I500" s="489"/>
      <c r="J500" s="1095"/>
      <c r="K500" s="1095"/>
      <c r="L500" s="1095"/>
      <c r="M500" s="1095"/>
    </row>
    <row r="501" spans="1:13" x14ac:dyDescent="0.25">
      <c r="A501">
        <v>605685</v>
      </c>
      <c r="B501" t="s">
        <v>7853</v>
      </c>
      <c r="C501" t="s">
        <v>2598</v>
      </c>
      <c r="D501" s="254">
        <v>19933.53</v>
      </c>
      <c r="E501"/>
      <c r="F501"/>
      <c r="G501"/>
      <c r="H501"/>
      <c r="I501" s="489"/>
      <c r="J501" s="1095"/>
      <c r="K501" s="1095"/>
      <c r="L501" s="1095"/>
      <c r="M501" s="1095"/>
    </row>
    <row r="502" spans="1:13" x14ac:dyDescent="0.25">
      <c r="A502">
        <v>605494</v>
      </c>
      <c r="B502" t="s">
        <v>7854</v>
      </c>
      <c r="C502" t="s">
        <v>2598</v>
      </c>
      <c r="D502" s="254">
        <v>19807.18</v>
      </c>
      <c r="E502"/>
      <c r="F502"/>
      <c r="G502"/>
      <c r="H502"/>
      <c r="I502" s="489"/>
      <c r="J502" s="1095"/>
      <c r="K502" s="1095"/>
      <c r="L502" s="1095"/>
      <c r="M502" s="1095"/>
    </row>
    <row r="503" spans="1:13" x14ac:dyDescent="0.25">
      <c r="A503">
        <v>605686</v>
      </c>
      <c r="B503" t="s">
        <v>7855</v>
      </c>
      <c r="C503" t="s">
        <v>2598</v>
      </c>
      <c r="D503" s="254">
        <v>21731.75</v>
      </c>
      <c r="E503"/>
      <c r="F503"/>
      <c r="G503"/>
      <c r="H503"/>
      <c r="I503" s="489"/>
      <c r="J503" s="1095"/>
      <c r="K503" s="1095"/>
      <c r="L503" s="1095"/>
      <c r="M503" s="1095"/>
    </row>
    <row r="504" spans="1:13" x14ac:dyDescent="0.25">
      <c r="A504">
        <v>605495</v>
      </c>
      <c r="B504" t="s">
        <v>7856</v>
      </c>
      <c r="C504" t="s">
        <v>2598</v>
      </c>
      <c r="D504" s="254">
        <v>21597.25</v>
      </c>
      <c r="E504"/>
      <c r="F504"/>
      <c r="G504"/>
      <c r="H504"/>
      <c r="I504" s="489"/>
      <c r="J504" s="1095"/>
      <c r="K504" s="1095"/>
      <c r="L504" s="1095"/>
      <c r="M504" s="1095"/>
    </row>
    <row r="505" spans="1:13" x14ac:dyDescent="0.25">
      <c r="A505">
        <v>605687</v>
      </c>
      <c r="B505" t="s">
        <v>7857</v>
      </c>
      <c r="C505" t="s">
        <v>2598</v>
      </c>
      <c r="D505" s="254">
        <v>24838.69</v>
      </c>
      <c r="E505"/>
      <c r="F505"/>
      <c r="G505"/>
      <c r="H505"/>
      <c r="I505" s="489"/>
      <c r="J505" s="1095"/>
      <c r="K505" s="1095"/>
      <c r="L505" s="1095"/>
      <c r="M505" s="1095"/>
    </row>
    <row r="506" spans="1:13" x14ac:dyDescent="0.25">
      <c r="A506">
        <v>605496</v>
      </c>
      <c r="B506" t="s">
        <v>7858</v>
      </c>
      <c r="C506" t="s">
        <v>2598</v>
      </c>
      <c r="D506" s="254">
        <v>24700.11</v>
      </c>
      <c r="E506"/>
      <c r="F506"/>
      <c r="G506"/>
      <c r="H506"/>
      <c r="I506" s="489"/>
      <c r="J506" s="1095"/>
      <c r="K506" s="1095"/>
      <c r="L506" s="1095"/>
      <c r="M506" s="1095"/>
    </row>
    <row r="507" spans="1:13" x14ac:dyDescent="0.25">
      <c r="A507">
        <v>605688</v>
      </c>
      <c r="B507" t="s">
        <v>7859</v>
      </c>
      <c r="C507" t="s">
        <v>2598</v>
      </c>
      <c r="D507" s="254">
        <v>25705.94</v>
      </c>
      <c r="E507"/>
      <c r="F507"/>
      <c r="G507"/>
      <c r="H507"/>
      <c r="I507" s="489"/>
      <c r="J507" s="1095"/>
      <c r="K507" s="1095"/>
      <c r="L507" s="1095"/>
      <c r="M507" s="1095"/>
    </row>
    <row r="508" spans="1:13" x14ac:dyDescent="0.25">
      <c r="A508">
        <v>605497</v>
      </c>
      <c r="B508" t="s">
        <v>7860</v>
      </c>
      <c r="C508" t="s">
        <v>2598</v>
      </c>
      <c r="D508" s="254">
        <v>25539.51</v>
      </c>
      <c r="E508"/>
      <c r="F508"/>
      <c r="G508"/>
      <c r="H508"/>
      <c r="I508" s="489"/>
      <c r="J508" s="1095"/>
      <c r="K508" s="1095"/>
      <c r="L508" s="1095"/>
      <c r="M508" s="1095"/>
    </row>
    <row r="509" spans="1:13" x14ac:dyDescent="0.25">
      <c r="A509">
        <v>605689</v>
      </c>
      <c r="B509" t="s">
        <v>7861</v>
      </c>
      <c r="C509" t="s">
        <v>2598</v>
      </c>
      <c r="D509" s="254">
        <v>32250.74</v>
      </c>
      <c r="E509"/>
      <c r="F509"/>
      <c r="G509"/>
      <c r="H509"/>
      <c r="I509" s="489"/>
      <c r="J509" s="1095"/>
      <c r="K509" s="1095"/>
      <c r="L509" s="1095"/>
      <c r="M509" s="1095"/>
    </row>
    <row r="510" spans="1:13" x14ac:dyDescent="0.25">
      <c r="A510">
        <v>605498</v>
      </c>
      <c r="B510" t="s">
        <v>7862</v>
      </c>
      <c r="C510" t="s">
        <v>2598</v>
      </c>
      <c r="D510" s="254">
        <v>32075.99</v>
      </c>
      <c r="E510"/>
      <c r="F510"/>
      <c r="G510"/>
      <c r="H510"/>
      <c r="I510" s="489"/>
      <c r="J510" s="1095"/>
      <c r="K510" s="1095"/>
      <c r="L510" s="1095"/>
      <c r="M510" s="1095"/>
    </row>
    <row r="511" spans="1:13" x14ac:dyDescent="0.25">
      <c r="A511">
        <v>605690</v>
      </c>
      <c r="B511" t="s">
        <v>7863</v>
      </c>
      <c r="C511" t="s">
        <v>2598</v>
      </c>
      <c r="D511" s="254">
        <v>34661.29</v>
      </c>
      <c r="E511"/>
      <c r="F511"/>
      <c r="G511"/>
      <c r="H511"/>
      <c r="I511" s="489"/>
      <c r="J511" s="1095"/>
      <c r="K511" s="1095"/>
      <c r="L511" s="1095"/>
      <c r="M511" s="1095"/>
    </row>
    <row r="512" spans="1:13" x14ac:dyDescent="0.25">
      <c r="A512">
        <v>605499</v>
      </c>
      <c r="B512" t="s">
        <v>7864</v>
      </c>
      <c r="C512" t="s">
        <v>2598</v>
      </c>
      <c r="D512" s="254">
        <v>34478.22</v>
      </c>
      <c r="E512"/>
      <c r="F512"/>
      <c r="G512"/>
      <c r="H512"/>
      <c r="I512" s="489"/>
      <c r="J512" s="1095"/>
      <c r="K512" s="1095"/>
      <c r="L512" s="1095"/>
      <c r="M512" s="1095"/>
    </row>
    <row r="513" spans="1:13" x14ac:dyDescent="0.25">
      <c r="A513">
        <v>605691</v>
      </c>
      <c r="B513" t="s">
        <v>7865</v>
      </c>
      <c r="C513" t="s">
        <v>2598</v>
      </c>
      <c r="D513" s="254">
        <v>42590.09</v>
      </c>
      <c r="E513"/>
      <c r="F513"/>
      <c r="G513"/>
      <c r="H513"/>
      <c r="I513" s="489"/>
      <c r="J513" s="1095"/>
      <c r="K513" s="1095"/>
      <c r="L513" s="1095"/>
      <c r="M513" s="1095"/>
    </row>
    <row r="514" spans="1:13" x14ac:dyDescent="0.25">
      <c r="A514">
        <v>605500</v>
      </c>
      <c r="B514" t="s">
        <v>7866</v>
      </c>
      <c r="C514" t="s">
        <v>2598</v>
      </c>
      <c r="D514" s="254">
        <v>42397.51</v>
      </c>
      <c r="E514"/>
      <c r="F514"/>
      <c r="G514"/>
      <c r="H514"/>
      <c r="I514" s="489"/>
      <c r="J514" s="1095"/>
      <c r="K514" s="1095"/>
      <c r="L514" s="1095"/>
      <c r="M514" s="1095"/>
    </row>
    <row r="515" spans="1:13" x14ac:dyDescent="0.25">
      <c r="A515">
        <v>605692</v>
      </c>
      <c r="B515" t="s">
        <v>7867</v>
      </c>
      <c r="C515" t="s">
        <v>2598</v>
      </c>
      <c r="D515" s="254">
        <v>50972.18</v>
      </c>
      <c r="E515"/>
      <c r="F515"/>
      <c r="G515"/>
      <c r="H515"/>
      <c r="I515" s="489"/>
      <c r="J515" s="1095"/>
      <c r="K515" s="1095"/>
      <c r="L515" s="1095"/>
      <c r="M515" s="1095"/>
    </row>
    <row r="516" spans="1:13" x14ac:dyDescent="0.25">
      <c r="A516">
        <v>605501</v>
      </c>
      <c r="B516" t="s">
        <v>7868</v>
      </c>
      <c r="C516" t="s">
        <v>2598</v>
      </c>
      <c r="D516" s="254">
        <v>50770.09</v>
      </c>
      <c r="E516"/>
      <c r="F516"/>
      <c r="G516"/>
      <c r="H516"/>
      <c r="I516" s="489"/>
      <c r="J516" s="1095"/>
      <c r="K516" s="1095"/>
      <c r="L516" s="1095"/>
      <c r="M516" s="1095"/>
    </row>
    <row r="517" spans="1:13" x14ac:dyDescent="0.25">
      <c r="A517">
        <v>605693</v>
      </c>
      <c r="B517" t="s">
        <v>7869</v>
      </c>
      <c r="C517" t="s">
        <v>2598</v>
      </c>
      <c r="D517" s="254">
        <v>54256.15</v>
      </c>
      <c r="E517"/>
      <c r="F517"/>
      <c r="G517"/>
      <c r="H517"/>
      <c r="I517" s="489"/>
      <c r="J517" s="1095"/>
      <c r="K517" s="1095"/>
      <c r="L517" s="1095"/>
      <c r="M517" s="1095"/>
    </row>
    <row r="518" spans="1:13" x14ac:dyDescent="0.25">
      <c r="A518">
        <v>605502</v>
      </c>
      <c r="B518" t="s">
        <v>7870</v>
      </c>
      <c r="C518" t="s">
        <v>2598</v>
      </c>
      <c r="D518" s="254">
        <v>54045.73</v>
      </c>
      <c r="E518"/>
      <c r="F518"/>
      <c r="G518"/>
      <c r="H518"/>
      <c r="I518" s="489"/>
      <c r="J518" s="1095"/>
      <c r="K518" s="1095"/>
      <c r="L518" s="1095"/>
      <c r="M518" s="1095"/>
    </row>
    <row r="519" spans="1:13" x14ac:dyDescent="0.25">
      <c r="A519">
        <v>605694</v>
      </c>
      <c r="B519" t="s">
        <v>7871</v>
      </c>
      <c r="C519" t="s">
        <v>2598</v>
      </c>
      <c r="D519" s="254">
        <v>57591.29</v>
      </c>
      <c r="E519"/>
      <c r="F519"/>
      <c r="G519"/>
      <c r="H519"/>
      <c r="I519" s="489"/>
      <c r="J519" s="1095"/>
      <c r="K519" s="1095"/>
      <c r="L519" s="1095"/>
      <c r="M519" s="1095"/>
    </row>
    <row r="520" spans="1:13" x14ac:dyDescent="0.25">
      <c r="A520">
        <v>605503</v>
      </c>
      <c r="B520" t="s">
        <v>7872</v>
      </c>
      <c r="C520" t="s">
        <v>2598</v>
      </c>
      <c r="D520" s="254">
        <v>57371.37</v>
      </c>
      <c r="E520"/>
      <c r="F520"/>
      <c r="G520"/>
      <c r="H520"/>
      <c r="I520" s="489"/>
      <c r="J520" s="1095"/>
      <c r="K520" s="1095"/>
      <c r="L520" s="1095"/>
      <c r="M520" s="1095"/>
    </row>
    <row r="521" spans="1:13" x14ac:dyDescent="0.25">
      <c r="A521">
        <v>606433</v>
      </c>
      <c r="B521" t="s">
        <v>7873</v>
      </c>
      <c r="C521" t="s">
        <v>2598</v>
      </c>
      <c r="D521" s="254">
        <v>8505.67</v>
      </c>
      <c r="E521"/>
      <c r="F521"/>
      <c r="G521"/>
      <c r="H521"/>
      <c r="I521" s="489"/>
      <c r="J521" s="1095"/>
      <c r="K521" s="1095"/>
      <c r="L521" s="1095"/>
      <c r="M521" s="1095"/>
    </row>
    <row r="522" spans="1:13" x14ac:dyDescent="0.25">
      <c r="A522">
        <v>606343</v>
      </c>
      <c r="B522" t="s">
        <v>7874</v>
      </c>
      <c r="C522" t="s">
        <v>2598</v>
      </c>
      <c r="D522" s="254">
        <v>8445.5499999999993</v>
      </c>
      <c r="E522"/>
      <c r="F522"/>
      <c r="G522"/>
      <c r="H522"/>
      <c r="I522" s="489"/>
      <c r="J522" s="1095"/>
      <c r="K522" s="1095"/>
      <c r="L522" s="1095"/>
      <c r="M522" s="1095"/>
    </row>
    <row r="523" spans="1:13" x14ac:dyDescent="0.25">
      <c r="A523">
        <v>606434</v>
      </c>
      <c r="B523" t="s">
        <v>7875</v>
      </c>
      <c r="C523" t="s">
        <v>2598</v>
      </c>
      <c r="D523" s="254">
        <v>9404.5400000000009</v>
      </c>
      <c r="E523"/>
      <c r="F523"/>
      <c r="G523"/>
      <c r="H523"/>
      <c r="I523" s="489"/>
      <c r="J523" s="1095"/>
      <c r="K523" s="1095"/>
      <c r="L523" s="1095"/>
      <c r="M523" s="1095"/>
    </row>
    <row r="524" spans="1:13" x14ac:dyDescent="0.25">
      <c r="A524">
        <v>606344</v>
      </c>
      <c r="B524" t="s">
        <v>7876</v>
      </c>
      <c r="C524" t="s">
        <v>2598</v>
      </c>
      <c r="D524" s="254">
        <v>9340.35</v>
      </c>
      <c r="E524"/>
      <c r="F524"/>
      <c r="G524"/>
      <c r="H524"/>
      <c r="I524" s="489"/>
      <c r="J524" s="1095"/>
      <c r="K524" s="1095"/>
      <c r="L524" s="1095"/>
      <c r="M524" s="1095"/>
    </row>
    <row r="525" spans="1:13" x14ac:dyDescent="0.25">
      <c r="A525">
        <v>606435</v>
      </c>
      <c r="B525" t="s">
        <v>7877</v>
      </c>
      <c r="C525" t="s">
        <v>2598</v>
      </c>
      <c r="D525" s="254">
        <v>10309.790000000001</v>
      </c>
      <c r="E525"/>
      <c r="F525"/>
      <c r="G525"/>
      <c r="H525"/>
      <c r="I525" s="489"/>
      <c r="J525" s="1095"/>
      <c r="K525" s="1095"/>
      <c r="L525" s="1095"/>
      <c r="M525" s="1095"/>
    </row>
    <row r="526" spans="1:13" x14ac:dyDescent="0.25">
      <c r="A526">
        <v>606345</v>
      </c>
      <c r="B526" t="s">
        <v>7878</v>
      </c>
      <c r="C526" t="s">
        <v>2598</v>
      </c>
      <c r="D526" s="254">
        <v>10242.540000000001</v>
      </c>
      <c r="E526"/>
      <c r="F526"/>
      <c r="G526"/>
      <c r="H526"/>
      <c r="I526" s="489"/>
      <c r="J526" s="1095"/>
      <c r="K526" s="1095"/>
      <c r="L526" s="1095"/>
      <c r="M526" s="1095"/>
    </row>
    <row r="527" spans="1:13" x14ac:dyDescent="0.25">
      <c r="A527">
        <v>606436</v>
      </c>
      <c r="B527" t="s">
        <v>7879</v>
      </c>
      <c r="C527" t="s">
        <v>2598</v>
      </c>
      <c r="D527" s="254">
        <v>10962.41</v>
      </c>
      <c r="E527"/>
      <c r="F527"/>
      <c r="G527"/>
      <c r="H527"/>
      <c r="I527" s="489"/>
      <c r="J527" s="1095"/>
      <c r="K527" s="1095"/>
      <c r="L527" s="1095"/>
      <c r="M527" s="1095"/>
    </row>
    <row r="528" spans="1:13" x14ac:dyDescent="0.25">
      <c r="A528">
        <v>606346</v>
      </c>
      <c r="B528" t="s">
        <v>7880</v>
      </c>
      <c r="C528" t="s">
        <v>2598</v>
      </c>
      <c r="D528" s="254">
        <v>10890.06</v>
      </c>
      <c r="E528"/>
      <c r="F528"/>
      <c r="G528"/>
      <c r="H528"/>
      <c r="I528" s="489"/>
      <c r="J528" s="1095"/>
      <c r="K528" s="1095"/>
      <c r="L528" s="1095"/>
      <c r="M528" s="1095"/>
    </row>
    <row r="529" spans="1:13" x14ac:dyDescent="0.25">
      <c r="A529">
        <v>606437</v>
      </c>
      <c r="B529" t="s">
        <v>7881</v>
      </c>
      <c r="C529" t="s">
        <v>2598</v>
      </c>
      <c r="D529" s="254">
        <v>11862.55</v>
      </c>
      <c r="E529"/>
      <c r="F529"/>
      <c r="G529"/>
      <c r="H529"/>
      <c r="I529" s="489"/>
      <c r="J529" s="1095"/>
      <c r="K529" s="1095"/>
      <c r="L529" s="1095"/>
      <c r="M529" s="1095"/>
    </row>
    <row r="530" spans="1:13" x14ac:dyDescent="0.25">
      <c r="A530">
        <v>606347</v>
      </c>
      <c r="B530" t="s">
        <v>7882</v>
      </c>
      <c r="C530" t="s">
        <v>2598</v>
      </c>
      <c r="D530" s="254">
        <v>11787.83</v>
      </c>
      <c r="E530"/>
      <c r="F530"/>
      <c r="G530"/>
      <c r="H530"/>
      <c r="I530" s="489"/>
      <c r="J530" s="1095"/>
      <c r="K530" s="1095"/>
      <c r="L530" s="1095"/>
      <c r="M530" s="1095"/>
    </row>
    <row r="531" spans="1:13" x14ac:dyDescent="0.25">
      <c r="A531">
        <v>606438</v>
      </c>
      <c r="B531" t="s">
        <v>7883</v>
      </c>
      <c r="C531" t="s">
        <v>2598</v>
      </c>
      <c r="D531" s="254">
        <v>12180.55</v>
      </c>
      <c r="E531"/>
      <c r="F531"/>
      <c r="G531"/>
      <c r="H531"/>
      <c r="I531" s="489"/>
      <c r="J531" s="1095"/>
      <c r="K531" s="1095"/>
      <c r="L531" s="1095"/>
      <c r="M531" s="1095"/>
    </row>
    <row r="532" spans="1:13" x14ac:dyDescent="0.25">
      <c r="A532">
        <v>606348</v>
      </c>
      <c r="B532" t="s">
        <v>7884</v>
      </c>
      <c r="C532" t="s">
        <v>2598</v>
      </c>
      <c r="D532" s="254">
        <v>12104.13</v>
      </c>
      <c r="E532"/>
      <c r="F532"/>
      <c r="G532"/>
      <c r="H532"/>
      <c r="I532" s="489"/>
      <c r="J532" s="1095"/>
      <c r="K532" s="1095"/>
      <c r="L532" s="1095"/>
      <c r="M532" s="1095"/>
    </row>
    <row r="533" spans="1:13" x14ac:dyDescent="0.25">
      <c r="A533">
        <v>606439</v>
      </c>
      <c r="B533" t="s">
        <v>7885</v>
      </c>
      <c r="C533" t="s">
        <v>2598</v>
      </c>
      <c r="D533" s="254">
        <v>12836.79</v>
      </c>
      <c r="E533"/>
      <c r="F533"/>
      <c r="G533"/>
      <c r="H533"/>
      <c r="I533" s="489"/>
      <c r="J533" s="1095"/>
      <c r="K533" s="1095"/>
      <c r="L533" s="1095"/>
      <c r="M533" s="1095"/>
    </row>
    <row r="534" spans="1:13" x14ac:dyDescent="0.25">
      <c r="A534">
        <v>606349</v>
      </c>
      <c r="B534" t="s">
        <v>7886</v>
      </c>
      <c r="C534" t="s">
        <v>2598</v>
      </c>
      <c r="D534" s="254">
        <v>12734.89</v>
      </c>
      <c r="E534"/>
      <c r="F534"/>
      <c r="G534"/>
      <c r="H534"/>
      <c r="I534" s="489"/>
      <c r="J534" s="1095"/>
      <c r="K534" s="1095"/>
      <c r="L534" s="1095"/>
      <c r="M534" s="1095"/>
    </row>
    <row r="535" spans="1:13" x14ac:dyDescent="0.25">
      <c r="A535">
        <v>606440</v>
      </c>
      <c r="B535" t="s">
        <v>7887</v>
      </c>
      <c r="C535" t="s">
        <v>2598</v>
      </c>
      <c r="D535" s="254">
        <v>13419.59</v>
      </c>
      <c r="E535"/>
      <c r="F535"/>
      <c r="G535"/>
      <c r="H535"/>
      <c r="I535" s="489"/>
      <c r="J535" s="1095"/>
      <c r="K535" s="1095"/>
      <c r="L535" s="1095"/>
      <c r="M535" s="1095"/>
    </row>
    <row r="536" spans="1:13" x14ac:dyDescent="0.25">
      <c r="A536">
        <v>606350</v>
      </c>
      <c r="B536" t="s">
        <v>7888</v>
      </c>
      <c r="C536" t="s">
        <v>2598</v>
      </c>
      <c r="D536" s="254">
        <v>13313.62</v>
      </c>
      <c r="E536"/>
      <c r="F536"/>
      <c r="G536"/>
      <c r="H536"/>
      <c r="I536" s="489"/>
      <c r="J536" s="1095"/>
      <c r="K536" s="1095"/>
      <c r="L536" s="1095"/>
      <c r="M536" s="1095"/>
    </row>
    <row r="537" spans="1:13" x14ac:dyDescent="0.25">
      <c r="A537">
        <v>606441</v>
      </c>
      <c r="B537" t="s">
        <v>7889</v>
      </c>
      <c r="C537" t="s">
        <v>2598</v>
      </c>
      <c r="D537" s="254">
        <v>14059.78</v>
      </c>
      <c r="E537"/>
      <c r="F537"/>
      <c r="G537"/>
      <c r="H537"/>
      <c r="I537" s="489"/>
      <c r="J537" s="1095"/>
      <c r="K537" s="1095"/>
      <c r="L537" s="1095"/>
      <c r="M537" s="1095"/>
    </row>
    <row r="538" spans="1:13" x14ac:dyDescent="0.25">
      <c r="A538">
        <v>606351</v>
      </c>
      <c r="B538" t="s">
        <v>7890</v>
      </c>
      <c r="C538" t="s">
        <v>2598</v>
      </c>
      <c r="D538" s="254">
        <v>13950.75</v>
      </c>
      <c r="E538"/>
      <c r="F538"/>
      <c r="G538"/>
      <c r="H538"/>
      <c r="I538" s="489"/>
      <c r="J538" s="1095"/>
      <c r="K538" s="1095"/>
      <c r="L538" s="1095"/>
      <c r="M538" s="1095"/>
    </row>
    <row r="539" spans="1:13" x14ac:dyDescent="0.25">
      <c r="A539">
        <v>606442</v>
      </c>
      <c r="B539" t="s">
        <v>7891</v>
      </c>
      <c r="C539" t="s">
        <v>2598</v>
      </c>
      <c r="D539" s="254">
        <v>14672.59</v>
      </c>
      <c r="E539"/>
      <c r="F539"/>
      <c r="G539"/>
      <c r="H539"/>
      <c r="I539" s="489"/>
      <c r="J539" s="1095"/>
      <c r="K539" s="1095"/>
      <c r="L539" s="1095"/>
      <c r="M539" s="1095"/>
    </row>
    <row r="540" spans="1:13" x14ac:dyDescent="0.25">
      <c r="A540">
        <v>606352</v>
      </c>
      <c r="B540" t="s">
        <v>7892</v>
      </c>
      <c r="C540" t="s">
        <v>2598</v>
      </c>
      <c r="D540" s="254">
        <v>14559.49</v>
      </c>
      <c r="E540"/>
      <c r="F540"/>
      <c r="G540"/>
      <c r="H540"/>
      <c r="I540" s="489"/>
      <c r="J540" s="1095"/>
      <c r="K540" s="1095"/>
      <c r="L540" s="1095"/>
      <c r="M540" s="1095"/>
    </row>
    <row r="541" spans="1:13" x14ac:dyDescent="0.25">
      <c r="A541">
        <v>606443</v>
      </c>
      <c r="B541" t="s">
        <v>7893</v>
      </c>
      <c r="C541" t="s">
        <v>2598</v>
      </c>
      <c r="D541" s="254">
        <v>15557.73</v>
      </c>
      <c r="E541"/>
      <c r="F541"/>
      <c r="G541"/>
      <c r="H541"/>
      <c r="I541" s="489"/>
      <c r="J541" s="1095"/>
      <c r="K541" s="1095"/>
      <c r="L541" s="1095"/>
      <c r="M541" s="1095"/>
    </row>
    <row r="542" spans="1:13" x14ac:dyDescent="0.25">
      <c r="A542">
        <v>606353</v>
      </c>
      <c r="B542" t="s">
        <v>7894</v>
      </c>
      <c r="C542" t="s">
        <v>2598</v>
      </c>
      <c r="D542" s="254">
        <v>15441.57</v>
      </c>
      <c r="E542"/>
      <c r="F542"/>
      <c r="G542"/>
      <c r="H542"/>
      <c r="I542" s="489"/>
      <c r="J542" s="1095"/>
      <c r="K542" s="1095"/>
      <c r="L542" s="1095"/>
      <c r="M542" s="1095"/>
    </row>
    <row r="543" spans="1:13" x14ac:dyDescent="0.25">
      <c r="A543">
        <v>606444</v>
      </c>
      <c r="B543" t="s">
        <v>7895</v>
      </c>
      <c r="C543" t="s">
        <v>2598</v>
      </c>
      <c r="D543" s="254">
        <v>16226.59</v>
      </c>
      <c r="E543"/>
      <c r="F543"/>
      <c r="G543"/>
      <c r="H543"/>
      <c r="I543" s="489"/>
      <c r="J543" s="1095"/>
      <c r="K543" s="1095"/>
      <c r="L543" s="1095"/>
      <c r="M543" s="1095"/>
    </row>
    <row r="544" spans="1:13" x14ac:dyDescent="0.25">
      <c r="A544">
        <v>606354</v>
      </c>
      <c r="B544" t="s">
        <v>7896</v>
      </c>
      <c r="C544" t="s">
        <v>2598</v>
      </c>
      <c r="D544" s="254">
        <v>16106.35</v>
      </c>
      <c r="E544"/>
      <c r="F544"/>
      <c r="G544"/>
      <c r="H544"/>
      <c r="I544" s="489"/>
      <c r="J544" s="1095"/>
      <c r="K544" s="1095"/>
      <c r="L544" s="1095"/>
      <c r="M544" s="1095"/>
    </row>
    <row r="545" spans="1:13" x14ac:dyDescent="0.25">
      <c r="A545">
        <v>606445</v>
      </c>
      <c r="B545" t="s">
        <v>7897</v>
      </c>
      <c r="C545" t="s">
        <v>2598</v>
      </c>
      <c r="D545" s="254">
        <v>16861.23</v>
      </c>
      <c r="E545"/>
      <c r="F545"/>
      <c r="G545"/>
      <c r="H545"/>
      <c r="I545" s="489"/>
      <c r="J545" s="1095"/>
      <c r="K545" s="1095"/>
      <c r="L545" s="1095"/>
      <c r="M545" s="1095"/>
    </row>
    <row r="546" spans="1:13" x14ac:dyDescent="0.25">
      <c r="A546">
        <v>606355</v>
      </c>
      <c r="B546" t="s">
        <v>7898</v>
      </c>
      <c r="C546" t="s">
        <v>2598</v>
      </c>
      <c r="D546" s="254">
        <v>16738.95</v>
      </c>
      <c r="E546"/>
      <c r="F546"/>
      <c r="G546"/>
      <c r="H546"/>
      <c r="I546" s="489"/>
      <c r="J546" s="1095"/>
      <c r="K546" s="1095"/>
      <c r="L546" s="1095"/>
      <c r="M546" s="1095"/>
    </row>
    <row r="547" spans="1:13" x14ac:dyDescent="0.25">
      <c r="A547">
        <v>606446</v>
      </c>
      <c r="B547" t="s">
        <v>7899</v>
      </c>
      <c r="C547" t="s">
        <v>2598</v>
      </c>
      <c r="D547" s="254">
        <v>17476.560000000001</v>
      </c>
      <c r="E547"/>
      <c r="F547"/>
      <c r="G547"/>
      <c r="H547"/>
      <c r="I547" s="489"/>
      <c r="J547" s="1095"/>
      <c r="K547" s="1095"/>
      <c r="L547" s="1095"/>
      <c r="M547" s="1095"/>
    </row>
    <row r="548" spans="1:13" x14ac:dyDescent="0.25">
      <c r="A548">
        <v>606356</v>
      </c>
      <c r="B548" t="s">
        <v>7900</v>
      </c>
      <c r="C548" t="s">
        <v>2598</v>
      </c>
      <c r="D548" s="254">
        <v>17351.23</v>
      </c>
      <c r="E548"/>
      <c r="F548"/>
      <c r="G548"/>
      <c r="H548"/>
      <c r="I548" s="489"/>
      <c r="J548" s="1095"/>
      <c r="K548" s="1095"/>
      <c r="L548" s="1095"/>
      <c r="M548" s="1095"/>
    </row>
    <row r="549" spans="1:13" x14ac:dyDescent="0.25">
      <c r="A549">
        <v>606447</v>
      </c>
      <c r="B549" t="s">
        <v>7901</v>
      </c>
      <c r="C549" t="s">
        <v>2598</v>
      </c>
      <c r="D549" s="254">
        <v>18151.23</v>
      </c>
      <c r="E549"/>
      <c r="F549"/>
      <c r="G549"/>
      <c r="H549"/>
      <c r="I549" s="489"/>
      <c r="J549" s="1095"/>
      <c r="K549" s="1095"/>
      <c r="L549" s="1095"/>
      <c r="M549" s="1095"/>
    </row>
    <row r="550" spans="1:13" x14ac:dyDescent="0.25">
      <c r="A550">
        <v>606357</v>
      </c>
      <c r="B550" t="s">
        <v>7902</v>
      </c>
      <c r="C550" t="s">
        <v>2598</v>
      </c>
      <c r="D550" s="254">
        <v>17999.07</v>
      </c>
      <c r="E550"/>
      <c r="F550"/>
      <c r="G550"/>
      <c r="H550"/>
      <c r="I550" s="489"/>
      <c r="J550" s="1095"/>
      <c r="K550" s="1095"/>
      <c r="L550" s="1095"/>
      <c r="M550" s="1095"/>
    </row>
    <row r="551" spans="1:13" x14ac:dyDescent="0.25">
      <c r="A551">
        <v>606448</v>
      </c>
      <c r="B551" t="s">
        <v>7903</v>
      </c>
      <c r="C551" t="s">
        <v>2598</v>
      </c>
      <c r="D551" s="254">
        <v>19090.78</v>
      </c>
      <c r="E551"/>
      <c r="F551"/>
      <c r="G551"/>
      <c r="H551"/>
      <c r="I551" s="489"/>
      <c r="J551" s="1095"/>
      <c r="K551" s="1095"/>
      <c r="L551" s="1095"/>
      <c r="M551" s="1095"/>
    </row>
    <row r="552" spans="1:13" x14ac:dyDescent="0.25">
      <c r="A552">
        <v>606358</v>
      </c>
      <c r="B552" t="s">
        <v>7904</v>
      </c>
      <c r="C552" t="s">
        <v>2598</v>
      </c>
      <c r="D552" s="254">
        <v>18933.86</v>
      </c>
      <c r="E552"/>
      <c r="F552"/>
      <c r="G552"/>
      <c r="H552"/>
      <c r="I552" s="489"/>
      <c r="J552" s="1095"/>
      <c r="K552" s="1095"/>
      <c r="L552" s="1095"/>
      <c r="M552" s="1095"/>
    </row>
    <row r="553" spans="1:13" x14ac:dyDescent="0.25">
      <c r="A553">
        <v>606449</v>
      </c>
      <c r="B553" t="s">
        <v>7905</v>
      </c>
      <c r="C553" t="s">
        <v>2598</v>
      </c>
      <c r="D553" s="254">
        <v>23535.03</v>
      </c>
      <c r="E553"/>
      <c r="F553"/>
      <c r="G553"/>
      <c r="H553"/>
      <c r="I553" s="489"/>
      <c r="J553" s="1095"/>
      <c r="K553" s="1095"/>
      <c r="L553" s="1095"/>
      <c r="M553" s="1095"/>
    </row>
    <row r="554" spans="1:13" x14ac:dyDescent="0.25">
      <c r="A554">
        <v>606359</v>
      </c>
      <c r="B554" t="s">
        <v>7906</v>
      </c>
      <c r="C554" t="s">
        <v>2598</v>
      </c>
      <c r="D554" s="254">
        <v>23373.360000000001</v>
      </c>
      <c r="E554"/>
      <c r="F554"/>
      <c r="G554"/>
      <c r="H554"/>
      <c r="I554" s="489"/>
      <c r="J554" s="1095"/>
      <c r="K554" s="1095"/>
      <c r="L554" s="1095"/>
      <c r="M554" s="1095"/>
    </row>
    <row r="555" spans="1:13" x14ac:dyDescent="0.25">
      <c r="A555">
        <v>606450</v>
      </c>
      <c r="B555" t="s">
        <v>7907</v>
      </c>
      <c r="C555" t="s">
        <v>2598</v>
      </c>
      <c r="D555" s="254">
        <v>24457.34</v>
      </c>
      <c r="E555"/>
      <c r="F555"/>
      <c r="G555"/>
      <c r="H555"/>
      <c r="I555" s="489"/>
      <c r="J555" s="1095"/>
      <c r="K555" s="1095"/>
      <c r="L555" s="1095"/>
      <c r="M555" s="1095"/>
    </row>
    <row r="556" spans="1:13" x14ac:dyDescent="0.25">
      <c r="A556">
        <v>606360</v>
      </c>
      <c r="B556" t="s">
        <v>7908</v>
      </c>
      <c r="C556" t="s">
        <v>2598</v>
      </c>
      <c r="D556" s="254">
        <v>24289.72</v>
      </c>
      <c r="E556"/>
      <c r="F556"/>
      <c r="G556"/>
      <c r="H556"/>
      <c r="I556" s="489"/>
      <c r="J556" s="1095"/>
      <c r="K556" s="1095"/>
      <c r="L556" s="1095"/>
      <c r="M556" s="1095"/>
    </row>
    <row r="557" spans="1:13" x14ac:dyDescent="0.25">
      <c r="A557">
        <v>606451</v>
      </c>
      <c r="B557" t="s">
        <v>7909</v>
      </c>
      <c r="C557" t="s">
        <v>2598</v>
      </c>
      <c r="D557" s="254">
        <v>25246.03</v>
      </c>
      <c r="E557"/>
      <c r="F557"/>
      <c r="G557"/>
      <c r="H557"/>
      <c r="I557" s="489"/>
      <c r="J557" s="1095"/>
      <c r="K557" s="1095"/>
      <c r="L557" s="1095"/>
      <c r="M557" s="1095"/>
    </row>
    <row r="558" spans="1:13" x14ac:dyDescent="0.25">
      <c r="A558">
        <v>606361</v>
      </c>
      <c r="B558" t="s">
        <v>7910</v>
      </c>
      <c r="C558" t="s">
        <v>2598</v>
      </c>
      <c r="D558" s="254">
        <v>25073.65</v>
      </c>
      <c r="E558"/>
      <c r="F558"/>
      <c r="G558"/>
      <c r="H558"/>
      <c r="I558" s="489"/>
      <c r="J558" s="1095"/>
      <c r="K558" s="1095"/>
      <c r="L558" s="1095"/>
      <c r="M558" s="1095"/>
    </row>
    <row r="559" spans="1:13" x14ac:dyDescent="0.25">
      <c r="A559">
        <v>606452</v>
      </c>
      <c r="B559" t="s">
        <v>7911</v>
      </c>
      <c r="C559" t="s">
        <v>2598</v>
      </c>
      <c r="D559" s="254">
        <v>28775.200000000001</v>
      </c>
      <c r="E559"/>
      <c r="F559"/>
      <c r="G559"/>
      <c r="H559"/>
      <c r="I559" s="489"/>
      <c r="J559" s="1095"/>
      <c r="K559" s="1095"/>
      <c r="L559" s="1095"/>
      <c r="M559" s="1095"/>
    </row>
    <row r="560" spans="1:13" x14ac:dyDescent="0.25">
      <c r="A560">
        <v>606362</v>
      </c>
      <c r="B560" t="s">
        <v>7912</v>
      </c>
      <c r="C560" t="s">
        <v>2598</v>
      </c>
      <c r="D560" s="254">
        <v>28598.07</v>
      </c>
      <c r="E560"/>
      <c r="F560"/>
      <c r="G560"/>
      <c r="H560"/>
      <c r="I560" s="489"/>
      <c r="J560" s="1095"/>
      <c r="K560" s="1095"/>
      <c r="L560" s="1095"/>
      <c r="M560" s="1095"/>
    </row>
    <row r="561" spans="1:13" x14ac:dyDescent="0.25">
      <c r="A561">
        <v>606453</v>
      </c>
      <c r="B561" t="s">
        <v>7913</v>
      </c>
      <c r="C561" t="s">
        <v>2598</v>
      </c>
      <c r="D561" s="254">
        <v>29221.39</v>
      </c>
      <c r="E561"/>
      <c r="F561"/>
      <c r="G561"/>
      <c r="H561"/>
      <c r="I561" s="489"/>
      <c r="J561" s="1095"/>
      <c r="K561" s="1095"/>
      <c r="L561" s="1095"/>
      <c r="M561" s="1095"/>
    </row>
    <row r="562" spans="1:13" x14ac:dyDescent="0.25">
      <c r="A562">
        <v>606363</v>
      </c>
      <c r="B562" t="s">
        <v>7914</v>
      </c>
      <c r="C562" t="s">
        <v>2598</v>
      </c>
      <c r="D562" s="254">
        <v>29040.7</v>
      </c>
      <c r="E562"/>
      <c r="F562"/>
      <c r="G562"/>
      <c r="H562"/>
      <c r="I562" s="489"/>
      <c r="J562" s="1095"/>
      <c r="K562" s="1095"/>
      <c r="L562" s="1095"/>
      <c r="M562" s="1095"/>
    </row>
    <row r="563" spans="1:13" x14ac:dyDescent="0.25">
      <c r="A563">
        <v>606454</v>
      </c>
      <c r="B563" t="s">
        <v>7915</v>
      </c>
      <c r="C563" t="s">
        <v>2598</v>
      </c>
      <c r="D563" s="254">
        <v>34799.26</v>
      </c>
      <c r="E563"/>
      <c r="F563"/>
      <c r="G563"/>
      <c r="H563"/>
      <c r="I563" s="489"/>
      <c r="J563" s="1095"/>
      <c r="K563" s="1095"/>
      <c r="L563" s="1095"/>
      <c r="M563" s="1095"/>
    </row>
    <row r="564" spans="1:13" x14ac:dyDescent="0.25">
      <c r="A564">
        <v>606364</v>
      </c>
      <c r="B564" t="s">
        <v>7916</v>
      </c>
      <c r="C564" t="s">
        <v>2598</v>
      </c>
      <c r="D564" s="254">
        <v>34613.81</v>
      </c>
      <c r="E564"/>
      <c r="F564"/>
      <c r="G564"/>
      <c r="H564"/>
      <c r="I564" s="489"/>
      <c r="J564" s="1095"/>
      <c r="K564" s="1095"/>
      <c r="L564" s="1095"/>
      <c r="M564" s="1095"/>
    </row>
    <row r="565" spans="1:13" x14ac:dyDescent="0.25">
      <c r="A565">
        <v>606455</v>
      </c>
      <c r="B565" t="s">
        <v>7917</v>
      </c>
      <c r="C565" t="s">
        <v>2598</v>
      </c>
      <c r="D565" s="254">
        <v>35444.35</v>
      </c>
      <c r="E565"/>
      <c r="F565"/>
      <c r="G565"/>
      <c r="H565"/>
      <c r="I565" s="489"/>
      <c r="J565" s="1095"/>
      <c r="K565" s="1095"/>
      <c r="L565" s="1095"/>
      <c r="M565" s="1095"/>
    </row>
    <row r="566" spans="1:13" x14ac:dyDescent="0.25">
      <c r="A566">
        <v>606365</v>
      </c>
      <c r="B566" t="s">
        <v>7918</v>
      </c>
      <c r="C566" t="s">
        <v>2598</v>
      </c>
      <c r="D566" s="254">
        <v>35256.53</v>
      </c>
      <c r="E566"/>
      <c r="F566"/>
      <c r="G566"/>
      <c r="H566"/>
      <c r="I566" s="489"/>
      <c r="J566" s="1095"/>
      <c r="K566" s="1095"/>
      <c r="L566" s="1095"/>
      <c r="M566" s="1095"/>
    </row>
    <row r="567" spans="1:13" x14ac:dyDescent="0.25">
      <c r="A567">
        <v>606456</v>
      </c>
      <c r="B567" t="s">
        <v>7919</v>
      </c>
      <c r="C567" t="s">
        <v>2598</v>
      </c>
      <c r="D567" s="254">
        <v>36852.57</v>
      </c>
      <c r="E567"/>
      <c r="F567"/>
      <c r="G567"/>
      <c r="H567"/>
      <c r="I567" s="489"/>
      <c r="J567" s="1095"/>
      <c r="K567" s="1095"/>
      <c r="L567" s="1095"/>
      <c r="M567" s="1095"/>
    </row>
    <row r="568" spans="1:13" x14ac:dyDescent="0.25">
      <c r="A568">
        <v>606366</v>
      </c>
      <c r="B568" t="s">
        <v>7920</v>
      </c>
      <c r="C568" t="s">
        <v>2598</v>
      </c>
      <c r="D568" s="254">
        <v>36659.99</v>
      </c>
      <c r="E568"/>
      <c r="F568"/>
      <c r="G568"/>
      <c r="H568"/>
      <c r="I568" s="489"/>
      <c r="J568" s="1095"/>
      <c r="K568" s="1095"/>
      <c r="L568" s="1095"/>
      <c r="M568" s="1095"/>
    </row>
    <row r="569" spans="1:13" x14ac:dyDescent="0.25">
      <c r="A569">
        <v>606457</v>
      </c>
      <c r="B569" t="s">
        <v>7921</v>
      </c>
      <c r="C569" t="s">
        <v>2598</v>
      </c>
      <c r="D569" s="254">
        <v>37453.589999999997</v>
      </c>
      <c r="E569"/>
      <c r="F569"/>
      <c r="G569"/>
      <c r="H569"/>
      <c r="I569" s="489"/>
      <c r="J569" s="1095"/>
      <c r="K569" s="1095"/>
      <c r="L569" s="1095"/>
      <c r="M569" s="1095"/>
    </row>
    <row r="570" spans="1:13" x14ac:dyDescent="0.25">
      <c r="A570">
        <v>606367</v>
      </c>
      <c r="B570" t="s">
        <v>7922</v>
      </c>
      <c r="C570" t="s">
        <v>2598</v>
      </c>
      <c r="D570" s="254">
        <v>37257.440000000002</v>
      </c>
      <c r="E570"/>
      <c r="F570"/>
      <c r="G570"/>
      <c r="H570"/>
      <c r="I570" s="489"/>
      <c r="J570" s="1095"/>
      <c r="K570" s="1095"/>
      <c r="L570" s="1095"/>
      <c r="M570" s="1095"/>
    </row>
    <row r="571" spans="1:13" x14ac:dyDescent="0.25">
      <c r="A571">
        <v>606458</v>
      </c>
      <c r="B571" t="s">
        <v>7923</v>
      </c>
      <c r="C571" t="s">
        <v>2598</v>
      </c>
      <c r="D571" s="254">
        <v>50899.03</v>
      </c>
      <c r="E571"/>
      <c r="F571"/>
      <c r="G571"/>
      <c r="H571"/>
      <c r="I571" s="489"/>
      <c r="J571" s="1095"/>
      <c r="K571" s="1095"/>
      <c r="L571" s="1095"/>
      <c r="M571" s="1095"/>
    </row>
    <row r="572" spans="1:13" x14ac:dyDescent="0.25">
      <c r="A572">
        <v>606368</v>
      </c>
      <c r="B572" t="s">
        <v>7924</v>
      </c>
      <c r="C572" t="s">
        <v>2598</v>
      </c>
      <c r="D572" s="254">
        <v>50699.32</v>
      </c>
      <c r="E572"/>
      <c r="F572"/>
      <c r="G572"/>
      <c r="H572"/>
      <c r="I572" s="489"/>
      <c r="J572" s="1095"/>
      <c r="K572" s="1095"/>
      <c r="L572" s="1095"/>
      <c r="M572" s="1095"/>
    </row>
    <row r="573" spans="1:13" x14ac:dyDescent="0.25">
      <c r="A573">
        <v>606459</v>
      </c>
      <c r="B573" t="s">
        <v>7925</v>
      </c>
      <c r="C573" t="s">
        <v>2598</v>
      </c>
      <c r="D573" s="254">
        <v>52990.81</v>
      </c>
      <c r="E573"/>
      <c r="F573"/>
      <c r="G573"/>
      <c r="H573"/>
      <c r="I573" s="489"/>
      <c r="J573" s="1095"/>
      <c r="K573" s="1095"/>
      <c r="L573" s="1095"/>
      <c r="M573" s="1095"/>
    </row>
    <row r="574" spans="1:13" x14ac:dyDescent="0.25">
      <c r="A574">
        <v>606369</v>
      </c>
      <c r="B574" t="s">
        <v>7926</v>
      </c>
      <c r="C574" t="s">
        <v>2598</v>
      </c>
      <c r="D574" s="254">
        <v>52786.34</v>
      </c>
      <c r="E574"/>
      <c r="F574"/>
      <c r="G574"/>
      <c r="H574"/>
      <c r="I574" s="489"/>
      <c r="J574" s="1095"/>
      <c r="K574" s="1095"/>
      <c r="L574" s="1095"/>
      <c r="M574" s="1095"/>
    </row>
    <row r="575" spans="1:13" x14ac:dyDescent="0.25">
      <c r="A575">
        <v>606479</v>
      </c>
      <c r="B575" t="s">
        <v>7927</v>
      </c>
      <c r="C575" t="s">
        <v>2598</v>
      </c>
      <c r="D575" s="254">
        <v>11993.51</v>
      </c>
      <c r="E575"/>
      <c r="F575"/>
      <c r="G575"/>
      <c r="H575"/>
      <c r="I575" s="489"/>
      <c r="J575" s="1095"/>
      <c r="K575" s="1095"/>
      <c r="L575" s="1095"/>
      <c r="M575" s="1095"/>
    </row>
    <row r="576" spans="1:13" x14ac:dyDescent="0.25">
      <c r="A576">
        <v>606460</v>
      </c>
      <c r="B576" t="s">
        <v>7928</v>
      </c>
      <c r="C576" t="s">
        <v>2598</v>
      </c>
      <c r="D576" s="254">
        <v>11917.43</v>
      </c>
      <c r="E576"/>
      <c r="F576"/>
      <c r="G576"/>
      <c r="H576"/>
      <c r="I576" s="489"/>
      <c r="J576" s="1095"/>
      <c r="K576" s="1095"/>
      <c r="L576" s="1095"/>
      <c r="M576" s="1095"/>
    </row>
    <row r="577" spans="1:13" x14ac:dyDescent="0.25">
      <c r="A577">
        <v>606480</v>
      </c>
      <c r="B577" t="s">
        <v>7929</v>
      </c>
      <c r="C577" t="s">
        <v>2598</v>
      </c>
      <c r="D577" s="254">
        <v>15619.6</v>
      </c>
      <c r="E577"/>
      <c r="F577"/>
      <c r="G577"/>
      <c r="H577"/>
      <c r="I577" s="489"/>
      <c r="J577" s="1095"/>
      <c r="K577" s="1095"/>
      <c r="L577" s="1095"/>
      <c r="M577" s="1095"/>
    </row>
    <row r="578" spans="1:13" x14ac:dyDescent="0.25">
      <c r="A578">
        <v>606461</v>
      </c>
      <c r="B578" t="s">
        <v>7930</v>
      </c>
      <c r="C578" t="s">
        <v>2598</v>
      </c>
      <c r="D578" s="254">
        <v>15526.87</v>
      </c>
      <c r="E578"/>
      <c r="F578"/>
      <c r="G578"/>
      <c r="H578"/>
      <c r="I578" s="489"/>
      <c r="J578" s="1095"/>
      <c r="K578" s="1095"/>
      <c r="L578" s="1095"/>
      <c r="M578" s="1095"/>
    </row>
    <row r="579" spans="1:13" x14ac:dyDescent="0.25">
      <c r="A579">
        <v>606481</v>
      </c>
      <c r="B579" t="s">
        <v>7931</v>
      </c>
      <c r="C579" t="s">
        <v>2598</v>
      </c>
      <c r="D579" s="254">
        <v>18173.310000000001</v>
      </c>
      <c r="E579"/>
      <c r="F579"/>
      <c r="G579"/>
      <c r="H579"/>
      <c r="I579" s="489"/>
      <c r="J579" s="1095"/>
      <c r="K579" s="1095"/>
      <c r="L579" s="1095"/>
      <c r="M579" s="1095"/>
    </row>
    <row r="580" spans="1:13" x14ac:dyDescent="0.25">
      <c r="A580">
        <v>606462</v>
      </c>
      <c r="B580" t="s">
        <v>7932</v>
      </c>
      <c r="C580" t="s">
        <v>2598</v>
      </c>
      <c r="D580" s="254">
        <v>18037.79</v>
      </c>
      <c r="E580"/>
      <c r="F580"/>
      <c r="G580"/>
      <c r="H580"/>
      <c r="I580" s="489"/>
      <c r="J580" s="1095"/>
      <c r="K580" s="1095"/>
      <c r="L580" s="1095"/>
      <c r="M580" s="1095"/>
    </row>
    <row r="581" spans="1:13" x14ac:dyDescent="0.25">
      <c r="A581">
        <v>606482</v>
      </c>
      <c r="B581" t="s">
        <v>7933</v>
      </c>
      <c r="C581" t="s">
        <v>2598</v>
      </c>
      <c r="D581" s="254">
        <v>19120.900000000001</v>
      </c>
      <c r="E581"/>
      <c r="F581"/>
      <c r="G581"/>
      <c r="H581"/>
      <c r="I581" s="489"/>
      <c r="J581" s="1095"/>
      <c r="K581" s="1095"/>
      <c r="L581" s="1095"/>
      <c r="M581" s="1095"/>
    </row>
    <row r="582" spans="1:13" x14ac:dyDescent="0.25">
      <c r="A582">
        <v>606463</v>
      </c>
      <c r="B582" t="s">
        <v>7934</v>
      </c>
      <c r="C582" t="s">
        <v>2598</v>
      </c>
      <c r="D582" s="254">
        <v>18980.62</v>
      </c>
      <c r="E582"/>
      <c r="F582"/>
      <c r="G582"/>
      <c r="H582"/>
      <c r="I582" s="489"/>
      <c r="J582" s="1095"/>
      <c r="K582" s="1095"/>
      <c r="L582" s="1095"/>
      <c r="M582" s="1095"/>
    </row>
    <row r="583" spans="1:13" x14ac:dyDescent="0.25">
      <c r="A583">
        <v>606483</v>
      </c>
      <c r="B583" t="s">
        <v>7935</v>
      </c>
      <c r="C583" t="s">
        <v>2598</v>
      </c>
      <c r="D583" s="254">
        <v>19590.86</v>
      </c>
      <c r="E583"/>
      <c r="F583"/>
      <c r="G583"/>
      <c r="H583"/>
      <c r="I583" s="489"/>
      <c r="J583" s="1095"/>
      <c r="K583" s="1095"/>
      <c r="L583" s="1095"/>
      <c r="M583" s="1095"/>
    </row>
    <row r="584" spans="1:13" x14ac:dyDescent="0.25">
      <c r="A584">
        <v>606464</v>
      </c>
      <c r="B584" t="s">
        <v>7936</v>
      </c>
      <c r="C584" t="s">
        <v>2598</v>
      </c>
      <c r="D584" s="254">
        <v>19448.2</v>
      </c>
      <c r="E584"/>
      <c r="F584"/>
      <c r="G584"/>
      <c r="H584"/>
      <c r="I584" s="489"/>
      <c r="J584" s="1095"/>
      <c r="K584" s="1095"/>
      <c r="L584" s="1095"/>
      <c r="M584" s="1095"/>
    </row>
    <row r="585" spans="1:13" x14ac:dyDescent="0.25">
      <c r="A585">
        <v>606484</v>
      </c>
      <c r="B585" t="s">
        <v>7937</v>
      </c>
      <c r="C585" t="s">
        <v>2598</v>
      </c>
      <c r="D585" s="254">
        <v>20268.72</v>
      </c>
      <c r="E585"/>
      <c r="F585"/>
      <c r="G585"/>
      <c r="H585"/>
      <c r="I585" s="489"/>
      <c r="J585" s="1095"/>
      <c r="K585" s="1095"/>
      <c r="L585" s="1095"/>
      <c r="M585" s="1095"/>
    </row>
    <row r="586" spans="1:13" x14ac:dyDescent="0.25">
      <c r="A586">
        <v>606465</v>
      </c>
      <c r="B586" t="s">
        <v>7938</v>
      </c>
      <c r="C586" t="s">
        <v>2598</v>
      </c>
      <c r="D586" s="254">
        <v>20121.310000000001</v>
      </c>
      <c r="E586"/>
      <c r="F586"/>
      <c r="G586"/>
      <c r="H586"/>
      <c r="I586" s="489"/>
      <c r="J586" s="1095"/>
      <c r="K586" s="1095"/>
      <c r="L586" s="1095"/>
      <c r="M586" s="1095"/>
    </row>
    <row r="587" spans="1:13" x14ac:dyDescent="0.25">
      <c r="A587">
        <v>606485</v>
      </c>
      <c r="B587" t="s">
        <v>7939</v>
      </c>
      <c r="C587" t="s">
        <v>2598</v>
      </c>
      <c r="D587" s="254">
        <v>20919.25</v>
      </c>
      <c r="E587"/>
      <c r="F587"/>
      <c r="G587"/>
      <c r="H587"/>
      <c r="I587" s="489"/>
      <c r="J587" s="1095"/>
      <c r="K587" s="1095"/>
      <c r="L587" s="1095"/>
      <c r="M587" s="1095"/>
    </row>
    <row r="588" spans="1:13" x14ac:dyDescent="0.25">
      <c r="A588">
        <v>606466</v>
      </c>
      <c r="B588" t="s">
        <v>7940</v>
      </c>
      <c r="C588" t="s">
        <v>2598</v>
      </c>
      <c r="D588" s="254">
        <v>20770.650000000001</v>
      </c>
      <c r="E588"/>
      <c r="F588"/>
      <c r="G588"/>
      <c r="H588"/>
      <c r="I588" s="489"/>
      <c r="J588" s="1095"/>
      <c r="K588" s="1095"/>
      <c r="L588" s="1095"/>
      <c r="M588" s="1095"/>
    </row>
    <row r="589" spans="1:13" x14ac:dyDescent="0.25">
      <c r="A589">
        <v>606486</v>
      </c>
      <c r="B589" t="s">
        <v>7941</v>
      </c>
      <c r="C589" t="s">
        <v>2598</v>
      </c>
      <c r="D589" s="254">
        <v>21834.58</v>
      </c>
      <c r="E589"/>
      <c r="F589"/>
      <c r="G589"/>
      <c r="H589"/>
      <c r="I589" s="489"/>
      <c r="J589" s="1095"/>
      <c r="K589" s="1095"/>
      <c r="L589" s="1095"/>
      <c r="M589" s="1095"/>
    </row>
    <row r="590" spans="1:13" x14ac:dyDescent="0.25">
      <c r="A590">
        <v>606467</v>
      </c>
      <c r="B590" t="s">
        <v>7942</v>
      </c>
      <c r="C590" t="s">
        <v>2598</v>
      </c>
      <c r="D590" s="254">
        <v>21682.42</v>
      </c>
      <c r="E590"/>
      <c r="F590"/>
      <c r="G590"/>
      <c r="H590"/>
      <c r="I590" s="489"/>
      <c r="J590" s="1095"/>
      <c r="K590" s="1095"/>
      <c r="L590" s="1095"/>
      <c r="M590" s="1095"/>
    </row>
    <row r="591" spans="1:13" x14ac:dyDescent="0.25">
      <c r="A591">
        <v>606487</v>
      </c>
      <c r="B591" t="s">
        <v>7943</v>
      </c>
      <c r="C591" t="s">
        <v>2598</v>
      </c>
      <c r="D591" s="254">
        <v>22471.01</v>
      </c>
      <c r="E591"/>
      <c r="F591"/>
      <c r="G591"/>
      <c r="H591"/>
      <c r="I591" s="489"/>
      <c r="J591" s="1095"/>
      <c r="K591" s="1095"/>
      <c r="L591" s="1095"/>
      <c r="M591" s="1095"/>
    </row>
    <row r="592" spans="1:13" x14ac:dyDescent="0.25">
      <c r="A592">
        <v>606468</v>
      </c>
      <c r="B592" t="s">
        <v>7944</v>
      </c>
      <c r="C592" t="s">
        <v>2598</v>
      </c>
      <c r="D592" s="254">
        <v>22316.47</v>
      </c>
      <c r="E592"/>
      <c r="F592"/>
      <c r="G592"/>
      <c r="H592"/>
      <c r="I592" s="489"/>
      <c r="J592" s="1095"/>
      <c r="K592" s="1095"/>
      <c r="L592" s="1095"/>
      <c r="M592" s="1095"/>
    </row>
    <row r="593" spans="1:13" x14ac:dyDescent="0.25">
      <c r="A593">
        <v>606488</v>
      </c>
      <c r="B593" t="s">
        <v>7945</v>
      </c>
      <c r="C593" t="s">
        <v>2598</v>
      </c>
      <c r="D593" s="254">
        <v>27764.58</v>
      </c>
      <c r="E593"/>
      <c r="F593"/>
      <c r="G593"/>
      <c r="H593"/>
      <c r="I593" s="489"/>
      <c r="J593" s="1095"/>
      <c r="K593" s="1095"/>
      <c r="L593" s="1095"/>
      <c r="M593" s="1095"/>
    </row>
    <row r="594" spans="1:13" x14ac:dyDescent="0.25">
      <c r="A594">
        <v>606469</v>
      </c>
      <c r="B594" t="s">
        <v>7946</v>
      </c>
      <c r="C594" t="s">
        <v>2598</v>
      </c>
      <c r="D594" s="254">
        <v>27605.29</v>
      </c>
      <c r="E594"/>
      <c r="F594"/>
      <c r="G594"/>
      <c r="H594"/>
      <c r="I594" s="489"/>
      <c r="J594" s="1095"/>
      <c r="K594" s="1095"/>
      <c r="L594" s="1095"/>
      <c r="M594" s="1095"/>
    </row>
    <row r="595" spans="1:13" x14ac:dyDescent="0.25">
      <c r="A595">
        <v>606489</v>
      </c>
      <c r="B595" t="s">
        <v>7947</v>
      </c>
      <c r="C595" t="s">
        <v>2598</v>
      </c>
      <c r="D595" s="254">
        <v>29266.07</v>
      </c>
      <c r="E595"/>
      <c r="F595"/>
      <c r="G595"/>
      <c r="H595"/>
      <c r="I595" s="489"/>
      <c r="J595" s="1095"/>
      <c r="K595" s="1095"/>
      <c r="L595" s="1095"/>
      <c r="M595" s="1095"/>
    </row>
    <row r="596" spans="1:13" x14ac:dyDescent="0.25">
      <c r="A596">
        <v>606470</v>
      </c>
      <c r="B596" t="s">
        <v>7948</v>
      </c>
      <c r="C596" t="s">
        <v>2598</v>
      </c>
      <c r="D596" s="254">
        <v>29104.400000000001</v>
      </c>
      <c r="E596"/>
      <c r="F596"/>
      <c r="G596"/>
      <c r="H596"/>
      <c r="I596" s="489"/>
      <c r="J596" s="1095"/>
      <c r="K596" s="1095"/>
      <c r="L596" s="1095"/>
      <c r="M596" s="1095"/>
    </row>
    <row r="597" spans="1:13" x14ac:dyDescent="0.25">
      <c r="A597">
        <v>606490</v>
      </c>
      <c r="B597" t="s">
        <v>7949</v>
      </c>
      <c r="C597" t="s">
        <v>2598</v>
      </c>
      <c r="D597" s="254">
        <v>30124.86</v>
      </c>
      <c r="E597"/>
      <c r="F597"/>
      <c r="G597"/>
      <c r="H597"/>
      <c r="I597" s="489"/>
      <c r="J597" s="1095"/>
      <c r="K597" s="1095"/>
      <c r="L597" s="1095"/>
      <c r="M597" s="1095"/>
    </row>
    <row r="598" spans="1:13" x14ac:dyDescent="0.25">
      <c r="A598">
        <v>606471</v>
      </c>
      <c r="B598" t="s">
        <v>7950</v>
      </c>
      <c r="C598" t="s">
        <v>2598</v>
      </c>
      <c r="D598" s="254">
        <v>29958.44</v>
      </c>
      <c r="E598"/>
      <c r="F598"/>
      <c r="G598"/>
      <c r="H598"/>
      <c r="I598" s="489"/>
      <c r="J598" s="1095"/>
      <c r="K598" s="1095"/>
      <c r="L598" s="1095"/>
      <c r="M598" s="1095"/>
    </row>
    <row r="599" spans="1:13" x14ac:dyDescent="0.25">
      <c r="A599">
        <v>606491</v>
      </c>
      <c r="B599" t="s">
        <v>7951</v>
      </c>
      <c r="C599" t="s">
        <v>2598</v>
      </c>
      <c r="D599" s="254">
        <v>30960.29</v>
      </c>
      <c r="E599"/>
      <c r="F599"/>
      <c r="G599"/>
      <c r="H599"/>
      <c r="I599" s="489"/>
      <c r="J599" s="1095"/>
      <c r="K599" s="1095"/>
      <c r="L599" s="1095"/>
      <c r="M599" s="1095"/>
    </row>
    <row r="600" spans="1:13" x14ac:dyDescent="0.25">
      <c r="A600">
        <v>606472</v>
      </c>
      <c r="B600" t="s">
        <v>7952</v>
      </c>
      <c r="C600" t="s">
        <v>2598</v>
      </c>
      <c r="D600" s="254">
        <v>30790.29</v>
      </c>
      <c r="E600"/>
      <c r="F600"/>
      <c r="G600"/>
      <c r="H600"/>
      <c r="I600" s="489"/>
      <c r="J600" s="1095"/>
      <c r="K600" s="1095"/>
      <c r="L600" s="1095"/>
      <c r="M600" s="1095"/>
    </row>
    <row r="601" spans="1:13" x14ac:dyDescent="0.25">
      <c r="A601">
        <v>606492</v>
      </c>
      <c r="B601" t="s">
        <v>7953</v>
      </c>
      <c r="C601" t="s">
        <v>2598</v>
      </c>
      <c r="D601" s="254">
        <v>31616.87</v>
      </c>
      <c r="E601"/>
      <c r="F601"/>
      <c r="G601"/>
      <c r="H601"/>
      <c r="I601" s="489"/>
      <c r="J601" s="1095"/>
      <c r="K601" s="1095"/>
      <c r="L601" s="1095"/>
      <c r="M601" s="1095"/>
    </row>
    <row r="602" spans="1:13" x14ac:dyDescent="0.25">
      <c r="A602">
        <v>606473</v>
      </c>
      <c r="B602" t="s">
        <v>7954</v>
      </c>
      <c r="C602" t="s">
        <v>2598</v>
      </c>
      <c r="D602" s="254">
        <v>31444.5</v>
      </c>
      <c r="E602"/>
      <c r="F602"/>
      <c r="G602"/>
      <c r="H602"/>
      <c r="I602" s="489"/>
      <c r="J602" s="1095"/>
      <c r="K602" s="1095"/>
      <c r="L602" s="1095"/>
      <c r="M602" s="1095"/>
    </row>
    <row r="603" spans="1:13" x14ac:dyDescent="0.25">
      <c r="A603">
        <v>606493</v>
      </c>
      <c r="B603" t="s">
        <v>7955</v>
      </c>
      <c r="C603" t="s">
        <v>2598</v>
      </c>
      <c r="D603" s="254">
        <v>33343.25</v>
      </c>
      <c r="E603"/>
      <c r="F603"/>
      <c r="G603"/>
      <c r="H603"/>
      <c r="I603" s="489"/>
      <c r="J603" s="1095"/>
      <c r="K603" s="1095"/>
      <c r="L603" s="1095"/>
      <c r="M603" s="1095"/>
    </row>
    <row r="604" spans="1:13" x14ac:dyDescent="0.25">
      <c r="A604">
        <v>606474</v>
      </c>
      <c r="B604" t="s">
        <v>7956</v>
      </c>
      <c r="C604" t="s">
        <v>2598</v>
      </c>
      <c r="D604" s="254">
        <v>33169.69</v>
      </c>
      <c r="E604"/>
      <c r="F604"/>
      <c r="G604"/>
      <c r="H604"/>
      <c r="I604" s="489"/>
      <c r="J604" s="1095"/>
      <c r="K604" s="1095"/>
      <c r="L604" s="1095"/>
      <c r="M604" s="1095"/>
    </row>
    <row r="605" spans="1:13" x14ac:dyDescent="0.25">
      <c r="A605">
        <v>606494</v>
      </c>
      <c r="B605" t="s">
        <v>7957</v>
      </c>
      <c r="C605" t="s">
        <v>2598</v>
      </c>
      <c r="D605" s="254">
        <v>38542.879999999997</v>
      </c>
      <c r="E605"/>
      <c r="F605"/>
      <c r="G605"/>
      <c r="H605"/>
      <c r="I605" s="489"/>
      <c r="J605" s="1095"/>
      <c r="K605" s="1095"/>
      <c r="L605" s="1095"/>
      <c r="M605" s="1095"/>
    </row>
    <row r="606" spans="1:13" x14ac:dyDescent="0.25">
      <c r="A606">
        <v>606475</v>
      </c>
      <c r="B606" t="s">
        <v>7958</v>
      </c>
      <c r="C606" t="s">
        <v>2598</v>
      </c>
      <c r="D606" s="254">
        <v>38361</v>
      </c>
      <c r="E606"/>
      <c r="F606"/>
      <c r="G606"/>
      <c r="H606"/>
      <c r="I606" s="489"/>
      <c r="J606" s="1095"/>
      <c r="K606" s="1095"/>
      <c r="L606" s="1095"/>
      <c r="M606" s="1095"/>
    </row>
    <row r="607" spans="1:13" x14ac:dyDescent="0.25">
      <c r="A607">
        <v>606495</v>
      </c>
      <c r="B607" t="s">
        <v>7959</v>
      </c>
      <c r="C607" t="s">
        <v>2598</v>
      </c>
      <c r="D607" s="254">
        <v>45372.17</v>
      </c>
      <c r="E607"/>
      <c r="F607"/>
      <c r="G607"/>
      <c r="H607"/>
      <c r="I607" s="489"/>
      <c r="J607" s="1095"/>
      <c r="K607" s="1095"/>
      <c r="L607" s="1095"/>
      <c r="M607" s="1095"/>
    </row>
    <row r="608" spans="1:13" x14ac:dyDescent="0.25">
      <c r="A608">
        <v>606476</v>
      </c>
      <c r="B608" t="s">
        <v>7960</v>
      </c>
      <c r="C608" t="s">
        <v>2598</v>
      </c>
      <c r="D608" s="254">
        <v>45185.53</v>
      </c>
      <c r="E608"/>
      <c r="F608"/>
      <c r="G608"/>
      <c r="H608"/>
      <c r="I608" s="489"/>
      <c r="J608" s="1095"/>
      <c r="K608" s="1095"/>
      <c r="L608" s="1095"/>
      <c r="M608" s="1095"/>
    </row>
    <row r="609" spans="1:13" x14ac:dyDescent="0.25">
      <c r="A609">
        <v>606496</v>
      </c>
      <c r="B609" t="s">
        <v>7961</v>
      </c>
      <c r="C609" t="s">
        <v>2598</v>
      </c>
      <c r="D609" s="254">
        <v>46459.57</v>
      </c>
      <c r="E609"/>
      <c r="F609"/>
      <c r="G609"/>
      <c r="H609"/>
      <c r="I609" s="489"/>
      <c r="J609" s="1095"/>
      <c r="K609" s="1095"/>
      <c r="L609" s="1095"/>
      <c r="M609" s="1095"/>
    </row>
    <row r="610" spans="1:13" x14ac:dyDescent="0.25">
      <c r="A610">
        <v>606477</v>
      </c>
      <c r="B610" t="s">
        <v>7962</v>
      </c>
      <c r="C610" t="s">
        <v>2598</v>
      </c>
      <c r="D610" s="254">
        <v>46269.36</v>
      </c>
      <c r="E610"/>
      <c r="F610"/>
      <c r="G610"/>
      <c r="H610"/>
      <c r="I610" s="489"/>
      <c r="J610" s="1095"/>
      <c r="K610" s="1095"/>
      <c r="L610" s="1095"/>
      <c r="M610" s="1095"/>
    </row>
    <row r="611" spans="1:13" x14ac:dyDescent="0.25">
      <c r="A611">
        <v>606497</v>
      </c>
      <c r="B611" t="s">
        <v>7963</v>
      </c>
      <c r="C611" t="s">
        <v>2598</v>
      </c>
      <c r="D611" s="254">
        <v>47721.3</v>
      </c>
      <c r="E611"/>
      <c r="F611"/>
      <c r="G611"/>
      <c r="H611"/>
      <c r="I611" s="489"/>
      <c r="J611" s="1095"/>
      <c r="K611" s="1095"/>
      <c r="L611" s="1095"/>
      <c r="M611" s="1095"/>
    </row>
    <row r="612" spans="1:13" x14ac:dyDescent="0.25">
      <c r="A612">
        <v>606478</v>
      </c>
      <c r="B612" t="s">
        <v>7964</v>
      </c>
      <c r="C612" t="s">
        <v>2598</v>
      </c>
      <c r="D612" s="254">
        <v>47525.15</v>
      </c>
      <c r="E612"/>
      <c r="F612"/>
      <c r="G612"/>
      <c r="H612"/>
      <c r="I612" s="489"/>
      <c r="J612" s="1095"/>
      <c r="K612" s="1095"/>
      <c r="L612" s="1095"/>
      <c r="M612" s="1095"/>
    </row>
    <row r="613" spans="1:13" x14ac:dyDescent="0.25">
      <c r="A613">
        <v>605835</v>
      </c>
      <c r="B613" t="s">
        <v>7965</v>
      </c>
      <c r="C613" t="s">
        <v>2598</v>
      </c>
      <c r="D613" s="254">
        <v>6912.17</v>
      </c>
      <c r="E613"/>
      <c r="F613"/>
      <c r="G613"/>
      <c r="H613"/>
      <c r="I613" s="489"/>
      <c r="J613" s="1095"/>
      <c r="K613" s="1095"/>
      <c r="L613" s="1095"/>
      <c r="M613" s="1095"/>
    </row>
    <row r="614" spans="1:13" x14ac:dyDescent="0.25">
      <c r="A614">
        <v>605571</v>
      </c>
      <c r="B614" t="s">
        <v>7966</v>
      </c>
      <c r="C614" t="s">
        <v>2598</v>
      </c>
      <c r="D614" s="254">
        <v>6121.09</v>
      </c>
      <c r="E614"/>
      <c r="F614"/>
      <c r="G614"/>
      <c r="H614"/>
      <c r="I614" s="489"/>
      <c r="J614" s="1095"/>
      <c r="K614" s="1095"/>
      <c r="L614" s="1095"/>
      <c r="M614" s="1095"/>
    </row>
    <row r="615" spans="1:13" x14ac:dyDescent="0.25">
      <c r="A615">
        <v>605850</v>
      </c>
      <c r="B615" t="s">
        <v>7967</v>
      </c>
      <c r="C615" t="s">
        <v>2598</v>
      </c>
      <c r="D615" s="254">
        <v>7348.54</v>
      </c>
      <c r="E615"/>
      <c r="F615"/>
      <c r="G615"/>
      <c r="H615"/>
      <c r="I615" s="489"/>
      <c r="J615" s="1095"/>
      <c r="K615" s="1095"/>
      <c r="L615" s="1095"/>
      <c r="M615" s="1095"/>
    </row>
    <row r="616" spans="1:13" x14ac:dyDescent="0.25">
      <c r="A616">
        <v>605582</v>
      </c>
      <c r="B616" t="s">
        <v>7968</v>
      </c>
      <c r="C616" t="s">
        <v>2598</v>
      </c>
      <c r="D616" s="254">
        <v>6557.46</v>
      </c>
      <c r="E616"/>
      <c r="F616"/>
      <c r="G616"/>
      <c r="H616"/>
      <c r="I616" s="489"/>
      <c r="J616" s="1095"/>
      <c r="K616" s="1095"/>
      <c r="L616" s="1095"/>
      <c r="M616" s="1095"/>
    </row>
    <row r="617" spans="1:13" x14ac:dyDescent="0.25">
      <c r="A617">
        <v>605889</v>
      </c>
      <c r="B617" t="s">
        <v>7969</v>
      </c>
      <c r="C617" t="s">
        <v>2598</v>
      </c>
      <c r="D617" s="254">
        <v>8092.6</v>
      </c>
      <c r="E617"/>
      <c r="F617"/>
      <c r="G617"/>
      <c r="H617"/>
      <c r="I617" s="489"/>
      <c r="J617" s="1095"/>
      <c r="K617" s="1095"/>
      <c r="L617" s="1095"/>
      <c r="M617" s="1095"/>
    </row>
    <row r="618" spans="1:13" x14ac:dyDescent="0.25">
      <c r="A618">
        <v>605593</v>
      </c>
      <c r="B618" t="s">
        <v>7970</v>
      </c>
      <c r="C618" t="s">
        <v>2598</v>
      </c>
      <c r="D618" s="254">
        <v>7301.52</v>
      </c>
      <c r="E618"/>
      <c r="F618"/>
      <c r="G618"/>
      <c r="H618"/>
      <c r="I618" s="489"/>
      <c r="J618" s="1095"/>
      <c r="K618" s="1095"/>
      <c r="L618" s="1095"/>
      <c r="M618" s="1095"/>
    </row>
    <row r="619" spans="1:13" x14ac:dyDescent="0.25">
      <c r="A619">
        <v>605739</v>
      </c>
      <c r="B619" t="s">
        <v>7971</v>
      </c>
      <c r="C619" t="s">
        <v>2598</v>
      </c>
      <c r="D619" s="254">
        <v>6670.39</v>
      </c>
      <c r="E619"/>
      <c r="F619"/>
      <c r="G619"/>
      <c r="H619"/>
      <c r="I619" s="489"/>
      <c r="J619" s="1095"/>
      <c r="K619" s="1095"/>
      <c r="L619" s="1095"/>
      <c r="M619" s="1095"/>
    </row>
    <row r="620" spans="1:13" x14ac:dyDescent="0.25">
      <c r="A620">
        <v>605504</v>
      </c>
      <c r="B620" t="s">
        <v>7972</v>
      </c>
      <c r="C620" t="s">
        <v>2598</v>
      </c>
      <c r="D620" s="254">
        <v>5832.6</v>
      </c>
      <c r="E620"/>
      <c r="F620"/>
      <c r="G620"/>
      <c r="H620"/>
      <c r="I620" s="489"/>
      <c r="J620" s="1095"/>
      <c r="K620" s="1095"/>
      <c r="L620" s="1095"/>
      <c r="M620" s="1095"/>
    </row>
    <row r="621" spans="1:13" x14ac:dyDescent="0.25">
      <c r="A621">
        <v>605781</v>
      </c>
      <c r="B621" t="s">
        <v>7973</v>
      </c>
      <c r="C621" t="s">
        <v>2598</v>
      </c>
      <c r="D621" s="254">
        <v>7106.76</v>
      </c>
      <c r="E621"/>
      <c r="F621"/>
      <c r="G621"/>
      <c r="H621"/>
      <c r="I621" s="489"/>
      <c r="J621" s="1095"/>
      <c r="K621" s="1095"/>
      <c r="L621" s="1095"/>
      <c r="M621" s="1095"/>
    </row>
    <row r="622" spans="1:13" x14ac:dyDescent="0.25">
      <c r="A622">
        <v>605524</v>
      </c>
      <c r="B622" t="s">
        <v>7974</v>
      </c>
      <c r="C622" t="s">
        <v>2598</v>
      </c>
      <c r="D622" s="254">
        <v>6268.96</v>
      </c>
      <c r="E622"/>
      <c r="F622"/>
      <c r="G622"/>
      <c r="H622"/>
      <c r="I622" s="489"/>
      <c r="J622" s="1095"/>
      <c r="K622" s="1095"/>
      <c r="L622" s="1095"/>
      <c r="M622" s="1095"/>
    </row>
    <row r="623" spans="1:13" x14ac:dyDescent="0.25">
      <c r="A623">
        <v>605815</v>
      </c>
      <c r="B623" t="s">
        <v>7975</v>
      </c>
      <c r="C623" t="s">
        <v>2598</v>
      </c>
      <c r="D623" s="254">
        <v>7850.82</v>
      </c>
      <c r="E623"/>
      <c r="F623"/>
      <c r="G623"/>
      <c r="H623"/>
      <c r="I623" s="489"/>
      <c r="J623" s="1095"/>
      <c r="K623" s="1095"/>
      <c r="L623" s="1095"/>
      <c r="M623" s="1095"/>
    </row>
    <row r="624" spans="1:13" x14ac:dyDescent="0.25">
      <c r="A624">
        <v>605544</v>
      </c>
      <c r="B624" t="s">
        <v>7976</v>
      </c>
      <c r="C624" t="s">
        <v>2598</v>
      </c>
      <c r="D624" s="254">
        <v>7013.03</v>
      </c>
      <c r="E624"/>
      <c r="F624"/>
      <c r="G624"/>
      <c r="H624"/>
      <c r="I624" s="489"/>
      <c r="J624" s="1095"/>
      <c r="K624" s="1095"/>
      <c r="L624" s="1095"/>
      <c r="M624" s="1095"/>
    </row>
    <row r="625" spans="1:13" x14ac:dyDescent="0.25">
      <c r="A625">
        <v>605836</v>
      </c>
      <c r="B625" t="s">
        <v>7977</v>
      </c>
      <c r="C625" t="s">
        <v>2598</v>
      </c>
      <c r="D625" s="254">
        <v>7827.99</v>
      </c>
      <c r="E625"/>
      <c r="F625"/>
      <c r="G625"/>
      <c r="H625"/>
      <c r="I625" s="489"/>
      <c r="J625" s="1095"/>
      <c r="K625" s="1095"/>
      <c r="L625" s="1095"/>
      <c r="M625" s="1095"/>
    </row>
    <row r="626" spans="1:13" x14ac:dyDescent="0.25">
      <c r="A626">
        <v>605572</v>
      </c>
      <c r="B626" t="s">
        <v>7978</v>
      </c>
      <c r="C626" t="s">
        <v>2598</v>
      </c>
      <c r="D626" s="254">
        <v>6972.96</v>
      </c>
      <c r="E626"/>
      <c r="F626"/>
      <c r="G626"/>
      <c r="H626"/>
      <c r="I626" s="489"/>
      <c r="J626" s="1095"/>
      <c r="K626" s="1095"/>
      <c r="L626" s="1095"/>
      <c r="M626" s="1095"/>
    </row>
    <row r="627" spans="1:13" x14ac:dyDescent="0.25">
      <c r="A627">
        <v>605851</v>
      </c>
      <c r="B627" t="s">
        <v>7979</v>
      </c>
      <c r="C627" t="s">
        <v>2598</v>
      </c>
      <c r="D627" s="254">
        <v>8397.94</v>
      </c>
      <c r="E627"/>
      <c r="F627"/>
      <c r="G627"/>
      <c r="H627"/>
      <c r="I627" s="489"/>
      <c r="J627" s="1095"/>
      <c r="K627" s="1095"/>
      <c r="L627" s="1095"/>
      <c r="M627" s="1095"/>
    </row>
    <row r="628" spans="1:13" x14ac:dyDescent="0.25">
      <c r="A628">
        <v>605583</v>
      </c>
      <c r="B628" t="s">
        <v>7980</v>
      </c>
      <c r="C628" t="s">
        <v>2598</v>
      </c>
      <c r="D628" s="254">
        <v>7542.9</v>
      </c>
      <c r="E628"/>
      <c r="F628"/>
      <c r="G628"/>
      <c r="H628"/>
      <c r="I628" s="489"/>
      <c r="J628" s="1095"/>
      <c r="K628" s="1095"/>
      <c r="L628" s="1095"/>
      <c r="M628" s="1095"/>
    </row>
    <row r="629" spans="1:13" x14ac:dyDescent="0.25">
      <c r="A629">
        <v>605890</v>
      </c>
      <c r="B629" t="s">
        <v>7981</v>
      </c>
      <c r="C629" t="s">
        <v>2598</v>
      </c>
      <c r="D629" s="254">
        <v>9369.7800000000007</v>
      </c>
      <c r="E629"/>
      <c r="F629"/>
      <c r="G629"/>
      <c r="H629"/>
      <c r="I629" s="489"/>
      <c r="J629" s="1095"/>
      <c r="K629" s="1095"/>
      <c r="L629" s="1095"/>
      <c r="M629" s="1095"/>
    </row>
    <row r="630" spans="1:13" x14ac:dyDescent="0.25">
      <c r="A630">
        <v>605594</v>
      </c>
      <c r="B630" t="s">
        <v>7982</v>
      </c>
      <c r="C630" t="s">
        <v>2598</v>
      </c>
      <c r="D630" s="254">
        <v>8514.75</v>
      </c>
      <c r="E630"/>
      <c r="F630"/>
      <c r="G630"/>
      <c r="H630"/>
      <c r="I630" s="489"/>
      <c r="J630" s="1095"/>
      <c r="K630" s="1095"/>
      <c r="L630" s="1095"/>
      <c r="M630" s="1095"/>
    </row>
    <row r="631" spans="1:13" x14ac:dyDescent="0.25">
      <c r="A631">
        <v>605740</v>
      </c>
      <c r="B631" t="s">
        <v>7983</v>
      </c>
      <c r="C631" t="s">
        <v>2598</v>
      </c>
      <c r="D631" s="254">
        <v>7555.48</v>
      </c>
      <c r="E631"/>
      <c r="F631"/>
      <c r="G631"/>
      <c r="H631"/>
      <c r="I631" s="489"/>
      <c r="J631" s="1095"/>
      <c r="K631" s="1095"/>
      <c r="L631" s="1095"/>
      <c r="M631" s="1095"/>
    </row>
    <row r="632" spans="1:13" x14ac:dyDescent="0.25">
      <c r="A632">
        <v>605505</v>
      </c>
      <c r="B632" t="s">
        <v>7984</v>
      </c>
      <c r="C632" t="s">
        <v>2598</v>
      </c>
      <c r="D632" s="254">
        <v>6645.4</v>
      </c>
      <c r="E632"/>
      <c r="F632"/>
      <c r="G632"/>
      <c r="H632"/>
      <c r="I632" s="489"/>
      <c r="J632" s="1095"/>
      <c r="K632" s="1095"/>
      <c r="L632" s="1095"/>
      <c r="M632" s="1095"/>
    </row>
    <row r="633" spans="1:13" x14ac:dyDescent="0.25">
      <c r="A633">
        <v>605782</v>
      </c>
      <c r="B633" t="s">
        <v>7985</v>
      </c>
      <c r="C633" t="s">
        <v>2598</v>
      </c>
      <c r="D633" s="254">
        <v>8125.43</v>
      </c>
      <c r="E633"/>
      <c r="F633"/>
      <c r="G633"/>
      <c r="H633"/>
      <c r="I633" s="489"/>
      <c r="J633" s="1095"/>
      <c r="K633" s="1095"/>
      <c r="L633" s="1095"/>
      <c r="M633" s="1095"/>
    </row>
    <row r="634" spans="1:13" x14ac:dyDescent="0.25">
      <c r="A634">
        <v>605525</v>
      </c>
      <c r="B634" t="s">
        <v>7986</v>
      </c>
      <c r="C634" t="s">
        <v>2598</v>
      </c>
      <c r="D634" s="254">
        <v>7215.35</v>
      </c>
      <c r="E634"/>
      <c r="F634"/>
      <c r="G634"/>
      <c r="H634"/>
      <c r="I634" s="489"/>
      <c r="J634" s="1095"/>
      <c r="K634" s="1095"/>
      <c r="L634" s="1095"/>
      <c r="M634" s="1095"/>
    </row>
    <row r="635" spans="1:13" x14ac:dyDescent="0.25">
      <c r="A635">
        <v>605816</v>
      </c>
      <c r="B635" t="s">
        <v>7987</v>
      </c>
      <c r="C635" t="s">
        <v>2598</v>
      </c>
      <c r="D635" s="254">
        <v>9097.27</v>
      </c>
      <c r="E635"/>
      <c r="F635"/>
      <c r="G635"/>
      <c r="H635"/>
      <c r="I635" s="489"/>
      <c r="J635" s="1095"/>
      <c r="K635" s="1095"/>
      <c r="L635" s="1095"/>
      <c r="M635" s="1095"/>
    </row>
    <row r="636" spans="1:13" x14ac:dyDescent="0.25">
      <c r="A636">
        <v>605545</v>
      </c>
      <c r="B636" t="s">
        <v>7988</v>
      </c>
      <c r="C636" t="s">
        <v>2598</v>
      </c>
      <c r="D636" s="254">
        <v>8187.19</v>
      </c>
      <c r="E636"/>
      <c r="F636"/>
      <c r="G636"/>
      <c r="H636"/>
      <c r="I636" s="489"/>
      <c r="J636" s="1095"/>
      <c r="K636" s="1095"/>
      <c r="L636" s="1095"/>
      <c r="M636" s="1095"/>
    </row>
    <row r="637" spans="1:13" x14ac:dyDescent="0.25">
      <c r="A637">
        <v>605837</v>
      </c>
      <c r="B637" t="s">
        <v>7989</v>
      </c>
      <c r="C637" t="s">
        <v>2598</v>
      </c>
      <c r="D637" s="254">
        <v>9319.4500000000007</v>
      </c>
      <c r="E637"/>
      <c r="F637"/>
      <c r="G637"/>
      <c r="H637"/>
      <c r="I637" s="489"/>
      <c r="J637" s="1095"/>
      <c r="K637" s="1095"/>
      <c r="L637" s="1095"/>
      <c r="M637" s="1095"/>
    </row>
    <row r="638" spans="1:13" x14ac:dyDescent="0.25">
      <c r="A638">
        <v>605573</v>
      </c>
      <c r="B638" t="s">
        <v>7990</v>
      </c>
      <c r="C638" t="s">
        <v>2598</v>
      </c>
      <c r="D638" s="254">
        <v>8413.52</v>
      </c>
      <c r="E638"/>
      <c r="F638"/>
      <c r="G638"/>
      <c r="H638"/>
      <c r="I638" s="489"/>
      <c r="J638" s="1095"/>
      <c r="K638" s="1095"/>
      <c r="L638" s="1095"/>
      <c r="M638" s="1095"/>
    </row>
    <row r="639" spans="1:13" x14ac:dyDescent="0.25">
      <c r="A639">
        <v>605852</v>
      </c>
      <c r="B639" t="s">
        <v>7991</v>
      </c>
      <c r="C639" t="s">
        <v>2598</v>
      </c>
      <c r="D639" s="254">
        <v>10040.790000000001</v>
      </c>
      <c r="E639"/>
      <c r="F639"/>
      <c r="G639"/>
      <c r="H639"/>
      <c r="I639" s="489"/>
      <c r="J639" s="1095"/>
      <c r="K639" s="1095"/>
      <c r="L639" s="1095"/>
      <c r="M639" s="1095"/>
    </row>
    <row r="640" spans="1:13" x14ac:dyDescent="0.25">
      <c r="A640">
        <v>605584</v>
      </c>
      <c r="B640" t="s">
        <v>7992</v>
      </c>
      <c r="C640" t="s">
        <v>2598</v>
      </c>
      <c r="D640" s="254">
        <v>9134.85</v>
      </c>
      <c r="E640"/>
      <c r="F640"/>
      <c r="G640"/>
      <c r="H640"/>
      <c r="I640" s="489"/>
      <c r="J640" s="1095"/>
      <c r="K640" s="1095"/>
      <c r="L640" s="1095"/>
      <c r="M640" s="1095"/>
    </row>
    <row r="641" spans="1:13" x14ac:dyDescent="0.25">
      <c r="A641">
        <v>605891</v>
      </c>
      <c r="B641" t="s">
        <v>7993</v>
      </c>
      <c r="C641" t="s">
        <v>2598</v>
      </c>
      <c r="D641" s="254">
        <v>11270.77</v>
      </c>
      <c r="E641"/>
      <c r="F641"/>
      <c r="G641"/>
      <c r="H641"/>
      <c r="I641" s="489"/>
      <c r="J641" s="1095"/>
      <c r="K641" s="1095"/>
      <c r="L641" s="1095"/>
      <c r="M641" s="1095"/>
    </row>
    <row r="642" spans="1:13" x14ac:dyDescent="0.25">
      <c r="A642">
        <v>605595</v>
      </c>
      <c r="B642" t="s">
        <v>7994</v>
      </c>
      <c r="C642" t="s">
        <v>2598</v>
      </c>
      <c r="D642" s="254">
        <v>10364.84</v>
      </c>
      <c r="E642"/>
      <c r="F642"/>
      <c r="G642"/>
      <c r="H642"/>
      <c r="I642" s="489"/>
      <c r="J642" s="1095"/>
      <c r="K642" s="1095"/>
      <c r="L642" s="1095"/>
      <c r="M642" s="1095"/>
    </row>
    <row r="643" spans="1:13" x14ac:dyDescent="0.25">
      <c r="A643">
        <v>605741</v>
      </c>
      <c r="B643" t="s">
        <v>7995</v>
      </c>
      <c r="C643" t="s">
        <v>2598</v>
      </c>
      <c r="D643" s="254">
        <v>9001.86</v>
      </c>
      <c r="E643"/>
      <c r="F643"/>
      <c r="G643"/>
      <c r="H643"/>
      <c r="I643" s="489"/>
      <c r="J643" s="1095"/>
      <c r="K643" s="1095"/>
      <c r="L643" s="1095"/>
      <c r="M643" s="1095"/>
    </row>
    <row r="644" spans="1:13" x14ac:dyDescent="0.25">
      <c r="A644">
        <v>605506</v>
      </c>
      <c r="B644" t="s">
        <v>7996</v>
      </c>
      <c r="C644" t="s">
        <v>2598</v>
      </c>
      <c r="D644" s="254">
        <v>8025.85</v>
      </c>
      <c r="E644"/>
      <c r="F644"/>
      <c r="G644"/>
      <c r="H644"/>
      <c r="I644" s="489"/>
      <c r="J644" s="1095"/>
      <c r="K644" s="1095"/>
      <c r="L644" s="1095"/>
      <c r="M644" s="1095"/>
    </row>
    <row r="645" spans="1:13" x14ac:dyDescent="0.25">
      <c r="A645">
        <v>605783</v>
      </c>
      <c r="B645" t="s">
        <v>7997</v>
      </c>
      <c r="C645" t="s">
        <v>2598</v>
      </c>
      <c r="D645" s="254">
        <v>9723.2000000000007</v>
      </c>
      <c r="E645"/>
      <c r="F645"/>
      <c r="G645"/>
      <c r="H645"/>
      <c r="I645" s="489"/>
      <c r="J645" s="1095"/>
      <c r="K645" s="1095"/>
      <c r="L645" s="1095"/>
      <c r="M645" s="1095"/>
    </row>
    <row r="646" spans="1:13" x14ac:dyDescent="0.25">
      <c r="A646">
        <v>605526</v>
      </c>
      <c r="B646" t="s">
        <v>7998</v>
      </c>
      <c r="C646" t="s">
        <v>2598</v>
      </c>
      <c r="D646" s="254">
        <v>8747.18</v>
      </c>
      <c r="E646"/>
      <c r="F646"/>
      <c r="G646"/>
      <c r="H646"/>
      <c r="I646" s="489"/>
      <c r="J646" s="1095"/>
      <c r="K646" s="1095"/>
      <c r="L646" s="1095"/>
      <c r="M646" s="1095"/>
    </row>
    <row r="647" spans="1:13" x14ac:dyDescent="0.25">
      <c r="A647">
        <v>605817</v>
      </c>
      <c r="B647" t="s">
        <v>7999</v>
      </c>
      <c r="C647" t="s">
        <v>2598</v>
      </c>
      <c r="D647" s="254">
        <v>10953.19</v>
      </c>
      <c r="E647"/>
      <c r="F647"/>
      <c r="G647"/>
      <c r="H647"/>
      <c r="I647" s="489"/>
      <c r="J647" s="1095"/>
      <c r="K647" s="1095"/>
      <c r="L647" s="1095"/>
      <c r="M647" s="1095"/>
    </row>
    <row r="648" spans="1:13" x14ac:dyDescent="0.25">
      <c r="A648">
        <v>605546</v>
      </c>
      <c r="B648" t="s">
        <v>8000</v>
      </c>
      <c r="C648" t="s">
        <v>2598</v>
      </c>
      <c r="D648" s="254">
        <v>9977.17</v>
      </c>
      <c r="E648"/>
      <c r="F648"/>
      <c r="G648"/>
      <c r="H648"/>
      <c r="I648" s="489"/>
      <c r="J648" s="1095"/>
      <c r="K648" s="1095"/>
      <c r="L648" s="1095"/>
      <c r="M648" s="1095"/>
    </row>
    <row r="649" spans="1:13" x14ac:dyDescent="0.25">
      <c r="A649">
        <v>605838</v>
      </c>
      <c r="B649" t="s">
        <v>8001</v>
      </c>
      <c r="C649" t="s">
        <v>2598</v>
      </c>
      <c r="D649" s="254">
        <v>10605.36</v>
      </c>
      <c r="E649"/>
      <c r="F649"/>
      <c r="G649"/>
      <c r="H649"/>
      <c r="I649" s="489"/>
      <c r="J649" s="1095"/>
      <c r="K649" s="1095"/>
      <c r="L649" s="1095"/>
      <c r="M649" s="1095"/>
    </row>
    <row r="650" spans="1:13" x14ac:dyDescent="0.25">
      <c r="A650">
        <v>605574</v>
      </c>
      <c r="B650" t="s">
        <v>8002</v>
      </c>
      <c r="C650" t="s">
        <v>2598</v>
      </c>
      <c r="D650" s="254">
        <v>9566.08</v>
      </c>
      <c r="E650"/>
      <c r="F650"/>
      <c r="G650"/>
      <c r="H650"/>
      <c r="I650" s="489"/>
      <c r="J650" s="1095"/>
      <c r="K650" s="1095"/>
      <c r="L650" s="1095"/>
      <c r="M650" s="1095"/>
    </row>
    <row r="651" spans="1:13" x14ac:dyDescent="0.25">
      <c r="A651">
        <v>605853</v>
      </c>
      <c r="B651" t="s">
        <v>8003</v>
      </c>
      <c r="C651" t="s">
        <v>2598</v>
      </c>
      <c r="D651" s="254">
        <v>11495.89</v>
      </c>
      <c r="E651"/>
      <c r="F651"/>
      <c r="G651"/>
      <c r="H651"/>
      <c r="I651" s="489"/>
      <c r="J651" s="1095"/>
      <c r="K651" s="1095"/>
      <c r="L651" s="1095"/>
      <c r="M651" s="1095"/>
    </row>
    <row r="652" spans="1:13" x14ac:dyDescent="0.25">
      <c r="A652">
        <v>605585</v>
      </c>
      <c r="B652" t="s">
        <v>8004</v>
      </c>
      <c r="C652" t="s">
        <v>2598</v>
      </c>
      <c r="D652" s="254">
        <v>10456.61</v>
      </c>
      <c r="E652"/>
      <c r="F652"/>
      <c r="G652"/>
      <c r="H652"/>
      <c r="I652" s="489"/>
      <c r="J652" s="1095"/>
      <c r="K652" s="1095"/>
      <c r="L652" s="1095"/>
      <c r="M652" s="1095"/>
    </row>
    <row r="653" spans="1:13" x14ac:dyDescent="0.25">
      <c r="A653">
        <v>605892</v>
      </c>
      <c r="B653" t="s">
        <v>8005</v>
      </c>
      <c r="C653" t="s">
        <v>2598</v>
      </c>
      <c r="D653" s="254">
        <v>13014.39</v>
      </c>
      <c r="E653"/>
      <c r="F653"/>
      <c r="G653"/>
      <c r="H653"/>
      <c r="I653" s="489"/>
      <c r="J653" s="1095"/>
      <c r="K653" s="1095"/>
      <c r="L653" s="1095"/>
      <c r="M653" s="1095"/>
    </row>
    <row r="654" spans="1:13" x14ac:dyDescent="0.25">
      <c r="A654">
        <v>605596</v>
      </c>
      <c r="B654" t="s">
        <v>8006</v>
      </c>
      <c r="C654" t="s">
        <v>2598</v>
      </c>
      <c r="D654" s="254">
        <v>11975.12</v>
      </c>
      <c r="E654"/>
      <c r="F654"/>
      <c r="G654"/>
      <c r="H654"/>
      <c r="I654" s="489"/>
      <c r="J654" s="1095"/>
      <c r="K654" s="1095"/>
      <c r="L654" s="1095"/>
      <c r="M654" s="1095"/>
    </row>
    <row r="655" spans="1:13" x14ac:dyDescent="0.25">
      <c r="A655">
        <v>605742</v>
      </c>
      <c r="B655" t="s">
        <v>8007</v>
      </c>
      <c r="C655" t="s">
        <v>2598</v>
      </c>
      <c r="D655" s="254">
        <v>10242.69</v>
      </c>
      <c r="E655"/>
      <c r="F655"/>
      <c r="G655"/>
      <c r="H655"/>
      <c r="I655" s="489"/>
      <c r="J655" s="1095"/>
      <c r="K655" s="1095"/>
      <c r="L655" s="1095"/>
      <c r="M655" s="1095"/>
    </row>
    <row r="656" spans="1:13" x14ac:dyDescent="0.25">
      <c r="A656">
        <v>605507</v>
      </c>
      <c r="B656" t="s">
        <v>8008</v>
      </c>
      <c r="C656" t="s">
        <v>2598</v>
      </c>
      <c r="D656" s="254">
        <v>9124.32</v>
      </c>
      <c r="E656"/>
      <c r="F656"/>
      <c r="G656"/>
      <c r="H656"/>
      <c r="I656" s="489"/>
      <c r="J656" s="1095"/>
      <c r="K656" s="1095"/>
      <c r="L656" s="1095"/>
      <c r="M656" s="1095"/>
    </row>
    <row r="657" spans="1:13" x14ac:dyDescent="0.25">
      <c r="A657">
        <v>605784</v>
      </c>
      <c r="B657" t="s">
        <v>8009</v>
      </c>
      <c r="C657" t="s">
        <v>2598</v>
      </c>
      <c r="D657" s="254">
        <v>11133.22</v>
      </c>
      <c r="E657"/>
      <c r="F657"/>
      <c r="G657"/>
      <c r="H657"/>
      <c r="I657" s="489"/>
      <c r="J657" s="1095"/>
      <c r="K657" s="1095"/>
      <c r="L657" s="1095"/>
      <c r="M657" s="1095"/>
    </row>
    <row r="658" spans="1:13" x14ac:dyDescent="0.25">
      <c r="A658">
        <v>605527</v>
      </c>
      <c r="B658" t="s">
        <v>8010</v>
      </c>
      <c r="C658" t="s">
        <v>2598</v>
      </c>
      <c r="D658" s="254">
        <v>10014.86</v>
      </c>
      <c r="E658"/>
      <c r="F658"/>
      <c r="G658"/>
      <c r="H658"/>
      <c r="I658" s="489"/>
      <c r="J658" s="1095"/>
      <c r="K658" s="1095"/>
      <c r="L658" s="1095"/>
      <c r="M658" s="1095"/>
    </row>
    <row r="659" spans="1:13" x14ac:dyDescent="0.25">
      <c r="A659">
        <v>605818</v>
      </c>
      <c r="B659" t="s">
        <v>8011</v>
      </c>
      <c r="C659" t="s">
        <v>2598</v>
      </c>
      <c r="D659" s="254">
        <v>12651.73</v>
      </c>
      <c r="E659"/>
      <c r="F659"/>
      <c r="G659"/>
      <c r="H659"/>
      <c r="I659" s="489"/>
      <c r="J659" s="1095"/>
      <c r="K659" s="1095"/>
      <c r="L659" s="1095"/>
      <c r="M659" s="1095"/>
    </row>
    <row r="660" spans="1:13" x14ac:dyDescent="0.25">
      <c r="A660">
        <v>605547</v>
      </c>
      <c r="B660" t="s">
        <v>8012</v>
      </c>
      <c r="C660" t="s">
        <v>2598</v>
      </c>
      <c r="D660" s="254">
        <v>11533.36</v>
      </c>
      <c r="E660"/>
      <c r="F660"/>
      <c r="G660"/>
      <c r="H660"/>
      <c r="I660" s="489"/>
      <c r="J660" s="1095"/>
      <c r="K660" s="1095"/>
      <c r="L660" s="1095"/>
      <c r="M660" s="1095"/>
    </row>
    <row r="661" spans="1:13" x14ac:dyDescent="0.25">
      <c r="A661">
        <v>605839</v>
      </c>
      <c r="B661" t="s">
        <v>8013</v>
      </c>
      <c r="C661" t="s">
        <v>2598</v>
      </c>
      <c r="D661" s="254">
        <v>11941.92</v>
      </c>
      <c r="E661"/>
      <c r="F661"/>
      <c r="G661"/>
      <c r="H661"/>
      <c r="I661" s="489"/>
      <c r="J661" s="1095"/>
      <c r="K661" s="1095"/>
      <c r="L661" s="1095"/>
      <c r="M661" s="1095"/>
    </row>
    <row r="662" spans="1:13" x14ac:dyDescent="0.25">
      <c r="A662">
        <v>605575</v>
      </c>
      <c r="B662" t="s">
        <v>8014</v>
      </c>
      <c r="C662" t="s">
        <v>2598</v>
      </c>
      <c r="D662" s="254">
        <v>10799.27</v>
      </c>
      <c r="E662"/>
      <c r="F662"/>
      <c r="G662"/>
      <c r="H662"/>
      <c r="I662" s="489"/>
      <c r="J662" s="1095"/>
      <c r="K662" s="1095"/>
      <c r="L662" s="1095"/>
      <c r="M662" s="1095"/>
    </row>
    <row r="663" spans="1:13" x14ac:dyDescent="0.25">
      <c r="A663">
        <v>605854</v>
      </c>
      <c r="B663" t="s">
        <v>8015</v>
      </c>
      <c r="C663" t="s">
        <v>2598</v>
      </c>
      <c r="D663" s="254">
        <v>13019.47</v>
      </c>
      <c r="E663"/>
      <c r="F663"/>
      <c r="G663"/>
      <c r="H663"/>
      <c r="I663" s="489"/>
      <c r="J663" s="1095"/>
      <c r="K663" s="1095"/>
      <c r="L663" s="1095"/>
      <c r="M663" s="1095"/>
    </row>
    <row r="664" spans="1:13" x14ac:dyDescent="0.25">
      <c r="A664">
        <v>605586</v>
      </c>
      <c r="B664" t="s">
        <v>8016</v>
      </c>
      <c r="C664" t="s">
        <v>2598</v>
      </c>
      <c r="D664" s="254">
        <v>11876.82</v>
      </c>
      <c r="E664"/>
      <c r="F664"/>
      <c r="G664"/>
      <c r="H664"/>
      <c r="I664" s="489"/>
      <c r="J664" s="1095"/>
      <c r="K664" s="1095"/>
      <c r="L664" s="1095"/>
      <c r="M664" s="1095"/>
    </row>
    <row r="665" spans="1:13" x14ac:dyDescent="0.25">
      <c r="A665">
        <v>605893</v>
      </c>
      <c r="B665" t="s">
        <v>8017</v>
      </c>
      <c r="C665" t="s">
        <v>2598</v>
      </c>
      <c r="D665" s="254">
        <v>14856.86</v>
      </c>
      <c r="E665"/>
      <c r="F665"/>
      <c r="G665"/>
      <c r="H665"/>
      <c r="I665" s="489"/>
      <c r="J665" s="1095"/>
      <c r="K665" s="1095"/>
      <c r="L665" s="1095"/>
      <c r="M665" s="1095"/>
    </row>
    <row r="666" spans="1:13" x14ac:dyDescent="0.25">
      <c r="A666">
        <v>605597</v>
      </c>
      <c r="B666" t="s">
        <v>8018</v>
      </c>
      <c r="C666" t="s">
        <v>2598</v>
      </c>
      <c r="D666" s="254">
        <v>13714.21</v>
      </c>
      <c r="E666"/>
      <c r="F666"/>
      <c r="G666"/>
      <c r="H666"/>
      <c r="I666" s="489"/>
      <c r="J666" s="1095"/>
      <c r="K666" s="1095"/>
      <c r="L666" s="1095"/>
      <c r="M666" s="1095"/>
    </row>
    <row r="667" spans="1:13" x14ac:dyDescent="0.25">
      <c r="A667">
        <v>605743</v>
      </c>
      <c r="B667" t="s">
        <v>8019</v>
      </c>
      <c r="C667" t="s">
        <v>2598</v>
      </c>
      <c r="D667" s="254">
        <v>11542.38</v>
      </c>
      <c r="E667"/>
      <c r="F667"/>
      <c r="G667"/>
      <c r="H667"/>
      <c r="I667" s="489"/>
      <c r="J667" s="1095"/>
      <c r="K667" s="1095"/>
      <c r="L667" s="1095"/>
      <c r="M667" s="1095"/>
    </row>
    <row r="668" spans="1:13" x14ac:dyDescent="0.25">
      <c r="A668">
        <v>605508</v>
      </c>
      <c r="B668" t="s">
        <v>8020</v>
      </c>
      <c r="C668" t="s">
        <v>2598</v>
      </c>
      <c r="D668" s="254">
        <v>10312.44</v>
      </c>
      <c r="E668"/>
      <c r="F668"/>
      <c r="G668"/>
      <c r="H668"/>
      <c r="I668" s="489"/>
      <c r="J668" s="1095"/>
      <c r="K668" s="1095"/>
      <c r="L668" s="1095"/>
      <c r="M668" s="1095"/>
    </row>
    <row r="669" spans="1:13" x14ac:dyDescent="0.25">
      <c r="A669">
        <v>605785</v>
      </c>
      <c r="B669" t="s">
        <v>8021</v>
      </c>
      <c r="C669" t="s">
        <v>2598</v>
      </c>
      <c r="D669" s="254">
        <v>12619.92</v>
      </c>
      <c r="E669"/>
      <c r="F669"/>
      <c r="G669"/>
      <c r="H669"/>
      <c r="I669" s="489"/>
      <c r="J669" s="1095"/>
      <c r="K669" s="1095"/>
      <c r="L669" s="1095"/>
      <c r="M669" s="1095"/>
    </row>
    <row r="670" spans="1:13" x14ac:dyDescent="0.25">
      <c r="A670">
        <v>605528</v>
      </c>
      <c r="B670" t="s">
        <v>8022</v>
      </c>
      <c r="C670" t="s">
        <v>2598</v>
      </c>
      <c r="D670" s="254">
        <v>11389.99</v>
      </c>
      <c r="E670"/>
      <c r="F670"/>
      <c r="G670"/>
      <c r="H670"/>
      <c r="I670" s="489"/>
      <c r="J670" s="1095"/>
      <c r="K670" s="1095"/>
      <c r="L670" s="1095"/>
      <c r="M670" s="1095"/>
    </row>
    <row r="671" spans="1:13" x14ac:dyDescent="0.25">
      <c r="A671">
        <v>605819</v>
      </c>
      <c r="B671" t="s">
        <v>8023</v>
      </c>
      <c r="C671" t="s">
        <v>2598</v>
      </c>
      <c r="D671" s="254">
        <v>14457.32</v>
      </c>
      <c r="E671"/>
      <c r="F671"/>
      <c r="G671"/>
      <c r="H671"/>
      <c r="I671" s="489"/>
      <c r="J671" s="1095"/>
      <c r="K671" s="1095"/>
      <c r="L671" s="1095"/>
      <c r="M671" s="1095"/>
    </row>
    <row r="672" spans="1:13" x14ac:dyDescent="0.25">
      <c r="A672">
        <v>605548</v>
      </c>
      <c r="B672" t="s">
        <v>8024</v>
      </c>
      <c r="C672" t="s">
        <v>2598</v>
      </c>
      <c r="D672" s="254">
        <v>13227.38</v>
      </c>
      <c r="E672"/>
      <c r="F672"/>
      <c r="G672"/>
      <c r="H672"/>
      <c r="I672" s="489"/>
      <c r="J672" s="1095"/>
      <c r="K672" s="1095"/>
      <c r="L672" s="1095"/>
      <c r="M672" s="1095"/>
    </row>
    <row r="673" spans="1:13" x14ac:dyDescent="0.25">
      <c r="A673">
        <v>605840</v>
      </c>
      <c r="B673" t="s">
        <v>8025</v>
      </c>
      <c r="C673" t="s">
        <v>2598</v>
      </c>
      <c r="D673" s="254">
        <v>15481.34</v>
      </c>
      <c r="E673"/>
      <c r="F673"/>
      <c r="G673"/>
      <c r="H673"/>
      <c r="I673" s="489"/>
      <c r="J673" s="1095"/>
      <c r="K673" s="1095"/>
      <c r="L673" s="1095"/>
      <c r="M673" s="1095"/>
    </row>
    <row r="674" spans="1:13" x14ac:dyDescent="0.25">
      <c r="A674">
        <v>605576</v>
      </c>
      <c r="B674" t="s">
        <v>8026</v>
      </c>
      <c r="C674" t="s">
        <v>2598</v>
      </c>
      <c r="D674" s="254">
        <v>12189.47</v>
      </c>
      <c r="E674"/>
      <c r="F674"/>
      <c r="G674"/>
      <c r="H674"/>
      <c r="I674" s="489"/>
      <c r="J674" s="1095"/>
      <c r="K674" s="1095"/>
      <c r="L674" s="1095"/>
      <c r="M674" s="1095"/>
    </row>
    <row r="675" spans="1:13" x14ac:dyDescent="0.25">
      <c r="A675">
        <v>605855</v>
      </c>
      <c r="B675" t="s">
        <v>8027</v>
      </c>
      <c r="C675" t="s">
        <v>2598</v>
      </c>
      <c r="D675" s="254">
        <v>16763.71</v>
      </c>
      <c r="E675"/>
      <c r="F675"/>
      <c r="G675"/>
      <c r="H675"/>
      <c r="I675" s="489"/>
      <c r="J675" s="1095"/>
      <c r="K675" s="1095"/>
      <c r="L675" s="1095"/>
      <c r="M675" s="1095"/>
    </row>
    <row r="676" spans="1:13" x14ac:dyDescent="0.25">
      <c r="A676">
        <v>605587</v>
      </c>
      <c r="B676" t="s">
        <v>8028</v>
      </c>
      <c r="C676" t="s">
        <v>2598</v>
      </c>
      <c r="D676" s="254">
        <v>13471.84</v>
      </c>
      <c r="E676"/>
      <c r="F676"/>
      <c r="G676"/>
      <c r="H676"/>
      <c r="I676" s="489"/>
      <c r="J676" s="1095"/>
      <c r="K676" s="1095"/>
      <c r="L676" s="1095"/>
      <c r="M676" s="1095"/>
    </row>
    <row r="677" spans="1:13" x14ac:dyDescent="0.25">
      <c r="A677">
        <v>605898</v>
      </c>
      <c r="B677" t="s">
        <v>8029</v>
      </c>
      <c r="C677" t="s">
        <v>2598</v>
      </c>
      <c r="D677" s="254">
        <v>18950.349999999999</v>
      </c>
      <c r="E677"/>
      <c r="F677"/>
      <c r="G677"/>
      <c r="H677"/>
      <c r="I677" s="489"/>
      <c r="J677" s="1095"/>
      <c r="K677" s="1095"/>
      <c r="L677" s="1095"/>
      <c r="M677" s="1095"/>
    </row>
    <row r="678" spans="1:13" x14ac:dyDescent="0.25">
      <c r="A678">
        <v>605598</v>
      </c>
      <c r="B678" t="s">
        <v>8030</v>
      </c>
      <c r="C678" t="s">
        <v>2598</v>
      </c>
      <c r="D678" s="254">
        <v>15658.49</v>
      </c>
      <c r="E678"/>
      <c r="F678"/>
      <c r="G678"/>
      <c r="H678"/>
      <c r="I678" s="489"/>
      <c r="J678" s="1095"/>
      <c r="K678" s="1095"/>
      <c r="L678" s="1095"/>
      <c r="M678" s="1095"/>
    </row>
    <row r="679" spans="1:13" x14ac:dyDescent="0.25">
      <c r="A679">
        <v>605744</v>
      </c>
      <c r="B679" t="s">
        <v>8031</v>
      </c>
      <c r="C679" t="s">
        <v>2598</v>
      </c>
      <c r="D679" s="254">
        <v>14638.78</v>
      </c>
      <c r="E679"/>
      <c r="F679"/>
      <c r="G679"/>
      <c r="H679"/>
      <c r="I679" s="489"/>
      <c r="J679" s="1095"/>
      <c r="K679" s="1095"/>
      <c r="L679" s="1095"/>
      <c r="M679" s="1095"/>
    </row>
    <row r="680" spans="1:13" x14ac:dyDescent="0.25">
      <c r="A680">
        <v>605509</v>
      </c>
      <c r="B680" t="s">
        <v>8032</v>
      </c>
      <c r="C680" t="s">
        <v>2598</v>
      </c>
      <c r="D680" s="254">
        <v>11651.39</v>
      </c>
      <c r="E680"/>
      <c r="F680"/>
      <c r="G680"/>
      <c r="H680"/>
      <c r="I680" s="489"/>
      <c r="J680" s="1095"/>
      <c r="K680" s="1095"/>
      <c r="L680" s="1095"/>
      <c r="M680" s="1095"/>
    </row>
    <row r="681" spans="1:13" x14ac:dyDescent="0.25">
      <c r="A681">
        <v>605787</v>
      </c>
      <c r="B681" t="s">
        <v>8033</v>
      </c>
      <c r="C681" t="s">
        <v>2598</v>
      </c>
      <c r="D681" s="254">
        <v>15921.15</v>
      </c>
      <c r="E681"/>
      <c r="F681"/>
      <c r="G681"/>
      <c r="H681"/>
      <c r="I681" s="489"/>
      <c r="J681" s="1095"/>
      <c r="K681" s="1095"/>
      <c r="L681" s="1095"/>
      <c r="M681" s="1095"/>
    </row>
    <row r="682" spans="1:13" x14ac:dyDescent="0.25">
      <c r="A682">
        <v>605529</v>
      </c>
      <c r="B682" t="s">
        <v>8034</v>
      </c>
      <c r="C682" t="s">
        <v>2598</v>
      </c>
      <c r="D682" s="254">
        <v>12933.76</v>
      </c>
      <c r="E682"/>
      <c r="F682"/>
      <c r="G682"/>
      <c r="H682"/>
      <c r="I682" s="489"/>
      <c r="J682" s="1095"/>
      <c r="K682" s="1095"/>
      <c r="L682" s="1095"/>
      <c r="M682" s="1095"/>
    </row>
    <row r="683" spans="1:13" x14ac:dyDescent="0.25">
      <c r="A683">
        <v>605820</v>
      </c>
      <c r="B683" t="s">
        <v>8035</v>
      </c>
      <c r="C683" t="s">
        <v>2598</v>
      </c>
      <c r="D683" s="254">
        <v>18107.79</v>
      </c>
      <c r="E683"/>
      <c r="F683"/>
      <c r="G683"/>
      <c r="H683"/>
      <c r="I683" s="489"/>
      <c r="J683" s="1095"/>
      <c r="K683" s="1095"/>
      <c r="L683" s="1095"/>
      <c r="M683" s="1095"/>
    </row>
    <row r="684" spans="1:13" x14ac:dyDescent="0.25">
      <c r="A684">
        <v>605549</v>
      </c>
      <c r="B684" t="s">
        <v>8036</v>
      </c>
      <c r="C684" t="s">
        <v>2598</v>
      </c>
      <c r="D684" s="254">
        <v>15120.4</v>
      </c>
      <c r="E684"/>
      <c r="F684"/>
      <c r="G684"/>
      <c r="H684"/>
      <c r="I684" s="489"/>
      <c r="J684" s="1095"/>
      <c r="K684" s="1095"/>
      <c r="L684" s="1095"/>
      <c r="M684" s="1095"/>
    </row>
    <row r="685" spans="1:13" x14ac:dyDescent="0.25">
      <c r="A685">
        <v>605841</v>
      </c>
      <c r="B685" t="s">
        <v>8037</v>
      </c>
      <c r="C685" t="s">
        <v>2598</v>
      </c>
      <c r="D685" s="254">
        <v>16898.04</v>
      </c>
      <c r="E685"/>
      <c r="F685"/>
      <c r="G685"/>
      <c r="H685"/>
      <c r="I685" s="489"/>
      <c r="J685" s="1095"/>
      <c r="K685" s="1095"/>
      <c r="L685" s="1095"/>
      <c r="M685" s="1095"/>
    </row>
    <row r="686" spans="1:13" x14ac:dyDescent="0.25">
      <c r="A686">
        <v>605577</v>
      </c>
      <c r="B686" t="s">
        <v>8038</v>
      </c>
      <c r="C686" t="s">
        <v>2598</v>
      </c>
      <c r="D686" s="254">
        <v>13297.05</v>
      </c>
      <c r="E686"/>
      <c r="F686"/>
      <c r="G686"/>
      <c r="H686"/>
      <c r="I686" s="489"/>
      <c r="J686" s="1095"/>
      <c r="K686" s="1095"/>
      <c r="L686" s="1095"/>
      <c r="M686" s="1095"/>
    </row>
    <row r="687" spans="1:13" x14ac:dyDescent="0.25">
      <c r="A687">
        <v>605856</v>
      </c>
      <c r="B687" t="s">
        <v>8039</v>
      </c>
      <c r="C687" t="s">
        <v>2598</v>
      </c>
      <c r="D687" s="254">
        <v>18403.04</v>
      </c>
      <c r="E687"/>
      <c r="F687"/>
      <c r="G687"/>
      <c r="H687"/>
      <c r="I687" s="489"/>
      <c r="J687" s="1095"/>
      <c r="K687" s="1095"/>
      <c r="L687" s="1095"/>
      <c r="M687" s="1095"/>
    </row>
    <row r="688" spans="1:13" x14ac:dyDescent="0.25">
      <c r="A688">
        <v>605588</v>
      </c>
      <c r="B688" t="s">
        <v>8040</v>
      </c>
      <c r="C688" t="s">
        <v>2598</v>
      </c>
      <c r="D688" s="254">
        <v>14802.06</v>
      </c>
      <c r="E688"/>
      <c r="F688"/>
      <c r="G688"/>
      <c r="H688"/>
      <c r="I688" s="489"/>
      <c r="J688" s="1095"/>
      <c r="K688" s="1095"/>
      <c r="L688" s="1095"/>
      <c r="M688" s="1095"/>
    </row>
    <row r="689" spans="1:13" x14ac:dyDescent="0.25">
      <c r="A689">
        <v>605899</v>
      </c>
      <c r="B689" t="s">
        <v>8041</v>
      </c>
      <c r="C689" t="s">
        <v>2598</v>
      </c>
      <c r="D689" s="254">
        <v>20969.310000000001</v>
      </c>
      <c r="E689"/>
      <c r="F689"/>
      <c r="G689"/>
      <c r="H689"/>
      <c r="I689" s="489"/>
      <c r="J689" s="1095"/>
      <c r="K689" s="1095"/>
      <c r="L689" s="1095"/>
      <c r="M689" s="1095"/>
    </row>
    <row r="690" spans="1:13" x14ac:dyDescent="0.25">
      <c r="A690">
        <v>605599</v>
      </c>
      <c r="B690" t="s">
        <v>8042</v>
      </c>
      <c r="C690" t="s">
        <v>2598</v>
      </c>
      <c r="D690" s="254">
        <v>17368.330000000002</v>
      </c>
      <c r="E690"/>
      <c r="F690"/>
      <c r="G690"/>
      <c r="H690"/>
      <c r="I690" s="489"/>
      <c r="J690" s="1095"/>
      <c r="K690" s="1095"/>
      <c r="L690" s="1095"/>
      <c r="M690" s="1095"/>
    </row>
    <row r="691" spans="1:13" x14ac:dyDescent="0.25">
      <c r="A691">
        <v>605745</v>
      </c>
      <c r="B691" t="s">
        <v>8043</v>
      </c>
      <c r="C691" t="s">
        <v>2598</v>
      </c>
      <c r="D691" s="254">
        <v>15982.8</v>
      </c>
      <c r="E691"/>
      <c r="F691"/>
      <c r="G691"/>
      <c r="H691"/>
      <c r="I691" s="489"/>
      <c r="J691" s="1095"/>
      <c r="K691" s="1095"/>
      <c r="L691" s="1095"/>
      <c r="M691" s="1095"/>
    </row>
    <row r="692" spans="1:13" x14ac:dyDescent="0.25">
      <c r="A692">
        <v>605510</v>
      </c>
      <c r="B692" t="s">
        <v>8044</v>
      </c>
      <c r="C692" t="s">
        <v>2598</v>
      </c>
      <c r="D692" s="254">
        <v>12717.06</v>
      </c>
      <c r="E692"/>
      <c r="F692"/>
      <c r="G692"/>
      <c r="H692"/>
      <c r="I692" s="489"/>
      <c r="J692" s="1095"/>
      <c r="K692" s="1095"/>
      <c r="L692" s="1095"/>
      <c r="M692" s="1095"/>
    </row>
    <row r="693" spans="1:13" x14ac:dyDescent="0.25">
      <c r="A693">
        <v>605788</v>
      </c>
      <c r="B693" t="s">
        <v>8045</v>
      </c>
      <c r="C693" t="s">
        <v>2598</v>
      </c>
      <c r="D693" s="254">
        <v>17487.8</v>
      </c>
      <c r="E693"/>
      <c r="F693"/>
      <c r="G693"/>
      <c r="H693"/>
      <c r="I693" s="489"/>
      <c r="J693" s="1095"/>
      <c r="K693" s="1095"/>
      <c r="L693" s="1095"/>
      <c r="M693" s="1095"/>
    </row>
    <row r="694" spans="1:13" x14ac:dyDescent="0.25">
      <c r="A694">
        <v>605530</v>
      </c>
      <c r="B694" t="s">
        <v>8046</v>
      </c>
      <c r="C694" t="s">
        <v>2598</v>
      </c>
      <c r="D694" s="254">
        <v>14222.07</v>
      </c>
      <c r="E694"/>
      <c r="F694"/>
      <c r="G694"/>
      <c r="H694"/>
      <c r="I694" s="489"/>
      <c r="J694" s="1095"/>
      <c r="K694" s="1095"/>
      <c r="L694" s="1095"/>
      <c r="M694" s="1095"/>
    </row>
    <row r="695" spans="1:13" x14ac:dyDescent="0.25">
      <c r="A695">
        <v>605821</v>
      </c>
      <c r="B695" t="s">
        <v>8047</v>
      </c>
      <c r="C695" t="s">
        <v>2598</v>
      </c>
      <c r="D695" s="254">
        <v>20054.07</v>
      </c>
      <c r="E695"/>
      <c r="F695"/>
      <c r="G695"/>
      <c r="H695"/>
      <c r="I695" s="489"/>
      <c r="J695" s="1095"/>
      <c r="K695" s="1095"/>
      <c r="L695" s="1095"/>
      <c r="M695" s="1095"/>
    </row>
    <row r="696" spans="1:13" x14ac:dyDescent="0.25">
      <c r="A696">
        <v>605550</v>
      </c>
      <c r="B696" t="s">
        <v>8048</v>
      </c>
      <c r="C696" t="s">
        <v>2598</v>
      </c>
      <c r="D696" s="254">
        <v>16788.34</v>
      </c>
      <c r="E696"/>
      <c r="F696"/>
      <c r="G696"/>
      <c r="H696"/>
      <c r="I696" s="489"/>
      <c r="J696" s="1095"/>
      <c r="K696" s="1095"/>
      <c r="L696" s="1095"/>
      <c r="M696" s="1095"/>
    </row>
    <row r="697" spans="1:13" x14ac:dyDescent="0.25">
      <c r="A697">
        <v>605842</v>
      </c>
      <c r="B697" t="s">
        <v>8049</v>
      </c>
      <c r="C697" t="s">
        <v>2598</v>
      </c>
      <c r="D697" s="254">
        <v>18672.02</v>
      </c>
      <c r="E697"/>
      <c r="F697"/>
      <c r="G697"/>
      <c r="H697"/>
      <c r="I697" s="489"/>
      <c r="J697" s="1095"/>
      <c r="K697" s="1095"/>
      <c r="L697" s="1095"/>
      <c r="M697" s="1095"/>
    </row>
    <row r="698" spans="1:13" x14ac:dyDescent="0.25">
      <c r="A698">
        <v>605578</v>
      </c>
      <c r="B698" t="s">
        <v>8050</v>
      </c>
      <c r="C698" t="s">
        <v>2598</v>
      </c>
      <c r="D698" s="254">
        <v>14729.96</v>
      </c>
      <c r="E698"/>
      <c r="F698"/>
      <c r="G698"/>
      <c r="H698"/>
      <c r="I698" s="489"/>
      <c r="J698" s="1095"/>
      <c r="K698" s="1095"/>
      <c r="L698" s="1095"/>
      <c r="M698" s="1095"/>
    </row>
    <row r="699" spans="1:13" x14ac:dyDescent="0.25">
      <c r="A699">
        <v>605857</v>
      </c>
      <c r="B699" t="s">
        <v>8051</v>
      </c>
      <c r="C699" t="s">
        <v>2598</v>
      </c>
      <c r="D699" s="254">
        <v>20417.47</v>
      </c>
      <c r="E699"/>
      <c r="F699"/>
      <c r="G699"/>
      <c r="H699"/>
      <c r="I699" s="489"/>
      <c r="J699" s="1095"/>
      <c r="K699" s="1095"/>
      <c r="L699" s="1095"/>
      <c r="M699" s="1095"/>
    </row>
    <row r="700" spans="1:13" x14ac:dyDescent="0.25">
      <c r="A700">
        <v>605589</v>
      </c>
      <c r="B700" t="s">
        <v>8052</v>
      </c>
      <c r="C700" t="s">
        <v>2598</v>
      </c>
      <c r="D700" s="254">
        <v>16475.41</v>
      </c>
      <c r="E700"/>
      <c r="F700"/>
      <c r="G700"/>
      <c r="H700"/>
      <c r="I700" s="489"/>
      <c r="J700" s="1095"/>
      <c r="K700" s="1095"/>
      <c r="L700" s="1095"/>
      <c r="M700" s="1095"/>
    </row>
    <row r="701" spans="1:13" x14ac:dyDescent="0.25">
      <c r="A701">
        <v>605900</v>
      </c>
      <c r="B701" t="s">
        <v>8053</v>
      </c>
      <c r="C701" t="s">
        <v>2598</v>
      </c>
      <c r="D701" s="254">
        <v>23393.74</v>
      </c>
      <c r="E701"/>
      <c r="F701"/>
      <c r="G701"/>
      <c r="H701"/>
      <c r="I701" s="489"/>
      <c r="J701" s="1095"/>
      <c r="K701" s="1095"/>
      <c r="L701" s="1095"/>
      <c r="M701" s="1095"/>
    </row>
    <row r="702" spans="1:13" x14ac:dyDescent="0.25">
      <c r="A702">
        <v>605600</v>
      </c>
      <c r="B702" t="s">
        <v>8054</v>
      </c>
      <c r="C702" t="s">
        <v>2598</v>
      </c>
      <c r="D702" s="254">
        <v>19451.669999999998</v>
      </c>
      <c r="E702"/>
      <c r="F702"/>
      <c r="G702"/>
      <c r="H702"/>
      <c r="I702" s="489"/>
      <c r="J702" s="1095"/>
      <c r="K702" s="1095"/>
      <c r="L702" s="1095"/>
      <c r="M702" s="1095"/>
    </row>
    <row r="703" spans="1:13" x14ac:dyDescent="0.25">
      <c r="A703">
        <v>605746</v>
      </c>
      <c r="B703" t="s">
        <v>8055</v>
      </c>
      <c r="C703" t="s">
        <v>2598</v>
      </c>
      <c r="D703" s="254">
        <v>17674.439999999999</v>
      </c>
      <c r="E703"/>
      <c r="F703"/>
      <c r="G703"/>
      <c r="H703"/>
      <c r="I703" s="489"/>
      <c r="J703" s="1095"/>
      <c r="K703" s="1095"/>
      <c r="L703" s="1095"/>
      <c r="M703" s="1095"/>
    </row>
    <row r="704" spans="1:13" x14ac:dyDescent="0.25">
      <c r="A704">
        <v>605511</v>
      </c>
      <c r="B704" t="s">
        <v>8056</v>
      </c>
      <c r="C704" t="s">
        <v>2598</v>
      </c>
      <c r="D704" s="254">
        <v>14098.88</v>
      </c>
      <c r="E704"/>
      <c r="F704"/>
      <c r="G704"/>
      <c r="H704"/>
      <c r="I704" s="489"/>
      <c r="J704" s="1095"/>
      <c r="K704" s="1095"/>
      <c r="L704" s="1095"/>
      <c r="M704" s="1095"/>
    </row>
    <row r="705" spans="1:13" x14ac:dyDescent="0.25">
      <c r="A705">
        <v>605789</v>
      </c>
      <c r="B705" t="s">
        <v>8057</v>
      </c>
      <c r="C705" t="s">
        <v>2598</v>
      </c>
      <c r="D705" s="254">
        <v>19419.89</v>
      </c>
      <c r="E705"/>
      <c r="F705"/>
      <c r="G705"/>
      <c r="H705"/>
      <c r="I705" s="489"/>
      <c r="J705" s="1095"/>
      <c r="K705" s="1095"/>
      <c r="L705" s="1095"/>
      <c r="M705" s="1095"/>
    </row>
    <row r="706" spans="1:13" x14ac:dyDescent="0.25">
      <c r="A706">
        <v>605531</v>
      </c>
      <c r="B706" t="s">
        <v>8058</v>
      </c>
      <c r="C706" t="s">
        <v>2598</v>
      </c>
      <c r="D706" s="254">
        <v>15844.33</v>
      </c>
      <c r="E706"/>
      <c r="F706"/>
      <c r="G706"/>
      <c r="H706"/>
      <c r="I706" s="489"/>
      <c r="J706" s="1095"/>
      <c r="K706" s="1095"/>
      <c r="L706" s="1095"/>
      <c r="M706" s="1095"/>
    </row>
    <row r="707" spans="1:13" x14ac:dyDescent="0.25">
      <c r="A707">
        <v>605822</v>
      </c>
      <c r="B707" t="s">
        <v>8059</v>
      </c>
      <c r="C707" t="s">
        <v>2598</v>
      </c>
      <c r="D707" s="254">
        <v>22396.16</v>
      </c>
      <c r="E707"/>
      <c r="F707"/>
      <c r="G707"/>
      <c r="H707"/>
      <c r="I707" s="489"/>
      <c r="J707" s="1095"/>
      <c r="K707" s="1095"/>
      <c r="L707" s="1095"/>
      <c r="M707" s="1095"/>
    </row>
    <row r="708" spans="1:13" x14ac:dyDescent="0.25">
      <c r="A708">
        <v>605551</v>
      </c>
      <c r="B708" t="s">
        <v>8060</v>
      </c>
      <c r="C708" t="s">
        <v>2598</v>
      </c>
      <c r="D708" s="254">
        <v>18820.599999999999</v>
      </c>
      <c r="E708"/>
      <c r="F708"/>
      <c r="G708"/>
      <c r="H708"/>
      <c r="I708" s="489"/>
      <c r="J708" s="1095"/>
      <c r="K708" s="1095"/>
      <c r="L708" s="1095"/>
      <c r="M708" s="1095"/>
    </row>
    <row r="709" spans="1:13" x14ac:dyDescent="0.25">
      <c r="A709">
        <v>605843</v>
      </c>
      <c r="B709" t="s">
        <v>8061</v>
      </c>
      <c r="C709" t="s">
        <v>2598</v>
      </c>
      <c r="D709" s="254">
        <v>20090.93</v>
      </c>
      <c r="E709"/>
      <c r="F709"/>
      <c r="G709"/>
      <c r="H709"/>
      <c r="I709" s="489"/>
      <c r="J709" s="1095"/>
      <c r="K709" s="1095"/>
      <c r="L709" s="1095"/>
      <c r="M709" s="1095"/>
    </row>
    <row r="710" spans="1:13" x14ac:dyDescent="0.25">
      <c r="A710">
        <v>605579</v>
      </c>
      <c r="B710" t="s">
        <v>8062</v>
      </c>
      <c r="C710" t="s">
        <v>2598</v>
      </c>
      <c r="D710" s="254">
        <v>15888.69</v>
      </c>
      <c r="E710"/>
      <c r="F710"/>
      <c r="G710"/>
      <c r="H710"/>
      <c r="I710" s="489"/>
      <c r="J710" s="1095"/>
      <c r="K710" s="1095"/>
      <c r="L710" s="1095"/>
      <c r="M710" s="1095"/>
    </row>
    <row r="711" spans="1:13" x14ac:dyDescent="0.25">
      <c r="A711">
        <v>605858</v>
      </c>
      <c r="B711" t="s">
        <v>8063</v>
      </c>
      <c r="C711" t="s">
        <v>2598</v>
      </c>
      <c r="D711" s="254">
        <v>22094.639999999999</v>
      </c>
      <c r="E711"/>
      <c r="F711"/>
      <c r="G711"/>
      <c r="H711"/>
      <c r="I711" s="489"/>
      <c r="J711" s="1095"/>
      <c r="K711" s="1095"/>
      <c r="L711" s="1095"/>
      <c r="M711" s="1095"/>
    </row>
    <row r="712" spans="1:13" x14ac:dyDescent="0.25">
      <c r="A712">
        <v>605590</v>
      </c>
      <c r="B712" t="s">
        <v>8064</v>
      </c>
      <c r="C712" t="s">
        <v>2598</v>
      </c>
      <c r="D712" s="254">
        <v>17892.400000000001</v>
      </c>
      <c r="E712"/>
      <c r="F712"/>
      <c r="G712"/>
      <c r="H712"/>
      <c r="I712" s="489"/>
      <c r="J712" s="1095"/>
      <c r="K712" s="1095"/>
      <c r="L712" s="1095"/>
      <c r="M712" s="1095"/>
    </row>
    <row r="713" spans="1:13" x14ac:dyDescent="0.25">
      <c r="A713">
        <v>605901</v>
      </c>
      <c r="B713" t="s">
        <v>8065</v>
      </c>
      <c r="C713" t="s">
        <v>2598</v>
      </c>
      <c r="D713" s="254">
        <v>25511.27</v>
      </c>
      <c r="E713"/>
      <c r="F713"/>
      <c r="G713"/>
      <c r="H713"/>
      <c r="I713" s="489"/>
      <c r="J713" s="1095"/>
      <c r="K713" s="1095"/>
      <c r="L713" s="1095"/>
      <c r="M713" s="1095"/>
    </row>
    <row r="714" spans="1:13" x14ac:dyDescent="0.25">
      <c r="A714">
        <v>605601</v>
      </c>
      <c r="B714" t="s">
        <v>8066</v>
      </c>
      <c r="C714" t="s">
        <v>2598</v>
      </c>
      <c r="D714" s="254">
        <v>21309.03</v>
      </c>
      <c r="E714"/>
      <c r="F714"/>
      <c r="G714"/>
      <c r="H714"/>
      <c r="I714" s="489"/>
      <c r="J714" s="1095"/>
      <c r="K714" s="1095"/>
      <c r="L714" s="1095"/>
      <c r="M714" s="1095"/>
    </row>
    <row r="715" spans="1:13" x14ac:dyDescent="0.25">
      <c r="A715">
        <v>605747</v>
      </c>
      <c r="B715" t="s">
        <v>8067</v>
      </c>
      <c r="C715" t="s">
        <v>2598</v>
      </c>
      <c r="D715" s="254">
        <v>19023.68</v>
      </c>
      <c r="E715"/>
      <c r="F715"/>
      <c r="G715"/>
      <c r="H715"/>
      <c r="I715" s="489"/>
      <c r="J715" s="1095"/>
      <c r="K715" s="1095"/>
      <c r="L715" s="1095"/>
      <c r="M715" s="1095"/>
    </row>
    <row r="716" spans="1:13" x14ac:dyDescent="0.25">
      <c r="A716">
        <v>605512</v>
      </c>
      <c r="B716" t="s">
        <v>8068</v>
      </c>
      <c r="C716" t="s">
        <v>2598</v>
      </c>
      <c r="D716" s="254">
        <v>15212.53</v>
      </c>
      <c r="E716"/>
      <c r="F716"/>
      <c r="G716"/>
      <c r="H716"/>
      <c r="I716" s="489"/>
      <c r="J716" s="1095"/>
      <c r="K716" s="1095"/>
      <c r="L716" s="1095"/>
      <c r="M716" s="1095"/>
    </row>
    <row r="717" spans="1:13" x14ac:dyDescent="0.25">
      <c r="A717">
        <v>605790</v>
      </c>
      <c r="B717" t="s">
        <v>8069</v>
      </c>
      <c r="C717" t="s">
        <v>2598</v>
      </c>
      <c r="D717" s="254">
        <v>21027.38</v>
      </c>
      <c r="E717"/>
      <c r="F717"/>
      <c r="G717"/>
      <c r="H717"/>
      <c r="I717" s="489"/>
      <c r="J717" s="1095"/>
      <c r="K717" s="1095"/>
      <c r="L717" s="1095"/>
      <c r="M717" s="1095"/>
    </row>
    <row r="718" spans="1:13" x14ac:dyDescent="0.25">
      <c r="A718">
        <v>605532</v>
      </c>
      <c r="B718" t="s">
        <v>8070</v>
      </c>
      <c r="C718" t="s">
        <v>2598</v>
      </c>
      <c r="D718" s="254">
        <v>17216.240000000002</v>
      </c>
      <c r="E718"/>
      <c r="F718"/>
      <c r="G718"/>
      <c r="H718"/>
      <c r="I718" s="489"/>
      <c r="J718" s="1095"/>
      <c r="K718" s="1095"/>
      <c r="L718" s="1095"/>
      <c r="M718" s="1095"/>
    </row>
    <row r="719" spans="1:13" x14ac:dyDescent="0.25">
      <c r="A719">
        <v>605823</v>
      </c>
      <c r="B719" t="s">
        <v>8071</v>
      </c>
      <c r="C719" t="s">
        <v>2598</v>
      </c>
      <c r="D719" s="254">
        <v>24444.02</v>
      </c>
      <c r="E719"/>
      <c r="F719"/>
      <c r="G719"/>
      <c r="H719"/>
      <c r="I719" s="489"/>
      <c r="J719" s="1095"/>
      <c r="K719" s="1095"/>
      <c r="L719" s="1095"/>
      <c r="M719" s="1095"/>
    </row>
    <row r="720" spans="1:13" x14ac:dyDescent="0.25">
      <c r="A720">
        <v>605552</v>
      </c>
      <c r="B720" t="s">
        <v>8072</v>
      </c>
      <c r="C720" t="s">
        <v>2598</v>
      </c>
      <c r="D720" s="254">
        <v>20632.87</v>
      </c>
      <c r="E720"/>
      <c r="F720"/>
      <c r="G720"/>
      <c r="H720"/>
      <c r="I720" s="489"/>
      <c r="J720" s="1095"/>
      <c r="K720" s="1095"/>
      <c r="L720" s="1095"/>
      <c r="M720" s="1095"/>
    </row>
    <row r="721" spans="1:13" x14ac:dyDescent="0.25">
      <c r="A721">
        <v>605844</v>
      </c>
      <c r="B721" t="s">
        <v>8073</v>
      </c>
      <c r="C721" t="s">
        <v>2598</v>
      </c>
      <c r="D721" s="254">
        <v>21922.77</v>
      </c>
      <c r="E721"/>
      <c r="F721"/>
      <c r="G721"/>
      <c r="H721"/>
      <c r="I721" s="489"/>
      <c r="J721" s="1095"/>
      <c r="K721" s="1095"/>
      <c r="L721" s="1095"/>
      <c r="M721" s="1095"/>
    </row>
    <row r="722" spans="1:13" x14ac:dyDescent="0.25">
      <c r="A722">
        <v>605580</v>
      </c>
      <c r="B722" t="s">
        <v>8074</v>
      </c>
      <c r="C722" t="s">
        <v>2598</v>
      </c>
      <c r="D722" s="254">
        <v>17425.8</v>
      </c>
      <c r="E722"/>
      <c r="F722"/>
      <c r="G722"/>
      <c r="H722"/>
      <c r="I722" s="489"/>
      <c r="J722" s="1095"/>
      <c r="K722" s="1095"/>
      <c r="L722" s="1095"/>
      <c r="M722" s="1095"/>
    </row>
    <row r="723" spans="1:13" x14ac:dyDescent="0.25">
      <c r="A723">
        <v>605887</v>
      </c>
      <c r="B723" t="s">
        <v>8075</v>
      </c>
      <c r="C723" t="s">
        <v>2598</v>
      </c>
      <c r="D723" s="254">
        <v>24202.55</v>
      </c>
      <c r="E723"/>
      <c r="F723"/>
      <c r="G723"/>
      <c r="H723"/>
      <c r="I723" s="489"/>
      <c r="J723" s="1095"/>
      <c r="K723" s="1095"/>
      <c r="L723" s="1095"/>
      <c r="M723" s="1095"/>
    </row>
    <row r="724" spans="1:13" x14ac:dyDescent="0.25">
      <c r="A724">
        <v>605591</v>
      </c>
      <c r="B724" t="s">
        <v>8076</v>
      </c>
      <c r="C724" t="s">
        <v>2598</v>
      </c>
      <c r="D724" s="254">
        <v>19705.57</v>
      </c>
      <c r="E724"/>
      <c r="F724"/>
      <c r="G724"/>
      <c r="H724"/>
      <c r="I724" s="489"/>
      <c r="J724" s="1095"/>
      <c r="K724" s="1095"/>
      <c r="L724" s="1095"/>
      <c r="M724" s="1095"/>
    </row>
    <row r="725" spans="1:13" x14ac:dyDescent="0.25">
      <c r="A725">
        <v>605902</v>
      </c>
      <c r="B725" t="s">
        <v>8077</v>
      </c>
      <c r="C725" t="s">
        <v>2598</v>
      </c>
      <c r="D725" s="254">
        <v>28089.919999999998</v>
      </c>
      <c r="E725"/>
      <c r="F725"/>
      <c r="G725"/>
      <c r="H725"/>
      <c r="I725" s="489"/>
      <c r="J725" s="1095"/>
      <c r="K725" s="1095"/>
      <c r="L725" s="1095"/>
      <c r="M725" s="1095"/>
    </row>
    <row r="726" spans="1:13" x14ac:dyDescent="0.25">
      <c r="A726">
        <v>605602</v>
      </c>
      <c r="B726" t="s">
        <v>8078</v>
      </c>
      <c r="C726" t="s">
        <v>2598</v>
      </c>
      <c r="D726" s="254">
        <v>23592.94</v>
      </c>
      <c r="E726"/>
      <c r="F726"/>
      <c r="G726"/>
      <c r="H726"/>
      <c r="I726" s="489"/>
      <c r="J726" s="1095"/>
      <c r="K726" s="1095"/>
      <c r="L726" s="1095"/>
      <c r="M726" s="1095"/>
    </row>
    <row r="727" spans="1:13" x14ac:dyDescent="0.25">
      <c r="A727">
        <v>605748</v>
      </c>
      <c r="B727" t="s">
        <v>8079</v>
      </c>
      <c r="C727" t="s">
        <v>2598</v>
      </c>
      <c r="D727" s="254">
        <v>20773.11</v>
      </c>
      <c r="E727"/>
      <c r="F727"/>
      <c r="G727"/>
      <c r="H727"/>
      <c r="I727" s="489"/>
      <c r="J727" s="1095"/>
      <c r="K727" s="1095"/>
      <c r="L727" s="1095"/>
      <c r="M727" s="1095"/>
    </row>
    <row r="728" spans="1:13" x14ac:dyDescent="0.25">
      <c r="A728">
        <v>605513</v>
      </c>
      <c r="B728" t="s">
        <v>8080</v>
      </c>
      <c r="C728" t="s">
        <v>2598</v>
      </c>
      <c r="D728" s="254">
        <v>16695.54</v>
      </c>
      <c r="E728"/>
      <c r="F728"/>
      <c r="G728"/>
      <c r="H728"/>
      <c r="I728" s="489"/>
      <c r="J728" s="1095"/>
      <c r="K728" s="1095"/>
      <c r="L728" s="1095"/>
      <c r="M728" s="1095"/>
    </row>
    <row r="729" spans="1:13" x14ac:dyDescent="0.25">
      <c r="A729">
        <v>605804</v>
      </c>
      <c r="B729" t="s">
        <v>8081</v>
      </c>
      <c r="C729" t="s">
        <v>2598</v>
      </c>
      <c r="D729" s="254">
        <v>23052.880000000001</v>
      </c>
      <c r="E729"/>
      <c r="F729"/>
      <c r="G729"/>
      <c r="H729"/>
      <c r="I729" s="489"/>
      <c r="J729" s="1095"/>
      <c r="K729" s="1095"/>
      <c r="L729" s="1095"/>
      <c r="M729" s="1095"/>
    </row>
    <row r="730" spans="1:13" x14ac:dyDescent="0.25">
      <c r="A730">
        <v>605533</v>
      </c>
      <c r="B730" t="s">
        <v>8082</v>
      </c>
      <c r="C730" t="s">
        <v>2598</v>
      </c>
      <c r="D730" s="254">
        <v>18975.310000000001</v>
      </c>
      <c r="E730"/>
      <c r="F730"/>
      <c r="G730"/>
      <c r="H730"/>
      <c r="I730" s="489"/>
      <c r="J730" s="1095"/>
      <c r="K730" s="1095"/>
      <c r="L730" s="1095"/>
      <c r="M730" s="1095"/>
    </row>
    <row r="731" spans="1:13" x14ac:dyDescent="0.25">
      <c r="A731">
        <v>605824</v>
      </c>
      <c r="B731" t="s">
        <v>8083</v>
      </c>
      <c r="C731" t="s">
        <v>2598</v>
      </c>
      <c r="D731" s="254">
        <v>26940.26</v>
      </c>
      <c r="E731"/>
      <c r="F731"/>
      <c r="G731"/>
      <c r="H731"/>
      <c r="I731" s="489"/>
      <c r="J731" s="1095"/>
      <c r="K731" s="1095"/>
      <c r="L731" s="1095"/>
      <c r="M731" s="1095"/>
    </row>
    <row r="732" spans="1:13" x14ac:dyDescent="0.25">
      <c r="A732">
        <v>605553</v>
      </c>
      <c r="B732" t="s">
        <v>8084</v>
      </c>
      <c r="C732" t="s">
        <v>2598</v>
      </c>
      <c r="D732" s="254">
        <v>22862.69</v>
      </c>
      <c r="E732"/>
      <c r="F732"/>
      <c r="G732"/>
      <c r="H732"/>
      <c r="I732" s="489"/>
      <c r="J732" s="1095"/>
      <c r="K732" s="1095"/>
      <c r="L732" s="1095"/>
      <c r="M732" s="1095"/>
    </row>
    <row r="733" spans="1:13" x14ac:dyDescent="0.25">
      <c r="A733">
        <v>605845</v>
      </c>
      <c r="B733" t="s">
        <v>8085</v>
      </c>
      <c r="C733" t="s">
        <v>2598</v>
      </c>
      <c r="D733" s="254">
        <v>23774.720000000001</v>
      </c>
      <c r="E733"/>
      <c r="F733"/>
      <c r="G733"/>
      <c r="H733"/>
      <c r="I733" s="489"/>
      <c r="J733" s="1095"/>
      <c r="K733" s="1095"/>
      <c r="L733" s="1095"/>
      <c r="M733" s="1095"/>
    </row>
    <row r="734" spans="1:13" x14ac:dyDescent="0.25">
      <c r="A734">
        <v>605581</v>
      </c>
      <c r="B734" t="s">
        <v>8086</v>
      </c>
      <c r="C734" t="s">
        <v>2598</v>
      </c>
      <c r="D734" s="254">
        <v>20857.07</v>
      </c>
      <c r="E734"/>
      <c r="F734"/>
      <c r="G734"/>
      <c r="H734"/>
      <c r="I734" s="489"/>
      <c r="J734" s="1095"/>
      <c r="K734" s="1095"/>
      <c r="L734" s="1095"/>
      <c r="M734" s="1095"/>
    </row>
    <row r="735" spans="1:13" x14ac:dyDescent="0.25">
      <c r="A735">
        <v>605888</v>
      </c>
      <c r="B735" t="s">
        <v>8087</v>
      </c>
      <c r="C735" t="s">
        <v>2598</v>
      </c>
      <c r="D735" s="254">
        <v>26348.36</v>
      </c>
      <c r="E735"/>
      <c r="F735"/>
      <c r="G735"/>
      <c r="H735"/>
      <c r="I735" s="489"/>
      <c r="J735" s="1095"/>
      <c r="K735" s="1095"/>
      <c r="L735" s="1095"/>
      <c r="M735" s="1095"/>
    </row>
    <row r="736" spans="1:13" x14ac:dyDescent="0.25">
      <c r="A736">
        <v>605592</v>
      </c>
      <c r="B736" t="s">
        <v>8088</v>
      </c>
      <c r="C736" t="s">
        <v>2598</v>
      </c>
      <c r="D736" s="254">
        <v>23430.71</v>
      </c>
      <c r="E736"/>
      <c r="F736"/>
      <c r="G736"/>
      <c r="H736"/>
      <c r="I736" s="489"/>
      <c r="J736" s="1095"/>
      <c r="K736" s="1095"/>
      <c r="L736" s="1095"/>
      <c r="M736" s="1095"/>
    </row>
    <row r="737" spans="1:13" x14ac:dyDescent="0.25">
      <c r="A737">
        <v>605903</v>
      </c>
      <c r="B737" t="s">
        <v>8089</v>
      </c>
      <c r="C737" t="s">
        <v>2598</v>
      </c>
      <c r="D737" s="254">
        <v>30736.84</v>
      </c>
      <c r="E737"/>
      <c r="F737"/>
      <c r="G737"/>
      <c r="H737"/>
      <c r="I737" s="489"/>
      <c r="J737" s="1095"/>
      <c r="K737" s="1095"/>
      <c r="L737" s="1095"/>
      <c r="M737" s="1095"/>
    </row>
    <row r="738" spans="1:13" x14ac:dyDescent="0.25">
      <c r="A738">
        <v>605603</v>
      </c>
      <c r="B738" t="s">
        <v>8090</v>
      </c>
      <c r="C738" t="s">
        <v>2598</v>
      </c>
      <c r="D738" s="254">
        <v>27819.19</v>
      </c>
      <c r="E738"/>
      <c r="F738"/>
      <c r="G738"/>
      <c r="H738"/>
      <c r="I738" s="489"/>
      <c r="J738" s="1095"/>
      <c r="K738" s="1095"/>
      <c r="L738" s="1095"/>
      <c r="M738" s="1095"/>
    </row>
    <row r="739" spans="1:13" x14ac:dyDescent="0.25">
      <c r="A739">
        <v>605771</v>
      </c>
      <c r="B739" t="s">
        <v>8091</v>
      </c>
      <c r="C739" t="s">
        <v>2598</v>
      </c>
      <c r="D739" s="254">
        <v>22555.45</v>
      </c>
      <c r="E739"/>
      <c r="F739"/>
      <c r="G739"/>
      <c r="H739"/>
      <c r="I739" s="489"/>
      <c r="J739" s="1095"/>
      <c r="K739" s="1095"/>
      <c r="L739" s="1095"/>
      <c r="M739" s="1095"/>
    </row>
    <row r="740" spans="1:13" x14ac:dyDescent="0.25">
      <c r="A740">
        <v>605514</v>
      </c>
      <c r="B740" t="s">
        <v>8092</v>
      </c>
      <c r="C740" t="s">
        <v>2598</v>
      </c>
      <c r="D740" s="254">
        <v>20219.84</v>
      </c>
      <c r="E740"/>
      <c r="F740"/>
      <c r="G740"/>
      <c r="H740"/>
      <c r="I740" s="489"/>
      <c r="J740" s="1095"/>
      <c r="K740" s="1095"/>
      <c r="L740" s="1095"/>
      <c r="M740" s="1095"/>
    </row>
    <row r="741" spans="1:13" x14ac:dyDescent="0.25">
      <c r="A741">
        <v>605805</v>
      </c>
      <c r="B741" t="s">
        <v>8093</v>
      </c>
      <c r="C741" t="s">
        <v>2598</v>
      </c>
      <c r="D741" s="254">
        <v>25129.1</v>
      </c>
      <c r="E741"/>
      <c r="F741"/>
      <c r="G741"/>
      <c r="H741"/>
      <c r="I741" s="489"/>
      <c r="J741" s="1095"/>
      <c r="K741" s="1095"/>
      <c r="L741" s="1095"/>
      <c r="M741" s="1095"/>
    </row>
    <row r="742" spans="1:13" x14ac:dyDescent="0.25">
      <c r="A742">
        <v>605534</v>
      </c>
      <c r="B742" t="s">
        <v>8094</v>
      </c>
      <c r="C742" t="s">
        <v>2598</v>
      </c>
      <c r="D742" s="254">
        <v>22793.49</v>
      </c>
      <c r="E742"/>
      <c r="F742"/>
      <c r="G742"/>
      <c r="H742"/>
      <c r="I742" s="489"/>
      <c r="J742" s="1095"/>
      <c r="K742" s="1095"/>
      <c r="L742" s="1095"/>
      <c r="M742" s="1095"/>
    </row>
    <row r="743" spans="1:13" x14ac:dyDescent="0.25">
      <c r="A743">
        <v>605825</v>
      </c>
      <c r="B743" t="s">
        <v>8095</v>
      </c>
      <c r="C743" t="s">
        <v>2598</v>
      </c>
      <c r="D743" s="254">
        <v>29517.58</v>
      </c>
      <c r="E743"/>
      <c r="F743"/>
      <c r="G743"/>
      <c r="H743"/>
      <c r="I743" s="489"/>
      <c r="J743" s="1095"/>
      <c r="K743" s="1095"/>
      <c r="L743" s="1095"/>
      <c r="M743" s="1095"/>
    </row>
    <row r="744" spans="1:13" x14ac:dyDescent="0.25">
      <c r="A744">
        <v>605554</v>
      </c>
      <c r="B744" t="s">
        <v>8096</v>
      </c>
      <c r="C744" t="s">
        <v>2598</v>
      </c>
      <c r="D744" s="254">
        <v>27181.96</v>
      </c>
      <c r="E744"/>
      <c r="F744"/>
      <c r="G744"/>
      <c r="H744"/>
      <c r="I744" s="489"/>
      <c r="J744" s="1095"/>
      <c r="K744" s="1095"/>
      <c r="L744" s="1095"/>
      <c r="M744" s="1095"/>
    </row>
    <row r="745" spans="1:13" x14ac:dyDescent="0.25">
      <c r="A745">
        <v>605772</v>
      </c>
      <c r="B745" t="s">
        <v>8097</v>
      </c>
      <c r="C745" t="s">
        <v>2598</v>
      </c>
      <c r="D745" s="254">
        <v>26354.49</v>
      </c>
      <c r="E745"/>
      <c r="F745"/>
      <c r="G745"/>
      <c r="H745"/>
      <c r="I745" s="489"/>
      <c r="J745" s="1095"/>
      <c r="K745" s="1095"/>
      <c r="L745" s="1095"/>
      <c r="M745" s="1095"/>
    </row>
    <row r="746" spans="1:13" x14ac:dyDescent="0.25">
      <c r="A746">
        <v>605515</v>
      </c>
      <c r="B746" t="s">
        <v>8098</v>
      </c>
      <c r="C746" t="s">
        <v>2598</v>
      </c>
      <c r="D746" s="254">
        <v>21975.4</v>
      </c>
      <c r="E746"/>
      <c r="F746"/>
      <c r="G746"/>
      <c r="H746"/>
      <c r="I746" s="489"/>
      <c r="J746" s="1095"/>
      <c r="K746" s="1095"/>
      <c r="L746" s="1095"/>
      <c r="M746" s="1095"/>
    </row>
    <row r="747" spans="1:13" x14ac:dyDescent="0.25">
      <c r="A747">
        <v>605806</v>
      </c>
      <c r="B747" t="s">
        <v>8099</v>
      </c>
      <c r="C747" t="s">
        <v>2598</v>
      </c>
      <c r="D747" s="254">
        <v>29239.82</v>
      </c>
      <c r="E747"/>
      <c r="F747"/>
      <c r="G747"/>
      <c r="H747"/>
      <c r="I747" s="489"/>
      <c r="J747" s="1095"/>
      <c r="K747" s="1095"/>
      <c r="L747" s="1095"/>
      <c r="M747" s="1095"/>
    </row>
    <row r="748" spans="1:13" x14ac:dyDescent="0.25">
      <c r="A748">
        <v>605535</v>
      </c>
      <c r="B748" t="s">
        <v>8100</v>
      </c>
      <c r="C748" t="s">
        <v>2598</v>
      </c>
      <c r="D748" s="254">
        <v>24860.74</v>
      </c>
      <c r="E748"/>
      <c r="F748"/>
      <c r="G748"/>
      <c r="H748"/>
      <c r="I748" s="489"/>
      <c r="J748" s="1095"/>
      <c r="K748" s="1095"/>
      <c r="L748" s="1095"/>
      <c r="M748" s="1095"/>
    </row>
    <row r="749" spans="1:13" x14ac:dyDescent="0.25">
      <c r="A749">
        <v>605826</v>
      </c>
      <c r="B749" t="s">
        <v>8101</v>
      </c>
      <c r="C749" t="s">
        <v>2598</v>
      </c>
      <c r="D749" s="254">
        <v>34159.769999999997</v>
      </c>
      <c r="E749"/>
      <c r="F749"/>
      <c r="G749"/>
      <c r="H749"/>
      <c r="I749" s="489"/>
      <c r="J749" s="1095"/>
      <c r="K749" s="1095"/>
      <c r="L749" s="1095"/>
      <c r="M749" s="1095"/>
    </row>
    <row r="750" spans="1:13" x14ac:dyDescent="0.25">
      <c r="A750">
        <v>605555</v>
      </c>
      <c r="B750" t="s">
        <v>8102</v>
      </c>
      <c r="C750" t="s">
        <v>2598</v>
      </c>
      <c r="D750" s="254">
        <v>29780.69</v>
      </c>
      <c r="E750"/>
      <c r="F750"/>
      <c r="G750"/>
      <c r="H750"/>
      <c r="I750" s="489"/>
      <c r="J750" s="1095"/>
      <c r="K750" s="1095"/>
      <c r="L750" s="1095"/>
      <c r="M750" s="1095"/>
    </row>
    <row r="751" spans="1:13" x14ac:dyDescent="0.25">
      <c r="A751">
        <v>605773</v>
      </c>
      <c r="B751" t="s">
        <v>8103</v>
      </c>
      <c r="C751" t="s">
        <v>2598</v>
      </c>
      <c r="D751" s="254">
        <v>27939.27</v>
      </c>
      <c r="E751"/>
      <c r="F751"/>
      <c r="G751"/>
      <c r="H751"/>
      <c r="I751" s="489"/>
      <c r="J751" s="1095"/>
      <c r="K751" s="1095"/>
      <c r="L751" s="1095"/>
      <c r="M751" s="1095"/>
    </row>
    <row r="752" spans="1:13" x14ac:dyDescent="0.25">
      <c r="A752">
        <v>605516</v>
      </c>
      <c r="B752" t="s">
        <v>8104</v>
      </c>
      <c r="C752" t="s">
        <v>2598</v>
      </c>
      <c r="D752" s="254">
        <v>23269.07</v>
      </c>
      <c r="E752"/>
      <c r="F752"/>
      <c r="G752"/>
      <c r="H752"/>
      <c r="I752" s="489"/>
      <c r="J752" s="1095"/>
      <c r="K752" s="1095"/>
      <c r="L752" s="1095"/>
      <c r="M752" s="1095"/>
    </row>
    <row r="753" spans="1:13" x14ac:dyDescent="0.25">
      <c r="A753">
        <v>605807</v>
      </c>
      <c r="B753" t="s">
        <v>8105</v>
      </c>
      <c r="C753" t="s">
        <v>2598</v>
      </c>
      <c r="D753" s="254">
        <v>31154.1</v>
      </c>
      <c r="E753"/>
      <c r="F753"/>
      <c r="G753"/>
      <c r="H753"/>
      <c r="I753" s="489"/>
      <c r="J753" s="1095"/>
      <c r="K753" s="1095"/>
      <c r="L753" s="1095"/>
      <c r="M753" s="1095"/>
    </row>
    <row r="754" spans="1:13" x14ac:dyDescent="0.25">
      <c r="A754">
        <v>605536</v>
      </c>
      <c r="B754" t="s">
        <v>8106</v>
      </c>
      <c r="C754" t="s">
        <v>2598</v>
      </c>
      <c r="D754" s="254">
        <v>26483.9</v>
      </c>
      <c r="E754"/>
      <c r="F754"/>
      <c r="G754"/>
      <c r="H754"/>
      <c r="I754" s="489"/>
      <c r="J754" s="1095"/>
      <c r="K754" s="1095"/>
      <c r="L754" s="1095"/>
      <c r="M754" s="1095"/>
    </row>
    <row r="755" spans="1:13" x14ac:dyDescent="0.25">
      <c r="A755">
        <v>605827</v>
      </c>
      <c r="B755" t="s">
        <v>8107</v>
      </c>
      <c r="C755" t="s">
        <v>2598</v>
      </c>
      <c r="D755" s="254">
        <v>36635.910000000003</v>
      </c>
      <c r="E755"/>
      <c r="F755"/>
      <c r="G755"/>
      <c r="H755"/>
      <c r="I755" s="489"/>
      <c r="J755" s="1095"/>
      <c r="K755" s="1095"/>
      <c r="L755" s="1095"/>
      <c r="M755" s="1095"/>
    </row>
    <row r="756" spans="1:13" x14ac:dyDescent="0.25">
      <c r="A756">
        <v>605556</v>
      </c>
      <c r="B756" t="s">
        <v>8108</v>
      </c>
      <c r="C756" t="s">
        <v>2598</v>
      </c>
      <c r="D756" s="254">
        <v>31965.7</v>
      </c>
      <c r="E756"/>
      <c r="F756"/>
      <c r="G756"/>
      <c r="H756"/>
      <c r="I756" s="489"/>
      <c r="J756" s="1095"/>
      <c r="K756" s="1095"/>
      <c r="L756" s="1095"/>
      <c r="M756" s="1095"/>
    </row>
    <row r="757" spans="1:13" x14ac:dyDescent="0.25">
      <c r="A757">
        <v>605774</v>
      </c>
      <c r="B757" t="s">
        <v>8109</v>
      </c>
      <c r="C757" t="s">
        <v>2598</v>
      </c>
      <c r="D757" s="254">
        <v>30041.52</v>
      </c>
      <c r="E757"/>
      <c r="F757"/>
      <c r="G757"/>
      <c r="H757"/>
      <c r="I757" s="489"/>
      <c r="J757" s="1095"/>
      <c r="K757" s="1095"/>
      <c r="L757" s="1095"/>
      <c r="M757" s="1095"/>
    </row>
    <row r="758" spans="1:13" x14ac:dyDescent="0.25">
      <c r="A758">
        <v>605517</v>
      </c>
      <c r="B758" t="s">
        <v>8110</v>
      </c>
      <c r="C758" t="s">
        <v>2598</v>
      </c>
      <c r="D758" s="254">
        <v>25014.18</v>
      </c>
      <c r="E758"/>
      <c r="F758"/>
      <c r="G758"/>
      <c r="H758"/>
      <c r="I758" s="489"/>
      <c r="J758" s="1095"/>
      <c r="K758" s="1095"/>
      <c r="L758" s="1095"/>
      <c r="M758" s="1095"/>
    </row>
    <row r="759" spans="1:13" x14ac:dyDescent="0.25">
      <c r="A759">
        <v>605808</v>
      </c>
      <c r="B759" t="s">
        <v>8111</v>
      </c>
      <c r="C759" t="s">
        <v>2598</v>
      </c>
      <c r="D759" s="254">
        <v>33603.660000000003</v>
      </c>
      <c r="E759"/>
      <c r="F759"/>
      <c r="G759"/>
      <c r="H759"/>
      <c r="I759" s="489"/>
      <c r="J759" s="1095"/>
      <c r="K759" s="1095"/>
      <c r="L759" s="1095"/>
      <c r="M759" s="1095"/>
    </row>
    <row r="760" spans="1:13" x14ac:dyDescent="0.25">
      <c r="A760">
        <v>605537</v>
      </c>
      <c r="B760" t="s">
        <v>8112</v>
      </c>
      <c r="C760" t="s">
        <v>2598</v>
      </c>
      <c r="D760" s="254">
        <v>28576.32</v>
      </c>
      <c r="E760"/>
      <c r="F760"/>
      <c r="G760"/>
      <c r="H760"/>
      <c r="I760" s="489"/>
      <c r="J760" s="1095"/>
      <c r="K760" s="1095"/>
      <c r="L760" s="1095"/>
      <c r="M760" s="1095"/>
    </row>
    <row r="761" spans="1:13" x14ac:dyDescent="0.25">
      <c r="A761">
        <v>605828</v>
      </c>
      <c r="B761" t="s">
        <v>8113</v>
      </c>
      <c r="C761" t="s">
        <v>2598</v>
      </c>
      <c r="D761" s="254">
        <v>39677.68</v>
      </c>
      <c r="E761"/>
      <c r="F761"/>
      <c r="G761"/>
      <c r="H761"/>
      <c r="I761" s="489"/>
      <c r="J761" s="1095"/>
      <c r="K761" s="1095"/>
      <c r="L761" s="1095"/>
      <c r="M761" s="1095"/>
    </row>
    <row r="762" spans="1:13" x14ac:dyDescent="0.25">
      <c r="A762">
        <v>605557</v>
      </c>
      <c r="B762" t="s">
        <v>8114</v>
      </c>
      <c r="C762" t="s">
        <v>2598</v>
      </c>
      <c r="D762" s="254">
        <v>34650.339999999997</v>
      </c>
      <c r="E762"/>
      <c r="F762"/>
      <c r="G762"/>
      <c r="H762"/>
      <c r="I762" s="489"/>
      <c r="J762" s="1095"/>
      <c r="K762" s="1095"/>
      <c r="L762" s="1095"/>
      <c r="M762" s="1095"/>
    </row>
    <row r="763" spans="1:13" x14ac:dyDescent="0.25">
      <c r="A763">
        <v>605775</v>
      </c>
      <c r="B763" t="s">
        <v>8115</v>
      </c>
      <c r="C763" t="s">
        <v>2598</v>
      </c>
      <c r="D763" s="254">
        <v>31625.8</v>
      </c>
      <c r="E763"/>
      <c r="F763"/>
      <c r="G763"/>
      <c r="H763"/>
      <c r="I763" s="489"/>
      <c r="J763" s="1095"/>
      <c r="K763" s="1095"/>
      <c r="L763" s="1095"/>
      <c r="M763" s="1095"/>
    </row>
    <row r="764" spans="1:13" x14ac:dyDescent="0.25">
      <c r="A764">
        <v>605518</v>
      </c>
      <c r="B764" t="s">
        <v>8116</v>
      </c>
      <c r="C764" t="s">
        <v>2598</v>
      </c>
      <c r="D764" s="254">
        <v>26412.84</v>
      </c>
      <c r="E764"/>
      <c r="F764"/>
      <c r="G764"/>
      <c r="H764"/>
      <c r="I764" s="489"/>
      <c r="J764" s="1095"/>
      <c r="K764" s="1095"/>
      <c r="L764" s="1095"/>
      <c r="M764" s="1095"/>
    </row>
    <row r="765" spans="1:13" x14ac:dyDescent="0.25">
      <c r="A765">
        <v>605809</v>
      </c>
      <c r="B765" t="s">
        <v>8117</v>
      </c>
      <c r="C765" t="s">
        <v>2598</v>
      </c>
      <c r="D765" s="254">
        <v>35553.050000000003</v>
      </c>
      <c r="E765"/>
      <c r="F765"/>
      <c r="G765"/>
      <c r="H765"/>
      <c r="I765" s="489"/>
      <c r="J765" s="1095"/>
      <c r="K765" s="1095"/>
      <c r="L765" s="1095"/>
      <c r="M765" s="1095"/>
    </row>
    <row r="766" spans="1:13" x14ac:dyDescent="0.25">
      <c r="A766">
        <v>605538</v>
      </c>
      <c r="B766" t="s">
        <v>8118</v>
      </c>
      <c r="C766" t="s">
        <v>2598</v>
      </c>
      <c r="D766" s="254">
        <v>30340.1</v>
      </c>
      <c r="E766"/>
      <c r="F766"/>
      <c r="G766"/>
      <c r="H766"/>
      <c r="I766" s="489"/>
      <c r="J766" s="1095"/>
      <c r="K766" s="1095"/>
      <c r="L766" s="1095"/>
      <c r="M766" s="1095"/>
    </row>
    <row r="767" spans="1:13" x14ac:dyDescent="0.25">
      <c r="A767">
        <v>605829</v>
      </c>
      <c r="B767" t="s">
        <v>8119</v>
      </c>
      <c r="C767" t="s">
        <v>2598</v>
      </c>
      <c r="D767" s="254">
        <v>42249.66</v>
      </c>
      <c r="E767"/>
      <c r="F767"/>
      <c r="G767"/>
      <c r="H767"/>
      <c r="I767" s="489"/>
      <c r="J767" s="1095"/>
      <c r="K767" s="1095"/>
      <c r="L767" s="1095"/>
      <c r="M767" s="1095"/>
    </row>
    <row r="768" spans="1:13" x14ac:dyDescent="0.25">
      <c r="A768">
        <v>605558</v>
      </c>
      <c r="B768" t="s">
        <v>8120</v>
      </c>
      <c r="C768" t="s">
        <v>2598</v>
      </c>
      <c r="D768" s="254">
        <v>37036.71</v>
      </c>
      <c r="E768"/>
      <c r="F768"/>
      <c r="G768"/>
      <c r="H768"/>
      <c r="I768" s="489"/>
      <c r="J768" s="1095"/>
      <c r="K768" s="1095"/>
      <c r="L768" s="1095"/>
      <c r="M768" s="1095"/>
    </row>
    <row r="769" spans="1:13" x14ac:dyDescent="0.25">
      <c r="A769">
        <v>605776</v>
      </c>
      <c r="B769" t="s">
        <v>8121</v>
      </c>
      <c r="C769" t="s">
        <v>2598</v>
      </c>
      <c r="D769" s="254">
        <v>33741.550000000003</v>
      </c>
      <c r="E769"/>
      <c r="F769"/>
      <c r="G769"/>
      <c r="H769"/>
      <c r="I769" s="489"/>
      <c r="J769" s="1095"/>
      <c r="K769" s="1095"/>
      <c r="L769" s="1095"/>
      <c r="M769" s="1095"/>
    </row>
    <row r="770" spans="1:13" x14ac:dyDescent="0.25">
      <c r="A770">
        <v>605519</v>
      </c>
      <c r="B770" t="s">
        <v>8122</v>
      </c>
      <c r="C770" t="s">
        <v>2598</v>
      </c>
      <c r="D770" s="254">
        <v>31391.32</v>
      </c>
      <c r="E770"/>
      <c r="F770"/>
      <c r="G770"/>
      <c r="H770"/>
      <c r="I770" s="489"/>
      <c r="J770" s="1095"/>
      <c r="K770" s="1095"/>
      <c r="L770" s="1095"/>
      <c r="M770" s="1095"/>
    </row>
    <row r="771" spans="1:13" x14ac:dyDescent="0.25">
      <c r="A771">
        <v>605810</v>
      </c>
      <c r="B771" t="s">
        <v>8123</v>
      </c>
      <c r="C771" t="s">
        <v>2598</v>
      </c>
      <c r="D771" s="254">
        <v>38051.74</v>
      </c>
      <c r="E771"/>
      <c r="F771"/>
      <c r="G771"/>
      <c r="H771"/>
      <c r="I771" s="489"/>
      <c r="J771" s="1095"/>
      <c r="K771" s="1095"/>
      <c r="L771" s="1095"/>
      <c r="M771" s="1095"/>
    </row>
    <row r="772" spans="1:13" x14ac:dyDescent="0.25">
      <c r="A772">
        <v>605539</v>
      </c>
      <c r="B772" t="s">
        <v>8124</v>
      </c>
      <c r="C772" t="s">
        <v>2598</v>
      </c>
      <c r="D772" s="254">
        <v>35701.51</v>
      </c>
      <c r="E772"/>
      <c r="F772"/>
      <c r="G772"/>
      <c r="H772"/>
      <c r="I772" s="489"/>
      <c r="J772" s="1095"/>
      <c r="K772" s="1095"/>
      <c r="L772" s="1095"/>
      <c r="M772" s="1095"/>
    </row>
    <row r="773" spans="1:13" x14ac:dyDescent="0.25">
      <c r="A773">
        <v>605830</v>
      </c>
      <c r="B773" t="s">
        <v>8125</v>
      </c>
      <c r="C773" t="s">
        <v>2598</v>
      </c>
      <c r="D773" s="254">
        <v>45401.3</v>
      </c>
      <c r="E773"/>
      <c r="F773"/>
      <c r="G773"/>
      <c r="H773"/>
      <c r="I773" s="489"/>
      <c r="J773" s="1095"/>
      <c r="K773" s="1095"/>
      <c r="L773" s="1095"/>
      <c r="M773" s="1095"/>
    </row>
    <row r="774" spans="1:13" x14ac:dyDescent="0.25">
      <c r="A774">
        <v>605559</v>
      </c>
      <c r="B774" t="s">
        <v>8126</v>
      </c>
      <c r="C774" t="s">
        <v>2598</v>
      </c>
      <c r="D774" s="254">
        <v>43051.08</v>
      </c>
      <c r="E774"/>
      <c r="F774"/>
      <c r="G774"/>
      <c r="H774"/>
      <c r="I774" s="489"/>
      <c r="J774" s="1095"/>
      <c r="K774" s="1095"/>
      <c r="L774" s="1095"/>
      <c r="M774" s="1095"/>
    </row>
    <row r="775" spans="1:13" x14ac:dyDescent="0.25">
      <c r="A775">
        <v>605777</v>
      </c>
      <c r="B775" t="s">
        <v>8127</v>
      </c>
      <c r="C775" t="s">
        <v>2598</v>
      </c>
      <c r="D775" s="254">
        <v>35981.339999999997</v>
      </c>
      <c r="E775"/>
      <c r="F775"/>
      <c r="G775"/>
      <c r="H775"/>
      <c r="I775" s="489"/>
      <c r="J775" s="1095"/>
      <c r="K775" s="1095"/>
      <c r="L775" s="1095"/>
      <c r="M775" s="1095"/>
    </row>
    <row r="776" spans="1:13" x14ac:dyDescent="0.25">
      <c r="A776">
        <v>605520</v>
      </c>
      <c r="B776" t="s">
        <v>8128</v>
      </c>
      <c r="C776" t="s">
        <v>2598</v>
      </c>
      <c r="D776" s="254">
        <v>33479.14</v>
      </c>
      <c r="E776"/>
      <c r="F776"/>
      <c r="G776"/>
      <c r="H776"/>
      <c r="I776" s="489"/>
      <c r="J776" s="1095"/>
      <c r="K776" s="1095"/>
      <c r="L776" s="1095"/>
      <c r="M776" s="1095"/>
    </row>
    <row r="777" spans="1:13" x14ac:dyDescent="0.25">
      <c r="A777">
        <v>605811</v>
      </c>
      <c r="B777" t="s">
        <v>8129</v>
      </c>
      <c r="C777" t="s">
        <v>2598</v>
      </c>
      <c r="D777" s="254">
        <v>40692.269999999997</v>
      </c>
      <c r="E777"/>
      <c r="F777"/>
      <c r="G777"/>
      <c r="H777"/>
      <c r="I777" s="489"/>
      <c r="J777" s="1095"/>
      <c r="K777" s="1095"/>
      <c r="L777" s="1095"/>
      <c r="M777" s="1095"/>
    </row>
    <row r="778" spans="1:13" x14ac:dyDescent="0.25">
      <c r="A778">
        <v>605540</v>
      </c>
      <c r="B778" t="s">
        <v>8130</v>
      </c>
      <c r="C778" t="s">
        <v>2598</v>
      </c>
      <c r="D778" s="254">
        <v>38190.07</v>
      </c>
      <c r="E778"/>
      <c r="F778"/>
      <c r="G778"/>
      <c r="H778"/>
      <c r="I778" s="489"/>
      <c r="J778" s="1095"/>
      <c r="K778" s="1095"/>
      <c r="L778" s="1095"/>
      <c r="M778" s="1095"/>
    </row>
    <row r="779" spans="1:13" x14ac:dyDescent="0.25">
      <c r="A779">
        <v>605831</v>
      </c>
      <c r="B779" t="s">
        <v>8131</v>
      </c>
      <c r="C779" t="s">
        <v>2598</v>
      </c>
      <c r="D779" s="254">
        <v>48725.17</v>
      </c>
      <c r="E779"/>
      <c r="F779"/>
      <c r="G779"/>
      <c r="H779"/>
      <c r="I779" s="489"/>
      <c r="J779" s="1095"/>
      <c r="K779" s="1095"/>
      <c r="L779" s="1095"/>
      <c r="M779" s="1095"/>
    </row>
    <row r="780" spans="1:13" x14ac:dyDescent="0.25">
      <c r="A780">
        <v>605560</v>
      </c>
      <c r="B780" t="s">
        <v>8132</v>
      </c>
      <c r="C780" t="s">
        <v>2598</v>
      </c>
      <c r="D780" s="254">
        <v>46222.96</v>
      </c>
      <c r="E780"/>
      <c r="F780"/>
      <c r="G780"/>
      <c r="H780"/>
      <c r="I780" s="489"/>
      <c r="J780" s="1095"/>
      <c r="K780" s="1095"/>
      <c r="L780" s="1095"/>
      <c r="M780" s="1095"/>
    </row>
    <row r="781" spans="1:13" x14ac:dyDescent="0.25">
      <c r="A781">
        <v>605778</v>
      </c>
      <c r="B781" t="s">
        <v>8133</v>
      </c>
      <c r="C781" t="s">
        <v>2598</v>
      </c>
      <c r="D781" s="254">
        <v>38139.620000000003</v>
      </c>
      <c r="E781"/>
      <c r="F781"/>
      <c r="G781"/>
      <c r="H781"/>
      <c r="I781" s="489"/>
      <c r="J781" s="1095"/>
      <c r="K781" s="1095"/>
      <c r="L781" s="1095"/>
      <c r="M781" s="1095"/>
    </row>
    <row r="782" spans="1:13" x14ac:dyDescent="0.25">
      <c r="A782">
        <v>605521</v>
      </c>
      <c r="B782" t="s">
        <v>8134</v>
      </c>
      <c r="C782" t="s">
        <v>2598</v>
      </c>
      <c r="D782" s="254">
        <v>35595.24</v>
      </c>
      <c r="E782"/>
      <c r="F782"/>
      <c r="G782"/>
      <c r="H782"/>
      <c r="I782" s="489"/>
      <c r="J782" s="1095"/>
      <c r="K782" s="1095"/>
      <c r="L782" s="1095"/>
      <c r="M782" s="1095"/>
    </row>
    <row r="783" spans="1:13" x14ac:dyDescent="0.25">
      <c r="A783">
        <v>605812</v>
      </c>
      <c r="B783" t="s">
        <v>8135</v>
      </c>
      <c r="C783" t="s">
        <v>2598</v>
      </c>
      <c r="D783" s="254">
        <v>43269.1</v>
      </c>
      <c r="E783"/>
      <c r="F783"/>
      <c r="G783"/>
      <c r="H783"/>
      <c r="I783" s="489"/>
      <c r="J783" s="1095"/>
      <c r="K783" s="1095"/>
      <c r="L783" s="1095"/>
      <c r="M783" s="1095"/>
    </row>
    <row r="784" spans="1:13" x14ac:dyDescent="0.25">
      <c r="A784">
        <v>605541</v>
      </c>
      <c r="B784" t="s">
        <v>8136</v>
      </c>
      <c r="C784" t="s">
        <v>2598</v>
      </c>
      <c r="D784" s="254">
        <v>40724.720000000001</v>
      </c>
      <c r="E784"/>
      <c r="F784"/>
      <c r="G784"/>
      <c r="H784"/>
      <c r="I784" s="489"/>
      <c r="J784" s="1095"/>
      <c r="K784" s="1095"/>
      <c r="L784" s="1095"/>
      <c r="M784" s="1095"/>
    </row>
    <row r="785" spans="1:13" x14ac:dyDescent="0.25">
      <c r="A785">
        <v>605832</v>
      </c>
      <c r="B785" t="s">
        <v>8137</v>
      </c>
      <c r="C785" t="s">
        <v>2598</v>
      </c>
      <c r="D785" s="254">
        <v>52015.68</v>
      </c>
      <c r="E785"/>
      <c r="F785"/>
      <c r="G785"/>
      <c r="H785"/>
      <c r="I785" s="489"/>
      <c r="J785" s="1095"/>
      <c r="K785" s="1095"/>
      <c r="L785" s="1095"/>
      <c r="M785" s="1095"/>
    </row>
    <row r="786" spans="1:13" x14ac:dyDescent="0.25">
      <c r="A786">
        <v>605561</v>
      </c>
      <c r="B786" t="s">
        <v>8138</v>
      </c>
      <c r="C786" t="s">
        <v>2598</v>
      </c>
      <c r="D786" s="254">
        <v>49471.3</v>
      </c>
      <c r="E786"/>
      <c r="F786"/>
      <c r="G786"/>
      <c r="H786"/>
      <c r="I786" s="489"/>
      <c r="J786" s="1095"/>
      <c r="K786" s="1095"/>
      <c r="L786" s="1095"/>
      <c r="M786" s="1095"/>
    </row>
    <row r="787" spans="1:13" x14ac:dyDescent="0.25">
      <c r="A787">
        <v>605779</v>
      </c>
      <c r="B787" t="s">
        <v>8139</v>
      </c>
      <c r="C787" t="s">
        <v>2598</v>
      </c>
      <c r="D787" s="254">
        <v>42101.66</v>
      </c>
      <c r="E787"/>
      <c r="F787"/>
      <c r="G787"/>
      <c r="H787"/>
      <c r="I787" s="489"/>
      <c r="J787" s="1095"/>
      <c r="K787" s="1095"/>
      <c r="L787" s="1095"/>
      <c r="M787" s="1095"/>
    </row>
    <row r="788" spans="1:13" x14ac:dyDescent="0.25">
      <c r="A788">
        <v>605522</v>
      </c>
      <c r="B788" t="s">
        <v>8140</v>
      </c>
      <c r="C788" t="s">
        <v>2598</v>
      </c>
      <c r="D788" s="254">
        <v>40781.949999999997</v>
      </c>
      <c r="E788"/>
      <c r="F788"/>
      <c r="G788"/>
      <c r="H788"/>
      <c r="I788" s="489"/>
      <c r="J788" s="1095"/>
      <c r="K788" s="1095"/>
      <c r="L788" s="1095"/>
      <c r="M788" s="1095"/>
    </row>
    <row r="789" spans="1:13" x14ac:dyDescent="0.25">
      <c r="A789">
        <v>605813</v>
      </c>
      <c r="B789" t="s">
        <v>8141</v>
      </c>
      <c r="C789" t="s">
        <v>2598</v>
      </c>
      <c r="D789" s="254">
        <v>47667.5</v>
      </c>
      <c r="E789"/>
      <c r="F789"/>
      <c r="G789"/>
      <c r="H789"/>
      <c r="I789" s="489"/>
      <c r="J789" s="1095"/>
      <c r="K789" s="1095"/>
      <c r="L789" s="1095"/>
      <c r="M789" s="1095"/>
    </row>
    <row r="790" spans="1:13" x14ac:dyDescent="0.25">
      <c r="A790">
        <v>605542</v>
      </c>
      <c r="B790" t="s">
        <v>8142</v>
      </c>
      <c r="C790" t="s">
        <v>2598</v>
      </c>
      <c r="D790" s="254">
        <v>46347.79</v>
      </c>
      <c r="E790"/>
      <c r="F790"/>
      <c r="G790"/>
      <c r="H790"/>
      <c r="I790" s="489"/>
      <c r="J790" s="1095"/>
      <c r="K790" s="1095"/>
      <c r="L790" s="1095"/>
      <c r="M790" s="1095"/>
    </row>
    <row r="791" spans="1:13" x14ac:dyDescent="0.25">
      <c r="A791">
        <v>605833</v>
      </c>
      <c r="B791" t="s">
        <v>8143</v>
      </c>
      <c r="C791" t="s">
        <v>2598</v>
      </c>
      <c r="D791" s="254">
        <v>57158.15</v>
      </c>
      <c r="E791"/>
      <c r="F791"/>
      <c r="G791"/>
      <c r="H791"/>
      <c r="I791" s="489"/>
      <c r="J791" s="1095"/>
      <c r="K791" s="1095"/>
      <c r="L791" s="1095"/>
      <c r="M791" s="1095"/>
    </row>
    <row r="792" spans="1:13" x14ac:dyDescent="0.25">
      <c r="A792">
        <v>605562</v>
      </c>
      <c r="B792" t="s">
        <v>8144</v>
      </c>
      <c r="C792" t="s">
        <v>2598</v>
      </c>
      <c r="D792" s="254">
        <v>55838.44</v>
      </c>
      <c r="E792"/>
      <c r="F792"/>
      <c r="G792"/>
      <c r="H792"/>
      <c r="I792" s="489"/>
      <c r="J792" s="1095"/>
      <c r="K792" s="1095"/>
      <c r="L792" s="1095"/>
      <c r="M792" s="1095"/>
    </row>
    <row r="793" spans="1:13" x14ac:dyDescent="0.25">
      <c r="A793">
        <v>605780</v>
      </c>
      <c r="B793" t="s">
        <v>8145</v>
      </c>
      <c r="C793" t="s">
        <v>2598</v>
      </c>
      <c r="D793" s="254">
        <v>46697.36</v>
      </c>
      <c r="E793"/>
      <c r="F793"/>
      <c r="G793"/>
      <c r="H793"/>
      <c r="I793" s="489"/>
      <c r="J793" s="1095"/>
      <c r="K793" s="1095"/>
      <c r="L793" s="1095"/>
      <c r="M793" s="1095"/>
    </row>
    <row r="794" spans="1:13" x14ac:dyDescent="0.25">
      <c r="A794">
        <v>605523</v>
      </c>
      <c r="B794" t="s">
        <v>8146</v>
      </c>
      <c r="C794" t="s">
        <v>2598</v>
      </c>
      <c r="D794" s="254">
        <v>43210.5</v>
      </c>
      <c r="E794"/>
      <c r="F794"/>
      <c r="G794"/>
      <c r="H794"/>
      <c r="I794" s="489"/>
      <c r="J794" s="1095"/>
      <c r="K794" s="1095"/>
      <c r="L794" s="1095"/>
      <c r="M794" s="1095"/>
    </row>
    <row r="795" spans="1:13" x14ac:dyDescent="0.25">
      <c r="A795">
        <v>605814</v>
      </c>
      <c r="B795" t="s">
        <v>8147</v>
      </c>
      <c r="C795" t="s">
        <v>2598</v>
      </c>
      <c r="D795" s="254">
        <v>52717.37</v>
      </c>
      <c r="E795"/>
      <c r="F795"/>
      <c r="G795"/>
      <c r="H795"/>
      <c r="I795" s="489"/>
      <c r="J795" s="1095"/>
      <c r="K795" s="1095"/>
      <c r="L795" s="1095"/>
      <c r="M795" s="1095"/>
    </row>
    <row r="796" spans="1:13" x14ac:dyDescent="0.25">
      <c r="A796">
        <v>605543</v>
      </c>
      <c r="B796" t="s">
        <v>8148</v>
      </c>
      <c r="C796" t="s">
        <v>2598</v>
      </c>
      <c r="D796" s="254">
        <v>49230.51</v>
      </c>
      <c r="E796"/>
      <c r="F796"/>
      <c r="G796"/>
      <c r="H796"/>
      <c r="I796" s="489"/>
      <c r="J796" s="1095"/>
      <c r="K796" s="1095"/>
      <c r="L796" s="1095"/>
      <c r="M796" s="1095"/>
    </row>
    <row r="797" spans="1:13" x14ac:dyDescent="0.25">
      <c r="A797">
        <v>605834</v>
      </c>
      <c r="B797" t="s">
        <v>8149</v>
      </c>
      <c r="C797" t="s">
        <v>2598</v>
      </c>
      <c r="D797" s="254">
        <v>62982.47</v>
      </c>
      <c r="E797"/>
      <c r="F797"/>
      <c r="G797"/>
      <c r="H797"/>
      <c r="I797" s="489"/>
      <c r="J797" s="1095"/>
      <c r="K797" s="1095"/>
      <c r="L797" s="1095"/>
      <c r="M797" s="1095"/>
    </row>
    <row r="798" spans="1:13" x14ac:dyDescent="0.25">
      <c r="A798">
        <v>605563</v>
      </c>
      <c r="B798" t="s">
        <v>8150</v>
      </c>
      <c r="C798" t="s">
        <v>2598</v>
      </c>
      <c r="D798" s="254">
        <v>59495.61</v>
      </c>
      <c r="E798"/>
      <c r="F798"/>
      <c r="G798"/>
      <c r="H798"/>
      <c r="I798" s="489"/>
      <c r="J798" s="1095"/>
      <c r="K798" s="1095"/>
      <c r="L798" s="1095"/>
      <c r="M798" s="1095"/>
    </row>
    <row r="799" spans="1:13" x14ac:dyDescent="0.25">
      <c r="A799">
        <v>605606</v>
      </c>
      <c r="B799" t="s">
        <v>8151</v>
      </c>
      <c r="C799" t="s">
        <v>2596</v>
      </c>
      <c r="D799" s="254">
        <v>12.01</v>
      </c>
      <c r="E799"/>
      <c r="F799"/>
      <c r="G799"/>
      <c r="H799"/>
      <c r="I799" s="489"/>
      <c r="J799" s="1095"/>
      <c r="K799" s="1095"/>
      <c r="L799" s="1095"/>
      <c r="M799" s="1095"/>
    </row>
    <row r="800" spans="1:13" x14ac:dyDescent="0.25">
      <c r="A800">
        <v>705314</v>
      </c>
      <c r="B800" t="s">
        <v>6290</v>
      </c>
      <c r="C800" t="s">
        <v>2640</v>
      </c>
      <c r="D800" s="254">
        <v>13836.01</v>
      </c>
      <c r="E800"/>
      <c r="F800"/>
      <c r="G800"/>
      <c r="H800"/>
      <c r="I800" s="489"/>
      <c r="J800" s="1095"/>
      <c r="K800" s="1095"/>
      <c r="L800" s="1095"/>
      <c r="M800" s="1095"/>
    </row>
    <row r="801" spans="1:13" x14ac:dyDescent="0.25">
      <c r="A801">
        <v>705312</v>
      </c>
      <c r="B801" t="s">
        <v>8152</v>
      </c>
      <c r="C801" t="s">
        <v>2640</v>
      </c>
      <c r="D801" s="254">
        <v>12621.2</v>
      </c>
      <c r="E801"/>
      <c r="F801"/>
      <c r="G801"/>
      <c r="H801"/>
      <c r="I801" s="489"/>
      <c r="J801" s="1095"/>
      <c r="K801" s="1095"/>
      <c r="L801" s="1095"/>
      <c r="M801" s="1095"/>
    </row>
    <row r="802" spans="1:13" x14ac:dyDescent="0.25">
      <c r="A802">
        <v>705316</v>
      </c>
      <c r="B802" t="s">
        <v>8153</v>
      </c>
      <c r="C802" t="s">
        <v>2640</v>
      </c>
      <c r="D802" s="254">
        <v>15201.52</v>
      </c>
      <c r="E802"/>
      <c r="F802"/>
      <c r="G802"/>
      <c r="H802"/>
      <c r="I802" s="489"/>
      <c r="J802" s="1095"/>
      <c r="K802" s="1095"/>
      <c r="L802" s="1095"/>
      <c r="M802" s="1095"/>
    </row>
    <row r="803" spans="1:13" x14ac:dyDescent="0.25">
      <c r="A803">
        <v>705315</v>
      </c>
      <c r="B803" t="s">
        <v>8154</v>
      </c>
      <c r="C803" t="s">
        <v>2640</v>
      </c>
      <c r="D803" s="254">
        <v>13890.3</v>
      </c>
      <c r="E803"/>
      <c r="F803"/>
      <c r="G803"/>
      <c r="H803"/>
      <c r="I803" s="489"/>
      <c r="J803" s="1095"/>
      <c r="K803" s="1095"/>
      <c r="L803" s="1095"/>
      <c r="M803" s="1095"/>
    </row>
    <row r="804" spans="1:13" x14ac:dyDescent="0.25">
      <c r="A804">
        <v>705318</v>
      </c>
      <c r="B804" t="s">
        <v>8155</v>
      </c>
      <c r="C804" t="s">
        <v>2640</v>
      </c>
      <c r="D804" s="254">
        <v>16152.05</v>
      </c>
      <c r="E804"/>
      <c r="F804"/>
      <c r="G804"/>
      <c r="H804"/>
      <c r="I804" s="489"/>
      <c r="J804" s="1095"/>
      <c r="K804" s="1095"/>
      <c r="L804" s="1095"/>
      <c r="M804" s="1095"/>
    </row>
    <row r="805" spans="1:13" x14ac:dyDescent="0.25">
      <c r="A805">
        <v>705317</v>
      </c>
      <c r="B805" t="s">
        <v>8156</v>
      </c>
      <c r="C805" t="s">
        <v>2640</v>
      </c>
      <c r="D805" s="254">
        <v>14674.38</v>
      </c>
      <c r="E805"/>
      <c r="F805"/>
      <c r="G805"/>
      <c r="H805"/>
      <c r="I805" s="489"/>
      <c r="J805" s="1095"/>
      <c r="K805" s="1095"/>
      <c r="L805" s="1095"/>
      <c r="M805" s="1095"/>
    </row>
    <row r="806" spans="1:13" x14ac:dyDescent="0.25">
      <c r="A806">
        <v>705320</v>
      </c>
      <c r="B806" t="s">
        <v>8157</v>
      </c>
      <c r="C806" t="s">
        <v>2640</v>
      </c>
      <c r="D806" s="254">
        <v>20326.37</v>
      </c>
      <c r="E806"/>
      <c r="F806"/>
      <c r="G806"/>
      <c r="H806"/>
      <c r="I806" s="489"/>
      <c r="J806" s="1095"/>
      <c r="K806" s="1095"/>
      <c r="L806" s="1095"/>
      <c r="M806" s="1095"/>
    </row>
    <row r="807" spans="1:13" x14ac:dyDescent="0.25">
      <c r="A807">
        <v>705319</v>
      </c>
      <c r="B807" t="s">
        <v>8158</v>
      </c>
      <c r="C807" t="s">
        <v>2640</v>
      </c>
      <c r="D807" s="254">
        <v>18517.78</v>
      </c>
      <c r="E807"/>
      <c r="F807"/>
      <c r="G807"/>
      <c r="H807"/>
      <c r="I807" s="489"/>
      <c r="J807" s="1095"/>
      <c r="K807" s="1095"/>
      <c r="L807" s="1095"/>
      <c r="M807" s="1095"/>
    </row>
    <row r="808" spans="1:13" x14ac:dyDescent="0.25">
      <c r="A808">
        <v>705322</v>
      </c>
      <c r="B808" t="s">
        <v>8159</v>
      </c>
      <c r="C808" t="s">
        <v>2640</v>
      </c>
      <c r="D808" s="254">
        <v>21551.84</v>
      </c>
      <c r="E808"/>
      <c r="F808"/>
      <c r="G808"/>
      <c r="H808"/>
      <c r="I808" s="489"/>
      <c r="J808" s="1095"/>
      <c r="K808" s="1095"/>
      <c r="L808" s="1095"/>
      <c r="M808" s="1095"/>
    </row>
    <row r="809" spans="1:13" x14ac:dyDescent="0.25">
      <c r="A809">
        <v>705321</v>
      </c>
      <c r="B809" t="s">
        <v>8160</v>
      </c>
      <c r="C809" t="s">
        <v>2640</v>
      </c>
      <c r="D809" s="254">
        <v>19509.43</v>
      </c>
      <c r="E809"/>
      <c r="F809"/>
      <c r="G809"/>
      <c r="H809"/>
      <c r="I809" s="489"/>
      <c r="J809" s="1095"/>
      <c r="K809" s="1095"/>
      <c r="L809" s="1095"/>
      <c r="M809" s="1095"/>
    </row>
    <row r="810" spans="1:13" x14ac:dyDescent="0.25">
      <c r="A810">
        <v>705324</v>
      </c>
      <c r="B810" t="s">
        <v>8161</v>
      </c>
      <c r="C810" t="s">
        <v>2640</v>
      </c>
      <c r="D810" s="254">
        <v>23681.64</v>
      </c>
      <c r="E810"/>
      <c r="F810"/>
      <c r="G810"/>
      <c r="H810"/>
      <c r="I810" s="489"/>
      <c r="J810" s="1095"/>
      <c r="K810" s="1095"/>
      <c r="L810" s="1095"/>
      <c r="M810" s="1095"/>
    </row>
    <row r="811" spans="1:13" x14ac:dyDescent="0.25">
      <c r="A811">
        <v>705323</v>
      </c>
      <c r="B811" t="s">
        <v>8162</v>
      </c>
      <c r="C811" t="s">
        <v>2640</v>
      </c>
      <c r="D811" s="254">
        <v>21493.14</v>
      </c>
      <c r="E811"/>
      <c r="F811"/>
      <c r="G811"/>
      <c r="H811"/>
      <c r="I811" s="489"/>
      <c r="J811" s="1095"/>
      <c r="K811" s="1095"/>
      <c r="L811" s="1095"/>
      <c r="M811" s="1095"/>
    </row>
    <row r="812" spans="1:13" x14ac:dyDescent="0.25">
      <c r="A812">
        <v>705326</v>
      </c>
      <c r="B812" t="s">
        <v>8163</v>
      </c>
      <c r="C812" t="s">
        <v>2640</v>
      </c>
      <c r="D812" s="254">
        <v>25372.23</v>
      </c>
      <c r="E812"/>
      <c r="F812"/>
      <c r="G812"/>
      <c r="H812"/>
      <c r="I812" s="489"/>
      <c r="J812" s="1095"/>
      <c r="K812" s="1095"/>
      <c r="L812" s="1095"/>
      <c r="M812" s="1095"/>
    </row>
    <row r="813" spans="1:13" x14ac:dyDescent="0.25">
      <c r="A813">
        <v>705325</v>
      </c>
      <c r="B813" t="s">
        <v>8164</v>
      </c>
      <c r="C813" t="s">
        <v>2640</v>
      </c>
      <c r="D813" s="254">
        <v>22976.240000000002</v>
      </c>
      <c r="E813"/>
      <c r="F813"/>
      <c r="G813"/>
      <c r="H813"/>
      <c r="I813" s="489"/>
      <c r="J813" s="1095"/>
      <c r="K813" s="1095"/>
      <c r="L813" s="1095"/>
      <c r="M813" s="1095"/>
    </row>
    <row r="814" spans="1:13" x14ac:dyDescent="0.25">
      <c r="A814">
        <v>705328</v>
      </c>
      <c r="B814" t="s">
        <v>8165</v>
      </c>
      <c r="C814" t="s">
        <v>2640</v>
      </c>
      <c r="D814" s="254">
        <v>32320.26</v>
      </c>
      <c r="E814"/>
      <c r="F814"/>
      <c r="G814"/>
      <c r="H814"/>
      <c r="I814" s="489"/>
      <c r="J814" s="1095"/>
      <c r="K814" s="1095"/>
      <c r="L814" s="1095"/>
      <c r="M814" s="1095"/>
    </row>
    <row r="815" spans="1:13" x14ac:dyDescent="0.25">
      <c r="A815">
        <v>705327</v>
      </c>
      <c r="B815" t="s">
        <v>8166</v>
      </c>
      <c r="C815" t="s">
        <v>2640</v>
      </c>
      <c r="D815" s="254">
        <v>29347.77</v>
      </c>
      <c r="E815"/>
      <c r="F815"/>
      <c r="G815"/>
      <c r="H815"/>
      <c r="I815" s="489"/>
      <c r="J815" s="1095"/>
      <c r="K815" s="1095"/>
      <c r="L815" s="1095"/>
      <c r="M815" s="1095"/>
    </row>
    <row r="816" spans="1:13" x14ac:dyDescent="0.25">
      <c r="A816">
        <v>705330</v>
      </c>
      <c r="B816" t="s">
        <v>6291</v>
      </c>
      <c r="C816" t="s">
        <v>2640</v>
      </c>
      <c r="D816" s="254">
        <v>30213.82</v>
      </c>
      <c r="E816"/>
      <c r="F816"/>
      <c r="G816"/>
      <c r="H816"/>
      <c r="I816" s="489"/>
      <c r="J816" s="1095"/>
      <c r="K816" s="1095"/>
      <c r="L816" s="1095"/>
      <c r="M816" s="1095"/>
    </row>
    <row r="817" spans="1:13" x14ac:dyDescent="0.25">
      <c r="A817">
        <v>705329</v>
      </c>
      <c r="B817" t="s">
        <v>8167</v>
      </c>
      <c r="C817" t="s">
        <v>2640</v>
      </c>
      <c r="D817" s="254">
        <v>27242.95</v>
      </c>
      <c r="E817"/>
      <c r="F817"/>
      <c r="G817"/>
      <c r="H817"/>
      <c r="I817" s="489"/>
      <c r="J817" s="1095"/>
      <c r="K817" s="1095"/>
      <c r="L817" s="1095"/>
      <c r="M817" s="1095"/>
    </row>
    <row r="818" spans="1:13" x14ac:dyDescent="0.25">
      <c r="A818">
        <v>705332</v>
      </c>
      <c r="B818" t="s">
        <v>8168</v>
      </c>
      <c r="C818" t="s">
        <v>2640</v>
      </c>
      <c r="D818" s="254">
        <v>32753.16</v>
      </c>
      <c r="E818"/>
      <c r="F818"/>
      <c r="G818"/>
      <c r="H818"/>
      <c r="I818" s="489"/>
      <c r="J818" s="1095"/>
      <c r="K818" s="1095"/>
      <c r="L818" s="1095"/>
      <c r="M818" s="1095"/>
    </row>
    <row r="819" spans="1:13" x14ac:dyDescent="0.25">
      <c r="A819">
        <v>705331</v>
      </c>
      <c r="B819" t="s">
        <v>8169</v>
      </c>
      <c r="C819" t="s">
        <v>2640</v>
      </c>
      <c r="D819" s="254">
        <v>29721.17</v>
      </c>
      <c r="E819"/>
      <c r="F819"/>
      <c r="G819"/>
      <c r="H819"/>
      <c r="I819" s="489"/>
      <c r="J819" s="1095"/>
      <c r="K819" s="1095"/>
      <c r="L819" s="1095"/>
      <c r="M819" s="1095"/>
    </row>
    <row r="820" spans="1:13" x14ac:dyDescent="0.25">
      <c r="A820">
        <v>705334</v>
      </c>
      <c r="B820" t="s">
        <v>8170</v>
      </c>
      <c r="C820" t="s">
        <v>2640</v>
      </c>
      <c r="D820" s="254">
        <v>35074.04</v>
      </c>
      <c r="E820"/>
      <c r="F820"/>
      <c r="G820"/>
      <c r="H820"/>
      <c r="I820" s="489"/>
      <c r="J820" s="1095"/>
      <c r="K820" s="1095"/>
      <c r="L820" s="1095"/>
      <c r="M820" s="1095"/>
    </row>
    <row r="821" spans="1:13" x14ac:dyDescent="0.25">
      <c r="A821">
        <v>705333</v>
      </c>
      <c r="B821" t="s">
        <v>8171</v>
      </c>
      <c r="C821" t="s">
        <v>2640</v>
      </c>
      <c r="D821" s="254">
        <v>32069.86</v>
      </c>
      <c r="E821"/>
      <c r="F821"/>
      <c r="G821"/>
      <c r="H821"/>
      <c r="I821" s="489"/>
      <c r="J821" s="1095"/>
      <c r="K821" s="1095"/>
      <c r="L821" s="1095"/>
      <c r="M821" s="1095"/>
    </row>
    <row r="822" spans="1:13" x14ac:dyDescent="0.25">
      <c r="A822">
        <v>705336</v>
      </c>
      <c r="B822" t="s">
        <v>8172</v>
      </c>
      <c r="C822" t="s">
        <v>2640</v>
      </c>
      <c r="D822" s="254">
        <v>47101.9</v>
      </c>
      <c r="E822"/>
      <c r="F822"/>
      <c r="G822"/>
      <c r="H822"/>
      <c r="I822" s="489"/>
      <c r="J822" s="1095"/>
      <c r="K822" s="1095"/>
      <c r="L822" s="1095"/>
      <c r="M822" s="1095"/>
    </row>
    <row r="823" spans="1:13" x14ac:dyDescent="0.25">
      <c r="A823">
        <v>705335</v>
      </c>
      <c r="B823" t="s">
        <v>8173</v>
      </c>
      <c r="C823" t="s">
        <v>2640</v>
      </c>
      <c r="D823" s="254">
        <v>42914.720000000001</v>
      </c>
      <c r="E823"/>
      <c r="F823"/>
      <c r="G823"/>
      <c r="H823"/>
      <c r="I823" s="489"/>
      <c r="J823" s="1095"/>
      <c r="K823" s="1095"/>
      <c r="L823" s="1095"/>
      <c r="M823" s="1095"/>
    </row>
    <row r="824" spans="1:13" x14ac:dyDescent="0.25">
      <c r="A824">
        <v>705338</v>
      </c>
      <c r="B824" t="s">
        <v>8174</v>
      </c>
      <c r="C824" t="s">
        <v>2640</v>
      </c>
      <c r="D824" s="254">
        <v>43955.07</v>
      </c>
      <c r="E824"/>
      <c r="F824"/>
      <c r="G824"/>
      <c r="H824"/>
      <c r="I824" s="489"/>
      <c r="J824" s="1095"/>
      <c r="K824" s="1095"/>
      <c r="L824" s="1095"/>
      <c r="M824" s="1095"/>
    </row>
    <row r="825" spans="1:13" x14ac:dyDescent="0.25">
      <c r="A825">
        <v>705337</v>
      </c>
      <c r="B825" t="s">
        <v>8175</v>
      </c>
      <c r="C825" t="s">
        <v>2640</v>
      </c>
      <c r="D825" s="254">
        <v>39627.49</v>
      </c>
      <c r="E825"/>
      <c r="F825"/>
      <c r="G825"/>
      <c r="H825"/>
      <c r="I825" s="489"/>
      <c r="J825" s="1095"/>
      <c r="K825" s="1095"/>
      <c r="L825" s="1095"/>
      <c r="M825" s="1095"/>
    </row>
    <row r="826" spans="1:13" x14ac:dyDescent="0.25">
      <c r="A826">
        <v>705340</v>
      </c>
      <c r="B826" t="s">
        <v>8176</v>
      </c>
      <c r="C826" t="s">
        <v>2640</v>
      </c>
      <c r="D826" s="254">
        <v>47513.98</v>
      </c>
      <c r="E826"/>
      <c r="F826"/>
      <c r="G826"/>
      <c r="H826"/>
      <c r="I826" s="489"/>
      <c r="J826" s="1095"/>
      <c r="K826" s="1095"/>
      <c r="L826" s="1095"/>
      <c r="M826" s="1095"/>
    </row>
    <row r="827" spans="1:13" x14ac:dyDescent="0.25">
      <c r="A827">
        <v>705339</v>
      </c>
      <c r="B827" t="s">
        <v>8177</v>
      </c>
      <c r="C827" t="s">
        <v>2640</v>
      </c>
      <c r="D827" s="254">
        <v>43137.82</v>
      </c>
      <c r="E827"/>
      <c r="F827"/>
      <c r="G827"/>
      <c r="H827"/>
      <c r="I827" s="489"/>
      <c r="J827" s="1095"/>
      <c r="K827" s="1095"/>
      <c r="L827" s="1095"/>
      <c r="M827" s="1095"/>
    </row>
    <row r="828" spans="1:13" x14ac:dyDescent="0.25">
      <c r="A828">
        <v>705342</v>
      </c>
      <c r="B828" t="s">
        <v>8178</v>
      </c>
      <c r="C828" t="s">
        <v>2640</v>
      </c>
      <c r="D828" s="254">
        <v>54020.01</v>
      </c>
      <c r="E828"/>
      <c r="F828"/>
      <c r="G828"/>
      <c r="H828"/>
      <c r="I828" s="489"/>
      <c r="J828" s="1095"/>
      <c r="K828" s="1095"/>
      <c r="L828" s="1095"/>
      <c r="M828" s="1095"/>
    </row>
    <row r="829" spans="1:13" x14ac:dyDescent="0.25">
      <c r="A829">
        <v>705341</v>
      </c>
      <c r="B829" t="s">
        <v>8179</v>
      </c>
      <c r="C829" t="s">
        <v>2640</v>
      </c>
      <c r="D829" s="254">
        <v>49153.07</v>
      </c>
      <c r="E829"/>
      <c r="F829"/>
      <c r="G829"/>
      <c r="H829"/>
      <c r="I829" s="489"/>
      <c r="J829" s="1095"/>
      <c r="K829" s="1095"/>
      <c r="L829" s="1095"/>
      <c r="M829" s="1095"/>
    </row>
    <row r="830" spans="1:13" x14ac:dyDescent="0.25">
      <c r="A830">
        <v>705344</v>
      </c>
      <c r="B830" t="s">
        <v>8180</v>
      </c>
      <c r="C830" t="s">
        <v>2640</v>
      </c>
      <c r="D830" s="254">
        <v>68660.98</v>
      </c>
      <c r="E830"/>
      <c r="F830"/>
      <c r="G830"/>
      <c r="H830"/>
      <c r="I830" s="489"/>
      <c r="J830" s="1095"/>
      <c r="K830" s="1095"/>
      <c r="L830" s="1095"/>
      <c r="M830" s="1095"/>
    </row>
    <row r="831" spans="1:13" x14ac:dyDescent="0.25">
      <c r="A831">
        <v>705343</v>
      </c>
      <c r="B831" t="s">
        <v>8181</v>
      </c>
      <c r="C831" t="s">
        <v>2640</v>
      </c>
      <c r="D831" s="254">
        <v>62698.2</v>
      </c>
      <c r="E831"/>
      <c r="F831"/>
      <c r="G831"/>
      <c r="H831"/>
      <c r="I831" s="489"/>
      <c r="J831" s="1095"/>
      <c r="K831" s="1095"/>
      <c r="L831" s="1095"/>
      <c r="M831" s="1095"/>
    </row>
    <row r="832" spans="1:13" x14ac:dyDescent="0.25">
      <c r="A832">
        <v>705225</v>
      </c>
      <c r="B832" t="s">
        <v>6288</v>
      </c>
      <c r="C832" t="s">
        <v>2640</v>
      </c>
      <c r="D832" s="254">
        <v>11760.04</v>
      </c>
      <c r="E832"/>
      <c r="F832"/>
      <c r="G832"/>
      <c r="H832"/>
      <c r="I832" s="489"/>
      <c r="J832" s="1095"/>
      <c r="K832" s="1095"/>
      <c r="L832" s="1095"/>
      <c r="M832" s="1095"/>
    </row>
    <row r="833" spans="1:13" x14ac:dyDescent="0.25">
      <c r="A833">
        <v>705224</v>
      </c>
      <c r="B833" t="s">
        <v>8182</v>
      </c>
      <c r="C833" t="s">
        <v>2640</v>
      </c>
      <c r="D833" s="254">
        <v>10641.92</v>
      </c>
      <c r="E833"/>
      <c r="F833"/>
      <c r="G833"/>
      <c r="H833"/>
      <c r="I833" s="489"/>
      <c r="J833" s="1095"/>
      <c r="K833" s="1095"/>
      <c r="L833" s="1095"/>
      <c r="M833" s="1095"/>
    </row>
    <row r="834" spans="1:13" x14ac:dyDescent="0.25">
      <c r="A834">
        <v>705227</v>
      </c>
      <c r="B834" t="s">
        <v>8183</v>
      </c>
      <c r="C834" t="s">
        <v>2640</v>
      </c>
      <c r="D834" s="254">
        <v>12223.85</v>
      </c>
      <c r="E834"/>
      <c r="F834"/>
      <c r="G834"/>
      <c r="H834"/>
      <c r="I834" s="489"/>
      <c r="J834" s="1095"/>
      <c r="K834" s="1095"/>
      <c r="L834" s="1095"/>
      <c r="M834" s="1095"/>
    </row>
    <row r="835" spans="1:13" x14ac:dyDescent="0.25">
      <c r="A835">
        <v>705226</v>
      </c>
      <c r="B835" t="s">
        <v>8184</v>
      </c>
      <c r="C835" t="s">
        <v>2640</v>
      </c>
      <c r="D835" s="254">
        <v>11198.72</v>
      </c>
      <c r="E835"/>
      <c r="F835"/>
      <c r="G835"/>
      <c r="H835"/>
      <c r="I835" s="489"/>
      <c r="J835" s="1095"/>
      <c r="K835" s="1095"/>
      <c r="L835" s="1095"/>
      <c r="M835" s="1095"/>
    </row>
    <row r="836" spans="1:13" x14ac:dyDescent="0.25">
      <c r="A836">
        <v>705229</v>
      </c>
      <c r="B836" t="s">
        <v>8185</v>
      </c>
      <c r="C836" t="s">
        <v>2640</v>
      </c>
      <c r="D836" s="254">
        <v>13147.69</v>
      </c>
      <c r="E836"/>
      <c r="F836"/>
      <c r="G836"/>
      <c r="H836"/>
      <c r="I836" s="489"/>
      <c r="J836" s="1095"/>
      <c r="K836" s="1095"/>
      <c r="L836" s="1095"/>
      <c r="M836" s="1095"/>
    </row>
    <row r="837" spans="1:13" x14ac:dyDescent="0.25">
      <c r="A837">
        <v>705228</v>
      </c>
      <c r="B837" t="s">
        <v>8186</v>
      </c>
      <c r="C837" t="s">
        <v>2640</v>
      </c>
      <c r="D837" s="254">
        <v>11964.63</v>
      </c>
      <c r="E837"/>
      <c r="F837"/>
      <c r="G837"/>
      <c r="H837"/>
      <c r="I837" s="489"/>
      <c r="J837" s="1095"/>
      <c r="K837" s="1095"/>
      <c r="L837" s="1095"/>
      <c r="M837" s="1095"/>
    </row>
    <row r="838" spans="1:13" x14ac:dyDescent="0.25">
      <c r="A838">
        <v>705231</v>
      </c>
      <c r="B838" t="s">
        <v>8187</v>
      </c>
      <c r="C838" t="s">
        <v>2640</v>
      </c>
      <c r="D838" s="254">
        <v>16454.46</v>
      </c>
      <c r="E838"/>
      <c r="F838"/>
      <c r="G838"/>
      <c r="H838"/>
      <c r="I838" s="489"/>
      <c r="J838" s="1095"/>
      <c r="K838" s="1095"/>
      <c r="L838" s="1095"/>
      <c r="M838" s="1095"/>
    </row>
    <row r="839" spans="1:13" x14ac:dyDescent="0.25">
      <c r="A839">
        <v>705230</v>
      </c>
      <c r="B839" t="s">
        <v>8188</v>
      </c>
      <c r="C839" t="s">
        <v>2640</v>
      </c>
      <c r="D839" s="254">
        <v>15068.83</v>
      </c>
      <c r="E839"/>
      <c r="F839"/>
      <c r="G839"/>
      <c r="H839"/>
      <c r="I839" s="489"/>
      <c r="J839" s="1095"/>
      <c r="K839" s="1095"/>
      <c r="L839" s="1095"/>
      <c r="M839" s="1095"/>
    </row>
    <row r="840" spans="1:13" x14ac:dyDescent="0.25">
      <c r="A840">
        <v>705233</v>
      </c>
      <c r="B840" t="s">
        <v>8189</v>
      </c>
      <c r="C840" t="s">
        <v>2640</v>
      </c>
      <c r="D840" s="254">
        <v>18471.36</v>
      </c>
      <c r="E840"/>
      <c r="F840"/>
      <c r="G840"/>
      <c r="H840"/>
      <c r="I840" s="489"/>
      <c r="J840" s="1095"/>
      <c r="K840" s="1095"/>
      <c r="L840" s="1095"/>
      <c r="M840" s="1095"/>
    </row>
    <row r="841" spans="1:13" x14ac:dyDescent="0.25">
      <c r="A841">
        <v>705232</v>
      </c>
      <c r="B841" t="s">
        <v>8190</v>
      </c>
      <c r="C841" t="s">
        <v>2640</v>
      </c>
      <c r="D841" s="254">
        <v>16692.68</v>
      </c>
      <c r="E841"/>
      <c r="F841"/>
      <c r="G841"/>
      <c r="H841"/>
      <c r="I841" s="489"/>
      <c r="J841" s="1095"/>
      <c r="K841" s="1095"/>
      <c r="L841" s="1095"/>
      <c r="M841" s="1095"/>
    </row>
    <row r="842" spans="1:13" x14ac:dyDescent="0.25">
      <c r="A842">
        <v>705235</v>
      </c>
      <c r="B842" t="s">
        <v>8191</v>
      </c>
      <c r="C842" t="s">
        <v>2640</v>
      </c>
      <c r="D842" s="254">
        <v>19090.75</v>
      </c>
      <c r="E842"/>
      <c r="F842"/>
      <c r="G842"/>
      <c r="H842"/>
      <c r="I842" s="489"/>
      <c r="J842" s="1095"/>
      <c r="K842" s="1095"/>
      <c r="L842" s="1095"/>
      <c r="M842" s="1095"/>
    </row>
    <row r="843" spans="1:13" x14ac:dyDescent="0.25">
      <c r="A843">
        <v>705234</v>
      </c>
      <c r="B843" t="s">
        <v>8192</v>
      </c>
      <c r="C843" t="s">
        <v>2640</v>
      </c>
      <c r="D843" s="254">
        <v>17430.919999999998</v>
      </c>
      <c r="E843"/>
      <c r="F843"/>
      <c r="G843"/>
      <c r="H843"/>
      <c r="I843" s="489"/>
      <c r="J843" s="1095"/>
      <c r="K843" s="1095"/>
      <c r="L843" s="1095"/>
      <c r="M843" s="1095"/>
    </row>
    <row r="844" spans="1:13" x14ac:dyDescent="0.25">
      <c r="A844">
        <v>705237</v>
      </c>
      <c r="B844" t="s">
        <v>8193</v>
      </c>
      <c r="C844" t="s">
        <v>2640</v>
      </c>
      <c r="D844" s="254">
        <v>20605.68</v>
      </c>
      <c r="E844"/>
      <c r="F844"/>
      <c r="G844"/>
      <c r="H844"/>
      <c r="I844" s="489"/>
      <c r="J844" s="1095"/>
      <c r="K844" s="1095"/>
      <c r="L844" s="1095"/>
      <c r="M844" s="1095"/>
    </row>
    <row r="845" spans="1:13" x14ac:dyDescent="0.25">
      <c r="A845">
        <v>705236</v>
      </c>
      <c r="B845" t="s">
        <v>8194</v>
      </c>
      <c r="C845" t="s">
        <v>2640</v>
      </c>
      <c r="D845" s="254">
        <v>18743.060000000001</v>
      </c>
      <c r="E845"/>
      <c r="F845"/>
      <c r="G845"/>
      <c r="H845"/>
      <c r="I845" s="489"/>
      <c r="J845" s="1095"/>
      <c r="K845" s="1095"/>
      <c r="L845" s="1095"/>
      <c r="M845" s="1095"/>
    </row>
    <row r="846" spans="1:13" x14ac:dyDescent="0.25">
      <c r="A846">
        <v>705239</v>
      </c>
      <c r="B846" t="s">
        <v>8195</v>
      </c>
      <c r="C846" t="s">
        <v>2640</v>
      </c>
      <c r="D846" s="254">
        <v>26411.63</v>
      </c>
      <c r="E846"/>
      <c r="F846"/>
      <c r="G846"/>
      <c r="H846"/>
      <c r="I846" s="489"/>
      <c r="J846" s="1095"/>
      <c r="K846" s="1095"/>
      <c r="L846" s="1095"/>
      <c r="M846" s="1095"/>
    </row>
    <row r="847" spans="1:13" x14ac:dyDescent="0.25">
      <c r="A847">
        <v>705238</v>
      </c>
      <c r="B847" t="s">
        <v>8196</v>
      </c>
      <c r="C847" t="s">
        <v>2640</v>
      </c>
      <c r="D847" s="254">
        <v>24082.78</v>
      </c>
      <c r="E847"/>
      <c r="F847"/>
      <c r="G847"/>
      <c r="H847"/>
      <c r="I847" s="489"/>
      <c r="J847" s="1095"/>
      <c r="K847" s="1095"/>
      <c r="L847" s="1095"/>
      <c r="M847" s="1095"/>
    </row>
    <row r="848" spans="1:13" x14ac:dyDescent="0.25">
      <c r="A848">
        <v>705241</v>
      </c>
      <c r="B848" t="s">
        <v>6289</v>
      </c>
      <c r="C848" t="s">
        <v>2640</v>
      </c>
      <c r="D848" s="254">
        <v>25035.14</v>
      </c>
      <c r="E848"/>
      <c r="F848"/>
      <c r="G848"/>
      <c r="H848"/>
      <c r="I848" s="489"/>
      <c r="J848" s="1095"/>
      <c r="K848" s="1095"/>
      <c r="L848" s="1095"/>
      <c r="M848" s="1095"/>
    </row>
    <row r="849" spans="1:13" x14ac:dyDescent="0.25">
      <c r="A849">
        <v>705240</v>
      </c>
      <c r="B849" t="s">
        <v>8197</v>
      </c>
      <c r="C849" t="s">
        <v>2640</v>
      </c>
      <c r="D849" s="254">
        <v>22590.17</v>
      </c>
      <c r="E849"/>
      <c r="F849"/>
      <c r="G849"/>
      <c r="H849"/>
      <c r="I849" s="489"/>
      <c r="J849" s="1095"/>
      <c r="K849" s="1095"/>
      <c r="L849" s="1095"/>
      <c r="M849" s="1095"/>
    </row>
    <row r="850" spans="1:13" x14ac:dyDescent="0.25">
      <c r="A850">
        <v>705243</v>
      </c>
      <c r="B850" t="s">
        <v>8198</v>
      </c>
      <c r="C850" t="s">
        <v>2640</v>
      </c>
      <c r="D850" s="254">
        <v>26671.24</v>
      </c>
      <c r="E850"/>
      <c r="F850"/>
      <c r="G850"/>
      <c r="H850"/>
      <c r="I850" s="489"/>
      <c r="J850" s="1095"/>
      <c r="K850" s="1095"/>
      <c r="L850" s="1095"/>
      <c r="M850" s="1095"/>
    </row>
    <row r="851" spans="1:13" x14ac:dyDescent="0.25">
      <c r="A851">
        <v>705242</v>
      </c>
      <c r="B851" t="s">
        <v>8199</v>
      </c>
      <c r="C851" t="s">
        <v>2640</v>
      </c>
      <c r="D851" s="254">
        <v>24221.66</v>
      </c>
      <c r="E851"/>
      <c r="F851"/>
      <c r="G851"/>
      <c r="H851"/>
      <c r="I851" s="489"/>
      <c r="J851" s="1095"/>
      <c r="K851" s="1095"/>
      <c r="L851" s="1095"/>
      <c r="M851" s="1095"/>
    </row>
    <row r="852" spans="1:13" x14ac:dyDescent="0.25">
      <c r="A852">
        <v>705245</v>
      </c>
      <c r="B852" t="s">
        <v>8200</v>
      </c>
      <c r="C852" t="s">
        <v>2640</v>
      </c>
      <c r="D852" s="254">
        <v>29623.4</v>
      </c>
      <c r="E852"/>
      <c r="F852"/>
      <c r="G852"/>
      <c r="H852"/>
      <c r="I852" s="489"/>
      <c r="J852" s="1095"/>
      <c r="K852" s="1095"/>
      <c r="L852" s="1095"/>
      <c r="M852" s="1095"/>
    </row>
    <row r="853" spans="1:13" x14ac:dyDescent="0.25">
      <c r="A853">
        <v>705244</v>
      </c>
      <c r="B853" t="s">
        <v>8201</v>
      </c>
      <c r="C853" t="s">
        <v>2640</v>
      </c>
      <c r="D853" s="254">
        <v>27009.33</v>
      </c>
      <c r="E853"/>
      <c r="F853"/>
      <c r="G853"/>
      <c r="H853"/>
      <c r="I853" s="489"/>
      <c r="J853" s="1095"/>
      <c r="K853" s="1095"/>
      <c r="L853" s="1095"/>
      <c r="M853" s="1095"/>
    </row>
    <row r="854" spans="1:13" x14ac:dyDescent="0.25">
      <c r="A854">
        <v>705247</v>
      </c>
      <c r="B854" t="s">
        <v>8202</v>
      </c>
      <c r="C854" t="s">
        <v>2640</v>
      </c>
      <c r="D854" s="254">
        <v>37713.410000000003</v>
      </c>
      <c r="E854"/>
      <c r="F854"/>
      <c r="G854"/>
      <c r="H854"/>
      <c r="I854" s="489"/>
      <c r="J854" s="1095"/>
      <c r="K854" s="1095"/>
      <c r="L854" s="1095"/>
      <c r="M854" s="1095"/>
    </row>
    <row r="855" spans="1:13" x14ac:dyDescent="0.25">
      <c r="A855">
        <v>705246</v>
      </c>
      <c r="B855" t="s">
        <v>8203</v>
      </c>
      <c r="C855" t="s">
        <v>2640</v>
      </c>
      <c r="D855" s="254">
        <v>34510.129999999997</v>
      </c>
      <c r="E855"/>
      <c r="F855"/>
      <c r="G855"/>
      <c r="H855"/>
      <c r="I855" s="489"/>
      <c r="J855" s="1095"/>
      <c r="K855" s="1095"/>
      <c r="L855" s="1095"/>
      <c r="M855" s="1095"/>
    </row>
    <row r="856" spans="1:13" x14ac:dyDescent="0.25">
      <c r="A856">
        <v>705249</v>
      </c>
      <c r="B856" t="s">
        <v>8204</v>
      </c>
      <c r="C856" t="s">
        <v>2640</v>
      </c>
      <c r="D856" s="254">
        <v>35763.43</v>
      </c>
      <c r="E856"/>
      <c r="F856"/>
      <c r="G856"/>
      <c r="H856"/>
      <c r="I856" s="489"/>
      <c r="J856" s="1095"/>
      <c r="K856" s="1095"/>
      <c r="L856" s="1095"/>
      <c r="M856" s="1095"/>
    </row>
    <row r="857" spans="1:13" x14ac:dyDescent="0.25">
      <c r="A857">
        <v>705248</v>
      </c>
      <c r="B857" t="s">
        <v>8205</v>
      </c>
      <c r="C857" t="s">
        <v>2640</v>
      </c>
      <c r="D857" s="254">
        <v>32219.49</v>
      </c>
      <c r="E857"/>
      <c r="F857"/>
      <c r="G857"/>
      <c r="H857"/>
      <c r="I857" s="489"/>
      <c r="J857" s="1095"/>
      <c r="K857" s="1095"/>
      <c r="L857" s="1095"/>
      <c r="M857" s="1095"/>
    </row>
    <row r="858" spans="1:13" x14ac:dyDescent="0.25">
      <c r="A858">
        <v>705251</v>
      </c>
      <c r="B858" t="s">
        <v>8206</v>
      </c>
      <c r="C858" t="s">
        <v>2640</v>
      </c>
      <c r="D858" s="254">
        <v>38038.58</v>
      </c>
      <c r="E858"/>
      <c r="F858"/>
      <c r="G858"/>
      <c r="H858"/>
      <c r="I858" s="489"/>
      <c r="J858" s="1095"/>
      <c r="K858" s="1095"/>
      <c r="L858" s="1095"/>
      <c r="M858" s="1095"/>
    </row>
    <row r="859" spans="1:13" x14ac:dyDescent="0.25">
      <c r="A859">
        <v>705250</v>
      </c>
      <c r="B859" t="s">
        <v>8207</v>
      </c>
      <c r="C859" t="s">
        <v>2640</v>
      </c>
      <c r="D859" s="254">
        <v>34486.07</v>
      </c>
      <c r="E859"/>
      <c r="F859"/>
      <c r="G859"/>
      <c r="H859"/>
      <c r="I859" s="489"/>
      <c r="J859" s="1095"/>
      <c r="K859" s="1095"/>
      <c r="L859" s="1095"/>
      <c r="M859" s="1095"/>
    </row>
    <row r="860" spans="1:13" x14ac:dyDescent="0.25">
      <c r="A860">
        <v>705253</v>
      </c>
      <c r="B860" t="s">
        <v>8208</v>
      </c>
      <c r="C860" t="s">
        <v>2640</v>
      </c>
      <c r="D860" s="254">
        <v>41599.19</v>
      </c>
      <c r="E860"/>
      <c r="F860"/>
      <c r="G860"/>
      <c r="H860"/>
      <c r="I860" s="489"/>
      <c r="J860" s="1095"/>
      <c r="K860" s="1095"/>
      <c r="L860" s="1095"/>
      <c r="M860" s="1095"/>
    </row>
    <row r="861" spans="1:13" x14ac:dyDescent="0.25">
      <c r="A861">
        <v>705252</v>
      </c>
      <c r="B861" t="s">
        <v>8209</v>
      </c>
      <c r="C861" t="s">
        <v>2640</v>
      </c>
      <c r="D861" s="254">
        <v>37734.959999999999</v>
      </c>
      <c r="E861"/>
      <c r="F861"/>
      <c r="G861"/>
      <c r="H861"/>
      <c r="I861" s="489"/>
      <c r="J861" s="1095"/>
      <c r="K861" s="1095"/>
      <c r="L861" s="1095"/>
      <c r="M861" s="1095"/>
    </row>
    <row r="862" spans="1:13" x14ac:dyDescent="0.25">
      <c r="A862">
        <v>705255</v>
      </c>
      <c r="B862" t="s">
        <v>8210</v>
      </c>
      <c r="C862" t="s">
        <v>2640</v>
      </c>
      <c r="D862" s="254">
        <v>52871.58</v>
      </c>
      <c r="E862"/>
      <c r="F862"/>
      <c r="G862"/>
      <c r="H862"/>
      <c r="I862" s="489"/>
      <c r="J862" s="1095"/>
      <c r="K862" s="1095"/>
      <c r="L862" s="1095"/>
      <c r="M862" s="1095"/>
    </row>
    <row r="863" spans="1:13" x14ac:dyDescent="0.25">
      <c r="A863">
        <v>705254</v>
      </c>
      <c r="B863" t="s">
        <v>8211</v>
      </c>
      <c r="C863" t="s">
        <v>2640</v>
      </c>
      <c r="D863" s="254">
        <v>48197.46</v>
      </c>
      <c r="E863"/>
      <c r="F863"/>
      <c r="G863"/>
      <c r="H863"/>
      <c r="I863" s="489"/>
      <c r="J863" s="1095"/>
      <c r="K863" s="1095"/>
      <c r="L863" s="1095"/>
      <c r="M863" s="1095"/>
    </row>
    <row r="864" spans="1:13" x14ac:dyDescent="0.25">
      <c r="A864">
        <v>705403</v>
      </c>
      <c r="B864" t="s">
        <v>6292</v>
      </c>
      <c r="C864" t="s">
        <v>2640</v>
      </c>
      <c r="D864" s="254">
        <v>17367.64</v>
      </c>
      <c r="E864"/>
      <c r="F864"/>
      <c r="G864"/>
      <c r="H864"/>
      <c r="I864" s="489"/>
      <c r="J864" s="1095"/>
      <c r="K864" s="1095"/>
      <c r="L864" s="1095"/>
      <c r="M864" s="1095"/>
    </row>
    <row r="865" spans="1:13" x14ac:dyDescent="0.25">
      <c r="A865">
        <v>705402</v>
      </c>
      <c r="B865" t="s">
        <v>8212</v>
      </c>
      <c r="C865" t="s">
        <v>2640</v>
      </c>
      <c r="D865" s="254">
        <v>15740.41</v>
      </c>
      <c r="E865"/>
      <c r="F865"/>
      <c r="G865"/>
      <c r="H865"/>
      <c r="I865" s="489"/>
      <c r="J865" s="1095"/>
      <c r="K865" s="1095"/>
      <c r="L865" s="1095"/>
      <c r="M865" s="1095"/>
    </row>
    <row r="866" spans="1:13" x14ac:dyDescent="0.25">
      <c r="A866">
        <v>705405</v>
      </c>
      <c r="B866" t="s">
        <v>8213</v>
      </c>
      <c r="C866" t="s">
        <v>2640</v>
      </c>
      <c r="D866" s="254">
        <v>18824.13</v>
      </c>
      <c r="E866"/>
      <c r="F866"/>
      <c r="G866"/>
      <c r="H866"/>
      <c r="I866" s="489"/>
      <c r="J866" s="1095"/>
      <c r="K866" s="1095"/>
      <c r="L866" s="1095"/>
      <c r="M866" s="1095"/>
    </row>
    <row r="867" spans="1:13" x14ac:dyDescent="0.25">
      <c r="A867">
        <v>705404</v>
      </c>
      <c r="B867" t="s">
        <v>8214</v>
      </c>
      <c r="C867" t="s">
        <v>2640</v>
      </c>
      <c r="D867" s="254">
        <v>17175.689999999999</v>
      </c>
      <c r="E867"/>
      <c r="F867"/>
      <c r="G867"/>
      <c r="H867"/>
      <c r="I867" s="489"/>
      <c r="J867" s="1095"/>
      <c r="K867" s="1095"/>
      <c r="L867" s="1095"/>
      <c r="M867" s="1095"/>
    </row>
    <row r="868" spans="1:13" x14ac:dyDescent="0.25">
      <c r="A868">
        <v>705407</v>
      </c>
      <c r="B868" t="s">
        <v>8215</v>
      </c>
      <c r="C868" t="s">
        <v>2640</v>
      </c>
      <c r="D868" s="254">
        <v>19598.16</v>
      </c>
      <c r="E868"/>
      <c r="F868"/>
      <c r="G868"/>
      <c r="H868"/>
      <c r="I868" s="489"/>
      <c r="J868" s="1095"/>
      <c r="K868" s="1095"/>
      <c r="L868" s="1095"/>
      <c r="M868" s="1095"/>
    </row>
    <row r="869" spans="1:13" x14ac:dyDescent="0.25">
      <c r="A869">
        <v>705406</v>
      </c>
      <c r="B869" t="s">
        <v>8216</v>
      </c>
      <c r="C869" t="s">
        <v>2640</v>
      </c>
      <c r="D869" s="254">
        <v>17762.150000000001</v>
      </c>
      <c r="E869"/>
      <c r="F869"/>
      <c r="G869"/>
      <c r="H869"/>
      <c r="I869" s="489"/>
      <c r="J869" s="1095"/>
      <c r="K869" s="1095"/>
      <c r="L869" s="1095"/>
      <c r="M869" s="1095"/>
    </row>
    <row r="870" spans="1:13" x14ac:dyDescent="0.25">
      <c r="A870">
        <v>705409</v>
      </c>
      <c r="B870" t="s">
        <v>8217</v>
      </c>
      <c r="C870" t="s">
        <v>2640</v>
      </c>
      <c r="D870" s="254">
        <v>24760.68</v>
      </c>
      <c r="E870"/>
      <c r="F870"/>
      <c r="G870"/>
      <c r="H870"/>
      <c r="I870" s="489"/>
      <c r="J870" s="1095"/>
      <c r="K870" s="1095"/>
      <c r="L870" s="1095"/>
      <c r="M870" s="1095"/>
    </row>
    <row r="871" spans="1:13" x14ac:dyDescent="0.25">
      <c r="A871">
        <v>705408</v>
      </c>
      <c r="B871" t="s">
        <v>8218</v>
      </c>
      <c r="C871" t="s">
        <v>2640</v>
      </c>
      <c r="D871" s="254">
        <v>22498.86</v>
      </c>
      <c r="E871"/>
      <c r="F871"/>
      <c r="G871"/>
      <c r="H871"/>
      <c r="I871" s="489"/>
      <c r="J871" s="1095"/>
      <c r="K871" s="1095"/>
      <c r="L871" s="1095"/>
      <c r="M871" s="1095"/>
    </row>
    <row r="872" spans="1:13" x14ac:dyDescent="0.25">
      <c r="A872">
        <v>705411</v>
      </c>
      <c r="B872" t="s">
        <v>8219</v>
      </c>
      <c r="C872" t="s">
        <v>2640</v>
      </c>
      <c r="D872" s="254">
        <v>26491.46</v>
      </c>
      <c r="E872"/>
      <c r="F872"/>
      <c r="G872"/>
      <c r="H872"/>
      <c r="I872" s="489"/>
      <c r="J872" s="1095"/>
      <c r="K872" s="1095"/>
      <c r="L872" s="1095"/>
      <c r="M872" s="1095"/>
    </row>
    <row r="873" spans="1:13" x14ac:dyDescent="0.25">
      <c r="A873">
        <v>705410</v>
      </c>
      <c r="B873" t="s">
        <v>8220</v>
      </c>
      <c r="C873" t="s">
        <v>2640</v>
      </c>
      <c r="D873" s="254">
        <v>23867.64</v>
      </c>
      <c r="E873"/>
      <c r="F873"/>
      <c r="G873"/>
      <c r="H873"/>
      <c r="I873" s="489"/>
      <c r="J873" s="1095"/>
      <c r="K873" s="1095"/>
      <c r="L873" s="1095"/>
      <c r="M873" s="1095"/>
    </row>
    <row r="874" spans="1:13" x14ac:dyDescent="0.25">
      <c r="A874">
        <v>705413</v>
      </c>
      <c r="B874" t="s">
        <v>8221</v>
      </c>
      <c r="C874" t="s">
        <v>2640</v>
      </c>
      <c r="D874" s="254">
        <v>28551.47</v>
      </c>
      <c r="E874"/>
      <c r="F874"/>
      <c r="G874"/>
      <c r="H874"/>
      <c r="I874" s="489"/>
      <c r="J874" s="1095"/>
      <c r="K874" s="1095"/>
      <c r="L874" s="1095"/>
      <c r="M874" s="1095"/>
    </row>
    <row r="875" spans="1:13" x14ac:dyDescent="0.25">
      <c r="A875">
        <v>705412</v>
      </c>
      <c r="B875" t="s">
        <v>8222</v>
      </c>
      <c r="C875" t="s">
        <v>2640</v>
      </c>
      <c r="D875" s="254">
        <v>25920.98</v>
      </c>
      <c r="E875"/>
      <c r="F875"/>
      <c r="G875"/>
      <c r="H875"/>
      <c r="I875" s="489"/>
      <c r="J875" s="1095"/>
      <c r="K875" s="1095"/>
      <c r="L875" s="1095"/>
      <c r="M875" s="1095"/>
    </row>
    <row r="876" spans="1:13" x14ac:dyDescent="0.25">
      <c r="A876">
        <v>705415</v>
      </c>
      <c r="B876" t="s">
        <v>8223</v>
      </c>
      <c r="C876" t="s">
        <v>2640</v>
      </c>
      <c r="D876" s="254">
        <v>31400.47</v>
      </c>
      <c r="E876"/>
      <c r="F876"/>
      <c r="G876"/>
      <c r="H876"/>
      <c r="I876" s="489"/>
      <c r="J876" s="1095"/>
      <c r="K876" s="1095"/>
      <c r="L876" s="1095"/>
      <c r="M876" s="1095"/>
    </row>
    <row r="877" spans="1:13" x14ac:dyDescent="0.25">
      <c r="A877">
        <v>705414</v>
      </c>
      <c r="B877" t="s">
        <v>8224</v>
      </c>
      <c r="C877" t="s">
        <v>2640</v>
      </c>
      <c r="D877" s="254">
        <v>28436.71</v>
      </c>
      <c r="E877"/>
      <c r="F877"/>
      <c r="G877"/>
      <c r="H877"/>
      <c r="I877" s="489"/>
      <c r="J877" s="1095"/>
      <c r="K877" s="1095"/>
      <c r="L877" s="1095"/>
      <c r="M877" s="1095"/>
    </row>
    <row r="878" spans="1:13" x14ac:dyDescent="0.25">
      <c r="A878">
        <v>705417</v>
      </c>
      <c r="B878" t="s">
        <v>8225</v>
      </c>
      <c r="C878" t="s">
        <v>2640</v>
      </c>
      <c r="D878" s="254">
        <v>39909.89</v>
      </c>
      <c r="E878"/>
      <c r="F878"/>
      <c r="G878"/>
      <c r="H878"/>
      <c r="I878" s="489"/>
      <c r="J878" s="1095"/>
      <c r="K878" s="1095"/>
      <c r="L878" s="1095"/>
      <c r="M878" s="1095"/>
    </row>
    <row r="879" spans="1:13" x14ac:dyDescent="0.25">
      <c r="A879">
        <v>705416</v>
      </c>
      <c r="B879" t="s">
        <v>8226</v>
      </c>
      <c r="C879" t="s">
        <v>2640</v>
      </c>
      <c r="D879" s="254">
        <v>36261.46</v>
      </c>
      <c r="E879"/>
      <c r="F879"/>
      <c r="G879"/>
      <c r="H879"/>
      <c r="I879" s="489"/>
      <c r="J879" s="1095"/>
      <c r="K879" s="1095"/>
      <c r="L879" s="1095"/>
      <c r="M879" s="1095"/>
    </row>
    <row r="880" spans="1:13" x14ac:dyDescent="0.25">
      <c r="A880">
        <v>705419</v>
      </c>
      <c r="B880" t="s">
        <v>6293</v>
      </c>
      <c r="C880" t="s">
        <v>2640</v>
      </c>
      <c r="D880" s="254">
        <v>37720.74</v>
      </c>
      <c r="E880"/>
      <c r="F880"/>
      <c r="G880"/>
      <c r="H880"/>
      <c r="I880" s="489"/>
      <c r="J880" s="1095"/>
      <c r="K880" s="1095"/>
      <c r="L880" s="1095"/>
      <c r="M880" s="1095"/>
    </row>
    <row r="881" spans="1:13" x14ac:dyDescent="0.25">
      <c r="A881">
        <v>705418</v>
      </c>
      <c r="B881" t="s">
        <v>8227</v>
      </c>
      <c r="C881" t="s">
        <v>2640</v>
      </c>
      <c r="D881" s="254">
        <v>34052.14</v>
      </c>
      <c r="E881"/>
      <c r="F881"/>
      <c r="G881"/>
      <c r="H881"/>
      <c r="I881" s="489"/>
      <c r="J881" s="1095"/>
      <c r="K881" s="1095"/>
      <c r="L881" s="1095"/>
      <c r="M881" s="1095"/>
    </row>
    <row r="882" spans="1:13" x14ac:dyDescent="0.25">
      <c r="A882">
        <v>705421</v>
      </c>
      <c r="B882" t="s">
        <v>8228</v>
      </c>
      <c r="C882" t="s">
        <v>2640</v>
      </c>
      <c r="D882" s="254">
        <v>40661.370000000003</v>
      </c>
      <c r="E882"/>
      <c r="F882"/>
      <c r="G882"/>
      <c r="H882"/>
      <c r="I882" s="489"/>
      <c r="J882" s="1095"/>
      <c r="K882" s="1095"/>
      <c r="L882" s="1095"/>
      <c r="M882" s="1095"/>
    </row>
    <row r="883" spans="1:13" x14ac:dyDescent="0.25">
      <c r="A883">
        <v>705420</v>
      </c>
      <c r="B883" t="s">
        <v>8229</v>
      </c>
      <c r="C883" t="s">
        <v>2640</v>
      </c>
      <c r="D883" s="254">
        <v>36970.28</v>
      </c>
      <c r="E883"/>
      <c r="F883"/>
      <c r="G883"/>
      <c r="H883"/>
      <c r="I883" s="489"/>
      <c r="J883" s="1095"/>
      <c r="K883" s="1095"/>
      <c r="L883" s="1095"/>
      <c r="M883" s="1095"/>
    </row>
    <row r="884" spans="1:13" x14ac:dyDescent="0.25">
      <c r="A884">
        <v>705423</v>
      </c>
      <c r="B884" t="s">
        <v>8230</v>
      </c>
      <c r="C884" t="s">
        <v>2640</v>
      </c>
      <c r="D884" s="254">
        <v>46370.42</v>
      </c>
      <c r="E884"/>
      <c r="F884"/>
      <c r="G884"/>
      <c r="H884"/>
      <c r="I884" s="489"/>
      <c r="J884" s="1095"/>
      <c r="K884" s="1095"/>
      <c r="L884" s="1095"/>
      <c r="M884" s="1095"/>
    </row>
    <row r="885" spans="1:13" x14ac:dyDescent="0.25">
      <c r="A885">
        <v>705422</v>
      </c>
      <c r="B885" t="s">
        <v>8231</v>
      </c>
      <c r="C885" t="s">
        <v>2640</v>
      </c>
      <c r="D885" s="254">
        <v>42240.61</v>
      </c>
      <c r="E885"/>
      <c r="F885"/>
      <c r="G885"/>
      <c r="H885"/>
      <c r="I885" s="489"/>
      <c r="J885" s="1095"/>
      <c r="K885" s="1095"/>
      <c r="L885" s="1095"/>
      <c r="M885" s="1095"/>
    </row>
    <row r="886" spans="1:13" x14ac:dyDescent="0.25">
      <c r="A886">
        <v>705425</v>
      </c>
      <c r="B886" t="s">
        <v>8232</v>
      </c>
      <c r="C886" t="s">
        <v>2640</v>
      </c>
      <c r="D886" s="254">
        <v>58886.09</v>
      </c>
      <c r="E886"/>
      <c r="F886"/>
      <c r="G886"/>
      <c r="H886"/>
      <c r="I886" s="489"/>
      <c r="J886" s="1095"/>
      <c r="K886" s="1095"/>
      <c r="L886" s="1095"/>
      <c r="M886" s="1095"/>
    </row>
    <row r="887" spans="1:13" x14ac:dyDescent="0.25">
      <c r="A887">
        <v>705424</v>
      </c>
      <c r="B887" t="s">
        <v>8233</v>
      </c>
      <c r="C887" t="s">
        <v>2640</v>
      </c>
      <c r="D887" s="254">
        <v>53818.12</v>
      </c>
      <c r="E887"/>
      <c r="F887"/>
      <c r="G887"/>
      <c r="H887"/>
      <c r="I887" s="489"/>
      <c r="J887" s="1095"/>
      <c r="K887" s="1095"/>
      <c r="L887" s="1095"/>
      <c r="M887" s="1095"/>
    </row>
    <row r="888" spans="1:13" x14ac:dyDescent="0.25">
      <c r="A888">
        <v>705427</v>
      </c>
      <c r="B888" t="s">
        <v>8234</v>
      </c>
      <c r="C888" t="s">
        <v>2640</v>
      </c>
      <c r="D888" s="254">
        <v>53538.080000000002</v>
      </c>
      <c r="E888"/>
      <c r="F888"/>
      <c r="G888"/>
      <c r="H888"/>
      <c r="I888" s="489"/>
      <c r="J888" s="1095"/>
      <c r="K888" s="1095"/>
      <c r="L888" s="1095"/>
      <c r="M888" s="1095"/>
    </row>
    <row r="889" spans="1:13" x14ac:dyDescent="0.25">
      <c r="A889">
        <v>705426</v>
      </c>
      <c r="B889" t="s">
        <v>7163</v>
      </c>
      <c r="C889" t="s">
        <v>2640</v>
      </c>
      <c r="D889" s="254">
        <v>48233.25</v>
      </c>
      <c r="E889"/>
      <c r="F889"/>
      <c r="G889"/>
      <c r="H889"/>
      <c r="I889" s="489"/>
      <c r="J889" s="1095"/>
      <c r="K889" s="1095"/>
      <c r="L889" s="1095"/>
      <c r="M889" s="1095"/>
    </row>
    <row r="890" spans="1:13" x14ac:dyDescent="0.25">
      <c r="A890">
        <v>705429</v>
      </c>
      <c r="B890" t="s">
        <v>8235</v>
      </c>
      <c r="C890" t="s">
        <v>2640</v>
      </c>
      <c r="D890" s="254">
        <v>55400.639999999999</v>
      </c>
      <c r="E890"/>
      <c r="F890"/>
      <c r="G890"/>
      <c r="H890"/>
      <c r="I890" s="489"/>
      <c r="J890" s="1095"/>
      <c r="K890" s="1095"/>
      <c r="L890" s="1095"/>
      <c r="M890" s="1095"/>
    </row>
    <row r="891" spans="1:13" x14ac:dyDescent="0.25">
      <c r="A891">
        <v>705428</v>
      </c>
      <c r="B891" t="s">
        <v>8236</v>
      </c>
      <c r="C891" t="s">
        <v>2640</v>
      </c>
      <c r="D891" s="254">
        <v>50174.33</v>
      </c>
      <c r="E891"/>
      <c r="F891"/>
      <c r="G891"/>
      <c r="H891"/>
      <c r="I891" s="489"/>
      <c r="J891" s="1095"/>
      <c r="K891" s="1095"/>
      <c r="L891" s="1095"/>
      <c r="M891" s="1095"/>
    </row>
    <row r="892" spans="1:13" x14ac:dyDescent="0.25">
      <c r="A892">
        <v>705431</v>
      </c>
      <c r="B892" t="s">
        <v>8237</v>
      </c>
      <c r="C892" t="s">
        <v>2640</v>
      </c>
      <c r="D892" s="254">
        <v>67143.990000000005</v>
      </c>
      <c r="E892"/>
      <c r="F892"/>
      <c r="G892"/>
      <c r="H892"/>
      <c r="I892" s="489"/>
      <c r="J892" s="1095"/>
      <c r="K892" s="1095"/>
      <c r="L892" s="1095"/>
      <c r="M892" s="1095"/>
    </row>
    <row r="893" spans="1:13" x14ac:dyDescent="0.25">
      <c r="A893">
        <v>705430</v>
      </c>
      <c r="B893" t="s">
        <v>8238</v>
      </c>
      <c r="C893" t="s">
        <v>2640</v>
      </c>
      <c r="D893" s="254">
        <v>61311.54</v>
      </c>
      <c r="E893"/>
      <c r="F893"/>
      <c r="G893"/>
      <c r="H893"/>
      <c r="I893" s="489"/>
      <c r="J893" s="1095"/>
      <c r="K893" s="1095"/>
      <c r="L893" s="1095"/>
      <c r="M893" s="1095"/>
    </row>
    <row r="894" spans="1:13" x14ac:dyDescent="0.25">
      <c r="A894">
        <v>705433</v>
      </c>
      <c r="B894" t="s">
        <v>8239</v>
      </c>
      <c r="C894" t="s">
        <v>2640</v>
      </c>
      <c r="D894" s="254">
        <v>85344.57</v>
      </c>
      <c r="E894"/>
      <c r="F894"/>
      <c r="G894"/>
      <c r="H894"/>
      <c r="I894" s="489"/>
      <c r="J894" s="1095"/>
      <c r="K894" s="1095"/>
      <c r="L894" s="1095"/>
      <c r="M894" s="1095"/>
    </row>
    <row r="895" spans="1:13" x14ac:dyDescent="0.25">
      <c r="A895">
        <v>705432</v>
      </c>
      <c r="B895" t="s">
        <v>8240</v>
      </c>
      <c r="C895" t="s">
        <v>2640</v>
      </c>
      <c r="D895" s="254">
        <v>78120.570000000007</v>
      </c>
      <c r="E895"/>
      <c r="F895"/>
      <c r="G895"/>
      <c r="H895"/>
      <c r="I895" s="489"/>
      <c r="J895" s="1095"/>
      <c r="K895" s="1095"/>
      <c r="L895" s="1095"/>
      <c r="M895" s="1095"/>
    </row>
    <row r="896" spans="1:13" x14ac:dyDescent="0.25">
      <c r="A896">
        <v>705257</v>
      </c>
      <c r="B896" t="s">
        <v>8241</v>
      </c>
      <c r="C896" t="s">
        <v>2598</v>
      </c>
      <c r="D896" s="254">
        <v>4104.5</v>
      </c>
      <c r="E896"/>
      <c r="F896"/>
      <c r="G896"/>
      <c r="H896"/>
      <c r="I896" s="489"/>
      <c r="J896" s="1095"/>
      <c r="K896" s="1095"/>
      <c r="L896" s="1095"/>
      <c r="M896" s="1095"/>
    </row>
    <row r="897" spans="1:13" x14ac:dyDescent="0.25">
      <c r="A897">
        <v>705256</v>
      </c>
      <c r="B897" t="s">
        <v>8242</v>
      </c>
      <c r="C897" t="s">
        <v>2598</v>
      </c>
      <c r="D897" s="254">
        <v>3773.08</v>
      </c>
      <c r="E897"/>
      <c r="F897"/>
      <c r="G897"/>
      <c r="H897"/>
      <c r="I897" s="489"/>
      <c r="J897" s="1095"/>
      <c r="K897" s="1095"/>
      <c r="L897" s="1095"/>
      <c r="M897" s="1095"/>
    </row>
    <row r="898" spans="1:13" x14ac:dyDescent="0.25">
      <c r="A898">
        <v>705259</v>
      </c>
      <c r="B898" t="s">
        <v>6272</v>
      </c>
      <c r="C898" t="s">
        <v>2598</v>
      </c>
      <c r="D898" s="254">
        <v>3521.59</v>
      </c>
      <c r="E898"/>
      <c r="F898"/>
      <c r="G898"/>
      <c r="H898"/>
      <c r="I898" s="489"/>
      <c r="J898" s="1095"/>
      <c r="K898" s="1095"/>
      <c r="L898" s="1095"/>
      <c r="M898" s="1095"/>
    </row>
    <row r="899" spans="1:13" x14ac:dyDescent="0.25">
      <c r="A899">
        <v>705258</v>
      </c>
      <c r="B899" t="s">
        <v>8243</v>
      </c>
      <c r="C899" t="s">
        <v>2598</v>
      </c>
      <c r="D899" s="254">
        <v>3190.17</v>
      </c>
      <c r="E899"/>
      <c r="F899"/>
      <c r="G899"/>
      <c r="H899"/>
      <c r="I899" s="489"/>
      <c r="J899" s="1095"/>
      <c r="K899" s="1095"/>
      <c r="L899" s="1095"/>
      <c r="M899" s="1095"/>
    </row>
    <row r="900" spans="1:13" x14ac:dyDescent="0.25">
      <c r="A900">
        <v>705267</v>
      </c>
      <c r="B900" t="s">
        <v>8244</v>
      </c>
      <c r="C900" t="s">
        <v>2598</v>
      </c>
      <c r="D900" s="254">
        <v>5213.9399999999996</v>
      </c>
      <c r="E900"/>
      <c r="F900"/>
      <c r="G900"/>
      <c r="H900"/>
      <c r="I900" s="489"/>
      <c r="J900" s="1095"/>
      <c r="K900" s="1095"/>
      <c r="L900" s="1095"/>
      <c r="M900" s="1095"/>
    </row>
    <row r="901" spans="1:13" x14ac:dyDescent="0.25">
      <c r="A901">
        <v>705266</v>
      </c>
      <c r="B901" t="s">
        <v>8245</v>
      </c>
      <c r="C901" t="s">
        <v>2598</v>
      </c>
      <c r="D901" s="254">
        <v>4776.5200000000004</v>
      </c>
      <c r="E901"/>
      <c r="F901"/>
      <c r="G901"/>
      <c r="H901"/>
      <c r="I901" s="489"/>
      <c r="J901" s="1095"/>
      <c r="K901" s="1095"/>
      <c r="L901" s="1095"/>
      <c r="M901" s="1095"/>
    </row>
    <row r="902" spans="1:13" x14ac:dyDescent="0.25">
      <c r="A902">
        <v>705269</v>
      </c>
      <c r="B902" t="s">
        <v>8246</v>
      </c>
      <c r="C902" t="s">
        <v>2598</v>
      </c>
      <c r="D902" s="254">
        <v>5498.84</v>
      </c>
      <c r="E902"/>
      <c r="F902"/>
      <c r="G902"/>
      <c r="H902"/>
      <c r="I902" s="489"/>
      <c r="J902" s="1095"/>
      <c r="K902" s="1095"/>
      <c r="L902" s="1095"/>
      <c r="M902" s="1095"/>
    </row>
    <row r="903" spans="1:13" x14ac:dyDescent="0.25">
      <c r="A903">
        <v>705268</v>
      </c>
      <c r="B903" t="s">
        <v>8247</v>
      </c>
      <c r="C903" t="s">
        <v>2598</v>
      </c>
      <c r="D903" s="254">
        <v>5061.42</v>
      </c>
      <c r="E903"/>
      <c r="F903"/>
      <c r="G903"/>
      <c r="H903"/>
      <c r="I903" s="489"/>
      <c r="J903" s="1095"/>
      <c r="K903" s="1095"/>
      <c r="L903" s="1095"/>
      <c r="M903" s="1095"/>
    </row>
    <row r="904" spans="1:13" x14ac:dyDescent="0.25">
      <c r="A904">
        <v>705261</v>
      </c>
      <c r="B904" t="s">
        <v>8248</v>
      </c>
      <c r="C904" t="s">
        <v>2598</v>
      </c>
      <c r="D904" s="254">
        <v>3792.67</v>
      </c>
      <c r="E904"/>
      <c r="F904"/>
      <c r="G904"/>
      <c r="H904"/>
      <c r="I904" s="489"/>
      <c r="J904" s="1095"/>
      <c r="K904" s="1095"/>
      <c r="L904" s="1095"/>
      <c r="M904" s="1095"/>
    </row>
    <row r="905" spans="1:13" x14ac:dyDescent="0.25">
      <c r="A905">
        <v>705260</v>
      </c>
      <c r="B905" t="s">
        <v>8249</v>
      </c>
      <c r="C905" t="s">
        <v>2598</v>
      </c>
      <c r="D905" s="254">
        <v>3461.25</v>
      </c>
      <c r="E905"/>
      <c r="F905"/>
      <c r="G905"/>
      <c r="H905"/>
      <c r="I905" s="489"/>
      <c r="J905" s="1095"/>
      <c r="K905" s="1095"/>
      <c r="L905" s="1095"/>
      <c r="M905" s="1095"/>
    </row>
    <row r="906" spans="1:13" x14ac:dyDescent="0.25">
      <c r="A906">
        <v>705263</v>
      </c>
      <c r="B906" t="s">
        <v>8250</v>
      </c>
      <c r="C906" t="s">
        <v>2598</v>
      </c>
      <c r="D906" s="254">
        <v>4328.46</v>
      </c>
      <c r="E906"/>
      <c r="F906"/>
      <c r="G906"/>
      <c r="H906"/>
      <c r="I906" s="489"/>
      <c r="J906" s="1095"/>
      <c r="K906" s="1095"/>
      <c r="L906" s="1095"/>
      <c r="M906" s="1095"/>
    </row>
    <row r="907" spans="1:13" x14ac:dyDescent="0.25">
      <c r="A907">
        <v>705262</v>
      </c>
      <c r="B907" t="s">
        <v>8251</v>
      </c>
      <c r="C907" t="s">
        <v>2598</v>
      </c>
      <c r="D907" s="254">
        <v>3997.04</v>
      </c>
      <c r="E907"/>
      <c r="F907"/>
      <c r="G907"/>
      <c r="H907"/>
      <c r="I907" s="489"/>
      <c r="J907" s="1095"/>
      <c r="K907" s="1095"/>
      <c r="L907" s="1095"/>
      <c r="M907" s="1095"/>
    </row>
    <row r="908" spans="1:13" x14ac:dyDescent="0.25">
      <c r="A908">
        <v>705265</v>
      </c>
      <c r="B908" t="s">
        <v>8252</v>
      </c>
      <c r="C908" t="s">
        <v>2598</v>
      </c>
      <c r="D908" s="254">
        <v>4788.97</v>
      </c>
      <c r="E908"/>
      <c r="F908"/>
      <c r="G908"/>
      <c r="H908"/>
      <c r="I908" s="489"/>
      <c r="J908" s="1095"/>
      <c r="K908" s="1095"/>
      <c r="L908" s="1095"/>
      <c r="M908" s="1095"/>
    </row>
    <row r="909" spans="1:13" x14ac:dyDescent="0.25">
      <c r="A909">
        <v>705264</v>
      </c>
      <c r="B909" t="s">
        <v>8253</v>
      </c>
      <c r="C909" t="s">
        <v>2598</v>
      </c>
      <c r="D909" s="254">
        <v>4457.55</v>
      </c>
      <c r="E909"/>
      <c r="F909"/>
      <c r="G909"/>
      <c r="H909"/>
      <c r="I909" s="489"/>
      <c r="J909" s="1095"/>
      <c r="K909" s="1095"/>
      <c r="L909" s="1095"/>
      <c r="M909" s="1095"/>
    </row>
    <row r="910" spans="1:13" x14ac:dyDescent="0.25">
      <c r="A910">
        <v>705271</v>
      </c>
      <c r="B910" t="s">
        <v>8254</v>
      </c>
      <c r="C910" t="s">
        <v>2598</v>
      </c>
      <c r="D910" s="254">
        <v>5910.33</v>
      </c>
      <c r="E910"/>
      <c r="F910"/>
      <c r="G910"/>
      <c r="H910"/>
      <c r="I910" s="489"/>
      <c r="J910" s="1095"/>
      <c r="K910" s="1095"/>
      <c r="L910" s="1095"/>
      <c r="M910" s="1095"/>
    </row>
    <row r="911" spans="1:13" x14ac:dyDescent="0.25">
      <c r="A911">
        <v>705270</v>
      </c>
      <c r="B911" t="s">
        <v>8255</v>
      </c>
      <c r="C911" t="s">
        <v>2598</v>
      </c>
      <c r="D911" s="254">
        <v>5481.65</v>
      </c>
      <c r="E911"/>
      <c r="F911"/>
      <c r="G911"/>
      <c r="H911"/>
      <c r="I911" s="489"/>
      <c r="J911" s="1095"/>
      <c r="K911" s="1095"/>
      <c r="L911" s="1095"/>
      <c r="M911" s="1095"/>
    </row>
    <row r="912" spans="1:13" x14ac:dyDescent="0.25">
      <c r="A912">
        <v>705273</v>
      </c>
      <c r="B912" t="s">
        <v>6273</v>
      </c>
      <c r="C912" t="s">
        <v>2598</v>
      </c>
      <c r="D912" s="254">
        <v>5196.7299999999996</v>
      </c>
      <c r="E912"/>
      <c r="F912"/>
      <c r="G912"/>
      <c r="H912"/>
      <c r="I912" s="489"/>
      <c r="J912" s="1095"/>
      <c r="K912" s="1095"/>
      <c r="L912" s="1095"/>
      <c r="M912" s="1095"/>
    </row>
    <row r="913" spans="1:13" x14ac:dyDescent="0.25">
      <c r="A913">
        <v>705272</v>
      </c>
      <c r="B913" t="s">
        <v>8256</v>
      </c>
      <c r="C913" t="s">
        <v>2598</v>
      </c>
      <c r="D913" s="254">
        <v>4768.05</v>
      </c>
      <c r="E913"/>
      <c r="F913"/>
      <c r="G913"/>
      <c r="H913"/>
      <c r="I913" s="489"/>
      <c r="J913" s="1095"/>
      <c r="K913" s="1095"/>
      <c r="L913" s="1095"/>
      <c r="M913" s="1095"/>
    </row>
    <row r="914" spans="1:13" x14ac:dyDescent="0.25">
      <c r="A914">
        <v>705281</v>
      </c>
      <c r="B914" t="s">
        <v>8257</v>
      </c>
      <c r="C914" t="s">
        <v>2598</v>
      </c>
      <c r="D914" s="254">
        <v>8210.89</v>
      </c>
      <c r="E914"/>
      <c r="F914"/>
      <c r="G914"/>
      <c r="H914"/>
      <c r="I914" s="489"/>
      <c r="J914" s="1095"/>
      <c r="K914" s="1095"/>
      <c r="L914" s="1095"/>
      <c r="M914" s="1095"/>
    </row>
    <row r="915" spans="1:13" x14ac:dyDescent="0.25">
      <c r="A915">
        <v>705280</v>
      </c>
      <c r="B915" t="s">
        <v>8258</v>
      </c>
      <c r="C915" t="s">
        <v>2598</v>
      </c>
      <c r="D915" s="254">
        <v>7522.99</v>
      </c>
      <c r="E915"/>
      <c r="F915"/>
      <c r="G915"/>
      <c r="H915"/>
      <c r="I915" s="489"/>
      <c r="J915" s="1095"/>
      <c r="K915" s="1095"/>
      <c r="L915" s="1095"/>
      <c r="M915" s="1095"/>
    </row>
    <row r="916" spans="1:13" x14ac:dyDescent="0.25">
      <c r="A916">
        <v>705283</v>
      </c>
      <c r="B916" t="s">
        <v>8259</v>
      </c>
      <c r="C916" t="s">
        <v>2598</v>
      </c>
      <c r="D916" s="254">
        <v>8434.18</v>
      </c>
      <c r="E916"/>
      <c r="F916"/>
      <c r="G916"/>
      <c r="H916"/>
      <c r="I916" s="489"/>
      <c r="J916" s="1095"/>
      <c r="K916" s="1095"/>
      <c r="L916" s="1095"/>
      <c r="M916" s="1095"/>
    </row>
    <row r="917" spans="1:13" x14ac:dyDescent="0.25">
      <c r="A917">
        <v>705282</v>
      </c>
      <c r="B917" t="s">
        <v>8260</v>
      </c>
      <c r="C917" t="s">
        <v>2598</v>
      </c>
      <c r="D917" s="254">
        <v>7746.27</v>
      </c>
      <c r="E917"/>
      <c r="F917"/>
      <c r="G917"/>
      <c r="H917"/>
      <c r="I917" s="489"/>
      <c r="J917" s="1095"/>
      <c r="K917" s="1095"/>
      <c r="L917" s="1095"/>
      <c r="M917" s="1095"/>
    </row>
    <row r="918" spans="1:13" x14ac:dyDescent="0.25">
      <c r="A918">
        <v>705275</v>
      </c>
      <c r="B918" t="s">
        <v>8261</v>
      </c>
      <c r="C918" t="s">
        <v>2598</v>
      </c>
      <c r="D918" s="254">
        <v>5898.37</v>
      </c>
      <c r="E918"/>
      <c r="F918"/>
      <c r="G918"/>
      <c r="H918"/>
      <c r="I918" s="489"/>
      <c r="J918" s="1095"/>
      <c r="K918" s="1095"/>
      <c r="L918" s="1095"/>
      <c r="M918" s="1095"/>
    </row>
    <row r="919" spans="1:13" x14ac:dyDescent="0.25">
      <c r="A919">
        <v>705274</v>
      </c>
      <c r="B919" t="s">
        <v>8262</v>
      </c>
      <c r="C919" t="s">
        <v>2598</v>
      </c>
      <c r="D919" s="254">
        <v>5469.7</v>
      </c>
      <c r="E919"/>
      <c r="F919"/>
      <c r="G919"/>
      <c r="H919"/>
      <c r="I919" s="489"/>
      <c r="J919" s="1095"/>
      <c r="K919" s="1095"/>
      <c r="L919" s="1095"/>
      <c r="M919" s="1095"/>
    </row>
    <row r="920" spans="1:13" x14ac:dyDescent="0.25">
      <c r="A920">
        <v>705277</v>
      </c>
      <c r="B920" t="s">
        <v>8263</v>
      </c>
      <c r="C920" t="s">
        <v>2598</v>
      </c>
      <c r="D920" s="254">
        <v>6649.66</v>
      </c>
      <c r="E920"/>
      <c r="F920"/>
      <c r="G920"/>
      <c r="H920"/>
      <c r="I920" s="489"/>
      <c r="J920" s="1095"/>
      <c r="K920" s="1095"/>
      <c r="L920" s="1095"/>
      <c r="M920" s="1095"/>
    </row>
    <row r="921" spans="1:13" x14ac:dyDescent="0.25">
      <c r="A921">
        <v>705276</v>
      </c>
      <c r="B921" t="s">
        <v>8264</v>
      </c>
      <c r="C921" t="s">
        <v>2598</v>
      </c>
      <c r="D921" s="254">
        <v>6090.62</v>
      </c>
      <c r="E921"/>
      <c r="F921"/>
      <c r="G921"/>
      <c r="H921"/>
      <c r="I921" s="489"/>
      <c r="J921" s="1095"/>
      <c r="K921" s="1095"/>
      <c r="L921" s="1095"/>
      <c r="M921" s="1095"/>
    </row>
    <row r="922" spans="1:13" x14ac:dyDescent="0.25">
      <c r="A922">
        <v>705279</v>
      </c>
      <c r="B922" t="s">
        <v>8265</v>
      </c>
      <c r="C922" t="s">
        <v>2598</v>
      </c>
      <c r="D922" s="254">
        <v>7631.89</v>
      </c>
      <c r="E922"/>
      <c r="F922"/>
      <c r="G922"/>
      <c r="H922"/>
      <c r="I922" s="489"/>
      <c r="J922" s="1095"/>
      <c r="K922" s="1095"/>
      <c r="L922" s="1095"/>
      <c r="M922" s="1095"/>
    </row>
    <row r="923" spans="1:13" x14ac:dyDescent="0.25">
      <c r="A923">
        <v>705278</v>
      </c>
      <c r="B923" t="s">
        <v>8266</v>
      </c>
      <c r="C923" t="s">
        <v>2598</v>
      </c>
      <c r="D923" s="254">
        <v>7072.86</v>
      </c>
      <c r="E923"/>
      <c r="F923"/>
      <c r="G923"/>
      <c r="H923"/>
      <c r="I923" s="489"/>
      <c r="J923" s="1095"/>
      <c r="K923" s="1095"/>
      <c r="L923" s="1095"/>
      <c r="M923" s="1095"/>
    </row>
    <row r="924" spans="1:13" x14ac:dyDescent="0.25">
      <c r="A924">
        <v>705285</v>
      </c>
      <c r="B924" t="s">
        <v>8267</v>
      </c>
      <c r="C924" t="s">
        <v>2598</v>
      </c>
      <c r="D924" s="254">
        <v>7598.32</v>
      </c>
      <c r="E924"/>
      <c r="F924"/>
      <c r="G924"/>
      <c r="H924"/>
      <c r="I924" s="489"/>
      <c r="J924" s="1095"/>
      <c r="K924" s="1095"/>
      <c r="L924" s="1095"/>
      <c r="M924" s="1095"/>
    </row>
    <row r="925" spans="1:13" x14ac:dyDescent="0.25">
      <c r="A925">
        <v>705284</v>
      </c>
      <c r="B925" t="s">
        <v>8268</v>
      </c>
      <c r="C925" t="s">
        <v>2598</v>
      </c>
      <c r="D925" s="254">
        <v>7059.5</v>
      </c>
      <c r="E925"/>
      <c r="F925"/>
      <c r="G925"/>
      <c r="H925"/>
      <c r="I925" s="489"/>
      <c r="J925" s="1095"/>
      <c r="K925" s="1095"/>
      <c r="L925" s="1095"/>
      <c r="M925" s="1095"/>
    </row>
    <row r="926" spans="1:13" x14ac:dyDescent="0.25">
      <c r="A926">
        <v>705287</v>
      </c>
      <c r="B926" t="s">
        <v>6274</v>
      </c>
      <c r="C926" t="s">
        <v>2598</v>
      </c>
      <c r="D926" s="254">
        <v>6892.86</v>
      </c>
      <c r="E926"/>
      <c r="F926"/>
      <c r="G926"/>
      <c r="H926"/>
      <c r="I926" s="489"/>
      <c r="J926" s="1095"/>
      <c r="K926" s="1095"/>
      <c r="L926" s="1095"/>
      <c r="M926" s="1095"/>
    </row>
    <row r="927" spans="1:13" x14ac:dyDescent="0.25">
      <c r="A927">
        <v>705286</v>
      </c>
      <c r="B927" t="s">
        <v>8269</v>
      </c>
      <c r="C927" t="s">
        <v>2598</v>
      </c>
      <c r="D927" s="254">
        <v>6354.03</v>
      </c>
      <c r="E927"/>
      <c r="F927"/>
      <c r="G927"/>
      <c r="H927"/>
      <c r="I927" s="489"/>
      <c r="J927" s="1095"/>
      <c r="K927" s="1095"/>
      <c r="L927" s="1095"/>
      <c r="M927" s="1095"/>
    </row>
    <row r="928" spans="1:13" x14ac:dyDescent="0.25">
      <c r="A928">
        <v>705295</v>
      </c>
      <c r="B928" t="s">
        <v>8270</v>
      </c>
      <c r="C928" t="s">
        <v>2598</v>
      </c>
      <c r="D928" s="254">
        <v>10779.5</v>
      </c>
      <c r="E928"/>
      <c r="F928"/>
      <c r="G928"/>
      <c r="H928"/>
      <c r="I928" s="489"/>
      <c r="J928" s="1095"/>
      <c r="K928" s="1095"/>
      <c r="L928" s="1095"/>
      <c r="M928" s="1095"/>
    </row>
    <row r="929" spans="1:13" x14ac:dyDescent="0.25">
      <c r="A929">
        <v>705294</v>
      </c>
      <c r="B929" t="s">
        <v>8271</v>
      </c>
      <c r="C929" t="s">
        <v>2598</v>
      </c>
      <c r="D929" s="254">
        <v>9951.34</v>
      </c>
      <c r="E929"/>
      <c r="F929"/>
      <c r="G929"/>
      <c r="H929"/>
      <c r="I929" s="489"/>
      <c r="J929" s="1095"/>
      <c r="K929" s="1095"/>
      <c r="L929" s="1095"/>
      <c r="M929" s="1095"/>
    </row>
    <row r="930" spans="1:13" x14ac:dyDescent="0.25">
      <c r="A930">
        <v>705297</v>
      </c>
      <c r="B930" t="s">
        <v>8272</v>
      </c>
      <c r="C930" t="s">
        <v>2598</v>
      </c>
      <c r="D930" s="254">
        <v>11703.46</v>
      </c>
      <c r="E930"/>
      <c r="F930"/>
      <c r="G930"/>
      <c r="H930"/>
      <c r="I930" s="489"/>
      <c r="J930" s="1095"/>
      <c r="K930" s="1095"/>
      <c r="L930" s="1095"/>
      <c r="M930" s="1095"/>
    </row>
    <row r="931" spans="1:13" x14ac:dyDescent="0.25">
      <c r="A931">
        <v>705296</v>
      </c>
      <c r="B931" t="s">
        <v>8273</v>
      </c>
      <c r="C931" t="s">
        <v>2598</v>
      </c>
      <c r="D931" s="254">
        <v>10875.31</v>
      </c>
      <c r="E931"/>
      <c r="F931"/>
      <c r="G931"/>
      <c r="H931"/>
      <c r="I931" s="489"/>
      <c r="J931" s="1095"/>
      <c r="K931" s="1095"/>
      <c r="L931" s="1095"/>
      <c r="M931" s="1095"/>
    </row>
    <row r="932" spans="1:13" x14ac:dyDescent="0.25">
      <c r="A932">
        <v>705289</v>
      </c>
      <c r="B932" t="s">
        <v>8274</v>
      </c>
      <c r="C932" t="s">
        <v>2598</v>
      </c>
      <c r="D932" s="254">
        <v>7808.56</v>
      </c>
      <c r="E932"/>
      <c r="F932"/>
      <c r="G932"/>
      <c r="H932"/>
      <c r="I932" s="489"/>
      <c r="J932" s="1095"/>
      <c r="K932" s="1095"/>
      <c r="L932" s="1095"/>
      <c r="M932" s="1095"/>
    </row>
    <row r="933" spans="1:13" x14ac:dyDescent="0.25">
      <c r="A933">
        <v>705288</v>
      </c>
      <c r="B933" t="s">
        <v>8275</v>
      </c>
      <c r="C933" t="s">
        <v>2598</v>
      </c>
      <c r="D933" s="254">
        <v>7127.91</v>
      </c>
      <c r="E933"/>
      <c r="F933"/>
      <c r="G933"/>
      <c r="H933"/>
      <c r="I933" s="489"/>
      <c r="J933" s="1095"/>
      <c r="K933" s="1095"/>
      <c r="L933" s="1095"/>
      <c r="M933" s="1095"/>
    </row>
    <row r="934" spans="1:13" x14ac:dyDescent="0.25">
      <c r="A934">
        <v>705291</v>
      </c>
      <c r="B934" t="s">
        <v>8276</v>
      </c>
      <c r="C934" t="s">
        <v>2598</v>
      </c>
      <c r="D934" s="254">
        <v>8990.89</v>
      </c>
      <c r="E934"/>
      <c r="F934"/>
      <c r="G934"/>
      <c r="H934"/>
      <c r="I934" s="489"/>
      <c r="J934" s="1095"/>
      <c r="K934" s="1095"/>
      <c r="L934" s="1095"/>
      <c r="M934" s="1095"/>
    </row>
    <row r="935" spans="1:13" x14ac:dyDescent="0.25">
      <c r="A935">
        <v>705290</v>
      </c>
      <c r="B935" t="s">
        <v>8277</v>
      </c>
      <c r="C935" t="s">
        <v>2598</v>
      </c>
      <c r="D935" s="254">
        <v>8310.24</v>
      </c>
      <c r="E935"/>
      <c r="F935"/>
      <c r="G935"/>
      <c r="H935"/>
      <c r="I935" s="489"/>
      <c r="J935" s="1095"/>
      <c r="K935" s="1095"/>
      <c r="L935" s="1095"/>
      <c r="M935" s="1095"/>
    </row>
    <row r="936" spans="1:13" x14ac:dyDescent="0.25">
      <c r="A936">
        <v>705293</v>
      </c>
      <c r="B936" t="s">
        <v>8278</v>
      </c>
      <c r="C936" t="s">
        <v>2598</v>
      </c>
      <c r="D936" s="254">
        <v>9692.89</v>
      </c>
      <c r="E936"/>
      <c r="F936"/>
      <c r="G936"/>
      <c r="H936"/>
      <c r="I936" s="489"/>
      <c r="J936" s="1095"/>
      <c r="K936" s="1095"/>
      <c r="L936" s="1095"/>
      <c r="M936" s="1095"/>
    </row>
    <row r="937" spans="1:13" x14ac:dyDescent="0.25">
      <c r="A937">
        <v>705292</v>
      </c>
      <c r="B937" t="s">
        <v>8279</v>
      </c>
      <c r="C937" t="s">
        <v>2598</v>
      </c>
      <c r="D937" s="254">
        <v>8864.74</v>
      </c>
      <c r="E937"/>
      <c r="F937"/>
      <c r="G937"/>
      <c r="H937"/>
      <c r="I937" s="489"/>
      <c r="J937" s="1095"/>
      <c r="K937" s="1095"/>
      <c r="L937" s="1095"/>
      <c r="M937" s="1095"/>
    </row>
    <row r="938" spans="1:13" x14ac:dyDescent="0.25">
      <c r="A938">
        <v>705299</v>
      </c>
      <c r="B938" t="s">
        <v>8280</v>
      </c>
      <c r="C938" t="s">
        <v>2598</v>
      </c>
      <c r="D938" s="254">
        <v>9718.92</v>
      </c>
      <c r="E938"/>
      <c r="F938"/>
      <c r="G938"/>
      <c r="H938"/>
      <c r="I938" s="489"/>
      <c r="J938" s="1095"/>
      <c r="K938" s="1095"/>
      <c r="L938" s="1095"/>
      <c r="M938" s="1095"/>
    </row>
    <row r="939" spans="1:13" x14ac:dyDescent="0.25">
      <c r="A939">
        <v>705298</v>
      </c>
      <c r="B939" t="s">
        <v>8281</v>
      </c>
      <c r="C939" t="s">
        <v>2598</v>
      </c>
      <c r="D939" s="254">
        <v>8916.65</v>
      </c>
      <c r="E939"/>
      <c r="F939"/>
      <c r="G939"/>
      <c r="H939"/>
      <c r="I939" s="489"/>
      <c r="J939" s="1095"/>
      <c r="K939" s="1095"/>
      <c r="L939" s="1095"/>
      <c r="M939" s="1095"/>
    </row>
    <row r="940" spans="1:13" x14ac:dyDescent="0.25">
      <c r="A940">
        <v>705301</v>
      </c>
      <c r="B940" t="s">
        <v>8282</v>
      </c>
      <c r="C940" t="s">
        <v>2598</v>
      </c>
      <c r="D940" s="254">
        <v>9046.8799999999992</v>
      </c>
      <c r="E940"/>
      <c r="F940"/>
      <c r="G940"/>
      <c r="H940"/>
      <c r="I940" s="489"/>
      <c r="J940" s="1095"/>
      <c r="K940" s="1095"/>
      <c r="L940" s="1095"/>
      <c r="M940" s="1095"/>
    </row>
    <row r="941" spans="1:13" x14ac:dyDescent="0.25">
      <c r="A941">
        <v>705300</v>
      </c>
      <c r="B941" t="s">
        <v>8283</v>
      </c>
      <c r="C941" t="s">
        <v>2598</v>
      </c>
      <c r="D941" s="254">
        <v>8244.61</v>
      </c>
      <c r="E941"/>
      <c r="F941"/>
      <c r="G941"/>
      <c r="H941"/>
      <c r="I941" s="489"/>
      <c r="J941" s="1095"/>
      <c r="K941" s="1095"/>
      <c r="L941" s="1095"/>
      <c r="M941" s="1095"/>
    </row>
    <row r="942" spans="1:13" x14ac:dyDescent="0.25">
      <c r="A942">
        <v>705309</v>
      </c>
      <c r="B942" t="s">
        <v>8284</v>
      </c>
      <c r="C942" t="s">
        <v>2598</v>
      </c>
      <c r="D942" s="254">
        <v>14991.23</v>
      </c>
      <c r="E942"/>
      <c r="F942"/>
      <c r="G942"/>
      <c r="H942"/>
      <c r="I942" s="489"/>
      <c r="J942" s="1095"/>
      <c r="K942" s="1095"/>
      <c r="L942" s="1095"/>
      <c r="M942" s="1095"/>
    </row>
    <row r="943" spans="1:13" x14ac:dyDescent="0.25">
      <c r="A943">
        <v>705308</v>
      </c>
      <c r="B943" t="s">
        <v>8285</v>
      </c>
      <c r="C943" t="s">
        <v>2598</v>
      </c>
      <c r="D943" s="254">
        <v>13795</v>
      </c>
      <c r="E943"/>
      <c r="F943"/>
      <c r="G943"/>
      <c r="H943"/>
      <c r="I943" s="489"/>
      <c r="J943" s="1095"/>
      <c r="K943" s="1095"/>
      <c r="L943" s="1095"/>
      <c r="M943" s="1095"/>
    </row>
    <row r="944" spans="1:13" x14ac:dyDescent="0.25">
      <c r="A944">
        <v>705311</v>
      </c>
      <c r="B944" t="s">
        <v>8286</v>
      </c>
      <c r="C944" t="s">
        <v>2598</v>
      </c>
      <c r="D944" s="254">
        <v>14885.64</v>
      </c>
      <c r="E944"/>
      <c r="F944"/>
      <c r="G944"/>
      <c r="H944"/>
      <c r="I944" s="489"/>
      <c r="J944" s="1095"/>
      <c r="K944" s="1095"/>
      <c r="L944" s="1095"/>
      <c r="M944" s="1095"/>
    </row>
    <row r="945" spans="1:13" x14ac:dyDescent="0.25">
      <c r="A945">
        <v>705310</v>
      </c>
      <c r="B945" t="s">
        <v>8287</v>
      </c>
      <c r="C945" t="s">
        <v>2598</v>
      </c>
      <c r="D945" s="254">
        <v>13689.42</v>
      </c>
      <c r="E945"/>
      <c r="F945"/>
      <c r="G945"/>
      <c r="H945"/>
      <c r="I945" s="489"/>
      <c r="J945" s="1095"/>
      <c r="K945" s="1095"/>
      <c r="L945" s="1095"/>
      <c r="M945" s="1095"/>
    </row>
    <row r="946" spans="1:13" x14ac:dyDescent="0.25">
      <c r="A946">
        <v>705303</v>
      </c>
      <c r="B946" t="s">
        <v>8288</v>
      </c>
      <c r="C946" t="s">
        <v>2598</v>
      </c>
      <c r="D946" s="254">
        <v>9726.15</v>
      </c>
      <c r="E946"/>
      <c r="F946"/>
      <c r="G946"/>
      <c r="H946"/>
      <c r="I946" s="489"/>
      <c r="J946" s="1095"/>
      <c r="K946" s="1095"/>
      <c r="L946" s="1095"/>
      <c r="M946" s="1095"/>
    </row>
    <row r="947" spans="1:13" x14ac:dyDescent="0.25">
      <c r="A947">
        <v>705302</v>
      </c>
      <c r="B947" t="s">
        <v>8289</v>
      </c>
      <c r="C947" t="s">
        <v>2598</v>
      </c>
      <c r="D947" s="254">
        <v>8750.58</v>
      </c>
      <c r="E947"/>
      <c r="F947"/>
      <c r="G947"/>
      <c r="H947"/>
      <c r="I947" s="489"/>
      <c r="J947" s="1095"/>
      <c r="K947" s="1095"/>
      <c r="L947" s="1095"/>
      <c r="M947" s="1095"/>
    </row>
    <row r="948" spans="1:13" x14ac:dyDescent="0.25">
      <c r="A948">
        <v>705305</v>
      </c>
      <c r="B948" t="s">
        <v>8290</v>
      </c>
      <c r="C948" t="s">
        <v>2598</v>
      </c>
      <c r="D948" s="254">
        <v>12056.61</v>
      </c>
      <c r="E948"/>
      <c r="F948"/>
      <c r="G948"/>
      <c r="H948"/>
      <c r="I948" s="489"/>
      <c r="J948" s="1095"/>
      <c r="K948" s="1095"/>
      <c r="L948" s="1095"/>
      <c r="M948" s="1095"/>
    </row>
    <row r="949" spans="1:13" x14ac:dyDescent="0.25">
      <c r="A949">
        <v>705304</v>
      </c>
      <c r="B949" t="s">
        <v>8291</v>
      </c>
      <c r="C949" t="s">
        <v>2598</v>
      </c>
      <c r="D949" s="254">
        <v>11081.05</v>
      </c>
      <c r="E949"/>
      <c r="F949"/>
      <c r="G949"/>
      <c r="H949"/>
      <c r="I949" s="489"/>
      <c r="J949" s="1095"/>
      <c r="K949" s="1095"/>
      <c r="L949" s="1095"/>
      <c r="M949" s="1095"/>
    </row>
    <row r="950" spans="1:13" x14ac:dyDescent="0.25">
      <c r="A950">
        <v>705307</v>
      </c>
      <c r="B950" t="s">
        <v>8292</v>
      </c>
      <c r="C950" t="s">
        <v>2598</v>
      </c>
      <c r="D950" s="254">
        <v>13312.55</v>
      </c>
      <c r="E950"/>
      <c r="F950"/>
      <c r="G950"/>
      <c r="H950"/>
      <c r="I950" s="489"/>
      <c r="J950" s="1095"/>
      <c r="K950" s="1095"/>
      <c r="L950" s="1095"/>
      <c r="M950" s="1095"/>
    </row>
    <row r="951" spans="1:13" x14ac:dyDescent="0.25">
      <c r="A951">
        <v>705306</v>
      </c>
      <c r="B951" t="s">
        <v>8293</v>
      </c>
      <c r="C951" t="s">
        <v>2598</v>
      </c>
      <c r="D951" s="254">
        <v>12116.33</v>
      </c>
      <c r="E951"/>
      <c r="F951"/>
      <c r="G951"/>
      <c r="H951"/>
      <c r="I951" s="489"/>
      <c r="J951" s="1095"/>
      <c r="K951" s="1095"/>
      <c r="L951" s="1095"/>
      <c r="M951" s="1095"/>
    </row>
    <row r="952" spans="1:13" x14ac:dyDescent="0.25">
      <c r="A952">
        <v>705169</v>
      </c>
      <c r="B952" t="s">
        <v>8294</v>
      </c>
      <c r="C952" t="s">
        <v>2598</v>
      </c>
      <c r="D952" s="254">
        <v>2460.23</v>
      </c>
      <c r="E952"/>
      <c r="F952"/>
      <c r="G952"/>
      <c r="H952"/>
      <c r="I952" s="489"/>
      <c r="J952" s="1095"/>
      <c r="K952" s="1095"/>
      <c r="L952" s="1095"/>
      <c r="M952" s="1095"/>
    </row>
    <row r="953" spans="1:13" x14ac:dyDescent="0.25">
      <c r="A953">
        <v>705168</v>
      </c>
      <c r="B953" t="s">
        <v>8295</v>
      </c>
      <c r="C953" t="s">
        <v>2598</v>
      </c>
      <c r="D953" s="254">
        <v>2274.5300000000002</v>
      </c>
      <c r="E953"/>
      <c r="F953"/>
      <c r="G953"/>
      <c r="H953"/>
      <c r="I953" s="489"/>
      <c r="J953" s="1095"/>
      <c r="K953" s="1095"/>
      <c r="L953" s="1095"/>
      <c r="M953" s="1095"/>
    </row>
    <row r="954" spans="1:13" x14ac:dyDescent="0.25">
      <c r="A954">
        <v>705171</v>
      </c>
      <c r="B954" t="s">
        <v>8296</v>
      </c>
      <c r="C954" t="s">
        <v>2598</v>
      </c>
      <c r="D954" s="254">
        <v>2150.5</v>
      </c>
      <c r="E954"/>
      <c r="F954"/>
      <c r="G954"/>
      <c r="H954"/>
      <c r="I954" s="489"/>
      <c r="J954" s="1095"/>
      <c r="K954" s="1095"/>
      <c r="L954" s="1095"/>
      <c r="M954" s="1095"/>
    </row>
    <row r="955" spans="1:13" x14ac:dyDescent="0.25">
      <c r="A955">
        <v>705170</v>
      </c>
      <c r="B955" t="s">
        <v>8297</v>
      </c>
      <c r="C955" t="s">
        <v>2598</v>
      </c>
      <c r="D955" s="254">
        <v>1964.8</v>
      </c>
      <c r="E955"/>
      <c r="F955"/>
      <c r="G955"/>
      <c r="H955"/>
      <c r="I955" s="489"/>
      <c r="J955" s="1095"/>
      <c r="K955" s="1095"/>
      <c r="L955" s="1095"/>
      <c r="M955" s="1095"/>
    </row>
    <row r="956" spans="1:13" x14ac:dyDescent="0.25">
      <c r="A956">
        <v>705179</v>
      </c>
      <c r="B956" t="s">
        <v>8298</v>
      </c>
      <c r="C956" t="s">
        <v>2598</v>
      </c>
      <c r="D956" s="254">
        <v>3125.53</v>
      </c>
      <c r="E956"/>
      <c r="F956"/>
      <c r="G956"/>
      <c r="H956"/>
      <c r="I956" s="489"/>
      <c r="J956" s="1095"/>
      <c r="K956" s="1095"/>
      <c r="L956" s="1095"/>
      <c r="M956" s="1095"/>
    </row>
    <row r="957" spans="1:13" x14ac:dyDescent="0.25">
      <c r="A957">
        <v>705178</v>
      </c>
      <c r="B957" t="s">
        <v>8299</v>
      </c>
      <c r="C957" t="s">
        <v>2598</v>
      </c>
      <c r="D957" s="254">
        <v>2881.13</v>
      </c>
      <c r="E957"/>
      <c r="F957"/>
      <c r="G957"/>
      <c r="H957"/>
      <c r="I957" s="489"/>
      <c r="J957" s="1095"/>
      <c r="K957" s="1095"/>
      <c r="L957" s="1095"/>
      <c r="M957" s="1095"/>
    </row>
    <row r="958" spans="1:13" x14ac:dyDescent="0.25">
      <c r="A958">
        <v>705181</v>
      </c>
      <c r="B958" t="s">
        <v>8300</v>
      </c>
      <c r="C958" t="s">
        <v>2598</v>
      </c>
      <c r="D958" s="254">
        <v>3277.56</v>
      </c>
      <c r="E958"/>
      <c r="F958"/>
      <c r="G958"/>
      <c r="H958"/>
      <c r="I958" s="489"/>
      <c r="J958" s="1095"/>
      <c r="K958" s="1095"/>
      <c r="L958" s="1095"/>
      <c r="M958" s="1095"/>
    </row>
    <row r="959" spans="1:13" x14ac:dyDescent="0.25">
      <c r="A959">
        <v>705180</v>
      </c>
      <c r="B959" t="s">
        <v>8301</v>
      </c>
      <c r="C959" t="s">
        <v>2598</v>
      </c>
      <c r="D959" s="254">
        <v>3033.16</v>
      </c>
      <c r="E959"/>
      <c r="F959"/>
      <c r="G959"/>
      <c r="H959"/>
      <c r="I959" s="489"/>
      <c r="J959" s="1095"/>
      <c r="K959" s="1095"/>
      <c r="L959" s="1095"/>
      <c r="M959" s="1095"/>
    </row>
    <row r="960" spans="1:13" x14ac:dyDescent="0.25">
      <c r="A960">
        <v>705173</v>
      </c>
      <c r="B960" t="s">
        <v>8302</v>
      </c>
      <c r="C960" t="s">
        <v>2598</v>
      </c>
      <c r="D960" s="254">
        <v>2366.5100000000002</v>
      </c>
      <c r="E960"/>
      <c r="F960"/>
      <c r="G960"/>
      <c r="H960"/>
      <c r="I960" s="489"/>
      <c r="J960" s="1095"/>
      <c r="K960" s="1095"/>
      <c r="L960" s="1095"/>
      <c r="M960" s="1095"/>
    </row>
    <row r="961" spans="1:13" x14ac:dyDescent="0.25">
      <c r="A961">
        <v>705172</v>
      </c>
      <c r="B961" t="s">
        <v>8303</v>
      </c>
      <c r="C961" t="s">
        <v>2598</v>
      </c>
      <c r="D961" s="254">
        <v>2180.8200000000002</v>
      </c>
      <c r="E961"/>
      <c r="F961"/>
      <c r="G961"/>
      <c r="H961"/>
      <c r="I961" s="489"/>
      <c r="J961" s="1095"/>
      <c r="K961" s="1095"/>
      <c r="L961" s="1095"/>
      <c r="M961" s="1095"/>
    </row>
    <row r="962" spans="1:13" x14ac:dyDescent="0.25">
      <c r="A962">
        <v>705175</v>
      </c>
      <c r="B962" t="s">
        <v>8304</v>
      </c>
      <c r="C962" t="s">
        <v>2598</v>
      </c>
      <c r="D962" s="254">
        <v>2664.07</v>
      </c>
      <c r="E962"/>
      <c r="F962"/>
      <c r="G962"/>
      <c r="H962"/>
      <c r="I962" s="489"/>
      <c r="J962" s="1095"/>
      <c r="K962" s="1095"/>
      <c r="L962" s="1095"/>
      <c r="M962" s="1095"/>
    </row>
    <row r="963" spans="1:13" x14ac:dyDescent="0.25">
      <c r="A963">
        <v>705174</v>
      </c>
      <c r="B963" t="s">
        <v>8305</v>
      </c>
      <c r="C963" t="s">
        <v>2598</v>
      </c>
      <c r="D963" s="254">
        <v>2478.38</v>
      </c>
      <c r="E963"/>
      <c r="F963"/>
      <c r="G963"/>
      <c r="H963"/>
      <c r="I963" s="489"/>
      <c r="J963" s="1095"/>
      <c r="K963" s="1095"/>
      <c r="L963" s="1095"/>
      <c r="M963" s="1095"/>
    </row>
    <row r="964" spans="1:13" x14ac:dyDescent="0.25">
      <c r="A964">
        <v>705177</v>
      </c>
      <c r="B964" t="s">
        <v>8306</v>
      </c>
      <c r="C964" t="s">
        <v>2598</v>
      </c>
      <c r="D964" s="254">
        <v>2999.48</v>
      </c>
      <c r="E964"/>
      <c r="F964"/>
      <c r="G964"/>
      <c r="H964"/>
      <c r="I964" s="489"/>
      <c r="J964" s="1095"/>
      <c r="K964" s="1095"/>
      <c r="L964" s="1095"/>
      <c r="M964" s="1095"/>
    </row>
    <row r="965" spans="1:13" x14ac:dyDescent="0.25">
      <c r="A965">
        <v>705176</v>
      </c>
      <c r="B965" t="s">
        <v>8307</v>
      </c>
      <c r="C965" t="s">
        <v>2598</v>
      </c>
      <c r="D965" s="254">
        <v>2755.08</v>
      </c>
      <c r="E965"/>
      <c r="F965"/>
      <c r="G965"/>
      <c r="H965"/>
      <c r="I965" s="489"/>
      <c r="J965" s="1095"/>
      <c r="K965" s="1095"/>
      <c r="L965" s="1095"/>
      <c r="M965" s="1095"/>
    </row>
    <row r="966" spans="1:13" x14ac:dyDescent="0.25">
      <c r="A966">
        <v>705183</v>
      </c>
      <c r="B966" t="s">
        <v>8308</v>
      </c>
      <c r="C966" t="s">
        <v>2598</v>
      </c>
      <c r="D966" s="254">
        <v>3444.3</v>
      </c>
      <c r="E966"/>
      <c r="F966"/>
      <c r="G966"/>
      <c r="H966"/>
      <c r="I966" s="489"/>
      <c r="J966" s="1095"/>
      <c r="K966" s="1095"/>
      <c r="L966" s="1095"/>
      <c r="M966" s="1095"/>
    </row>
    <row r="967" spans="1:13" x14ac:dyDescent="0.25">
      <c r="A967">
        <v>705182</v>
      </c>
      <c r="B967" t="s">
        <v>8309</v>
      </c>
      <c r="C967" t="s">
        <v>2598</v>
      </c>
      <c r="D967" s="254">
        <v>3205.71</v>
      </c>
      <c r="E967"/>
      <c r="F967"/>
      <c r="G967"/>
      <c r="H967"/>
      <c r="I967" s="489"/>
      <c r="J967" s="1095"/>
      <c r="K967" s="1095"/>
      <c r="L967" s="1095"/>
      <c r="M967" s="1095"/>
    </row>
    <row r="968" spans="1:13" x14ac:dyDescent="0.25">
      <c r="A968">
        <v>705185</v>
      </c>
      <c r="B968" t="s">
        <v>8310</v>
      </c>
      <c r="C968" t="s">
        <v>2598</v>
      </c>
      <c r="D968" s="254">
        <v>3085.3</v>
      </c>
      <c r="E968"/>
      <c r="F968"/>
      <c r="G968"/>
      <c r="H968"/>
      <c r="I968" s="489"/>
      <c r="J968" s="1095"/>
      <c r="K968" s="1095"/>
      <c r="L968" s="1095"/>
      <c r="M968" s="1095"/>
    </row>
    <row r="969" spans="1:13" x14ac:dyDescent="0.25">
      <c r="A969">
        <v>705184</v>
      </c>
      <c r="B969" t="s">
        <v>8311</v>
      </c>
      <c r="C969" t="s">
        <v>2598</v>
      </c>
      <c r="D969" s="254">
        <v>2846.71</v>
      </c>
      <c r="E969"/>
      <c r="F969"/>
      <c r="G969"/>
      <c r="H969"/>
      <c r="I969" s="489"/>
      <c r="J969" s="1095"/>
      <c r="K969" s="1095"/>
      <c r="L969" s="1095"/>
      <c r="M969" s="1095"/>
    </row>
    <row r="970" spans="1:13" x14ac:dyDescent="0.25">
      <c r="A970">
        <v>705193</v>
      </c>
      <c r="B970" t="s">
        <v>8312</v>
      </c>
      <c r="C970" t="s">
        <v>2598</v>
      </c>
      <c r="D970" s="254">
        <v>4775.97</v>
      </c>
      <c r="E970"/>
      <c r="F970"/>
      <c r="G970"/>
      <c r="H970"/>
      <c r="I970" s="489"/>
      <c r="J970" s="1095"/>
      <c r="K970" s="1095"/>
      <c r="L970" s="1095"/>
      <c r="M970" s="1095"/>
    </row>
    <row r="971" spans="1:13" x14ac:dyDescent="0.25">
      <c r="A971">
        <v>705192</v>
      </c>
      <c r="B971" t="s">
        <v>8313</v>
      </c>
      <c r="C971" t="s">
        <v>2598</v>
      </c>
      <c r="D971" s="254">
        <v>4392.74</v>
      </c>
      <c r="E971"/>
      <c r="F971"/>
      <c r="G971"/>
      <c r="H971"/>
      <c r="I971" s="489"/>
      <c r="J971" s="1095"/>
      <c r="K971" s="1095"/>
      <c r="L971" s="1095"/>
      <c r="M971" s="1095"/>
    </row>
    <row r="972" spans="1:13" x14ac:dyDescent="0.25">
      <c r="A972">
        <v>705195</v>
      </c>
      <c r="B972" t="s">
        <v>8314</v>
      </c>
      <c r="C972" t="s">
        <v>2598</v>
      </c>
      <c r="D972" s="254">
        <v>5140.3900000000003</v>
      </c>
      <c r="E972"/>
      <c r="F972"/>
      <c r="G972"/>
      <c r="H972"/>
      <c r="I972" s="489"/>
      <c r="J972" s="1095"/>
      <c r="K972" s="1095"/>
      <c r="L972" s="1095"/>
      <c r="M972" s="1095"/>
    </row>
    <row r="973" spans="1:13" x14ac:dyDescent="0.25">
      <c r="A973">
        <v>705194</v>
      </c>
      <c r="B973" t="s">
        <v>8315</v>
      </c>
      <c r="C973" t="s">
        <v>2598</v>
      </c>
      <c r="D973" s="254">
        <v>4757.16</v>
      </c>
      <c r="E973"/>
      <c r="F973"/>
      <c r="G973"/>
      <c r="H973"/>
      <c r="I973" s="489"/>
      <c r="J973" s="1095"/>
      <c r="K973" s="1095"/>
      <c r="L973" s="1095"/>
      <c r="M973" s="1095"/>
    </row>
    <row r="974" spans="1:13" x14ac:dyDescent="0.25">
      <c r="A974">
        <v>705187</v>
      </c>
      <c r="B974" t="s">
        <v>8316</v>
      </c>
      <c r="C974" t="s">
        <v>2598</v>
      </c>
      <c r="D974" s="254">
        <v>3508.49</v>
      </c>
      <c r="E974"/>
      <c r="F974"/>
      <c r="G974"/>
      <c r="H974"/>
      <c r="I974" s="489"/>
      <c r="J974" s="1095"/>
      <c r="K974" s="1095"/>
      <c r="L974" s="1095"/>
      <c r="M974" s="1095"/>
    </row>
    <row r="975" spans="1:13" x14ac:dyDescent="0.25">
      <c r="A975">
        <v>705186</v>
      </c>
      <c r="B975" t="s">
        <v>8317</v>
      </c>
      <c r="C975" t="s">
        <v>2598</v>
      </c>
      <c r="D975" s="254">
        <v>3196.87</v>
      </c>
      <c r="E975"/>
      <c r="F975"/>
      <c r="G975"/>
      <c r="H975"/>
      <c r="I975" s="489"/>
      <c r="J975" s="1095"/>
      <c r="K975" s="1095"/>
      <c r="L975" s="1095"/>
      <c r="M975" s="1095"/>
    </row>
    <row r="976" spans="1:13" x14ac:dyDescent="0.25">
      <c r="A976">
        <v>705189</v>
      </c>
      <c r="B976" t="s">
        <v>8318</v>
      </c>
      <c r="C976" t="s">
        <v>2598</v>
      </c>
      <c r="D976" s="254">
        <v>3981.97</v>
      </c>
      <c r="E976"/>
      <c r="F976"/>
      <c r="G976"/>
      <c r="H976"/>
      <c r="I976" s="489"/>
      <c r="J976" s="1095"/>
      <c r="K976" s="1095"/>
      <c r="L976" s="1095"/>
      <c r="M976" s="1095"/>
    </row>
    <row r="977" spans="1:13" x14ac:dyDescent="0.25">
      <c r="A977">
        <v>705188</v>
      </c>
      <c r="B977" t="s">
        <v>8319</v>
      </c>
      <c r="C977" t="s">
        <v>2598</v>
      </c>
      <c r="D977" s="254">
        <v>3670.35</v>
      </c>
      <c r="E977"/>
      <c r="F977"/>
      <c r="G977"/>
      <c r="H977"/>
      <c r="I977" s="489"/>
      <c r="J977" s="1095"/>
      <c r="K977" s="1095"/>
      <c r="L977" s="1095"/>
      <c r="M977" s="1095"/>
    </row>
    <row r="978" spans="1:13" x14ac:dyDescent="0.25">
      <c r="A978">
        <v>705191</v>
      </c>
      <c r="B978" t="s">
        <v>8320</v>
      </c>
      <c r="C978" t="s">
        <v>2598</v>
      </c>
      <c r="D978" s="254">
        <v>4362.8100000000004</v>
      </c>
      <c r="E978"/>
      <c r="F978"/>
      <c r="G978"/>
      <c r="H978"/>
      <c r="I978" s="489"/>
      <c r="J978" s="1095"/>
      <c r="K978" s="1095"/>
      <c r="L978" s="1095"/>
      <c r="M978" s="1095"/>
    </row>
    <row r="979" spans="1:13" x14ac:dyDescent="0.25">
      <c r="A979">
        <v>705190</v>
      </c>
      <c r="B979" t="s">
        <v>8321</v>
      </c>
      <c r="C979" t="s">
        <v>2598</v>
      </c>
      <c r="D979" s="254">
        <v>3979.59</v>
      </c>
      <c r="E979"/>
      <c r="F979"/>
      <c r="G979"/>
      <c r="H979"/>
      <c r="I979" s="489"/>
      <c r="J979" s="1095"/>
      <c r="K979" s="1095"/>
      <c r="L979" s="1095"/>
      <c r="M979" s="1095"/>
    </row>
    <row r="980" spans="1:13" x14ac:dyDescent="0.25">
      <c r="A980">
        <v>705197</v>
      </c>
      <c r="B980" t="s">
        <v>8322</v>
      </c>
      <c r="C980" t="s">
        <v>2598</v>
      </c>
      <c r="D980" s="254">
        <v>4681.8500000000004</v>
      </c>
      <c r="E980"/>
      <c r="F980"/>
      <c r="G980"/>
      <c r="H980"/>
      <c r="I980" s="489"/>
      <c r="J980" s="1095"/>
      <c r="K980" s="1095"/>
      <c r="L980" s="1095"/>
      <c r="M980" s="1095"/>
    </row>
    <row r="981" spans="1:13" x14ac:dyDescent="0.25">
      <c r="A981">
        <v>705196</v>
      </c>
      <c r="B981" t="s">
        <v>8323</v>
      </c>
      <c r="C981" t="s">
        <v>2598</v>
      </c>
      <c r="D981" s="254">
        <v>4301.5</v>
      </c>
      <c r="E981"/>
      <c r="F981"/>
      <c r="G981"/>
      <c r="H981"/>
      <c r="I981" s="489"/>
      <c r="J981" s="1095"/>
      <c r="K981" s="1095"/>
      <c r="L981" s="1095"/>
      <c r="M981" s="1095"/>
    </row>
    <row r="982" spans="1:13" x14ac:dyDescent="0.25">
      <c r="A982">
        <v>705199</v>
      </c>
      <c r="B982" t="s">
        <v>8324</v>
      </c>
      <c r="C982" t="s">
        <v>2598</v>
      </c>
      <c r="D982" s="254">
        <v>4410.26</v>
      </c>
      <c r="E982"/>
      <c r="F982"/>
      <c r="G982"/>
      <c r="H982"/>
      <c r="I982" s="489"/>
      <c r="J982" s="1095"/>
      <c r="K982" s="1095"/>
      <c r="L982" s="1095"/>
      <c r="M982" s="1095"/>
    </row>
    <row r="983" spans="1:13" x14ac:dyDescent="0.25">
      <c r="A983">
        <v>705198</v>
      </c>
      <c r="B983" t="s">
        <v>8325</v>
      </c>
      <c r="C983" t="s">
        <v>2598</v>
      </c>
      <c r="D983" s="254">
        <v>4029.92</v>
      </c>
      <c r="E983"/>
      <c r="F983"/>
      <c r="G983"/>
      <c r="H983"/>
      <c r="I983" s="489"/>
      <c r="J983" s="1095"/>
      <c r="K983" s="1095"/>
      <c r="L983" s="1095"/>
      <c r="M983" s="1095"/>
    </row>
    <row r="984" spans="1:13" x14ac:dyDescent="0.25">
      <c r="A984">
        <v>705207</v>
      </c>
      <c r="B984" t="s">
        <v>8326</v>
      </c>
      <c r="C984" t="s">
        <v>2598</v>
      </c>
      <c r="D984" s="254">
        <v>6765.81</v>
      </c>
      <c r="E984"/>
      <c r="F984"/>
      <c r="G984"/>
      <c r="H984"/>
      <c r="I984" s="489"/>
      <c r="J984" s="1095"/>
      <c r="K984" s="1095"/>
      <c r="L984" s="1095"/>
      <c r="M984" s="1095"/>
    </row>
    <row r="985" spans="1:13" x14ac:dyDescent="0.25">
      <c r="A985">
        <v>705206</v>
      </c>
      <c r="B985" t="s">
        <v>8327</v>
      </c>
      <c r="C985" t="s">
        <v>2598</v>
      </c>
      <c r="D985" s="254">
        <v>6200.7</v>
      </c>
      <c r="E985"/>
      <c r="F985"/>
      <c r="G985"/>
      <c r="H985"/>
      <c r="I985" s="489"/>
      <c r="J985" s="1095"/>
      <c r="K985" s="1095"/>
      <c r="L985" s="1095"/>
      <c r="M985" s="1095"/>
    </row>
    <row r="986" spans="1:13" x14ac:dyDescent="0.25">
      <c r="A986">
        <v>705209</v>
      </c>
      <c r="B986" t="s">
        <v>8328</v>
      </c>
      <c r="C986" t="s">
        <v>2598</v>
      </c>
      <c r="D986" s="254">
        <v>7702.2</v>
      </c>
      <c r="E986"/>
      <c r="F986"/>
      <c r="G986"/>
      <c r="H986"/>
      <c r="I986" s="489"/>
      <c r="J986" s="1095"/>
      <c r="K986" s="1095"/>
      <c r="L986" s="1095"/>
      <c r="M986" s="1095"/>
    </row>
    <row r="987" spans="1:13" x14ac:dyDescent="0.25">
      <c r="A987">
        <v>705208</v>
      </c>
      <c r="B987" t="s">
        <v>8329</v>
      </c>
      <c r="C987" t="s">
        <v>2598</v>
      </c>
      <c r="D987" s="254">
        <v>7043.99</v>
      </c>
      <c r="E987"/>
      <c r="F987"/>
      <c r="G987"/>
      <c r="H987"/>
      <c r="I987" s="489"/>
      <c r="J987" s="1095"/>
      <c r="K987" s="1095"/>
      <c r="L987" s="1095"/>
      <c r="M987" s="1095"/>
    </row>
    <row r="988" spans="1:13" x14ac:dyDescent="0.25">
      <c r="A988">
        <v>705201</v>
      </c>
      <c r="B988" t="s">
        <v>8330</v>
      </c>
      <c r="C988" t="s">
        <v>2598</v>
      </c>
      <c r="D988" s="254">
        <v>5124.0600000000004</v>
      </c>
      <c r="E988"/>
      <c r="F988"/>
      <c r="G988"/>
      <c r="H988"/>
      <c r="I988" s="489"/>
      <c r="J988" s="1095"/>
      <c r="K988" s="1095"/>
      <c r="L988" s="1095"/>
      <c r="M988" s="1095"/>
    </row>
    <row r="989" spans="1:13" x14ac:dyDescent="0.25">
      <c r="A989">
        <v>705200</v>
      </c>
      <c r="B989" t="s">
        <v>8331</v>
      </c>
      <c r="C989" t="s">
        <v>2598</v>
      </c>
      <c r="D989" s="254">
        <v>4743.71</v>
      </c>
      <c r="E989"/>
      <c r="F989"/>
      <c r="G989"/>
      <c r="H989"/>
      <c r="I989" s="489"/>
      <c r="J989" s="1095"/>
      <c r="K989" s="1095"/>
      <c r="L989" s="1095"/>
      <c r="M989" s="1095"/>
    </row>
    <row r="990" spans="1:13" x14ac:dyDescent="0.25">
      <c r="A990">
        <v>705203</v>
      </c>
      <c r="B990" t="s">
        <v>8332</v>
      </c>
      <c r="C990" t="s">
        <v>2598</v>
      </c>
      <c r="D990" s="254">
        <v>5633.4</v>
      </c>
      <c r="E990"/>
      <c r="F990"/>
      <c r="G990"/>
      <c r="H990"/>
      <c r="I990" s="489"/>
      <c r="J990" s="1095"/>
      <c r="K990" s="1095"/>
      <c r="L990" s="1095"/>
      <c r="M990" s="1095"/>
    </row>
    <row r="991" spans="1:13" x14ac:dyDescent="0.25">
      <c r="A991">
        <v>705202</v>
      </c>
      <c r="B991" t="s">
        <v>8333</v>
      </c>
      <c r="C991" t="s">
        <v>2598</v>
      </c>
      <c r="D991" s="254">
        <v>5167.12</v>
      </c>
      <c r="E991"/>
      <c r="F991"/>
      <c r="G991"/>
      <c r="H991"/>
      <c r="I991" s="489"/>
      <c r="J991" s="1095"/>
      <c r="K991" s="1095"/>
      <c r="L991" s="1095"/>
      <c r="M991" s="1095"/>
    </row>
    <row r="992" spans="1:13" x14ac:dyDescent="0.25">
      <c r="A992">
        <v>705205</v>
      </c>
      <c r="B992" t="s">
        <v>8334</v>
      </c>
      <c r="C992" t="s">
        <v>2598</v>
      </c>
      <c r="D992" s="254">
        <v>6205.45</v>
      </c>
      <c r="E992"/>
      <c r="F992"/>
      <c r="G992"/>
      <c r="H992"/>
      <c r="I992" s="489"/>
      <c r="J992" s="1095"/>
      <c r="K992" s="1095"/>
      <c r="L992" s="1095"/>
      <c r="M992" s="1095"/>
    </row>
    <row r="993" spans="1:13" x14ac:dyDescent="0.25">
      <c r="A993">
        <v>705204</v>
      </c>
      <c r="B993" t="s">
        <v>8335</v>
      </c>
      <c r="C993" t="s">
        <v>2598</v>
      </c>
      <c r="D993" s="254">
        <v>5739.17</v>
      </c>
      <c r="E993"/>
      <c r="F993"/>
      <c r="G993"/>
      <c r="H993"/>
      <c r="I993" s="489"/>
      <c r="J993" s="1095"/>
      <c r="K993" s="1095"/>
      <c r="L993" s="1095"/>
      <c r="M993" s="1095"/>
    </row>
    <row r="994" spans="1:13" x14ac:dyDescent="0.25">
      <c r="A994">
        <v>705211</v>
      </c>
      <c r="B994" t="s">
        <v>8336</v>
      </c>
      <c r="C994" t="s">
        <v>2598</v>
      </c>
      <c r="D994" s="254">
        <v>5952.31</v>
      </c>
      <c r="E994"/>
      <c r="F994"/>
      <c r="G994"/>
      <c r="H994"/>
      <c r="I994" s="489"/>
      <c r="J994" s="1095"/>
      <c r="K994" s="1095"/>
      <c r="L994" s="1095"/>
      <c r="M994" s="1095"/>
    </row>
    <row r="995" spans="1:13" x14ac:dyDescent="0.25">
      <c r="A995">
        <v>705210</v>
      </c>
      <c r="B995" t="s">
        <v>8337</v>
      </c>
      <c r="C995" t="s">
        <v>2598</v>
      </c>
      <c r="D995" s="254">
        <v>5404.48</v>
      </c>
      <c r="E995"/>
      <c r="F995"/>
      <c r="G995"/>
      <c r="H995"/>
      <c r="I995" s="489"/>
      <c r="J995" s="1095"/>
      <c r="K995" s="1095"/>
      <c r="L995" s="1095"/>
      <c r="M995" s="1095"/>
    </row>
    <row r="996" spans="1:13" x14ac:dyDescent="0.25">
      <c r="A996">
        <v>705213</v>
      </c>
      <c r="B996" t="s">
        <v>8338</v>
      </c>
      <c r="C996" t="s">
        <v>2598</v>
      </c>
      <c r="D996" s="254">
        <v>5870.61</v>
      </c>
      <c r="E996"/>
      <c r="F996"/>
      <c r="G996"/>
      <c r="H996"/>
      <c r="I996" s="489"/>
      <c r="J996" s="1095"/>
      <c r="K996" s="1095"/>
      <c r="L996" s="1095"/>
      <c r="M996" s="1095"/>
    </row>
    <row r="997" spans="1:13" x14ac:dyDescent="0.25">
      <c r="A997">
        <v>705212</v>
      </c>
      <c r="B997" t="s">
        <v>8339</v>
      </c>
      <c r="C997" t="s">
        <v>2598</v>
      </c>
      <c r="D997" s="254">
        <v>5322.78</v>
      </c>
      <c r="E997"/>
      <c r="F997"/>
      <c r="G997"/>
      <c r="H997"/>
      <c r="I997" s="489"/>
      <c r="J997" s="1095"/>
      <c r="K997" s="1095"/>
      <c r="L997" s="1095"/>
      <c r="M997" s="1095"/>
    </row>
    <row r="998" spans="1:13" x14ac:dyDescent="0.25">
      <c r="A998">
        <v>705221</v>
      </c>
      <c r="B998" t="s">
        <v>8340</v>
      </c>
      <c r="C998" t="s">
        <v>2598</v>
      </c>
      <c r="D998" s="254">
        <v>9347.75</v>
      </c>
      <c r="E998"/>
      <c r="F998"/>
      <c r="G998"/>
      <c r="H998"/>
      <c r="I998" s="489"/>
      <c r="J998" s="1095"/>
      <c r="K998" s="1095"/>
      <c r="L998" s="1095"/>
      <c r="M998" s="1095"/>
    </row>
    <row r="999" spans="1:13" x14ac:dyDescent="0.25">
      <c r="A999">
        <v>705220</v>
      </c>
      <c r="B999" t="s">
        <v>8341</v>
      </c>
      <c r="C999" t="s">
        <v>2598</v>
      </c>
      <c r="D999" s="254">
        <v>8579.32</v>
      </c>
      <c r="E999"/>
      <c r="F999"/>
      <c r="G999"/>
      <c r="H999"/>
      <c r="I999" s="489"/>
      <c r="J999" s="1095"/>
      <c r="K999" s="1095"/>
      <c r="L999" s="1095"/>
      <c r="M999" s="1095"/>
    </row>
    <row r="1000" spans="1:13" x14ac:dyDescent="0.25">
      <c r="A1000">
        <v>705223</v>
      </c>
      <c r="B1000" t="s">
        <v>8342</v>
      </c>
      <c r="C1000" t="s">
        <v>2598</v>
      </c>
      <c r="D1000" s="254">
        <v>10089.06</v>
      </c>
      <c r="E1000"/>
      <c r="F1000"/>
      <c r="G1000"/>
      <c r="H1000"/>
      <c r="I1000" s="489"/>
      <c r="J1000" s="1095"/>
      <c r="K1000" s="1095"/>
      <c r="L1000" s="1095"/>
      <c r="M1000" s="1095"/>
    </row>
    <row r="1001" spans="1:13" x14ac:dyDescent="0.25">
      <c r="A1001">
        <v>705222</v>
      </c>
      <c r="B1001" t="s">
        <v>8343</v>
      </c>
      <c r="C1001" t="s">
        <v>2598</v>
      </c>
      <c r="D1001" s="254">
        <v>9204.6</v>
      </c>
      <c r="E1001"/>
      <c r="F1001"/>
      <c r="G1001"/>
      <c r="H1001"/>
      <c r="I1001" s="489"/>
      <c r="J1001" s="1095"/>
      <c r="K1001" s="1095"/>
      <c r="L1001" s="1095"/>
      <c r="M1001" s="1095"/>
    </row>
    <row r="1002" spans="1:13" x14ac:dyDescent="0.25">
      <c r="A1002">
        <v>705215</v>
      </c>
      <c r="B1002" t="s">
        <v>8344</v>
      </c>
      <c r="C1002" t="s">
        <v>2598</v>
      </c>
      <c r="D1002" s="254">
        <v>7005.9</v>
      </c>
      <c r="E1002"/>
      <c r="F1002"/>
      <c r="G1002"/>
      <c r="H1002"/>
      <c r="I1002" s="489"/>
      <c r="J1002" s="1095"/>
      <c r="K1002" s="1095"/>
      <c r="L1002" s="1095"/>
      <c r="M1002" s="1095"/>
    </row>
    <row r="1003" spans="1:13" x14ac:dyDescent="0.25">
      <c r="A1003">
        <v>705214</v>
      </c>
      <c r="B1003" t="s">
        <v>8345</v>
      </c>
      <c r="C1003" t="s">
        <v>2598</v>
      </c>
      <c r="D1003" s="254">
        <v>6343.47</v>
      </c>
      <c r="E1003"/>
      <c r="F1003"/>
      <c r="G1003"/>
      <c r="H1003"/>
      <c r="I1003" s="489"/>
      <c r="J1003" s="1095"/>
      <c r="K1003" s="1095"/>
      <c r="L1003" s="1095"/>
      <c r="M1003" s="1095"/>
    </row>
    <row r="1004" spans="1:13" x14ac:dyDescent="0.25">
      <c r="A1004">
        <v>705217</v>
      </c>
      <c r="B1004" t="s">
        <v>8346</v>
      </c>
      <c r="C1004" t="s">
        <v>2598</v>
      </c>
      <c r="D1004" s="254">
        <v>7850.46</v>
      </c>
      <c r="E1004"/>
      <c r="F1004"/>
      <c r="G1004"/>
      <c r="H1004"/>
      <c r="I1004" s="489"/>
      <c r="J1004" s="1095"/>
      <c r="K1004" s="1095"/>
      <c r="L1004" s="1095"/>
      <c r="M1004" s="1095"/>
    </row>
    <row r="1005" spans="1:13" x14ac:dyDescent="0.25">
      <c r="A1005">
        <v>705216</v>
      </c>
      <c r="B1005" t="s">
        <v>8347</v>
      </c>
      <c r="C1005" t="s">
        <v>2598</v>
      </c>
      <c r="D1005" s="254">
        <v>7188.02</v>
      </c>
      <c r="E1005"/>
      <c r="F1005"/>
      <c r="G1005"/>
      <c r="H1005"/>
      <c r="I1005" s="489"/>
      <c r="J1005" s="1095"/>
      <c r="K1005" s="1095"/>
      <c r="L1005" s="1095"/>
      <c r="M1005" s="1095"/>
    </row>
    <row r="1006" spans="1:13" x14ac:dyDescent="0.25">
      <c r="A1006">
        <v>705219</v>
      </c>
      <c r="B1006" t="s">
        <v>8348</v>
      </c>
      <c r="C1006" t="s">
        <v>2598</v>
      </c>
      <c r="D1006" s="254">
        <v>8554.7999999999993</v>
      </c>
      <c r="E1006"/>
      <c r="F1006"/>
      <c r="G1006"/>
      <c r="H1006"/>
      <c r="I1006" s="489"/>
      <c r="J1006" s="1095"/>
      <c r="K1006" s="1095"/>
      <c r="L1006" s="1095"/>
      <c r="M1006" s="1095"/>
    </row>
    <row r="1007" spans="1:13" x14ac:dyDescent="0.25">
      <c r="A1007">
        <v>705218</v>
      </c>
      <c r="B1007" t="s">
        <v>8349</v>
      </c>
      <c r="C1007" t="s">
        <v>2598</v>
      </c>
      <c r="D1007" s="254">
        <v>7786.37</v>
      </c>
      <c r="E1007"/>
      <c r="F1007"/>
      <c r="G1007"/>
      <c r="H1007"/>
      <c r="I1007" s="489"/>
      <c r="J1007" s="1095"/>
      <c r="K1007" s="1095"/>
      <c r="L1007" s="1095"/>
      <c r="M1007" s="1095"/>
    </row>
    <row r="1008" spans="1:13" x14ac:dyDescent="0.25">
      <c r="A1008">
        <v>705346</v>
      </c>
      <c r="B1008" t="s">
        <v>8350</v>
      </c>
      <c r="C1008" t="s">
        <v>2598</v>
      </c>
      <c r="D1008" s="254">
        <v>5631.11</v>
      </c>
      <c r="E1008"/>
      <c r="F1008"/>
      <c r="G1008"/>
      <c r="H1008"/>
      <c r="I1008" s="489"/>
      <c r="J1008" s="1095"/>
      <c r="K1008" s="1095"/>
      <c r="L1008" s="1095"/>
      <c r="M1008" s="1095"/>
    </row>
    <row r="1009" spans="1:13" x14ac:dyDescent="0.25">
      <c r="A1009">
        <v>705345</v>
      </c>
      <c r="B1009" t="s">
        <v>8351</v>
      </c>
      <c r="C1009" t="s">
        <v>2598</v>
      </c>
      <c r="D1009" s="254">
        <v>5153.84</v>
      </c>
      <c r="E1009"/>
      <c r="F1009"/>
      <c r="G1009"/>
      <c r="H1009"/>
      <c r="I1009" s="489"/>
      <c r="J1009" s="1095"/>
      <c r="K1009" s="1095"/>
      <c r="L1009" s="1095"/>
      <c r="M1009" s="1095"/>
    </row>
    <row r="1010" spans="1:13" x14ac:dyDescent="0.25">
      <c r="A1010">
        <v>705348</v>
      </c>
      <c r="B1010" t="s">
        <v>6275</v>
      </c>
      <c r="C1010" t="s">
        <v>2598</v>
      </c>
      <c r="D1010" s="254">
        <v>5003.29</v>
      </c>
      <c r="E1010"/>
      <c r="F1010"/>
      <c r="G1010"/>
      <c r="H1010"/>
      <c r="I1010" s="489"/>
      <c r="J1010" s="1095"/>
      <c r="K1010" s="1095"/>
      <c r="L1010" s="1095"/>
      <c r="M1010" s="1095"/>
    </row>
    <row r="1011" spans="1:13" x14ac:dyDescent="0.25">
      <c r="A1011">
        <v>705347</v>
      </c>
      <c r="B1011" t="s">
        <v>8352</v>
      </c>
      <c r="C1011" t="s">
        <v>2598</v>
      </c>
      <c r="D1011" s="254">
        <v>4526.0200000000004</v>
      </c>
      <c r="E1011"/>
      <c r="F1011"/>
      <c r="G1011"/>
      <c r="H1011"/>
      <c r="I1011" s="489"/>
      <c r="J1011" s="1095"/>
      <c r="K1011" s="1095"/>
      <c r="L1011" s="1095"/>
      <c r="M1011" s="1095"/>
    </row>
    <row r="1012" spans="1:13" x14ac:dyDescent="0.25">
      <c r="A1012">
        <v>705356</v>
      </c>
      <c r="B1012" t="s">
        <v>8353</v>
      </c>
      <c r="C1012" t="s">
        <v>2598</v>
      </c>
      <c r="D1012" s="254">
        <v>7612.58</v>
      </c>
      <c r="E1012"/>
      <c r="F1012"/>
      <c r="G1012"/>
      <c r="H1012"/>
      <c r="I1012" s="489"/>
      <c r="J1012" s="1095"/>
      <c r="K1012" s="1095"/>
      <c r="L1012" s="1095"/>
      <c r="M1012" s="1095"/>
    </row>
    <row r="1013" spans="1:13" x14ac:dyDescent="0.25">
      <c r="A1013">
        <v>705355</v>
      </c>
      <c r="B1013" t="s">
        <v>8354</v>
      </c>
      <c r="C1013" t="s">
        <v>2598</v>
      </c>
      <c r="D1013" s="254">
        <v>6979.2</v>
      </c>
      <c r="E1013"/>
      <c r="F1013"/>
      <c r="G1013"/>
      <c r="H1013"/>
      <c r="I1013" s="489"/>
      <c r="J1013" s="1095"/>
      <c r="K1013" s="1095"/>
      <c r="L1013" s="1095"/>
      <c r="M1013" s="1095"/>
    </row>
    <row r="1014" spans="1:13" x14ac:dyDescent="0.25">
      <c r="A1014">
        <v>705358</v>
      </c>
      <c r="B1014" t="s">
        <v>8355</v>
      </c>
      <c r="C1014" t="s">
        <v>2598</v>
      </c>
      <c r="D1014" s="254">
        <v>7739.86</v>
      </c>
      <c r="E1014"/>
      <c r="F1014"/>
      <c r="G1014"/>
      <c r="H1014"/>
      <c r="I1014" s="489"/>
      <c r="J1014" s="1095"/>
      <c r="K1014" s="1095"/>
      <c r="L1014" s="1095"/>
      <c r="M1014" s="1095"/>
    </row>
    <row r="1015" spans="1:13" x14ac:dyDescent="0.25">
      <c r="A1015">
        <v>705357</v>
      </c>
      <c r="B1015" t="s">
        <v>8356</v>
      </c>
      <c r="C1015" t="s">
        <v>2598</v>
      </c>
      <c r="D1015" s="254">
        <v>7106.48</v>
      </c>
      <c r="E1015"/>
      <c r="F1015"/>
      <c r="G1015"/>
      <c r="H1015"/>
      <c r="I1015" s="489"/>
      <c r="J1015" s="1095"/>
      <c r="K1015" s="1095"/>
      <c r="L1015" s="1095"/>
      <c r="M1015" s="1095"/>
    </row>
    <row r="1016" spans="1:13" x14ac:dyDescent="0.25">
      <c r="A1016">
        <v>705350</v>
      </c>
      <c r="B1016" t="s">
        <v>8357</v>
      </c>
      <c r="C1016" t="s">
        <v>2598</v>
      </c>
      <c r="D1016" s="254">
        <v>5516.43</v>
      </c>
      <c r="E1016"/>
      <c r="F1016"/>
      <c r="G1016"/>
      <c r="H1016"/>
      <c r="I1016" s="489"/>
      <c r="J1016" s="1095"/>
      <c r="K1016" s="1095"/>
      <c r="L1016" s="1095"/>
      <c r="M1016" s="1095"/>
    </row>
    <row r="1017" spans="1:13" x14ac:dyDescent="0.25">
      <c r="A1017">
        <v>705349</v>
      </c>
      <c r="B1017" t="s">
        <v>8358</v>
      </c>
      <c r="C1017" t="s">
        <v>2598</v>
      </c>
      <c r="D1017" s="254">
        <v>5039.1499999999996</v>
      </c>
      <c r="E1017"/>
      <c r="F1017"/>
      <c r="G1017"/>
      <c r="H1017"/>
      <c r="I1017" s="489"/>
      <c r="J1017" s="1095"/>
      <c r="K1017" s="1095"/>
      <c r="L1017" s="1095"/>
      <c r="M1017" s="1095"/>
    </row>
    <row r="1018" spans="1:13" x14ac:dyDescent="0.25">
      <c r="A1018">
        <v>705352</v>
      </c>
      <c r="B1018" t="s">
        <v>8359</v>
      </c>
      <c r="C1018" t="s">
        <v>2598</v>
      </c>
      <c r="D1018" s="254">
        <v>5954.7</v>
      </c>
      <c r="E1018"/>
      <c r="F1018"/>
      <c r="G1018"/>
      <c r="H1018"/>
      <c r="I1018" s="489"/>
      <c r="J1018" s="1095"/>
      <c r="K1018" s="1095"/>
      <c r="L1018" s="1095"/>
      <c r="M1018" s="1095"/>
    </row>
    <row r="1019" spans="1:13" x14ac:dyDescent="0.25">
      <c r="A1019">
        <v>705351</v>
      </c>
      <c r="B1019" t="s">
        <v>8360</v>
      </c>
      <c r="C1019" t="s">
        <v>2598</v>
      </c>
      <c r="D1019" s="254">
        <v>5477.42</v>
      </c>
      <c r="E1019"/>
      <c r="F1019"/>
      <c r="G1019"/>
      <c r="H1019"/>
      <c r="I1019" s="489"/>
      <c r="J1019" s="1095"/>
      <c r="K1019" s="1095"/>
      <c r="L1019" s="1095"/>
      <c r="M1019" s="1095"/>
    </row>
    <row r="1020" spans="1:13" x14ac:dyDescent="0.25">
      <c r="A1020">
        <v>705354</v>
      </c>
      <c r="B1020" t="s">
        <v>8361</v>
      </c>
      <c r="C1020" t="s">
        <v>2598</v>
      </c>
      <c r="D1020" s="254">
        <v>6617.2</v>
      </c>
      <c r="E1020"/>
      <c r="F1020"/>
      <c r="G1020"/>
      <c r="H1020"/>
      <c r="I1020" s="489"/>
      <c r="J1020" s="1095"/>
      <c r="K1020" s="1095"/>
      <c r="L1020" s="1095"/>
      <c r="M1020" s="1095"/>
    </row>
    <row r="1021" spans="1:13" x14ac:dyDescent="0.25">
      <c r="A1021">
        <v>705353</v>
      </c>
      <c r="B1021" t="s">
        <v>8362</v>
      </c>
      <c r="C1021" t="s">
        <v>2598</v>
      </c>
      <c r="D1021" s="254">
        <v>6139.92</v>
      </c>
      <c r="E1021"/>
      <c r="F1021"/>
      <c r="G1021"/>
      <c r="H1021"/>
      <c r="I1021" s="489"/>
      <c r="J1021" s="1095"/>
      <c r="K1021" s="1095"/>
      <c r="L1021" s="1095"/>
      <c r="M1021" s="1095"/>
    </row>
    <row r="1022" spans="1:13" x14ac:dyDescent="0.25">
      <c r="A1022">
        <v>705360</v>
      </c>
      <c r="B1022" t="s">
        <v>8363</v>
      </c>
      <c r="C1022" t="s">
        <v>2598</v>
      </c>
      <c r="D1022" s="254">
        <v>8121.21</v>
      </c>
      <c r="E1022"/>
      <c r="F1022"/>
      <c r="G1022"/>
      <c r="H1022"/>
      <c r="I1022" s="489"/>
      <c r="J1022" s="1095"/>
      <c r="K1022" s="1095"/>
      <c r="L1022" s="1095"/>
      <c r="M1022" s="1095"/>
    </row>
    <row r="1023" spans="1:13" x14ac:dyDescent="0.25">
      <c r="A1023">
        <v>705359</v>
      </c>
      <c r="B1023" t="s">
        <v>8364</v>
      </c>
      <c r="C1023" t="s">
        <v>2598</v>
      </c>
      <c r="D1023" s="254">
        <v>7505.26</v>
      </c>
      <c r="E1023"/>
      <c r="F1023"/>
      <c r="G1023"/>
      <c r="H1023"/>
      <c r="I1023" s="489"/>
      <c r="J1023" s="1095"/>
      <c r="K1023" s="1095"/>
      <c r="L1023" s="1095"/>
      <c r="M1023" s="1095"/>
    </row>
    <row r="1024" spans="1:13" x14ac:dyDescent="0.25">
      <c r="A1024">
        <v>705362</v>
      </c>
      <c r="B1024" t="s">
        <v>6276</v>
      </c>
      <c r="C1024" t="s">
        <v>2598</v>
      </c>
      <c r="D1024" s="254">
        <v>7311.07</v>
      </c>
      <c r="E1024"/>
      <c r="F1024"/>
      <c r="G1024"/>
      <c r="H1024"/>
      <c r="I1024" s="489"/>
      <c r="J1024" s="1095"/>
      <c r="K1024" s="1095"/>
      <c r="L1024" s="1095"/>
      <c r="M1024" s="1095"/>
    </row>
    <row r="1025" spans="1:13" x14ac:dyDescent="0.25">
      <c r="A1025">
        <v>705361</v>
      </c>
      <c r="B1025" t="s">
        <v>8365</v>
      </c>
      <c r="C1025" t="s">
        <v>2598</v>
      </c>
      <c r="D1025" s="254">
        <v>6695.12</v>
      </c>
      <c r="E1025"/>
      <c r="F1025"/>
      <c r="G1025"/>
      <c r="H1025"/>
      <c r="I1025" s="489"/>
      <c r="J1025" s="1095"/>
      <c r="K1025" s="1095"/>
      <c r="L1025" s="1095"/>
      <c r="M1025" s="1095"/>
    </row>
    <row r="1026" spans="1:13" x14ac:dyDescent="0.25">
      <c r="A1026">
        <v>705370</v>
      </c>
      <c r="B1026" t="s">
        <v>8366</v>
      </c>
      <c r="C1026" t="s">
        <v>2598</v>
      </c>
      <c r="D1026" s="254">
        <v>11149.74</v>
      </c>
      <c r="E1026"/>
      <c r="F1026"/>
      <c r="G1026"/>
      <c r="H1026"/>
      <c r="I1026" s="489"/>
      <c r="J1026" s="1095"/>
      <c r="K1026" s="1095"/>
      <c r="L1026" s="1095"/>
      <c r="M1026" s="1095"/>
    </row>
    <row r="1027" spans="1:13" x14ac:dyDescent="0.25">
      <c r="A1027">
        <v>705369</v>
      </c>
      <c r="B1027" t="s">
        <v>8367</v>
      </c>
      <c r="C1027" t="s">
        <v>2598</v>
      </c>
      <c r="D1027" s="254">
        <v>10169.99</v>
      </c>
      <c r="E1027"/>
      <c r="F1027"/>
      <c r="G1027"/>
      <c r="H1027"/>
      <c r="I1027" s="489"/>
      <c r="J1027" s="1095"/>
      <c r="K1027" s="1095"/>
      <c r="L1027" s="1095"/>
      <c r="M1027" s="1095"/>
    </row>
    <row r="1028" spans="1:13" x14ac:dyDescent="0.25">
      <c r="A1028">
        <v>705372</v>
      </c>
      <c r="B1028" t="s">
        <v>8368</v>
      </c>
      <c r="C1028" t="s">
        <v>2598</v>
      </c>
      <c r="D1028" s="254">
        <v>11943.09</v>
      </c>
      <c r="E1028"/>
      <c r="F1028"/>
      <c r="G1028"/>
      <c r="H1028"/>
      <c r="I1028" s="489"/>
      <c r="J1028" s="1095"/>
      <c r="K1028" s="1095"/>
      <c r="L1028" s="1095"/>
      <c r="M1028" s="1095"/>
    </row>
    <row r="1029" spans="1:13" x14ac:dyDescent="0.25">
      <c r="A1029">
        <v>705371</v>
      </c>
      <c r="B1029" t="s">
        <v>8369</v>
      </c>
      <c r="C1029" t="s">
        <v>2598</v>
      </c>
      <c r="D1029" s="254">
        <v>10963.33</v>
      </c>
      <c r="E1029"/>
      <c r="F1029"/>
      <c r="G1029"/>
      <c r="H1029"/>
      <c r="I1029" s="489"/>
      <c r="J1029" s="1095"/>
      <c r="K1029" s="1095"/>
      <c r="L1029" s="1095"/>
      <c r="M1029" s="1095"/>
    </row>
    <row r="1030" spans="1:13" x14ac:dyDescent="0.25">
      <c r="A1030">
        <v>705364</v>
      </c>
      <c r="B1030" t="s">
        <v>8370</v>
      </c>
      <c r="C1030" t="s">
        <v>2598</v>
      </c>
      <c r="D1030" s="254">
        <v>8394.68</v>
      </c>
      <c r="E1030"/>
      <c r="F1030"/>
      <c r="G1030"/>
      <c r="H1030"/>
      <c r="I1030" s="489"/>
      <c r="J1030" s="1095"/>
      <c r="K1030" s="1095"/>
      <c r="L1030" s="1095"/>
      <c r="M1030" s="1095"/>
    </row>
    <row r="1031" spans="1:13" x14ac:dyDescent="0.25">
      <c r="A1031">
        <v>705363</v>
      </c>
      <c r="B1031" t="s">
        <v>8371</v>
      </c>
      <c r="C1031" t="s">
        <v>2598</v>
      </c>
      <c r="D1031" s="254">
        <v>7778.73</v>
      </c>
      <c r="E1031"/>
      <c r="F1031"/>
      <c r="G1031"/>
      <c r="H1031"/>
      <c r="I1031" s="489"/>
      <c r="J1031" s="1095"/>
      <c r="K1031" s="1095"/>
      <c r="L1031" s="1095"/>
      <c r="M1031" s="1095"/>
    </row>
    <row r="1032" spans="1:13" x14ac:dyDescent="0.25">
      <c r="A1032">
        <v>705366</v>
      </c>
      <c r="B1032" t="s">
        <v>8372</v>
      </c>
      <c r="C1032" t="s">
        <v>2598</v>
      </c>
      <c r="D1032" s="254">
        <v>9155.65</v>
      </c>
      <c r="E1032"/>
      <c r="F1032"/>
      <c r="G1032"/>
      <c r="H1032"/>
      <c r="I1032" s="489"/>
      <c r="J1032" s="1095"/>
      <c r="K1032" s="1095"/>
      <c r="L1032" s="1095"/>
      <c r="M1032" s="1095"/>
    </row>
    <row r="1033" spans="1:13" x14ac:dyDescent="0.25">
      <c r="A1033">
        <v>705365</v>
      </c>
      <c r="B1033" t="s">
        <v>8373</v>
      </c>
      <c r="C1033" t="s">
        <v>2598</v>
      </c>
      <c r="D1033" s="254">
        <v>8347.77</v>
      </c>
      <c r="E1033"/>
      <c r="F1033"/>
      <c r="G1033"/>
      <c r="H1033"/>
      <c r="I1033" s="489"/>
      <c r="J1033" s="1095"/>
      <c r="K1033" s="1095"/>
      <c r="L1033" s="1095"/>
      <c r="M1033" s="1095"/>
    </row>
    <row r="1034" spans="1:13" x14ac:dyDescent="0.25">
      <c r="A1034">
        <v>705368</v>
      </c>
      <c r="B1034" t="s">
        <v>8374</v>
      </c>
      <c r="C1034" t="s">
        <v>2598</v>
      </c>
      <c r="D1034" s="254">
        <v>10381.24</v>
      </c>
      <c r="E1034"/>
      <c r="F1034"/>
      <c r="G1034"/>
      <c r="H1034"/>
      <c r="I1034" s="489"/>
      <c r="J1034" s="1095"/>
      <c r="K1034" s="1095"/>
      <c r="L1034" s="1095"/>
      <c r="M1034" s="1095"/>
    </row>
    <row r="1035" spans="1:13" x14ac:dyDescent="0.25">
      <c r="A1035">
        <v>705367</v>
      </c>
      <c r="B1035" t="s">
        <v>8375</v>
      </c>
      <c r="C1035" t="s">
        <v>2598</v>
      </c>
      <c r="D1035" s="254">
        <v>9573.35</v>
      </c>
      <c r="E1035"/>
      <c r="F1035"/>
      <c r="G1035"/>
      <c r="H1035"/>
      <c r="I1035" s="489"/>
      <c r="J1035" s="1095"/>
      <c r="K1035" s="1095"/>
      <c r="L1035" s="1095"/>
      <c r="M1035" s="1095"/>
    </row>
    <row r="1036" spans="1:13" x14ac:dyDescent="0.25">
      <c r="A1036">
        <v>705374</v>
      </c>
      <c r="B1036" t="s">
        <v>8376</v>
      </c>
      <c r="C1036" t="s">
        <v>2598</v>
      </c>
      <c r="D1036" s="254">
        <v>10734.11</v>
      </c>
      <c r="E1036"/>
      <c r="F1036"/>
      <c r="G1036"/>
      <c r="H1036"/>
      <c r="I1036" s="489"/>
      <c r="J1036" s="1095"/>
      <c r="K1036" s="1095"/>
      <c r="L1036" s="1095"/>
      <c r="M1036" s="1095"/>
    </row>
    <row r="1037" spans="1:13" x14ac:dyDescent="0.25">
      <c r="A1037">
        <v>705373</v>
      </c>
      <c r="B1037" t="s">
        <v>8377</v>
      </c>
      <c r="C1037" t="s">
        <v>2598</v>
      </c>
      <c r="D1037" s="254">
        <v>9952.18</v>
      </c>
      <c r="E1037"/>
      <c r="F1037"/>
      <c r="G1037"/>
      <c r="H1037"/>
      <c r="I1037" s="489"/>
      <c r="J1037" s="1095"/>
      <c r="K1037" s="1095"/>
      <c r="L1037" s="1095"/>
      <c r="M1037" s="1095"/>
    </row>
    <row r="1038" spans="1:13" x14ac:dyDescent="0.25">
      <c r="A1038">
        <v>705376</v>
      </c>
      <c r="B1038" t="s">
        <v>6277</v>
      </c>
      <c r="C1038" t="s">
        <v>2598</v>
      </c>
      <c r="D1038" s="254">
        <v>9503.57</v>
      </c>
      <c r="E1038"/>
      <c r="F1038"/>
      <c r="G1038"/>
      <c r="H1038"/>
      <c r="I1038" s="489"/>
      <c r="J1038" s="1095"/>
      <c r="K1038" s="1095"/>
      <c r="L1038" s="1095"/>
      <c r="M1038" s="1095"/>
    </row>
    <row r="1039" spans="1:13" x14ac:dyDescent="0.25">
      <c r="A1039">
        <v>705375</v>
      </c>
      <c r="B1039" t="s">
        <v>8378</v>
      </c>
      <c r="C1039" t="s">
        <v>2598</v>
      </c>
      <c r="D1039" s="254">
        <v>8721.64</v>
      </c>
      <c r="E1039"/>
      <c r="F1039"/>
      <c r="G1039"/>
      <c r="H1039"/>
      <c r="I1039" s="489"/>
      <c r="J1039" s="1095"/>
      <c r="K1039" s="1095"/>
      <c r="L1039" s="1095"/>
      <c r="M1039" s="1095"/>
    </row>
    <row r="1040" spans="1:13" x14ac:dyDescent="0.25">
      <c r="A1040">
        <v>705384</v>
      </c>
      <c r="B1040" t="s">
        <v>8379</v>
      </c>
      <c r="C1040" t="s">
        <v>2598</v>
      </c>
      <c r="D1040" s="254">
        <v>14800.08</v>
      </c>
      <c r="E1040"/>
      <c r="F1040"/>
      <c r="G1040"/>
      <c r="H1040"/>
      <c r="I1040" s="489"/>
      <c r="J1040" s="1095"/>
      <c r="K1040" s="1095"/>
      <c r="L1040" s="1095"/>
      <c r="M1040" s="1095"/>
    </row>
    <row r="1041" spans="1:13" x14ac:dyDescent="0.25">
      <c r="A1041">
        <v>705383</v>
      </c>
      <c r="B1041" t="s">
        <v>8380</v>
      </c>
      <c r="C1041" t="s">
        <v>2598</v>
      </c>
      <c r="D1041" s="254">
        <v>13608.49</v>
      </c>
      <c r="E1041"/>
      <c r="F1041"/>
      <c r="G1041"/>
      <c r="H1041"/>
      <c r="I1041" s="489"/>
      <c r="J1041" s="1095"/>
      <c r="K1041" s="1095"/>
      <c r="L1041" s="1095"/>
      <c r="M1041" s="1095"/>
    </row>
    <row r="1042" spans="1:13" x14ac:dyDescent="0.25">
      <c r="A1042">
        <v>705386</v>
      </c>
      <c r="B1042" t="s">
        <v>8381</v>
      </c>
      <c r="C1042" t="s">
        <v>2598</v>
      </c>
      <c r="D1042" s="254">
        <v>16059.71</v>
      </c>
      <c r="E1042"/>
      <c r="F1042"/>
      <c r="G1042"/>
      <c r="H1042"/>
      <c r="I1042" s="489"/>
      <c r="J1042" s="1095"/>
      <c r="K1042" s="1095"/>
      <c r="L1042" s="1095"/>
      <c r="M1042" s="1095"/>
    </row>
    <row r="1043" spans="1:13" x14ac:dyDescent="0.25">
      <c r="A1043">
        <v>705385</v>
      </c>
      <c r="B1043" t="s">
        <v>8382</v>
      </c>
      <c r="C1043" t="s">
        <v>2598</v>
      </c>
      <c r="D1043" s="254">
        <v>14868.12</v>
      </c>
      <c r="E1043"/>
      <c r="F1043"/>
      <c r="G1043"/>
      <c r="H1043"/>
      <c r="I1043" s="489"/>
      <c r="J1043" s="1095"/>
      <c r="K1043" s="1095"/>
      <c r="L1043" s="1095"/>
      <c r="M1043" s="1095"/>
    </row>
    <row r="1044" spans="1:13" x14ac:dyDescent="0.25">
      <c r="A1044">
        <v>705378</v>
      </c>
      <c r="B1044" t="s">
        <v>8383</v>
      </c>
      <c r="C1044" t="s">
        <v>2598</v>
      </c>
      <c r="D1044" s="254">
        <v>10846.12</v>
      </c>
      <c r="E1044"/>
      <c r="F1044"/>
      <c r="G1044"/>
      <c r="H1044"/>
      <c r="I1044" s="489"/>
      <c r="J1044" s="1095"/>
      <c r="K1044" s="1095"/>
      <c r="L1044" s="1095"/>
      <c r="M1044" s="1095"/>
    </row>
    <row r="1045" spans="1:13" x14ac:dyDescent="0.25">
      <c r="A1045">
        <v>705377</v>
      </c>
      <c r="B1045" t="s">
        <v>8384</v>
      </c>
      <c r="C1045" t="s">
        <v>2598</v>
      </c>
      <c r="D1045" s="254">
        <v>9862.2199999999993</v>
      </c>
      <c r="E1045"/>
      <c r="F1045"/>
      <c r="G1045"/>
      <c r="H1045"/>
      <c r="I1045" s="489"/>
      <c r="J1045" s="1095"/>
      <c r="K1045" s="1095"/>
      <c r="L1045" s="1095"/>
      <c r="M1045" s="1095"/>
    </row>
    <row r="1046" spans="1:13" x14ac:dyDescent="0.25">
      <c r="A1046">
        <v>705380</v>
      </c>
      <c r="B1046" t="s">
        <v>8385</v>
      </c>
      <c r="C1046" t="s">
        <v>2598</v>
      </c>
      <c r="D1046" s="254">
        <v>12470.92</v>
      </c>
      <c r="E1046"/>
      <c r="F1046"/>
      <c r="G1046"/>
      <c r="H1046"/>
      <c r="I1046" s="489"/>
      <c r="J1046" s="1095"/>
      <c r="K1046" s="1095"/>
      <c r="L1046" s="1095"/>
      <c r="M1046" s="1095"/>
    </row>
    <row r="1047" spans="1:13" x14ac:dyDescent="0.25">
      <c r="A1047">
        <v>705379</v>
      </c>
      <c r="B1047" t="s">
        <v>8386</v>
      </c>
      <c r="C1047" t="s">
        <v>2598</v>
      </c>
      <c r="D1047" s="254">
        <v>11487.03</v>
      </c>
      <c r="E1047"/>
      <c r="F1047"/>
      <c r="G1047"/>
      <c r="H1047"/>
      <c r="I1047" s="489"/>
      <c r="J1047" s="1095"/>
      <c r="K1047" s="1095"/>
      <c r="L1047" s="1095"/>
      <c r="M1047" s="1095"/>
    </row>
    <row r="1048" spans="1:13" x14ac:dyDescent="0.25">
      <c r="A1048">
        <v>705382</v>
      </c>
      <c r="B1048" t="s">
        <v>8387</v>
      </c>
      <c r="C1048" t="s">
        <v>2598</v>
      </c>
      <c r="D1048" s="254">
        <v>13752.72</v>
      </c>
      <c r="E1048"/>
      <c r="F1048"/>
      <c r="G1048"/>
      <c r="H1048"/>
      <c r="I1048" s="489"/>
      <c r="J1048" s="1095"/>
      <c r="K1048" s="1095"/>
      <c r="L1048" s="1095"/>
      <c r="M1048" s="1095"/>
    </row>
    <row r="1049" spans="1:13" x14ac:dyDescent="0.25">
      <c r="A1049">
        <v>705381</v>
      </c>
      <c r="B1049" t="s">
        <v>8388</v>
      </c>
      <c r="C1049" t="s">
        <v>2598</v>
      </c>
      <c r="D1049" s="254">
        <v>12561.13</v>
      </c>
      <c r="E1049"/>
      <c r="F1049"/>
      <c r="G1049"/>
      <c r="H1049"/>
      <c r="I1049" s="489"/>
      <c r="J1049" s="1095"/>
      <c r="K1049" s="1095"/>
      <c r="L1049" s="1095"/>
      <c r="M1049" s="1095"/>
    </row>
    <row r="1050" spans="1:13" x14ac:dyDescent="0.25">
      <c r="A1050">
        <v>705388</v>
      </c>
      <c r="B1050" t="s">
        <v>8389</v>
      </c>
      <c r="C1050" t="s">
        <v>2598</v>
      </c>
      <c r="D1050" s="254">
        <v>13374.35</v>
      </c>
      <c r="E1050"/>
      <c r="F1050"/>
      <c r="G1050"/>
      <c r="H1050"/>
      <c r="I1050" s="489"/>
      <c r="J1050" s="1095"/>
      <c r="K1050" s="1095"/>
      <c r="L1050" s="1095"/>
      <c r="M1050" s="1095"/>
    </row>
    <row r="1051" spans="1:13" x14ac:dyDescent="0.25">
      <c r="A1051">
        <v>705387</v>
      </c>
      <c r="B1051" t="s">
        <v>8390</v>
      </c>
      <c r="C1051" t="s">
        <v>2598</v>
      </c>
      <c r="D1051" s="254">
        <v>12215.95</v>
      </c>
      <c r="E1051"/>
      <c r="F1051"/>
      <c r="G1051"/>
      <c r="H1051"/>
      <c r="I1051" s="489"/>
      <c r="J1051" s="1095"/>
      <c r="K1051" s="1095"/>
      <c r="L1051" s="1095"/>
      <c r="M1051" s="1095"/>
    </row>
    <row r="1052" spans="1:13" x14ac:dyDescent="0.25">
      <c r="A1052">
        <v>705389</v>
      </c>
      <c r="B1052" t="s">
        <v>8391</v>
      </c>
      <c r="C1052" t="s">
        <v>2598</v>
      </c>
      <c r="D1052" s="254">
        <v>11345.45</v>
      </c>
      <c r="E1052"/>
      <c r="F1052"/>
      <c r="G1052"/>
      <c r="H1052"/>
      <c r="I1052" s="489"/>
      <c r="J1052" s="1095"/>
      <c r="K1052" s="1095"/>
      <c r="L1052" s="1095"/>
      <c r="M1052" s="1095"/>
    </row>
    <row r="1053" spans="1:13" x14ac:dyDescent="0.25">
      <c r="A1053">
        <v>705390</v>
      </c>
      <c r="B1053" t="s">
        <v>8392</v>
      </c>
      <c r="C1053" t="s">
        <v>2598</v>
      </c>
      <c r="D1053" s="254">
        <v>12503.84</v>
      </c>
      <c r="E1053"/>
      <c r="F1053"/>
      <c r="G1053"/>
      <c r="H1053"/>
      <c r="I1053" s="489"/>
      <c r="J1053" s="1095"/>
      <c r="K1053" s="1095"/>
      <c r="L1053" s="1095"/>
      <c r="M1053" s="1095"/>
    </row>
    <row r="1054" spans="1:13" x14ac:dyDescent="0.25">
      <c r="A1054">
        <v>705399</v>
      </c>
      <c r="B1054" t="s">
        <v>8393</v>
      </c>
      <c r="C1054" t="s">
        <v>2598</v>
      </c>
      <c r="D1054" s="254">
        <v>19823.62</v>
      </c>
      <c r="E1054"/>
      <c r="F1054"/>
      <c r="G1054"/>
      <c r="H1054"/>
      <c r="I1054" s="489"/>
      <c r="J1054" s="1095"/>
      <c r="K1054" s="1095"/>
      <c r="L1054" s="1095"/>
      <c r="M1054" s="1095"/>
    </row>
    <row r="1055" spans="1:13" x14ac:dyDescent="0.25">
      <c r="A1055">
        <v>705398</v>
      </c>
      <c r="B1055" t="s">
        <v>8394</v>
      </c>
      <c r="C1055" t="s">
        <v>2598</v>
      </c>
      <c r="D1055" s="254">
        <v>18092.18</v>
      </c>
      <c r="E1055"/>
      <c r="F1055"/>
      <c r="G1055"/>
      <c r="H1055"/>
      <c r="I1055" s="489"/>
      <c r="J1055" s="1095"/>
      <c r="K1055" s="1095"/>
      <c r="L1055" s="1095"/>
      <c r="M1055" s="1095"/>
    </row>
    <row r="1056" spans="1:13" x14ac:dyDescent="0.25">
      <c r="A1056">
        <v>705401</v>
      </c>
      <c r="B1056" t="s">
        <v>8395</v>
      </c>
      <c r="C1056" t="s">
        <v>2598</v>
      </c>
      <c r="D1056" s="254">
        <v>21529.52</v>
      </c>
      <c r="E1056"/>
      <c r="F1056"/>
      <c r="G1056"/>
      <c r="H1056"/>
      <c r="I1056" s="489"/>
      <c r="J1056" s="1095"/>
      <c r="K1056" s="1095"/>
      <c r="L1056" s="1095"/>
      <c r="M1056" s="1095"/>
    </row>
    <row r="1057" spans="1:13" x14ac:dyDescent="0.25">
      <c r="A1057">
        <v>705400</v>
      </c>
      <c r="B1057" t="s">
        <v>8396</v>
      </c>
      <c r="C1057" t="s">
        <v>2598</v>
      </c>
      <c r="D1057" s="254">
        <v>19798.07</v>
      </c>
      <c r="E1057"/>
      <c r="F1057"/>
      <c r="G1057"/>
      <c r="H1057"/>
      <c r="I1057" s="489"/>
      <c r="J1057" s="1095"/>
      <c r="K1057" s="1095"/>
      <c r="L1057" s="1095"/>
      <c r="M1057" s="1095"/>
    </row>
    <row r="1058" spans="1:13" x14ac:dyDescent="0.25">
      <c r="A1058">
        <v>705392</v>
      </c>
      <c r="B1058" t="s">
        <v>7164</v>
      </c>
      <c r="C1058" t="s">
        <v>2598</v>
      </c>
      <c r="D1058" s="254">
        <v>14347.39</v>
      </c>
      <c r="E1058"/>
      <c r="F1058"/>
      <c r="G1058"/>
      <c r="H1058"/>
      <c r="I1058" s="489"/>
      <c r="J1058" s="1095"/>
      <c r="K1058" s="1095"/>
      <c r="L1058" s="1095"/>
      <c r="M1058" s="1095"/>
    </row>
    <row r="1059" spans="1:13" x14ac:dyDescent="0.25">
      <c r="A1059">
        <v>705391</v>
      </c>
      <c r="B1059" t="s">
        <v>8397</v>
      </c>
      <c r="C1059" t="s">
        <v>2598</v>
      </c>
      <c r="D1059" s="254">
        <v>12945.46</v>
      </c>
      <c r="E1059"/>
      <c r="F1059"/>
      <c r="G1059"/>
      <c r="H1059"/>
      <c r="I1059" s="489"/>
      <c r="J1059" s="1095"/>
      <c r="K1059" s="1095"/>
      <c r="L1059" s="1095"/>
      <c r="M1059" s="1095"/>
    </row>
    <row r="1060" spans="1:13" x14ac:dyDescent="0.25">
      <c r="A1060">
        <v>705395</v>
      </c>
      <c r="B1060" t="s">
        <v>8398</v>
      </c>
      <c r="C1060" t="s">
        <v>2598</v>
      </c>
      <c r="D1060" s="254">
        <v>16610.419999999998</v>
      </c>
      <c r="E1060"/>
      <c r="F1060"/>
      <c r="G1060"/>
      <c r="H1060"/>
      <c r="I1060" s="489"/>
      <c r="J1060" s="1095"/>
      <c r="K1060" s="1095"/>
      <c r="L1060" s="1095"/>
      <c r="M1060" s="1095"/>
    </row>
    <row r="1061" spans="1:13" x14ac:dyDescent="0.25">
      <c r="A1061">
        <v>705394</v>
      </c>
      <c r="B1061" t="s">
        <v>8399</v>
      </c>
      <c r="C1061" t="s">
        <v>2598</v>
      </c>
      <c r="D1061" s="254">
        <v>15208.5</v>
      </c>
      <c r="E1061"/>
      <c r="F1061"/>
      <c r="G1061"/>
      <c r="H1061"/>
      <c r="I1061" s="489"/>
      <c r="J1061" s="1095"/>
      <c r="K1061" s="1095"/>
      <c r="L1061" s="1095"/>
      <c r="M1061" s="1095"/>
    </row>
    <row r="1062" spans="1:13" x14ac:dyDescent="0.25">
      <c r="A1062">
        <v>705397</v>
      </c>
      <c r="B1062" t="s">
        <v>8400</v>
      </c>
      <c r="C1062" t="s">
        <v>2598</v>
      </c>
      <c r="D1062" s="254">
        <v>18195.04</v>
      </c>
      <c r="E1062"/>
      <c r="F1062"/>
      <c r="G1062"/>
      <c r="H1062"/>
      <c r="I1062" s="489"/>
      <c r="J1062" s="1095"/>
      <c r="K1062" s="1095"/>
      <c r="L1062" s="1095"/>
      <c r="M1062" s="1095"/>
    </row>
    <row r="1063" spans="1:13" x14ac:dyDescent="0.25">
      <c r="A1063">
        <v>705396</v>
      </c>
      <c r="B1063" t="s">
        <v>8401</v>
      </c>
      <c r="C1063" t="s">
        <v>2598</v>
      </c>
      <c r="D1063" s="254">
        <v>16463.599999999999</v>
      </c>
      <c r="E1063"/>
      <c r="F1063"/>
      <c r="G1063"/>
      <c r="H1063"/>
      <c r="I1063" s="489"/>
      <c r="J1063" s="1095"/>
      <c r="K1063" s="1095"/>
      <c r="L1063" s="1095"/>
      <c r="M1063" s="1095"/>
    </row>
    <row r="1064" spans="1:13" x14ac:dyDescent="0.25">
      <c r="A1064">
        <v>804213</v>
      </c>
      <c r="B1064" t="s">
        <v>6284</v>
      </c>
      <c r="C1064" t="s">
        <v>2640</v>
      </c>
      <c r="D1064" s="254">
        <v>1436.93</v>
      </c>
      <c r="E1064"/>
      <c r="F1064"/>
      <c r="G1064"/>
      <c r="H1064"/>
      <c r="I1064" s="489"/>
      <c r="J1064" s="1095"/>
      <c r="K1064" s="1095"/>
      <c r="L1064" s="1095"/>
      <c r="M1064" s="1095"/>
    </row>
    <row r="1065" spans="1:13" x14ac:dyDescent="0.25">
      <c r="A1065">
        <v>804212</v>
      </c>
      <c r="B1065" t="s">
        <v>8402</v>
      </c>
      <c r="C1065" t="s">
        <v>2640</v>
      </c>
      <c r="D1065" s="254">
        <v>1156.45</v>
      </c>
      <c r="E1065"/>
      <c r="F1065"/>
      <c r="G1065"/>
      <c r="H1065"/>
      <c r="I1065" s="489"/>
      <c r="J1065" s="1095"/>
      <c r="K1065" s="1095"/>
      <c r="L1065" s="1095"/>
      <c r="M1065" s="1095"/>
    </row>
    <row r="1066" spans="1:13" x14ac:dyDescent="0.25">
      <c r="A1066">
        <v>804217</v>
      </c>
      <c r="B1066" t="s">
        <v>8403</v>
      </c>
      <c r="C1066" t="s">
        <v>2640</v>
      </c>
      <c r="D1066" s="254">
        <v>1444.81</v>
      </c>
      <c r="E1066"/>
      <c r="F1066"/>
      <c r="G1066"/>
      <c r="H1066"/>
      <c r="I1066" s="489"/>
      <c r="J1066" s="1095"/>
      <c r="K1066" s="1095"/>
      <c r="L1066" s="1095"/>
      <c r="M1066" s="1095"/>
    </row>
    <row r="1067" spans="1:13" x14ac:dyDescent="0.25">
      <c r="A1067">
        <v>804216</v>
      </c>
      <c r="B1067" t="s">
        <v>8404</v>
      </c>
      <c r="C1067" t="s">
        <v>2640</v>
      </c>
      <c r="D1067" s="254">
        <v>1163.76</v>
      </c>
      <c r="E1067"/>
      <c r="F1067"/>
      <c r="G1067"/>
      <c r="H1067"/>
      <c r="I1067" s="489"/>
      <c r="J1067" s="1095"/>
      <c r="K1067" s="1095"/>
      <c r="L1067" s="1095"/>
      <c r="M1067" s="1095"/>
    </row>
    <row r="1068" spans="1:13" x14ac:dyDescent="0.25">
      <c r="A1068">
        <v>804219</v>
      </c>
      <c r="B1068" t="s">
        <v>8405</v>
      </c>
      <c r="C1068" t="s">
        <v>2640</v>
      </c>
      <c r="D1068" s="254">
        <v>1454.71</v>
      </c>
      <c r="E1068"/>
      <c r="F1068"/>
      <c r="G1068"/>
      <c r="H1068"/>
      <c r="I1068" s="489"/>
      <c r="J1068" s="1095"/>
      <c r="K1068" s="1095"/>
      <c r="L1068" s="1095"/>
      <c r="M1068" s="1095"/>
    </row>
    <row r="1069" spans="1:13" x14ac:dyDescent="0.25">
      <c r="A1069">
        <v>804218</v>
      </c>
      <c r="B1069" t="s">
        <v>8406</v>
      </c>
      <c r="C1069" t="s">
        <v>2640</v>
      </c>
      <c r="D1069" s="254">
        <v>1173.0899999999999</v>
      </c>
      <c r="E1069"/>
      <c r="F1069"/>
      <c r="G1069"/>
      <c r="H1069"/>
      <c r="I1069" s="489"/>
      <c r="J1069" s="1095"/>
      <c r="K1069" s="1095"/>
      <c r="L1069" s="1095"/>
      <c r="M1069" s="1095"/>
    </row>
    <row r="1070" spans="1:13" x14ac:dyDescent="0.25">
      <c r="A1070">
        <v>804221</v>
      </c>
      <c r="B1070" t="s">
        <v>8407</v>
      </c>
      <c r="C1070" t="s">
        <v>2640</v>
      </c>
      <c r="D1070" s="254">
        <v>1470.69</v>
      </c>
      <c r="E1070"/>
      <c r="F1070"/>
      <c r="G1070"/>
      <c r="H1070"/>
      <c r="I1070" s="489"/>
      <c r="J1070" s="1095"/>
      <c r="K1070" s="1095"/>
      <c r="L1070" s="1095"/>
      <c r="M1070" s="1095"/>
    </row>
    <row r="1071" spans="1:13" x14ac:dyDescent="0.25">
      <c r="A1071">
        <v>804220</v>
      </c>
      <c r="B1071" t="s">
        <v>8408</v>
      </c>
      <c r="C1071" t="s">
        <v>2640</v>
      </c>
      <c r="D1071" s="254">
        <v>1188.06</v>
      </c>
      <c r="E1071"/>
      <c r="F1071"/>
      <c r="G1071"/>
      <c r="H1071"/>
      <c r="I1071" s="489"/>
      <c r="J1071" s="1095"/>
      <c r="K1071" s="1095"/>
      <c r="L1071" s="1095"/>
      <c r="M1071" s="1095"/>
    </row>
    <row r="1072" spans="1:13" x14ac:dyDescent="0.25">
      <c r="A1072">
        <v>804223</v>
      </c>
      <c r="B1072" t="s">
        <v>8409</v>
      </c>
      <c r="C1072" t="s">
        <v>2640</v>
      </c>
      <c r="D1072" s="254">
        <v>1491.62</v>
      </c>
      <c r="E1072"/>
      <c r="F1072"/>
      <c r="G1072"/>
      <c r="H1072"/>
      <c r="I1072" s="489"/>
      <c r="J1072" s="1095"/>
      <c r="K1072" s="1095"/>
      <c r="L1072" s="1095"/>
      <c r="M1072" s="1095"/>
    </row>
    <row r="1073" spans="1:13" x14ac:dyDescent="0.25">
      <c r="A1073">
        <v>804222</v>
      </c>
      <c r="B1073" t="s">
        <v>8410</v>
      </c>
      <c r="C1073" t="s">
        <v>2640</v>
      </c>
      <c r="D1073" s="254">
        <v>1207.7</v>
      </c>
      <c r="E1073"/>
      <c r="F1073"/>
      <c r="G1073"/>
      <c r="H1073"/>
      <c r="I1073" s="489"/>
      <c r="J1073" s="1095"/>
      <c r="K1073" s="1095"/>
      <c r="L1073" s="1095"/>
      <c r="M1073" s="1095"/>
    </row>
    <row r="1074" spans="1:13" x14ac:dyDescent="0.25">
      <c r="A1074">
        <v>804225</v>
      </c>
      <c r="B1074" t="s">
        <v>8411</v>
      </c>
      <c r="C1074" t="s">
        <v>2640</v>
      </c>
      <c r="D1074" s="254">
        <v>1519.07</v>
      </c>
      <c r="E1074"/>
      <c r="F1074"/>
      <c r="G1074"/>
      <c r="H1074"/>
      <c r="I1074" s="489"/>
      <c r="J1074" s="1095"/>
      <c r="K1074" s="1095"/>
      <c r="L1074" s="1095"/>
      <c r="M1074" s="1095"/>
    </row>
    <row r="1075" spans="1:13" x14ac:dyDescent="0.25">
      <c r="A1075">
        <v>804224</v>
      </c>
      <c r="B1075" t="s">
        <v>8412</v>
      </c>
      <c r="C1075" t="s">
        <v>2640</v>
      </c>
      <c r="D1075" s="254">
        <v>1233.72</v>
      </c>
      <c r="E1075"/>
      <c r="F1075"/>
      <c r="G1075"/>
      <c r="H1075"/>
      <c r="I1075" s="489"/>
      <c r="J1075" s="1095"/>
      <c r="K1075" s="1095"/>
      <c r="L1075" s="1095"/>
      <c r="M1075" s="1095"/>
    </row>
    <row r="1076" spans="1:13" x14ac:dyDescent="0.25">
      <c r="A1076">
        <v>804227</v>
      </c>
      <c r="B1076" t="s">
        <v>8413</v>
      </c>
      <c r="C1076" t="s">
        <v>2640</v>
      </c>
      <c r="D1076" s="254">
        <v>1556.21</v>
      </c>
      <c r="E1076"/>
      <c r="F1076"/>
      <c r="G1076"/>
      <c r="H1076"/>
      <c r="I1076" s="489"/>
      <c r="J1076" s="1095"/>
      <c r="K1076" s="1095"/>
      <c r="L1076" s="1095"/>
      <c r="M1076" s="1095"/>
    </row>
    <row r="1077" spans="1:13" x14ac:dyDescent="0.25">
      <c r="A1077">
        <v>804226</v>
      </c>
      <c r="B1077" t="s">
        <v>8414</v>
      </c>
      <c r="C1077" t="s">
        <v>2640</v>
      </c>
      <c r="D1077" s="254">
        <v>1269.1400000000001</v>
      </c>
      <c r="E1077"/>
      <c r="F1077"/>
      <c r="G1077"/>
      <c r="H1077"/>
      <c r="I1077" s="489"/>
      <c r="J1077" s="1095"/>
      <c r="K1077" s="1095"/>
      <c r="L1077" s="1095"/>
      <c r="M1077" s="1095"/>
    </row>
    <row r="1078" spans="1:13" x14ac:dyDescent="0.25">
      <c r="A1078">
        <v>804229</v>
      </c>
      <c r="B1078" t="s">
        <v>8415</v>
      </c>
      <c r="C1078" t="s">
        <v>2640</v>
      </c>
      <c r="D1078" s="254">
        <v>1604.59</v>
      </c>
      <c r="E1078"/>
      <c r="F1078"/>
      <c r="G1078"/>
      <c r="H1078"/>
      <c r="I1078" s="489"/>
      <c r="J1078" s="1095"/>
      <c r="K1078" s="1095"/>
      <c r="L1078" s="1095"/>
      <c r="M1078" s="1095"/>
    </row>
    <row r="1079" spans="1:13" x14ac:dyDescent="0.25">
      <c r="A1079">
        <v>804228</v>
      </c>
      <c r="B1079" t="s">
        <v>8416</v>
      </c>
      <c r="C1079" t="s">
        <v>2640</v>
      </c>
      <c r="D1079" s="254">
        <v>1315.66</v>
      </c>
      <c r="E1079"/>
      <c r="F1079"/>
      <c r="G1079"/>
      <c r="H1079"/>
      <c r="I1079" s="489"/>
      <c r="J1079" s="1095"/>
      <c r="K1079" s="1095"/>
      <c r="L1079" s="1095"/>
      <c r="M1079" s="1095"/>
    </row>
    <row r="1080" spans="1:13" x14ac:dyDescent="0.25">
      <c r="A1080">
        <v>804231</v>
      </c>
      <c r="B1080" t="s">
        <v>8417</v>
      </c>
      <c r="C1080" t="s">
        <v>2640</v>
      </c>
      <c r="D1080" s="254">
        <v>1670.76</v>
      </c>
      <c r="E1080"/>
      <c r="F1080"/>
      <c r="G1080"/>
      <c r="H1080"/>
      <c r="I1080" s="489"/>
      <c r="J1080" s="1095"/>
      <c r="K1080" s="1095"/>
      <c r="L1080" s="1095"/>
      <c r="M1080" s="1095"/>
    </row>
    <row r="1081" spans="1:13" x14ac:dyDescent="0.25">
      <c r="A1081">
        <v>804230</v>
      </c>
      <c r="B1081" t="s">
        <v>8418</v>
      </c>
      <c r="C1081" t="s">
        <v>2640</v>
      </c>
      <c r="D1081" s="254">
        <v>1379.68</v>
      </c>
      <c r="E1081"/>
      <c r="F1081"/>
      <c r="G1081"/>
      <c r="H1081"/>
      <c r="I1081" s="489"/>
      <c r="J1081" s="1095"/>
      <c r="K1081" s="1095"/>
      <c r="L1081" s="1095"/>
      <c r="M1081" s="1095"/>
    </row>
    <row r="1082" spans="1:13" x14ac:dyDescent="0.25">
      <c r="A1082">
        <v>804215</v>
      </c>
      <c r="B1082" t="s">
        <v>8419</v>
      </c>
      <c r="C1082" t="s">
        <v>2640</v>
      </c>
      <c r="D1082" s="254">
        <v>1438.73</v>
      </c>
      <c r="E1082"/>
      <c r="F1082"/>
      <c r="G1082"/>
      <c r="H1082"/>
      <c r="I1082" s="489"/>
      <c r="J1082" s="1095"/>
      <c r="K1082" s="1095"/>
      <c r="L1082" s="1095"/>
      <c r="M1082" s="1095"/>
    </row>
    <row r="1083" spans="1:13" x14ac:dyDescent="0.25">
      <c r="A1083">
        <v>804214</v>
      </c>
      <c r="B1083" t="s">
        <v>8420</v>
      </c>
      <c r="C1083" t="s">
        <v>2640</v>
      </c>
      <c r="D1083" s="254">
        <v>1158.1099999999999</v>
      </c>
      <c r="E1083"/>
      <c r="F1083"/>
      <c r="G1083"/>
      <c r="H1083"/>
      <c r="I1083" s="489"/>
      <c r="J1083" s="1095"/>
      <c r="K1083" s="1095"/>
      <c r="L1083" s="1095"/>
      <c r="M1083" s="1095"/>
    </row>
    <row r="1084" spans="1:13" x14ac:dyDescent="0.25">
      <c r="A1084">
        <v>804417</v>
      </c>
      <c r="B1084" t="s">
        <v>8421</v>
      </c>
      <c r="C1084" t="s">
        <v>2640</v>
      </c>
      <c r="D1084" s="254">
        <v>3719.04</v>
      </c>
      <c r="E1084"/>
      <c r="F1084"/>
      <c r="G1084"/>
      <c r="H1084"/>
      <c r="I1084" s="489"/>
      <c r="J1084" s="1095"/>
      <c r="K1084" s="1095"/>
      <c r="L1084" s="1095"/>
      <c r="M1084" s="1095"/>
    </row>
    <row r="1085" spans="1:13" x14ac:dyDescent="0.25">
      <c r="A1085">
        <v>804233</v>
      </c>
      <c r="B1085" t="s">
        <v>6285</v>
      </c>
      <c r="C1085" t="s">
        <v>2640</v>
      </c>
      <c r="D1085" s="254">
        <v>2142.61</v>
      </c>
      <c r="E1085"/>
      <c r="F1085"/>
      <c r="G1085"/>
      <c r="H1085"/>
      <c r="I1085" s="489"/>
      <c r="J1085" s="1095"/>
      <c r="K1085" s="1095"/>
      <c r="L1085" s="1095"/>
      <c r="M1085" s="1095"/>
    </row>
    <row r="1086" spans="1:13" x14ac:dyDescent="0.25">
      <c r="A1086">
        <v>804416</v>
      </c>
      <c r="B1086" t="s">
        <v>8422</v>
      </c>
      <c r="C1086" t="s">
        <v>2640</v>
      </c>
      <c r="D1086" s="254">
        <v>2987.24</v>
      </c>
      <c r="E1086"/>
      <c r="F1086"/>
      <c r="G1086"/>
      <c r="H1086"/>
      <c r="I1086" s="489"/>
      <c r="J1086" s="1095"/>
      <c r="K1086" s="1095"/>
      <c r="L1086" s="1095"/>
      <c r="M1086" s="1095"/>
    </row>
    <row r="1087" spans="1:13" x14ac:dyDescent="0.25">
      <c r="A1087">
        <v>804232</v>
      </c>
      <c r="B1087" t="s">
        <v>8423</v>
      </c>
      <c r="C1087" t="s">
        <v>2640</v>
      </c>
      <c r="D1087" s="254">
        <v>1707.35</v>
      </c>
      <c r="E1087"/>
      <c r="F1087"/>
      <c r="G1087"/>
      <c r="H1087"/>
      <c r="I1087" s="489"/>
      <c r="J1087" s="1095"/>
      <c r="K1087" s="1095"/>
      <c r="L1087" s="1095"/>
      <c r="M1087" s="1095"/>
    </row>
    <row r="1088" spans="1:13" x14ac:dyDescent="0.25">
      <c r="A1088">
        <v>804237</v>
      </c>
      <c r="B1088" t="s">
        <v>8424</v>
      </c>
      <c r="C1088" t="s">
        <v>2640</v>
      </c>
      <c r="D1088" s="254">
        <v>2154.54</v>
      </c>
      <c r="E1088"/>
      <c r="F1088"/>
      <c r="G1088"/>
      <c r="H1088"/>
      <c r="I1088" s="489"/>
      <c r="J1088" s="1095"/>
      <c r="K1088" s="1095"/>
      <c r="L1088" s="1095"/>
      <c r="M1088" s="1095"/>
    </row>
    <row r="1089" spans="1:13" x14ac:dyDescent="0.25">
      <c r="A1089">
        <v>804236</v>
      </c>
      <c r="B1089" t="s">
        <v>8425</v>
      </c>
      <c r="C1089" t="s">
        <v>2640</v>
      </c>
      <c r="D1089" s="254">
        <v>1718.27</v>
      </c>
      <c r="E1089"/>
      <c r="F1089"/>
      <c r="G1089"/>
      <c r="H1089"/>
      <c r="I1089" s="489"/>
      <c r="J1089" s="1095"/>
      <c r="K1089" s="1095"/>
      <c r="L1089" s="1095"/>
      <c r="M1089" s="1095"/>
    </row>
    <row r="1090" spans="1:13" x14ac:dyDescent="0.25">
      <c r="A1090">
        <v>804419</v>
      </c>
      <c r="B1090" t="s">
        <v>8426</v>
      </c>
      <c r="C1090" t="s">
        <v>2640</v>
      </c>
      <c r="D1090" s="254">
        <v>3890.86</v>
      </c>
      <c r="E1090"/>
      <c r="F1090"/>
      <c r="G1090"/>
      <c r="H1090"/>
      <c r="I1090" s="489"/>
      <c r="J1090" s="1095"/>
      <c r="K1090" s="1095"/>
      <c r="L1090" s="1095"/>
      <c r="M1090" s="1095"/>
    </row>
    <row r="1091" spans="1:13" x14ac:dyDescent="0.25">
      <c r="A1091">
        <v>804239</v>
      </c>
      <c r="B1091" t="s">
        <v>8427</v>
      </c>
      <c r="C1091" t="s">
        <v>2640</v>
      </c>
      <c r="D1091" s="254">
        <v>2170.0700000000002</v>
      </c>
      <c r="E1091"/>
      <c r="F1091"/>
      <c r="G1091"/>
      <c r="H1091"/>
      <c r="I1091" s="489"/>
      <c r="J1091" s="1095"/>
      <c r="K1091" s="1095"/>
      <c r="L1091" s="1095"/>
      <c r="M1091" s="1095"/>
    </row>
    <row r="1092" spans="1:13" x14ac:dyDescent="0.25">
      <c r="A1092">
        <v>804418</v>
      </c>
      <c r="B1092" t="s">
        <v>8428</v>
      </c>
      <c r="C1092" t="s">
        <v>2640</v>
      </c>
      <c r="D1092" s="254">
        <v>3124.1</v>
      </c>
      <c r="E1092"/>
      <c r="F1092"/>
      <c r="G1092"/>
      <c r="H1092"/>
      <c r="I1092" s="489"/>
      <c r="J1092" s="1095"/>
      <c r="K1092" s="1095"/>
      <c r="L1092" s="1095"/>
      <c r="M1092" s="1095"/>
    </row>
    <row r="1093" spans="1:13" x14ac:dyDescent="0.25">
      <c r="A1093">
        <v>804238</v>
      </c>
      <c r="B1093" t="s">
        <v>8429</v>
      </c>
      <c r="C1093" t="s">
        <v>2640</v>
      </c>
      <c r="D1093" s="254">
        <v>1732.51</v>
      </c>
      <c r="E1093"/>
      <c r="F1093"/>
      <c r="G1093"/>
      <c r="H1093"/>
      <c r="I1093" s="489"/>
      <c r="J1093" s="1095"/>
      <c r="K1093" s="1095"/>
      <c r="L1093" s="1095"/>
      <c r="M1093" s="1095"/>
    </row>
    <row r="1094" spans="1:13" x14ac:dyDescent="0.25">
      <c r="A1094">
        <v>804241</v>
      </c>
      <c r="B1094" t="s">
        <v>8430</v>
      </c>
      <c r="C1094" t="s">
        <v>2640</v>
      </c>
      <c r="D1094" s="254">
        <v>2192.34</v>
      </c>
      <c r="E1094"/>
      <c r="F1094"/>
      <c r="G1094"/>
      <c r="H1094"/>
      <c r="I1094" s="489"/>
      <c r="J1094" s="1095"/>
      <c r="K1094" s="1095"/>
      <c r="L1094" s="1095"/>
      <c r="M1094" s="1095"/>
    </row>
    <row r="1095" spans="1:13" x14ac:dyDescent="0.25">
      <c r="A1095">
        <v>804240</v>
      </c>
      <c r="B1095" t="s">
        <v>8431</v>
      </c>
      <c r="C1095" t="s">
        <v>2640</v>
      </c>
      <c r="D1095" s="254">
        <v>1753.07</v>
      </c>
      <c r="E1095"/>
      <c r="F1095"/>
      <c r="G1095"/>
      <c r="H1095"/>
      <c r="I1095" s="489"/>
      <c r="J1095" s="1095"/>
      <c r="K1095" s="1095"/>
      <c r="L1095" s="1095"/>
      <c r="M1095" s="1095"/>
    </row>
    <row r="1096" spans="1:13" x14ac:dyDescent="0.25">
      <c r="A1096">
        <v>804243</v>
      </c>
      <c r="B1096" t="s">
        <v>8432</v>
      </c>
      <c r="C1096" t="s">
        <v>2640</v>
      </c>
      <c r="D1096" s="254">
        <v>2222.7199999999998</v>
      </c>
      <c r="E1096"/>
      <c r="F1096"/>
      <c r="G1096"/>
      <c r="H1096"/>
      <c r="I1096" s="489"/>
      <c r="J1096" s="1095"/>
      <c r="K1096" s="1095"/>
      <c r="L1096" s="1095"/>
      <c r="M1096" s="1095"/>
    </row>
    <row r="1097" spans="1:13" x14ac:dyDescent="0.25">
      <c r="A1097">
        <v>804242</v>
      </c>
      <c r="B1097" t="s">
        <v>8433</v>
      </c>
      <c r="C1097" t="s">
        <v>2640</v>
      </c>
      <c r="D1097" s="254">
        <v>1781.3</v>
      </c>
      <c r="E1097"/>
      <c r="F1097"/>
      <c r="G1097"/>
      <c r="H1097"/>
      <c r="I1097" s="489"/>
      <c r="J1097" s="1095"/>
      <c r="K1097" s="1095"/>
      <c r="L1097" s="1095"/>
      <c r="M1097" s="1095"/>
    </row>
    <row r="1098" spans="1:13" x14ac:dyDescent="0.25">
      <c r="A1098">
        <v>804421</v>
      </c>
      <c r="B1098" t="s">
        <v>8434</v>
      </c>
      <c r="C1098" t="s">
        <v>2640</v>
      </c>
      <c r="D1098" s="254">
        <v>4342.68</v>
      </c>
      <c r="E1098"/>
      <c r="F1098"/>
      <c r="G1098"/>
      <c r="H1098"/>
      <c r="I1098" s="489"/>
      <c r="J1098" s="1095"/>
      <c r="K1098" s="1095"/>
      <c r="L1098" s="1095"/>
      <c r="M1098" s="1095"/>
    </row>
    <row r="1099" spans="1:13" x14ac:dyDescent="0.25">
      <c r="A1099">
        <v>804245</v>
      </c>
      <c r="B1099" t="s">
        <v>8435</v>
      </c>
      <c r="C1099" t="s">
        <v>2640</v>
      </c>
      <c r="D1099" s="254">
        <v>2263.6799999999998</v>
      </c>
      <c r="E1099"/>
      <c r="F1099"/>
      <c r="G1099"/>
      <c r="H1099"/>
      <c r="I1099" s="489"/>
      <c r="J1099" s="1095"/>
      <c r="K1099" s="1095"/>
      <c r="L1099" s="1095"/>
      <c r="M1099" s="1095"/>
    </row>
    <row r="1100" spans="1:13" x14ac:dyDescent="0.25">
      <c r="A1100">
        <v>804420</v>
      </c>
      <c r="B1100" t="s">
        <v>8436</v>
      </c>
      <c r="C1100" t="s">
        <v>2640</v>
      </c>
      <c r="D1100" s="254">
        <v>3484.63</v>
      </c>
      <c r="E1100"/>
      <c r="F1100"/>
      <c r="G1100"/>
      <c r="H1100"/>
      <c r="I1100" s="489"/>
      <c r="J1100" s="1095"/>
      <c r="K1100" s="1095"/>
      <c r="L1100" s="1095"/>
      <c r="M1100" s="1095"/>
    </row>
    <row r="1101" spans="1:13" x14ac:dyDescent="0.25">
      <c r="A1101">
        <v>804244</v>
      </c>
      <c r="B1101" t="s">
        <v>8437</v>
      </c>
      <c r="C1101" t="s">
        <v>2640</v>
      </c>
      <c r="D1101" s="254">
        <v>1819.53</v>
      </c>
      <c r="E1101"/>
      <c r="F1101"/>
      <c r="G1101"/>
      <c r="H1101"/>
      <c r="I1101" s="489"/>
      <c r="J1101" s="1095"/>
      <c r="K1101" s="1095"/>
      <c r="L1101" s="1095"/>
      <c r="M1101" s="1095"/>
    </row>
    <row r="1102" spans="1:13" x14ac:dyDescent="0.25">
      <c r="A1102">
        <v>804247</v>
      </c>
      <c r="B1102" t="s">
        <v>8438</v>
      </c>
      <c r="C1102" t="s">
        <v>2640</v>
      </c>
      <c r="D1102" s="254">
        <v>2317.0100000000002</v>
      </c>
      <c r="E1102"/>
      <c r="F1102"/>
      <c r="G1102"/>
      <c r="H1102"/>
      <c r="I1102" s="489"/>
      <c r="J1102" s="1095"/>
      <c r="K1102" s="1095"/>
      <c r="L1102" s="1095"/>
      <c r="M1102" s="1095"/>
    </row>
    <row r="1103" spans="1:13" x14ac:dyDescent="0.25">
      <c r="A1103">
        <v>804246</v>
      </c>
      <c r="B1103" t="s">
        <v>8439</v>
      </c>
      <c r="C1103" t="s">
        <v>2640</v>
      </c>
      <c r="D1103" s="254">
        <v>1869.86</v>
      </c>
      <c r="E1103"/>
      <c r="F1103"/>
      <c r="G1103"/>
      <c r="H1103"/>
      <c r="I1103" s="489"/>
      <c r="J1103" s="1095"/>
      <c r="K1103" s="1095"/>
      <c r="L1103" s="1095"/>
      <c r="M1103" s="1095"/>
    </row>
    <row r="1104" spans="1:13" x14ac:dyDescent="0.25">
      <c r="A1104">
        <v>804249</v>
      </c>
      <c r="B1104" t="s">
        <v>8440</v>
      </c>
      <c r="C1104" t="s">
        <v>2640</v>
      </c>
      <c r="D1104" s="254">
        <v>2388.36</v>
      </c>
      <c r="E1104"/>
      <c r="F1104"/>
      <c r="G1104"/>
      <c r="H1104"/>
      <c r="I1104" s="489"/>
      <c r="J1104" s="1095"/>
      <c r="K1104" s="1095"/>
      <c r="L1104" s="1095"/>
      <c r="M1104" s="1095"/>
    </row>
    <row r="1105" spans="1:13" x14ac:dyDescent="0.25">
      <c r="A1105">
        <v>804248</v>
      </c>
      <c r="B1105" t="s">
        <v>8441</v>
      </c>
      <c r="C1105" t="s">
        <v>2640</v>
      </c>
      <c r="D1105" s="254">
        <v>1937.61</v>
      </c>
      <c r="E1105"/>
      <c r="F1105"/>
      <c r="G1105"/>
      <c r="H1105"/>
      <c r="I1105" s="489"/>
      <c r="J1105" s="1095"/>
      <c r="K1105" s="1095"/>
      <c r="L1105" s="1095"/>
      <c r="M1105" s="1095"/>
    </row>
    <row r="1106" spans="1:13" x14ac:dyDescent="0.25">
      <c r="A1106">
        <v>804423</v>
      </c>
      <c r="B1106" t="s">
        <v>8442</v>
      </c>
      <c r="C1106" t="s">
        <v>2640</v>
      </c>
      <c r="D1106" s="254">
        <v>5380.14</v>
      </c>
      <c r="E1106"/>
      <c r="F1106"/>
      <c r="G1106"/>
      <c r="H1106"/>
      <c r="I1106" s="489"/>
      <c r="J1106" s="1095"/>
      <c r="K1106" s="1095"/>
      <c r="L1106" s="1095"/>
      <c r="M1106" s="1095"/>
    </row>
    <row r="1107" spans="1:13" x14ac:dyDescent="0.25">
      <c r="A1107">
        <v>804251</v>
      </c>
      <c r="B1107" t="s">
        <v>8443</v>
      </c>
      <c r="C1107" t="s">
        <v>2640</v>
      </c>
      <c r="D1107" s="254">
        <v>2483.11</v>
      </c>
      <c r="E1107"/>
      <c r="F1107"/>
      <c r="G1107"/>
      <c r="H1107"/>
      <c r="I1107" s="489"/>
      <c r="J1107" s="1095"/>
      <c r="K1107" s="1095"/>
      <c r="L1107" s="1095"/>
      <c r="M1107" s="1095"/>
    </row>
    <row r="1108" spans="1:13" x14ac:dyDescent="0.25">
      <c r="A1108">
        <v>804422</v>
      </c>
      <c r="B1108" t="s">
        <v>8444</v>
      </c>
      <c r="C1108" t="s">
        <v>2640</v>
      </c>
      <c r="D1108" s="254">
        <v>4309.54</v>
      </c>
      <c r="E1108"/>
      <c r="F1108"/>
      <c r="G1108"/>
      <c r="H1108"/>
      <c r="I1108" s="489"/>
      <c r="J1108" s="1095"/>
      <c r="K1108" s="1095"/>
      <c r="L1108" s="1095"/>
      <c r="M1108" s="1095"/>
    </row>
    <row r="1109" spans="1:13" x14ac:dyDescent="0.25">
      <c r="A1109">
        <v>804250</v>
      </c>
      <c r="B1109" t="s">
        <v>8445</v>
      </c>
      <c r="C1109" t="s">
        <v>2640</v>
      </c>
      <c r="D1109" s="254">
        <v>2028.64</v>
      </c>
      <c r="E1109"/>
      <c r="F1109"/>
      <c r="G1109"/>
      <c r="H1109"/>
      <c r="I1109" s="489"/>
      <c r="J1109" s="1095"/>
      <c r="K1109" s="1095"/>
      <c r="L1109" s="1095"/>
      <c r="M1109" s="1095"/>
    </row>
    <row r="1110" spans="1:13" x14ac:dyDescent="0.25">
      <c r="A1110">
        <v>804235</v>
      </c>
      <c r="B1110" t="s">
        <v>8446</v>
      </c>
      <c r="C1110" t="s">
        <v>2640</v>
      </c>
      <c r="D1110" s="254">
        <v>2145.54</v>
      </c>
      <c r="E1110"/>
      <c r="F1110"/>
      <c r="G1110"/>
      <c r="H1110"/>
      <c r="I1110" s="489"/>
      <c r="J1110" s="1095"/>
      <c r="K1110" s="1095"/>
      <c r="L1110" s="1095"/>
      <c r="M1110" s="1095"/>
    </row>
    <row r="1111" spans="1:13" x14ac:dyDescent="0.25">
      <c r="A1111">
        <v>804234</v>
      </c>
      <c r="B1111" t="s">
        <v>8447</v>
      </c>
      <c r="C1111" t="s">
        <v>2640</v>
      </c>
      <c r="D1111" s="254">
        <v>1709.99</v>
      </c>
      <c r="E1111"/>
      <c r="F1111"/>
      <c r="G1111"/>
      <c r="H1111"/>
      <c r="I1111" s="489"/>
      <c r="J1111" s="1095"/>
      <c r="K1111" s="1095"/>
      <c r="L1111" s="1095"/>
      <c r="M1111" s="1095"/>
    </row>
    <row r="1112" spans="1:13" x14ac:dyDescent="0.25">
      <c r="A1112">
        <v>804425</v>
      </c>
      <c r="B1112" t="s">
        <v>8448</v>
      </c>
      <c r="C1112" t="s">
        <v>2640</v>
      </c>
      <c r="D1112" s="254">
        <v>5420.62</v>
      </c>
      <c r="E1112"/>
      <c r="F1112"/>
      <c r="G1112"/>
      <c r="H1112"/>
      <c r="I1112" s="489"/>
      <c r="J1112" s="1095"/>
      <c r="K1112" s="1095"/>
      <c r="L1112" s="1095"/>
      <c r="M1112" s="1095"/>
    </row>
    <row r="1113" spans="1:13" x14ac:dyDescent="0.25">
      <c r="A1113">
        <v>804253</v>
      </c>
      <c r="B1113" t="s">
        <v>8449</v>
      </c>
      <c r="C1113" t="s">
        <v>2640</v>
      </c>
      <c r="D1113" s="254">
        <v>2989.25</v>
      </c>
      <c r="E1113"/>
      <c r="F1113"/>
      <c r="G1113"/>
      <c r="H1113"/>
      <c r="I1113" s="489"/>
      <c r="J1113" s="1095"/>
      <c r="K1113" s="1095"/>
      <c r="L1113" s="1095"/>
      <c r="M1113" s="1095"/>
    </row>
    <row r="1114" spans="1:13" x14ac:dyDescent="0.25">
      <c r="A1114">
        <v>804424</v>
      </c>
      <c r="B1114" t="s">
        <v>8450</v>
      </c>
      <c r="C1114" t="s">
        <v>2640</v>
      </c>
      <c r="D1114" s="254">
        <v>4289.96</v>
      </c>
      <c r="E1114"/>
      <c r="F1114"/>
      <c r="G1114"/>
      <c r="H1114"/>
      <c r="I1114" s="489"/>
      <c r="J1114" s="1095"/>
      <c r="K1114" s="1095"/>
      <c r="L1114" s="1095"/>
      <c r="M1114" s="1095"/>
    </row>
    <row r="1115" spans="1:13" x14ac:dyDescent="0.25">
      <c r="A1115">
        <v>804252</v>
      </c>
      <c r="B1115" t="s">
        <v>8451</v>
      </c>
      <c r="C1115" t="s">
        <v>2640</v>
      </c>
      <c r="D1115" s="254">
        <v>2357.5</v>
      </c>
      <c r="E1115"/>
      <c r="F1115"/>
      <c r="G1115"/>
      <c r="H1115"/>
      <c r="I1115" s="489"/>
      <c r="J1115" s="1095"/>
      <c r="K1115" s="1095"/>
      <c r="L1115" s="1095"/>
      <c r="M1115" s="1095"/>
    </row>
    <row r="1116" spans="1:13" x14ac:dyDescent="0.25">
      <c r="A1116">
        <v>804257</v>
      </c>
      <c r="B1116" t="s">
        <v>8452</v>
      </c>
      <c r="C1116" t="s">
        <v>2640</v>
      </c>
      <c r="D1116" s="254">
        <v>3007.03</v>
      </c>
      <c r="E1116"/>
      <c r="F1116"/>
      <c r="G1116"/>
      <c r="H1116"/>
      <c r="I1116" s="489"/>
      <c r="J1116" s="1095"/>
      <c r="K1116" s="1095"/>
      <c r="L1116" s="1095"/>
      <c r="M1116" s="1095"/>
    </row>
    <row r="1117" spans="1:13" x14ac:dyDescent="0.25">
      <c r="A1117">
        <v>804256</v>
      </c>
      <c r="B1117" t="s">
        <v>8453</v>
      </c>
      <c r="C1117" t="s">
        <v>2640</v>
      </c>
      <c r="D1117" s="254">
        <v>2373.27</v>
      </c>
      <c r="E1117"/>
      <c r="F1117"/>
      <c r="G1117"/>
      <c r="H1117"/>
      <c r="I1117" s="489"/>
      <c r="J1117" s="1095"/>
      <c r="K1117" s="1095"/>
      <c r="L1117" s="1095"/>
      <c r="M1117" s="1095"/>
    </row>
    <row r="1118" spans="1:13" x14ac:dyDescent="0.25">
      <c r="A1118">
        <v>804427</v>
      </c>
      <c r="B1118" t="s">
        <v>8454</v>
      </c>
      <c r="C1118" t="s">
        <v>2640</v>
      </c>
      <c r="D1118" s="254">
        <v>5684.18</v>
      </c>
      <c r="E1118"/>
      <c r="F1118"/>
      <c r="G1118"/>
      <c r="H1118"/>
      <c r="I1118" s="489"/>
      <c r="J1118" s="1095"/>
      <c r="K1118" s="1095"/>
      <c r="L1118" s="1095"/>
      <c r="M1118" s="1095"/>
    </row>
    <row r="1119" spans="1:13" x14ac:dyDescent="0.25">
      <c r="A1119">
        <v>804259</v>
      </c>
      <c r="B1119" t="s">
        <v>8455</v>
      </c>
      <c r="C1119" t="s">
        <v>2640</v>
      </c>
      <c r="D1119" s="254">
        <v>3029.53</v>
      </c>
      <c r="E1119"/>
      <c r="F1119"/>
      <c r="G1119"/>
      <c r="H1119"/>
      <c r="I1119" s="489"/>
      <c r="J1119" s="1095"/>
      <c r="K1119" s="1095"/>
      <c r="L1119" s="1095"/>
      <c r="M1119" s="1095"/>
    </row>
    <row r="1120" spans="1:13" x14ac:dyDescent="0.25">
      <c r="A1120">
        <v>804426</v>
      </c>
      <c r="B1120" t="s">
        <v>8456</v>
      </c>
      <c r="C1120" t="s">
        <v>2640</v>
      </c>
      <c r="D1120" s="254">
        <v>4496.2</v>
      </c>
      <c r="E1120"/>
      <c r="F1120"/>
      <c r="G1120"/>
      <c r="H1120"/>
      <c r="I1120" s="489"/>
      <c r="J1120" s="1095"/>
      <c r="K1120" s="1095"/>
      <c r="L1120" s="1095"/>
      <c r="M1120" s="1095"/>
    </row>
    <row r="1121" spans="1:13" x14ac:dyDescent="0.25">
      <c r="A1121">
        <v>804258</v>
      </c>
      <c r="B1121" t="s">
        <v>8457</v>
      </c>
      <c r="C1121" t="s">
        <v>2640</v>
      </c>
      <c r="D1121" s="254">
        <v>2393.33</v>
      </c>
      <c r="E1121"/>
      <c r="F1121"/>
      <c r="G1121"/>
      <c r="H1121"/>
      <c r="I1121" s="489"/>
      <c r="J1121" s="1095"/>
      <c r="K1121" s="1095"/>
      <c r="L1121" s="1095"/>
      <c r="M1121" s="1095"/>
    </row>
    <row r="1122" spans="1:13" x14ac:dyDescent="0.25">
      <c r="A1122">
        <v>804261</v>
      </c>
      <c r="B1122" t="s">
        <v>8458</v>
      </c>
      <c r="C1122" t="s">
        <v>2640</v>
      </c>
      <c r="D1122" s="254">
        <v>3062.6</v>
      </c>
      <c r="E1122"/>
      <c r="F1122"/>
      <c r="G1122"/>
      <c r="H1122"/>
      <c r="I1122" s="489"/>
      <c r="J1122" s="1095"/>
      <c r="K1122" s="1095"/>
      <c r="L1122" s="1095"/>
      <c r="M1122" s="1095"/>
    </row>
    <row r="1123" spans="1:13" x14ac:dyDescent="0.25">
      <c r="A1123">
        <v>804260</v>
      </c>
      <c r="B1123" t="s">
        <v>8459</v>
      </c>
      <c r="C1123" t="s">
        <v>2640</v>
      </c>
      <c r="D1123" s="254">
        <v>2422.96</v>
      </c>
      <c r="E1123"/>
      <c r="F1123"/>
      <c r="G1123"/>
      <c r="H1123"/>
      <c r="I1123" s="489"/>
      <c r="J1123" s="1095"/>
      <c r="K1123" s="1095"/>
      <c r="L1123" s="1095"/>
      <c r="M1123" s="1095"/>
    </row>
    <row r="1124" spans="1:13" x14ac:dyDescent="0.25">
      <c r="A1124">
        <v>804263</v>
      </c>
      <c r="B1124" t="s">
        <v>8460</v>
      </c>
      <c r="C1124" t="s">
        <v>2640</v>
      </c>
      <c r="D1124" s="254">
        <v>3107.6</v>
      </c>
      <c r="E1124"/>
      <c r="F1124"/>
      <c r="G1124"/>
      <c r="H1124"/>
      <c r="I1124" s="489"/>
      <c r="J1124" s="1095"/>
      <c r="K1124" s="1095"/>
      <c r="L1124" s="1095"/>
      <c r="M1124" s="1095"/>
    </row>
    <row r="1125" spans="1:13" x14ac:dyDescent="0.25">
      <c r="A1125">
        <v>804262</v>
      </c>
      <c r="B1125" t="s">
        <v>8461</v>
      </c>
      <c r="C1125" t="s">
        <v>2640</v>
      </c>
      <c r="D1125" s="254">
        <v>2463.52</v>
      </c>
      <c r="E1125"/>
      <c r="F1125"/>
      <c r="G1125"/>
      <c r="H1125"/>
      <c r="I1125" s="489"/>
      <c r="J1125" s="1095"/>
      <c r="K1125" s="1095"/>
      <c r="L1125" s="1095"/>
      <c r="M1125" s="1095"/>
    </row>
    <row r="1126" spans="1:13" x14ac:dyDescent="0.25">
      <c r="A1126">
        <v>804429</v>
      </c>
      <c r="B1126" t="s">
        <v>8462</v>
      </c>
      <c r="C1126" t="s">
        <v>2640</v>
      </c>
      <c r="D1126" s="254">
        <v>6346.7</v>
      </c>
      <c r="E1126"/>
      <c r="F1126"/>
      <c r="G1126"/>
      <c r="H1126"/>
      <c r="I1126" s="489"/>
      <c r="J1126" s="1095"/>
      <c r="K1126" s="1095"/>
      <c r="L1126" s="1095"/>
      <c r="M1126" s="1095"/>
    </row>
    <row r="1127" spans="1:13" x14ac:dyDescent="0.25">
      <c r="A1127">
        <v>804265</v>
      </c>
      <c r="B1127" t="s">
        <v>8463</v>
      </c>
      <c r="C1127" t="s">
        <v>2640</v>
      </c>
      <c r="D1127" s="254">
        <v>3167.45</v>
      </c>
      <c r="E1127"/>
      <c r="F1127"/>
      <c r="G1127"/>
      <c r="H1127"/>
      <c r="I1127" s="489"/>
      <c r="J1127" s="1095"/>
      <c r="K1127" s="1095"/>
      <c r="L1127" s="1095"/>
      <c r="M1127" s="1095"/>
    </row>
    <row r="1128" spans="1:13" x14ac:dyDescent="0.25">
      <c r="A1128">
        <v>804428</v>
      </c>
      <c r="B1128" t="s">
        <v>8464</v>
      </c>
      <c r="C1128" t="s">
        <v>2640</v>
      </c>
      <c r="D1128" s="254">
        <v>5015.97</v>
      </c>
      <c r="E1128"/>
      <c r="F1128"/>
      <c r="G1128"/>
      <c r="H1128"/>
      <c r="I1128" s="489"/>
      <c r="J1128" s="1095"/>
      <c r="K1128" s="1095"/>
      <c r="L1128" s="1095"/>
      <c r="M1128" s="1095"/>
    </row>
    <row r="1129" spans="1:13" x14ac:dyDescent="0.25">
      <c r="A1129">
        <v>804264</v>
      </c>
      <c r="B1129" t="s">
        <v>8465</v>
      </c>
      <c r="C1129" t="s">
        <v>2640</v>
      </c>
      <c r="D1129" s="254">
        <v>2518.0700000000002</v>
      </c>
      <c r="E1129"/>
      <c r="F1129"/>
      <c r="G1129"/>
      <c r="H1129"/>
      <c r="I1129" s="489"/>
      <c r="J1129" s="1095"/>
      <c r="K1129" s="1095"/>
      <c r="L1129" s="1095"/>
      <c r="M1129" s="1095"/>
    </row>
    <row r="1130" spans="1:13" x14ac:dyDescent="0.25">
      <c r="A1130">
        <v>804267</v>
      </c>
      <c r="B1130" t="s">
        <v>8466</v>
      </c>
      <c r="C1130" t="s">
        <v>2640</v>
      </c>
      <c r="D1130" s="254">
        <v>3243.74</v>
      </c>
      <c r="E1130"/>
      <c r="F1130"/>
      <c r="G1130"/>
      <c r="H1130"/>
      <c r="I1130" s="489"/>
      <c r="J1130" s="1095"/>
      <c r="K1130" s="1095"/>
      <c r="L1130" s="1095"/>
      <c r="M1130" s="1095"/>
    </row>
    <row r="1131" spans="1:13" x14ac:dyDescent="0.25">
      <c r="A1131">
        <v>804266</v>
      </c>
      <c r="B1131" t="s">
        <v>8467</v>
      </c>
      <c r="C1131" t="s">
        <v>2640</v>
      </c>
      <c r="D1131" s="254">
        <v>2588.33</v>
      </c>
      <c r="E1131"/>
      <c r="F1131"/>
      <c r="G1131"/>
      <c r="H1131"/>
      <c r="I1131" s="489"/>
      <c r="J1131" s="1095"/>
      <c r="K1131" s="1095"/>
      <c r="L1131" s="1095"/>
      <c r="M1131" s="1095"/>
    </row>
    <row r="1132" spans="1:13" x14ac:dyDescent="0.25">
      <c r="A1132">
        <v>804269</v>
      </c>
      <c r="B1132" t="s">
        <v>8468</v>
      </c>
      <c r="C1132" t="s">
        <v>2640</v>
      </c>
      <c r="D1132" s="254">
        <v>3344.78</v>
      </c>
      <c r="E1132"/>
      <c r="F1132"/>
      <c r="G1132"/>
      <c r="H1132"/>
      <c r="I1132" s="489"/>
      <c r="J1132" s="1095"/>
      <c r="K1132" s="1095"/>
      <c r="L1132" s="1095"/>
      <c r="M1132" s="1095"/>
    </row>
    <row r="1133" spans="1:13" x14ac:dyDescent="0.25">
      <c r="A1133">
        <v>804268</v>
      </c>
      <c r="B1133" t="s">
        <v>8469</v>
      </c>
      <c r="C1133" t="s">
        <v>2640</v>
      </c>
      <c r="D1133" s="254">
        <v>2682.35</v>
      </c>
      <c r="E1133"/>
      <c r="F1133"/>
      <c r="G1133"/>
      <c r="H1133"/>
      <c r="I1133" s="489"/>
      <c r="J1133" s="1095"/>
      <c r="K1133" s="1095"/>
      <c r="L1133" s="1095"/>
      <c r="M1133" s="1095"/>
    </row>
    <row r="1134" spans="1:13" x14ac:dyDescent="0.25">
      <c r="A1134">
        <v>804431</v>
      </c>
      <c r="B1134" t="s">
        <v>8470</v>
      </c>
      <c r="C1134" t="s">
        <v>2640</v>
      </c>
      <c r="D1134" s="254">
        <v>7875.46</v>
      </c>
      <c r="E1134"/>
      <c r="F1134"/>
      <c r="G1134"/>
      <c r="H1134"/>
      <c r="I1134" s="489"/>
      <c r="J1134" s="1095"/>
      <c r="K1134" s="1095"/>
      <c r="L1134" s="1095"/>
      <c r="M1134" s="1095"/>
    </row>
    <row r="1135" spans="1:13" x14ac:dyDescent="0.25">
      <c r="A1135">
        <v>804271</v>
      </c>
      <c r="B1135" t="s">
        <v>8471</v>
      </c>
      <c r="C1135" t="s">
        <v>2640</v>
      </c>
      <c r="D1135" s="254">
        <v>3479.13</v>
      </c>
      <c r="E1135"/>
      <c r="F1135"/>
      <c r="G1135"/>
      <c r="H1135"/>
      <c r="I1135" s="489"/>
      <c r="J1135" s="1095"/>
      <c r="K1135" s="1095"/>
      <c r="L1135" s="1095"/>
      <c r="M1135" s="1095"/>
    </row>
    <row r="1136" spans="1:13" x14ac:dyDescent="0.25">
      <c r="A1136">
        <v>804430</v>
      </c>
      <c r="B1136" t="s">
        <v>8472</v>
      </c>
      <c r="C1136" t="s">
        <v>2640</v>
      </c>
      <c r="D1136" s="254">
        <v>6211.95</v>
      </c>
      <c r="E1136"/>
      <c r="F1136"/>
      <c r="G1136"/>
      <c r="H1136"/>
      <c r="I1136" s="489"/>
      <c r="J1136" s="1095"/>
      <c r="K1136" s="1095"/>
      <c r="L1136" s="1095"/>
      <c r="M1136" s="1095"/>
    </row>
    <row r="1137" spans="1:13" x14ac:dyDescent="0.25">
      <c r="A1137">
        <v>804270</v>
      </c>
      <c r="B1137" t="s">
        <v>8473</v>
      </c>
      <c r="C1137" t="s">
        <v>2640</v>
      </c>
      <c r="D1137" s="254">
        <v>2808.96</v>
      </c>
      <c r="E1137"/>
      <c r="F1137"/>
      <c r="G1137"/>
      <c r="H1137"/>
      <c r="I1137" s="489"/>
      <c r="J1137" s="1095"/>
      <c r="K1137" s="1095"/>
      <c r="L1137" s="1095"/>
      <c r="M1137" s="1095"/>
    </row>
    <row r="1138" spans="1:13" x14ac:dyDescent="0.25">
      <c r="A1138">
        <v>804255</v>
      </c>
      <c r="B1138" t="s">
        <v>8474</v>
      </c>
      <c r="C1138" t="s">
        <v>2640</v>
      </c>
      <c r="D1138" s="254">
        <v>2993.75</v>
      </c>
      <c r="E1138"/>
      <c r="F1138"/>
      <c r="G1138"/>
      <c r="H1138"/>
      <c r="I1138" s="489"/>
      <c r="J1138" s="1095"/>
      <c r="K1138" s="1095"/>
      <c r="L1138" s="1095"/>
      <c r="M1138" s="1095"/>
    </row>
    <row r="1139" spans="1:13" x14ac:dyDescent="0.25">
      <c r="A1139">
        <v>804254</v>
      </c>
      <c r="B1139" t="s">
        <v>8475</v>
      </c>
      <c r="C1139" t="s">
        <v>2640</v>
      </c>
      <c r="D1139" s="254">
        <v>2361.42</v>
      </c>
      <c r="E1139"/>
      <c r="F1139"/>
      <c r="G1139"/>
      <c r="H1139"/>
      <c r="I1139" s="489"/>
      <c r="J1139" s="1095"/>
      <c r="K1139" s="1095"/>
      <c r="L1139" s="1095"/>
      <c r="M1139" s="1095"/>
    </row>
    <row r="1140" spans="1:13" x14ac:dyDescent="0.25">
      <c r="A1140">
        <v>804433</v>
      </c>
      <c r="B1140" t="s">
        <v>8476</v>
      </c>
      <c r="C1140" t="s">
        <v>2640</v>
      </c>
      <c r="D1140" s="254">
        <v>9651.2999999999993</v>
      </c>
      <c r="E1140"/>
      <c r="F1140"/>
      <c r="G1140"/>
      <c r="H1140"/>
      <c r="I1140" s="489"/>
      <c r="J1140" s="1095"/>
      <c r="K1140" s="1095"/>
      <c r="L1140" s="1095"/>
      <c r="M1140" s="1095"/>
    </row>
    <row r="1141" spans="1:13" x14ac:dyDescent="0.25">
      <c r="A1141">
        <v>804273</v>
      </c>
      <c r="B1141" t="s">
        <v>8477</v>
      </c>
      <c r="C1141" t="s">
        <v>2640</v>
      </c>
      <c r="D1141" s="254">
        <v>5149.37</v>
      </c>
      <c r="E1141"/>
      <c r="F1141"/>
      <c r="G1141"/>
      <c r="H1141"/>
      <c r="I1141" s="489"/>
      <c r="J1141" s="1095"/>
      <c r="K1141" s="1095"/>
      <c r="L1141" s="1095"/>
      <c r="M1141" s="1095"/>
    </row>
    <row r="1142" spans="1:13" x14ac:dyDescent="0.25">
      <c r="A1142">
        <v>804432</v>
      </c>
      <c r="B1142" t="s">
        <v>8478</v>
      </c>
      <c r="C1142" t="s">
        <v>2640</v>
      </c>
      <c r="D1142" s="254">
        <v>7481.73</v>
      </c>
      <c r="E1142"/>
      <c r="F1142"/>
      <c r="G1142"/>
      <c r="H1142"/>
      <c r="I1142" s="489"/>
      <c r="J1142" s="1095"/>
      <c r="K1142" s="1095"/>
      <c r="L1142" s="1095"/>
      <c r="M1142" s="1095"/>
    </row>
    <row r="1143" spans="1:13" x14ac:dyDescent="0.25">
      <c r="A1143">
        <v>804272</v>
      </c>
      <c r="B1143" t="s">
        <v>8479</v>
      </c>
      <c r="C1143" t="s">
        <v>2640</v>
      </c>
      <c r="D1143" s="254">
        <v>4019.29</v>
      </c>
      <c r="E1143"/>
      <c r="F1143"/>
      <c r="G1143"/>
      <c r="H1143"/>
      <c r="I1143" s="489"/>
      <c r="J1143" s="1095"/>
      <c r="K1143" s="1095"/>
      <c r="L1143" s="1095"/>
      <c r="M1143" s="1095"/>
    </row>
    <row r="1144" spans="1:13" x14ac:dyDescent="0.25">
      <c r="A1144">
        <v>804277</v>
      </c>
      <c r="B1144" t="s">
        <v>8480</v>
      </c>
      <c r="C1144" t="s">
        <v>2640</v>
      </c>
      <c r="D1144" s="254">
        <v>5176.37</v>
      </c>
      <c r="E1144"/>
      <c r="F1144"/>
      <c r="G1144"/>
      <c r="H1144"/>
      <c r="I1144" s="489"/>
      <c r="J1144" s="1095"/>
      <c r="K1144" s="1095"/>
      <c r="L1144" s="1095"/>
      <c r="M1144" s="1095"/>
    </row>
    <row r="1145" spans="1:13" x14ac:dyDescent="0.25">
      <c r="A1145">
        <v>804276</v>
      </c>
      <c r="B1145" t="s">
        <v>8481</v>
      </c>
      <c r="C1145" t="s">
        <v>2640</v>
      </c>
      <c r="D1145" s="254">
        <v>4042.85</v>
      </c>
      <c r="E1145"/>
      <c r="F1145"/>
      <c r="G1145"/>
      <c r="H1145"/>
      <c r="I1145" s="489"/>
      <c r="J1145" s="1095"/>
      <c r="K1145" s="1095"/>
      <c r="L1145" s="1095"/>
      <c r="M1145" s="1095"/>
    </row>
    <row r="1146" spans="1:13" x14ac:dyDescent="0.25">
      <c r="A1146">
        <v>804435</v>
      </c>
      <c r="B1146" t="s">
        <v>8482</v>
      </c>
      <c r="C1146" t="s">
        <v>2640</v>
      </c>
      <c r="D1146" s="254">
        <v>10130.959999999999</v>
      </c>
      <c r="E1146"/>
      <c r="F1146"/>
      <c r="G1146"/>
      <c r="H1146"/>
      <c r="I1146" s="489"/>
      <c r="J1146" s="1095"/>
      <c r="K1146" s="1095"/>
      <c r="L1146" s="1095"/>
      <c r="M1146" s="1095"/>
    </row>
    <row r="1147" spans="1:13" x14ac:dyDescent="0.25">
      <c r="A1147">
        <v>804279</v>
      </c>
      <c r="B1147" t="s">
        <v>8483</v>
      </c>
      <c r="C1147" t="s">
        <v>2640</v>
      </c>
      <c r="D1147" s="254">
        <v>5210.12</v>
      </c>
      <c r="E1147"/>
      <c r="F1147"/>
      <c r="G1147"/>
      <c r="H1147"/>
      <c r="I1147" s="489"/>
      <c r="J1147" s="1095"/>
      <c r="K1147" s="1095"/>
      <c r="L1147" s="1095"/>
      <c r="M1147" s="1095"/>
    </row>
    <row r="1148" spans="1:13" x14ac:dyDescent="0.25">
      <c r="A1148">
        <v>804434</v>
      </c>
      <c r="B1148" t="s">
        <v>8484</v>
      </c>
      <c r="C1148" t="s">
        <v>2640</v>
      </c>
      <c r="D1148" s="254">
        <v>7850.45</v>
      </c>
      <c r="E1148"/>
      <c r="F1148"/>
      <c r="G1148"/>
      <c r="H1148"/>
      <c r="I1148" s="489"/>
      <c r="J1148" s="1095"/>
      <c r="K1148" s="1095"/>
      <c r="L1148" s="1095"/>
      <c r="M1148" s="1095"/>
    </row>
    <row r="1149" spans="1:13" x14ac:dyDescent="0.25">
      <c r="A1149">
        <v>804278</v>
      </c>
      <c r="B1149" t="s">
        <v>8485</v>
      </c>
      <c r="C1149" t="s">
        <v>2640</v>
      </c>
      <c r="D1149" s="254">
        <v>4072.3</v>
      </c>
      <c r="E1149"/>
      <c r="F1149"/>
      <c r="G1149"/>
      <c r="H1149"/>
      <c r="I1149" s="489"/>
      <c r="J1149" s="1095"/>
      <c r="K1149" s="1095"/>
      <c r="L1149" s="1095"/>
      <c r="M1149" s="1095"/>
    </row>
    <row r="1150" spans="1:13" x14ac:dyDescent="0.25">
      <c r="A1150">
        <v>804281</v>
      </c>
      <c r="B1150" t="s">
        <v>8486</v>
      </c>
      <c r="C1150" t="s">
        <v>2640</v>
      </c>
      <c r="D1150" s="254">
        <v>5259.61</v>
      </c>
      <c r="E1150"/>
      <c r="F1150"/>
      <c r="G1150"/>
      <c r="H1150"/>
      <c r="I1150" s="489"/>
      <c r="J1150" s="1095"/>
      <c r="K1150" s="1095"/>
      <c r="L1150" s="1095"/>
      <c r="M1150" s="1095"/>
    </row>
    <row r="1151" spans="1:13" x14ac:dyDescent="0.25">
      <c r="A1151">
        <v>804280</v>
      </c>
      <c r="B1151" t="s">
        <v>8487</v>
      </c>
      <c r="C1151" t="s">
        <v>2640</v>
      </c>
      <c r="D1151" s="254">
        <v>4115.92</v>
      </c>
      <c r="E1151"/>
      <c r="F1151"/>
      <c r="G1151"/>
      <c r="H1151"/>
      <c r="I1151" s="489"/>
      <c r="J1151" s="1095"/>
      <c r="K1151" s="1095"/>
      <c r="L1151" s="1095"/>
      <c r="M1151" s="1095"/>
    </row>
    <row r="1152" spans="1:13" x14ac:dyDescent="0.25">
      <c r="A1152">
        <v>804283</v>
      </c>
      <c r="B1152" t="s">
        <v>8488</v>
      </c>
      <c r="C1152" t="s">
        <v>2640</v>
      </c>
      <c r="D1152" s="254">
        <v>5326.88</v>
      </c>
      <c r="E1152"/>
      <c r="F1152"/>
      <c r="G1152"/>
      <c r="H1152"/>
      <c r="I1152" s="489"/>
      <c r="J1152" s="1095"/>
      <c r="K1152" s="1095"/>
      <c r="L1152" s="1095"/>
      <c r="M1152" s="1095"/>
    </row>
    <row r="1153" spans="1:13" x14ac:dyDescent="0.25">
      <c r="A1153">
        <v>804282</v>
      </c>
      <c r="B1153" t="s">
        <v>8489</v>
      </c>
      <c r="C1153" t="s">
        <v>2640</v>
      </c>
      <c r="D1153" s="254">
        <v>4175.74</v>
      </c>
      <c r="E1153"/>
      <c r="F1153"/>
      <c r="G1153"/>
      <c r="H1153"/>
      <c r="I1153" s="489"/>
      <c r="J1153" s="1095"/>
      <c r="K1153" s="1095"/>
      <c r="L1153" s="1095"/>
      <c r="M1153" s="1095"/>
    </row>
    <row r="1154" spans="1:13" x14ac:dyDescent="0.25">
      <c r="A1154">
        <v>804437</v>
      </c>
      <c r="B1154" t="s">
        <v>8490</v>
      </c>
      <c r="C1154" t="s">
        <v>2640</v>
      </c>
      <c r="D1154" s="254">
        <v>11349.54</v>
      </c>
      <c r="E1154"/>
      <c r="F1154"/>
      <c r="G1154"/>
      <c r="H1154"/>
      <c r="I1154" s="489"/>
      <c r="J1154" s="1095"/>
      <c r="K1154" s="1095"/>
      <c r="L1154" s="1095"/>
      <c r="M1154" s="1095"/>
    </row>
    <row r="1155" spans="1:13" x14ac:dyDescent="0.25">
      <c r="A1155">
        <v>804285</v>
      </c>
      <c r="B1155" t="s">
        <v>8491</v>
      </c>
      <c r="C1155" t="s">
        <v>2640</v>
      </c>
      <c r="D1155" s="254">
        <v>5415.08</v>
      </c>
      <c r="E1155"/>
      <c r="F1155"/>
      <c r="G1155"/>
      <c r="H1155"/>
      <c r="I1155" s="489"/>
      <c r="J1155" s="1095"/>
      <c r="K1155" s="1095"/>
      <c r="L1155" s="1095"/>
      <c r="M1155" s="1095"/>
    </row>
    <row r="1156" spans="1:13" x14ac:dyDescent="0.25">
      <c r="A1156">
        <v>804436</v>
      </c>
      <c r="B1156" t="s">
        <v>8492</v>
      </c>
      <c r="C1156" t="s">
        <v>2640</v>
      </c>
      <c r="D1156" s="254">
        <v>8787.5499999999993</v>
      </c>
      <c r="E1156"/>
      <c r="F1156"/>
      <c r="G1156"/>
      <c r="H1156"/>
      <c r="I1156" s="489"/>
      <c r="J1156" s="1095"/>
      <c r="K1156" s="1095"/>
      <c r="L1156" s="1095"/>
      <c r="M1156" s="1095"/>
    </row>
    <row r="1157" spans="1:13" x14ac:dyDescent="0.25">
      <c r="A1157">
        <v>804284</v>
      </c>
      <c r="B1157" t="s">
        <v>8493</v>
      </c>
      <c r="C1157" t="s">
        <v>2640</v>
      </c>
      <c r="D1157" s="254">
        <v>4254.76</v>
      </c>
      <c r="E1157"/>
      <c r="F1157"/>
      <c r="G1157"/>
      <c r="H1157"/>
      <c r="I1157" s="489"/>
      <c r="J1157" s="1095"/>
      <c r="K1157" s="1095"/>
      <c r="L1157" s="1095"/>
      <c r="M1157" s="1095"/>
    </row>
    <row r="1158" spans="1:13" x14ac:dyDescent="0.25">
      <c r="A1158">
        <v>804287</v>
      </c>
      <c r="B1158" t="s">
        <v>8494</v>
      </c>
      <c r="C1158" t="s">
        <v>2640</v>
      </c>
      <c r="D1158" s="254">
        <v>5528.94</v>
      </c>
      <c r="E1158"/>
      <c r="F1158"/>
      <c r="G1158"/>
      <c r="H1158"/>
      <c r="I1158" s="489"/>
      <c r="J1158" s="1095"/>
      <c r="K1158" s="1095"/>
      <c r="L1158" s="1095"/>
      <c r="M1158" s="1095"/>
    </row>
    <row r="1159" spans="1:13" x14ac:dyDescent="0.25">
      <c r="A1159">
        <v>804286</v>
      </c>
      <c r="B1159" t="s">
        <v>8495</v>
      </c>
      <c r="C1159" t="s">
        <v>2640</v>
      </c>
      <c r="D1159" s="254">
        <v>4358.16</v>
      </c>
      <c r="E1159"/>
      <c r="F1159"/>
      <c r="G1159"/>
      <c r="H1159"/>
      <c r="I1159" s="489"/>
      <c r="J1159" s="1095"/>
      <c r="K1159" s="1095"/>
      <c r="L1159" s="1095"/>
      <c r="M1159" s="1095"/>
    </row>
    <row r="1160" spans="1:13" x14ac:dyDescent="0.25">
      <c r="A1160">
        <v>804289</v>
      </c>
      <c r="B1160" t="s">
        <v>8496</v>
      </c>
      <c r="C1160" t="s">
        <v>2640</v>
      </c>
      <c r="D1160" s="254">
        <v>5677.45</v>
      </c>
      <c r="E1160"/>
      <c r="F1160"/>
      <c r="G1160"/>
      <c r="H1160"/>
      <c r="I1160" s="489"/>
      <c r="J1160" s="1095"/>
      <c r="K1160" s="1095"/>
      <c r="L1160" s="1095"/>
      <c r="M1160" s="1095"/>
    </row>
    <row r="1161" spans="1:13" x14ac:dyDescent="0.25">
      <c r="A1161">
        <v>804288</v>
      </c>
      <c r="B1161" t="s">
        <v>8497</v>
      </c>
      <c r="C1161" t="s">
        <v>2640</v>
      </c>
      <c r="D1161" s="254">
        <v>4494.63</v>
      </c>
      <c r="E1161"/>
      <c r="F1161"/>
      <c r="G1161"/>
      <c r="H1161"/>
      <c r="I1161" s="489"/>
      <c r="J1161" s="1095"/>
      <c r="K1161" s="1095"/>
      <c r="L1161" s="1095"/>
      <c r="M1161" s="1095"/>
    </row>
    <row r="1162" spans="1:13" x14ac:dyDescent="0.25">
      <c r="A1162">
        <v>804439</v>
      </c>
      <c r="B1162" t="s">
        <v>8498</v>
      </c>
      <c r="C1162" t="s">
        <v>2640</v>
      </c>
      <c r="D1162" s="254">
        <v>14144.21</v>
      </c>
      <c r="E1162"/>
      <c r="F1162"/>
      <c r="G1162"/>
      <c r="H1162"/>
      <c r="I1162" s="489"/>
      <c r="J1162" s="1095"/>
      <c r="K1162" s="1095"/>
      <c r="L1162" s="1095"/>
      <c r="M1162" s="1095"/>
    </row>
    <row r="1163" spans="1:13" x14ac:dyDescent="0.25">
      <c r="A1163">
        <v>804291</v>
      </c>
      <c r="B1163" t="s">
        <v>8499</v>
      </c>
      <c r="C1163" t="s">
        <v>2640</v>
      </c>
      <c r="D1163" s="254">
        <v>5872.78</v>
      </c>
      <c r="E1163"/>
      <c r="F1163"/>
      <c r="G1163"/>
      <c r="H1163"/>
      <c r="I1163" s="489"/>
      <c r="J1163" s="1095"/>
      <c r="K1163" s="1095"/>
      <c r="L1163" s="1095"/>
      <c r="M1163" s="1095"/>
    </row>
    <row r="1164" spans="1:13" x14ac:dyDescent="0.25">
      <c r="A1164">
        <v>804438</v>
      </c>
      <c r="B1164" t="s">
        <v>8500</v>
      </c>
      <c r="C1164" t="s">
        <v>2640</v>
      </c>
      <c r="D1164" s="254">
        <v>10930.69</v>
      </c>
      <c r="E1164"/>
      <c r="F1164"/>
      <c r="G1164"/>
      <c r="H1164"/>
      <c r="I1164" s="489"/>
      <c r="J1164" s="1095"/>
      <c r="K1164" s="1095"/>
      <c r="L1164" s="1095"/>
      <c r="M1164" s="1095"/>
    </row>
    <row r="1165" spans="1:13" x14ac:dyDescent="0.25">
      <c r="A1165">
        <v>804290</v>
      </c>
      <c r="B1165" t="s">
        <v>8501</v>
      </c>
      <c r="C1165" t="s">
        <v>2640</v>
      </c>
      <c r="D1165" s="254">
        <v>4676.7700000000004</v>
      </c>
      <c r="E1165"/>
      <c r="F1165"/>
      <c r="G1165"/>
      <c r="H1165"/>
      <c r="I1165" s="489"/>
      <c r="J1165" s="1095"/>
      <c r="K1165" s="1095"/>
      <c r="L1165" s="1095"/>
      <c r="M1165" s="1095"/>
    </row>
    <row r="1166" spans="1:13" x14ac:dyDescent="0.25">
      <c r="A1166">
        <v>804275</v>
      </c>
      <c r="B1166" t="s">
        <v>8502</v>
      </c>
      <c r="C1166" t="s">
        <v>2640</v>
      </c>
      <c r="D1166" s="254">
        <v>5156.12</v>
      </c>
      <c r="E1166"/>
      <c r="F1166"/>
      <c r="G1166"/>
      <c r="H1166"/>
      <c r="I1166" s="489"/>
      <c r="J1166" s="1095"/>
      <c r="K1166" s="1095"/>
      <c r="L1166" s="1095"/>
      <c r="M1166" s="1095"/>
    </row>
    <row r="1167" spans="1:13" x14ac:dyDescent="0.25">
      <c r="A1167">
        <v>804274</v>
      </c>
      <c r="B1167" t="s">
        <v>8503</v>
      </c>
      <c r="C1167" t="s">
        <v>2640</v>
      </c>
      <c r="D1167" s="254">
        <v>4025.18</v>
      </c>
      <c r="E1167"/>
      <c r="F1167"/>
      <c r="G1167"/>
      <c r="H1167"/>
      <c r="I1167" s="489"/>
      <c r="J1167" s="1095"/>
      <c r="K1167" s="1095"/>
      <c r="L1167" s="1095"/>
      <c r="M1167" s="1095"/>
    </row>
    <row r="1168" spans="1:13" x14ac:dyDescent="0.25">
      <c r="A1168">
        <v>804061</v>
      </c>
      <c r="B1168" t="s">
        <v>6329</v>
      </c>
      <c r="C1168" t="s">
        <v>2640</v>
      </c>
      <c r="D1168" s="254">
        <v>344.81</v>
      </c>
      <c r="E1168"/>
      <c r="F1168"/>
      <c r="G1168"/>
      <c r="H1168"/>
      <c r="I1168" s="489"/>
      <c r="J1168" s="1095"/>
      <c r="K1168" s="1095"/>
      <c r="L1168" s="1095"/>
      <c r="M1168" s="1095"/>
    </row>
    <row r="1169" spans="1:13" x14ac:dyDescent="0.25">
      <c r="A1169">
        <v>804060</v>
      </c>
      <c r="B1169" t="s">
        <v>8504</v>
      </c>
      <c r="C1169" t="s">
        <v>2640</v>
      </c>
      <c r="D1169" s="254">
        <v>284.19</v>
      </c>
      <c r="E1169"/>
      <c r="F1169"/>
      <c r="G1169"/>
      <c r="H1169"/>
      <c r="I1169" s="489"/>
      <c r="J1169" s="1095"/>
      <c r="K1169" s="1095"/>
      <c r="L1169" s="1095"/>
      <c r="M1169" s="1095"/>
    </row>
    <row r="1170" spans="1:13" x14ac:dyDescent="0.25">
      <c r="A1170">
        <v>804065</v>
      </c>
      <c r="B1170" t="s">
        <v>8505</v>
      </c>
      <c r="C1170" t="s">
        <v>2640</v>
      </c>
      <c r="D1170" s="254">
        <v>346.16</v>
      </c>
      <c r="E1170"/>
      <c r="F1170"/>
      <c r="G1170"/>
      <c r="H1170"/>
      <c r="I1170" s="489"/>
      <c r="J1170" s="1095"/>
      <c r="K1170" s="1095"/>
      <c r="L1170" s="1095"/>
      <c r="M1170" s="1095"/>
    </row>
    <row r="1171" spans="1:13" x14ac:dyDescent="0.25">
      <c r="A1171">
        <v>804064</v>
      </c>
      <c r="B1171" t="s">
        <v>8506</v>
      </c>
      <c r="C1171" t="s">
        <v>2640</v>
      </c>
      <c r="D1171" s="254">
        <v>285.54000000000002</v>
      </c>
      <c r="E1171"/>
      <c r="F1171"/>
      <c r="G1171"/>
      <c r="H1171"/>
      <c r="I1171" s="489"/>
      <c r="J1171" s="1095"/>
      <c r="K1171" s="1095"/>
      <c r="L1171" s="1095"/>
      <c r="M1171" s="1095"/>
    </row>
    <row r="1172" spans="1:13" x14ac:dyDescent="0.25">
      <c r="A1172">
        <v>804067</v>
      </c>
      <c r="B1172" t="s">
        <v>8507</v>
      </c>
      <c r="C1172" t="s">
        <v>2640</v>
      </c>
      <c r="D1172" s="254">
        <v>347.51</v>
      </c>
      <c r="E1172"/>
      <c r="F1172"/>
      <c r="G1172"/>
      <c r="H1172"/>
      <c r="I1172" s="489"/>
      <c r="J1172" s="1095"/>
      <c r="K1172" s="1095"/>
      <c r="L1172" s="1095"/>
      <c r="M1172" s="1095"/>
    </row>
    <row r="1173" spans="1:13" x14ac:dyDescent="0.25">
      <c r="A1173">
        <v>804066</v>
      </c>
      <c r="B1173" t="s">
        <v>8508</v>
      </c>
      <c r="C1173" t="s">
        <v>2640</v>
      </c>
      <c r="D1173" s="254">
        <v>286.89</v>
      </c>
      <c r="E1173"/>
      <c r="F1173"/>
      <c r="G1173"/>
      <c r="H1173"/>
      <c r="I1173" s="489"/>
      <c r="J1173" s="1095"/>
      <c r="K1173" s="1095"/>
      <c r="L1173" s="1095"/>
      <c r="M1173" s="1095"/>
    </row>
    <row r="1174" spans="1:13" x14ac:dyDescent="0.25">
      <c r="A1174">
        <v>804069</v>
      </c>
      <c r="B1174" t="s">
        <v>8509</v>
      </c>
      <c r="C1174" t="s">
        <v>2640</v>
      </c>
      <c r="D1174" s="254">
        <v>349.99</v>
      </c>
      <c r="E1174"/>
      <c r="F1174"/>
      <c r="G1174"/>
      <c r="H1174"/>
      <c r="I1174" s="489"/>
      <c r="J1174" s="1095"/>
      <c r="K1174" s="1095"/>
      <c r="L1174" s="1095"/>
      <c r="M1174" s="1095"/>
    </row>
    <row r="1175" spans="1:13" x14ac:dyDescent="0.25">
      <c r="A1175">
        <v>804068</v>
      </c>
      <c r="B1175" t="s">
        <v>8510</v>
      </c>
      <c r="C1175" t="s">
        <v>2640</v>
      </c>
      <c r="D1175" s="254">
        <v>289.22000000000003</v>
      </c>
      <c r="E1175"/>
      <c r="F1175"/>
      <c r="G1175"/>
      <c r="H1175"/>
      <c r="I1175" s="489"/>
      <c r="J1175" s="1095"/>
      <c r="K1175" s="1095"/>
      <c r="L1175" s="1095"/>
      <c r="M1175" s="1095"/>
    </row>
    <row r="1176" spans="1:13" x14ac:dyDescent="0.25">
      <c r="A1176">
        <v>804071</v>
      </c>
      <c r="B1176" t="s">
        <v>8511</v>
      </c>
      <c r="C1176" t="s">
        <v>2640</v>
      </c>
      <c r="D1176" s="254">
        <v>353.37</v>
      </c>
      <c r="E1176"/>
      <c r="F1176"/>
      <c r="G1176"/>
      <c r="H1176"/>
      <c r="I1176" s="489"/>
      <c r="J1176" s="1095"/>
      <c r="K1176" s="1095"/>
      <c r="L1176" s="1095"/>
      <c r="M1176" s="1095"/>
    </row>
    <row r="1177" spans="1:13" x14ac:dyDescent="0.25">
      <c r="A1177">
        <v>804070</v>
      </c>
      <c r="B1177" t="s">
        <v>8512</v>
      </c>
      <c r="C1177" t="s">
        <v>2640</v>
      </c>
      <c r="D1177" s="254">
        <v>292.60000000000002</v>
      </c>
      <c r="E1177"/>
      <c r="F1177"/>
      <c r="G1177"/>
      <c r="H1177"/>
      <c r="I1177" s="489"/>
      <c r="J1177" s="1095"/>
      <c r="K1177" s="1095"/>
      <c r="L1177" s="1095"/>
      <c r="M1177" s="1095"/>
    </row>
    <row r="1178" spans="1:13" x14ac:dyDescent="0.25">
      <c r="A1178">
        <v>804073</v>
      </c>
      <c r="B1178" t="s">
        <v>8513</v>
      </c>
      <c r="C1178" t="s">
        <v>2640</v>
      </c>
      <c r="D1178" s="254">
        <v>357.87</v>
      </c>
      <c r="E1178"/>
      <c r="F1178"/>
      <c r="G1178"/>
      <c r="H1178"/>
      <c r="I1178" s="489"/>
      <c r="J1178" s="1095"/>
      <c r="K1178" s="1095"/>
      <c r="L1178" s="1095"/>
      <c r="M1178" s="1095"/>
    </row>
    <row r="1179" spans="1:13" x14ac:dyDescent="0.25">
      <c r="A1179">
        <v>804072</v>
      </c>
      <c r="B1179" t="s">
        <v>8514</v>
      </c>
      <c r="C1179" t="s">
        <v>2640</v>
      </c>
      <c r="D1179" s="254">
        <v>296.95999999999998</v>
      </c>
      <c r="E1179"/>
      <c r="F1179"/>
      <c r="G1179"/>
      <c r="H1179"/>
      <c r="I1179" s="489"/>
      <c r="J1179" s="1095"/>
      <c r="K1179" s="1095"/>
      <c r="L1179" s="1095"/>
      <c r="M1179" s="1095"/>
    </row>
    <row r="1180" spans="1:13" x14ac:dyDescent="0.25">
      <c r="A1180">
        <v>804075</v>
      </c>
      <c r="B1180" t="s">
        <v>8515</v>
      </c>
      <c r="C1180" t="s">
        <v>2640</v>
      </c>
      <c r="D1180" s="254">
        <v>363.94</v>
      </c>
      <c r="E1180"/>
      <c r="F1180"/>
      <c r="G1180"/>
      <c r="H1180"/>
      <c r="I1180" s="489"/>
      <c r="J1180" s="1095"/>
      <c r="K1180" s="1095"/>
      <c r="L1180" s="1095"/>
      <c r="M1180" s="1095"/>
    </row>
    <row r="1181" spans="1:13" x14ac:dyDescent="0.25">
      <c r="A1181">
        <v>804074</v>
      </c>
      <c r="B1181" t="s">
        <v>8516</v>
      </c>
      <c r="C1181" t="s">
        <v>2640</v>
      </c>
      <c r="D1181" s="254">
        <v>303.02999999999997</v>
      </c>
      <c r="E1181"/>
      <c r="F1181"/>
      <c r="G1181"/>
      <c r="H1181"/>
      <c r="I1181" s="489"/>
      <c r="J1181" s="1095"/>
      <c r="K1181" s="1095"/>
      <c r="L1181" s="1095"/>
      <c r="M1181" s="1095"/>
    </row>
    <row r="1182" spans="1:13" x14ac:dyDescent="0.25">
      <c r="A1182">
        <v>804077</v>
      </c>
      <c r="B1182" t="s">
        <v>8517</v>
      </c>
      <c r="C1182" t="s">
        <v>2640</v>
      </c>
      <c r="D1182" s="254">
        <v>371.82</v>
      </c>
      <c r="E1182"/>
      <c r="F1182"/>
      <c r="G1182"/>
      <c r="H1182"/>
      <c r="I1182" s="489"/>
      <c r="J1182" s="1095"/>
      <c r="K1182" s="1095"/>
      <c r="L1182" s="1095"/>
      <c r="M1182" s="1095"/>
    </row>
    <row r="1183" spans="1:13" x14ac:dyDescent="0.25">
      <c r="A1183">
        <v>804076</v>
      </c>
      <c r="B1183" t="s">
        <v>8518</v>
      </c>
      <c r="C1183" t="s">
        <v>2640</v>
      </c>
      <c r="D1183" s="254">
        <v>310.77</v>
      </c>
      <c r="E1183"/>
      <c r="F1183"/>
      <c r="G1183"/>
      <c r="H1183"/>
      <c r="I1183" s="489"/>
      <c r="J1183" s="1095"/>
      <c r="K1183" s="1095"/>
      <c r="L1183" s="1095"/>
      <c r="M1183" s="1095"/>
    </row>
    <row r="1184" spans="1:13" x14ac:dyDescent="0.25">
      <c r="A1184">
        <v>804079</v>
      </c>
      <c r="B1184" t="s">
        <v>8519</v>
      </c>
      <c r="C1184" t="s">
        <v>2640</v>
      </c>
      <c r="D1184" s="254">
        <v>383.75</v>
      </c>
      <c r="E1184"/>
      <c r="F1184"/>
      <c r="G1184"/>
      <c r="H1184"/>
      <c r="I1184" s="489"/>
      <c r="J1184" s="1095"/>
      <c r="K1184" s="1095"/>
      <c r="L1184" s="1095"/>
      <c r="M1184" s="1095"/>
    </row>
    <row r="1185" spans="1:13" x14ac:dyDescent="0.25">
      <c r="A1185">
        <v>804078</v>
      </c>
      <c r="B1185" t="s">
        <v>8520</v>
      </c>
      <c r="C1185" t="s">
        <v>2640</v>
      </c>
      <c r="D1185" s="254">
        <v>322.55</v>
      </c>
      <c r="E1185"/>
      <c r="F1185"/>
      <c r="G1185"/>
      <c r="H1185"/>
      <c r="I1185" s="489"/>
      <c r="J1185" s="1095"/>
      <c r="K1185" s="1095"/>
      <c r="L1185" s="1095"/>
      <c r="M1185" s="1095"/>
    </row>
    <row r="1186" spans="1:13" x14ac:dyDescent="0.25">
      <c r="A1186">
        <v>804063</v>
      </c>
      <c r="B1186" t="s">
        <v>8521</v>
      </c>
      <c r="C1186" t="s">
        <v>2640</v>
      </c>
      <c r="D1186" s="254">
        <v>345.49</v>
      </c>
      <c r="E1186"/>
      <c r="F1186"/>
      <c r="G1186"/>
      <c r="H1186"/>
      <c r="I1186" s="489"/>
      <c r="J1186" s="1095"/>
      <c r="K1186" s="1095"/>
      <c r="L1186" s="1095"/>
      <c r="M1186" s="1095"/>
    </row>
    <row r="1187" spans="1:13" x14ac:dyDescent="0.25">
      <c r="A1187">
        <v>804062</v>
      </c>
      <c r="B1187" t="s">
        <v>8522</v>
      </c>
      <c r="C1187" t="s">
        <v>2640</v>
      </c>
      <c r="D1187" s="254">
        <v>284.86</v>
      </c>
      <c r="E1187"/>
      <c r="F1187"/>
      <c r="G1187"/>
      <c r="H1187"/>
      <c r="I1187" s="489"/>
      <c r="J1187" s="1095"/>
      <c r="K1187" s="1095"/>
      <c r="L1187" s="1095"/>
      <c r="M1187" s="1095"/>
    </row>
    <row r="1188" spans="1:13" x14ac:dyDescent="0.25">
      <c r="A1188">
        <v>804377</v>
      </c>
      <c r="B1188" t="s">
        <v>8523</v>
      </c>
      <c r="C1188" t="s">
        <v>2640</v>
      </c>
      <c r="D1188" s="254">
        <v>1021.45</v>
      </c>
      <c r="E1188"/>
      <c r="F1188"/>
      <c r="G1188"/>
      <c r="H1188"/>
      <c r="I1188" s="489"/>
      <c r="J1188" s="1095"/>
      <c r="K1188" s="1095"/>
      <c r="L1188" s="1095"/>
      <c r="M1188" s="1095"/>
    </row>
    <row r="1189" spans="1:13" x14ac:dyDescent="0.25">
      <c r="A1189">
        <v>804081</v>
      </c>
      <c r="B1189" t="s">
        <v>6280</v>
      </c>
      <c r="C1189" t="s">
        <v>2640</v>
      </c>
      <c r="D1189" s="254">
        <v>700.6</v>
      </c>
      <c r="E1189"/>
      <c r="F1189"/>
      <c r="G1189"/>
      <c r="H1189"/>
      <c r="I1189" s="489"/>
      <c r="J1189" s="1095"/>
      <c r="K1189" s="1095"/>
      <c r="L1189" s="1095"/>
      <c r="M1189" s="1095"/>
    </row>
    <row r="1190" spans="1:13" x14ac:dyDescent="0.25">
      <c r="A1190">
        <v>804376</v>
      </c>
      <c r="B1190" t="s">
        <v>8524</v>
      </c>
      <c r="C1190" t="s">
        <v>2640</v>
      </c>
      <c r="D1190" s="254">
        <v>856.2</v>
      </c>
      <c r="E1190"/>
      <c r="F1190"/>
      <c r="G1190"/>
      <c r="H1190"/>
      <c r="I1190" s="489"/>
      <c r="J1190" s="1095"/>
      <c r="K1190" s="1095"/>
      <c r="L1190" s="1095"/>
      <c r="M1190" s="1095"/>
    </row>
    <row r="1191" spans="1:13" x14ac:dyDescent="0.25">
      <c r="A1191">
        <v>804080</v>
      </c>
      <c r="B1191" t="s">
        <v>8525</v>
      </c>
      <c r="C1191" t="s">
        <v>2640</v>
      </c>
      <c r="D1191" s="254">
        <v>567.03</v>
      </c>
      <c r="E1191"/>
      <c r="F1191"/>
      <c r="G1191"/>
      <c r="H1191"/>
      <c r="I1191" s="489"/>
      <c r="J1191" s="1095"/>
      <c r="K1191" s="1095"/>
      <c r="L1191" s="1095"/>
      <c r="M1191" s="1095"/>
    </row>
    <row r="1192" spans="1:13" x14ac:dyDescent="0.25">
      <c r="A1192">
        <v>804085</v>
      </c>
      <c r="B1192" t="s">
        <v>8526</v>
      </c>
      <c r="C1192" t="s">
        <v>2640</v>
      </c>
      <c r="D1192" s="254">
        <v>703.07</v>
      </c>
      <c r="E1192"/>
      <c r="F1192"/>
      <c r="G1192"/>
      <c r="H1192"/>
      <c r="I1192" s="489"/>
      <c r="J1192" s="1095"/>
      <c r="K1192" s="1095"/>
      <c r="L1192" s="1095"/>
      <c r="M1192" s="1095"/>
    </row>
    <row r="1193" spans="1:13" x14ac:dyDescent="0.25">
      <c r="A1193">
        <v>804084</v>
      </c>
      <c r="B1193" t="s">
        <v>8527</v>
      </c>
      <c r="C1193" t="s">
        <v>2640</v>
      </c>
      <c r="D1193" s="254">
        <v>569.36</v>
      </c>
      <c r="E1193"/>
      <c r="F1193"/>
      <c r="G1193"/>
      <c r="H1193"/>
      <c r="I1193" s="489"/>
      <c r="J1193" s="1095"/>
      <c r="K1193" s="1095"/>
      <c r="L1193" s="1095"/>
      <c r="M1193" s="1095"/>
    </row>
    <row r="1194" spans="1:13" x14ac:dyDescent="0.25">
      <c r="A1194">
        <v>804379</v>
      </c>
      <c r="B1194" t="s">
        <v>8528</v>
      </c>
      <c r="C1194" t="s">
        <v>2640</v>
      </c>
      <c r="D1194" s="254">
        <v>873.07</v>
      </c>
      <c r="E1194"/>
      <c r="F1194"/>
      <c r="G1194"/>
      <c r="H1194"/>
      <c r="I1194" s="489"/>
      <c r="J1194" s="1095"/>
      <c r="K1194" s="1095"/>
      <c r="L1194" s="1095"/>
      <c r="M1194" s="1095"/>
    </row>
    <row r="1195" spans="1:13" x14ac:dyDescent="0.25">
      <c r="A1195">
        <v>804087</v>
      </c>
      <c r="B1195" t="s">
        <v>8529</v>
      </c>
      <c r="C1195" t="s">
        <v>2640</v>
      </c>
      <c r="D1195" s="254">
        <v>705.78</v>
      </c>
      <c r="E1195"/>
      <c r="F1195"/>
      <c r="G1195"/>
      <c r="H1195"/>
      <c r="I1195" s="489"/>
      <c r="J1195" s="1095"/>
      <c r="K1195" s="1095"/>
      <c r="L1195" s="1095"/>
      <c r="M1195" s="1095"/>
    </row>
    <row r="1196" spans="1:13" x14ac:dyDescent="0.25">
      <c r="A1196">
        <v>804378</v>
      </c>
      <c r="B1196" t="s">
        <v>8530</v>
      </c>
      <c r="C1196" t="s">
        <v>2640</v>
      </c>
      <c r="D1196" s="254">
        <v>698.51</v>
      </c>
      <c r="E1196"/>
      <c r="F1196"/>
      <c r="G1196"/>
      <c r="H1196"/>
      <c r="I1196" s="489"/>
      <c r="J1196" s="1095"/>
      <c r="K1196" s="1095"/>
      <c r="L1196" s="1095"/>
      <c r="M1196" s="1095"/>
    </row>
    <row r="1197" spans="1:13" x14ac:dyDescent="0.25">
      <c r="A1197">
        <v>804086</v>
      </c>
      <c r="B1197" t="s">
        <v>8531</v>
      </c>
      <c r="C1197" t="s">
        <v>2640</v>
      </c>
      <c r="D1197" s="254">
        <v>572.05999999999995</v>
      </c>
      <c r="E1197"/>
      <c r="F1197"/>
      <c r="G1197"/>
      <c r="H1197"/>
      <c r="I1197" s="489"/>
      <c r="J1197" s="1095"/>
      <c r="K1197" s="1095"/>
      <c r="L1197" s="1095"/>
      <c r="M1197" s="1095"/>
    </row>
    <row r="1198" spans="1:13" x14ac:dyDescent="0.25">
      <c r="A1198">
        <v>804089</v>
      </c>
      <c r="B1198" t="s">
        <v>8532</v>
      </c>
      <c r="C1198" t="s">
        <v>2640</v>
      </c>
      <c r="D1198" s="254">
        <v>710.28</v>
      </c>
      <c r="E1198"/>
      <c r="F1198"/>
      <c r="G1198"/>
      <c r="H1198"/>
      <c r="I1198" s="489"/>
      <c r="J1198" s="1095"/>
      <c r="K1198" s="1095"/>
      <c r="L1198" s="1095"/>
      <c r="M1198" s="1095"/>
    </row>
    <row r="1199" spans="1:13" x14ac:dyDescent="0.25">
      <c r="A1199">
        <v>804088</v>
      </c>
      <c r="B1199" t="s">
        <v>8533</v>
      </c>
      <c r="C1199" t="s">
        <v>2640</v>
      </c>
      <c r="D1199" s="254">
        <v>576.41999999999996</v>
      </c>
      <c r="E1199"/>
      <c r="F1199"/>
      <c r="G1199"/>
      <c r="H1199"/>
      <c r="I1199" s="489"/>
      <c r="J1199" s="1095"/>
      <c r="K1199" s="1095"/>
      <c r="L1199" s="1095"/>
      <c r="M1199" s="1095"/>
    </row>
    <row r="1200" spans="1:13" x14ac:dyDescent="0.25">
      <c r="A1200">
        <v>804091</v>
      </c>
      <c r="B1200" t="s">
        <v>8534</v>
      </c>
      <c r="C1200" t="s">
        <v>2640</v>
      </c>
      <c r="D1200" s="254">
        <v>716.13</v>
      </c>
      <c r="E1200"/>
      <c r="F1200"/>
      <c r="G1200"/>
      <c r="H1200"/>
      <c r="I1200" s="489"/>
      <c r="J1200" s="1095"/>
      <c r="K1200" s="1095"/>
      <c r="L1200" s="1095"/>
      <c r="M1200" s="1095"/>
    </row>
    <row r="1201" spans="1:13" x14ac:dyDescent="0.25">
      <c r="A1201">
        <v>804090</v>
      </c>
      <c r="B1201" t="s">
        <v>8535</v>
      </c>
      <c r="C1201" t="s">
        <v>2640</v>
      </c>
      <c r="D1201" s="254">
        <v>582.13</v>
      </c>
      <c r="E1201"/>
      <c r="F1201"/>
      <c r="G1201"/>
      <c r="H1201"/>
      <c r="I1201" s="489"/>
      <c r="J1201" s="1095"/>
      <c r="K1201" s="1095"/>
      <c r="L1201" s="1095"/>
      <c r="M1201" s="1095"/>
    </row>
    <row r="1202" spans="1:13" x14ac:dyDescent="0.25">
      <c r="A1202">
        <v>804381</v>
      </c>
      <c r="B1202" t="s">
        <v>8536</v>
      </c>
      <c r="C1202" t="s">
        <v>2640</v>
      </c>
      <c r="D1202" s="254">
        <v>1208.5899999999999</v>
      </c>
      <c r="E1202"/>
      <c r="F1202"/>
      <c r="G1202"/>
      <c r="H1202"/>
      <c r="I1202" s="489"/>
      <c r="J1202" s="1095"/>
      <c r="K1202" s="1095"/>
      <c r="L1202" s="1095"/>
      <c r="M1202" s="1095"/>
    </row>
    <row r="1203" spans="1:13" x14ac:dyDescent="0.25">
      <c r="A1203">
        <v>804093</v>
      </c>
      <c r="B1203" t="s">
        <v>8537</v>
      </c>
      <c r="C1203" t="s">
        <v>2640</v>
      </c>
      <c r="D1203" s="254">
        <v>724.46</v>
      </c>
      <c r="E1203"/>
      <c r="F1203"/>
      <c r="G1203"/>
      <c r="H1203"/>
      <c r="I1203" s="489"/>
      <c r="J1203" s="1095"/>
      <c r="K1203" s="1095"/>
      <c r="L1203" s="1095"/>
      <c r="M1203" s="1095"/>
    </row>
    <row r="1204" spans="1:13" x14ac:dyDescent="0.25">
      <c r="A1204">
        <v>804380</v>
      </c>
      <c r="B1204" t="s">
        <v>8538</v>
      </c>
      <c r="C1204" t="s">
        <v>2640</v>
      </c>
      <c r="D1204" s="254">
        <v>1010.81</v>
      </c>
      <c r="E1204"/>
      <c r="F1204"/>
      <c r="G1204"/>
      <c r="H1204"/>
      <c r="I1204" s="489"/>
      <c r="J1204" s="1095"/>
      <c r="K1204" s="1095"/>
      <c r="L1204" s="1095"/>
      <c r="M1204" s="1095"/>
    </row>
    <row r="1205" spans="1:13" x14ac:dyDescent="0.25">
      <c r="A1205">
        <v>804092</v>
      </c>
      <c r="B1205" t="s">
        <v>8539</v>
      </c>
      <c r="C1205" t="s">
        <v>2640</v>
      </c>
      <c r="D1205" s="254">
        <v>590.16999999999996</v>
      </c>
      <c r="E1205"/>
      <c r="F1205"/>
      <c r="G1205"/>
      <c r="H1205"/>
      <c r="I1205" s="489"/>
      <c r="J1205" s="1095"/>
      <c r="K1205" s="1095"/>
      <c r="L1205" s="1095"/>
      <c r="M1205" s="1095"/>
    </row>
    <row r="1206" spans="1:13" x14ac:dyDescent="0.25">
      <c r="A1206">
        <v>804095</v>
      </c>
      <c r="B1206" t="s">
        <v>8540</v>
      </c>
      <c r="C1206" t="s">
        <v>2640</v>
      </c>
      <c r="D1206" s="254">
        <v>735.71</v>
      </c>
      <c r="E1206"/>
      <c r="F1206"/>
      <c r="G1206"/>
      <c r="H1206"/>
      <c r="I1206" s="489"/>
      <c r="J1206" s="1095"/>
      <c r="K1206" s="1095"/>
      <c r="L1206" s="1095"/>
      <c r="M1206" s="1095"/>
    </row>
    <row r="1207" spans="1:13" x14ac:dyDescent="0.25">
      <c r="A1207">
        <v>804094</v>
      </c>
      <c r="B1207" t="s">
        <v>8541</v>
      </c>
      <c r="C1207" t="s">
        <v>2640</v>
      </c>
      <c r="D1207" s="254">
        <v>601.28</v>
      </c>
      <c r="E1207"/>
      <c r="F1207"/>
      <c r="G1207"/>
      <c r="H1207"/>
      <c r="I1207" s="489"/>
      <c r="J1207" s="1095"/>
      <c r="K1207" s="1095"/>
      <c r="L1207" s="1095"/>
      <c r="M1207" s="1095"/>
    </row>
    <row r="1208" spans="1:13" x14ac:dyDescent="0.25">
      <c r="A1208">
        <v>804097</v>
      </c>
      <c r="B1208" t="s">
        <v>8542</v>
      </c>
      <c r="C1208" t="s">
        <v>2640</v>
      </c>
      <c r="D1208" s="254">
        <v>750.12</v>
      </c>
      <c r="E1208"/>
      <c r="F1208"/>
      <c r="G1208"/>
      <c r="H1208"/>
      <c r="I1208" s="489"/>
      <c r="J1208" s="1095"/>
      <c r="K1208" s="1095"/>
      <c r="L1208" s="1095"/>
      <c r="M1208" s="1095"/>
    </row>
    <row r="1209" spans="1:13" x14ac:dyDescent="0.25">
      <c r="A1209">
        <v>804096</v>
      </c>
      <c r="B1209" t="s">
        <v>8543</v>
      </c>
      <c r="C1209" t="s">
        <v>2640</v>
      </c>
      <c r="D1209" s="254">
        <v>615.4</v>
      </c>
      <c r="E1209"/>
      <c r="F1209"/>
      <c r="G1209"/>
      <c r="H1209"/>
      <c r="I1209" s="489"/>
      <c r="J1209" s="1095"/>
      <c r="K1209" s="1095"/>
      <c r="L1209" s="1095"/>
      <c r="M1209" s="1095"/>
    </row>
    <row r="1210" spans="1:13" x14ac:dyDescent="0.25">
      <c r="A1210">
        <v>804383</v>
      </c>
      <c r="B1210" t="s">
        <v>8544</v>
      </c>
      <c r="C1210" t="s">
        <v>2640</v>
      </c>
      <c r="D1210" s="254">
        <v>1495.38</v>
      </c>
      <c r="E1210"/>
      <c r="F1210"/>
      <c r="G1210"/>
      <c r="H1210"/>
      <c r="I1210" s="489"/>
      <c r="J1210" s="1095"/>
      <c r="K1210" s="1095"/>
      <c r="L1210" s="1095"/>
      <c r="M1210" s="1095"/>
    </row>
    <row r="1211" spans="1:13" x14ac:dyDescent="0.25">
      <c r="A1211">
        <v>804099</v>
      </c>
      <c r="B1211" t="s">
        <v>8545</v>
      </c>
      <c r="C1211" t="s">
        <v>2640</v>
      </c>
      <c r="D1211" s="254">
        <v>770.6</v>
      </c>
      <c r="E1211"/>
      <c r="F1211"/>
      <c r="G1211"/>
      <c r="H1211"/>
      <c r="I1211" s="489"/>
      <c r="J1211" s="1095"/>
      <c r="K1211" s="1095"/>
      <c r="L1211" s="1095"/>
      <c r="M1211" s="1095"/>
    </row>
    <row r="1212" spans="1:13" x14ac:dyDescent="0.25">
      <c r="A1212">
        <v>804382</v>
      </c>
      <c r="B1212" t="s">
        <v>8546</v>
      </c>
      <c r="C1212" t="s">
        <v>2640</v>
      </c>
      <c r="D1212" s="254">
        <v>1248.58</v>
      </c>
      <c r="E1212"/>
      <c r="F1212"/>
      <c r="G1212"/>
      <c r="H1212"/>
      <c r="I1212" s="489"/>
      <c r="J1212" s="1095"/>
      <c r="K1212" s="1095"/>
      <c r="L1212" s="1095"/>
      <c r="M1212" s="1095"/>
    </row>
    <row r="1213" spans="1:13" x14ac:dyDescent="0.25">
      <c r="A1213">
        <v>804098</v>
      </c>
      <c r="B1213" t="s">
        <v>8547</v>
      </c>
      <c r="C1213" t="s">
        <v>2640</v>
      </c>
      <c r="D1213" s="254">
        <v>635.59</v>
      </c>
      <c r="E1213"/>
      <c r="F1213"/>
      <c r="G1213"/>
      <c r="H1213"/>
      <c r="I1213" s="489"/>
      <c r="J1213" s="1095"/>
      <c r="K1213" s="1095"/>
      <c r="L1213" s="1095"/>
      <c r="M1213" s="1095"/>
    </row>
    <row r="1214" spans="1:13" x14ac:dyDescent="0.25">
      <c r="A1214">
        <v>804083</v>
      </c>
      <c r="B1214" t="s">
        <v>8548</v>
      </c>
      <c r="C1214" t="s">
        <v>2640</v>
      </c>
      <c r="D1214" s="254">
        <v>701.27</v>
      </c>
      <c r="E1214"/>
      <c r="F1214"/>
      <c r="G1214"/>
      <c r="H1214"/>
      <c r="I1214" s="489"/>
      <c r="J1214" s="1095"/>
      <c r="K1214" s="1095"/>
      <c r="L1214" s="1095"/>
      <c r="M1214" s="1095"/>
    </row>
    <row r="1215" spans="1:13" x14ac:dyDescent="0.25">
      <c r="A1215">
        <v>804082</v>
      </c>
      <c r="B1215" t="s">
        <v>8549</v>
      </c>
      <c r="C1215" t="s">
        <v>2640</v>
      </c>
      <c r="D1215" s="254">
        <v>567.70000000000005</v>
      </c>
      <c r="E1215"/>
      <c r="F1215"/>
      <c r="G1215"/>
      <c r="H1215"/>
      <c r="I1215" s="489"/>
      <c r="J1215" s="1095"/>
      <c r="K1215" s="1095"/>
      <c r="L1215" s="1095"/>
      <c r="M1215" s="1095"/>
    </row>
    <row r="1216" spans="1:13" x14ac:dyDescent="0.25">
      <c r="A1216">
        <v>804385</v>
      </c>
      <c r="B1216" t="s">
        <v>8550</v>
      </c>
      <c r="C1216" t="s">
        <v>2640</v>
      </c>
      <c r="D1216" s="254">
        <v>1716.39</v>
      </c>
      <c r="E1216"/>
      <c r="F1216"/>
      <c r="G1216"/>
      <c r="H1216"/>
      <c r="I1216" s="489"/>
      <c r="J1216" s="1095"/>
      <c r="K1216" s="1095"/>
      <c r="L1216" s="1095"/>
      <c r="M1216" s="1095"/>
    </row>
    <row r="1217" spans="1:13" x14ac:dyDescent="0.25">
      <c r="A1217">
        <v>804101</v>
      </c>
      <c r="B1217" t="s">
        <v>6281</v>
      </c>
      <c r="C1217" t="s">
        <v>2640</v>
      </c>
      <c r="D1217" s="254">
        <v>1189.08</v>
      </c>
      <c r="E1217"/>
      <c r="F1217"/>
      <c r="G1217"/>
      <c r="H1217"/>
      <c r="I1217" s="489"/>
      <c r="J1217" s="1095"/>
      <c r="K1217" s="1095"/>
      <c r="L1217" s="1095"/>
      <c r="M1217" s="1095"/>
    </row>
    <row r="1218" spans="1:13" x14ac:dyDescent="0.25">
      <c r="A1218">
        <v>804384</v>
      </c>
      <c r="B1218" t="s">
        <v>8551</v>
      </c>
      <c r="C1218" t="s">
        <v>2640</v>
      </c>
      <c r="D1218" s="254">
        <v>1409.69</v>
      </c>
      <c r="E1218"/>
      <c r="F1218"/>
      <c r="G1218"/>
      <c r="H1218"/>
      <c r="I1218" s="489"/>
      <c r="J1218" s="1095"/>
      <c r="K1218" s="1095"/>
      <c r="L1218" s="1095"/>
      <c r="M1218" s="1095"/>
    </row>
    <row r="1219" spans="1:13" x14ac:dyDescent="0.25">
      <c r="A1219">
        <v>804100</v>
      </c>
      <c r="B1219" t="s">
        <v>8552</v>
      </c>
      <c r="C1219" t="s">
        <v>2640</v>
      </c>
      <c r="D1219" s="254">
        <v>957.05</v>
      </c>
      <c r="E1219"/>
      <c r="F1219"/>
      <c r="G1219"/>
      <c r="H1219"/>
      <c r="I1219" s="489"/>
      <c r="J1219" s="1095"/>
      <c r="K1219" s="1095"/>
      <c r="L1219" s="1095"/>
      <c r="M1219" s="1095"/>
    </row>
    <row r="1220" spans="1:13" x14ac:dyDescent="0.25">
      <c r="A1220">
        <v>804105</v>
      </c>
      <c r="B1220" t="s">
        <v>8553</v>
      </c>
      <c r="C1220" t="s">
        <v>2640</v>
      </c>
      <c r="D1220" s="254">
        <v>1192.9100000000001</v>
      </c>
      <c r="E1220"/>
      <c r="F1220"/>
      <c r="G1220"/>
      <c r="H1220"/>
      <c r="I1220" s="489"/>
      <c r="J1220" s="1095"/>
      <c r="K1220" s="1095"/>
      <c r="L1220" s="1095"/>
      <c r="M1220" s="1095"/>
    </row>
    <row r="1221" spans="1:13" x14ac:dyDescent="0.25">
      <c r="A1221">
        <v>804104</v>
      </c>
      <c r="B1221" t="s">
        <v>8554</v>
      </c>
      <c r="C1221" t="s">
        <v>2640</v>
      </c>
      <c r="D1221" s="254">
        <v>960.73</v>
      </c>
      <c r="E1221"/>
      <c r="F1221"/>
      <c r="G1221"/>
      <c r="H1221"/>
      <c r="I1221" s="489"/>
      <c r="J1221" s="1095"/>
      <c r="K1221" s="1095"/>
      <c r="L1221" s="1095"/>
      <c r="M1221" s="1095"/>
    </row>
    <row r="1222" spans="1:13" x14ac:dyDescent="0.25">
      <c r="A1222">
        <v>804387</v>
      </c>
      <c r="B1222" t="s">
        <v>8555</v>
      </c>
      <c r="C1222" t="s">
        <v>2640</v>
      </c>
      <c r="D1222" s="254">
        <v>1809.05</v>
      </c>
      <c r="E1222"/>
      <c r="F1222"/>
      <c r="G1222"/>
      <c r="H1222"/>
      <c r="I1222" s="489"/>
      <c r="J1222" s="1095"/>
      <c r="K1222" s="1095"/>
      <c r="L1222" s="1095"/>
      <c r="M1222" s="1095"/>
    </row>
    <row r="1223" spans="1:13" x14ac:dyDescent="0.25">
      <c r="A1223">
        <v>804107</v>
      </c>
      <c r="B1223" t="s">
        <v>8556</v>
      </c>
      <c r="C1223" t="s">
        <v>2640</v>
      </c>
      <c r="D1223" s="254">
        <v>1198.0899999999999</v>
      </c>
      <c r="E1223"/>
      <c r="F1223"/>
      <c r="G1223"/>
      <c r="H1223"/>
      <c r="I1223" s="489"/>
      <c r="J1223" s="1095"/>
      <c r="K1223" s="1095"/>
      <c r="L1223" s="1095"/>
      <c r="M1223" s="1095"/>
    </row>
    <row r="1224" spans="1:13" x14ac:dyDescent="0.25">
      <c r="A1224">
        <v>804386</v>
      </c>
      <c r="B1224" t="s">
        <v>8557</v>
      </c>
      <c r="C1224" t="s">
        <v>2640</v>
      </c>
      <c r="D1224" s="254">
        <v>1484.86</v>
      </c>
      <c r="E1224"/>
      <c r="F1224"/>
      <c r="G1224"/>
      <c r="H1224"/>
      <c r="I1224" s="489"/>
      <c r="J1224" s="1095"/>
      <c r="K1224" s="1095"/>
      <c r="L1224" s="1095"/>
      <c r="M1224" s="1095"/>
    </row>
    <row r="1225" spans="1:13" x14ac:dyDescent="0.25">
      <c r="A1225">
        <v>804106</v>
      </c>
      <c r="B1225" t="s">
        <v>8558</v>
      </c>
      <c r="C1225" t="s">
        <v>2640</v>
      </c>
      <c r="D1225" s="254">
        <v>965.76</v>
      </c>
      <c r="E1225"/>
      <c r="F1225"/>
      <c r="G1225"/>
      <c r="H1225"/>
      <c r="I1225" s="489"/>
      <c r="J1225" s="1095"/>
      <c r="K1225" s="1095"/>
      <c r="L1225" s="1095"/>
      <c r="M1225" s="1095"/>
    </row>
    <row r="1226" spans="1:13" x14ac:dyDescent="0.25">
      <c r="A1226">
        <v>804109</v>
      </c>
      <c r="B1226" t="s">
        <v>8559</v>
      </c>
      <c r="C1226" t="s">
        <v>2640</v>
      </c>
      <c r="D1226" s="254">
        <v>1205.96</v>
      </c>
      <c r="E1226"/>
      <c r="F1226"/>
      <c r="G1226"/>
      <c r="H1226"/>
      <c r="I1226" s="489"/>
      <c r="J1226" s="1095"/>
      <c r="K1226" s="1095"/>
      <c r="L1226" s="1095"/>
      <c r="M1226" s="1095"/>
    </row>
    <row r="1227" spans="1:13" x14ac:dyDescent="0.25">
      <c r="A1227">
        <v>804108</v>
      </c>
      <c r="B1227" t="s">
        <v>8560</v>
      </c>
      <c r="C1227" t="s">
        <v>2640</v>
      </c>
      <c r="D1227" s="254">
        <v>973.5</v>
      </c>
      <c r="E1227"/>
      <c r="F1227"/>
      <c r="G1227"/>
      <c r="H1227"/>
      <c r="I1227" s="489"/>
      <c r="J1227" s="1095"/>
      <c r="K1227" s="1095"/>
      <c r="L1227" s="1095"/>
      <c r="M1227" s="1095"/>
    </row>
    <row r="1228" spans="1:13" x14ac:dyDescent="0.25">
      <c r="A1228">
        <v>804111</v>
      </c>
      <c r="B1228" t="s">
        <v>8561</v>
      </c>
      <c r="C1228" t="s">
        <v>2640</v>
      </c>
      <c r="D1228" s="254">
        <v>1216.32</v>
      </c>
      <c r="E1228"/>
      <c r="F1228"/>
      <c r="G1228"/>
      <c r="H1228"/>
      <c r="I1228" s="489"/>
      <c r="J1228" s="1095"/>
      <c r="K1228" s="1095"/>
      <c r="L1228" s="1095"/>
      <c r="M1228" s="1095"/>
    </row>
    <row r="1229" spans="1:13" x14ac:dyDescent="0.25">
      <c r="A1229">
        <v>804110</v>
      </c>
      <c r="B1229" t="s">
        <v>8562</v>
      </c>
      <c r="C1229" t="s">
        <v>2640</v>
      </c>
      <c r="D1229" s="254">
        <v>983.57</v>
      </c>
      <c r="E1229"/>
      <c r="F1229"/>
      <c r="G1229"/>
      <c r="H1229"/>
      <c r="I1229" s="489"/>
      <c r="J1229" s="1095"/>
      <c r="K1229" s="1095"/>
      <c r="L1229" s="1095"/>
      <c r="M1229" s="1095"/>
    </row>
    <row r="1230" spans="1:13" x14ac:dyDescent="0.25">
      <c r="A1230">
        <v>804389</v>
      </c>
      <c r="B1230" t="s">
        <v>8563</v>
      </c>
      <c r="C1230" t="s">
        <v>2640</v>
      </c>
      <c r="D1230" s="254">
        <v>2021.37</v>
      </c>
      <c r="E1230"/>
      <c r="F1230"/>
      <c r="G1230"/>
      <c r="H1230"/>
      <c r="I1230" s="489"/>
      <c r="J1230" s="1095"/>
      <c r="K1230" s="1095"/>
      <c r="L1230" s="1095"/>
      <c r="M1230" s="1095"/>
    </row>
    <row r="1231" spans="1:13" x14ac:dyDescent="0.25">
      <c r="A1231">
        <v>804113</v>
      </c>
      <c r="B1231" t="s">
        <v>8564</v>
      </c>
      <c r="C1231" t="s">
        <v>2640</v>
      </c>
      <c r="D1231" s="254">
        <v>1230.5</v>
      </c>
      <c r="E1231"/>
      <c r="F1231"/>
      <c r="G1231"/>
      <c r="H1231"/>
      <c r="I1231" s="489"/>
      <c r="J1231" s="1095"/>
      <c r="K1231" s="1095"/>
      <c r="L1231" s="1095"/>
      <c r="M1231" s="1095"/>
    </row>
    <row r="1232" spans="1:13" x14ac:dyDescent="0.25">
      <c r="A1232">
        <v>804388</v>
      </c>
      <c r="B1232" t="s">
        <v>8565</v>
      </c>
      <c r="C1232" t="s">
        <v>2640</v>
      </c>
      <c r="D1232" s="254">
        <v>1657.48</v>
      </c>
      <c r="E1232"/>
      <c r="F1232"/>
      <c r="G1232"/>
      <c r="H1232"/>
      <c r="I1232" s="489"/>
      <c r="J1232" s="1095"/>
      <c r="K1232" s="1095"/>
      <c r="L1232" s="1095"/>
      <c r="M1232" s="1095"/>
    </row>
    <row r="1233" spans="1:13" x14ac:dyDescent="0.25">
      <c r="A1233">
        <v>804112</v>
      </c>
      <c r="B1233" t="s">
        <v>8566</v>
      </c>
      <c r="C1233" t="s">
        <v>2640</v>
      </c>
      <c r="D1233" s="254">
        <v>997.32</v>
      </c>
      <c r="E1233"/>
      <c r="F1233"/>
      <c r="G1233"/>
      <c r="H1233"/>
      <c r="I1233" s="489"/>
      <c r="J1233" s="1095"/>
      <c r="K1233" s="1095"/>
      <c r="L1233" s="1095"/>
      <c r="M1233" s="1095"/>
    </row>
    <row r="1234" spans="1:13" x14ac:dyDescent="0.25">
      <c r="A1234">
        <v>804115</v>
      </c>
      <c r="B1234" t="s">
        <v>8567</v>
      </c>
      <c r="C1234" t="s">
        <v>2640</v>
      </c>
      <c r="D1234" s="254">
        <v>1250.08</v>
      </c>
      <c r="E1234"/>
      <c r="F1234"/>
      <c r="G1234"/>
      <c r="H1234"/>
      <c r="I1234" s="489"/>
      <c r="J1234" s="1095"/>
      <c r="K1234" s="1095"/>
      <c r="L1234" s="1095"/>
      <c r="M1234" s="1095"/>
    </row>
    <row r="1235" spans="1:13" x14ac:dyDescent="0.25">
      <c r="A1235">
        <v>804114</v>
      </c>
      <c r="B1235" t="s">
        <v>8568</v>
      </c>
      <c r="C1235" t="s">
        <v>2640</v>
      </c>
      <c r="D1235" s="254">
        <v>1016.47</v>
      </c>
      <c r="E1235"/>
      <c r="F1235"/>
      <c r="G1235"/>
      <c r="H1235"/>
      <c r="I1235" s="489"/>
      <c r="J1235" s="1095"/>
      <c r="K1235" s="1095"/>
      <c r="L1235" s="1095"/>
      <c r="M1235" s="1095"/>
    </row>
    <row r="1236" spans="1:13" x14ac:dyDescent="0.25">
      <c r="A1236">
        <v>804117</v>
      </c>
      <c r="B1236" t="s">
        <v>8569</v>
      </c>
      <c r="C1236" t="s">
        <v>2640</v>
      </c>
      <c r="D1236" s="254">
        <v>1275.74</v>
      </c>
      <c r="E1236"/>
      <c r="F1236"/>
      <c r="G1236"/>
      <c r="H1236"/>
      <c r="I1236" s="489"/>
      <c r="J1236" s="1095"/>
      <c r="K1236" s="1095"/>
      <c r="L1236" s="1095"/>
      <c r="M1236" s="1095"/>
    </row>
    <row r="1237" spans="1:13" x14ac:dyDescent="0.25">
      <c r="A1237">
        <v>804116</v>
      </c>
      <c r="B1237" t="s">
        <v>8570</v>
      </c>
      <c r="C1237" t="s">
        <v>2640</v>
      </c>
      <c r="D1237" s="254">
        <v>1041.7</v>
      </c>
      <c r="E1237"/>
      <c r="F1237"/>
      <c r="G1237"/>
      <c r="H1237"/>
      <c r="I1237" s="489"/>
      <c r="J1237" s="1095"/>
      <c r="K1237" s="1095"/>
      <c r="L1237" s="1095"/>
      <c r="M1237" s="1095"/>
    </row>
    <row r="1238" spans="1:13" x14ac:dyDescent="0.25">
      <c r="A1238">
        <v>804391</v>
      </c>
      <c r="B1238" t="s">
        <v>8571</v>
      </c>
      <c r="C1238" t="s">
        <v>2640</v>
      </c>
      <c r="D1238" s="254">
        <v>2511.6799999999998</v>
      </c>
      <c r="E1238"/>
      <c r="F1238"/>
      <c r="G1238"/>
      <c r="H1238"/>
      <c r="I1238" s="489"/>
      <c r="J1238" s="1095"/>
      <c r="K1238" s="1095"/>
      <c r="L1238" s="1095"/>
      <c r="M1238" s="1095"/>
    </row>
    <row r="1239" spans="1:13" x14ac:dyDescent="0.25">
      <c r="A1239">
        <v>804119</v>
      </c>
      <c r="B1239" t="s">
        <v>8572</v>
      </c>
      <c r="C1239" t="s">
        <v>2640</v>
      </c>
      <c r="D1239" s="254">
        <v>1310.85</v>
      </c>
      <c r="E1239"/>
      <c r="F1239"/>
      <c r="G1239"/>
      <c r="H1239"/>
      <c r="I1239" s="489"/>
      <c r="J1239" s="1095"/>
      <c r="K1239" s="1095"/>
      <c r="L1239" s="1095"/>
      <c r="M1239" s="1095"/>
    </row>
    <row r="1240" spans="1:13" x14ac:dyDescent="0.25">
      <c r="A1240">
        <v>804390</v>
      </c>
      <c r="B1240" t="s">
        <v>8573</v>
      </c>
      <c r="C1240" t="s">
        <v>2640</v>
      </c>
      <c r="D1240" s="254">
        <v>2054.7800000000002</v>
      </c>
      <c r="E1240"/>
      <c r="F1240"/>
      <c r="G1240"/>
      <c r="H1240"/>
      <c r="I1240" s="489"/>
      <c r="J1240" s="1095"/>
      <c r="K1240" s="1095"/>
      <c r="L1240" s="1095"/>
      <c r="M1240" s="1095"/>
    </row>
    <row r="1241" spans="1:13" x14ac:dyDescent="0.25">
      <c r="A1241">
        <v>804118</v>
      </c>
      <c r="B1241" t="s">
        <v>8574</v>
      </c>
      <c r="C1241" t="s">
        <v>2640</v>
      </c>
      <c r="D1241" s="254">
        <v>1076.3800000000001</v>
      </c>
      <c r="E1241"/>
      <c r="F1241"/>
      <c r="G1241"/>
      <c r="H1241"/>
      <c r="I1241" s="489"/>
      <c r="J1241" s="1095"/>
      <c r="K1241" s="1095"/>
      <c r="L1241" s="1095"/>
      <c r="M1241" s="1095"/>
    </row>
    <row r="1242" spans="1:13" x14ac:dyDescent="0.25">
      <c r="A1242">
        <v>804103</v>
      </c>
      <c r="B1242" t="s">
        <v>8575</v>
      </c>
      <c r="C1242" t="s">
        <v>2640</v>
      </c>
      <c r="D1242" s="254">
        <v>1190.43</v>
      </c>
      <c r="E1242"/>
      <c r="F1242"/>
      <c r="G1242"/>
      <c r="H1242"/>
      <c r="I1242" s="489"/>
      <c r="J1242" s="1095"/>
      <c r="K1242" s="1095"/>
      <c r="L1242" s="1095"/>
      <c r="M1242" s="1095"/>
    </row>
    <row r="1243" spans="1:13" x14ac:dyDescent="0.25">
      <c r="A1243">
        <v>804102</v>
      </c>
      <c r="B1243" t="s">
        <v>8576</v>
      </c>
      <c r="C1243" t="s">
        <v>2640</v>
      </c>
      <c r="D1243" s="254">
        <v>958.4</v>
      </c>
      <c r="E1243"/>
      <c r="F1243"/>
      <c r="G1243"/>
      <c r="H1243"/>
      <c r="I1243" s="489"/>
      <c r="J1243" s="1095"/>
      <c r="K1243" s="1095"/>
      <c r="L1243" s="1095"/>
      <c r="M1243" s="1095"/>
    </row>
    <row r="1244" spans="1:13" x14ac:dyDescent="0.25">
      <c r="A1244">
        <v>804393</v>
      </c>
      <c r="B1244" t="s">
        <v>8577</v>
      </c>
      <c r="C1244" t="s">
        <v>2640</v>
      </c>
      <c r="D1244" s="254">
        <v>2662.49</v>
      </c>
      <c r="E1244"/>
      <c r="F1244"/>
      <c r="G1244"/>
      <c r="H1244"/>
      <c r="I1244" s="489"/>
      <c r="J1244" s="1095"/>
      <c r="K1244" s="1095"/>
      <c r="L1244" s="1095"/>
      <c r="M1244" s="1095"/>
    </row>
    <row r="1245" spans="1:13" x14ac:dyDescent="0.25">
      <c r="A1245">
        <v>804121</v>
      </c>
      <c r="B1245" t="s">
        <v>6283</v>
      </c>
      <c r="C1245" t="s">
        <v>2640</v>
      </c>
      <c r="D1245" s="254">
        <v>1783.91</v>
      </c>
      <c r="E1245"/>
      <c r="F1245"/>
      <c r="G1245"/>
      <c r="H1245"/>
      <c r="I1245" s="489"/>
      <c r="J1245" s="1095"/>
      <c r="K1245" s="1095"/>
      <c r="L1245" s="1095"/>
      <c r="M1245" s="1095"/>
    </row>
    <row r="1246" spans="1:13" x14ac:dyDescent="0.25">
      <c r="A1246">
        <v>804392</v>
      </c>
      <c r="B1246" t="s">
        <v>8578</v>
      </c>
      <c r="C1246" t="s">
        <v>2640</v>
      </c>
      <c r="D1246" s="254">
        <v>2151.2600000000002</v>
      </c>
      <c r="E1246"/>
      <c r="F1246"/>
      <c r="G1246"/>
      <c r="H1246"/>
      <c r="I1246" s="489"/>
      <c r="J1246" s="1095"/>
      <c r="K1246" s="1095"/>
      <c r="L1246" s="1095"/>
      <c r="M1246" s="1095"/>
    </row>
    <row r="1247" spans="1:13" x14ac:dyDescent="0.25">
      <c r="A1247">
        <v>804120</v>
      </c>
      <c r="B1247" t="s">
        <v>8579</v>
      </c>
      <c r="C1247" t="s">
        <v>2640</v>
      </c>
      <c r="D1247" s="254">
        <v>1423.6</v>
      </c>
      <c r="E1247"/>
      <c r="F1247"/>
      <c r="G1247"/>
      <c r="H1247"/>
      <c r="I1247" s="489"/>
      <c r="J1247" s="1095"/>
      <c r="K1247" s="1095"/>
      <c r="L1247" s="1095"/>
      <c r="M1247" s="1095"/>
    </row>
    <row r="1248" spans="1:13" x14ac:dyDescent="0.25">
      <c r="A1248">
        <v>804125</v>
      </c>
      <c r="B1248" t="s">
        <v>8580</v>
      </c>
      <c r="C1248" t="s">
        <v>2640</v>
      </c>
      <c r="D1248" s="254">
        <v>1789.09</v>
      </c>
      <c r="E1248"/>
      <c r="F1248"/>
      <c r="G1248"/>
      <c r="H1248"/>
      <c r="I1248" s="489"/>
      <c r="J1248" s="1095"/>
      <c r="K1248" s="1095"/>
      <c r="L1248" s="1095"/>
      <c r="M1248" s="1095"/>
    </row>
    <row r="1249" spans="1:13" x14ac:dyDescent="0.25">
      <c r="A1249">
        <v>804124</v>
      </c>
      <c r="B1249" t="s">
        <v>8581</v>
      </c>
      <c r="C1249" t="s">
        <v>2640</v>
      </c>
      <c r="D1249" s="254">
        <v>1428.64</v>
      </c>
      <c r="E1249"/>
      <c r="F1249"/>
      <c r="G1249"/>
      <c r="H1249"/>
      <c r="I1249" s="489"/>
      <c r="J1249" s="1095"/>
      <c r="K1249" s="1095"/>
      <c r="L1249" s="1095"/>
      <c r="M1249" s="1095"/>
    </row>
    <row r="1250" spans="1:13" x14ac:dyDescent="0.25">
      <c r="A1250">
        <v>804395</v>
      </c>
      <c r="B1250" t="s">
        <v>8582</v>
      </c>
      <c r="C1250" t="s">
        <v>2640</v>
      </c>
      <c r="D1250" s="254">
        <v>2797.2</v>
      </c>
      <c r="E1250"/>
      <c r="F1250"/>
      <c r="G1250"/>
      <c r="H1250"/>
      <c r="I1250" s="489"/>
      <c r="J1250" s="1095"/>
      <c r="K1250" s="1095"/>
      <c r="L1250" s="1095"/>
      <c r="M1250" s="1095"/>
    </row>
    <row r="1251" spans="1:13" x14ac:dyDescent="0.25">
      <c r="A1251">
        <v>804127</v>
      </c>
      <c r="B1251" t="s">
        <v>8583</v>
      </c>
      <c r="C1251" t="s">
        <v>2640</v>
      </c>
      <c r="D1251" s="254">
        <v>1796.74</v>
      </c>
      <c r="E1251"/>
      <c r="F1251"/>
      <c r="G1251"/>
      <c r="H1251"/>
      <c r="I1251" s="489"/>
      <c r="J1251" s="1095"/>
      <c r="K1251" s="1095"/>
      <c r="L1251" s="1095"/>
      <c r="M1251" s="1095"/>
    </row>
    <row r="1252" spans="1:13" x14ac:dyDescent="0.25">
      <c r="A1252">
        <v>804394</v>
      </c>
      <c r="B1252" t="s">
        <v>8584</v>
      </c>
      <c r="C1252" t="s">
        <v>2640</v>
      </c>
      <c r="D1252" s="254">
        <v>2258.75</v>
      </c>
      <c r="E1252"/>
      <c r="F1252"/>
      <c r="G1252"/>
      <c r="H1252"/>
      <c r="I1252" s="489"/>
      <c r="J1252" s="1095"/>
      <c r="K1252" s="1095"/>
      <c r="L1252" s="1095"/>
      <c r="M1252" s="1095"/>
    </row>
    <row r="1253" spans="1:13" x14ac:dyDescent="0.25">
      <c r="A1253">
        <v>804126</v>
      </c>
      <c r="B1253" t="s">
        <v>8585</v>
      </c>
      <c r="C1253" t="s">
        <v>2640</v>
      </c>
      <c r="D1253" s="254">
        <v>1436</v>
      </c>
      <c r="E1253"/>
      <c r="F1253"/>
      <c r="G1253"/>
      <c r="H1253"/>
      <c r="I1253" s="489"/>
      <c r="J1253" s="1095"/>
      <c r="K1253" s="1095"/>
      <c r="L1253" s="1095"/>
      <c r="M1253" s="1095"/>
    </row>
    <row r="1254" spans="1:13" x14ac:dyDescent="0.25">
      <c r="A1254">
        <v>804129</v>
      </c>
      <c r="B1254" t="s">
        <v>8586</v>
      </c>
      <c r="C1254" t="s">
        <v>2640</v>
      </c>
      <c r="D1254" s="254">
        <v>1807.54</v>
      </c>
      <c r="E1254"/>
      <c r="F1254"/>
      <c r="G1254"/>
      <c r="H1254"/>
      <c r="I1254" s="489"/>
      <c r="J1254" s="1095"/>
      <c r="K1254" s="1095"/>
      <c r="L1254" s="1095"/>
      <c r="M1254" s="1095"/>
    </row>
    <row r="1255" spans="1:13" x14ac:dyDescent="0.25">
      <c r="A1255">
        <v>804128</v>
      </c>
      <c r="B1255" t="s">
        <v>8587</v>
      </c>
      <c r="C1255" t="s">
        <v>2640</v>
      </c>
      <c r="D1255" s="254">
        <v>1446.37</v>
      </c>
      <c r="E1255"/>
      <c r="F1255"/>
      <c r="G1255"/>
      <c r="H1255"/>
      <c r="I1255" s="489"/>
      <c r="J1255" s="1095"/>
      <c r="K1255" s="1095"/>
      <c r="L1255" s="1095"/>
      <c r="M1255" s="1095"/>
    </row>
    <row r="1256" spans="1:13" x14ac:dyDescent="0.25">
      <c r="A1256">
        <v>804131</v>
      </c>
      <c r="B1256" t="s">
        <v>8588</v>
      </c>
      <c r="C1256" t="s">
        <v>2640</v>
      </c>
      <c r="D1256" s="254">
        <v>1822.4</v>
      </c>
      <c r="E1256"/>
      <c r="F1256"/>
      <c r="G1256"/>
      <c r="H1256"/>
      <c r="I1256" s="489"/>
      <c r="J1256" s="1095"/>
      <c r="K1256" s="1095"/>
      <c r="L1256" s="1095"/>
      <c r="M1256" s="1095"/>
    </row>
    <row r="1257" spans="1:13" x14ac:dyDescent="0.25">
      <c r="A1257">
        <v>804130</v>
      </c>
      <c r="B1257" t="s">
        <v>8589</v>
      </c>
      <c r="C1257" t="s">
        <v>2640</v>
      </c>
      <c r="D1257" s="254">
        <v>1460.8</v>
      </c>
      <c r="E1257"/>
      <c r="F1257"/>
      <c r="G1257"/>
      <c r="H1257"/>
      <c r="I1257" s="489"/>
      <c r="J1257" s="1095"/>
      <c r="K1257" s="1095"/>
      <c r="L1257" s="1095"/>
      <c r="M1257" s="1095"/>
    </row>
    <row r="1258" spans="1:13" x14ac:dyDescent="0.25">
      <c r="A1258">
        <v>804397</v>
      </c>
      <c r="B1258" t="s">
        <v>8590</v>
      </c>
      <c r="C1258" t="s">
        <v>2640</v>
      </c>
      <c r="D1258" s="254">
        <v>3118.81</v>
      </c>
      <c r="E1258"/>
      <c r="F1258"/>
      <c r="G1258"/>
      <c r="H1258"/>
      <c r="I1258" s="489"/>
      <c r="J1258" s="1095"/>
      <c r="K1258" s="1095"/>
      <c r="L1258" s="1095"/>
      <c r="M1258" s="1095"/>
    </row>
    <row r="1259" spans="1:13" x14ac:dyDescent="0.25">
      <c r="A1259">
        <v>804133</v>
      </c>
      <c r="B1259" t="s">
        <v>8591</v>
      </c>
      <c r="C1259" t="s">
        <v>2640</v>
      </c>
      <c r="D1259" s="254">
        <v>1843.1</v>
      </c>
      <c r="E1259"/>
      <c r="F1259"/>
      <c r="G1259"/>
      <c r="H1259"/>
      <c r="I1259" s="489"/>
      <c r="J1259" s="1095"/>
      <c r="K1259" s="1095"/>
      <c r="L1259" s="1095"/>
      <c r="M1259" s="1095"/>
    </row>
    <row r="1260" spans="1:13" x14ac:dyDescent="0.25">
      <c r="A1260">
        <v>804396</v>
      </c>
      <c r="B1260" t="s">
        <v>8592</v>
      </c>
      <c r="C1260" t="s">
        <v>2640</v>
      </c>
      <c r="D1260" s="254">
        <v>2516.15</v>
      </c>
      <c r="E1260"/>
      <c r="F1260"/>
      <c r="G1260"/>
      <c r="H1260"/>
      <c r="I1260" s="489"/>
      <c r="J1260" s="1095"/>
      <c r="K1260" s="1095"/>
      <c r="L1260" s="1095"/>
      <c r="M1260" s="1095"/>
    </row>
    <row r="1261" spans="1:13" x14ac:dyDescent="0.25">
      <c r="A1261">
        <v>804132</v>
      </c>
      <c r="B1261" t="s">
        <v>8593</v>
      </c>
      <c r="C1261" t="s">
        <v>2640</v>
      </c>
      <c r="D1261" s="254">
        <v>1480.93</v>
      </c>
      <c r="E1261"/>
      <c r="F1261"/>
      <c r="G1261"/>
      <c r="H1261"/>
      <c r="I1261" s="489"/>
      <c r="J1261" s="1095"/>
      <c r="K1261" s="1095"/>
      <c r="L1261" s="1095"/>
      <c r="M1261" s="1095"/>
    </row>
    <row r="1262" spans="1:13" x14ac:dyDescent="0.25">
      <c r="A1262">
        <v>804135</v>
      </c>
      <c r="B1262" t="s">
        <v>8594</v>
      </c>
      <c r="C1262" t="s">
        <v>2640</v>
      </c>
      <c r="D1262" s="254">
        <v>1869.89</v>
      </c>
      <c r="E1262"/>
      <c r="F1262"/>
      <c r="G1262"/>
      <c r="H1262"/>
      <c r="I1262" s="489"/>
      <c r="J1262" s="1095"/>
      <c r="K1262" s="1095"/>
      <c r="L1262" s="1095"/>
      <c r="M1262" s="1095"/>
    </row>
    <row r="1263" spans="1:13" x14ac:dyDescent="0.25">
      <c r="A1263">
        <v>804134</v>
      </c>
      <c r="B1263" t="s">
        <v>8595</v>
      </c>
      <c r="C1263" t="s">
        <v>2640</v>
      </c>
      <c r="D1263" s="254">
        <v>1507.14</v>
      </c>
      <c r="E1263"/>
      <c r="F1263"/>
      <c r="G1263"/>
      <c r="H1263"/>
      <c r="I1263" s="489"/>
      <c r="J1263" s="1095"/>
      <c r="K1263" s="1095"/>
      <c r="L1263" s="1095"/>
      <c r="M1263" s="1095"/>
    </row>
    <row r="1264" spans="1:13" x14ac:dyDescent="0.25">
      <c r="A1264">
        <v>804137</v>
      </c>
      <c r="B1264" t="s">
        <v>8596</v>
      </c>
      <c r="C1264" t="s">
        <v>2640</v>
      </c>
      <c r="D1264" s="254">
        <v>1839.72</v>
      </c>
      <c r="E1264"/>
      <c r="F1264"/>
      <c r="G1264"/>
      <c r="H1264"/>
      <c r="I1264" s="489"/>
      <c r="J1264" s="1095"/>
      <c r="K1264" s="1095"/>
      <c r="L1264" s="1095"/>
      <c r="M1264" s="1095"/>
    </row>
    <row r="1265" spans="1:13" x14ac:dyDescent="0.25">
      <c r="A1265">
        <v>804136</v>
      </c>
      <c r="B1265" t="s">
        <v>8597</v>
      </c>
      <c r="C1265" t="s">
        <v>2640</v>
      </c>
      <c r="D1265" s="254">
        <v>1476.26</v>
      </c>
      <c r="E1265"/>
      <c r="F1265"/>
      <c r="G1265"/>
      <c r="H1265"/>
      <c r="I1265" s="489"/>
      <c r="J1265" s="1095"/>
      <c r="K1265" s="1095"/>
      <c r="L1265" s="1095"/>
      <c r="M1265" s="1095"/>
    </row>
    <row r="1266" spans="1:13" x14ac:dyDescent="0.25">
      <c r="A1266">
        <v>804399</v>
      </c>
      <c r="B1266" t="s">
        <v>8598</v>
      </c>
      <c r="C1266" t="s">
        <v>2640</v>
      </c>
      <c r="D1266" s="254">
        <v>3885.49</v>
      </c>
      <c r="E1266"/>
      <c r="F1266"/>
      <c r="G1266"/>
      <c r="H1266"/>
      <c r="I1266" s="489"/>
      <c r="J1266" s="1095"/>
      <c r="K1266" s="1095"/>
      <c r="L1266" s="1095"/>
      <c r="M1266" s="1095"/>
    </row>
    <row r="1267" spans="1:13" x14ac:dyDescent="0.25">
      <c r="A1267">
        <v>804139</v>
      </c>
      <c r="B1267" t="s">
        <v>8599</v>
      </c>
      <c r="C1267" t="s">
        <v>2640</v>
      </c>
      <c r="D1267" s="254">
        <v>1957.89</v>
      </c>
      <c r="E1267"/>
      <c r="F1267"/>
      <c r="G1267"/>
      <c r="H1267"/>
      <c r="I1267" s="489"/>
      <c r="J1267" s="1095"/>
      <c r="K1267" s="1095"/>
      <c r="L1267" s="1095"/>
      <c r="M1267" s="1095"/>
    </row>
    <row r="1268" spans="1:13" x14ac:dyDescent="0.25">
      <c r="A1268">
        <v>804398</v>
      </c>
      <c r="B1268" t="s">
        <v>8600</v>
      </c>
      <c r="C1268" t="s">
        <v>2640</v>
      </c>
      <c r="D1268" s="254">
        <v>3126.9</v>
      </c>
      <c r="E1268"/>
      <c r="F1268"/>
      <c r="G1268"/>
      <c r="H1268"/>
      <c r="I1268" s="489"/>
      <c r="J1268" s="1095"/>
      <c r="K1268" s="1095"/>
      <c r="L1268" s="1095"/>
      <c r="M1268" s="1095"/>
    </row>
    <row r="1269" spans="1:13" x14ac:dyDescent="0.25">
      <c r="A1269">
        <v>804138</v>
      </c>
      <c r="B1269" t="s">
        <v>8601</v>
      </c>
      <c r="C1269" t="s">
        <v>2640</v>
      </c>
      <c r="D1269" s="254">
        <v>1593.57</v>
      </c>
      <c r="E1269"/>
      <c r="F1269"/>
      <c r="G1269"/>
      <c r="H1269"/>
      <c r="I1269" s="489"/>
      <c r="J1269" s="1095"/>
      <c r="K1269" s="1095"/>
      <c r="L1269" s="1095"/>
      <c r="M1269" s="1095"/>
    </row>
    <row r="1270" spans="1:13" x14ac:dyDescent="0.25">
      <c r="A1270">
        <v>804123</v>
      </c>
      <c r="B1270" t="s">
        <v>8602</v>
      </c>
      <c r="C1270" t="s">
        <v>2640</v>
      </c>
      <c r="D1270" s="254">
        <v>1784.58</v>
      </c>
      <c r="E1270"/>
      <c r="F1270"/>
      <c r="G1270"/>
      <c r="H1270"/>
      <c r="I1270" s="489"/>
      <c r="J1270" s="1095"/>
      <c r="K1270" s="1095"/>
      <c r="L1270" s="1095"/>
      <c r="M1270" s="1095"/>
    </row>
    <row r="1271" spans="1:13" x14ac:dyDescent="0.25">
      <c r="A1271">
        <v>804122</v>
      </c>
      <c r="B1271" t="s">
        <v>8603</v>
      </c>
      <c r="C1271" t="s">
        <v>2640</v>
      </c>
      <c r="D1271" s="254">
        <v>1424.28</v>
      </c>
      <c r="E1271"/>
      <c r="F1271"/>
      <c r="G1271"/>
      <c r="H1271"/>
      <c r="I1271" s="489"/>
      <c r="J1271" s="1095"/>
      <c r="K1271" s="1095"/>
      <c r="L1271" s="1095"/>
      <c r="M1271" s="1095"/>
    </row>
    <row r="1272" spans="1:13" x14ac:dyDescent="0.25">
      <c r="A1272">
        <v>804401</v>
      </c>
      <c r="B1272" t="s">
        <v>8604</v>
      </c>
      <c r="C1272" t="s">
        <v>2640</v>
      </c>
      <c r="D1272" s="254">
        <v>3869.83</v>
      </c>
      <c r="E1272"/>
      <c r="F1272"/>
      <c r="G1272"/>
      <c r="H1272"/>
      <c r="I1272" s="489"/>
      <c r="J1272" s="1095"/>
      <c r="K1272" s="1095"/>
      <c r="L1272" s="1095"/>
      <c r="M1272" s="1095"/>
    </row>
    <row r="1273" spans="1:13" x14ac:dyDescent="0.25">
      <c r="A1273">
        <v>804141</v>
      </c>
      <c r="B1273" t="s">
        <v>6282</v>
      </c>
      <c r="C1273" t="s">
        <v>2640</v>
      </c>
      <c r="D1273" s="254">
        <v>2487.09</v>
      </c>
      <c r="E1273"/>
      <c r="F1273"/>
      <c r="G1273"/>
      <c r="H1273"/>
      <c r="I1273" s="489"/>
      <c r="J1273" s="1095"/>
      <c r="K1273" s="1095"/>
      <c r="L1273" s="1095"/>
      <c r="M1273" s="1095"/>
    </row>
    <row r="1274" spans="1:13" x14ac:dyDescent="0.25">
      <c r="A1274">
        <v>804400</v>
      </c>
      <c r="B1274" t="s">
        <v>8605</v>
      </c>
      <c r="C1274" t="s">
        <v>2640</v>
      </c>
      <c r="D1274" s="254">
        <v>3080.71</v>
      </c>
      <c r="E1274"/>
      <c r="F1274"/>
      <c r="G1274"/>
      <c r="H1274"/>
      <c r="I1274" s="489"/>
      <c r="J1274" s="1095"/>
      <c r="K1274" s="1095"/>
      <c r="L1274" s="1095"/>
      <c r="M1274" s="1095"/>
    </row>
    <row r="1275" spans="1:13" x14ac:dyDescent="0.25">
      <c r="A1275">
        <v>804140</v>
      </c>
      <c r="B1275" t="s">
        <v>8606</v>
      </c>
      <c r="C1275" t="s">
        <v>2640</v>
      </c>
      <c r="D1275" s="254">
        <v>1965.69</v>
      </c>
      <c r="E1275"/>
      <c r="F1275"/>
      <c r="G1275"/>
      <c r="H1275"/>
      <c r="I1275" s="489"/>
      <c r="J1275" s="1095"/>
      <c r="K1275" s="1095"/>
      <c r="L1275" s="1095"/>
      <c r="M1275" s="1095"/>
    </row>
    <row r="1276" spans="1:13" x14ac:dyDescent="0.25">
      <c r="A1276">
        <v>804145</v>
      </c>
      <c r="B1276" t="s">
        <v>8607</v>
      </c>
      <c r="C1276" t="s">
        <v>2640</v>
      </c>
      <c r="D1276" s="254">
        <v>2495.64</v>
      </c>
      <c r="E1276"/>
      <c r="F1276"/>
      <c r="G1276"/>
      <c r="H1276"/>
      <c r="I1276" s="489"/>
      <c r="J1276" s="1095"/>
      <c r="K1276" s="1095"/>
      <c r="L1276" s="1095"/>
      <c r="M1276" s="1095"/>
    </row>
    <row r="1277" spans="1:13" x14ac:dyDescent="0.25">
      <c r="A1277">
        <v>804144</v>
      </c>
      <c r="B1277" t="s">
        <v>8608</v>
      </c>
      <c r="C1277" t="s">
        <v>2640</v>
      </c>
      <c r="D1277" s="254">
        <v>1973.67</v>
      </c>
      <c r="E1277"/>
      <c r="F1277"/>
      <c r="G1277"/>
      <c r="H1277"/>
      <c r="I1277" s="489"/>
      <c r="J1277" s="1095"/>
      <c r="K1277" s="1095"/>
      <c r="L1277" s="1095"/>
      <c r="M1277" s="1095"/>
    </row>
    <row r="1278" spans="1:13" x14ac:dyDescent="0.25">
      <c r="A1278">
        <v>804403</v>
      </c>
      <c r="B1278" t="s">
        <v>8609</v>
      </c>
      <c r="C1278" t="s">
        <v>2640</v>
      </c>
      <c r="D1278" s="254">
        <v>4076.72</v>
      </c>
      <c r="E1278"/>
      <c r="F1278"/>
      <c r="G1278"/>
      <c r="H1278"/>
      <c r="I1278" s="489"/>
      <c r="J1278" s="1095"/>
      <c r="K1278" s="1095"/>
      <c r="L1278" s="1095"/>
      <c r="M1278" s="1095"/>
    </row>
    <row r="1279" spans="1:13" x14ac:dyDescent="0.25">
      <c r="A1279">
        <v>804147</v>
      </c>
      <c r="B1279" t="s">
        <v>8610</v>
      </c>
      <c r="C1279" t="s">
        <v>2640</v>
      </c>
      <c r="D1279" s="254">
        <v>2506.2199999999998</v>
      </c>
      <c r="E1279"/>
      <c r="F1279"/>
      <c r="G1279"/>
      <c r="H1279"/>
      <c r="I1279" s="489"/>
      <c r="J1279" s="1095"/>
      <c r="K1279" s="1095"/>
      <c r="L1279" s="1095"/>
      <c r="M1279" s="1095"/>
    </row>
    <row r="1280" spans="1:13" x14ac:dyDescent="0.25">
      <c r="A1280">
        <v>804402</v>
      </c>
      <c r="B1280" t="s">
        <v>8611</v>
      </c>
      <c r="C1280" t="s">
        <v>2640</v>
      </c>
      <c r="D1280" s="254">
        <v>3242.74</v>
      </c>
      <c r="E1280"/>
      <c r="F1280"/>
      <c r="G1280"/>
      <c r="H1280"/>
      <c r="I1280" s="489"/>
      <c r="J1280" s="1095"/>
      <c r="K1280" s="1095"/>
      <c r="L1280" s="1095"/>
      <c r="M1280" s="1095"/>
    </row>
    <row r="1281" spans="1:13" x14ac:dyDescent="0.25">
      <c r="A1281">
        <v>804146</v>
      </c>
      <c r="B1281" t="s">
        <v>8612</v>
      </c>
      <c r="C1281" t="s">
        <v>2640</v>
      </c>
      <c r="D1281" s="254">
        <v>1983.67</v>
      </c>
      <c r="E1281"/>
      <c r="F1281"/>
      <c r="G1281"/>
      <c r="H1281"/>
      <c r="I1281" s="489"/>
      <c r="J1281" s="1095"/>
      <c r="K1281" s="1095"/>
      <c r="L1281" s="1095"/>
      <c r="M1281" s="1095"/>
    </row>
    <row r="1282" spans="1:13" x14ac:dyDescent="0.25">
      <c r="A1282">
        <v>804149</v>
      </c>
      <c r="B1282" t="s">
        <v>8613</v>
      </c>
      <c r="C1282" t="s">
        <v>2640</v>
      </c>
      <c r="D1282" s="254">
        <v>2522.1999999999998</v>
      </c>
      <c r="E1282"/>
      <c r="F1282"/>
      <c r="G1282"/>
      <c r="H1282"/>
      <c r="I1282" s="489"/>
      <c r="J1282" s="1095"/>
      <c r="K1282" s="1095"/>
      <c r="L1282" s="1095"/>
      <c r="M1282" s="1095"/>
    </row>
    <row r="1283" spans="1:13" x14ac:dyDescent="0.25">
      <c r="A1283">
        <v>804148</v>
      </c>
      <c r="B1283" t="s">
        <v>8614</v>
      </c>
      <c r="C1283" t="s">
        <v>2640</v>
      </c>
      <c r="D1283" s="254">
        <v>1998.65</v>
      </c>
      <c r="E1283"/>
      <c r="F1283"/>
      <c r="G1283"/>
      <c r="H1283"/>
      <c r="I1283" s="489"/>
      <c r="J1283" s="1095"/>
      <c r="K1283" s="1095"/>
      <c r="L1283" s="1095"/>
      <c r="M1283" s="1095"/>
    </row>
    <row r="1284" spans="1:13" x14ac:dyDescent="0.25">
      <c r="A1284">
        <v>804151</v>
      </c>
      <c r="B1284" t="s">
        <v>8615</v>
      </c>
      <c r="C1284" t="s">
        <v>2640</v>
      </c>
      <c r="D1284" s="254">
        <v>2544.02</v>
      </c>
      <c r="E1284"/>
      <c r="F1284"/>
      <c r="G1284"/>
      <c r="H1284"/>
      <c r="I1284" s="489"/>
      <c r="J1284" s="1095"/>
      <c r="K1284" s="1095"/>
      <c r="L1284" s="1095"/>
      <c r="M1284" s="1095"/>
    </row>
    <row r="1285" spans="1:13" x14ac:dyDescent="0.25">
      <c r="A1285">
        <v>804150</v>
      </c>
      <c r="B1285" t="s">
        <v>8616</v>
      </c>
      <c r="C1285" t="s">
        <v>2640</v>
      </c>
      <c r="D1285" s="254">
        <v>2019.33</v>
      </c>
      <c r="E1285"/>
      <c r="F1285"/>
      <c r="G1285"/>
      <c r="H1285"/>
      <c r="I1285" s="489"/>
      <c r="J1285" s="1095"/>
      <c r="K1285" s="1095"/>
      <c r="L1285" s="1095"/>
      <c r="M1285" s="1095"/>
    </row>
    <row r="1286" spans="1:13" x14ac:dyDescent="0.25">
      <c r="A1286">
        <v>804405</v>
      </c>
      <c r="B1286" t="s">
        <v>8617</v>
      </c>
      <c r="C1286" t="s">
        <v>2640</v>
      </c>
      <c r="D1286" s="254">
        <v>4559.1099999999997</v>
      </c>
      <c r="E1286"/>
      <c r="F1286"/>
      <c r="G1286"/>
      <c r="H1286"/>
      <c r="I1286" s="489"/>
      <c r="J1286" s="1095"/>
      <c r="K1286" s="1095"/>
      <c r="L1286" s="1095"/>
      <c r="M1286" s="1095"/>
    </row>
    <row r="1287" spans="1:13" x14ac:dyDescent="0.25">
      <c r="A1287">
        <v>804153</v>
      </c>
      <c r="B1287" t="s">
        <v>8618</v>
      </c>
      <c r="C1287" t="s">
        <v>2640</v>
      </c>
      <c r="D1287" s="254">
        <v>2573.5100000000002</v>
      </c>
      <c r="E1287"/>
      <c r="F1287"/>
      <c r="G1287"/>
      <c r="H1287"/>
      <c r="I1287" s="489"/>
      <c r="J1287" s="1095"/>
      <c r="K1287" s="1095"/>
      <c r="L1287" s="1095"/>
      <c r="M1287" s="1095"/>
    </row>
    <row r="1288" spans="1:13" x14ac:dyDescent="0.25">
      <c r="A1288">
        <v>804404</v>
      </c>
      <c r="B1288" t="s">
        <v>8619</v>
      </c>
      <c r="C1288" t="s">
        <v>2640</v>
      </c>
      <c r="D1288" s="254">
        <v>3622.37</v>
      </c>
      <c r="E1288"/>
      <c r="F1288"/>
      <c r="G1288"/>
      <c r="H1288"/>
      <c r="I1288" s="489"/>
      <c r="J1288" s="1095"/>
      <c r="K1288" s="1095"/>
      <c r="L1288" s="1095"/>
      <c r="M1288" s="1095"/>
    </row>
    <row r="1289" spans="1:13" x14ac:dyDescent="0.25">
      <c r="A1289">
        <v>804152</v>
      </c>
      <c r="B1289" t="s">
        <v>8620</v>
      </c>
      <c r="C1289" t="s">
        <v>2640</v>
      </c>
      <c r="D1289" s="254">
        <v>2047.38</v>
      </c>
      <c r="E1289"/>
      <c r="F1289"/>
      <c r="G1289"/>
      <c r="H1289"/>
      <c r="I1289" s="489"/>
      <c r="J1289" s="1095"/>
      <c r="K1289" s="1095"/>
      <c r="L1289" s="1095"/>
      <c r="M1289" s="1095"/>
    </row>
    <row r="1290" spans="1:13" x14ac:dyDescent="0.25">
      <c r="A1290">
        <v>804155</v>
      </c>
      <c r="B1290" t="s">
        <v>8621</v>
      </c>
      <c r="C1290" t="s">
        <v>2640</v>
      </c>
      <c r="D1290" s="254">
        <v>2611.54</v>
      </c>
      <c r="E1290"/>
      <c r="F1290"/>
      <c r="G1290"/>
      <c r="H1290"/>
      <c r="I1290" s="489"/>
      <c r="J1290" s="1095"/>
      <c r="K1290" s="1095"/>
      <c r="L1290" s="1095"/>
      <c r="M1290" s="1095"/>
    </row>
    <row r="1291" spans="1:13" x14ac:dyDescent="0.25">
      <c r="A1291">
        <v>804154</v>
      </c>
      <c r="B1291" t="s">
        <v>8622</v>
      </c>
      <c r="C1291" t="s">
        <v>2640</v>
      </c>
      <c r="D1291" s="254">
        <v>2083.84</v>
      </c>
      <c r="E1291"/>
      <c r="F1291"/>
      <c r="G1291"/>
      <c r="H1291"/>
      <c r="I1291" s="489"/>
      <c r="J1291" s="1095"/>
      <c r="K1291" s="1095"/>
      <c r="L1291" s="1095"/>
      <c r="M1291" s="1095"/>
    </row>
    <row r="1292" spans="1:13" x14ac:dyDescent="0.25">
      <c r="A1292">
        <v>804157</v>
      </c>
      <c r="B1292" t="s">
        <v>8623</v>
      </c>
      <c r="C1292" t="s">
        <v>2640</v>
      </c>
      <c r="D1292" s="254">
        <v>2663.98</v>
      </c>
      <c r="E1292"/>
      <c r="F1292"/>
      <c r="G1292"/>
      <c r="H1292"/>
      <c r="I1292" s="489"/>
      <c r="J1292" s="1095"/>
      <c r="K1292" s="1095"/>
      <c r="L1292" s="1095"/>
      <c r="M1292" s="1095"/>
    </row>
    <row r="1293" spans="1:13" x14ac:dyDescent="0.25">
      <c r="A1293">
        <v>804156</v>
      </c>
      <c r="B1293" t="s">
        <v>8624</v>
      </c>
      <c r="C1293" t="s">
        <v>2640</v>
      </c>
      <c r="D1293" s="254">
        <v>2134.41</v>
      </c>
      <c r="E1293"/>
      <c r="F1293"/>
      <c r="G1293"/>
      <c r="H1293"/>
      <c r="I1293" s="489"/>
      <c r="J1293" s="1095"/>
      <c r="K1293" s="1095"/>
      <c r="L1293" s="1095"/>
      <c r="M1293" s="1095"/>
    </row>
    <row r="1294" spans="1:13" x14ac:dyDescent="0.25">
      <c r="A1294">
        <v>804407</v>
      </c>
      <c r="B1294" t="s">
        <v>8625</v>
      </c>
      <c r="C1294" t="s">
        <v>2640</v>
      </c>
      <c r="D1294" s="254">
        <v>5687.14</v>
      </c>
      <c r="E1294"/>
      <c r="F1294"/>
      <c r="G1294"/>
      <c r="H1294"/>
      <c r="I1294" s="489"/>
      <c r="J1294" s="1095"/>
      <c r="K1294" s="1095"/>
      <c r="L1294" s="1095"/>
      <c r="M1294" s="1095"/>
    </row>
    <row r="1295" spans="1:13" x14ac:dyDescent="0.25">
      <c r="A1295">
        <v>804159</v>
      </c>
      <c r="B1295" t="s">
        <v>8626</v>
      </c>
      <c r="C1295" t="s">
        <v>2640</v>
      </c>
      <c r="D1295" s="254">
        <v>2733.75</v>
      </c>
      <c r="E1295"/>
      <c r="F1295"/>
      <c r="G1295"/>
      <c r="H1295"/>
      <c r="I1295" s="489"/>
      <c r="J1295" s="1095"/>
      <c r="K1295" s="1095"/>
      <c r="L1295" s="1095"/>
      <c r="M1295" s="1095"/>
    </row>
    <row r="1296" spans="1:13" x14ac:dyDescent="0.25">
      <c r="A1296">
        <v>804406</v>
      </c>
      <c r="B1296" t="s">
        <v>8627</v>
      </c>
      <c r="C1296" t="s">
        <v>2640</v>
      </c>
      <c r="D1296" s="254">
        <v>4505.75</v>
      </c>
      <c r="E1296"/>
      <c r="F1296"/>
      <c r="G1296"/>
      <c r="H1296"/>
      <c r="I1296" s="489"/>
      <c r="J1296" s="1095"/>
      <c r="K1296" s="1095"/>
      <c r="L1296" s="1095"/>
      <c r="M1296" s="1095"/>
    </row>
    <row r="1297" spans="1:13" x14ac:dyDescent="0.25">
      <c r="A1297">
        <v>804158</v>
      </c>
      <c r="B1297" t="s">
        <v>8628</v>
      </c>
      <c r="C1297" t="s">
        <v>2640</v>
      </c>
      <c r="D1297" s="254">
        <v>2202.1799999999998</v>
      </c>
      <c r="E1297"/>
      <c r="F1297"/>
      <c r="G1297"/>
      <c r="H1297"/>
      <c r="I1297" s="489"/>
      <c r="J1297" s="1095"/>
      <c r="K1297" s="1095"/>
      <c r="L1297" s="1095"/>
      <c r="M1297" s="1095"/>
    </row>
    <row r="1298" spans="1:13" x14ac:dyDescent="0.25">
      <c r="A1298">
        <v>804143</v>
      </c>
      <c r="B1298" t="s">
        <v>8629</v>
      </c>
      <c r="C1298" t="s">
        <v>2640</v>
      </c>
      <c r="D1298" s="254">
        <v>2489.56</v>
      </c>
      <c r="E1298"/>
      <c r="F1298"/>
      <c r="G1298"/>
      <c r="H1298"/>
      <c r="I1298" s="489"/>
      <c r="J1298" s="1095"/>
      <c r="K1298" s="1095"/>
      <c r="L1298" s="1095"/>
      <c r="M1298" s="1095"/>
    </row>
    <row r="1299" spans="1:13" x14ac:dyDescent="0.25">
      <c r="A1299">
        <v>804142</v>
      </c>
      <c r="B1299" t="s">
        <v>8630</v>
      </c>
      <c r="C1299" t="s">
        <v>2640</v>
      </c>
      <c r="D1299" s="254">
        <v>1968.02</v>
      </c>
      <c r="E1299"/>
      <c r="F1299"/>
      <c r="G1299"/>
      <c r="H1299"/>
      <c r="I1299" s="489"/>
      <c r="J1299" s="1095"/>
      <c r="K1299" s="1095"/>
      <c r="L1299" s="1095"/>
      <c r="M1299" s="1095"/>
    </row>
    <row r="1300" spans="1:13" x14ac:dyDescent="0.25">
      <c r="A1300">
        <v>804409</v>
      </c>
      <c r="B1300" t="s">
        <v>8631</v>
      </c>
      <c r="C1300" t="s">
        <v>2640</v>
      </c>
      <c r="D1300" s="254">
        <v>7057.28</v>
      </c>
      <c r="E1300"/>
      <c r="F1300"/>
      <c r="G1300"/>
      <c r="H1300"/>
      <c r="I1300" s="489"/>
      <c r="J1300" s="1095"/>
      <c r="K1300" s="1095"/>
      <c r="L1300" s="1095"/>
      <c r="M1300" s="1095"/>
    </row>
    <row r="1301" spans="1:13" x14ac:dyDescent="0.25">
      <c r="A1301">
        <v>804161</v>
      </c>
      <c r="B1301" t="s">
        <v>6388</v>
      </c>
      <c r="C1301" t="s">
        <v>2640</v>
      </c>
      <c r="D1301" s="254">
        <v>4293.3</v>
      </c>
      <c r="E1301"/>
      <c r="F1301"/>
      <c r="G1301"/>
      <c r="H1301"/>
      <c r="I1301" s="489"/>
      <c r="J1301" s="1095"/>
      <c r="K1301" s="1095"/>
      <c r="L1301" s="1095"/>
      <c r="M1301" s="1095"/>
    </row>
    <row r="1302" spans="1:13" x14ac:dyDescent="0.25">
      <c r="A1302">
        <v>804408</v>
      </c>
      <c r="B1302" t="s">
        <v>8632</v>
      </c>
      <c r="C1302" t="s">
        <v>2640</v>
      </c>
      <c r="D1302" s="254">
        <v>5507.99</v>
      </c>
      <c r="E1302"/>
      <c r="F1302"/>
      <c r="G1302"/>
      <c r="H1302"/>
      <c r="I1302" s="489"/>
      <c r="J1302" s="1095"/>
      <c r="K1302" s="1095"/>
      <c r="L1302" s="1095"/>
      <c r="M1302" s="1095"/>
    </row>
    <row r="1303" spans="1:13" x14ac:dyDescent="0.25">
      <c r="A1303">
        <v>804160</v>
      </c>
      <c r="B1303" t="s">
        <v>8633</v>
      </c>
      <c r="C1303" t="s">
        <v>2640</v>
      </c>
      <c r="D1303" s="254">
        <v>3363.58</v>
      </c>
      <c r="E1303"/>
      <c r="F1303"/>
      <c r="G1303"/>
      <c r="H1303"/>
      <c r="I1303" s="489"/>
      <c r="J1303" s="1095"/>
      <c r="K1303" s="1095"/>
      <c r="L1303" s="1095"/>
      <c r="M1303" s="1095"/>
    </row>
    <row r="1304" spans="1:13" x14ac:dyDescent="0.25">
      <c r="A1304">
        <v>804165</v>
      </c>
      <c r="B1304" t="s">
        <v>8634</v>
      </c>
      <c r="C1304" t="s">
        <v>2640</v>
      </c>
      <c r="D1304" s="254">
        <v>4305</v>
      </c>
      <c r="E1304"/>
      <c r="F1304"/>
      <c r="G1304"/>
      <c r="H1304"/>
      <c r="I1304" s="489"/>
      <c r="J1304" s="1095"/>
      <c r="K1304" s="1095"/>
      <c r="L1304" s="1095"/>
      <c r="M1304" s="1095"/>
    </row>
    <row r="1305" spans="1:13" x14ac:dyDescent="0.25">
      <c r="A1305">
        <v>804164</v>
      </c>
      <c r="B1305" t="s">
        <v>8635</v>
      </c>
      <c r="C1305" t="s">
        <v>2640</v>
      </c>
      <c r="D1305" s="254">
        <v>3374.57</v>
      </c>
      <c r="E1305"/>
      <c r="F1305"/>
      <c r="G1305"/>
      <c r="H1305"/>
      <c r="I1305" s="489"/>
      <c r="J1305" s="1095"/>
      <c r="K1305" s="1095"/>
      <c r="L1305" s="1095"/>
      <c r="M1305" s="1095"/>
    </row>
    <row r="1306" spans="1:13" x14ac:dyDescent="0.25">
      <c r="A1306">
        <v>804411</v>
      </c>
      <c r="B1306" t="s">
        <v>8636</v>
      </c>
      <c r="C1306" t="s">
        <v>2640</v>
      </c>
      <c r="D1306" s="254">
        <v>7445.18</v>
      </c>
      <c r="E1306"/>
      <c r="F1306"/>
      <c r="G1306"/>
      <c r="H1306"/>
      <c r="I1306" s="489"/>
      <c r="J1306" s="1095"/>
      <c r="K1306" s="1095"/>
      <c r="L1306" s="1095"/>
      <c r="M1306" s="1095"/>
    </row>
    <row r="1307" spans="1:13" x14ac:dyDescent="0.25">
      <c r="A1307">
        <v>804167</v>
      </c>
      <c r="B1307" t="s">
        <v>8637</v>
      </c>
      <c r="C1307" t="s">
        <v>2640</v>
      </c>
      <c r="D1307" s="254">
        <v>4320.3</v>
      </c>
      <c r="E1307"/>
      <c r="F1307"/>
      <c r="G1307"/>
      <c r="H1307"/>
      <c r="I1307" s="489"/>
      <c r="J1307" s="1095"/>
      <c r="K1307" s="1095"/>
      <c r="L1307" s="1095"/>
      <c r="M1307" s="1095"/>
    </row>
    <row r="1308" spans="1:13" x14ac:dyDescent="0.25">
      <c r="A1308">
        <v>804410</v>
      </c>
      <c r="B1308" t="s">
        <v>8638</v>
      </c>
      <c r="C1308" t="s">
        <v>2640</v>
      </c>
      <c r="D1308" s="254">
        <v>5806.89</v>
      </c>
      <c r="E1308"/>
      <c r="F1308"/>
      <c r="G1308"/>
      <c r="H1308"/>
      <c r="I1308" s="489"/>
      <c r="J1308" s="1095"/>
      <c r="K1308" s="1095"/>
      <c r="L1308" s="1095"/>
      <c r="M1308" s="1095"/>
    </row>
    <row r="1309" spans="1:13" x14ac:dyDescent="0.25">
      <c r="A1309">
        <v>804166</v>
      </c>
      <c r="B1309" t="s">
        <v>8639</v>
      </c>
      <c r="C1309" t="s">
        <v>2640</v>
      </c>
      <c r="D1309" s="254">
        <v>3388.87</v>
      </c>
      <c r="E1309"/>
      <c r="F1309"/>
      <c r="G1309"/>
      <c r="H1309"/>
      <c r="I1309" s="489"/>
      <c r="J1309" s="1095"/>
      <c r="K1309" s="1095"/>
      <c r="L1309" s="1095"/>
      <c r="M1309" s="1095"/>
    </row>
    <row r="1310" spans="1:13" x14ac:dyDescent="0.25">
      <c r="A1310">
        <v>804169</v>
      </c>
      <c r="B1310" t="s">
        <v>8640</v>
      </c>
      <c r="C1310" t="s">
        <v>2640</v>
      </c>
      <c r="D1310" s="254">
        <v>4342.58</v>
      </c>
      <c r="E1310"/>
      <c r="F1310"/>
      <c r="G1310"/>
      <c r="H1310"/>
      <c r="I1310" s="489"/>
      <c r="J1310" s="1095"/>
      <c r="K1310" s="1095"/>
      <c r="L1310" s="1095"/>
      <c r="M1310" s="1095"/>
    </row>
    <row r="1311" spans="1:13" x14ac:dyDescent="0.25">
      <c r="A1311">
        <v>804168</v>
      </c>
      <c r="B1311" t="s">
        <v>8641</v>
      </c>
      <c r="C1311" t="s">
        <v>2640</v>
      </c>
      <c r="D1311" s="254">
        <v>3409.85</v>
      </c>
      <c r="E1311"/>
      <c r="F1311"/>
      <c r="G1311"/>
      <c r="H1311"/>
      <c r="I1311" s="489"/>
      <c r="J1311" s="1095"/>
      <c r="K1311" s="1095"/>
      <c r="L1311" s="1095"/>
      <c r="M1311" s="1095"/>
    </row>
    <row r="1312" spans="1:13" x14ac:dyDescent="0.25">
      <c r="A1312">
        <v>804171</v>
      </c>
      <c r="B1312" t="s">
        <v>8642</v>
      </c>
      <c r="C1312" t="s">
        <v>2640</v>
      </c>
      <c r="D1312" s="254">
        <v>4372.96</v>
      </c>
      <c r="E1312"/>
      <c r="F1312"/>
      <c r="G1312"/>
      <c r="H1312"/>
      <c r="I1312" s="489"/>
      <c r="J1312" s="1095"/>
      <c r="K1312" s="1095"/>
      <c r="L1312" s="1095"/>
      <c r="M1312" s="1095"/>
    </row>
    <row r="1313" spans="1:13" x14ac:dyDescent="0.25">
      <c r="A1313">
        <v>804170</v>
      </c>
      <c r="B1313" t="s">
        <v>8643</v>
      </c>
      <c r="C1313" t="s">
        <v>2640</v>
      </c>
      <c r="D1313" s="254">
        <v>3438.52</v>
      </c>
      <c r="E1313"/>
      <c r="F1313"/>
      <c r="G1313"/>
      <c r="H1313"/>
      <c r="I1313" s="489"/>
      <c r="J1313" s="1095"/>
      <c r="K1313" s="1095"/>
      <c r="L1313" s="1095"/>
      <c r="M1313" s="1095"/>
    </row>
    <row r="1314" spans="1:13" x14ac:dyDescent="0.25">
      <c r="A1314">
        <v>804413</v>
      </c>
      <c r="B1314" t="s">
        <v>8644</v>
      </c>
      <c r="C1314" t="s">
        <v>2640</v>
      </c>
      <c r="D1314" s="254">
        <v>8347.83</v>
      </c>
      <c r="E1314"/>
      <c r="F1314"/>
      <c r="G1314"/>
      <c r="H1314"/>
      <c r="I1314" s="489"/>
      <c r="J1314" s="1095"/>
      <c r="K1314" s="1095"/>
      <c r="L1314" s="1095"/>
      <c r="M1314" s="1095"/>
    </row>
    <row r="1315" spans="1:13" x14ac:dyDescent="0.25">
      <c r="A1315">
        <v>804173</v>
      </c>
      <c r="B1315" t="s">
        <v>8645</v>
      </c>
      <c r="C1315" t="s">
        <v>2640</v>
      </c>
      <c r="D1315" s="254">
        <v>4413.7</v>
      </c>
      <c r="E1315"/>
      <c r="F1315"/>
      <c r="G1315"/>
      <c r="H1315"/>
      <c r="I1315" s="489"/>
      <c r="J1315" s="1095"/>
      <c r="K1315" s="1095"/>
      <c r="L1315" s="1095"/>
      <c r="M1315" s="1095"/>
    </row>
    <row r="1316" spans="1:13" x14ac:dyDescent="0.25">
      <c r="A1316">
        <v>804412</v>
      </c>
      <c r="B1316" t="s">
        <v>8646</v>
      </c>
      <c r="C1316" t="s">
        <v>2640</v>
      </c>
      <c r="D1316" s="254">
        <v>6503.59</v>
      </c>
      <c r="E1316"/>
      <c r="F1316"/>
      <c r="G1316"/>
      <c r="H1316"/>
      <c r="I1316" s="489"/>
      <c r="J1316" s="1095"/>
      <c r="K1316" s="1095"/>
      <c r="L1316" s="1095"/>
      <c r="M1316" s="1095"/>
    </row>
    <row r="1317" spans="1:13" x14ac:dyDescent="0.25">
      <c r="A1317">
        <v>804172</v>
      </c>
      <c r="B1317" t="s">
        <v>8647</v>
      </c>
      <c r="C1317" t="s">
        <v>2640</v>
      </c>
      <c r="D1317" s="254">
        <v>3477.24</v>
      </c>
      <c r="E1317"/>
      <c r="F1317"/>
      <c r="G1317"/>
      <c r="H1317"/>
      <c r="I1317" s="489"/>
      <c r="J1317" s="1095"/>
      <c r="K1317" s="1095"/>
      <c r="L1317" s="1095"/>
      <c r="M1317" s="1095"/>
    </row>
    <row r="1318" spans="1:13" x14ac:dyDescent="0.25">
      <c r="A1318">
        <v>804175</v>
      </c>
      <c r="B1318" t="s">
        <v>8648</v>
      </c>
      <c r="C1318" t="s">
        <v>2640</v>
      </c>
      <c r="D1318" s="254">
        <v>4468.16</v>
      </c>
      <c r="E1318"/>
      <c r="F1318"/>
      <c r="G1318"/>
      <c r="H1318"/>
      <c r="I1318" s="489"/>
      <c r="J1318" s="1095"/>
      <c r="K1318" s="1095"/>
      <c r="L1318" s="1095"/>
      <c r="M1318" s="1095"/>
    </row>
    <row r="1319" spans="1:13" x14ac:dyDescent="0.25">
      <c r="A1319">
        <v>804174</v>
      </c>
      <c r="B1319" t="s">
        <v>8649</v>
      </c>
      <c r="C1319" t="s">
        <v>2640</v>
      </c>
      <c r="D1319" s="254">
        <v>3529.41</v>
      </c>
      <c r="E1319"/>
      <c r="F1319"/>
      <c r="G1319"/>
      <c r="H1319"/>
      <c r="I1319" s="489"/>
      <c r="J1319" s="1095"/>
      <c r="K1319" s="1095"/>
      <c r="L1319" s="1095"/>
      <c r="M1319" s="1095"/>
    </row>
    <row r="1320" spans="1:13" x14ac:dyDescent="0.25">
      <c r="A1320">
        <v>804177</v>
      </c>
      <c r="B1320" t="s">
        <v>8650</v>
      </c>
      <c r="C1320" t="s">
        <v>2640</v>
      </c>
      <c r="D1320" s="254">
        <v>4540.8599999999997</v>
      </c>
      <c r="E1320"/>
      <c r="F1320"/>
      <c r="G1320"/>
      <c r="H1320"/>
      <c r="I1320" s="489"/>
      <c r="J1320" s="1095"/>
      <c r="K1320" s="1095"/>
      <c r="L1320" s="1095"/>
      <c r="M1320" s="1095"/>
    </row>
    <row r="1321" spans="1:13" x14ac:dyDescent="0.25">
      <c r="A1321">
        <v>804176</v>
      </c>
      <c r="B1321" t="s">
        <v>8651</v>
      </c>
      <c r="C1321" t="s">
        <v>2640</v>
      </c>
      <c r="D1321" s="254">
        <v>3599.39</v>
      </c>
      <c r="E1321"/>
      <c r="F1321"/>
      <c r="G1321"/>
      <c r="H1321"/>
      <c r="I1321" s="489"/>
      <c r="J1321" s="1095"/>
      <c r="K1321" s="1095"/>
      <c r="L1321" s="1095"/>
      <c r="M1321" s="1095"/>
    </row>
    <row r="1322" spans="1:13" x14ac:dyDescent="0.25">
      <c r="A1322">
        <v>804415</v>
      </c>
      <c r="B1322" t="s">
        <v>8652</v>
      </c>
      <c r="C1322" t="s">
        <v>2640</v>
      </c>
      <c r="D1322" s="254">
        <v>10476.24</v>
      </c>
      <c r="E1322"/>
      <c r="F1322"/>
      <c r="G1322"/>
      <c r="H1322"/>
      <c r="I1322" s="489"/>
      <c r="J1322" s="1095"/>
      <c r="K1322" s="1095"/>
      <c r="L1322" s="1095"/>
      <c r="M1322" s="1095"/>
    </row>
    <row r="1323" spans="1:13" x14ac:dyDescent="0.25">
      <c r="A1323">
        <v>804179</v>
      </c>
      <c r="B1323" t="s">
        <v>8653</v>
      </c>
      <c r="C1323" t="s">
        <v>2640</v>
      </c>
      <c r="D1323" s="254">
        <v>4640.1099999999997</v>
      </c>
      <c r="E1323"/>
      <c r="F1323"/>
      <c r="G1323"/>
      <c r="H1323"/>
      <c r="I1323" s="489"/>
      <c r="J1323" s="1095"/>
      <c r="K1323" s="1095"/>
      <c r="L1323" s="1095"/>
      <c r="M1323" s="1095"/>
    </row>
    <row r="1324" spans="1:13" x14ac:dyDescent="0.25">
      <c r="A1324">
        <v>804414</v>
      </c>
      <c r="B1324" t="s">
        <v>8654</v>
      </c>
      <c r="C1324" t="s">
        <v>2640</v>
      </c>
      <c r="D1324" s="254">
        <v>8139.69</v>
      </c>
      <c r="E1324"/>
      <c r="F1324"/>
      <c r="G1324"/>
      <c r="H1324"/>
      <c r="I1324" s="489"/>
      <c r="J1324" s="1095"/>
      <c r="K1324" s="1095"/>
      <c r="L1324" s="1095"/>
      <c r="M1324" s="1095"/>
    </row>
    <row r="1325" spans="1:13" x14ac:dyDescent="0.25">
      <c r="A1325">
        <v>804178</v>
      </c>
      <c r="B1325" t="s">
        <v>8655</v>
      </c>
      <c r="C1325" t="s">
        <v>2640</v>
      </c>
      <c r="D1325" s="254">
        <v>3695.63</v>
      </c>
      <c r="E1325"/>
      <c r="F1325"/>
      <c r="G1325"/>
      <c r="H1325"/>
      <c r="I1325" s="489"/>
      <c r="J1325" s="1095"/>
      <c r="K1325" s="1095"/>
      <c r="L1325" s="1095"/>
      <c r="M1325" s="1095"/>
    </row>
    <row r="1326" spans="1:13" x14ac:dyDescent="0.25">
      <c r="A1326">
        <v>804163</v>
      </c>
      <c r="B1326" t="s">
        <v>8656</v>
      </c>
      <c r="C1326" t="s">
        <v>2640</v>
      </c>
      <c r="D1326" s="254">
        <v>4296.45</v>
      </c>
      <c r="E1326"/>
      <c r="F1326"/>
      <c r="G1326"/>
      <c r="H1326"/>
      <c r="I1326" s="489"/>
      <c r="J1326" s="1095"/>
      <c r="K1326" s="1095"/>
      <c r="L1326" s="1095"/>
      <c r="M1326" s="1095"/>
    </row>
    <row r="1327" spans="1:13" x14ac:dyDescent="0.25">
      <c r="A1327">
        <v>804162</v>
      </c>
      <c r="B1327" t="s">
        <v>8657</v>
      </c>
      <c r="C1327" t="s">
        <v>2640</v>
      </c>
      <c r="D1327" s="254">
        <v>3366.59</v>
      </c>
      <c r="E1327"/>
      <c r="F1327"/>
      <c r="G1327"/>
      <c r="H1327"/>
      <c r="I1327" s="489"/>
      <c r="J1327" s="1095"/>
      <c r="K1327" s="1095"/>
      <c r="L1327" s="1095"/>
      <c r="M1327" s="1095"/>
    </row>
    <row r="1328" spans="1:13" x14ac:dyDescent="0.25">
      <c r="A1328">
        <v>804441</v>
      </c>
      <c r="B1328" t="s">
        <v>8658</v>
      </c>
      <c r="C1328" t="s">
        <v>2640</v>
      </c>
      <c r="D1328" s="254">
        <v>4775.59</v>
      </c>
      <c r="E1328"/>
      <c r="F1328"/>
      <c r="G1328"/>
      <c r="H1328"/>
      <c r="I1328" s="489"/>
      <c r="J1328" s="1095"/>
      <c r="K1328" s="1095"/>
      <c r="L1328" s="1095"/>
      <c r="M1328" s="1095"/>
    </row>
    <row r="1329" spans="1:13" x14ac:dyDescent="0.25">
      <c r="A1329">
        <v>804317</v>
      </c>
      <c r="B1329" t="s">
        <v>6286</v>
      </c>
      <c r="C1329" t="s">
        <v>2640</v>
      </c>
      <c r="D1329" s="254">
        <v>2614.16</v>
      </c>
      <c r="E1329"/>
      <c r="F1329"/>
      <c r="G1329"/>
      <c r="H1329"/>
      <c r="I1329" s="489"/>
      <c r="J1329" s="1095"/>
      <c r="K1329" s="1095"/>
      <c r="L1329" s="1095"/>
      <c r="M1329" s="1095"/>
    </row>
    <row r="1330" spans="1:13" x14ac:dyDescent="0.25">
      <c r="A1330">
        <v>804440</v>
      </c>
      <c r="B1330" t="s">
        <v>8659</v>
      </c>
      <c r="C1330" t="s">
        <v>2640</v>
      </c>
      <c r="D1330" s="254">
        <v>3823.23</v>
      </c>
      <c r="E1330"/>
      <c r="F1330"/>
      <c r="G1330"/>
      <c r="H1330"/>
      <c r="I1330" s="489"/>
      <c r="J1330" s="1095"/>
      <c r="K1330" s="1095"/>
      <c r="L1330" s="1095"/>
      <c r="M1330" s="1095"/>
    </row>
    <row r="1331" spans="1:13" x14ac:dyDescent="0.25">
      <c r="A1331">
        <v>804316</v>
      </c>
      <c r="B1331" t="s">
        <v>8660</v>
      </c>
      <c r="C1331" t="s">
        <v>2640</v>
      </c>
      <c r="D1331" s="254">
        <v>2067.9699999999998</v>
      </c>
      <c r="E1331"/>
      <c r="F1331"/>
      <c r="G1331"/>
      <c r="H1331"/>
      <c r="I1331" s="489"/>
      <c r="J1331" s="1095"/>
      <c r="K1331" s="1095"/>
      <c r="L1331" s="1095"/>
      <c r="M1331" s="1095"/>
    </row>
    <row r="1332" spans="1:13" x14ac:dyDescent="0.25">
      <c r="A1332">
        <v>804321</v>
      </c>
      <c r="B1332" t="s">
        <v>8661</v>
      </c>
      <c r="C1332" t="s">
        <v>2640</v>
      </c>
      <c r="D1332" s="254">
        <v>2631.71</v>
      </c>
      <c r="E1332"/>
      <c r="F1332"/>
      <c r="G1332"/>
      <c r="H1332"/>
      <c r="I1332" s="489"/>
      <c r="J1332" s="1095"/>
      <c r="K1332" s="1095"/>
      <c r="L1332" s="1095"/>
      <c r="M1332" s="1095"/>
    </row>
    <row r="1333" spans="1:13" x14ac:dyDescent="0.25">
      <c r="A1333">
        <v>804320</v>
      </c>
      <c r="B1333" t="s">
        <v>8662</v>
      </c>
      <c r="C1333" t="s">
        <v>2640</v>
      </c>
      <c r="D1333" s="254">
        <v>2083.8000000000002</v>
      </c>
      <c r="E1333"/>
      <c r="F1333"/>
      <c r="G1333"/>
      <c r="H1333"/>
      <c r="I1333" s="489"/>
      <c r="J1333" s="1095"/>
      <c r="K1333" s="1095"/>
      <c r="L1333" s="1095"/>
      <c r="M1333" s="1095"/>
    </row>
    <row r="1334" spans="1:13" x14ac:dyDescent="0.25">
      <c r="A1334">
        <v>804443</v>
      </c>
      <c r="B1334" t="s">
        <v>8663</v>
      </c>
      <c r="C1334" t="s">
        <v>2640</v>
      </c>
      <c r="D1334" s="254">
        <v>4984.07</v>
      </c>
      <c r="E1334"/>
      <c r="F1334"/>
      <c r="G1334"/>
      <c r="H1334"/>
      <c r="I1334" s="489"/>
      <c r="J1334" s="1095"/>
      <c r="K1334" s="1095"/>
      <c r="L1334" s="1095"/>
      <c r="M1334" s="1095"/>
    </row>
    <row r="1335" spans="1:13" x14ac:dyDescent="0.25">
      <c r="A1335">
        <v>804323</v>
      </c>
      <c r="B1335" t="s">
        <v>8664</v>
      </c>
      <c r="C1335" t="s">
        <v>2640</v>
      </c>
      <c r="D1335" s="254">
        <v>2655.11</v>
      </c>
      <c r="E1335"/>
      <c r="F1335"/>
      <c r="G1335"/>
      <c r="H1335"/>
      <c r="I1335" s="489"/>
      <c r="J1335" s="1095"/>
      <c r="K1335" s="1095"/>
      <c r="L1335" s="1095"/>
      <c r="M1335" s="1095"/>
    </row>
    <row r="1336" spans="1:13" x14ac:dyDescent="0.25">
      <c r="A1336">
        <v>804442</v>
      </c>
      <c r="B1336" t="s">
        <v>8665</v>
      </c>
      <c r="C1336" t="s">
        <v>2640</v>
      </c>
      <c r="D1336" s="254">
        <v>3989.14</v>
      </c>
      <c r="E1336"/>
      <c r="F1336"/>
      <c r="G1336"/>
      <c r="H1336"/>
      <c r="I1336" s="489"/>
      <c r="J1336" s="1095"/>
      <c r="K1336" s="1095"/>
      <c r="L1336" s="1095"/>
      <c r="M1336" s="1095"/>
    </row>
    <row r="1337" spans="1:13" x14ac:dyDescent="0.25">
      <c r="A1337">
        <v>804322</v>
      </c>
      <c r="B1337" t="s">
        <v>8666</v>
      </c>
      <c r="C1337" t="s">
        <v>2640</v>
      </c>
      <c r="D1337" s="254">
        <v>2104.91</v>
      </c>
      <c r="E1337"/>
      <c r="F1337"/>
      <c r="G1337"/>
      <c r="H1337"/>
      <c r="I1337" s="489"/>
      <c r="J1337" s="1095"/>
      <c r="K1337" s="1095"/>
      <c r="L1337" s="1095"/>
      <c r="M1337" s="1095"/>
    </row>
    <row r="1338" spans="1:13" x14ac:dyDescent="0.25">
      <c r="A1338">
        <v>804325</v>
      </c>
      <c r="B1338" t="s">
        <v>8667</v>
      </c>
      <c r="C1338" t="s">
        <v>2640</v>
      </c>
      <c r="D1338" s="254">
        <v>2688.86</v>
      </c>
      <c r="E1338"/>
      <c r="F1338"/>
      <c r="G1338"/>
      <c r="H1338"/>
      <c r="I1338" s="489"/>
      <c r="J1338" s="1095"/>
      <c r="K1338" s="1095"/>
      <c r="L1338" s="1095"/>
      <c r="M1338" s="1095"/>
    </row>
    <row r="1339" spans="1:13" x14ac:dyDescent="0.25">
      <c r="A1339">
        <v>804324</v>
      </c>
      <c r="B1339" t="s">
        <v>8668</v>
      </c>
      <c r="C1339" t="s">
        <v>2640</v>
      </c>
      <c r="D1339" s="254">
        <v>2135.65</v>
      </c>
      <c r="E1339"/>
      <c r="F1339"/>
      <c r="G1339"/>
      <c r="H1339"/>
      <c r="I1339" s="489"/>
      <c r="J1339" s="1095"/>
      <c r="K1339" s="1095"/>
      <c r="L1339" s="1095"/>
      <c r="M1339" s="1095"/>
    </row>
    <row r="1340" spans="1:13" x14ac:dyDescent="0.25">
      <c r="A1340">
        <v>804327</v>
      </c>
      <c r="B1340" t="s">
        <v>8669</v>
      </c>
      <c r="C1340" t="s">
        <v>2640</v>
      </c>
      <c r="D1340" s="254">
        <v>2735.22</v>
      </c>
      <c r="E1340"/>
      <c r="F1340"/>
      <c r="G1340"/>
      <c r="H1340"/>
      <c r="I1340" s="489"/>
      <c r="J1340" s="1095"/>
      <c r="K1340" s="1095"/>
      <c r="L1340" s="1095"/>
      <c r="M1340" s="1095"/>
    </row>
    <row r="1341" spans="1:13" x14ac:dyDescent="0.25">
      <c r="A1341">
        <v>804326</v>
      </c>
      <c r="B1341" t="s">
        <v>8670</v>
      </c>
      <c r="C1341" t="s">
        <v>2640</v>
      </c>
      <c r="D1341" s="254">
        <v>2177.9899999999998</v>
      </c>
      <c r="E1341"/>
      <c r="F1341"/>
      <c r="G1341"/>
      <c r="H1341"/>
      <c r="I1341" s="489"/>
      <c r="J1341" s="1095"/>
      <c r="K1341" s="1095"/>
      <c r="L1341" s="1095"/>
      <c r="M1341" s="1095"/>
    </row>
    <row r="1342" spans="1:13" x14ac:dyDescent="0.25">
      <c r="A1342">
        <v>804445</v>
      </c>
      <c r="B1342" t="s">
        <v>8671</v>
      </c>
      <c r="C1342" t="s">
        <v>2640</v>
      </c>
      <c r="D1342" s="254">
        <v>5563.18</v>
      </c>
      <c r="E1342"/>
      <c r="F1342"/>
      <c r="G1342"/>
      <c r="H1342"/>
      <c r="I1342" s="489"/>
      <c r="J1342" s="1095"/>
      <c r="K1342" s="1095"/>
      <c r="L1342" s="1095"/>
      <c r="M1342" s="1095"/>
    </row>
    <row r="1343" spans="1:13" x14ac:dyDescent="0.25">
      <c r="A1343">
        <v>804329</v>
      </c>
      <c r="B1343" t="s">
        <v>8672</v>
      </c>
      <c r="C1343" t="s">
        <v>2640</v>
      </c>
      <c r="D1343" s="254">
        <v>2796.65</v>
      </c>
      <c r="E1343"/>
      <c r="F1343"/>
      <c r="G1343"/>
      <c r="H1343"/>
      <c r="I1343" s="489"/>
      <c r="J1343" s="1095"/>
      <c r="K1343" s="1095"/>
      <c r="L1343" s="1095"/>
      <c r="M1343" s="1095"/>
    </row>
    <row r="1344" spans="1:13" x14ac:dyDescent="0.25">
      <c r="A1344">
        <v>804444</v>
      </c>
      <c r="B1344" t="s">
        <v>8673</v>
      </c>
      <c r="C1344" t="s">
        <v>2640</v>
      </c>
      <c r="D1344" s="254">
        <v>4450.16</v>
      </c>
      <c r="E1344"/>
      <c r="F1344"/>
      <c r="G1344"/>
      <c r="H1344"/>
      <c r="I1344" s="489"/>
      <c r="J1344" s="1095"/>
      <c r="K1344" s="1095"/>
      <c r="L1344" s="1095"/>
      <c r="M1344" s="1095"/>
    </row>
    <row r="1345" spans="1:13" x14ac:dyDescent="0.25">
      <c r="A1345">
        <v>804328</v>
      </c>
      <c r="B1345" t="s">
        <v>8674</v>
      </c>
      <c r="C1345" t="s">
        <v>2640</v>
      </c>
      <c r="D1345" s="254">
        <v>2234.69</v>
      </c>
      <c r="E1345"/>
      <c r="F1345"/>
      <c r="G1345"/>
      <c r="H1345"/>
      <c r="I1345" s="489"/>
      <c r="J1345" s="1095"/>
      <c r="K1345" s="1095"/>
      <c r="L1345" s="1095"/>
      <c r="M1345" s="1095"/>
    </row>
    <row r="1346" spans="1:13" x14ac:dyDescent="0.25">
      <c r="A1346">
        <v>804331</v>
      </c>
      <c r="B1346" t="s">
        <v>8675</v>
      </c>
      <c r="C1346" t="s">
        <v>2640</v>
      </c>
      <c r="D1346" s="254">
        <v>2875.86</v>
      </c>
      <c r="E1346"/>
      <c r="F1346"/>
      <c r="G1346"/>
      <c r="H1346"/>
      <c r="I1346" s="489"/>
      <c r="J1346" s="1095"/>
      <c r="K1346" s="1095"/>
      <c r="L1346" s="1095"/>
      <c r="M1346" s="1095"/>
    </row>
    <row r="1347" spans="1:13" x14ac:dyDescent="0.25">
      <c r="A1347">
        <v>804330</v>
      </c>
      <c r="B1347" t="s">
        <v>8676</v>
      </c>
      <c r="C1347" t="s">
        <v>2640</v>
      </c>
      <c r="D1347" s="254">
        <v>2308.46</v>
      </c>
      <c r="E1347"/>
      <c r="F1347"/>
      <c r="G1347"/>
      <c r="H1347"/>
      <c r="I1347" s="489"/>
      <c r="J1347" s="1095"/>
      <c r="K1347" s="1095"/>
      <c r="L1347" s="1095"/>
      <c r="M1347" s="1095"/>
    </row>
    <row r="1348" spans="1:13" x14ac:dyDescent="0.25">
      <c r="A1348">
        <v>804333</v>
      </c>
      <c r="B1348" t="s">
        <v>8677</v>
      </c>
      <c r="C1348" t="s">
        <v>2640</v>
      </c>
      <c r="D1348" s="254">
        <v>2981.4</v>
      </c>
      <c r="E1348"/>
      <c r="F1348"/>
      <c r="G1348"/>
      <c r="H1348"/>
      <c r="I1348" s="489"/>
      <c r="J1348" s="1095"/>
      <c r="K1348" s="1095"/>
      <c r="L1348" s="1095"/>
      <c r="M1348" s="1095"/>
    </row>
    <row r="1349" spans="1:13" x14ac:dyDescent="0.25">
      <c r="A1349">
        <v>804332</v>
      </c>
      <c r="B1349" t="s">
        <v>8678</v>
      </c>
      <c r="C1349" t="s">
        <v>2640</v>
      </c>
      <c r="D1349" s="254">
        <v>2407.69</v>
      </c>
      <c r="E1349"/>
      <c r="F1349"/>
      <c r="G1349"/>
      <c r="H1349"/>
      <c r="I1349" s="489"/>
      <c r="J1349" s="1095"/>
      <c r="K1349" s="1095"/>
      <c r="L1349" s="1095"/>
      <c r="M1349" s="1095"/>
    </row>
    <row r="1350" spans="1:13" x14ac:dyDescent="0.25">
      <c r="A1350">
        <v>804447</v>
      </c>
      <c r="B1350" t="s">
        <v>8679</v>
      </c>
      <c r="C1350" t="s">
        <v>2640</v>
      </c>
      <c r="D1350" s="254">
        <v>6884.9</v>
      </c>
      <c r="E1350"/>
      <c r="F1350"/>
      <c r="G1350"/>
      <c r="H1350"/>
      <c r="I1350" s="489"/>
      <c r="J1350" s="1095"/>
      <c r="K1350" s="1095"/>
      <c r="L1350" s="1095"/>
      <c r="M1350" s="1095"/>
    </row>
    <row r="1351" spans="1:13" x14ac:dyDescent="0.25">
      <c r="A1351">
        <v>804335</v>
      </c>
      <c r="B1351" t="s">
        <v>8680</v>
      </c>
      <c r="C1351" t="s">
        <v>2640</v>
      </c>
      <c r="D1351" s="254">
        <v>3120.49</v>
      </c>
      <c r="E1351"/>
      <c r="F1351"/>
      <c r="G1351"/>
      <c r="H1351"/>
      <c r="I1351" s="489"/>
      <c r="J1351" s="1095"/>
      <c r="K1351" s="1095"/>
      <c r="L1351" s="1095"/>
      <c r="M1351" s="1095"/>
    </row>
    <row r="1352" spans="1:13" x14ac:dyDescent="0.25">
      <c r="A1352">
        <v>804446</v>
      </c>
      <c r="B1352" t="s">
        <v>8681</v>
      </c>
      <c r="C1352" t="s">
        <v>2640</v>
      </c>
      <c r="D1352" s="254">
        <v>5501.44</v>
      </c>
      <c r="E1352"/>
      <c r="F1352"/>
      <c r="G1352"/>
      <c r="H1352"/>
      <c r="I1352" s="489"/>
      <c r="J1352" s="1095"/>
      <c r="K1352" s="1095"/>
      <c r="L1352" s="1095"/>
      <c r="M1352" s="1095"/>
    </row>
    <row r="1353" spans="1:13" x14ac:dyDescent="0.25">
      <c r="A1353">
        <v>804334</v>
      </c>
      <c r="B1353" t="s">
        <v>8682</v>
      </c>
      <c r="C1353" t="s">
        <v>2640</v>
      </c>
      <c r="D1353" s="254">
        <v>2539.9</v>
      </c>
      <c r="E1353"/>
      <c r="F1353"/>
      <c r="G1353"/>
      <c r="H1353"/>
      <c r="I1353" s="489"/>
      <c r="J1353" s="1095"/>
      <c r="K1353" s="1095"/>
      <c r="L1353" s="1095"/>
      <c r="M1353" s="1095"/>
    </row>
    <row r="1354" spans="1:13" x14ac:dyDescent="0.25">
      <c r="A1354">
        <v>804319</v>
      </c>
      <c r="B1354" t="s">
        <v>8683</v>
      </c>
      <c r="C1354" t="s">
        <v>2640</v>
      </c>
      <c r="D1354" s="254">
        <v>2618.21</v>
      </c>
      <c r="E1354"/>
      <c r="F1354"/>
      <c r="G1354"/>
      <c r="H1354"/>
      <c r="I1354" s="489"/>
      <c r="J1354" s="1095"/>
      <c r="K1354" s="1095"/>
      <c r="L1354" s="1095"/>
      <c r="M1354" s="1095"/>
    </row>
    <row r="1355" spans="1:13" x14ac:dyDescent="0.25">
      <c r="A1355">
        <v>804318</v>
      </c>
      <c r="B1355" t="s">
        <v>8684</v>
      </c>
      <c r="C1355" t="s">
        <v>2640</v>
      </c>
      <c r="D1355" s="254">
        <v>2071.59</v>
      </c>
      <c r="E1355"/>
      <c r="F1355"/>
      <c r="G1355"/>
      <c r="H1355"/>
      <c r="I1355" s="489"/>
      <c r="J1355" s="1095"/>
      <c r="K1355" s="1095"/>
      <c r="L1355" s="1095"/>
      <c r="M1355" s="1095"/>
    </row>
    <row r="1356" spans="1:13" x14ac:dyDescent="0.25">
      <c r="A1356">
        <v>804449</v>
      </c>
      <c r="B1356" t="s">
        <v>8685</v>
      </c>
      <c r="C1356" t="s">
        <v>2640</v>
      </c>
      <c r="D1356" s="254">
        <v>6970.73</v>
      </c>
      <c r="E1356"/>
      <c r="F1356"/>
      <c r="G1356"/>
      <c r="H1356"/>
      <c r="I1356" s="489"/>
      <c r="J1356" s="1095"/>
      <c r="K1356" s="1095"/>
      <c r="L1356" s="1095"/>
      <c r="M1356" s="1095"/>
    </row>
    <row r="1357" spans="1:13" x14ac:dyDescent="0.25">
      <c r="A1357">
        <v>804337</v>
      </c>
      <c r="B1357" t="s">
        <v>6287</v>
      </c>
      <c r="C1357" t="s">
        <v>2640</v>
      </c>
      <c r="D1357" s="254">
        <v>3596.34</v>
      </c>
      <c r="E1357"/>
      <c r="F1357"/>
      <c r="G1357"/>
      <c r="H1357"/>
      <c r="I1357" s="489"/>
      <c r="J1357" s="1095"/>
      <c r="K1357" s="1095"/>
      <c r="L1357" s="1095"/>
      <c r="M1357" s="1095"/>
    </row>
    <row r="1358" spans="1:13" x14ac:dyDescent="0.25">
      <c r="A1358">
        <v>804448</v>
      </c>
      <c r="B1358" t="s">
        <v>8686</v>
      </c>
      <c r="C1358" t="s">
        <v>2640</v>
      </c>
      <c r="D1358" s="254">
        <v>5498.55</v>
      </c>
      <c r="E1358"/>
      <c r="F1358"/>
      <c r="G1358"/>
      <c r="H1358"/>
      <c r="I1358" s="489"/>
      <c r="J1358" s="1095"/>
      <c r="K1358" s="1095"/>
      <c r="L1358" s="1095"/>
      <c r="M1358" s="1095"/>
    </row>
    <row r="1359" spans="1:13" x14ac:dyDescent="0.25">
      <c r="A1359">
        <v>804336</v>
      </c>
      <c r="B1359" t="s">
        <v>8687</v>
      </c>
      <c r="C1359" t="s">
        <v>2640</v>
      </c>
      <c r="D1359" s="254">
        <v>2808.51</v>
      </c>
      <c r="E1359"/>
      <c r="F1359"/>
      <c r="G1359"/>
      <c r="H1359"/>
      <c r="I1359" s="489"/>
      <c r="J1359" s="1095"/>
      <c r="K1359" s="1095"/>
      <c r="L1359" s="1095"/>
      <c r="M1359" s="1095"/>
    </row>
    <row r="1360" spans="1:13" x14ac:dyDescent="0.25">
      <c r="A1360">
        <v>804341</v>
      </c>
      <c r="B1360" t="s">
        <v>8688</v>
      </c>
      <c r="C1360" t="s">
        <v>2640</v>
      </c>
      <c r="D1360" s="254">
        <v>3623.33</v>
      </c>
      <c r="E1360"/>
      <c r="F1360"/>
      <c r="G1360"/>
      <c r="H1360"/>
      <c r="I1360" s="489"/>
      <c r="J1360" s="1095"/>
      <c r="K1360" s="1095"/>
      <c r="L1360" s="1095"/>
      <c r="M1360" s="1095"/>
    </row>
    <row r="1361" spans="1:13" x14ac:dyDescent="0.25">
      <c r="A1361">
        <v>804340</v>
      </c>
      <c r="B1361" t="s">
        <v>8689</v>
      </c>
      <c r="C1361" t="s">
        <v>2640</v>
      </c>
      <c r="D1361" s="254">
        <v>2832.06</v>
      </c>
      <c r="E1361"/>
      <c r="F1361"/>
      <c r="G1361"/>
      <c r="H1361"/>
      <c r="I1361" s="489"/>
      <c r="J1361" s="1095"/>
      <c r="K1361" s="1095"/>
      <c r="L1361" s="1095"/>
      <c r="M1361" s="1095"/>
    </row>
    <row r="1362" spans="1:13" x14ac:dyDescent="0.25">
      <c r="A1362">
        <v>804451</v>
      </c>
      <c r="B1362" t="s">
        <v>8690</v>
      </c>
      <c r="C1362" t="s">
        <v>2640</v>
      </c>
      <c r="D1362" s="254">
        <v>7291.64</v>
      </c>
      <c r="E1362"/>
      <c r="F1362"/>
      <c r="G1362"/>
      <c r="H1362"/>
      <c r="I1362" s="489"/>
      <c r="J1362" s="1095"/>
      <c r="K1362" s="1095"/>
      <c r="L1362" s="1095"/>
      <c r="M1362" s="1095"/>
    </row>
    <row r="1363" spans="1:13" x14ac:dyDescent="0.25">
      <c r="A1363">
        <v>804343</v>
      </c>
      <c r="B1363" t="s">
        <v>8691</v>
      </c>
      <c r="C1363" t="s">
        <v>2640</v>
      </c>
      <c r="D1363" s="254">
        <v>3657.75</v>
      </c>
      <c r="E1363"/>
      <c r="F1363"/>
      <c r="G1363"/>
      <c r="H1363"/>
      <c r="I1363" s="489"/>
      <c r="J1363" s="1095"/>
      <c r="K1363" s="1095"/>
      <c r="L1363" s="1095"/>
      <c r="M1363" s="1095"/>
    </row>
    <row r="1364" spans="1:13" x14ac:dyDescent="0.25">
      <c r="A1364">
        <v>804450</v>
      </c>
      <c r="B1364" t="s">
        <v>8692</v>
      </c>
      <c r="C1364" t="s">
        <v>2640</v>
      </c>
      <c r="D1364" s="254">
        <v>5749.66</v>
      </c>
      <c r="E1364"/>
      <c r="F1364"/>
      <c r="G1364"/>
      <c r="H1364"/>
      <c r="I1364" s="489"/>
      <c r="J1364" s="1095"/>
      <c r="K1364" s="1095"/>
      <c r="L1364" s="1095"/>
      <c r="M1364" s="1095"/>
    </row>
    <row r="1365" spans="1:13" x14ac:dyDescent="0.25">
      <c r="A1365">
        <v>804342</v>
      </c>
      <c r="B1365" t="s">
        <v>8693</v>
      </c>
      <c r="C1365" t="s">
        <v>2640</v>
      </c>
      <c r="D1365" s="254">
        <v>2862.19</v>
      </c>
      <c r="E1365"/>
      <c r="F1365"/>
      <c r="G1365"/>
      <c r="H1365"/>
      <c r="I1365" s="489"/>
      <c r="J1365" s="1095"/>
      <c r="K1365" s="1095"/>
      <c r="L1365" s="1095"/>
      <c r="M1365" s="1095"/>
    </row>
    <row r="1366" spans="1:13" x14ac:dyDescent="0.25">
      <c r="A1366">
        <v>804345</v>
      </c>
      <c r="B1366" t="s">
        <v>8694</v>
      </c>
      <c r="C1366" t="s">
        <v>2640</v>
      </c>
      <c r="D1366" s="254">
        <v>3707.93</v>
      </c>
      <c r="E1366"/>
      <c r="F1366"/>
      <c r="G1366"/>
      <c r="H1366"/>
      <c r="I1366" s="489"/>
      <c r="J1366" s="1095"/>
      <c r="K1366" s="1095"/>
      <c r="L1366" s="1095"/>
      <c r="M1366" s="1095"/>
    </row>
    <row r="1367" spans="1:13" x14ac:dyDescent="0.25">
      <c r="A1367">
        <v>804344</v>
      </c>
      <c r="B1367" t="s">
        <v>8695</v>
      </c>
      <c r="C1367" t="s">
        <v>2640</v>
      </c>
      <c r="D1367" s="254">
        <v>2906.48</v>
      </c>
      <c r="E1367"/>
      <c r="F1367"/>
      <c r="G1367"/>
      <c r="H1367"/>
      <c r="I1367" s="489"/>
      <c r="J1367" s="1095"/>
      <c r="K1367" s="1095"/>
      <c r="L1367" s="1095"/>
      <c r="M1367" s="1095"/>
    </row>
    <row r="1368" spans="1:13" x14ac:dyDescent="0.25">
      <c r="A1368">
        <v>804347</v>
      </c>
      <c r="B1368" t="s">
        <v>8696</v>
      </c>
      <c r="C1368" t="s">
        <v>2640</v>
      </c>
      <c r="D1368" s="254">
        <v>3776.32</v>
      </c>
      <c r="E1368"/>
      <c r="F1368"/>
      <c r="G1368"/>
      <c r="H1368"/>
      <c r="I1368" s="489"/>
      <c r="J1368" s="1095"/>
      <c r="K1368" s="1095"/>
      <c r="L1368" s="1095"/>
      <c r="M1368" s="1095"/>
    </row>
    <row r="1369" spans="1:13" x14ac:dyDescent="0.25">
      <c r="A1369">
        <v>804346</v>
      </c>
      <c r="B1369" t="s">
        <v>8697</v>
      </c>
      <c r="C1369" t="s">
        <v>2640</v>
      </c>
      <c r="D1369" s="254">
        <v>2967.28</v>
      </c>
      <c r="E1369"/>
      <c r="F1369"/>
      <c r="G1369"/>
      <c r="H1369"/>
      <c r="I1369" s="489"/>
      <c r="J1369" s="1095"/>
      <c r="K1369" s="1095"/>
      <c r="L1369" s="1095"/>
      <c r="M1369" s="1095"/>
    </row>
    <row r="1370" spans="1:13" x14ac:dyDescent="0.25">
      <c r="A1370">
        <v>804453</v>
      </c>
      <c r="B1370" t="s">
        <v>8698</v>
      </c>
      <c r="C1370" t="s">
        <v>2640</v>
      </c>
      <c r="D1370" s="254">
        <v>8131.81</v>
      </c>
      <c r="E1370"/>
      <c r="F1370"/>
      <c r="G1370"/>
      <c r="H1370"/>
      <c r="I1370" s="489"/>
      <c r="J1370" s="1095"/>
      <c r="K1370" s="1095"/>
      <c r="L1370" s="1095"/>
      <c r="M1370" s="1095"/>
    </row>
    <row r="1371" spans="1:13" x14ac:dyDescent="0.25">
      <c r="A1371">
        <v>804349</v>
      </c>
      <c r="B1371" t="s">
        <v>8699</v>
      </c>
      <c r="C1371" t="s">
        <v>2640</v>
      </c>
      <c r="D1371" s="254">
        <v>3865.87</v>
      </c>
      <c r="E1371"/>
      <c r="F1371"/>
      <c r="G1371"/>
      <c r="H1371"/>
      <c r="I1371" s="489"/>
      <c r="J1371" s="1095"/>
      <c r="K1371" s="1095"/>
      <c r="L1371" s="1095"/>
      <c r="M1371" s="1095"/>
    </row>
    <row r="1372" spans="1:13" x14ac:dyDescent="0.25">
      <c r="A1372">
        <v>804452</v>
      </c>
      <c r="B1372" t="s">
        <v>8700</v>
      </c>
      <c r="C1372" t="s">
        <v>2640</v>
      </c>
      <c r="D1372" s="254">
        <v>6406.38</v>
      </c>
      <c r="E1372"/>
      <c r="F1372"/>
      <c r="G1372"/>
      <c r="H1372"/>
      <c r="I1372" s="489"/>
      <c r="J1372" s="1095"/>
      <c r="K1372" s="1095"/>
      <c r="L1372" s="1095"/>
      <c r="M1372" s="1095"/>
    </row>
    <row r="1373" spans="1:13" x14ac:dyDescent="0.25">
      <c r="A1373">
        <v>804348</v>
      </c>
      <c r="B1373" t="s">
        <v>8701</v>
      </c>
      <c r="C1373" t="s">
        <v>2640</v>
      </c>
      <c r="D1373" s="254">
        <v>3047.66</v>
      </c>
      <c r="E1373"/>
      <c r="F1373"/>
      <c r="G1373"/>
      <c r="H1373"/>
      <c r="I1373" s="489"/>
      <c r="J1373" s="1095"/>
      <c r="K1373" s="1095"/>
      <c r="L1373" s="1095"/>
      <c r="M1373" s="1095"/>
    </row>
    <row r="1374" spans="1:13" x14ac:dyDescent="0.25">
      <c r="A1374">
        <v>804351</v>
      </c>
      <c r="B1374" t="s">
        <v>8702</v>
      </c>
      <c r="C1374" t="s">
        <v>2640</v>
      </c>
      <c r="D1374" s="254">
        <v>3980.85</v>
      </c>
      <c r="E1374"/>
      <c r="F1374"/>
      <c r="G1374"/>
      <c r="H1374"/>
      <c r="I1374" s="489"/>
      <c r="J1374" s="1095"/>
      <c r="K1374" s="1095"/>
      <c r="L1374" s="1095"/>
      <c r="M1374" s="1095"/>
    </row>
    <row r="1375" spans="1:13" x14ac:dyDescent="0.25">
      <c r="A1375">
        <v>804350</v>
      </c>
      <c r="B1375" t="s">
        <v>8703</v>
      </c>
      <c r="C1375" t="s">
        <v>2640</v>
      </c>
      <c r="D1375" s="254">
        <v>3152.03</v>
      </c>
      <c r="E1375"/>
      <c r="F1375"/>
      <c r="G1375"/>
      <c r="H1375"/>
      <c r="I1375" s="489"/>
      <c r="J1375" s="1095"/>
      <c r="K1375" s="1095"/>
      <c r="L1375" s="1095"/>
      <c r="M1375" s="1095"/>
    </row>
    <row r="1376" spans="1:13" x14ac:dyDescent="0.25">
      <c r="A1376">
        <v>804353</v>
      </c>
      <c r="B1376" t="s">
        <v>8704</v>
      </c>
      <c r="C1376" t="s">
        <v>2640</v>
      </c>
      <c r="D1376" s="254">
        <v>4131.3900000000003</v>
      </c>
      <c r="E1376"/>
      <c r="F1376"/>
      <c r="G1376"/>
      <c r="H1376"/>
      <c r="I1376" s="489"/>
      <c r="J1376" s="1095"/>
      <c r="K1376" s="1095"/>
      <c r="L1376" s="1095"/>
      <c r="M1376" s="1095"/>
    </row>
    <row r="1377" spans="1:13" x14ac:dyDescent="0.25">
      <c r="A1377">
        <v>804352</v>
      </c>
      <c r="B1377" t="s">
        <v>8705</v>
      </c>
      <c r="C1377" t="s">
        <v>2640</v>
      </c>
      <c r="D1377" s="254">
        <v>3290.53</v>
      </c>
      <c r="E1377"/>
      <c r="F1377"/>
      <c r="G1377"/>
      <c r="H1377"/>
      <c r="I1377" s="489"/>
      <c r="J1377" s="1095"/>
      <c r="K1377" s="1095"/>
      <c r="L1377" s="1095"/>
      <c r="M1377" s="1095"/>
    </row>
    <row r="1378" spans="1:13" x14ac:dyDescent="0.25">
      <c r="A1378">
        <v>804455</v>
      </c>
      <c r="B1378" t="s">
        <v>8706</v>
      </c>
      <c r="C1378" t="s">
        <v>2640</v>
      </c>
      <c r="D1378" s="254">
        <v>10071.209999999999</v>
      </c>
      <c r="E1378"/>
      <c r="F1378"/>
      <c r="G1378"/>
      <c r="H1378"/>
      <c r="I1378" s="489"/>
      <c r="J1378" s="1095"/>
      <c r="K1378" s="1095"/>
      <c r="L1378" s="1095"/>
      <c r="M1378" s="1095"/>
    </row>
    <row r="1379" spans="1:13" x14ac:dyDescent="0.25">
      <c r="A1379">
        <v>804355</v>
      </c>
      <c r="B1379" t="s">
        <v>8707</v>
      </c>
      <c r="C1379" t="s">
        <v>2640</v>
      </c>
      <c r="D1379" s="254">
        <v>4328.97</v>
      </c>
      <c r="E1379"/>
      <c r="F1379"/>
      <c r="G1379"/>
      <c r="H1379"/>
      <c r="I1379" s="489"/>
      <c r="J1379" s="1095"/>
      <c r="K1379" s="1095"/>
      <c r="L1379" s="1095"/>
      <c r="M1379" s="1095"/>
    </row>
    <row r="1380" spans="1:13" x14ac:dyDescent="0.25">
      <c r="A1380">
        <v>804454</v>
      </c>
      <c r="B1380" t="s">
        <v>8708</v>
      </c>
      <c r="C1380" t="s">
        <v>2640</v>
      </c>
      <c r="D1380" s="254">
        <v>7923.85</v>
      </c>
      <c r="E1380"/>
      <c r="F1380"/>
      <c r="G1380"/>
      <c r="H1380"/>
      <c r="I1380" s="489"/>
      <c r="J1380" s="1095"/>
      <c r="K1380" s="1095"/>
      <c r="L1380" s="1095"/>
      <c r="M1380" s="1095"/>
    </row>
    <row r="1381" spans="1:13" x14ac:dyDescent="0.25">
      <c r="A1381">
        <v>804354</v>
      </c>
      <c r="B1381" t="s">
        <v>8709</v>
      </c>
      <c r="C1381" t="s">
        <v>2640</v>
      </c>
      <c r="D1381" s="254">
        <v>3474.64</v>
      </c>
      <c r="E1381"/>
      <c r="F1381"/>
      <c r="G1381"/>
      <c r="H1381"/>
      <c r="I1381" s="489"/>
      <c r="J1381" s="1095"/>
      <c r="K1381" s="1095"/>
      <c r="L1381" s="1095"/>
      <c r="M1381" s="1095"/>
    </row>
    <row r="1382" spans="1:13" x14ac:dyDescent="0.25">
      <c r="A1382">
        <v>804339</v>
      </c>
      <c r="B1382" t="s">
        <v>8710</v>
      </c>
      <c r="C1382" t="s">
        <v>2640</v>
      </c>
      <c r="D1382" s="254">
        <v>3603.09</v>
      </c>
      <c r="E1382"/>
      <c r="F1382"/>
      <c r="G1382"/>
      <c r="H1382"/>
      <c r="I1382" s="489"/>
      <c r="J1382" s="1095"/>
      <c r="K1382" s="1095"/>
      <c r="L1382" s="1095"/>
      <c r="M1382" s="1095"/>
    </row>
    <row r="1383" spans="1:13" x14ac:dyDescent="0.25">
      <c r="A1383">
        <v>804338</v>
      </c>
      <c r="B1383" t="s">
        <v>8711</v>
      </c>
      <c r="C1383" t="s">
        <v>2640</v>
      </c>
      <c r="D1383" s="254">
        <v>2814.4</v>
      </c>
      <c r="E1383"/>
      <c r="F1383"/>
      <c r="G1383"/>
      <c r="H1383"/>
      <c r="I1383" s="489"/>
      <c r="J1383" s="1095"/>
      <c r="K1383" s="1095"/>
      <c r="L1383" s="1095"/>
      <c r="M1383" s="1095"/>
    </row>
    <row r="1384" spans="1:13" x14ac:dyDescent="0.25">
      <c r="A1384">
        <v>804457</v>
      </c>
      <c r="B1384" t="s">
        <v>8712</v>
      </c>
      <c r="C1384" t="s">
        <v>2640</v>
      </c>
      <c r="D1384" s="254">
        <v>12290.1</v>
      </c>
      <c r="E1384"/>
      <c r="F1384"/>
      <c r="G1384"/>
      <c r="H1384"/>
      <c r="I1384" s="489"/>
      <c r="J1384" s="1095"/>
      <c r="K1384" s="1095"/>
      <c r="L1384" s="1095"/>
      <c r="M1384" s="1095"/>
    </row>
    <row r="1385" spans="1:13" x14ac:dyDescent="0.25">
      <c r="A1385">
        <v>804357</v>
      </c>
      <c r="B1385" t="s">
        <v>8713</v>
      </c>
      <c r="C1385" t="s">
        <v>2640</v>
      </c>
      <c r="D1385" s="254">
        <v>6093.63</v>
      </c>
      <c r="E1385"/>
      <c r="F1385"/>
      <c r="G1385"/>
      <c r="H1385"/>
      <c r="I1385" s="489"/>
      <c r="J1385" s="1095"/>
      <c r="K1385" s="1095"/>
      <c r="L1385" s="1095"/>
      <c r="M1385" s="1095"/>
    </row>
    <row r="1386" spans="1:13" x14ac:dyDescent="0.25">
      <c r="A1386">
        <v>804456</v>
      </c>
      <c r="B1386" t="s">
        <v>8714</v>
      </c>
      <c r="C1386" t="s">
        <v>2640</v>
      </c>
      <c r="D1386" s="254">
        <v>9493.06</v>
      </c>
      <c r="E1386"/>
      <c r="F1386"/>
      <c r="G1386"/>
      <c r="H1386"/>
      <c r="I1386" s="489"/>
      <c r="J1386" s="1095"/>
      <c r="K1386" s="1095"/>
      <c r="L1386" s="1095"/>
      <c r="M1386" s="1095"/>
    </row>
    <row r="1387" spans="1:13" x14ac:dyDescent="0.25">
      <c r="A1387">
        <v>804356</v>
      </c>
      <c r="B1387" t="s">
        <v>8715</v>
      </c>
      <c r="C1387" t="s">
        <v>2640</v>
      </c>
      <c r="D1387" s="254">
        <v>4698.6899999999996</v>
      </c>
      <c r="E1387"/>
      <c r="F1387"/>
      <c r="G1387"/>
      <c r="H1387"/>
      <c r="I1387" s="489"/>
      <c r="J1387" s="1095"/>
      <c r="K1387" s="1095"/>
      <c r="L1387" s="1095"/>
      <c r="M1387" s="1095"/>
    </row>
    <row r="1388" spans="1:13" x14ac:dyDescent="0.25">
      <c r="A1388">
        <v>804361</v>
      </c>
      <c r="B1388" t="s">
        <v>8716</v>
      </c>
      <c r="C1388" t="s">
        <v>2640</v>
      </c>
      <c r="D1388" s="254">
        <v>6135.47</v>
      </c>
      <c r="E1388"/>
      <c r="F1388"/>
      <c r="G1388"/>
      <c r="H1388"/>
      <c r="I1388" s="489"/>
      <c r="J1388" s="1095"/>
      <c r="K1388" s="1095"/>
      <c r="L1388" s="1095"/>
      <c r="M1388" s="1095"/>
    </row>
    <row r="1389" spans="1:13" x14ac:dyDescent="0.25">
      <c r="A1389">
        <v>804360</v>
      </c>
      <c r="B1389" t="s">
        <v>8717</v>
      </c>
      <c r="C1389" t="s">
        <v>2640</v>
      </c>
      <c r="D1389" s="254">
        <v>4734.5200000000004</v>
      </c>
      <c r="E1389"/>
      <c r="F1389"/>
      <c r="G1389"/>
      <c r="H1389"/>
      <c r="I1389" s="489"/>
      <c r="J1389" s="1095"/>
      <c r="K1389" s="1095"/>
      <c r="L1389" s="1095"/>
      <c r="M1389" s="1095"/>
    </row>
    <row r="1390" spans="1:13" x14ac:dyDescent="0.25">
      <c r="A1390">
        <v>804459</v>
      </c>
      <c r="B1390" t="s">
        <v>8718</v>
      </c>
      <c r="C1390" t="s">
        <v>2640</v>
      </c>
      <c r="D1390" s="254">
        <v>12863.51</v>
      </c>
      <c r="E1390"/>
      <c r="F1390"/>
      <c r="G1390"/>
      <c r="H1390"/>
      <c r="I1390" s="489"/>
      <c r="J1390" s="1095"/>
      <c r="K1390" s="1095"/>
      <c r="L1390" s="1095"/>
      <c r="M1390" s="1095"/>
    </row>
    <row r="1391" spans="1:13" x14ac:dyDescent="0.25">
      <c r="A1391">
        <v>804363</v>
      </c>
      <c r="B1391" t="s">
        <v>8719</v>
      </c>
      <c r="C1391" t="s">
        <v>2640</v>
      </c>
      <c r="D1391" s="254">
        <v>6189.01</v>
      </c>
      <c r="E1391"/>
      <c r="F1391"/>
      <c r="G1391"/>
      <c r="H1391"/>
      <c r="I1391" s="489"/>
      <c r="J1391" s="1095"/>
      <c r="K1391" s="1095"/>
      <c r="L1391" s="1095"/>
      <c r="M1391" s="1095"/>
    </row>
    <row r="1392" spans="1:13" x14ac:dyDescent="0.25">
      <c r="A1392">
        <v>804458</v>
      </c>
      <c r="B1392" t="s">
        <v>8720</v>
      </c>
      <c r="C1392" t="s">
        <v>2640</v>
      </c>
      <c r="D1392" s="254">
        <v>9933.19</v>
      </c>
      <c r="E1392"/>
      <c r="F1392"/>
      <c r="G1392"/>
      <c r="H1392"/>
      <c r="I1392" s="489"/>
      <c r="J1392" s="1095"/>
      <c r="K1392" s="1095"/>
      <c r="L1392" s="1095"/>
      <c r="M1392" s="1095"/>
    </row>
    <row r="1393" spans="1:13" x14ac:dyDescent="0.25">
      <c r="A1393">
        <v>804362</v>
      </c>
      <c r="B1393" t="s">
        <v>8721</v>
      </c>
      <c r="C1393" t="s">
        <v>2640</v>
      </c>
      <c r="D1393" s="254">
        <v>4780.46</v>
      </c>
      <c r="E1393"/>
      <c r="F1393"/>
      <c r="G1393"/>
      <c r="H1393"/>
      <c r="I1393" s="489"/>
      <c r="J1393" s="1095"/>
      <c r="K1393" s="1095"/>
      <c r="L1393" s="1095"/>
      <c r="M1393" s="1095"/>
    </row>
    <row r="1394" spans="1:13" x14ac:dyDescent="0.25">
      <c r="A1394">
        <v>804365</v>
      </c>
      <c r="B1394" t="s">
        <v>8722</v>
      </c>
      <c r="C1394" t="s">
        <v>2640</v>
      </c>
      <c r="D1394" s="254">
        <v>6266.17</v>
      </c>
      <c r="E1394"/>
      <c r="F1394"/>
      <c r="G1394"/>
      <c r="H1394"/>
      <c r="I1394" s="489"/>
      <c r="J1394" s="1095"/>
      <c r="K1394" s="1095"/>
      <c r="L1394" s="1095"/>
      <c r="M1394" s="1095"/>
    </row>
    <row r="1395" spans="1:13" x14ac:dyDescent="0.25">
      <c r="A1395">
        <v>804364</v>
      </c>
      <c r="B1395" t="s">
        <v>8723</v>
      </c>
      <c r="C1395" t="s">
        <v>2640</v>
      </c>
      <c r="D1395" s="254">
        <v>4847.0200000000004</v>
      </c>
      <c r="E1395"/>
      <c r="F1395"/>
      <c r="G1395"/>
      <c r="H1395"/>
      <c r="I1395" s="489"/>
      <c r="J1395" s="1095"/>
      <c r="K1395" s="1095"/>
      <c r="L1395" s="1095"/>
      <c r="M1395" s="1095"/>
    </row>
    <row r="1396" spans="1:13" x14ac:dyDescent="0.25">
      <c r="A1396">
        <v>804367</v>
      </c>
      <c r="B1396" t="s">
        <v>8724</v>
      </c>
      <c r="C1396" t="s">
        <v>2640</v>
      </c>
      <c r="D1396" s="254">
        <v>6370.56</v>
      </c>
      <c r="E1396"/>
      <c r="F1396"/>
      <c r="G1396"/>
      <c r="H1396"/>
      <c r="I1396" s="489"/>
      <c r="J1396" s="1095"/>
      <c r="K1396" s="1095"/>
      <c r="L1396" s="1095"/>
      <c r="M1396" s="1095"/>
    </row>
    <row r="1397" spans="1:13" x14ac:dyDescent="0.25">
      <c r="A1397">
        <v>804366</v>
      </c>
      <c r="B1397" t="s">
        <v>8725</v>
      </c>
      <c r="C1397" t="s">
        <v>2640</v>
      </c>
      <c r="D1397" s="254">
        <v>4937.93</v>
      </c>
      <c r="E1397"/>
      <c r="F1397"/>
      <c r="G1397"/>
      <c r="H1397"/>
      <c r="I1397" s="489"/>
      <c r="J1397" s="1095"/>
      <c r="K1397" s="1095"/>
      <c r="L1397" s="1095"/>
      <c r="M1397" s="1095"/>
    </row>
    <row r="1398" spans="1:13" x14ac:dyDescent="0.25">
      <c r="A1398">
        <v>804461</v>
      </c>
      <c r="B1398" t="s">
        <v>8726</v>
      </c>
      <c r="C1398" t="s">
        <v>2640</v>
      </c>
      <c r="D1398" s="254">
        <v>14386.11</v>
      </c>
      <c r="E1398"/>
      <c r="F1398"/>
      <c r="G1398"/>
      <c r="H1398"/>
      <c r="I1398" s="489"/>
      <c r="J1398" s="1095"/>
      <c r="K1398" s="1095"/>
      <c r="L1398" s="1095"/>
      <c r="M1398" s="1095"/>
    </row>
    <row r="1399" spans="1:13" x14ac:dyDescent="0.25">
      <c r="A1399">
        <v>804369</v>
      </c>
      <c r="B1399" t="s">
        <v>8727</v>
      </c>
      <c r="C1399" t="s">
        <v>2640</v>
      </c>
      <c r="D1399" s="254">
        <v>6506.22</v>
      </c>
      <c r="E1399"/>
      <c r="F1399"/>
      <c r="G1399"/>
      <c r="H1399"/>
      <c r="I1399" s="489"/>
      <c r="J1399" s="1095"/>
      <c r="K1399" s="1095"/>
      <c r="L1399" s="1095"/>
      <c r="M1399" s="1095"/>
    </row>
    <row r="1400" spans="1:13" x14ac:dyDescent="0.25">
      <c r="A1400">
        <v>804460</v>
      </c>
      <c r="B1400" t="s">
        <v>8728</v>
      </c>
      <c r="C1400" t="s">
        <v>2640</v>
      </c>
      <c r="D1400" s="254">
        <v>11101.93</v>
      </c>
      <c r="E1400"/>
      <c r="F1400"/>
      <c r="G1400"/>
      <c r="H1400"/>
      <c r="I1400" s="489"/>
      <c r="J1400" s="1095"/>
      <c r="K1400" s="1095"/>
      <c r="L1400" s="1095"/>
      <c r="M1400" s="1095"/>
    </row>
    <row r="1401" spans="1:13" x14ac:dyDescent="0.25">
      <c r="A1401">
        <v>804371</v>
      </c>
      <c r="B1401" t="s">
        <v>8729</v>
      </c>
      <c r="C1401" t="s">
        <v>2640</v>
      </c>
      <c r="D1401" s="254">
        <v>6680.37</v>
      </c>
      <c r="E1401"/>
      <c r="F1401"/>
      <c r="G1401"/>
      <c r="H1401"/>
      <c r="I1401" s="489"/>
      <c r="J1401" s="1095"/>
      <c r="K1401" s="1095"/>
      <c r="L1401" s="1095"/>
      <c r="M1401" s="1095"/>
    </row>
    <row r="1402" spans="1:13" x14ac:dyDescent="0.25">
      <c r="A1402">
        <v>804370</v>
      </c>
      <c r="B1402" t="s">
        <v>8730</v>
      </c>
      <c r="C1402" t="s">
        <v>2640</v>
      </c>
      <c r="D1402" s="254">
        <v>5212.4799999999996</v>
      </c>
      <c r="E1402"/>
      <c r="F1402"/>
      <c r="G1402"/>
      <c r="H1402"/>
      <c r="I1402" s="489"/>
      <c r="J1402" s="1095"/>
      <c r="K1402" s="1095"/>
      <c r="L1402" s="1095"/>
      <c r="M1402" s="1095"/>
    </row>
    <row r="1403" spans="1:13" x14ac:dyDescent="0.25">
      <c r="A1403">
        <v>804373</v>
      </c>
      <c r="B1403" t="s">
        <v>8731</v>
      </c>
      <c r="C1403" t="s">
        <v>2640</v>
      </c>
      <c r="D1403" s="254">
        <v>6904.02</v>
      </c>
      <c r="E1403"/>
      <c r="F1403"/>
      <c r="G1403"/>
      <c r="H1403"/>
      <c r="I1403" s="489"/>
      <c r="J1403" s="1095"/>
      <c r="K1403" s="1095"/>
      <c r="L1403" s="1095"/>
      <c r="M1403" s="1095"/>
    </row>
    <row r="1404" spans="1:13" x14ac:dyDescent="0.25">
      <c r="A1404">
        <v>804372</v>
      </c>
      <c r="B1404" t="s">
        <v>8732</v>
      </c>
      <c r="C1404" t="s">
        <v>2640</v>
      </c>
      <c r="D1404" s="254">
        <v>5414.79</v>
      </c>
      <c r="E1404"/>
      <c r="F1404"/>
      <c r="G1404"/>
      <c r="H1404"/>
      <c r="I1404" s="489"/>
      <c r="J1404" s="1095"/>
      <c r="K1404" s="1095"/>
      <c r="L1404" s="1095"/>
      <c r="M1404" s="1095"/>
    </row>
    <row r="1405" spans="1:13" x14ac:dyDescent="0.25">
      <c r="A1405">
        <v>804463</v>
      </c>
      <c r="B1405" t="s">
        <v>8733</v>
      </c>
      <c r="C1405" t="s">
        <v>2640</v>
      </c>
      <c r="D1405" s="254">
        <v>17876.97</v>
      </c>
      <c r="E1405"/>
      <c r="F1405"/>
      <c r="G1405"/>
      <c r="H1405"/>
      <c r="I1405" s="489"/>
      <c r="J1405" s="1095"/>
      <c r="K1405" s="1095"/>
      <c r="L1405" s="1095"/>
      <c r="M1405" s="1095"/>
    </row>
    <row r="1406" spans="1:13" x14ac:dyDescent="0.25">
      <c r="A1406">
        <v>804375</v>
      </c>
      <c r="B1406" t="s">
        <v>8734</v>
      </c>
      <c r="C1406" t="s">
        <v>2640</v>
      </c>
      <c r="D1406" s="254">
        <v>7196.77</v>
      </c>
      <c r="E1406"/>
      <c r="F1406"/>
      <c r="G1406"/>
      <c r="H1406"/>
      <c r="I1406" s="489"/>
      <c r="J1406" s="1095"/>
      <c r="K1406" s="1095"/>
      <c r="L1406" s="1095"/>
      <c r="M1406" s="1095"/>
    </row>
    <row r="1407" spans="1:13" x14ac:dyDescent="0.25">
      <c r="A1407">
        <v>804462</v>
      </c>
      <c r="B1407" t="s">
        <v>8735</v>
      </c>
      <c r="C1407" t="s">
        <v>2640</v>
      </c>
      <c r="D1407" s="254">
        <v>13775.73</v>
      </c>
      <c r="E1407"/>
      <c r="F1407"/>
      <c r="G1407"/>
      <c r="H1407"/>
      <c r="I1407" s="489"/>
      <c r="J1407" s="1095"/>
      <c r="K1407" s="1095"/>
      <c r="L1407" s="1095"/>
      <c r="M1407" s="1095"/>
    </row>
    <row r="1408" spans="1:13" x14ac:dyDescent="0.25">
      <c r="A1408">
        <v>804374</v>
      </c>
      <c r="B1408" t="s">
        <v>8736</v>
      </c>
      <c r="C1408" t="s">
        <v>2640</v>
      </c>
      <c r="D1408" s="254">
        <v>5683.75</v>
      </c>
      <c r="E1408"/>
      <c r="F1408"/>
      <c r="G1408"/>
      <c r="H1408"/>
      <c r="I1408" s="489"/>
      <c r="J1408" s="1095"/>
      <c r="K1408" s="1095"/>
      <c r="L1408" s="1095"/>
      <c r="M1408" s="1095"/>
    </row>
    <row r="1409" spans="1:13" x14ac:dyDescent="0.25">
      <c r="A1409">
        <v>804359</v>
      </c>
      <c r="B1409" t="s">
        <v>8737</v>
      </c>
      <c r="C1409" t="s">
        <v>2640</v>
      </c>
      <c r="D1409" s="254">
        <v>6104.2</v>
      </c>
      <c r="E1409"/>
      <c r="F1409"/>
      <c r="G1409"/>
      <c r="H1409"/>
      <c r="I1409" s="489"/>
      <c r="J1409" s="1095"/>
      <c r="K1409" s="1095"/>
      <c r="L1409" s="1095"/>
      <c r="M1409" s="1095"/>
    </row>
    <row r="1410" spans="1:13" x14ac:dyDescent="0.25">
      <c r="A1410">
        <v>804358</v>
      </c>
      <c r="B1410" t="s">
        <v>8738</v>
      </c>
      <c r="C1410" t="s">
        <v>2640</v>
      </c>
      <c r="D1410" s="254">
        <v>4707.83</v>
      </c>
      <c r="E1410"/>
      <c r="F1410"/>
      <c r="G1410"/>
      <c r="H1410"/>
      <c r="I1410" s="489"/>
      <c r="J1410" s="1095"/>
      <c r="K1410" s="1095"/>
      <c r="L1410" s="1095"/>
      <c r="M1410" s="1095"/>
    </row>
    <row r="1411" spans="1:13" x14ac:dyDescent="0.25">
      <c r="A1411">
        <v>804368</v>
      </c>
      <c r="B1411" t="s">
        <v>8739</v>
      </c>
      <c r="C1411" t="s">
        <v>2640</v>
      </c>
      <c r="D1411" s="254">
        <v>5057.26</v>
      </c>
      <c r="E1411"/>
      <c r="F1411"/>
      <c r="G1411"/>
      <c r="H1411"/>
      <c r="I1411" s="489"/>
      <c r="J1411" s="1095"/>
      <c r="K1411" s="1095"/>
      <c r="L1411" s="1095"/>
      <c r="M1411" s="1095"/>
    </row>
    <row r="1412" spans="1:13" x14ac:dyDescent="0.25">
      <c r="A1412">
        <v>804465</v>
      </c>
      <c r="B1412" t="s">
        <v>8740</v>
      </c>
      <c r="C1412" t="s">
        <v>2598</v>
      </c>
      <c r="D1412" s="254">
        <v>134.32</v>
      </c>
      <c r="E1412"/>
      <c r="F1412"/>
      <c r="G1412"/>
      <c r="H1412"/>
      <c r="I1412" s="489"/>
      <c r="J1412" s="1095"/>
      <c r="K1412" s="1095"/>
      <c r="L1412" s="1095"/>
      <c r="M1412" s="1095"/>
    </row>
    <row r="1413" spans="1:13" x14ac:dyDescent="0.25">
      <c r="A1413">
        <v>804464</v>
      </c>
      <c r="B1413" t="s">
        <v>8741</v>
      </c>
      <c r="C1413" t="s">
        <v>2598</v>
      </c>
      <c r="D1413" s="254">
        <v>114.99</v>
      </c>
      <c r="E1413"/>
      <c r="F1413"/>
      <c r="G1413"/>
      <c r="H1413"/>
      <c r="I1413" s="489"/>
      <c r="J1413" s="1095"/>
      <c r="K1413" s="1095"/>
      <c r="L1413" s="1095"/>
      <c r="M1413" s="1095"/>
    </row>
    <row r="1414" spans="1:13" x14ac:dyDescent="0.25">
      <c r="A1414">
        <v>804475</v>
      </c>
      <c r="B1414" t="s">
        <v>8742</v>
      </c>
      <c r="C1414" t="s">
        <v>2598</v>
      </c>
      <c r="D1414" s="254">
        <v>149.97</v>
      </c>
      <c r="E1414"/>
      <c r="F1414"/>
      <c r="G1414"/>
      <c r="H1414"/>
      <c r="I1414" s="489"/>
      <c r="J1414" s="1095"/>
      <c r="K1414" s="1095"/>
      <c r="L1414" s="1095"/>
      <c r="M1414" s="1095"/>
    </row>
    <row r="1415" spans="1:13" x14ac:dyDescent="0.25">
      <c r="A1415">
        <v>804474</v>
      </c>
      <c r="B1415" t="s">
        <v>8743</v>
      </c>
      <c r="C1415" t="s">
        <v>2598</v>
      </c>
      <c r="D1415" s="254">
        <v>130.65</v>
      </c>
      <c r="E1415"/>
      <c r="F1415"/>
      <c r="G1415"/>
      <c r="H1415"/>
      <c r="I1415" s="489"/>
      <c r="J1415" s="1095"/>
      <c r="K1415" s="1095"/>
      <c r="L1415" s="1095"/>
      <c r="M1415" s="1095"/>
    </row>
    <row r="1416" spans="1:13" x14ac:dyDescent="0.25">
      <c r="A1416">
        <v>804485</v>
      </c>
      <c r="B1416" t="s">
        <v>8744</v>
      </c>
      <c r="C1416" t="s">
        <v>2598</v>
      </c>
      <c r="D1416" s="254">
        <v>228.18</v>
      </c>
      <c r="E1416"/>
      <c r="F1416"/>
      <c r="G1416"/>
      <c r="H1416"/>
      <c r="I1416" s="489"/>
      <c r="J1416" s="1095"/>
      <c r="K1416" s="1095"/>
      <c r="L1416" s="1095"/>
      <c r="M1416" s="1095"/>
    </row>
    <row r="1417" spans="1:13" x14ac:dyDescent="0.25">
      <c r="A1417">
        <v>804484</v>
      </c>
      <c r="B1417" t="s">
        <v>8745</v>
      </c>
      <c r="C1417" t="s">
        <v>2598</v>
      </c>
      <c r="D1417" s="254">
        <v>208.96</v>
      </c>
      <c r="E1417"/>
      <c r="F1417"/>
      <c r="G1417"/>
      <c r="H1417"/>
      <c r="I1417" s="489"/>
      <c r="J1417" s="1095"/>
      <c r="K1417" s="1095"/>
      <c r="L1417" s="1095"/>
      <c r="M1417" s="1095"/>
    </row>
    <row r="1418" spans="1:13" x14ac:dyDescent="0.25">
      <c r="A1418">
        <v>804495</v>
      </c>
      <c r="B1418" t="s">
        <v>8746</v>
      </c>
      <c r="C1418" t="s">
        <v>2598</v>
      </c>
      <c r="D1418" s="254">
        <v>286.47000000000003</v>
      </c>
      <c r="E1418"/>
      <c r="F1418"/>
      <c r="G1418"/>
      <c r="H1418"/>
      <c r="I1418" s="489"/>
      <c r="J1418" s="1095"/>
      <c r="K1418" s="1095"/>
      <c r="L1418" s="1095"/>
      <c r="M1418" s="1095"/>
    </row>
    <row r="1419" spans="1:13" x14ac:dyDescent="0.25">
      <c r="A1419">
        <v>804494</v>
      </c>
      <c r="B1419" t="s">
        <v>8747</v>
      </c>
      <c r="C1419" t="s">
        <v>2598</v>
      </c>
      <c r="D1419" s="254">
        <v>263.67</v>
      </c>
      <c r="E1419"/>
      <c r="F1419"/>
      <c r="G1419"/>
      <c r="H1419"/>
      <c r="I1419" s="489"/>
      <c r="J1419" s="1095"/>
      <c r="K1419" s="1095"/>
      <c r="L1419" s="1095"/>
      <c r="M1419" s="1095"/>
    </row>
    <row r="1420" spans="1:13" x14ac:dyDescent="0.25">
      <c r="A1420">
        <v>804467</v>
      </c>
      <c r="B1420" t="s">
        <v>8748</v>
      </c>
      <c r="C1420" t="s">
        <v>2598</v>
      </c>
      <c r="D1420" s="254">
        <v>204.03</v>
      </c>
      <c r="E1420"/>
      <c r="F1420"/>
      <c r="G1420"/>
      <c r="H1420"/>
      <c r="I1420" s="489"/>
      <c r="J1420" s="1095"/>
      <c r="K1420" s="1095"/>
      <c r="L1420" s="1095"/>
      <c r="M1420" s="1095"/>
    </row>
    <row r="1421" spans="1:13" x14ac:dyDescent="0.25">
      <c r="A1421">
        <v>804466</v>
      </c>
      <c r="B1421" t="s">
        <v>8749</v>
      </c>
      <c r="C1421" t="s">
        <v>2598</v>
      </c>
      <c r="D1421" s="254">
        <v>173.24</v>
      </c>
      <c r="E1421"/>
      <c r="F1421"/>
      <c r="G1421"/>
      <c r="H1421"/>
      <c r="I1421" s="489"/>
      <c r="J1421" s="1095"/>
      <c r="K1421" s="1095"/>
      <c r="L1421" s="1095"/>
      <c r="M1421" s="1095"/>
    </row>
    <row r="1422" spans="1:13" x14ac:dyDescent="0.25">
      <c r="A1422">
        <v>804477</v>
      </c>
      <c r="B1422" t="s">
        <v>8750</v>
      </c>
      <c r="C1422" t="s">
        <v>2598</v>
      </c>
      <c r="D1422" s="254">
        <v>266.60000000000002</v>
      </c>
      <c r="E1422"/>
      <c r="F1422"/>
      <c r="G1422"/>
      <c r="H1422"/>
      <c r="I1422" s="489"/>
      <c r="J1422" s="1095"/>
      <c r="K1422" s="1095"/>
      <c r="L1422" s="1095"/>
      <c r="M1422" s="1095"/>
    </row>
    <row r="1423" spans="1:13" x14ac:dyDescent="0.25">
      <c r="A1423">
        <v>804476</v>
      </c>
      <c r="B1423" t="s">
        <v>8751</v>
      </c>
      <c r="C1423" t="s">
        <v>2598</v>
      </c>
      <c r="D1423" s="254">
        <v>235.88</v>
      </c>
      <c r="E1423"/>
      <c r="F1423"/>
      <c r="G1423"/>
      <c r="H1423"/>
      <c r="I1423" s="489"/>
      <c r="J1423" s="1095"/>
      <c r="K1423" s="1095"/>
      <c r="L1423" s="1095"/>
      <c r="M1423" s="1095"/>
    </row>
    <row r="1424" spans="1:13" x14ac:dyDescent="0.25">
      <c r="A1424">
        <v>804487</v>
      </c>
      <c r="B1424" t="s">
        <v>8752</v>
      </c>
      <c r="C1424" t="s">
        <v>2598</v>
      </c>
      <c r="D1424" s="254">
        <v>387.99</v>
      </c>
      <c r="E1424"/>
      <c r="F1424"/>
      <c r="G1424"/>
      <c r="H1424"/>
      <c r="I1424" s="489"/>
      <c r="J1424" s="1095"/>
      <c r="K1424" s="1095"/>
      <c r="L1424" s="1095"/>
      <c r="M1424" s="1095"/>
    </row>
    <row r="1425" spans="1:13" x14ac:dyDescent="0.25">
      <c r="A1425">
        <v>804486</v>
      </c>
      <c r="B1425" t="s">
        <v>8753</v>
      </c>
      <c r="C1425" t="s">
        <v>2598</v>
      </c>
      <c r="D1425" s="254">
        <v>353.61</v>
      </c>
      <c r="E1425"/>
      <c r="F1425"/>
      <c r="G1425"/>
      <c r="H1425"/>
      <c r="I1425" s="489"/>
      <c r="J1425" s="1095"/>
      <c r="K1425" s="1095"/>
      <c r="L1425" s="1095"/>
      <c r="M1425" s="1095"/>
    </row>
    <row r="1426" spans="1:13" x14ac:dyDescent="0.25">
      <c r="A1426">
        <v>804497</v>
      </c>
      <c r="B1426" t="s">
        <v>8754</v>
      </c>
      <c r="C1426" t="s">
        <v>2598</v>
      </c>
      <c r="D1426" s="254">
        <v>457.82</v>
      </c>
      <c r="E1426"/>
      <c r="F1426"/>
      <c r="G1426"/>
      <c r="H1426"/>
      <c r="I1426" s="489"/>
      <c r="J1426" s="1095"/>
      <c r="K1426" s="1095"/>
      <c r="L1426" s="1095"/>
      <c r="M1426" s="1095"/>
    </row>
    <row r="1427" spans="1:13" x14ac:dyDescent="0.25">
      <c r="A1427">
        <v>804496</v>
      </c>
      <c r="B1427" t="s">
        <v>8755</v>
      </c>
      <c r="C1427" t="s">
        <v>2598</v>
      </c>
      <c r="D1427" s="254">
        <v>416.19</v>
      </c>
      <c r="E1427"/>
      <c r="F1427"/>
      <c r="G1427"/>
      <c r="H1427"/>
      <c r="I1427" s="489"/>
      <c r="J1427" s="1095"/>
      <c r="K1427" s="1095"/>
      <c r="L1427" s="1095"/>
      <c r="M1427" s="1095"/>
    </row>
    <row r="1428" spans="1:13" x14ac:dyDescent="0.25">
      <c r="A1428">
        <v>804469</v>
      </c>
      <c r="B1428" t="s">
        <v>8756</v>
      </c>
      <c r="C1428" t="s">
        <v>2598</v>
      </c>
      <c r="D1428" s="254">
        <v>369.09</v>
      </c>
      <c r="E1428"/>
      <c r="F1428"/>
      <c r="G1428"/>
      <c r="H1428"/>
      <c r="I1428" s="489"/>
      <c r="J1428" s="1095"/>
      <c r="K1428" s="1095"/>
      <c r="L1428" s="1095"/>
      <c r="M1428" s="1095"/>
    </row>
    <row r="1429" spans="1:13" x14ac:dyDescent="0.25">
      <c r="A1429">
        <v>804468</v>
      </c>
      <c r="B1429" t="s">
        <v>8757</v>
      </c>
      <c r="C1429" t="s">
        <v>2598</v>
      </c>
      <c r="D1429" s="254">
        <v>326.87</v>
      </c>
      <c r="E1429"/>
      <c r="F1429"/>
      <c r="G1429"/>
      <c r="H1429"/>
      <c r="I1429" s="489"/>
      <c r="J1429" s="1095"/>
      <c r="K1429" s="1095"/>
      <c r="L1429" s="1095"/>
      <c r="M1429" s="1095"/>
    </row>
    <row r="1430" spans="1:13" x14ac:dyDescent="0.25">
      <c r="A1430">
        <v>804479</v>
      </c>
      <c r="B1430" t="s">
        <v>8758</v>
      </c>
      <c r="C1430" t="s">
        <v>2598</v>
      </c>
      <c r="D1430" s="254">
        <v>431.66</v>
      </c>
      <c r="E1430"/>
      <c r="F1430"/>
      <c r="G1430"/>
      <c r="H1430"/>
      <c r="I1430" s="489"/>
      <c r="J1430" s="1095"/>
      <c r="K1430" s="1095"/>
      <c r="L1430" s="1095"/>
      <c r="M1430" s="1095"/>
    </row>
    <row r="1431" spans="1:13" x14ac:dyDescent="0.25">
      <c r="A1431">
        <v>804478</v>
      </c>
      <c r="B1431" t="s">
        <v>8759</v>
      </c>
      <c r="C1431" t="s">
        <v>2598</v>
      </c>
      <c r="D1431" s="254">
        <v>389.52</v>
      </c>
      <c r="E1431"/>
      <c r="F1431"/>
      <c r="G1431"/>
      <c r="H1431"/>
      <c r="I1431" s="489"/>
      <c r="J1431" s="1095"/>
      <c r="K1431" s="1095"/>
      <c r="L1431" s="1095"/>
      <c r="M1431" s="1095"/>
    </row>
    <row r="1432" spans="1:13" x14ac:dyDescent="0.25">
      <c r="A1432">
        <v>804489</v>
      </c>
      <c r="B1432" t="s">
        <v>8760</v>
      </c>
      <c r="C1432" t="s">
        <v>2598</v>
      </c>
      <c r="D1432" s="254">
        <v>546.69000000000005</v>
      </c>
      <c r="E1432"/>
      <c r="F1432"/>
      <c r="G1432"/>
      <c r="H1432"/>
      <c r="I1432" s="489"/>
      <c r="J1432" s="1095"/>
      <c r="K1432" s="1095"/>
      <c r="L1432" s="1095"/>
      <c r="M1432" s="1095"/>
    </row>
    <row r="1433" spans="1:13" x14ac:dyDescent="0.25">
      <c r="A1433">
        <v>804488</v>
      </c>
      <c r="B1433" t="s">
        <v>8761</v>
      </c>
      <c r="C1433" t="s">
        <v>2598</v>
      </c>
      <c r="D1433" s="254">
        <v>492.9</v>
      </c>
      <c r="E1433"/>
      <c r="F1433"/>
      <c r="G1433"/>
      <c r="H1433"/>
      <c r="I1433" s="489"/>
      <c r="J1433" s="1095"/>
      <c r="K1433" s="1095"/>
      <c r="L1433" s="1095"/>
      <c r="M1433" s="1095"/>
    </row>
    <row r="1434" spans="1:13" x14ac:dyDescent="0.25">
      <c r="A1434">
        <v>804499</v>
      </c>
      <c r="B1434" t="s">
        <v>8762</v>
      </c>
      <c r="C1434" t="s">
        <v>2598</v>
      </c>
      <c r="D1434" s="254">
        <v>700.36</v>
      </c>
      <c r="E1434"/>
      <c r="F1434"/>
      <c r="G1434"/>
      <c r="H1434"/>
      <c r="I1434" s="489"/>
      <c r="J1434" s="1095"/>
      <c r="K1434" s="1095"/>
      <c r="L1434" s="1095"/>
      <c r="M1434" s="1095"/>
    </row>
    <row r="1435" spans="1:13" x14ac:dyDescent="0.25">
      <c r="A1435">
        <v>804498</v>
      </c>
      <c r="B1435" t="s">
        <v>8763</v>
      </c>
      <c r="C1435" t="s">
        <v>2598</v>
      </c>
      <c r="D1435" s="254">
        <v>637.62</v>
      </c>
      <c r="E1435"/>
      <c r="F1435"/>
      <c r="G1435"/>
      <c r="H1435"/>
      <c r="I1435" s="489"/>
      <c r="J1435" s="1095"/>
      <c r="K1435" s="1095"/>
      <c r="L1435" s="1095"/>
      <c r="M1435" s="1095"/>
    </row>
    <row r="1436" spans="1:13" x14ac:dyDescent="0.25">
      <c r="A1436">
        <v>804471</v>
      </c>
      <c r="B1436" t="s">
        <v>8764</v>
      </c>
      <c r="C1436" t="s">
        <v>2598</v>
      </c>
      <c r="D1436" s="254">
        <v>497.93</v>
      </c>
      <c r="E1436"/>
      <c r="F1436"/>
      <c r="G1436"/>
      <c r="H1436"/>
      <c r="I1436" s="489"/>
      <c r="J1436" s="1095"/>
      <c r="K1436" s="1095"/>
      <c r="L1436" s="1095"/>
      <c r="M1436" s="1095"/>
    </row>
    <row r="1437" spans="1:13" x14ac:dyDescent="0.25">
      <c r="A1437">
        <v>804470</v>
      </c>
      <c r="B1437" t="s">
        <v>8765</v>
      </c>
      <c r="C1437" t="s">
        <v>2598</v>
      </c>
      <c r="D1437" s="254">
        <v>436.45</v>
      </c>
      <c r="E1437"/>
      <c r="F1437"/>
      <c r="G1437"/>
      <c r="H1437"/>
      <c r="I1437" s="489"/>
      <c r="J1437" s="1095"/>
      <c r="K1437" s="1095"/>
      <c r="L1437" s="1095"/>
      <c r="M1437" s="1095"/>
    </row>
    <row r="1438" spans="1:13" x14ac:dyDescent="0.25">
      <c r="A1438">
        <v>804481</v>
      </c>
      <c r="B1438" t="s">
        <v>8766</v>
      </c>
      <c r="C1438" t="s">
        <v>2598</v>
      </c>
      <c r="D1438" s="254">
        <v>638.71</v>
      </c>
      <c r="E1438"/>
      <c r="F1438"/>
      <c r="G1438"/>
      <c r="H1438"/>
      <c r="I1438" s="489"/>
      <c r="J1438" s="1095"/>
      <c r="K1438" s="1095"/>
      <c r="L1438" s="1095"/>
      <c r="M1438" s="1095"/>
    </row>
    <row r="1439" spans="1:13" x14ac:dyDescent="0.25">
      <c r="A1439">
        <v>804480</v>
      </c>
      <c r="B1439" t="s">
        <v>8767</v>
      </c>
      <c r="C1439" t="s">
        <v>2598</v>
      </c>
      <c r="D1439" s="254">
        <v>577.4</v>
      </c>
      <c r="E1439"/>
      <c r="F1439"/>
      <c r="G1439"/>
      <c r="H1439"/>
      <c r="I1439" s="489"/>
      <c r="J1439" s="1095"/>
      <c r="K1439" s="1095"/>
      <c r="L1439" s="1095"/>
      <c r="M1439" s="1095"/>
    </row>
    <row r="1440" spans="1:13" x14ac:dyDescent="0.25">
      <c r="A1440">
        <v>804491</v>
      </c>
      <c r="B1440" t="s">
        <v>8768</v>
      </c>
      <c r="C1440" t="s">
        <v>2598</v>
      </c>
      <c r="D1440" s="254">
        <v>844.57</v>
      </c>
      <c r="E1440"/>
      <c r="F1440"/>
      <c r="G1440"/>
      <c r="H1440"/>
      <c r="I1440" s="489"/>
      <c r="J1440" s="1095"/>
      <c r="K1440" s="1095"/>
      <c r="L1440" s="1095"/>
      <c r="M1440" s="1095"/>
    </row>
    <row r="1441" spans="1:13" x14ac:dyDescent="0.25">
      <c r="A1441">
        <v>804490</v>
      </c>
      <c r="B1441" t="s">
        <v>8769</v>
      </c>
      <c r="C1441" t="s">
        <v>2598</v>
      </c>
      <c r="D1441" s="254">
        <v>762.68</v>
      </c>
      <c r="E1441"/>
      <c r="F1441"/>
      <c r="G1441"/>
      <c r="H1441"/>
      <c r="I1441" s="489"/>
      <c r="J1441" s="1095"/>
      <c r="K1441" s="1095"/>
      <c r="L1441" s="1095"/>
      <c r="M1441" s="1095"/>
    </row>
    <row r="1442" spans="1:13" x14ac:dyDescent="0.25">
      <c r="A1442">
        <v>804501</v>
      </c>
      <c r="B1442" t="s">
        <v>8770</v>
      </c>
      <c r="C1442" t="s">
        <v>2598</v>
      </c>
      <c r="D1442" s="254">
        <v>1020.2</v>
      </c>
      <c r="E1442"/>
      <c r="F1442"/>
      <c r="G1442"/>
      <c r="H1442"/>
      <c r="I1442" s="489"/>
      <c r="J1442" s="1095"/>
      <c r="K1442" s="1095"/>
      <c r="L1442" s="1095"/>
      <c r="M1442" s="1095"/>
    </row>
    <row r="1443" spans="1:13" x14ac:dyDescent="0.25">
      <c r="A1443">
        <v>804500</v>
      </c>
      <c r="B1443" t="s">
        <v>8771</v>
      </c>
      <c r="C1443" t="s">
        <v>2598</v>
      </c>
      <c r="D1443" s="254">
        <v>927.36</v>
      </c>
      <c r="E1443"/>
      <c r="F1443"/>
      <c r="G1443"/>
      <c r="H1443"/>
      <c r="I1443" s="489"/>
      <c r="J1443" s="1095"/>
      <c r="K1443" s="1095"/>
      <c r="L1443" s="1095"/>
      <c r="M1443" s="1095"/>
    </row>
    <row r="1444" spans="1:13" x14ac:dyDescent="0.25">
      <c r="A1444">
        <v>804473</v>
      </c>
      <c r="B1444" t="s">
        <v>8772</v>
      </c>
      <c r="C1444" t="s">
        <v>2598</v>
      </c>
      <c r="D1444" s="254">
        <v>806.19</v>
      </c>
      <c r="E1444"/>
      <c r="F1444"/>
      <c r="G1444"/>
      <c r="H1444"/>
      <c r="I1444" s="489"/>
      <c r="J1444" s="1095"/>
      <c r="K1444" s="1095"/>
      <c r="L1444" s="1095"/>
      <c r="M1444" s="1095"/>
    </row>
    <row r="1445" spans="1:13" x14ac:dyDescent="0.25">
      <c r="A1445">
        <v>804472</v>
      </c>
      <c r="B1445" t="s">
        <v>8773</v>
      </c>
      <c r="C1445" t="s">
        <v>2598</v>
      </c>
      <c r="D1445" s="254">
        <v>710.16</v>
      </c>
      <c r="E1445"/>
      <c r="F1445"/>
      <c r="G1445"/>
      <c r="H1445"/>
      <c r="I1445" s="489"/>
      <c r="J1445" s="1095"/>
      <c r="K1445" s="1095"/>
      <c r="L1445" s="1095"/>
      <c r="M1445" s="1095"/>
    </row>
    <row r="1446" spans="1:13" x14ac:dyDescent="0.25">
      <c r="A1446">
        <v>804483</v>
      </c>
      <c r="B1446" t="s">
        <v>8774</v>
      </c>
      <c r="C1446" t="s">
        <v>2598</v>
      </c>
      <c r="D1446" s="254">
        <v>1025.19</v>
      </c>
      <c r="E1446"/>
      <c r="F1446"/>
      <c r="G1446"/>
      <c r="H1446"/>
      <c r="I1446" s="489"/>
      <c r="J1446" s="1095"/>
      <c r="K1446" s="1095"/>
      <c r="L1446" s="1095"/>
      <c r="M1446" s="1095"/>
    </row>
    <row r="1447" spans="1:13" x14ac:dyDescent="0.25">
      <c r="A1447">
        <v>804482</v>
      </c>
      <c r="B1447" t="s">
        <v>8775</v>
      </c>
      <c r="C1447" t="s">
        <v>2598</v>
      </c>
      <c r="D1447" s="254">
        <v>929.42</v>
      </c>
      <c r="E1447"/>
      <c r="F1447"/>
      <c r="G1447"/>
      <c r="H1447"/>
      <c r="I1447" s="489"/>
      <c r="J1447" s="1095"/>
      <c r="K1447" s="1095"/>
      <c r="L1447" s="1095"/>
      <c r="M1447" s="1095"/>
    </row>
    <row r="1448" spans="1:13" x14ac:dyDescent="0.25">
      <c r="A1448">
        <v>804493</v>
      </c>
      <c r="B1448" t="s">
        <v>8776</v>
      </c>
      <c r="C1448" t="s">
        <v>2598</v>
      </c>
      <c r="D1448" s="254">
        <v>1357.92</v>
      </c>
      <c r="E1448"/>
      <c r="F1448"/>
      <c r="G1448"/>
      <c r="H1448"/>
      <c r="I1448" s="489"/>
      <c r="J1448" s="1095"/>
      <c r="K1448" s="1095"/>
      <c r="L1448" s="1095"/>
      <c r="M1448" s="1095"/>
    </row>
    <row r="1449" spans="1:13" x14ac:dyDescent="0.25">
      <c r="A1449">
        <v>804492</v>
      </c>
      <c r="B1449" t="s">
        <v>8777</v>
      </c>
      <c r="C1449" t="s">
        <v>2598</v>
      </c>
      <c r="D1449" s="254">
        <v>1231.1500000000001</v>
      </c>
      <c r="E1449"/>
      <c r="F1449"/>
      <c r="G1449"/>
      <c r="H1449"/>
      <c r="I1449" s="489"/>
      <c r="J1449" s="1095"/>
      <c r="K1449" s="1095"/>
      <c r="L1449" s="1095"/>
      <c r="M1449" s="1095"/>
    </row>
    <row r="1450" spans="1:13" x14ac:dyDescent="0.25">
      <c r="A1450">
        <v>804503</v>
      </c>
      <c r="B1450" t="s">
        <v>8778</v>
      </c>
      <c r="C1450" t="s">
        <v>2598</v>
      </c>
      <c r="D1450" s="254">
        <v>1638.21</v>
      </c>
      <c r="E1450"/>
      <c r="F1450"/>
      <c r="G1450"/>
      <c r="H1450"/>
      <c r="I1450" s="489"/>
      <c r="J1450" s="1095"/>
      <c r="K1450" s="1095"/>
      <c r="L1450" s="1095"/>
      <c r="M1450" s="1095"/>
    </row>
    <row r="1451" spans="1:13" x14ac:dyDescent="0.25">
      <c r="A1451">
        <v>804502</v>
      </c>
      <c r="B1451" t="s">
        <v>8779</v>
      </c>
      <c r="C1451" t="s">
        <v>2598</v>
      </c>
      <c r="D1451" s="254">
        <v>1507.17</v>
      </c>
      <c r="E1451"/>
      <c r="F1451"/>
      <c r="G1451"/>
      <c r="H1451"/>
      <c r="I1451" s="489"/>
      <c r="J1451" s="1095"/>
      <c r="K1451" s="1095"/>
      <c r="L1451" s="1095"/>
      <c r="M1451" s="1095"/>
    </row>
    <row r="1452" spans="1:13" x14ac:dyDescent="0.25">
      <c r="A1452">
        <v>804180</v>
      </c>
      <c r="B1452" t="s">
        <v>8780</v>
      </c>
      <c r="C1452" t="s">
        <v>2598</v>
      </c>
      <c r="D1452" s="254">
        <v>915.24</v>
      </c>
      <c r="E1452"/>
      <c r="F1452"/>
      <c r="G1452"/>
      <c r="H1452"/>
      <c r="I1452" s="489"/>
      <c r="J1452" s="1095"/>
      <c r="K1452" s="1095"/>
      <c r="L1452" s="1095"/>
      <c r="M1452" s="1095"/>
    </row>
    <row r="1453" spans="1:13" x14ac:dyDescent="0.25">
      <c r="A1453">
        <v>804181</v>
      </c>
      <c r="B1453" t="s">
        <v>8781</v>
      </c>
      <c r="C1453" t="s">
        <v>2598</v>
      </c>
      <c r="D1453" s="254">
        <v>1002.87</v>
      </c>
      <c r="E1453"/>
      <c r="F1453"/>
      <c r="G1453"/>
      <c r="H1453"/>
      <c r="I1453" s="489"/>
      <c r="J1453" s="1095"/>
      <c r="K1453" s="1095"/>
      <c r="L1453" s="1095"/>
      <c r="M1453" s="1095"/>
    </row>
    <row r="1454" spans="1:13" x14ac:dyDescent="0.25">
      <c r="A1454">
        <v>804182</v>
      </c>
      <c r="B1454" t="s">
        <v>8782</v>
      </c>
      <c r="C1454" t="s">
        <v>2598</v>
      </c>
      <c r="D1454" s="254">
        <v>1024.26</v>
      </c>
      <c r="E1454"/>
      <c r="F1454"/>
      <c r="G1454"/>
      <c r="H1454"/>
      <c r="I1454" s="489"/>
      <c r="J1454" s="1095"/>
      <c r="K1454" s="1095"/>
      <c r="L1454" s="1095"/>
      <c r="M1454" s="1095"/>
    </row>
    <row r="1455" spans="1:13" x14ac:dyDescent="0.25">
      <c r="A1455">
        <v>804183</v>
      </c>
      <c r="B1455" t="s">
        <v>6264</v>
      </c>
      <c r="C1455" t="s">
        <v>2598</v>
      </c>
      <c r="D1455" s="254">
        <v>1111.8900000000001</v>
      </c>
      <c r="E1455"/>
      <c r="F1455"/>
      <c r="G1455"/>
      <c r="H1455"/>
      <c r="I1455" s="489"/>
      <c r="J1455" s="1095"/>
      <c r="K1455" s="1095"/>
      <c r="L1455" s="1095"/>
      <c r="M1455" s="1095"/>
    </row>
    <row r="1456" spans="1:13" x14ac:dyDescent="0.25">
      <c r="A1456">
        <v>804184</v>
      </c>
      <c r="B1456" t="s">
        <v>8783</v>
      </c>
      <c r="C1456" t="s">
        <v>2598</v>
      </c>
      <c r="D1456" s="254">
        <v>1143.48</v>
      </c>
      <c r="E1456"/>
      <c r="F1456"/>
      <c r="G1456"/>
      <c r="H1456"/>
      <c r="I1456" s="489"/>
      <c r="J1456" s="1095"/>
      <c r="K1456" s="1095"/>
      <c r="L1456" s="1095"/>
      <c r="M1456" s="1095"/>
    </row>
    <row r="1457" spans="1:13" x14ac:dyDescent="0.25">
      <c r="A1457">
        <v>804185</v>
      </c>
      <c r="B1457" t="s">
        <v>8784</v>
      </c>
      <c r="C1457" t="s">
        <v>2598</v>
      </c>
      <c r="D1457" s="254">
        <v>1231.1199999999999</v>
      </c>
      <c r="E1457"/>
      <c r="F1457"/>
      <c r="G1457"/>
      <c r="H1457"/>
      <c r="I1457" s="489"/>
      <c r="J1457" s="1095"/>
      <c r="K1457" s="1095"/>
      <c r="L1457" s="1095"/>
      <c r="M1457" s="1095"/>
    </row>
    <row r="1458" spans="1:13" x14ac:dyDescent="0.25">
      <c r="A1458">
        <v>804186</v>
      </c>
      <c r="B1458" t="s">
        <v>8785</v>
      </c>
      <c r="C1458" t="s">
        <v>2598</v>
      </c>
      <c r="D1458" s="254">
        <v>1255.4100000000001</v>
      </c>
      <c r="E1458"/>
      <c r="F1458"/>
      <c r="G1458"/>
      <c r="H1458"/>
      <c r="I1458" s="489"/>
      <c r="J1458" s="1095"/>
      <c r="K1458" s="1095"/>
      <c r="L1458" s="1095"/>
      <c r="M1458" s="1095"/>
    </row>
    <row r="1459" spans="1:13" x14ac:dyDescent="0.25">
      <c r="A1459">
        <v>804187</v>
      </c>
      <c r="B1459" t="s">
        <v>8786</v>
      </c>
      <c r="C1459" t="s">
        <v>2598</v>
      </c>
      <c r="D1459" s="254">
        <v>1343.05</v>
      </c>
      <c r="E1459"/>
      <c r="F1459"/>
      <c r="G1459"/>
      <c r="H1459"/>
      <c r="I1459" s="489"/>
      <c r="J1459" s="1095"/>
      <c r="K1459" s="1095"/>
      <c r="L1459" s="1095"/>
      <c r="M1459" s="1095"/>
    </row>
    <row r="1460" spans="1:13" x14ac:dyDescent="0.25">
      <c r="A1460">
        <v>804188</v>
      </c>
      <c r="B1460" t="s">
        <v>8787</v>
      </c>
      <c r="C1460" t="s">
        <v>2598</v>
      </c>
      <c r="D1460" s="254">
        <v>1419.48</v>
      </c>
      <c r="E1460"/>
      <c r="F1460"/>
      <c r="G1460"/>
      <c r="H1460"/>
      <c r="I1460" s="489"/>
      <c r="J1460" s="1095"/>
      <c r="K1460" s="1095"/>
      <c r="L1460" s="1095"/>
      <c r="M1460" s="1095"/>
    </row>
    <row r="1461" spans="1:13" x14ac:dyDescent="0.25">
      <c r="A1461">
        <v>804189</v>
      </c>
      <c r="B1461" t="s">
        <v>8788</v>
      </c>
      <c r="C1461" t="s">
        <v>2598</v>
      </c>
      <c r="D1461" s="254">
        <v>1536.7</v>
      </c>
      <c r="E1461"/>
      <c r="F1461"/>
      <c r="G1461"/>
      <c r="H1461"/>
      <c r="I1461" s="489"/>
      <c r="J1461" s="1095"/>
      <c r="K1461" s="1095"/>
      <c r="L1461" s="1095"/>
      <c r="M1461" s="1095"/>
    </row>
    <row r="1462" spans="1:13" x14ac:dyDescent="0.25">
      <c r="A1462">
        <v>804190</v>
      </c>
      <c r="B1462" t="s">
        <v>8789</v>
      </c>
      <c r="C1462" t="s">
        <v>2598</v>
      </c>
      <c r="D1462" s="254">
        <v>1505.73</v>
      </c>
      <c r="E1462"/>
      <c r="F1462"/>
      <c r="G1462"/>
      <c r="H1462"/>
      <c r="I1462" s="489"/>
      <c r="J1462" s="1095"/>
      <c r="K1462" s="1095"/>
      <c r="L1462" s="1095"/>
      <c r="M1462" s="1095"/>
    </row>
    <row r="1463" spans="1:13" x14ac:dyDescent="0.25">
      <c r="A1463">
        <v>804191</v>
      </c>
      <c r="B1463" t="s">
        <v>6265</v>
      </c>
      <c r="C1463" t="s">
        <v>2598</v>
      </c>
      <c r="D1463" s="254">
        <v>1622.95</v>
      </c>
      <c r="E1463"/>
      <c r="F1463"/>
      <c r="G1463"/>
      <c r="H1463"/>
      <c r="I1463" s="489"/>
      <c r="J1463" s="1095"/>
      <c r="K1463" s="1095"/>
      <c r="L1463" s="1095"/>
      <c r="M1463" s="1095"/>
    </row>
    <row r="1464" spans="1:13" x14ac:dyDescent="0.25">
      <c r="A1464">
        <v>804192</v>
      </c>
      <c r="B1464" t="s">
        <v>8790</v>
      </c>
      <c r="C1464" t="s">
        <v>2598</v>
      </c>
      <c r="D1464" s="254">
        <v>1637.1</v>
      </c>
      <c r="E1464"/>
      <c r="F1464"/>
      <c r="G1464"/>
      <c r="H1464"/>
      <c r="I1464" s="489"/>
      <c r="J1464" s="1095"/>
      <c r="K1464" s="1095"/>
      <c r="L1464" s="1095"/>
      <c r="M1464" s="1095"/>
    </row>
    <row r="1465" spans="1:13" x14ac:dyDescent="0.25">
      <c r="A1465">
        <v>804193</v>
      </c>
      <c r="B1465" t="s">
        <v>8791</v>
      </c>
      <c r="C1465" t="s">
        <v>2598</v>
      </c>
      <c r="D1465" s="254">
        <v>1754.32</v>
      </c>
      <c r="E1465"/>
      <c r="F1465"/>
      <c r="G1465"/>
      <c r="H1465"/>
      <c r="I1465" s="489"/>
      <c r="J1465" s="1095"/>
      <c r="K1465" s="1095"/>
      <c r="L1465" s="1095"/>
      <c r="M1465" s="1095"/>
    </row>
    <row r="1466" spans="1:13" x14ac:dyDescent="0.25">
      <c r="A1466">
        <v>804194</v>
      </c>
      <c r="B1466" t="s">
        <v>8792</v>
      </c>
      <c r="C1466" t="s">
        <v>2598</v>
      </c>
      <c r="D1466" s="254">
        <v>1770.15</v>
      </c>
      <c r="E1466"/>
      <c r="F1466"/>
      <c r="G1466"/>
      <c r="H1466"/>
      <c r="I1466" s="489"/>
      <c r="J1466" s="1095"/>
      <c r="K1466" s="1095"/>
      <c r="L1466" s="1095"/>
      <c r="M1466" s="1095"/>
    </row>
    <row r="1467" spans="1:13" x14ac:dyDescent="0.25">
      <c r="A1467">
        <v>804195</v>
      </c>
      <c r="B1467" t="s">
        <v>8793</v>
      </c>
      <c r="C1467" t="s">
        <v>2598</v>
      </c>
      <c r="D1467" s="254">
        <v>1887.37</v>
      </c>
      <c r="E1467"/>
      <c r="F1467"/>
      <c r="G1467"/>
      <c r="H1467"/>
      <c r="I1467" s="489"/>
      <c r="J1467" s="1095"/>
      <c r="K1467" s="1095"/>
      <c r="L1467" s="1095"/>
      <c r="M1467" s="1095"/>
    </row>
    <row r="1468" spans="1:13" x14ac:dyDescent="0.25">
      <c r="A1468">
        <v>804196</v>
      </c>
      <c r="B1468" t="s">
        <v>8794</v>
      </c>
      <c r="C1468" t="s">
        <v>2598</v>
      </c>
      <c r="D1468" s="254">
        <v>1713.46</v>
      </c>
      <c r="E1468"/>
      <c r="F1468"/>
      <c r="G1468"/>
      <c r="H1468"/>
      <c r="I1468" s="489"/>
      <c r="J1468" s="1095"/>
      <c r="K1468" s="1095"/>
      <c r="L1468" s="1095"/>
      <c r="M1468" s="1095"/>
    </row>
    <row r="1469" spans="1:13" x14ac:dyDescent="0.25">
      <c r="A1469">
        <v>804197</v>
      </c>
      <c r="B1469" t="s">
        <v>8795</v>
      </c>
      <c r="C1469" t="s">
        <v>2598</v>
      </c>
      <c r="D1469" s="254">
        <v>1863.04</v>
      </c>
      <c r="E1469"/>
      <c r="F1469"/>
      <c r="G1469"/>
      <c r="H1469"/>
      <c r="I1469" s="489"/>
      <c r="J1469" s="1095"/>
      <c r="K1469" s="1095"/>
      <c r="L1469" s="1095"/>
      <c r="M1469" s="1095"/>
    </row>
    <row r="1470" spans="1:13" x14ac:dyDescent="0.25">
      <c r="A1470">
        <v>804198</v>
      </c>
      <c r="B1470" t="s">
        <v>8796</v>
      </c>
      <c r="C1470" t="s">
        <v>2598</v>
      </c>
      <c r="D1470" s="254">
        <v>1826.81</v>
      </c>
      <c r="E1470"/>
      <c r="F1470"/>
      <c r="G1470"/>
      <c r="H1470"/>
      <c r="I1470" s="489"/>
      <c r="J1470" s="1095"/>
      <c r="K1470" s="1095"/>
      <c r="L1470" s="1095"/>
      <c r="M1470" s="1095"/>
    </row>
    <row r="1471" spans="1:13" x14ac:dyDescent="0.25">
      <c r="A1471">
        <v>804199</v>
      </c>
      <c r="B1471" t="s">
        <v>6266</v>
      </c>
      <c r="C1471" t="s">
        <v>2598</v>
      </c>
      <c r="D1471" s="254">
        <v>1976.39</v>
      </c>
      <c r="E1471"/>
      <c r="F1471"/>
      <c r="G1471"/>
      <c r="H1471"/>
      <c r="I1471" s="489"/>
      <c r="J1471" s="1095"/>
      <c r="K1471" s="1095"/>
      <c r="L1471" s="1095"/>
      <c r="M1471" s="1095"/>
    </row>
    <row r="1472" spans="1:13" x14ac:dyDescent="0.25">
      <c r="A1472">
        <v>804200</v>
      </c>
      <c r="B1472" t="s">
        <v>8797</v>
      </c>
      <c r="C1472" t="s">
        <v>2598</v>
      </c>
      <c r="D1472" s="254">
        <v>2184.12</v>
      </c>
      <c r="E1472"/>
      <c r="F1472"/>
      <c r="G1472"/>
      <c r="H1472"/>
      <c r="I1472" s="489"/>
      <c r="J1472" s="1095"/>
      <c r="K1472" s="1095"/>
      <c r="L1472" s="1095"/>
      <c r="M1472" s="1095"/>
    </row>
    <row r="1473" spans="1:13" x14ac:dyDescent="0.25">
      <c r="A1473">
        <v>804201</v>
      </c>
      <c r="B1473" t="s">
        <v>8798</v>
      </c>
      <c r="C1473" t="s">
        <v>2598</v>
      </c>
      <c r="D1473" s="254">
        <v>2333.69</v>
      </c>
      <c r="E1473"/>
      <c r="F1473"/>
      <c r="G1473"/>
      <c r="H1473"/>
      <c r="I1473" s="489"/>
      <c r="J1473" s="1095"/>
      <c r="K1473" s="1095"/>
      <c r="L1473" s="1095"/>
      <c r="M1473" s="1095"/>
    </row>
    <row r="1474" spans="1:13" x14ac:dyDescent="0.25">
      <c r="A1474">
        <v>804202</v>
      </c>
      <c r="B1474" t="s">
        <v>8799</v>
      </c>
      <c r="C1474" t="s">
        <v>2598</v>
      </c>
      <c r="D1474" s="254">
        <v>2233.35</v>
      </c>
      <c r="E1474"/>
      <c r="F1474"/>
      <c r="G1474"/>
      <c r="H1474"/>
      <c r="I1474" s="489"/>
      <c r="J1474" s="1095"/>
      <c r="K1474" s="1095"/>
      <c r="L1474" s="1095"/>
      <c r="M1474" s="1095"/>
    </row>
    <row r="1475" spans="1:13" x14ac:dyDescent="0.25">
      <c r="A1475">
        <v>804203</v>
      </c>
      <c r="B1475" t="s">
        <v>8800</v>
      </c>
      <c r="C1475" t="s">
        <v>2598</v>
      </c>
      <c r="D1475" s="254">
        <v>2382.9299999999998</v>
      </c>
      <c r="E1475"/>
      <c r="F1475"/>
      <c r="G1475"/>
      <c r="H1475"/>
      <c r="I1475" s="489"/>
      <c r="J1475" s="1095"/>
      <c r="K1475" s="1095"/>
      <c r="L1475" s="1095"/>
      <c r="M1475" s="1095"/>
    </row>
    <row r="1476" spans="1:13" x14ac:dyDescent="0.25">
      <c r="A1476">
        <v>804204</v>
      </c>
      <c r="B1476" t="s">
        <v>8801</v>
      </c>
      <c r="C1476" t="s">
        <v>2598</v>
      </c>
      <c r="D1476" s="254">
        <v>2519.91</v>
      </c>
      <c r="E1476"/>
      <c r="F1476"/>
      <c r="G1476"/>
      <c r="H1476"/>
      <c r="I1476" s="489"/>
      <c r="J1476" s="1095"/>
      <c r="K1476" s="1095"/>
      <c r="L1476" s="1095"/>
      <c r="M1476" s="1095"/>
    </row>
    <row r="1477" spans="1:13" x14ac:dyDescent="0.25">
      <c r="A1477">
        <v>804205</v>
      </c>
      <c r="B1477" t="s">
        <v>8802</v>
      </c>
      <c r="C1477" t="s">
        <v>2598</v>
      </c>
      <c r="D1477" s="254">
        <v>2713.31</v>
      </c>
      <c r="E1477"/>
      <c r="F1477"/>
      <c r="G1477"/>
      <c r="H1477"/>
      <c r="I1477" s="489"/>
      <c r="J1477" s="1095"/>
      <c r="K1477" s="1095"/>
      <c r="L1477" s="1095"/>
      <c r="M1477" s="1095"/>
    </row>
    <row r="1478" spans="1:13" x14ac:dyDescent="0.25">
      <c r="A1478">
        <v>804206</v>
      </c>
      <c r="B1478" t="s">
        <v>8803</v>
      </c>
      <c r="C1478" t="s">
        <v>2598</v>
      </c>
      <c r="D1478" s="254">
        <v>3104.35</v>
      </c>
      <c r="E1478"/>
      <c r="F1478"/>
      <c r="G1478"/>
      <c r="H1478"/>
      <c r="I1478" s="489"/>
      <c r="J1478" s="1095"/>
      <c r="K1478" s="1095"/>
      <c r="L1478" s="1095"/>
      <c r="M1478" s="1095"/>
    </row>
    <row r="1479" spans="1:13" x14ac:dyDescent="0.25">
      <c r="A1479">
        <v>804207</v>
      </c>
      <c r="B1479" t="s">
        <v>8804</v>
      </c>
      <c r="C1479" t="s">
        <v>2598</v>
      </c>
      <c r="D1479" s="254">
        <v>3297.75</v>
      </c>
      <c r="E1479"/>
      <c r="F1479"/>
      <c r="G1479"/>
      <c r="H1479"/>
      <c r="I1479" s="489"/>
      <c r="J1479" s="1095"/>
      <c r="K1479" s="1095"/>
      <c r="L1479" s="1095"/>
      <c r="M1479" s="1095"/>
    </row>
    <row r="1480" spans="1:13" x14ac:dyDescent="0.25">
      <c r="A1480">
        <v>804208</v>
      </c>
      <c r="B1480" t="s">
        <v>8805</v>
      </c>
      <c r="C1480" t="s">
        <v>2598</v>
      </c>
      <c r="D1480" s="254">
        <v>3426.12</v>
      </c>
      <c r="E1480"/>
      <c r="F1480"/>
      <c r="G1480"/>
      <c r="H1480"/>
      <c r="I1480" s="489"/>
      <c r="J1480" s="1095"/>
      <c r="K1480" s="1095"/>
      <c r="L1480" s="1095"/>
      <c r="M1480" s="1095"/>
    </row>
    <row r="1481" spans="1:13" x14ac:dyDescent="0.25">
      <c r="A1481">
        <v>804209</v>
      </c>
      <c r="B1481" t="s">
        <v>8806</v>
      </c>
      <c r="C1481" t="s">
        <v>2598</v>
      </c>
      <c r="D1481" s="254">
        <v>3619.52</v>
      </c>
      <c r="E1481"/>
      <c r="F1481"/>
      <c r="G1481"/>
      <c r="H1481"/>
      <c r="I1481" s="489"/>
      <c r="J1481" s="1095"/>
      <c r="K1481" s="1095"/>
      <c r="L1481" s="1095"/>
      <c r="M1481" s="1095"/>
    </row>
    <row r="1482" spans="1:13" x14ac:dyDescent="0.25">
      <c r="A1482">
        <v>804210</v>
      </c>
      <c r="B1482" t="s">
        <v>8807</v>
      </c>
      <c r="C1482" t="s">
        <v>2598</v>
      </c>
      <c r="D1482" s="254">
        <v>3537.92</v>
      </c>
      <c r="E1482"/>
      <c r="F1482"/>
      <c r="G1482"/>
      <c r="H1482"/>
      <c r="I1482" s="489"/>
      <c r="J1482" s="1095"/>
      <c r="K1482" s="1095"/>
      <c r="L1482" s="1095"/>
      <c r="M1482" s="1095"/>
    </row>
    <row r="1483" spans="1:13" x14ac:dyDescent="0.25">
      <c r="A1483">
        <v>804211</v>
      </c>
      <c r="B1483" t="s">
        <v>8808</v>
      </c>
      <c r="C1483" t="s">
        <v>2598</v>
      </c>
      <c r="D1483" s="254">
        <v>3731.32</v>
      </c>
      <c r="E1483"/>
      <c r="F1483"/>
      <c r="G1483"/>
      <c r="H1483"/>
      <c r="I1483" s="489"/>
      <c r="J1483" s="1095"/>
      <c r="K1483" s="1095"/>
      <c r="L1483" s="1095"/>
      <c r="M1483" s="1095"/>
    </row>
    <row r="1484" spans="1:13" x14ac:dyDescent="0.25">
      <c r="A1484">
        <v>804012</v>
      </c>
      <c r="B1484" t="s">
        <v>8809</v>
      </c>
      <c r="C1484" t="s">
        <v>2598</v>
      </c>
      <c r="D1484" s="254">
        <v>208.08</v>
      </c>
      <c r="E1484"/>
      <c r="F1484"/>
      <c r="G1484"/>
      <c r="H1484"/>
      <c r="I1484" s="489"/>
      <c r="J1484" s="1095"/>
      <c r="K1484" s="1095"/>
      <c r="L1484" s="1095"/>
      <c r="M1484" s="1095"/>
    </row>
    <row r="1485" spans="1:13" x14ac:dyDescent="0.25">
      <c r="A1485">
        <v>804013</v>
      </c>
      <c r="B1485" t="s">
        <v>8810</v>
      </c>
      <c r="C1485" t="s">
        <v>2598</v>
      </c>
      <c r="D1485" s="254">
        <v>229.39</v>
      </c>
      <c r="E1485"/>
      <c r="F1485"/>
      <c r="G1485"/>
      <c r="H1485"/>
      <c r="I1485" s="489"/>
      <c r="J1485" s="1095"/>
      <c r="K1485" s="1095"/>
      <c r="L1485" s="1095"/>
      <c r="M1485" s="1095"/>
    </row>
    <row r="1486" spans="1:13" x14ac:dyDescent="0.25">
      <c r="A1486">
        <v>804014</v>
      </c>
      <c r="B1486" t="s">
        <v>8811</v>
      </c>
      <c r="C1486" t="s">
        <v>2598</v>
      </c>
      <c r="D1486" s="254">
        <v>222.47</v>
      </c>
      <c r="E1486"/>
      <c r="F1486"/>
      <c r="G1486"/>
      <c r="H1486"/>
      <c r="I1486" s="489"/>
      <c r="J1486" s="1095"/>
      <c r="K1486" s="1095"/>
      <c r="L1486" s="1095"/>
      <c r="M1486" s="1095"/>
    </row>
    <row r="1487" spans="1:13" x14ac:dyDescent="0.25">
      <c r="A1487">
        <v>804015</v>
      </c>
      <c r="B1487" t="s">
        <v>8812</v>
      </c>
      <c r="C1487" t="s">
        <v>2598</v>
      </c>
      <c r="D1487" s="254">
        <v>243.78</v>
      </c>
      <c r="E1487"/>
      <c r="F1487"/>
      <c r="G1487"/>
      <c r="H1487"/>
      <c r="I1487" s="489"/>
      <c r="J1487" s="1095"/>
      <c r="K1487" s="1095"/>
      <c r="L1487" s="1095"/>
      <c r="M1487" s="1095"/>
    </row>
    <row r="1488" spans="1:13" x14ac:dyDescent="0.25">
      <c r="A1488">
        <v>804016</v>
      </c>
      <c r="B1488" t="s">
        <v>8813</v>
      </c>
      <c r="C1488" t="s">
        <v>2598</v>
      </c>
      <c r="D1488" s="254">
        <v>245.95</v>
      </c>
      <c r="E1488"/>
      <c r="F1488"/>
      <c r="G1488"/>
      <c r="H1488"/>
      <c r="I1488" s="489"/>
      <c r="J1488" s="1095"/>
      <c r="K1488" s="1095"/>
      <c r="L1488" s="1095"/>
      <c r="M1488" s="1095"/>
    </row>
    <row r="1489" spans="1:13" x14ac:dyDescent="0.25">
      <c r="A1489">
        <v>804017</v>
      </c>
      <c r="B1489" t="s">
        <v>8814</v>
      </c>
      <c r="C1489" t="s">
        <v>2598</v>
      </c>
      <c r="D1489" s="254">
        <v>267.26</v>
      </c>
      <c r="E1489"/>
      <c r="F1489"/>
      <c r="G1489"/>
      <c r="H1489"/>
      <c r="I1489" s="489"/>
      <c r="J1489" s="1095"/>
      <c r="K1489" s="1095"/>
      <c r="L1489" s="1095"/>
      <c r="M1489" s="1095"/>
    </row>
    <row r="1490" spans="1:13" x14ac:dyDescent="0.25">
      <c r="A1490">
        <v>804018</v>
      </c>
      <c r="B1490" t="s">
        <v>8815</v>
      </c>
      <c r="C1490" t="s">
        <v>2598</v>
      </c>
      <c r="D1490" s="254">
        <v>295.98</v>
      </c>
      <c r="E1490"/>
      <c r="F1490"/>
      <c r="G1490"/>
      <c r="H1490"/>
      <c r="I1490" s="489"/>
      <c r="J1490" s="1095"/>
      <c r="K1490" s="1095"/>
      <c r="L1490" s="1095"/>
      <c r="M1490" s="1095"/>
    </row>
    <row r="1491" spans="1:13" x14ac:dyDescent="0.25">
      <c r="A1491">
        <v>804019</v>
      </c>
      <c r="B1491" t="s">
        <v>8816</v>
      </c>
      <c r="C1491" t="s">
        <v>2598</v>
      </c>
      <c r="D1491" s="254">
        <v>317.29000000000002</v>
      </c>
      <c r="E1491"/>
      <c r="F1491"/>
      <c r="G1491"/>
      <c r="H1491"/>
      <c r="I1491" s="489"/>
      <c r="J1491" s="1095"/>
      <c r="K1491" s="1095"/>
      <c r="L1491" s="1095"/>
      <c r="M1491" s="1095"/>
    </row>
    <row r="1492" spans="1:13" x14ac:dyDescent="0.25">
      <c r="A1492">
        <v>804020</v>
      </c>
      <c r="B1492" t="s">
        <v>8817</v>
      </c>
      <c r="C1492" t="s">
        <v>2598</v>
      </c>
      <c r="D1492" s="254">
        <v>351.43</v>
      </c>
      <c r="E1492"/>
      <c r="F1492"/>
      <c r="G1492"/>
      <c r="H1492"/>
      <c r="I1492" s="489"/>
      <c r="J1492" s="1095"/>
      <c r="K1492" s="1095"/>
      <c r="L1492" s="1095"/>
      <c r="M1492" s="1095"/>
    </row>
    <row r="1493" spans="1:13" x14ac:dyDescent="0.25">
      <c r="A1493">
        <v>804021</v>
      </c>
      <c r="B1493" t="s">
        <v>8818</v>
      </c>
      <c r="C1493" t="s">
        <v>2598</v>
      </c>
      <c r="D1493" s="254">
        <v>383.49</v>
      </c>
      <c r="E1493"/>
      <c r="F1493"/>
      <c r="G1493"/>
      <c r="H1493"/>
      <c r="I1493" s="489"/>
      <c r="J1493" s="1095"/>
      <c r="K1493" s="1095"/>
      <c r="L1493" s="1095"/>
      <c r="M1493" s="1095"/>
    </row>
    <row r="1494" spans="1:13" x14ac:dyDescent="0.25">
      <c r="A1494">
        <v>804022</v>
      </c>
      <c r="B1494" t="s">
        <v>8819</v>
      </c>
      <c r="C1494" t="s">
        <v>2598</v>
      </c>
      <c r="D1494" s="254">
        <v>378.3</v>
      </c>
      <c r="E1494"/>
      <c r="F1494"/>
      <c r="G1494"/>
      <c r="H1494"/>
      <c r="I1494" s="489"/>
      <c r="J1494" s="1095"/>
      <c r="K1494" s="1095"/>
      <c r="L1494" s="1095"/>
      <c r="M1494" s="1095"/>
    </row>
    <row r="1495" spans="1:13" x14ac:dyDescent="0.25">
      <c r="A1495">
        <v>804023</v>
      </c>
      <c r="B1495" t="s">
        <v>6260</v>
      </c>
      <c r="C1495" t="s">
        <v>2598</v>
      </c>
      <c r="D1495" s="254">
        <v>410.36</v>
      </c>
      <c r="E1495"/>
      <c r="F1495"/>
      <c r="G1495"/>
      <c r="H1495"/>
      <c r="I1495" s="489"/>
      <c r="J1495" s="1095"/>
      <c r="K1495" s="1095"/>
      <c r="L1495" s="1095"/>
      <c r="M1495" s="1095"/>
    </row>
    <row r="1496" spans="1:13" x14ac:dyDescent="0.25">
      <c r="A1496">
        <v>804024</v>
      </c>
      <c r="B1496" t="s">
        <v>8820</v>
      </c>
      <c r="C1496" t="s">
        <v>2598</v>
      </c>
      <c r="D1496" s="254">
        <v>446.25</v>
      </c>
      <c r="E1496"/>
      <c r="F1496"/>
      <c r="G1496"/>
      <c r="H1496"/>
      <c r="I1496" s="489"/>
      <c r="J1496" s="1095"/>
      <c r="K1496" s="1095"/>
      <c r="L1496" s="1095"/>
      <c r="M1496" s="1095"/>
    </row>
    <row r="1497" spans="1:13" x14ac:dyDescent="0.25">
      <c r="A1497">
        <v>804025</v>
      </c>
      <c r="B1497" t="s">
        <v>8821</v>
      </c>
      <c r="C1497" t="s">
        <v>2598</v>
      </c>
      <c r="D1497" s="254">
        <v>478.31</v>
      </c>
      <c r="E1497"/>
      <c r="F1497"/>
      <c r="G1497"/>
      <c r="H1497"/>
      <c r="I1497" s="489"/>
      <c r="J1497" s="1095"/>
      <c r="K1497" s="1095"/>
      <c r="L1497" s="1095"/>
      <c r="M1497" s="1095"/>
    </row>
    <row r="1498" spans="1:13" x14ac:dyDescent="0.25">
      <c r="A1498">
        <v>804026</v>
      </c>
      <c r="B1498" t="s">
        <v>8822</v>
      </c>
      <c r="C1498" t="s">
        <v>2598</v>
      </c>
      <c r="D1498" s="254">
        <v>538.46</v>
      </c>
      <c r="E1498"/>
      <c r="F1498"/>
      <c r="G1498"/>
      <c r="H1498"/>
      <c r="I1498" s="489"/>
      <c r="J1498" s="1095"/>
      <c r="K1498" s="1095"/>
      <c r="L1498" s="1095"/>
      <c r="M1498" s="1095"/>
    </row>
    <row r="1499" spans="1:13" x14ac:dyDescent="0.25">
      <c r="A1499">
        <v>804027</v>
      </c>
      <c r="B1499" t="s">
        <v>8823</v>
      </c>
      <c r="C1499" t="s">
        <v>2598</v>
      </c>
      <c r="D1499" s="254">
        <v>570.52</v>
      </c>
      <c r="E1499"/>
      <c r="F1499"/>
      <c r="G1499"/>
      <c r="H1499"/>
      <c r="I1499" s="489"/>
      <c r="J1499" s="1095"/>
      <c r="K1499" s="1095"/>
      <c r="L1499" s="1095"/>
      <c r="M1499" s="1095"/>
    </row>
    <row r="1500" spans="1:13" x14ac:dyDescent="0.25">
      <c r="A1500">
        <v>804028</v>
      </c>
      <c r="B1500" t="s">
        <v>8824</v>
      </c>
      <c r="C1500" t="s">
        <v>2598</v>
      </c>
      <c r="D1500" s="254">
        <v>481.25</v>
      </c>
      <c r="E1500"/>
      <c r="F1500"/>
      <c r="G1500"/>
      <c r="H1500"/>
      <c r="I1500" s="489"/>
      <c r="J1500" s="1095"/>
      <c r="K1500" s="1095"/>
      <c r="L1500" s="1095"/>
      <c r="M1500" s="1095"/>
    </row>
    <row r="1501" spans="1:13" x14ac:dyDescent="0.25">
      <c r="A1501">
        <v>804029</v>
      </c>
      <c r="B1501" t="s">
        <v>8825</v>
      </c>
      <c r="C1501" t="s">
        <v>2598</v>
      </c>
      <c r="D1501" s="254">
        <v>525.07000000000005</v>
      </c>
      <c r="E1501"/>
      <c r="F1501"/>
      <c r="G1501"/>
      <c r="H1501"/>
      <c r="I1501" s="489"/>
      <c r="J1501" s="1095"/>
      <c r="K1501" s="1095"/>
      <c r="L1501" s="1095"/>
      <c r="M1501" s="1095"/>
    </row>
    <row r="1502" spans="1:13" x14ac:dyDescent="0.25">
      <c r="A1502">
        <v>804030</v>
      </c>
      <c r="B1502" t="s">
        <v>8826</v>
      </c>
      <c r="C1502" t="s">
        <v>2598</v>
      </c>
      <c r="D1502" s="254">
        <v>535.76</v>
      </c>
      <c r="E1502"/>
      <c r="F1502"/>
      <c r="G1502"/>
      <c r="H1502"/>
      <c r="I1502" s="489"/>
      <c r="J1502" s="1095"/>
      <c r="K1502" s="1095"/>
      <c r="L1502" s="1095"/>
      <c r="M1502" s="1095"/>
    </row>
    <row r="1503" spans="1:13" x14ac:dyDescent="0.25">
      <c r="A1503">
        <v>804031</v>
      </c>
      <c r="B1503" t="s">
        <v>6261</v>
      </c>
      <c r="C1503" t="s">
        <v>2598</v>
      </c>
      <c r="D1503" s="254">
        <v>579.58000000000004</v>
      </c>
      <c r="E1503"/>
      <c r="F1503"/>
      <c r="G1503"/>
      <c r="H1503"/>
      <c r="I1503" s="489"/>
      <c r="J1503" s="1095"/>
      <c r="K1503" s="1095"/>
      <c r="L1503" s="1095"/>
      <c r="M1503" s="1095"/>
    </row>
    <row r="1504" spans="1:13" x14ac:dyDescent="0.25">
      <c r="A1504">
        <v>804032</v>
      </c>
      <c r="B1504" t="s">
        <v>8827</v>
      </c>
      <c r="C1504" t="s">
        <v>2598</v>
      </c>
      <c r="D1504" s="254">
        <v>595.37</v>
      </c>
      <c r="E1504"/>
      <c r="F1504"/>
      <c r="G1504"/>
      <c r="H1504"/>
      <c r="I1504" s="489"/>
      <c r="J1504" s="1095"/>
      <c r="K1504" s="1095"/>
      <c r="L1504" s="1095"/>
      <c r="M1504" s="1095"/>
    </row>
    <row r="1505" spans="1:13" x14ac:dyDescent="0.25">
      <c r="A1505">
        <v>804033</v>
      </c>
      <c r="B1505" t="s">
        <v>8828</v>
      </c>
      <c r="C1505" t="s">
        <v>2598</v>
      </c>
      <c r="D1505" s="254">
        <v>639.19000000000005</v>
      </c>
      <c r="E1505"/>
      <c r="F1505"/>
      <c r="G1505"/>
      <c r="H1505"/>
      <c r="I1505" s="489"/>
      <c r="J1505" s="1095"/>
      <c r="K1505" s="1095"/>
      <c r="L1505" s="1095"/>
      <c r="M1505" s="1095"/>
    </row>
    <row r="1506" spans="1:13" x14ac:dyDescent="0.25">
      <c r="A1506">
        <v>804034</v>
      </c>
      <c r="B1506" t="s">
        <v>8829</v>
      </c>
      <c r="C1506" t="s">
        <v>2598</v>
      </c>
      <c r="D1506" s="254">
        <v>651.34</v>
      </c>
      <c r="E1506"/>
      <c r="F1506"/>
      <c r="G1506"/>
      <c r="H1506"/>
      <c r="I1506" s="489"/>
      <c r="J1506" s="1095"/>
      <c r="K1506" s="1095"/>
      <c r="L1506" s="1095"/>
      <c r="M1506" s="1095"/>
    </row>
    <row r="1507" spans="1:13" x14ac:dyDescent="0.25">
      <c r="A1507">
        <v>804035</v>
      </c>
      <c r="B1507" t="s">
        <v>8830</v>
      </c>
      <c r="C1507" t="s">
        <v>2598</v>
      </c>
      <c r="D1507" s="254">
        <v>695.16</v>
      </c>
      <c r="E1507"/>
      <c r="F1507"/>
      <c r="G1507"/>
      <c r="H1507"/>
      <c r="I1507" s="489"/>
      <c r="J1507" s="1095"/>
      <c r="K1507" s="1095"/>
      <c r="L1507" s="1095"/>
      <c r="M1507" s="1095"/>
    </row>
    <row r="1508" spans="1:13" x14ac:dyDescent="0.25">
      <c r="A1508">
        <v>804036</v>
      </c>
      <c r="B1508" t="s">
        <v>8831</v>
      </c>
      <c r="C1508" t="s">
        <v>2598</v>
      </c>
      <c r="D1508" s="254">
        <v>734.28</v>
      </c>
      <c r="E1508"/>
      <c r="F1508"/>
      <c r="G1508"/>
      <c r="H1508"/>
      <c r="I1508" s="489"/>
      <c r="J1508" s="1095"/>
      <c r="K1508" s="1095"/>
      <c r="L1508" s="1095"/>
      <c r="M1508" s="1095"/>
    </row>
    <row r="1509" spans="1:13" x14ac:dyDescent="0.25">
      <c r="A1509">
        <v>804037</v>
      </c>
      <c r="B1509" t="s">
        <v>8832</v>
      </c>
      <c r="C1509" t="s">
        <v>2598</v>
      </c>
      <c r="D1509" s="254">
        <v>791.5</v>
      </c>
      <c r="E1509"/>
      <c r="F1509"/>
      <c r="G1509"/>
      <c r="H1509"/>
      <c r="I1509" s="489"/>
      <c r="J1509" s="1095"/>
      <c r="K1509" s="1095"/>
      <c r="L1509" s="1095"/>
      <c r="M1509" s="1095"/>
    </row>
    <row r="1510" spans="1:13" x14ac:dyDescent="0.25">
      <c r="A1510">
        <v>804038</v>
      </c>
      <c r="B1510" t="s">
        <v>8833</v>
      </c>
      <c r="C1510" t="s">
        <v>2598</v>
      </c>
      <c r="D1510" s="254">
        <v>777.41</v>
      </c>
      <c r="E1510"/>
      <c r="F1510"/>
      <c r="G1510"/>
      <c r="H1510"/>
      <c r="I1510" s="489"/>
      <c r="J1510" s="1095"/>
      <c r="K1510" s="1095"/>
      <c r="L1510" s="1095"/>
      <c r="M1510" s="1095"/>
    </row>
    <row r="1511" spans="1:13" x14ac:dyDescent="0.25">
      <c r="A1511">
        <v>804039</v>
      </c>
      <c r="B1511" t="s">
        <v>6262</v>
      </c>
      <c r="C1511" t="s">
        <v>2598</v>
      </c>
      <c r="D1511" s="254">
        <v>834.63</v>
      </c>
      <c r="E1511"/>
      <c r="F1511"/>
      <c r="G1511"/>
      <c r="H1511"/>
      <c r="I1511" s="489"/>
      <c r="J1511" s="1095"/>
      <c r="K1511" s="1095"/>
      <c r="L1511" s="1095"/>
      <c r="M1511" s="1095"/>
    </row>
    <row r="1512" spans="1:13" x14ac:dyDescent="0.25">
      <c r="A1512">
        <v>804040</v>
      </c>
      <c r="B1512" t="s">
        <v>8834</v>
      </c>
      <c r="C1512" t="s">
        <v>2598</v>
      </c>
      <c r="D1512" s="254">
        <v>843.09</v>
      </c>
      <c r="E1512"/>
      <c r="F1512"/>
      <c r="G1512"/>
      <c r="H1512"/>
      <c r="I1512" s="489"/>
      <c r="J1512" s="1095"/>
      <c r="K1512" s="1095"/>
      <c r="L1512" s="1095"/>
      <c r="M1512" s="1095"/>
    </row>
    <row r="1513" spans="1:13" x14ac:dyDescent="0.25">
      <c r="A1513">
        <v>804041</v>
      </c>
      <c r="B1513" t="s">
        <v>8835</v>
      </c>
      <c r="C1513" t="s">
        <v>2598</v>
      </c>
      <c r="D1513" s="254">
        <v>900.31</v>
      </c>
      <c r="E1513"/>
      <c r="F1513"/>
      <c r="G1513"/>
      <c r="H1513"/>
      <c r="I1513" s="489"/>
      <c r="J1513" s="1095"/>
      <c r="K1513" s="1095"/>
      <c r="L1513" s="1095"/>
      <c r="M1513" s="1095"/>
    </row>
    <row r="1514" spans="1:13" x14ac:dyDescent="0.25">
      <c r="A1514">
        <v>804042</v>
      </c>
      <c r="B1514" t="s">
        <v>8836</v>
      </c>
      <c r="C1514" t="s">
        <v>2598</v>
      </c>
      <c r="D1514" s="254">
        <v>909.62</v>
      </c>
      <c r="E1514"/>
      <c r="F1514"/>
      <c r="G1514"/>
      <c r="H1514"/>
      <c r="I1514" s="489"/>
      <c r="J1514" s="1095"/>
      <c r="K1514" s="1095"/>
      <c r="L1514" s="1095"/>
      <c r="M1514" s="1095"/>
    </row>
    <row r="1515" spans="1:13" x14ac:dyDescent="0.25">
      <c r="A1515">
        <v>804043</v>
      </c>
      <c r="B1515" t="s">
        <v>8837</v>
      </c>
      <c r="C1515" t="s">
        <v>2598</v>
      </c>
      <c r="D1515" s="254">
        <v>966.84</v>
      </c>
      <c r="E1515"/>
      <c r="F1515"/>
      <c r="G1515"/>
      <c r="H1515"/>
      <c r="I1515" s="489"/>
      <c r="J1515" s="1095"/>
      <c r="K1515" s="1095"/>
      <c r="L1515" s="1095"/>
      <c r="M1515" s="1095"/>
    </row>
    <row r="1516" spans="1:13" x14ac:dyDescent="0.25">
      <c r="A1516">
        <v>804044</v>
      </c>
      <c r="B1516" t="s">
        <v>8838</v>
      </c>
      <c r="C1516" t="s">
        <v>2598</v>
      </c>
      <c r="D1516" s="254">
        <v>881.44</v>
      </c>
      <c r="E1516"/>
      <c r="F1516"/>
      <c r="G1516"/>
      <c r="H1516"/>
      <c r="I1516" s="489"/>
      <c r="J1516" s="1095"/>
      <c r="K1516" s="1095"/>
      <c r="L1516" s="1095"/>
      <c r="M1516" s="1095"/>
    </row>
    <row r="1517" spans="1:13" x14ac:dyDescent="0.25">
      <c r="A1517">
        <v>804045</v>
      </c>
      <c r="B1517" t="s">
        <v>8839</v>
      </c>
      <c r="C1517" t="s">
        <v>2598</v>
      </c>
      <c r="D1517" s="254">
        <v>953.02</v>
      </c>
      <c r="E1517"/>
      <c r="F1517"/>
      <c r="G1517"/>
      <c r="H1517"/>
      <c r="I1517" s="489"/>
      <c r="J1517" s="1095"/>
      <c r="K1517" s="1095"/>
      <c r="L1517" s="1095"/>
      <c r="M1517" s="1095"/>
    </row>
    <row r="1518" spans="1:13" x14ac:dyDescent="0.25">
      <c r="A1518">
        <v>804046</v>
      </c>
      <c r="B1518" t="s">
        <v>8840</v>
      </c>
      <c r="C1518" t="s">
        <v>2598</v>
      </c>
      <c r="D1518" s="254">
        <v>938.11</v>
      </c>
      <c r="E1518"/>
      <c r="F1518"/>
      <c r="G1518"/>
      <c r="H1518"/>
      <c r="I1518" s="489"/>
      <c r="J1518" s="1095"/>
      <c r="K1518" s="1095"/>
      <c r="L1518" s="1095"/>
      <c r="M1518" s="1095"/>
    </row>
    <row r="1519" spans="1:13" x14ac:dyDescent="0.25">
      <c r="A1519">
        <v>804047</v>
      </c>
      <c r="B1519" t="s">
        <v>6263</v>
      </c>
      <c r="C1519" t="s">
        <v>2598</v>
      </c>
      <c r="D1519" s="254">
        <v>1009.7</v>
      </c>
      <c r="E1519"/>
      <c r="F1519"/>
      <c r="G1519"/>
      <c r="H1519"/>
      <c r="I1519" s="489"/>
      <c r="J1519" s="1095"/>
      <c r="K1519" s="1095"/>
      <c r="L1519" s="1095"/>
      <c r="M1519" s="1095"/>
    </row>
    <row r="1520" spans="1:13" x14ac:dyDescent="0.25">
      <c r="A1520">
        <v>804048</v>
      </c>
      <c r="B1520" t="s">
        <v>8841</v>
      </c>
      <c r="C1520" t="s">
        <v>2598</v>
      </c>
      <c r="D1520" s="254">
        <v>1116.76</v>
      </c>
      <c r="E1520"/>
      <c r="F1520"/>
      <c r="G1520"/>
      <c r="H1520"/>
      <c r="I1520" s="489"/>
      <c r="J1520" s="1095"/>
      <c r="K1520" s="1095"/>
      <c r="L1520" s="1095"/>
      <c r="M1520" s="1095"/>
    </row>
    <row r="1521" spans="1:13" x14ac:dyDescent="0.25">
      <c r="A1521">
        <v>804049</v>
      </c>
      <c r="B1521" t="s">
        <v>8842</v>
      </c>
      <c r="C1521" t="s">
        <v>2598</v>
      </c>
      <c r="D1521" s="254">
        <v>1188.3499999999999</v>
      </c>
      <c r="E1521"/>
      <c r="F1521"/>
      <c r="G1521"/>
      <c r="H1521"/>
      <c r="I1521" s="489"/>
      <c r="J1521" s="1095"/>
      <c r="K1521" s="1095"/>
      <c r="L1521" s="1095"/>
      <c r="M1521" s="1095"/>
    </row>
    <row r="1522" spans="1:13" x14ac:dyDescent="0.25">
      <c r="A1522">
        <v>804050</v>
      </c>
      <c r="B1522" t="s">
        <v>8843</v>
      </c>
      <c r="C1522" t="s">
        <v>2598</v>
      </c>
      <c r="D1522" s="254">
        <v>1141.3800000000001</v>
      </c>
      <c r="E1522"/>
      <c r="F1522"/>
      <c r="G1522"/>
      <c r="H1522"/>
      <c r="I1522" s="489"/>
      <c r="J1522" s="1095"/>
      <c r="K1522" s="1095"/>
      <c r="L1522" s="1095"/>
      <c r="M1522" s="1095"/>
    </row>
    <row r="1523" spans="1:13" x14ac:dyDescent="0.25">
      <c r="A1523">
        <v>804051</v>
      </c>
      <c r="B1523" t="s">
        <v>8844</v>
      </c>
      <c r="C1523" t="s">
        <v>2598</v>
      </c>
      <c r="D1523" s="254">
        <v>1212.97</v>
      </c>
      <c r="E1523"/>
      <c r="F1523"/>
      <c r="G1523"/>
      <c r="H1523"/>
      <c r="I1523" s="489"/>
      <c r="J1523" s="1095"/>
      <c r="K1523" s="1095"/>
      <c r="L1523" s="1095"/>
      <c r="M1523" s="1095"/>
    </row>
    <row r="1524" spans="1:13" x14ac:dyDescent="0.25">
      <c r="A1524">
        <v>804052</v>
      </c>
      <c r="B1524" t="s">
        <v>8845</v>
      </c>
      <c r="C1524" t="s">
        <v>2598</v>
      </c>
      <c r="D1524" s="254">
        <v>1287.54</v>
      </c>
      <c r="E1524"/>
      <c r="F1524"/>
      <c r="G1524"/>
      <c r="H1524"/>
      <c r="I1524" s="489"/>
      <c r="J1524" s="1095"/>
      <c r="K1524" s="1095"/>
      <c r="L1524" s="1095"/>
      <c r="M1524" s="1095"/>
    </row>
    <row r="1525" spans="1:13" x14ac:dyDescent="0.25">
      <c r="A1525">
        <v>804053</v>
      </c>
      <c r="B1525" t="s">
        <v>8846</v>
      </c>
      <c r="C1525" t="s">
        <v>2598</v>
      </c>
      <c r="D1525" s="254">
        <v>1380.76</v>
      </c>
      <c r="E1525"/>
      <c r="F1525"/>
      <c r="G1525"/>
      <c r="H1525"/>
      <c r="I1525" s="489"/>
      <c r="J1525" s="1095"/>
      <c r="K1525" s="1095"/>
      <c r="L1525" s="1095"/>
      <c r="M1525" s="1095"/>
    </row>
    <row r="1526" spans="1:13" x14ac:dyDescent="0.25">
      <c r="A1526">
        <v>804054</v>
      </c>
      <c r="B1526" t="s">
        <v>8847</v>
      </c>
      <c r="C1526" t="s">
        <v>2598</v>
      </c>
      <c r="D1526" s="254">
        <v>1579.76</v>
      </c>
      <c r="E1526"/>
      <c r="F1526"/>
      <c r="G1526"/>
      <c r="H1526"/>
      <c r="I1526" s="489"/>
      <c r="J1526" s="1095"/>
      <c r="K1526" s="1095"/>
      <c r="L1526" s="1095"/>
      <c r="M1526" s="1095"/>
    </row>
    <row r="1527" spans="1:13" x14ac:dyDescent="0.25">
      <c r="A1527">
        <v>804055</v>
      </c>
      <c r="B1527" t="s">
        <v>6389</v>
      </c>
      <c r="C1527" t="s">
        <v>2598</v>
      </c>
      <c r="D1527" s="254">
        <v>1672.98</v>
      </c>
      <c r="E1527"/>
      <c r="F1527"/>
      <c r="G1527"/>
      <c r="H1527"/>
      <c r="I1527" s="489"/>
      <c r="J1527" s="1095"/>
      <c r="K1527" s="1095"/>
      <c r="L1527" s="1095"/>
      <c r="M1527" s="1095"/>
    </row>
    <row r="1528" spans="1:13" x14ac:dyDescent="0.25">
      <c r="A1528">
        <v>804056</v>
      </c>
      <c r="B1528" t="s">
        <v>8848</v>
      </c>
      <c r="C1528" t="s">
        <v>2598</v>
      </c>
      <c r="D1528" s="254">
        <v>1740.65</v>
      </c>
      <c r="E1528"/>
      <c r="F1528"/>
      <c r="G1528"/>
      <c r="H1528"/>
      <c r="I1528" s="489"/>
      <c r="J1528" s="1095"/>
      <c r="K1528" s="1095"/>
      <c r="L1528" s="1095"/>
      <c r="M1528" s="1095"/>
    </row>
    <row r="1529" spans="1:13" x14ac:dyDescent="0.25">
      <c r="A1529">
        <v>804057</v>
      </c>
      <c r="B1529" t="s">
        <v>8849</v>
      </c>
      <c r="C1529" t="s">
        <v>2598</v>
      </c>
      <c r="D1529" s="254">
        <v>1833.86</v>
      </c>
      <c r="E1529"/>
      <c r="F1529"/>
      <c r="G1529"/>
      <c r="H1529"/>
      <c r="I1529" s="489"/>
      <c r="J1529" s="1095"/>
      <c r="K1529" s="1095"/>
      <c r="L1529" s="1095"/>
      <c r="M1529" s="1095"/>
    </row>
    <row r="1530" spans="1:13" x14ac:dyDescent="0.25">
      <c r="A1530">
        <v>804058</v>
      </c>
      <c r="B1530" t="s">
        <v>8850</v>
      </c>
      <c r="C1530" t="s">
        <v>2598</v>
      </c>
      <c r="D1530" s="254">
        <v>1796.55</v>
      </c>
      <c r="E1530"/>
      <c r="F1530"/>
      <c r="G1530"/>
      <c r="H1530"/>
      <c r="I1530" s="489"/>
      <c r="J1530" s="1095"/>
      <c r="K1530" s="1095"/>
      <c r="L1530" s="1095"/>
      <c r="M1530" s="1095"/>
    </row>
    <row r="1531" spans="1:13" x14ac:dyDescent="0.25">
      <c r="A1531">
        <v>804059</v>
      </c>
      <c r="B1531" t="s">
        <v>8851</v>
      </c>
      <c r="C1531" t="s">
        <v>2598</v>
      </c>
      <c r="D1531" s="254">
        <v>1889.76</v>
      </c>
      <c r="E1531"/>
      <c r="F1531"/>
      <c r="G1531"/>
      <c r="H1531"/>
      <c r="I1531" s="489"/>
      <c r="J1531" s="1095"/>
      <c r="K1531" s="1095"/>
      <c r="L1531" s="1095"/>
      <c r="M1531" s="1095"/>
    </row>
    <row r="1532" spans="1:13" x14ac:dyDescent="0.25">
      <c r="A1532">
        <v>804292</v>
      </c>
      <c r="B1532" t="s">
        <v>8852</v>
      </c>
      <c r="C1532" t="s">
        <v>2598</v>
      </c>
      <c r="D1532" s="254">
        <v>2104.67</v>
      </c>
      <c r="E1532"/>
      <c r="F1532"/>
      <c r="G1532"/>
      <c r="H1532"/>
      <c r="I1532" s="489"/>
      <c r="J1532" s="1095"/>
      <c r="K1532" s="1095"/>
      <c r="L1532" s="1095"/>
      <c r="M1532" s="1095"/>
    </row>
    <row r="1533" spans="1:13" x14ac:dyDescent="0.25">
      <c r="A1533">
        <v>804293</v>
      </c>
      <c r="B1533" t="s">
        <v>8853</v>
      </c>
      <c r="C1533" t="s">
        <v>2598</v>
      </c>
      <c r="D1533" s="254">
        <v>2281.9</v>
      </c>
      <c r="E1533"/>
      <c r="F1533"/>
      <c r="G1533"/>
      <c r="H1533"/>
      <c r="I1533" s="489"/>
      <c r="J1533" s="1095"/>
      <c r="K1533" s="1095"/>
      <c r="L1533" s="1095"/>
      <c r="M1533" s="1095"/>
    </row>
    <row r="1534" spans="1:13" x14ac:dyDescent="0.25">
      <c r="A1534">
        <v>804294</v>
      </c>
      <c r="B1534" t="s">
        <v>8854</v>
      </c>
      <c r="C1534" t="s">
        <v>2598</v>
      </c>
      <c r="D1534" s="254">
        <v>2234.06</v>
      </c>
      <c r="E1534"/>
      <c r="F1534"/>
      <c r="G1534"/>
      <c r="H1534"/>
      <c r="I1534" s="489"/>
      <c r="J1534" s="1095"/>
      <c r="K1534" s="1095"/>
      <c r="L1534" s="1095"/>
      <c r="M1534" s="1095"/>
    </row>
    <row r="1535" spans="1:13" x14ac:dyDescent="0.25">
      <c r="A1535">
        <v>804295</v>
      </c>
      <c r="B1535" t="s">
        <v>6267</v>
      </c>
      <c r="C1535" t="s">
        <v>2598</v>
      </c>
      <c r="D1535" s="254">
        <v>2411.29</v>
      </c>
      <c r="E1535"/>
      <c r="F1535"/>
      <c r="G1535"/>
      <c r="H1535"/>
      <c r="I1535" s="489"/>
      <c r="J1535" s="1095"/>
      <c r="K1535" s="1095"/>
      <c r="L1535" s="1095"/>
      <c r="M1535" s="1095"/>
    </row>
    <row r="1536" spans="1:13" x14ac:dyDescent="0.25">
      <c r="A1536">
        <v>804296</v>
      </c>
      <c r="B1536" t="s">
        <v>8855</v>
      </c>
      <c r="C1536" t="s">
        <v>2598</v>
      </c>
      <c r="D1536" s="254">
        <v>2431.12</v>
      </c>
      <c r="E1536"/>
      <c r="F1536"/>
      <c r="G1536"/>
      <c r="H1536"/>
      <c r="I1536" s="489"/>
      <c r="J1536" s="1095"/>
      <c r="K1536" s="1095"/>
      <c r="L1536" s="1095"/>
      <c r="M1536" s="1095"/>
    </row>
    <row r="1537" spans="1:13" x14ac:dyDescent="0.25">
      <c r="A1537">
        <v>804297</v>
      </c>
      <c r="B1537" t="s">
        <v>8856</v>
      </c>
      <c r="C1537" t="s">
        <v>2598</v>
      </c>
      <c r="D1537" s="254">
        <v>2608.34</v>
      </c>
      <c r="E1537"/>
      <c r="F1537"/>
      <c r="G1537"/>
      <c r="H1537"/>
      <c r="I1537" s="489"/>
      <c r="J1537" s="1095"/>
      <c r="K1537" s="1095"/>
      <c r="L1537" s="1095"/>
      <c r="M1537" s="1095"/>
    </row>
    <row r="1538" spans="1:13" x14ac:dyDescent="0.25">
      <c r="A1538">
        <v>804298</v>
      </c>
      <c r="B1538" t="s">
        <v>8857</v>
      </c>
      <c r="C1538" t="s">
        <v>2598</v>
      </c>
      <c r="D1538" s="254">
        <v>2630.69</v>
      </c>
      <c r="E1538"/>
      <c r="F1538"/>
      <c r="G1538"/>
      <c r="H1538"/>
      <c r="I1538" s="489"/>
      <c r="J1538" s="1095"/>
      <c r="K1538" s="1095"/>
      <c r="L1538" s="1095"/>
      <c r="M1538" s="1095"/>
    </row>
    <row r="1539" spans="1:13" x14ac:dyDescent="0.25">
      <c r="A1539">
        <v>804299</v>
      </c>
      <c r="B1539" t="s">
        <v>8858</v>
      </c>
      <c r="C1539" t="s">
        <v>2598</v>
      </c>
      <c r="D1539" s="254">
        <v>2807.91</v>
      </c>
      <c r="E1539"/>
      <c r="F1539"/>
      <c r="G1539"/>
      <c r="H1539"/>
      <c r="I1539" s="489"/>
      <c r="J1539" s="1095"/>
      <c r="K1539" s="1095"/>
      <c r="L1539" s="1095"/>
      <c r="M1539" s="1095"/>
    </row>
    <row r="1540" spans="1:13" x14ac:dyDescent="0.25">
      <c r="A1540">
        <v>804300</v>
      </c>
      <c r="B1540" t="s">
        <v>8859</v>
      </c>
      <c r="C1540" t="s">
        <v>2598</v>
      </c>
      <c r="D1540" s="254">
        <v>2545.2399999999998</v>
      </c>
      <c r="E1540"/>
      <c r="F1540"/>
      <c r="G1540"/>
      <c r="H1540"/>
      <c r="I1540" s="489"/>
      <c r="J1540" s="1095"/>
      <c r="K1540" s="1095"/>
      <c r="L1540" s="1095"/>
      <c r="M1540" s="1095"/>
    </row>
    <row r="1541" spans="1:13" x14ac:dyDescent="0.25">
      <c r="A1541">
        <v>804301</v>
      </c>
      <c r="B1541" t="s">
        <v>8860</v>
      </c>
      <c r="C1541" t="s">
        <v>2598</v>
      </c>
      <c r="D1541" s="254">
        <v>2772.68</v>
      </c>
      <c r="E1541"/>
      <c r="F1541"/>
      <c r="G1541"/>
      <c r="H1541"/>
      <c r="I1541" s="489"/>
      <c r="J1541" s="1095"/>
      <c r="K1541" s="1095"/>
      <c r="L1541" s="1095"/>
      <c r="M1541" s="1095"/>
    </row>
    <row r="1542" spans="1:13" x14ac:dyDescent="0.25">
      <c r="A1542">
        <v>804302</v>
      </c>
      <c r="B1542" t="s">
        <v>8861</v>
      </c>
      <c r="C1542" t="s">
        <v>2598</v>
      </c>
      <c r="D1542" s="254">
        <v>2715.27</v>
      </c>
      <c r="E1542"/>
      <c r="F1542"/>
      <c r="G1542"/>
      <c r="H1542"/>
      <c r="I1542" s="489"/>
      <c r="J1542" s="1095"/>
      <c r="K1542" s="1095"/>
      <c r="L1542" s="1095"/>
      <c r="M1542" s="1095"/>
    </row>
    <row r="1543" spans="1:13" x14ac:dyDescent="0.25">
      <c r="A1543">
        <v>804303</v>
      </c>
      <c r="B1543" t="s">
        <v>6268</v>
      </c>
      <c r="C1543" t="s">
        <v>2598</v>
      </c>
      <c r="D1543" s="254">
        <v>2942.7</v>
      </c>
      <c r="E1543"/>
      <c r="F1543"/>
      <c r="G1543"/>
      <c r="H1543"/>
      <c r="I1543" s="489"/>
      <c r="J1543" s="1095"/>
      <c r="K1543" s="1095"/>
      <c r="L1543" s="1095"/>
      <c r="M1543" s="1095"/>
    </row>
    <row r="1544" spans="1:13" x14ac:dyDescent="0.25">
      <c r="A1544">
        <v>804304</v>
      </c>
      <c r="B1544" t="s">
        <v>8862</v>
      </c>
      <c r="C1544" t="s">
        <v>2598</v>
      </c>
      <c r="D1544" s="254">
        <v>3251.22</v>
      </c>
      <c r="E1544"/>
      <c r="F1544"/>
      <c r="G1544"/>
      <c r="H1544"/>
      <c r="I1544" s="489"/>
      <c r="J1544" s="1095"/>
      <c r="K1544" s="1095"/>
      <c r="L1544" s="1095"/>
      <c r="M1544" s="1095"/>
    </row>
    <row r="1545" spans="1:13" x14ac:dyDescent="0.25">
      <c r="A1545">
        <v>804305</v>
      </c>
      <c r="B1545" t="s">
        <v>8863</v>
      </c>
      <c r="C1545" t="s">
        <v>2598</v>
      </c>
      <c r="D1545" s="254">
        <v>3478.66</v>
      </c>
      <c r="E1545"/>
      <c r="F1545"/>
      <c r="G1545"/>
      <c r="H1545"/>
      <c r="I1545" s="489"/>
      <c r="J1545" s="1095"/>
      <c r="K1545" s="1095"/>
      <c r="L1545" s="1095"/>
      <c r="M1545" s="1095"/>
    </row>
    <row r="1546" spans="1:13" x14ac:dyDescent="0.25">
      <c r="A1546">
        <v>804306</v>
      </c>
      <c r="B1546" t="s">
        <v>8864</v>
      </c>
      <c r="C1546" t="s">
        <v>2598</v>
      </c>
      <c r="D1546" s="254">
        <v>3325.07</v>
      </c>
      <c r="E1546"/>
      <c r="F1546"/>
      <c r="G1546"/>
      <c r="H1546"/>
      <c r="I1546" s="489"/>
      <c r="J1546" s="1095"/>
      <c r="K1546" s="1095"/>
      <c r="L1546" s="1095"/>
      <c r="M1546" s="1095"/>
    </row>
    <row r="1547" spans="1:13" x14ac:dyDescent="0.25">
      <c r="A1547">
        <v>804307</v>
      </c>
      <c r="B1547" t="s">
        <v>8865</v>
      </c>
      <c r="C1547" t="s">
        <v>2598</v>
      </c>
      <c r="D1547" s="254">
        <v>3552.51</v>
      </c>
      <c r="E1547"/>
      <c r="F1547"/>
      <c r="G1547"/>
      <c r="H1547"/>
      <c r="I1547" s="489"/>
      <c r="J1547" s="1095"/>
      <c r="K1547" s="1095"/>
      <c r="L1547" s="1095"/>
      <c r="M1547" s="1095"/>
    </row>
    <row r="1548" spans="1:13" x14ac:dyDescent="0.25">
      <c r="A1548">
        <v>804308</v>
      </c>
      <c r="B1548" t="s">
        <v>8866</v>
      </c>
      <c r="C1548" t="s">
        <v>2598</v>
      </c>
      <c r="D1548" s="254">
        <v>3752.53</v>
      </c>
      <c r="E1548"/>
      <c r="F1548"/>
      <c r="G1548"/>
      <c r="H1548"/>
      <c r="I1548" s="489"/>
      <c r="J1548" s="1095"/>
      <c r="K1548" s="1095"/>
      <c r="L1548" s="1095"/>
      <c r="M1548" s="1095"/>
    </row>
    <row r="1549" spans="1:13" x14ac:dyDescent="0.25">
      <c r="A1549">
        <v>804309</v>
      </c>
      <c r="B1549" t="s">
        <v>8867</v>
      </c>
      <c r="C1549" t="s">
        <v>2598</v>
      </c>
      <c r="D1549" s="254">
        <v>4046.25</v>
      </c>
      <c r="E1549"/>
      <c r="F1549"/>
      <c r="G1549"/>
      <c r="H1549"/>
      <c r="I1549" s="489"/>
      <c r="J1549" s="1095"/>
      <c r="K1549" s="1095"/>
      <c r="L1549" s="1095"/>
      <c r="M1549" s="1095"/>
    </row>
    <row r="1550" spans="1:13" x14ac:dyDescent="0.25">
      <c r="A1550">
        <v>804310</v>
      </c>
      <c r="B1550" t="s">
        <v>8868</v>
      </c>
      <c r="C1550" t="s">
        <v>2598</v>
      </c>
      <c r="D1550" s="254">
        <v>4629.1899999999996</v>
      </c>
      <c r="E1550"/>
      <c r="F1550"/>
      <c r="G1550"/>
      <c r="H1550"/>
      <c r="I1550" s="489"/>
      <c r="J1550" s="1095"/>
      <c r="K1550" s="1095"/>
      <c r="L1550" s="1095"/>
      <c r="M1550" s="1095"/>
    </row>
    <row r="1551" spans="1:13" x14ac:dyDescent="0.25">
      <c r="A1551">
        <v>804311</v>
      </c>
      <c r="B1551" t="s">
        <v>8869</v>
      </c>
      <c r="C1551" t="s">
        <v>2598</v>
      </c>
      <c r="D1551" s="254">
        <v>4922.91</v>
      </c>
      <c r="E1551"/>
      <c r="F1551"/>
      <c r="G1551"/>
      <c r="H1551"/>
      <c r="I1551" s="489"/>
      <c r="J1551" s="1095"/>
      <c r="K1551" s="1095"/>
      <c r="L1551" s="1095"/>
      <c r="M1551" s="1095"/>
    </row>
    <row r="1552" spans="1:13" x14ac:dyDescent="0.25">
      <c r="A1552">
        <v>804312</v>
      </c>
      <c r="B1552" t="s">
        <v>8870</v>
      </c>
      <c r="C1552" t="s">
        <v>2598</v>
      </c>
      <c r="D1552" s="254">
        <v>5111.84</v>
      </c>
      <c r="E1552"/>
      <c r="F1552"/>
      <c r="G1552"/>
      <c r="H1552"/>
      <c r="I1552" s="489"/>
      <c r="J1552" s="1095"/>
      <c r="K1552" s="1095"/>
      <c r="L1552" s="1095"/>
      <c r="M1552" s="1095"/>
    </row>
    <row r="1553" spans="1:13" x14ac:dyDescent="0.25">
      <c r="A1553">
        <v>804313</v>
      </c>
      <c r="B1553" t="s">
        <v>8871</v>
      </c>
      <c r="C1553" t="s">
        <v>2598</v>
      </c>
      <c r="D1553" s="254">
        <v>5405.56</v>
      </c>
      <c r="E1553"/>
      <c r="F1553"/>
      <c r="G1553"/>
      <c r="H1553"/>
      <c r="I1553" s="489"/>
      <c r="J1553" s="1095"/>
      <c r="K1553" s="1095"/>
      <c r="L1553" s="1095"/>
      <c r="M1553" s="1095"/>
    </row>
    <row r="1554" spans="1:13" x14ac:dyDescent="0.25">
      <c r="A1554">
        <v>804314</v>
      </c>
      <c r="B1554" t="s">
        <v>8872</v>
      </c>
      <c r="C1554" t="s">
        <v>2598</v>
      </c>
      <c r="D1554" s="254">
        <v>5279.55</v>
      </c>
      <c r="E1554"/>
      <c r="F1554"/>
      <c r="G1554"/>
      <c r="H1554"/>
      <c r="I1554" s="489"/>
      <c r="J1554" s="1095"/>
      <c r="K1554" s="1095"/>
      <c r="L1554" s="1095"/>
      <c r="M1554" s="1095"/>
    </row>
    <row r="1555" spans="1:13" x14ac:dyDescent="0.25">
      <c r="A1555">
        <v>804315</v>
      </c>
      <c r="B1555" t="s">
        <v>8873</v>
      </c>
      <c r="C1555" t="s">
        <v>2598</v>
      </c>
      <c r="D1555" s="254">
        <v>5573.27</v>
      </c>
      <c r="E1555"/>
      <c r="F1555"/>
      <c r="G1555"/>
      <c r="H1555"/>
      <c r="I1555" s="489"/>
      <c r="J1555" s="1095"/>
      <c r="K1555" s="1095"/>
      <c r="L1555" s="1095"/>
      <c r="M1555" s="1095"/>
    </row>
    <row r="1556" spans="1:13" x14ac:dyDescent="0.25">
      <c r="A1556">
        <v>805446</v>
      </c>
      <c r="B1556" t="s">
        <v>8874</v>
      </c>
      <c r="C1556" t="s">
        <v>2640</v>
      </c>
      <c r="D1556" s="254">
        <v>41.41</v>
      </c>
      <c r="E1556"/>
      <c r="F1556"/>
      <c r="G1556"/>
      <c r="H1556"/>
      <c r="I1556" s="489"/>
      <c r="J1556" s="1095"/>
      <c r="K1556" s="1095"/>
      <c r="L1556" s="1095"/>
      <c r="M1556" s="1095"/>
    </row>
    <row r="1557" spans="1:13" x14ac:dyDescent="0.25">
      <c r="A1557">
        <v>805447</v>
      </c>
      <c r="B1557" t="s">
        <v>8875</v>
      </c>
      <c r="C1557" t="s">
        <v>2640</v>
      </c>
      <c r="D1557" s="254">
        <v>54.79</v>
      </c>
      <c r="E1557"/>
      <c r="F1557"/>
      <c r="G1557"/>
      <c r="H1557"/>
      <c r="I1557" s="489"/>
      <c r="J1557" s="1095"/>
      <c r="K1557" s="1095"/>
      <c r="L1557" s="1095"/>
      <c r="M1557" s="1095"/>
    </row>
    <row r="1558" spans="1:13" x14ac:dyDescent="0.25">
      <c r="A1558">
        <v>805448</v>
      </c>
      <c r="B1558" t="s">
        <v>8876</v>
      </c>
      <c r="C1558" t="s">
        <v>2640</v>
      </c>
      <c r="D1558" s="254">
        <v>49.65</v>
      </c>
      <c r="E1558"/>
      <c r="F1558"/>
      <c r="G1558"/>
      <c r="H1558"/>
      <c r="I1558" s="489"/>
      <c r="J1558" s="1095"/>
      <c r="K1558" s="1095"/>
      <c r="L1558" s="1095"/>
      <c r="M1558" s="1095"/>
    </row>
    <row r="1559" spans="1:13" x14ac:dyDescent="0.25">
      <c r="A1559">
        <v>805449</v>
      </c>
      <c r="B1559" t="s">
        <v>8877</v>
      </c>
      <c r="C1559" t="s">
        <v>2640</v>
      </c>
      <c r="D1559" s="254">
        <v>65.67</v>
      </c>
      <c r="E1559"/>
      <c r="F1559"/>
      <c r="G1559"/>
      <c r="H1559"/>
      <c r="I1559" s="489"/>
      <c r="J1559" s="1095"/>
      <c r="K1559" s="1095"/>
      <c r="L1559" s="1095"/>
      <c r="M1559" s="1095"/>
    </row>
    <row r="1560" spans="1:13" x14ac:dyDescent="0.25">
      <c r="A1560">
        <v>805450</v>
      </c>
      <c r="B1560" t="s">
        <v>8878</v>
      </c>
      <c r="C1560" t="s">
        <v>2640</v>
      </c>
      <c r="D1560" s="254">
        <v>57.63</v>
      </c>
      <c r="E1560"/>
      <c r="F1560"/>
      <c r="G1560"/>
      <c r="H1560"/>
      <c r="I1560" s="489"/>
      <c r="J1560" s="1095"/>
      <c r="K1560" s="1095"/>
      <c r="L1560" s="1095"/>
      <c r="M1560" s="1095"/>
    </row>
    <row r="1561" spans="1:13" x14ac:dyDescent="0.25">
      <c r="A1561">
        <v>805451</v>
      </c>
      <c r="B1561" t="s">
        <v>8879</v>
      </c>
      <c r="C1561" t="s">
        <v>2640</v>
      </c>
      <c r="D1561" s="254">
        <v>76.16</v>
      </c>
      <c r="E1561"/>
      <c r="F1561"/>
      <c r="G1561"/>
      <c r="H1561"/>
      <c r="I1561" s="489"/>
      <c r="J1561" s="1095"/>
      <c r="K1561" s="1095"/>
      <c r="L1561" s="1095"/>
      <c r="M1561" s="1095"/>
    </row>
    <row r="1562" spans="1:13" x14ac:dyDescent="0.25">
      <c r="A1562">
        <v>805452</v>
      </c>
      <c r="B1562" t="s">
        <v>8880</v>
      </c>
      <c r="C1562" t="s">
        <v>2640</v>
      </c>
      <c r="D1562" s="254">
        <v>67.349999999999994</v>
      </c>
      <c r="E1562"/>
      <c r="F1562"/>
      <c r="G1562"/>
      <c r="H1562"/>
      <c r="I1562" s="489"/>
      <c r="J1562" s="1095"/>
      <c r="K1562" s="1095"/>
      <c r="L1562" s="1095"/>
      <c r="M1562" s="1095"/>
    </row>
    <row r="1563" spans="1:13" x14ac:dyDescent="0.25">
      <c r="A1563">
        <v>805453</v>
      </c>
      <c r="B1563" t="s">
        <v>8881</v>
      </c>
      <c r="C1563" t="s">
        <v>2640</v>
      </c>
      <c r="D1563" s="254">
        <v>89.36</v>
      </c>
      <c r="E1563"/>
      <c r="F1563"/>
      <c r="G1563"/>
      <c r="H1563"/>
      <c r="I1563" s="489"/>
      <c r="J1563" s="1095"/>
      <c r="K1563" s="1095"/>
      <c r="L1563" s="1095"/>
      <c r="M1563" s="1095"/>
    </row>
    <row r="1564" spans="1:13" x14ac:dyDescent="0.25">
      <c r="A1564">
        <v>805434</v>
      </c>
      <c r="B1564" t="s">
        <v>8882</v>
      </c>
      <c r="C1564" t="s">
        <v>2640</v>
      </c>
      <c r="D1564" s="254">
        <v>14.24</v>
      </c>
      <c r="E1564"/>
      <c r="F1564"/>
      <c r="G1564"/>
      <c r="H1564"/>
      <c r="I1564" s="489"/>
      <c r="J1564" s="1095"/>
      <c r="K1564" s="1095"/>
      <c r="L1564" s="1095"/>
      <c r="M1564" s="1095"/>
    </row>
    <row r="1565" spans="1:13" x14ac:dyDescent="0.25">
      <c r="A1565">
        <v>805435</v>
      </c>
      <c r="B1565" t="s">
        <v>8883</v>
      </c>
      <c r="C1565" t="s">
        <v>2640</v>
      </c>
      <c r="D1565" s="254">
        <v>18.28</v>
      </c>
      <c r="E1565"/>
      <c r="F1565"/>
      <c r="G1565"/>
      <c r="H1565"/>
      <c r="I1565" s="489"/>
      <c r="J1565" s="1095"/>
      <c r="K1565" s="1095"/>
      <c r="L1565" s="1095"/>
      <c r="M1565" s="1095"/>
    </row>
    <row r="1566" spans="1:13" x14ac:dyDescent="0.25">
      <c r="A1566">
        <v>805436</v>
      </c>
      <c r="B1566" t="s">
        <v>8884</v>
      </c>
      <c r="C1566" t="s">
        <v>2640</v>
      </c>
      <c r="D1566" s="254">
        <v>16.47</v>
      </c>
      <c r="E1566"/>
      <c r="F1566"/>
      <c r="G1566"/>
      <c r="H1566"/>
      <c r="I1566" s="489"/>
      <c r="J1566" s="1095"/>
      <c r="K1566" s="1095"/>
      <c r="L1566" s="1095"/>
      <c r="M1566" s="1095"/>
    </row>
    <row r="1567" spans="1:13" x14ac:dyDescent="0.25">
      <c r="A1567">
        <v>805437</v>
      </c>
      <c r="B1567" t="s">
        <v>8885</v>
      </c>
      <c r="C1567" t="s">
        <v>2640</v>
      </c>
      <c r="D1567" s="254">
        <v>21.76</v>
      </c>
      <c r="E1567"/>
      <c r="F1567"/>
      <c r="G1567"/>
      <c r="H1567"/>
      <c r="I1567" s="489"/>
      <c r="J1567" s="1095"/>
      <c r="K1567" s="1095"/>
      <c r="L1567" s="1095"/>
      <c r="M1567" s="1095"/>
    </row>
    <row r="1568" spans="1:13" x14ac:dyDescent="0.25">
      <c r="A1568">
        <v>805438</v>
      </c>
      <c r="B1568" t="s">
        <v>8886</v>
      </c>
      <c r="C1568" t="s">
        <v>2640</v>
      </c>
      <c r="D1568" s="254">
        <v>22.48</v>
      </c>
      <c r="E1568"/>
      <c r="F1568"/>
      <c r="G1568"/>
      <c r="H1568"/>
      <c r="I1568" s="489"/>
      <c r="J1568" s="1095"/>
      <c r="K1568" s="1095"/>
      <c r="L1568" s="1095"/>
      <c r="M1568" s="1095"/>
    </row>
    <row r="1569" spans="1:13" x14ac:dyDescent="0.25">
      <c r="A1569">
        <v>805439</v>
      </c>
      <c r="B1569" t="s">
        <v>8887</v>
      </c>
      <c r="C1569" t="s">
        <v>2640</v>
      </c>
      <c r="D1569" s="254">
        <v>29.16</v>
      </c>
      <c r="E1569"/>
      <c r="F1569"/>
      <c r="G1569"/>
      <c r="H1569"/>
      <c r="I1569" s="489"/>
      <c r="J1569" s="1095"/>
      <c r="K1569" s="1095"/>
      <c r="L1569" s="1095"/>
      <c r="M1569" s="1095"/>
    </row>
    <row r="1570" spans="1:13" x14ac:dyDescent="0.25">
      <c r="A1570">
        <v>805440</v>
      </c>
      <c r="B1570" t="s">
        <v>8888</v>
      </c>
      <c r="C1570" t="s">
        <v>2640</v>
      </c>
      <c r="D1570" s="254">
        <v>24.95</v>
      </c>
      <c r="E1570"/>
      <c r="F1570"/>
      <c r="G1570"/>
      <c r="H1570"/>
      <c r="I1570" s="489"/>
      <c r="J1570" s="1095"/>
      <c r="K1570" s="1095"/>
      <c r="L1570" s="1095"/>
      <c r="M1570" s="1095"/>
    </row>
    <row r="1571" spans="1:13" x14ac:dyDescent="0.25">
      <c r="A1571">
        <v>805441</v>
      </c>
      <c r="B1571" t="s">
        <v>8889</v>
      </c>
      <c r="C1571" t="s">
        <v>2640</v>
      </c>
      <c r="D1571" s="254">
        <v>33.03</v>
      </c>
      <c r="E1571"/>
      <c r="F1571"/>
      <c r="G1571"/>
      <c r="H1571"/>
      <c r="I1571" s="489"/>
      <c r="J1571" s="1095"/>
      <c r="K1571" s="1095"/>
      <c r="L1571" s="1095"/>
      <c r="M1571" s="1095"/>
    </row>
    <row r="1572" spans="1:13" x14ac:dyDescent="0.25">
      <c r="A1572">
        <v>805442</v>
      </c>
      <c r="B1572" t="s">
        <v>8890</v>
      </c>
      <c r="C1572" t="s">
        <v>2640</v>
      </c>
      <c r="D1572" s="254">
        <v>30.46</v>
      </c>
      <c r="E1572"/>
      <c r="F1572"/>
      <c r="G1572"/>
      <c r="H1572"/>
      <c r="I1572" s="489"/>
      <c r="J1572" s="1095"/>
      <c r="K1572" s="1095"/>
      <c r="L1572" s="1095"/>
      <c r="M1572" s="1095"/>
    </row>
    <row r="1573" spans="1:13" x14ac:dyDescent="0.25">
      <c r="A1573">
        <v>805443</v>
      </c>
      <c r="B1573" t="s">
        <v>8891</v>
      </c>
      <c r="C1573" t="s">
        <v>2640</v>
      </c>
      <c r="D1573" s="254">
        <v>39.659999999999997</v>
      </c>
      <c r="E1573"/>
      <c r="F1573"/>
      <c r="G1573"/>
      <c r="H1573"/>
      <c r="I1573" s="489"/>
      <c r="J1573" s="1095"/>
      <c r="K1573" s="1095"/>
      <c r="L1573" s="1095"/>
      <c r="M1573" s="1095"/>
    </row>
    <row r="1574" spans="1:13" x14ac:dyDescent="0.25">
      <c r="A1574">
        <v>805444</v>
      </c>
      <c r="B1574" t="s">
        <v>8892</v>
      </c>
      <c r="C1574" t="s">
        <v>2640</v>
      </c>
      <c r="D1574" s="254">
        <v>33.67</v>
      </c>
      <c r="E1574"/>
      <c r="F1574"/>
      <c r="G1574"/>
      <c r="H1574"/>
      <c r="I1574" s="489"/>
      <c r="J1574" s="1095"/>
      <c r="K1574" s="1095"/>
      <c r="L1574" s="1095"/>
      <c r="M1574" s="1095"/>
    </row>
    <row r="1575" spans="1:13" x14ac:dyDescent="0.25">
      <c r="A1575">
        <v>805445</v>
      </c>
      <c r="B1575" t="s">
        <v>8893</v>
      </c>
      <c r="C1575" t="s">
        <v>2640</v>
      </c>
      <c r="D1575" s="254">
        <v>44.68</v>
      </c>
      <c r="E1575"/>
      <c r="F1575"/>
      <c r="G1575"/>
      <c r="H1575"/>
      <c r="I1575" s="489"/>
      <c r="J1575" s="1095"/>
      <c r="K1575" s="1095"/>
      <c r="L1575" s="1095"/>
      <c r="M1575" s="1095"/>
    </row>
    <row r="1576" spans="1:13" x14ac:dyDescent="0.25">
      <c r="A1576">
        <v>805454</v>
      </c>
      <c r="B1576" t="s">
        <v>8894</v>
      </c>
      <c r="C1576" t="s">
        <v>2640</v>
      </c>
      <c r="D1576" s="254">
        <v>74.59</v>
      </c>
      <c r="E1576"/>
      <c r="F1576"/>
      <c r="G1576"/>
      <c r="H1576"/>
      <c r="I1576" s="489"/>
      <c r="J1576" s="1095"/>
      <c r="K1576" s="1095"/>
      <c r="L1576" s="1095"/>
      <c r="M1576" s="1095"/>
    </row>
    <row r="1577" spans="1:13" x14ac:dyDescent="0.25">
      <c r="A1577">
        <v>805455</v>
      </c>
      <c r="B1577" t="s">
        <v>8895</v>
      </c>
      <c r="C1577" t="s">
        <v>2640</v>
      </c>
      <c r="D1577" s="254">
        <v>98.7</v>
      </c>
      <c r="E1577"/>
      <c r="F1577"/>
      <c r="G1577"/>
      <c r="H1577"/>
      <c r="I1577" s="489"/>
      <c r="J1577" s="1095"/>
      <c r="K1577" s="1095"/>
      <c r="L1577" s="1095"/>
      <c r="M1577" s="1095"/>
    </row>
    <row r="1578" spans="1:13" x14ac:dyDescent="0.25">
      <c r="A1578">
        <v>805456</v>
      </c>
      <c r="B1578" t="s">
        <v>8896</v>
      </c>
      <c r="C1578" t="s">
        <v>2640</v>
      </c>
      <c r="D1578" s="254">
        <v>84.56</v>
      </c>
      <c r="E1578"/>
      <c r="F1578"/>
      <c r="G1578"/>
      <c r="H1578"/>
      <c r="I1578" s="489"/>
      <c r="J1578" s="1095"/>
      <c r="K1578" s="1095"/>
      <c r="L1578" s="1095"/>
      <c r="M1578" s="1095"/>
    </row>
    <row r="1579" spans="1:13" x14ac:dyDescent="0.25">
      <c r="A1579">
        <v>805457</v>
      </c>
      <c r="B1579" t="s">
        <v>8897</v>
      </c>
      <c r="C1579" t="s">
        <v>2640</v>
      </c>
      <c r="D1579" s="254">
        <v>112.28</v>
      </c>
      <c r="E1579"/>
      <c r="F1579"/>
      <c r="G1579"/>
      <c r="H1579"/>
      <c r="I1579" s="489"/>
      <c r="J1579" s="1095"/>
      <c r="K1579" s="1095"/>
      <c r="L1579" s="1095"/>
      <c r="M1579" s="1095"/>
    </row>
    <row r="1580" spans="1:13" x14ac:dyDescent="0.25">
      <c r="A1580">
        <v>805458</v>
      </c>
      <c r="B1580" t="s">
        <v>8898</v>
      </c>
      <c r="C1580" t="s">
        <v>2640</v>
      </c>
      <c r="D1580" s="254">
        <v>101.27</v>
      </c>
      <c r="E1580"/>
      <c r="F1580"/>
      <c r="G1580"/>
      <c r="H1580"/>
      <c r="I1580" s="489"/>
      <c r="J1580" s="1095"/>
      <c r="K1580" s="1095"/>
      <c r="L1580" s="1095"/>
      <c r="M1580" s="1095"/>
    </row>
    <row r="1581" spans="1:13" x14ac:dyDescent="0.25">
      <c r="A1581">
        <v>805459</v>
      </c>
      <c r="B1581" t="s">
        <v>8899</v>
      </c>
      <c r="C1581" t="s">
        <v>2640</v>
      </c>
      <c r="D1581" s="254">
        <v>134.43</v>
      </c>
      <c r="E1581"/>
      <c r="F1581"/>
      <c r="G1581"/>
      <c r="H1581"/>
      <c r="I1581" s="489"/>
      <c r="J1581" s="1095"/>
      <c r="K1581" s="1095"/>
      <c r="L1581" s="1095"/>
      <c r="M1581" s="1095"/>
    </row>
    <row r="1582" spans="1:13" x14ac:dyDescent="0.25">
      <c r="A1582">
        <v>909620</v>
      </c>
      <c r="B1582" t="s">
        <v>6390</v>
      </c>
      <c r="C1582" t="s">
        <v>2595</v>
      </c>
      <c r="D1582" s="254">
        <v>106.01</v>
      </c>
      <c r="E1582"/>
      <c r="F1582"/>
      <c r="G1582"/>
      <c r="H1582"/>
      <c r="I1582" s="489"/>
      <c r="J1582" s="1095"/>
      <c r="K1582" s="1095"/>
      <c r="L1582" s="1095"/>
      <c r="M1582" s="1095"/>
    </row>
    <row r="1583" spans="1:13" x14ac:dyDescent="0.25">
      <c r="A1583">
        <v>909621</v>
      </c>
      <c r="B1583" t="s">
        <v>8900</v>
      </c>
      <c r="C1583" t="s">
        <v>2595</v>
      </c>
      <c r="D1583" s="254">
        <v>104.16</v>
      </c>
      <c r="E1583"/>
      <c r="F1583"/>
      <c r="G1583"/>
      <c r="H1583"/>
      <c r="I1583" s="489"/>
      <c r="J1583" s="1095"/>
      <c r="K1583" s="1095"/>
      <c r="L1583" s="1095"/>
      <c r="M1583" s="1095"/>
    </row>
    <row r="1584" spans="1:13" x14ac:dyDescent="0.25">
      <c r="A1584">
        <v>903860</v>
      </c>
      <c r="B1584" t="s">
        <v>6759</v>
      </c>
      <c r="C1584" t="s">
        <v>2595</v>
      </c>
      <c r="D1584" s="254">
        <v>2.1800000000000002</v>
      </c>
      <c r="E1584"/>
      <c r="F1584"/>
      <c r="G1584"/>
      <c r="H1584"/>
      <c r="I1584" s="489"/>
      <c r="J1584" s="1095"/>
      <c r="K1584" s="1095"/>
      <c r="L1584" s="1095"/>
      <c r="M1584" s="1095"/>
    </row>
    <row r="1585" spans="1:13" x14ac:dyDescent="0.25">
      <c r="A1585">
        <v>903818</v>
      </c>
      <c r="B1585" t="s">
        <v>6760</v>
      </c>
      <c r="C1585" t="s">
        <v>2595</v>
      </c>
      <c r="D1585" s="254">
        <v>12.83</v>
      </c>
      <c r="E1585"/>
      <c r="F1585"/>
      <c r="G1585"/>
      <c r="H1585"/>
      <c r="I1585" s="489"/>
      <c r="J1585" s="1095"/>
      <c r="K1585" s="1095"/>
      <c r="L1585" s="1095"/>
      <c r="M1585" s="1095"/>
    </row>
    <row r="1586" spans="1:13" x14ac:dyDescent="0.25">
      <c r="A1586">
        <v>903802</v>
      </c>
      <c r="B1586" t="s">
        <v>13770</v>
      </c>
      <c r="C1586" t="s">
        <v>2640</v>
      </c>
      <c r="D1586" s="254">
        <v>13916.43</v>
      </c>
      <c r="E1586"/>
      <c r="F1586"/>
      <c r="G1586"/>
      <c r="H1586"/>
      <c r="I1586" s="489"/>
      <c r="J1586" s="1095"/>
      <c r="K1586" s="1095"/>
      <c r="L1586" s="1095"/>
      <c r="M1586" s="1095"/>
    </row>
    <row r="1587" spans="1:13" x14ac:dyDescent="0.25">
      <c r="A1587">
        <v>919113</v>
      </c>
      <c r="B1587" t="s">
        <v>8901</v>
      </c>
      <c r="C1587" t="s">
        <v>2598</v>
      </c>
      <c r="D1587" s="254">
        <v>64.739999999999995</v>
      </c>
      <c r="E1587"/>
      <c r="F1587"/>
      <c r="G1587"/>
      <c r="H1587"/>
      <c r="I1587" s="489"/>
      <c r="J1587" s="1095"/>
      <c r="K1587" s="1095"/>
      <c r="L1587" s="1095"/>
      <c r="M1587" s="1095"/>
    </row>
    <row r="1588" spans="1:13" x14ac:dyDescent="0.25">
      <c r="A1588">
        <v>903788</v>
      </c>
      <c r="B1588" t="s">
        <v>8902</v>
      </c>
      <c r="C1588" t="s">
        <v>2595</v>
      </c>
      <c r="D1588" s="254">
        <v>4.0999999999999996</v>
      </c>
      <c r="E1588"/>
      <c r="F1588"/>
      <c r="G1588"/>
      <c r="H1588"/>
      <c r="I1588" s="489"/>
      <c r="J1588" s="1095"/>
      <c r="K1588" s="1095"/>
      <c r="L1588" s="1095"/>
      <c r="M1588" s="1095"/>
    </row>
    <row r="1589" spans="1:13" x14ac:dyDescent="0.25">
      <c r="A1589">
        <v>919247</v>
      </c>
      <c r="B1589" t="s">
        <v>13771</v>
      </c>
      <c r="C1589" t="s">
        <v>2595</v>
      </c>
      <c r="D1589" s="254">
        <v>36.119999999999997</v>
      </c>
      <c r="E1589"/>
      <c r="F1589"/>
      <c r="G1589"/>
      <c r="H1589"/>
      <c r="I1589" s="489"/>
      <c r="J1589" s="1095"/>
      <c r="K1589" s="1095"/>
      <c r="L1589" s="1095"/>
      <c r="M1589" s="1095"/>
    </row>
    <row r="1590" spans="1:13" x14ac:dyDescent="0.25">
      <c r="A1590">
        <v>919016</v>
      </c>
      <c r="B1590" t="s">
        <v>8903</v>
      </c>
      <c r="C1590" t="s">
        <v>2640</v>
      </c>
      <c r="D1590" s="254">
        <v>7907.09</v>
      </c>
      <c r="E1590"/>
      <c r="F1590"/>
      <c r="G1590"/>
      <c r="H1590"/>
      <c r="I1590" s="489"/>
      <c r="J1590" s="1095"/>
      <c r="K1590" s="1095"/>
      <c r="L1590" s="1095"/>
      <c r="M1590" s="1095"/>
    </row>
    <row r="1591" spans="1:13" x14ac:dyDescent="0.25">
      <c r="A1591">
        <v>919079</v>
      </c>
      <c r="B1591" t="s">
        <v>8904</v>
      </c>
      <c r="C1591" t="s">
        <v>2595</v>
      </c>
      <c r="D1591" s="254">
        <v>108.13</v>
      </c>
      <c r="E1591"/>
      <c r="F1591"/>
      <c r="G1591"/>
      <c r="H1591"/>
      <c r="I1591" s="489"/>
      <c r="J1591" s="1095"/>
      <c r="K1591" s="1095"/>
      <c r="L1591" s="1095"/>
      <c r="M1591" s="1095"/>
    </row>
    <row r="1592" spans="1:13" x14ac:dyDescent="0.25">
      <c r="A1592">
        <v>919250</v>
      </c>
      <c r="B1592" t="s">
        <v>8905</v>
      </c>
      <c r="C1592" t="s">
        <v>2640</v>
      </c>
      <c r="D1592" s="254">
        <v>512.87</v>
      </c>
      <c r="E1592"/>
      <c r="F1592"/>
      <c r="G1592"/>
      <c r="H1592"/>
      <c r="I1592" s="489"/>
      <c r="J1592" s="1095"/>
      <c r="K1592" s="1095"/>
      <c r="L1592" s="1095"/>
      <c r="M1592" s="1095"/>
    </row>
    <row r="1593" spans="1:13" x14ac:dyDescent="0.25">
      <c r="A1593">
        <v>903807</v>
      </c>
      <c r="B1593" t="s">
        <v>13772</v>
      </c>
      <c r="C1593" t="s">
        <v>2640</v>
      </c>
      <c r="D1593" s="254">
        <v>104466.8</v>
      </c>
      <c r="E1593"/>
      <c r="F1593"/>
      <c r="G1593"/>
      <c r="H1593"/>
      <c r="I1593" s="489"/>
      <c r="J1593" s="1095"/>
      <c r="K1593" s="1095"/>
      <c r="L1593" s="1095"/>
      <c r="M1593" s="1095"/>
    </row>
    <row r="1594" spans="1:13" x14ac:dyDescent="0.25">
      <c r="A1594">
        <v>903806</v>
      </c>
      <c r="B1594" t="s">
        <v>13773</v>
      </c>
      <c r="C1594" t="s">
        <v>2640</v>
      </c>
      <c r="D1594" s="254">
        <v>171963.54</v>
      </c>
      <c r="E1594"/>
      <c r="F1594"/>
      <c r="G1594"/>
      <c r="H1594"/>
      <c r="I1594" s="489"/>
      <c r="J1594" s="1095"/>
      <c r="K1594" s="1095"/>
      <c r="L1594" s="1095"/>
      <c r="M1594" s="1095"/>
    </row>
    <row r="1595" spans="1:13" x14ac:dyDescent="0.25">
      <c r="A1595">
        <v>903804</v>
      </c>
      <c r="B1595" t="s">
        <v>13774</v>
      </c>
      <c r="C1595" t="s">
        <v>2640</v>
      </c>
      <c r="D1595" s="254">
        <v>62371.69</v>
      </c>
      <c r="E1595"/>
      <c r="F1595"/>
      <c r="G1595"/>
      <c r="H1595"/>
      <c r="I1595" s="489"/>
      <c r="J1595" s="1095"/>
      <c r="K1595" s="1095"/>
      <c r="L1595" s="1095"/>
      <c r="M1595" s="1095"/>
    </row>
    <row r="1596" spans="1:13" x14ac:dyDescent="0.25">
      <c r="A1596">
        <v>903805</v>
      </c>
      <c r="B1596" t="s">
        <v>13775</v>
      </c>
      <c r="C1596" t="s">
        <v>2640</v>
      </c>
      <c r="D1596" s="254">
        <v>73490.94</v>
      </c>
      <c r="E1596"/>
      <c r="F1596"/>
      <c r="G1596"/>
      <c r="H1596"/>
      <c r="I1596" s="489"/>
      <c r="J1596" s="1095"/>
      <c r="K1596" s="1095"/>
      <c r="L1596" s="1095"/>
      <c r="M1596" s="1095"/>
    </row>
    <row r="1597" spans="1:13" x14ac:dyDescent="0.25">
      <c r="A1597">
        <v>903810</v>
      </c>
      <c r="B1597" t="s">
        <v>8906</v>
      </c>
      <c r="C1597" t="s">
        <v>2640</v>
      </c>
      <c r="D1597" s="254">
        <v>181977.82</v>
      </c>
      <c r="E1597"/>
      <c r="F1597"/>
      <c r="G1597"/>
      <c r="H1597"/>
      <c r="I1597" s="489"/>
      <c r="J1597" s="1095"/>
      <c r="K1597" s="1095"/>
      <c r="L1597" s="1095"/>
      <c r="M1597" s="1095"/>
    </row>
    <row r="1598" spans="1:13" x14ac:dyDescent="0.25">
      <c r="A1598">
        <v>903809</v>
      </c>
      <c r="B1598" t="s">
        <v>13776</v>
      </c>
      <c r="C1598" t="s">
        <v>2640</v>
      </c>
      <c r="D1598" s="254">
        <v>117016.7</v>
      </c>
      <c r="E1598"/>
      <c r="F1598"/>
      <c r="G1598"/>
      <c r="H1598"/>
      <c r="I1598" s="489"/>
      <c r="J1598" s="1095"/>
      <c r="K1598" s="1095"/>
      <c r="L1598" s="1095"/>
      <c r="M1598" s="1095"/>
    </row>
    <row r="1599" spans="1:13" x14ac:dyDescent="0.25">
      <c r="A1599">
        <v>903808</v>
      </c>
      <c r="B1599" t="s">
        <v>8907</v>
      </c>
      <c r="C1599" t="s">
        <v>2640</v>
      </c>
      <c r="D1599" s="254">
        <v>104640.41</v>
      </c>
      <c r="E1599"/>
      <c r="F1599"/>
      <c r="G1599"/>
      <c r="H1599"/>
      <c r="I1599" s="489"/>
      <c r="J1599" s="1095"/>
      <c r="K1599" s="1095"/>
      <c r="L1599" s="1095"/>
      <c r="M1599" s="1095"/>
    </row>
    <row r="1600" spans="1:13" x14ac:dyDescent="0.25">
      <c r="A1600">
        <v>903845</v>
      </c>
      <c r="B1600" t="s">
        <v>8908</v>
      </c>
      <c r="C1600" t="s">
        <v>2596</v>
      </c>
      <c r="D1600" s="254">
        <v>129.53</v>
      </c>
      <c r="E1600"/>
      <c r="F1600"/>
      <c r="G1600"/>
      <c r="H1600"/>
      <c r="I1600" s="489"/>
      <c r="J1600" s="1095"/>
      <c r="K1600" s="1095"/>
      <c r="L1600" s="1095"/>
      <c r="M1600" s="1095"/>
    </row>
    <row r="1601" spans="1:13" x14ac:dyDescent="0.25">
      <c r="A1601">
        <v>903789</v>
      </c>
      <c r="B1601" t="s">
        <v>13777</v>
      </c>
      <c r="C1601" t="s">
        <v>2595</v>
      </c>
      <c r="D1601" s="254">
        <v>30.2</v>
      </c>
      <c r="E1601"/>
      <c r="F1601"/>
      <c r="G1601"/>
      <c r="H1601"/>
      <c r="I1601" s="489"/>
      <c r="J1601" s="1095"/>
      <c r="K1601" s="1095"/>
      <c r="L1601" s="1095"/>
      <c r="M1601" s="1095"/>
    </row>
    <row r="1602" spans="1:13" x14ac:dyDescent="0.25">
      <c r="A1602">
        <v>919009</v>
      </c>
      <c r="B1602" t="s">
        <v>8909</v>
      </c>
      <c r="C1602" t="s">
        <v>2640</v>
      </c>
      <c r="D1602" s="254">
        <v>65573.77</v>
      </c>
      <c r="E1602"/>
      <c r="F1602"/>
      <c r="G1602"/>
      <c r="H1602"/>
      <c r="I1602" s="489"/>
      <c r="J1602" s="1095"/>
      <c r="K1602" s="1095"/>
      <c r="L1602" s="1095"/>
      <c r="M1602" s="1095"/>
    </row>
    <row r="1603" spans="1:13" x14ac:dyDescent="0.25">
      <c r="A1603">
        <v>919007</v>
      </c>
      <c r="B1603" t="s">
        <v>8910</v>
      </c>
      <c r="C1603" t="s">
        <v>2640</v>
      </c>
      <c r="D1603" s="254">
        <v>116661.61</v>
      </c>
      <c r="E1603"/>
      <c r="F1603"/>
      <c r="G1603"/>
      <c r="H1603"/>
      <c r="I1603" s="489"/>
      <c r="J1603" s="1095"/>
      <c r="K1603" s="1095"/>
      <c r="L1603" s="1095"/>
      <c r="M1603" s="1095"/>
    </row>
    <row r="1604" spans="1:13" x14ac:dyDescent="0.25">
      <c r="A1604">
        <v>919011</v>
      </c>
      <c r="B1604" t="s">
        <v>8911</v>
      </c>
      <c r="C1604" t="s">
        <v>2640</v>
      </c>
      <c r="D1604" s="254">
        <v>32420.85</v>
      </c>
      <c r="E1604"/>
      <c r="F1604"/>
      <c r="G1604"/>
      <c r="H1604"/>
      <c r="I1604" s="489"/>
      <c r="J1604" s="1095"/>
      <c r="K1604" s="1095"/>
      <c r="L1604" s="1095"/>
      <c r="M1604" s="1095"/>
    </row>
    <row r="1605" spans="1:13" x14ac:dyDescent="0.25">
      <c r="A1605">
        <v>919246</v>
      </c>
      <c r="B1605" t="s">
        <v>8912</v>
      </c>
      <c r="C1605" t="s">
        <v>2640</v>
      </c>
      <c r="D1605" s="254">
        <v>45229.13</v>
      </c>
      <c r="E1605"/>
      <c r="F1605"/>
      <c r="G1605"/>
      <c r="H1605"/>
      <c r="I1605" s="489"/>
      <c r="J1605" s="1095"/>
      <c r="K1605" s="1095"/>
      <c r="L1605" s="1095"/>
      <c r="M1605" s="1095"/>
    </row>
    <row r="1606" spans="1:13" x14ac:dyDescent="0.25">
      <c r="A1606">
        <v>919013</v>
      </c>
      <c r="B1606" t="s">
        <v>8913</v>
      </c>
      <c r="C1606" t="s">
        <v>2640</v>
      </c>
      <c r="D1606" s="254">
        <v>126069.55</v>
      </c>
      <c r="E1606"/>
      <c r="F1606"/>
      <c r="G1606"/>
      <c r="H1606"/>
      <c r="I1606" s="489"/>
      <c r="J1606" s="1095"/>
      <c r="K1606" s="1095"/>
      <c r="L1606" s="1095"/>
      <c r="M1606" s="1095"/>
    </row>
    <row r="1607" spans="1:13" x14ac:dyDescent="0.25">
      <c r="A1607">
        <v>919008</v>
      </c>
      <c r="B1607" t="s">
        <v>8914</v>
      </c>
      <c r="C1607" t="s">
        <v>2640</v>
      </c>
      <c r="D1607" s="254">
        <v>90422.69</v>
      </c>
      <c r="E1607"/>
      <c r="F1607"/>
      <c r="G1607"/>
      <c r="H1607"/>
      <c r="I1607" s="489"/>
      <c r="J1607" s="1095"/>
      <c r="K1607" s="1095"/>
      <c r="L1607" s="1095"/>
      <c r="M1607" s="1095"/>
    </row>
    <row r="1608" spans="1:13" x14ac:dyDescent="0.25">
      <c r="A1608">
        <v>919012</v>
      </c>
      <c r="B1608" t="s">
        <v>8915</v>
      </c>
      <c r="C1608" t="s">
        <v>2640</v>
      </c>
      <c r="D1608" s="254">
        <v>57516</v>
      </c>
      <c r="E1608"/>
      <c r="F1608"/>
      <c r="G1608"/>
      <c r="H1608"/>
      <c r="I1608" s="489"/>
      <c r="J1608" s="1095"/>
      <c r="K1608" s="1095"/>
      <c r="L1608" s="1095"/>
      <c r="M1608" s="1095"/>
    </row>
    <row r="1609" spans="1:13" x14ac:dyDescent="0.25">
      <c r="A1609">
        <v>903848</v>
      </c>
      <c r="B1609" t="s">
        <v>13778</v>
      </c>
      <c r="C1609" t="s">
        <v>2598</v>
      </c>
      <c r="D1609" s="254">
        <v>149.41</v>
      </c>
      <c r="E1609"/>
      <c r="F1609"/>
      <c r="G1609"/>
      <c r="H1609"/>
      <c r="I1609" s="489"/>
      <c r="J1609" s="1095"/>
      <c r="K1609" s="1095"/>
      <c r="L1609" s="1095"/>
      <c r="M1609" s="1095"/>
    </row>
    <row r="1610" spans="1:13" x14ac:dyDescent="0.25">
      <c r="A1610">
        <v>919002</v>
      </c>
      <c r="B1610" t="s">
        <v>13779</v>
      </c>
      <c r="C1610" t="s">
        <v>2640</v>
      </c>
      <c r="D1610" s="254">
        <v>37158.31</v>
      </c>
      <c r="E1610"/>
      <c r="F1610"/>
      <c r="G1610"/>
      <c r="H1610"/>
      <c r="I1610" s="489"/>
      <c r="J1610" s="1095"/>
      <c r="K1610" s="1095"/>
      <c r="L1610" s="1095"/>
      <c r="M1610" s="1095"/>
    </row>
    <row r="1611" spans="1:13" x14ac:dyDescent="0.25">
      <c r="A1611">
        <v>919210</v>
      </c>
      <c r="B1611" t="s">
        <v>8916</v>
      </c>
      <c r="C1611" t="s">
        <v>2640</v>
      </c>
      <c r="D1611" s="254">
        <v>19360.52</v>
      </c>
      <c r="E1611"/>
      <c r="F1611"/>
      <c r="G1611"/>
      <c r="H1611"/>
      <c r="I1611" s="489"/>
      <c r="J1611" s="1095"/>
      <c r="K1611" s="1095"/>
      <c r="L1611" s="1095"/>
      <c r="M1611" s="1095"/>
    </row>
    <row r="1612" spans="1:13" x14ac:dyDescent="0.25">
      <c r="A1612">
        <v>909612</v>
      </c>
      <c r="B1612" t="s">
        <v>13780</v>
      </c>
      <c r="C1612" t="s">
        <v>2640</v>
      </c>
      <c r="D1612" s="254">
        <v>12992.53</v>
      </c>
      <c r="E1612"/>
      <c r="F1612"/>
      <c r="G1612"/>
      <c r="H1612"/>
      <c r="I1612" s="489"/>
      <c r="J1612" s="1095"/>
      <c r="K1612" s="1095"/>
      <c r="L1612" s="1095"/>
      <c r="M1612" s="1095"/>
    </row>
    <row r="1613" spans="1:13" x14ac:dyDescent="0.25">
      <c r="A1613">
        <v>909613</v>
      </c>
      <c r="B1613" t="s">
        <v>13781</v>
      </c>
      <c r="C1613" t="s">
        <v>2640</v>
      </c>
      <c r="D1613" s="254">
        <v>21386.85</v>
      </c>
      <c r="E1613"/>
      <c r="F1613"/>
      <c r="G1613"/>
      <c r="H1613"/>
      <c r="I1613" s="489"/>
      <c r="J1613" s="1095"/>
      <c r="K1613" s="1095"/>
      <c r="L1613" s="1095"/>
      <c r="M1613" s="1095"/>
    </row>
    <row r="1614" spans="1:13" x14ac:dyDescent="0.25">
      <c r="A1614">
        <v>909614</v>
      </c>
      <c r="B1614" t="s">
        <v>8917</v>
      </c>
      <c r="C1614" t="s">
        <v>2640</v>
      </c>
      <c r="D1614" s="254">
        <v>47712.55</v>
      </c>
      <c r="E1614"/>
      <c r="F1614"/>
      <c r="G1614"/>
      <c r="H1614"/>
      <c r="I1614" s="489"/>
      <c r="J1614" s="1095"/>
      <c r="K1614" s="1095"/>
      <c r="L1614" s="1095"/>
      <c r="M1614" s="1095"/>
    </row>
    <row r="1615" spans="1:13" x14ac:dyDescent="0.25">
      <c r="A1615">
        <v>909616</v>
      </c>
      <c r="B1615" t="s">
        <v>8918</v>
      </c>
      <c r="C1615" t="s">
        <v>2640</v>
      </c>
      <c r="D1615" s="254">
        <v>37471.65</v>
      </c>
      <c r="E1615"/>
      <c r="F1615"/>
      <c r="G1615"/>
      <c r="H1615"/>
      <c r="I1615" s="489"/>
      <c r="J1615" s="1095"/>
      <c r="K1615" s="1095"/>
      <c r="L1615" s="1095"/>
      <c r="M1615" s="1095"/>
    </row>
    <row r="1616" spans="1:13" x14ac:dyDescent="0.25">
      <c r="A1616">
        <v>909617</v>
      </c>
      <c r="B1616" t="s">
        <v>8919</v>
      </c>
      <c r="C1616" t="s">
        <v>2640</v>
      </c>
      <c r="D1616" s="254">
        <v>22092.47</v>
      </c>
      <c r="E1616"/>
      <c r="F1616"/>
      <c r="G1616"/>
      <c r="H1616"/>
      <c r="I1616" s="489"/>
      <c r="J1616" s="1095"/>
      <c r="K1616" s="1095"/>
      <c r="L1616" s="1095"/>
      <c r="M1616" s="1095"/>
    </row>
    <row r="1617" spans="1:13" x14ac:dyDescent="0.25">
      <c r="A1617">
        <v>909615</v>
      </c>
      <c r="B1617" t="s">
        <v>8920</v>
      </c>
      <c r="C1617" t="s">
        <v>2640</v>
      </c>
      <c r="D1617" s="254">
        <v>16891.689999999999</v>
      </c>
      <c r="E1617"/>
      <c r="F1617"/>
      <c r="G1617"/>
      <c r="H1617"/>
      <c r="I1617" s="489"/>
      <c r="J1617" s="1095"/>
      <c r="K1617" s="1095"/>
      <c r="L1617" s="1095"/>
      <c r="M1617" s="1095"/>
    </row>
    <row r="1618" spans="1:13" x14ac:dyDescent="0.25">
      <c r="A1618">
        <v>919101</v>
      </c>
      <c r="B1618" t="s">
        <v>8921</v>
      </c>
      <c r="C1618" t="s">
        <v>2640</v>
      </c>
      <c r="D1618" s="254">
        <v>1853.06</v>
      </c>
      <c r="E1618"/>
      <c r="F1618"/>
      <c r="G1618"/>
      <c r="H1618"/>
      <c r="I1618" s="489"/>
      <c r="J1618" s="1095"/>
      <c r="K1618" s="1095"/>
      <c r="L1618" s="1095"/>
      <c r="M1618" s="1095"/>
    </row>
    <row r="1619" spans="1:13" x14ac:dyDescent="0.25">
      <c r="A1619">
        <v>1100657</v>
      </c>
      <c r="B1619" t="s">
        <v>8922</v>
      </c>
      <c r="C1619" t="s">
        <v>2596</v>
      </c>
      <c r="D1619" s="254">
        <v>3.27</v>
      </c>
      <c r="E1619"/>
      <c r="F1619"/>
      <c r="G1619"/>
      <c r="H1619"/>
      <c r="I1619" s="489"/>
      <c r="J1619" s="1095"/>
      <c r="K1619" s="1095"/>
      <c r="L1619" s="1095"/>
      <c r="M1619" s="1095"/>
    </row>
    <row r="1620" spans="1:13" x14ac:dyDescent="0.25">
      <c r="A1620">
        <v>1108055</v>
      </c>
      <c r="B1620" t="s">
        <v>8923</v>
      </c>
      <c r="C1620" t="s">
        <v>2596</v>
      </c>
      <c r="D1620" s="254">
        <v>2807.46</v>
      </c>
      <c r="E1620"/>
      <c r="F1620"/>
      <c r="G1620"/>
      <c r="H1620"/>
      <c r="I1620" s="489"/>
      <c r="J1620" s="1095"/>
      <c r="K1620" s="1095"/>
      <c r="L1620" s="1095"/>
      <c r="M1620" s="1095"/>
    </row>
    <row r="1621" spans="1:13" x14ac:dyDescent="0.25">
      <c r="A1621">
        <v>1109665</v>
      </c>
      <c r="B1621" t="s">
        <v>8924</v>
      </c>
      <c r="C1621" t="s">
        <v>2596</v>
      </c>
      <c r="D1621" s="254">
        <v>755.69</v>
      </c>
      <c r="E1621"/>
      <c r="F1621"/>
      <c r="G1621"/>
      <c r="H1621"/>
      <c r="I1621" s="489"/>
      <c r="J1621" s="1095"/>
      <c r="K1621" s="1095"/>
      <c r="L1621" s="1095"/>
      <c r="M1621" s="1095"/>
    </row>
    <row r="1622" spans="1:13" x14ac:dyDescent="0.25">
      <c r="A1622">
        <v>1109664</v>
      </c>
      <c r="B1622" t="s">
        <v>8925</v>
      </c>
      <c r="C1622" t="s">
        <v>2596</v>
      </c>
      <c r="D1622" s="254">
        <v>683.19</v>
      </c>
      <c r="E1622"/>
      <c r="F1622"/>
      <c r="G1622"/>
      <c r="H1622"/>
      <c r="I1622" s="489"/>
      <c r="J1622" s="1095"/>
      <c r="K1622" s="1095"/>
      <c r="L1622" s="1095"/>
      <c r="M1622" s="1095"/>
    </row>
    <row r="1623" spans="1:13" x14ac:dyDescent="0.25">
      <c r="A1623">
        <v>1109667</v>
      </c>
      <c r="B1623" t="s">
        <v>8926</v>
      </c>
      <c r="C1623" t="s">
        <v>2596</v>
      </c>
      <c r="D1623" s="254">
        <v>594.71</v>
      </c>
      <c r="E1623"/>
      <c r="F1623"/>
      <c r="G1623"/>
      <c r="H1623"/>
      <c r="I1623" s="489"/>
      <c r="J1623" s="1095"/>
      <c r="K1623" s="1095"/>
      <c r="L1623" s="1095"/>
      <c r="M1623" s="1095"/>
    </row>
    <row r="1624" spans="1:13" x14ac:dyDescent="0.25">
      <c r="A1624">
        <v>1109666</v>
      </c>
      <c r="B1624" t="s">
        <v>8927</v>
      </c>
      <c r="C1624" t="s">
        <v>2596</v>
      </c>
      <c r="D1624" s="254">
        <v>469.04</v>
      </c>
      <c r="E1624"/>
      <c r="F1624"/>
      <c r="G1624"/>
      <c r="H1624"/>
      <c r="I1624" s="489"/>
      <c r="J1624" s="1095"/>
      <c r="K1624" s="1095"/>
      <c r="L1624" s="1095"/>
      <c r="M1624" s="1095"/>
    </row>
    <row r="1625" spans="1:13" x14ac:dyDescent="0.25">
      <c r="A1625">
        <v>1109669</v>
      </c>
      <c r="B1625" t="s">
        <v>6427</v>
      </c>
      <c r="C1625" t="s">
        <v>2596</v>
      </c>
      <c r="D1625" s="254">
        <v>515.19000000000005</v>
      </c>
      <c r="E1625"/>
      <c r="F1625"/>
      <c r="G1625"/>
      <c r="H1625"/>
      <c r="I1625" s="489"/>
      <c r="J1625" s="1095"/>
      <c r="K1625" s="1095"/>
      <c r="L1625" s="1095"/>
      <c r="M1625" s="1095"/>
    </row>
    <row r="1626" spans="1:13" x14ac:dyDescent="0.25">
      <c r="A1626">
        <v>1109668</v>
      </c>
      <c r="B1626" t="s">
        <v>8928</v>
      </c>
      <c r="C1626" t="s">
        <v>2596</v>
      </c>
      <c r="D1626" s="254">
        <v>364.44</v>
      </c>
      <c r="E1626"/>
      <c r="F1626"/>
      <c r="G1626"/>
      <c r="H1626"/>
      <c r="I1626" s="489"/>
      <c r="J1626" s="1095"/>
      <c r="K1626" s="1095"/>
      <c r="L1626" s="1095"/>
      <c r="M1626" s="1095"/>
    </row>
    <row r="1627" spans="1:13" x14ac:dyDescent="0.25">
      <c r="A1627">
        <v>1108060</v>
      </c>
      <c r="B1627" t="s">
        <v>8929</v>
      </c>
      <c r="C1627" t="s">
        <v>2596</v>
      </c>
      <c r="D1627" s="254">
        <v>589.98</v>
      </c>
      <c r="E1627"/>
      <c r="F1627"/>
      <c r="G1627"/>
      <c r="H1627"/>
      <c r="I1627" s="489"/>
      <c r="J1627" s="1095"/>
      <c r="K1627" s="1095"/>
      <c r="L1627" s="1095"/>
      <c r="M1627" s="1095"/>
    </row>
    <row r="1628" spans="1:13" x14ac:dyDescent="0.25">
      <c r="A1628">
        <v>1109626</v>
      </c>
      <c r="B1628" t="s">
        <v>8930</v>
      </c>
      <c r="C1628" t="s">
        <v>2596</v>
      </c>
      <c r="D1628" s="254">
        <v>441.97</v>
      </c>
      <c r="E1628"/>
      <c r="F1628"/>
      <c r="G1628"/>
      <c r="H1628"/>
      <c r="I1628" s="489"/>
      <c r="J1628" s="1095"/>
      <c r="K1628" s="1095"/>
      <c r="L1628" s="1095"/>
      <c r="M1628" s="1095"/>
    </row>
    <row r="1629" spans="1:13" x14ac:dyDescent="0.25">
      <c r="A1629">
        <v>1109671</v>
      </c>
      <c r="B1629" t="s">
        <v>6475</v>
      </c>
      <c r="C1629" t="s">
        <v>2596</v>
      </c>
      <c r="D1629" s="254">
        <v>475.8</v>
      </c>
      <c r="E1629"/>
      <c r="F1629"/>
      <c r="G1629"/>
      <c r="H1629"/>
      <c r="I1629" s="489"/>
      <c r="J1629" s="1095"/>
      <c r="K1629" s="1095"/>
      <c r="L1629" s="1095"/>
      <c r="M1629" s="1095"/>
    </row>
    <row r="1630" spans="1:13" x14ac:dyDescent="0.25">
      <c r="A1630">
        <v>1109670</v>
      </c>
      <c r="B1630" t="s">
        <v>8931</v>
      </c>
      <c r="C1630" t="s">
        <v>2596</v>
      </c>
      <c r="D1630" s="254">
        <v>310.45</v>
      </c>
      <c r="E1630"/>
      <c r="F1630"/>
      <c r="G1630"/>
      <c r="H1630"/>
      <c r="I1630" s="489"/>
      <c r="J1630" s="1095"/>
      <c r="K1630" s="1095"/>
      <c r="L1630" s="1095"/>
      <c r="M1630" s="1095"/>
    </row>
    <row r="1631" spans="1:13" x14ac:dyDescent="0.25">
      <c r="A1631">
        <v>1109672</v>
      </c>
      <c r="B1631" t="s">
        <v>8932</v>
      </c>
      <c r="C1631" t="s">
        <v>2596</v>
      </c>
      <c r="D1631" s="254">
        <v>398.21</v>
      </c>
      <c r="E1631"/>
      <c r="F1631"/>
      <c r="G1631"/>
      <c r="H1631"/>
      <c r="I1631" s="489"/>
      <c r="J1631" s="1095"/>
      <c r="K1631" s="1095"/>
      <c r="L1631" s="1095"/>
      <c r="M1631" s="1095"/>
    </row>
    <row r="1632" spans="1:13" x14ac:dyDescent="0.25">
      <c r="A1632">
        <v>1109624</v>
      </c>
      <c r="B1632" t="s">
        <v>8933</v>
      </c>
      <c r="C1632" t="s">
        <v>2596</v>
      </c>
      <c r="D1632" s="254">
        <v>207.7</v>
      </c>
      <c r="E1632"/>
      <c r="F1632"/>
      <c r="G1632"/>
      <c r="H1632"/>
      <c r="I1632" s="489"/>
      <c r="J1632" s="1095"/>
      <c r="K1632" s="1095"/>
      <c r="L1632" s="1095"/>
      <c r="M1632" s="1095"/>
    </row>
    <row r="1633" spans="1:13" x14ac:dyDescent="0.25">
      <c r="A1633">
        <v>1109622</v>
      </c>
      <c r="B1633" t="s">
        <v>8934</v>
      </c>
      <c r="C1633" t="s">
        <v>2596</v>
      </c>
      <c r="D1633" s="254">
        <v>456.31</v>
      </c>
      <c r="E1633"/>
      <c r="F1633"/>
      <c r="G1633"/>
      <c r="H1633"/>
      <c r="I1633" s="489"/>
      <c r="J1633" s="1095"/>
      <c r="K1633" s="1095"/>
      <c r="L1633" s="1095"/>
      <c r="M1633" s="1095"/>
    </row>
    <row r="1634" spans="1:13" x14ac:dyDescent="0.25">
      <c r="A1634">
        <v>1109623</v>
      </c>
      <c r="B1634" t="s">
        <v>8935</v>
      </c>
      <c r="C1634" t="s">
        <v>2596</v>
      </c>
      <c r="D1634" s="254">
        <v>333.13</v>
      </c>
      <c r="E1634"/>
      <c r="F1634"/>
      <c r="G1634"/>
      <c r="H1634"/>
      <c r="I1634" s="489"/>
      <c r="J1634" s="1095"/>
      <c r="K1634" s="1095"/>
      <c r="L1634" s="1095"/>
      <c r="M1634" s="1095"/>
    </row>
    <row r="1635" spans="1:13" x14ac:dyDescent="0.25">
      <c r="A1635">
        <v>1109697</v>
      </c>
      <c r="B1635" t="s">
        <v>8936</v>
      </c>
      <c r="C1635" t="s">
        <v>2596</v>
      </c>
      <c r="D1635" s="254">
        <v>360.54</v>
      </c>
      <c r="E1635"/>
      <c r="F1635"/>
      <c r="G1635"/>
      <c r="H1635"/>
      <c r="I1635" s="489"/>
      <c r="J1635" s="1095"/>
      <c r="K1635" s="1095"/>
      <c r="L1635" s="1095"/>
      <c r="M1635" s="1095"/>
    </row>
    <row r="1636" spans="1:13" x14ac:dyDescent="0.25">
      <c r="A1636">
        <v>1109698</v>
      </c>
      <c r="B1636" t="s">
        <v>8937</v>
      </c>
      <c r="C1636" t="s">
        <v>2596</v>
      </c>
      <c r="D1636" s="254">
        <v>204.54</v>
      </c>
      <c r="E1636"/>
      <c r="F1636"/>
      <c r="G1636"/>
      <c r="H1636"/>
      <c r="I1636" s="489"/>
      <c r="J1636" s="1095"/>
      <c r="K1636" s="1095"/>
      <c r="L1636" s="1095"/>
      <c r="M1636" s="1095"/>
    </row>
    <row r="1637" spans="1:13" x14ac:dyDescent="0.25">
      <c r="A1637">
        <v>1109679</v>
      </c>
      <c r="B1637" t="s">
        <v>8938</v>
      </c>
      <c r="C1637" t="s">
        <v>2596</v>
      </c>
      <c r="D1637" s="254">
        <v>401.04</v>
      </c>
      <c r="E1637"/>
      <c r="F1637"/>
      <c r="G1637"/>
      <c r="H1637"/>
      <c r="I1637" s="489"/>
      <c r="J1637" s="1095"/>
      <c r="K1637" s="1095"/>
      <c r="L1637" s="1095"/>
      <c r="M1637" s="1095"/>
    </row>
    <row r="1638" spans="1:13" x14ac:dyDescent="0.25">
      <c r="A1638">
        <v>1109625</v>
      </c>
      <c r="B1638" t="s">
        <v>8939</v>
      </c>
      <c r="C1638" t="s">
        <v>2596</v>
      </c>
      <c r="D1638" s="254">
        <v>259.52999999999997</v>
      </c>
      <c r="E1638"/>
      <c r="F1638"/>
      <c r="G1638"/>
      <c r="H1638"/>
      <c r="I1638" s="489"/>
      <c r="J1638" s="1095"/>
      <c r="K1638" s="1095"/>
      <c r="L1638" s="1095"/>
      <c r="M1638" s="1095"/>
    </row>
    <row r="1639" spans="1:13" x14ac:dyDescent="0.25">
      <c r="A1639">
        <v>1109678</v>
      </c>
      <c r="B1639" t="s">
        <v>8940</v>
      </c>
      <c r="C1639" t="s">
        <v>2596</v>
      </c>
      <c r="D1639" s="254">
        <v>369.87</v>
      </c>
      <c r="E1639"/>
      <c r="F1639"/>
      <c r="G1639"/>
      <c r="H1639"/>
      <c r="I1639" s="489"/>
      <c r="J1639" s="1095"/>
      <c r="K1639" s="1095"/>
      <c r="L1639" s="1095"/>
      <c r="M1639" s="1095"/>
    </row>
    <row r="1640" spans="1:13" x14ac:dyDescent="0.25">
      <c r="A1640">
        <v>1109694</v>
      </c>
      <c r="B1640" t="s">
        <v>8941</v>
      </c>
      <c r="C1640" t="s">
        <v>2596</v>
      </c>
      <c r="D1640" s="254">
        <v>218.16</v>
      </c>
      <c r="E1640"/>
      <c r="F1640"/>
      <c r="G1640"/>
      <c r="H1640"/>
      <c r="I1640" s="489"/>
      <c r="J1640" s="1095"/>
      <c r="K1640" s="1095"/>
      <c r="L1640" s="1095"/>
      <c r="M1640" s="1095"/>
    </row>
    <row r="1641" spans="1:13" x14ac:dyDescent="0.25">
      <c r="A1641">
        <v>1109673</v>
      </c>
      <c r="B1641" t="s">
        <v>8942</v>
      </c>
      <c r="C1641" t="s">
        <v>2596</v>
      </c>
      <c r="D1641" s="254">
        <v>425.35</v>
      </c>
      <c r="E1641"/>
      <c r="F1641"/>
      <c r="G1641"/>
      <c r="H1641"/>
      <c r="I1641" s="489"/>
      <c r="J1641" s="1095"/>
      <c r="K1641" s="1095"/>
      <c r="L1641" s="1095"/>
      <c r="M1641" s="1095"/>
    </row>
    <row r="1642" spans="1:13" x14ac:dyDescent="0.25">
      <c r="A1642">
        <v>1109690</v>
      </c>
      <c r="B1642" t="s">
        <v>8943</v>
      </c>
      <c r="C1642" t="s">
        <v>2596</v>
      </c>
      <c r="D1642" s="254">
        <v>293.22000000000003</v>
      </c>
      <c r="E1642"/>
      <c r="F1642"/>
      <c r="G1642"/>
      <c r="H1642"/>
      <c r="I1642" s="489"/>
      <c r="J1642" s="1095"/>
      <c r="K1642" s="1095"/>
      <c r="L1642" s="1095"/>
      <c r="M1642" s="1095"/>
    </row>
    <row r="1643" spans="1:13" x14ac:dyDescent="0.25">
      <c r="A1643">
        <v>1109674</v>
      </c>
      <c r="B1643" t="s">
        <v>8944</v>
      </c>
      <c r="C1643" t="s">
        <v>2596</v>
      </c>
      <c r="D1643" s="254">
        <v>406.68</v>
      </c>
      <c r="E1643"/>
      <c r="F1643"/>
      <c r="G1643"/>
      <c r="H1643"/>
      <c r="I1643" s="489"/>
      <c r="J1643" s="1095"/>
      <c r="K1643" s="1095"/>
      <c r="L1643" s="1095"/>
      <c r="M1643" s="1095"/>
    </row>
    <row r="1644" spans="1:13" x14ac:dyDescent="0.25">
      <c r="A1644">
        <v>1109691</v>
      </c>
      <c r="B1644" t="s">
        <v>8945</v>
      </c>
      <c r="C1644" t="s">
        <v>2596</v>
      </c>
      <c r="D1644" s="254">
        <v>267.95</v>
      </c>
      <c r="E1644"/>
      <c r="F1644"/>
      <c r="G1644"/>
      <c r="H1644"/>
      <c r="I1644" s="489"/>
      <c r="J1644" s="1095"/>
      <c r="K1644" s="1095"/>
      <c r="L1644" s="1095"/>
      <c r="M1644" s="1095"/>
    </row>
    <row r="1645" spans="1:13" x14ac:dyDescent="0.25">
      <c r="A1645">
        <v>1109675</v>
      </c>
      <c r="B1645" t="s">
        <v>8946</v>
      </c>
      <c r="C1645" t="s">
        <v>2596</v>
      </c>
      <c r="D1645" s="254">
        <v>391.77</v>
      </c>
      <c r="E1645"/>
      <c r="F1645"/>
      <c r="G1645"/>
      <c r="H1645"/>
      <c r="I1645" s="489"/>
      <c r="J1645" s="1095"/>
      <c r="K1645" s="1095"/>
      <c r="L1645" s="1095"/>
      <c r="M1645" s="1095"/>
    </row>
    <row r="1646" spans="1:13" x14ac:dyDescent="0.25">
      <c r="A1646">
        <v>1109692</v>
      </c>
      <c r="B1646" t="s">
        <v>8947</v>
      </c>
      <c r="C1646" t="s">
        <v>2596</v>
      </c>
      <c r="D1646" s="254">
        <v>247.82</v>
      </c>
      <c r="E1646"/>
      <c r="F1646"/>
      <c r="G1646"/>
      <c r="H1646"/>
      <c r="I1646" s="489"/>
      <c r="J1646" s="1095"/>
      <c r="K1646" s="1095"/>
      <c r="L1646" s="1095"/>
      <c r="M1646" s="1095"/>
    </row>
    <row r="1647" spans="1:13" x14ac:dyDescent="0.25">
      <c r="A1647">
        <v>1109676</v>
      </c>
      <c r="B1647" t="s">
        <v>8948</v>
      </c>
      <c r="C1647" t="s">
        <v>2596</v>
      </c>
      <c r="D1647" s="254">
        <v>379.73</v>
      </c>
      <c r="E1647"/>
      <c r="F1647"/>
      <c r="G1647"/>
      <c r="H1647"/>
      <c r="I1647" s="489"/>
      <c r="J1647" s="1095"/>
      <c r="K1647" s="1095"/>
      <c r="L1647" s="1095"/>
      <c r="M1647" s="1095"/>
    </row>
    <row r="1648" spans="1:13" x14ac:dyDescent="0.25">
      <c r="A1648">
        <v>1109693</v>
      </c>
      <c r="B1648" t="s">
        <v>8949</v>
      </c>
      <c r="C1648" t="s">
        <v>2596</v>
      </c>
      <c r="D1648" s="254">
        <v>231.53</v>
      </c>
      <c r="E1648"/>
      <c r="F1648"/>
      <c r="G1648"/>
      <c r="H1648"/>
      <c r="I1648" s="489"/>
      <c r="J1648" s="1095"/>
      <c r="K1648" s="1095"/>
      <c r="L1648" s="1095"/>
      <c r="M1648" s="1095"/>
    </row>
    <row r="1649" spans="1:13" x14ac:dyDescent="0.25">
      <c r="A1649">
        <v>1109680</v>
      </c>
      <c r="B1649" t="s">
        <v>8950</v>
      </c>
      <c r="C1649" t="s">
        <v>2596</v>
      </c>
      <c r="D1649" s="254">
        <v>3012.98</v>
      </c>
      <c r="E1649"/>
      <c r="F1649"/>
      <c r="G1649"/>
      <c r="H1649"/>
      <c r="I1649" s="489"/>
      <c r="J1649" s="1095"/>
      <c r="K1649" s="1095"/>
      <c r="L1649" s="1095"/>
      <c r="M1649" s="1095"/>
    </row>
    <row r="1650" spans="1:13" x14ac:dyDescent="0.25">
      <c r="A1650">
        <v>1107748</v>
      </c>
      <c r="B1650" t="s">
        <v>8951</v>
      </c>
      <c r="C1650" t="s">
        <v>2596</v>
      </c>
      <c r="D1650" s="254">
        <v>12779.54</v>
      </c>
      <c r="E1650"/>
      <c r="F1650"/>
      <c r="G1650"/>
      <c r="H1650"/>
      <c r="I1650" s="489"/>
      <c r="J1650" s="1095"/>
      <c r="K1650" s="1095"/>
      <c r="L1650" s="1095"/>
      <c r="M1650" s="1095"/>
    </row>
    <row r="1651" spans="1:13" x14ac:dyDescent="0.25">
      <c r="A1651">
        <v>1110000</v>
      </c>
      <c r="B1651" t="s">
        <v>8952</v>
      </c>
      <c r="C1651" t="s">
        <v>2596</v>
      </c>
      <c r="D1651" s="254">
        <v>0</v>
      </c>
      <c r="E1651"/>
      <c r="F1651"/>
      <c r="G1651"/>
      <c r="H1651"/>
      <c r="I1651" s="489"/>
      <c r="J1651" s="1095"/>
      <c r="K1651" s="1095"/>
      <c r="L1651" s="1095"/>
      <c r="M1651" s="1095"/>
    </row>
    <row r="1652" spans="1:13" x14ac:dyDescent="0.25">
      <c r="A1652">
        <v>1106059</v>
      </c>
      <c r="B1652" t="s">
        <v>8953</v>
      </c>
      <c r="C1652" t="s">
        <v>2596</v>
      </c>
      <c r="D1652" s="254">
        <v>569.41999999999996</v>
      </c>
      <c r="E1652"/>
      <c r="F1652"/>
      <c r="G1652"/>
      <c r="H1652"/>
      <c r="I1652" s="489"/>
      <c r="J1652" s="1095"/>
      <c r="K1652" s="1095"/>
      <c r="L1652" s="1095"/>
      <c r="M1652" s="1095"/>
    </row>
    <row r="1653" spans="1:13" x14ac:dyDescent="0.25">
      <c r="A1653">
        <v>1106060</v>
      </c>
      <c r="B1653" t="s">
        <v>8954</v>
      </c>
      <c r="C1653" t="s">
        <v>2596</v>
      </c>
      <c r="D1653" s="254">
        <v>424.91</v>
      </c>
      <c r="E1653"/>
      <c r="F1653"/>
      <c r="G1653"/>
      <c r="H1653"/>
      <c r="I1653" s="489"/>
      <c r="J1653" s="1095"/>
      <c r="K1653" s="1095"/>
      <c r="L1653" s="1095"/>
      <c r="M1653" s="1095"/>
    </row>
    <row r="1654" spans="1:13" x14ac:dyDescent="0.25">
      <c r="A1654">
        <v>1100658</v>
      </c>
      <c r="B1654" t="s">
        <v>8955</v>
      </c>
      <c r="C1654" t="s">
        <v>2596</v>
      </c>
      <c r="D1654" s="254">
        <v>491</v>
      </c>
      <c r="E1654"/>
      <c r="F1654"/>
      <c r="G1654"/>
      <c r="H1654"/>
      <c r="I1654" s="489"/>
      <c r="J1654" s="1095"/>
      <c r="K1654" s="1095"/>
      <c r="L1654" s="1095"/>
      <c r="M1654" s="1095"/>
    </row>
    <row r="1655" spans="1:13" x14ac:dyDescent="0.25">
      <c r="A1655">
        <v>1106159</v>
      </c>
      <c r="B1655" t="s">
        <v>8956</v>
      </c>
      <c r="C1655" t="s">
        <v>2596</v>
      </c>
      <c r="D1655" s="254">
        <v>520.83000000000004</v>
      </c>
      <c r="E1655"/>
      <c r="F1655"/>
      <c r="G1655"/>
      <c r="H1655"/>
      <c r="I1655" s="489"/>
      <c r="J1655" s="1095"/>
      <c r="K1655" s="1095"/>
      <c r="L1655" s="1095"/>
      <c r="M1655" s="1095"/>
    </row>
    <row r="1656" spans="1:13" x14ac:dyDescent="0.25">
      <c r="A1656">
        <v>1107902</v>
      </c>
      <c r="B1656" t="s">
        <v>8957</v>
      </c>
      <c r="C1656" t="s">
        <v>2596</v>
      </c>
      <c r="D1656" s="254">
        <v>554.11</v>
      </c>
      <c r="E1656"/>
      <c r="F1656"/>
      <c r="G1656"/>
      <c r="H1656"/>
      <c r="I1656" s="489"/>
      <c r="J1656" s="1095"/>
      <c r="K1656" s="1095"/>
      <c r="L1656" s="1095"/>
      <c r="M1656" s="1095"/>
    </row>
    <row r="1657" spans="1:13" x14ac:dyDescent="0.25">
      <c r="A1657">
        <v>1107906</v>
      </c>
      <c r="B1657" t="s">
        <v>8958</v>
      </c>
      <c r="C1657" t="s">
        <v>2596</v>
      </c>
      <c r="D1657" s="254">
        <v>591.30999999999995</v>
      </c>
      <c r="E1657"/>
      <c r="F1657"/>
      <c r="G1657"/>
      <c r="H1657"/>
      <c r="I1657" s="489"/>
      <c r="J1657" s="1095"/>
      <c r="K1657" s="1095"/>
      <c r="L1657" s="1095"/>
      <c r="M1657" s="1095"/>
    </row>
    <row r="1658" spans="1:13" x14ac:dyDescent="0.25">
      <c r="A1658">
        <v>1107910</v>
      </c>
      <c r="B1658" t="s">
        <v>8959</v>
      </c>
      <c r="C1658" t="s">
        <v>2596</v>
      </c>
      <c r="D1658" s="254">
        <v>632.89</v>
      </c>
      <c r="E1658"/>
      <c r="F1658"/>
      <c r="G1658"/>
      <c r="H1658"/>
      <c r="I1658" s="489"/>
      <c r="J1658" s="1095"/>
      <c r="K1658" s="1095"/>
      <c r="L1658" s="1095"/>
      <c r="M1658" s="1095"/>
    </row>
    <row r="1659" spans="1:13" x14ac:dyDescent="0.25">
      <c r="A1659">
        <v>1107911</v>
      </c>
      <c r="B1659" t="s">
        <v>8960</v>
      </c>
      <c r="C1659" t="s">
        <v>2596</v>
      </c>
      <c r="D1659" s="254">
        <v>679.36</v>
      </c>
      <c r="E1659"/>
      <c r="F1659"/>
      <c r="G1659"/>
      <c r="H1659"/>
      <c r="I1659" s="489"/>
      <c r="J1659" s="1095"/>
      <c r="K1659" s="1095"/>
      <c r="L1659" s="1095"/>
      <c r="M1659" s="1095"/>
    </row>
    <row r="1660" spans="1:13" x14ac:dyDescent="0.25">
      <c r="A1660">
        <v>1107912</v>
      </c>
      <c r="B1660" t="s">
        <v>8961</v>
      </c>
      <c r="C1660" t="s">
        <v>2596</v>
      </c>
      <c r="D1660" s="254">
        <v>746.05</v>
      </c>
      <c r="E1660"/>
      <c r="F1660"/>
      <c r="G1660"/>
      <c r="H1660"/>
      <c r="I1660" s="489"/>
      <c r="J1660" s="1095"/>
      <c r="K1660" s="1095"/>
      <c r="L1660" s="1095"/>
      <c r="M1660" s="1095"/>
    </row>
    <row r="1661" spans="1:13" x14ac:dyDescent="0.25">
      <c r="A1661">
        <v>1106164</v>
      </c>
      <c r="B1661" t="s">
        <v>8962</v>
      </c>
      <c r="C1661" t="s">
        <v>2596</v>
      </c>
      <c r="D1661" s="254">
        <v>247.15</v>
      </c>
      <c r="E1661"/>
      <c r="F1661"/>
      <c r="G1661"/>
      <c r="H1661"/>
      <c r="I1661" s="489"/>
      <c r="J1661" s="1095"/>
      <c r="K1661" s="1095"/>
      <c r="L1661" s="1095"/>
      <c r="M1661" s="1095"/>
    </row>
    <row r="1662" spans="1:13" x14ac:dyDescent="0.25">
      <c r="A1662">
        <v>1106165</v>
      </c>
      <c r="B1662" t="s">
        <v>6476</v>
      </c>
      <c r="C1662" t="s">
        <v>2596</v>
      </c>
      <c r="D1662" s="254">
        <v>386.46</v>
      </c>
      <c r="E1662"/>
      <c r="F1662"/>
      <c r="G1662"/>
      <c r="H1662"/>
      <c r="I1662" s="489"/>
      <c r="J1662" s="1095"/>
      <c r="K1662" s="1095"/>
      <c r="L1662" s="1095"/>
      <c r="M1662" s="1095"/>
    </row>
    <row r="1663" spans="1:13" x14ac:dyDescent="0.25">
      <c r="A1663">
        <v>1106156</v>
      </c>
      <c r="B1663" t="s">
        <v>8963</v>
      </c>
      <c r="C1663" t="s">
        <v>2596</v>
      </c>
      <c r="D1663" s="254">
        <v>538.30999999999995</v>
      </c>
      <c r="E1663"/>
      <c r="F1663"/>
      <c r="G1663"/>
      <c r="H1663"/>
      <c r="I1663" s="489"/>
      <c r="J1663" s="1095"/>
      <c r="K1663" s="1095"/>
      <c r="L1663" s="1095"/>
      <c r="M1663" s="1095"/>
    </row>
    <row r="1664" spans="1:13" x14ac:dyDescent="0.25">
      <c r="A1664">
        <v>1107932</v>
      </c>
      <c r="B1664" t="s">
        <v>8964</v>
      </c>
      <c r="C1664" t="s">
        <v>2596</v>
      </c>
      <c r="D1664" s="254">
        <v>573.38</v>
      </c>
      <c r="E1664"/>
      <c r="F1664"/>
      <c r="G1664"/>
      <c r="H1664"/>
      <c r="I1664" s="489"/>
      <c r="J1664" s="1095"/>
      <c r="K1664" s="1095"/>
      <c r="L1664" s="1095"/>
      <c r="M1664" s="1095"/>
    </row>
    <row r="1665" spans="1:13" x14ac:dyDescent="0.25">
      <c r="A1665">
        <v>1108111</v>
      </c>
      <c r="B1665" t="s">
        <v>8965</v>
      </c>
      <c r="C1665" t="s">
        <v>2596</v>
      </c>
      <c r="D1665" s="254">
        <v>438.86</v>
      </c>
      <c r="E1665"/>
      <c r="F1665"/>
      <c r="G1665"/>
      <c r="H1665"/>
      <c r="I1665" s="489"/>
      <c r="J1665" s="1095"/>
      <c r="K1665" s="1095"/>
      <c r="L1665" s="1095"/>
      <c r="M1665" s="1095"/>
    </row>
    <row r="1666" spans="1:13" x14ac:dyDescent="0.25">
      <c r="A1666">
        <v>1108112</v>
      </c>
      <c r="B1666" t="s">
        <v>8966</v>
      </c>
      <c r="C1666" t="s">
        <v>2596</v>
      </c>
      <c r="D1666" s="254">
        <v>449.29</v>
      </c>
      <c r="E1666"/>
      <c r="F1666"/>
      <c r="G1666"/>
      <c r="H1666"/>
      <c r="I1666" s="489"/>
      <c r="J1666" s="1095"/>
      <c r="K1666" s="1095"/>
      <c r="L1666" s="1095"/>
      <c r="M1666" s="1095"/>
    </row>
    <row r="1667" spans="1:13" x14ac:dyDescent="0.25">
      <c r="A1667">
        <v>1108113</v>
      </c>
      <c r="B1667" t="s">
        <v>8967</v>
      </c>
      <c r="C1667" t="s">
        <v>2596</v>
      </c>
      <c r="D1667" s="254">
        <v>473.88</v>
      </c>
      <c r="E1667"/>
      <c r="F1667"/>
      <c r="G1667"/>
      <c r="H1667"/>
      <c r="I1667" s="489"/>
      <c r="J1667" s="1095"/>
      <c r="K1667" s="1095"/>
      <c r="L1667" s="1095"/>
      <c r="M1667" s="1095"/>
    </row>
    <row r="1668" spans="1:13" x14ac:dyDescent="0.25">
      <c r="A1668">
        <v>1108114</v>
      </c>
      <c r="B1668" t="s">
        <v>8968</v>
      </c>
      <c r="C1668" t="s">
        <v>2596</v>
      </c>
      <c r="D1668" s="254">
        <v>501.33</v>
      </c>
      <c r="E1668"/>
      <c r="F1668"/>
      <c r="G1668"/>
      <c r="H1668"/>
      <c r="I1668" s="489"/>
      <c r="J1668" s="1095"/>
      <c r="K1668" s="1095"/>
      <c r="L1668" s="1095"/>
      <c r="M1668" s="1095"/>
    </row>
    <row r="1669" spans="1:13" x14ac:dyDescent="0.25">
      <c r="A1669">
        <v>1108061</v>
      </c>
      <c r="B1669" t="s">
        <v>8969</v>
      </c>
      <c r="C1669" t="s">
        <v>2596</v>
      </c>
      <c r="D1669" s="254">
        <v>887.59</v>
      </c>
      <c r="E1669"/>
      <c r="F1669"/>
      <c r="G1669"/>
      <c r="H1669"/>
      <c r="I1669" s="489"/>
      <c r="J1669" s="1095"/>
      <c r="K1669" s="1095"/>
      <c r="L1669" s="1095"/>
      <c r="M1669" s="1095"/>
    </row>
    <row r="1670" spans="1:13" x14ac:dyDescent="0.25">
      <c r="A1670">
        <v>1108064</v>
      </c>
      <c r="B1670" t="s">
        <v>8970</v>
      </c>
      <c r="C1670" t="s">
        <v>2596</v>
      </c>
      <c r="D1670" s="254">
        <v>958.42</v>
      </c>
      <c r="E1670"/>
      <c r="F1670"/>
      <c r="G1670"/>
      <c r="H1670"/>
      <c r="I1670" s="489"/>
      <c r="J1670" s="1095"/>
      <c r="K1670" s="1095"/>
      <c r="L1670" s="1095"/>
      <c r="M1670" s="1095"/>
    </row>
    <row r="1671" spans="1:13" x14ac:dyDescent="0.25">
      <c r="A1671">
        <v>1107888</v>
      </c>
      <c r="B1671" t="s">
        <v>8971</v>
      </c>
      <c r="C1671" t="s">
        <v>2596</v>
      </c>
      <c r="D1671" s="254">
        <v>432.24</v>
      </c>
      <c r="E1671"/>
      <c r="F1671"/>
      <c r="G1671"/>
      <c r="H1671"/>
      <c r="I1671" s="489"/>
      <c r="J1671" s="1095"/>
      <c r="K1671" s="1095"/>
      <c r="L1671" s="1095"/>
      <c r="M1671" s="1095"/>
    </row>
    <row r="1672" spans="1:13" x14ac:dyDescent="0.25">
      <c r="A1672">
        <v>1107889</v>
      </c>
      <c r="B1672" t="s">
        <v>8972</v>
      </c>
      <c r="C1672" t="s">
        <v>2596</v>
      </c>
      <c r="D1672" s="254">
        <v>286.41000000000003</v>
      </c>
      <c r="E1672"/>
      <c r="F1672"/>
      <c r="G1672"/>
      <c r="H1672"/>
      <c r="I1672" s="489"/>
      <c r="J1672" s="1095"/>
      <c r="K1672" s="1095"/>
      <c r="L1672" s="1095"/>
      <c r="M1672" s="1095"/>
    </row>
    <row r="1673" spans="1:13" x14ac:dyDescent="0.25">
      <c r="A1673">
        <v>1107892</v>
      </c>
      <c r="B1673" t="s">
        <v>6441</v>
      </c>
      <c r="C1673" t="s">
        <v>2596</v>
      </c>
      <c r="D1673" s="254">
        <v>449.57</v>
      </c>
      <c r="E1673"/>
      <c r="F1673"/>
      <c r="G1673"/>
      <c r="H1673"/>
      <c r="I1673" s="489"/>
      <c r="J1673" s="1095"/>
      <c r="K1673" s="1095"/>
      <c r="L1673" s="1095"/>
      <c r="M1673" s="1095"/>
    </row>
    <row r="1674" spans="1:13" x14ac:dyDescent="0.25">
      <c r="A1674">
        <v>1107891</v>
      </c>
      <c r="B1674" t="s">
        <v>8973</v>
      </c>
      <c r="C1674" t="s">
        <v>2596</v>
      </c>
      <c r="D1674" s="254">
        <v>306.25</v>
      </c>
      <c r="E1674"/>
      <c r="F1674"/>
      <c r="G1674"/>
      <c r="H1674"/>
      <c r="I1674" s="489"/>
      <c r="J1674" s="1095"/>
      <c r="K1674" s="1095"/>
      <c r="L1674" s="1095"/>
      <c r="M1674" s="1095"/>
    </row>
    <row r="1675" spans="1:13" x14ac:dyDescent="0.25">
      <c r="A1675">
        <v>1107928</v>
      </c>
      <c r="B1675" t="s">
        <v>8974</v>
      </c>
      <c r="C1675" t="s">
        <v>2596</v>
      </c>
      <c r="D1675" s="254">
        <v>389.18</v>
      </c>
      <c r="E1675"/>
      <c r="F1675"/>
      <c r="G1675"/>
      <c r="H1675"/>
      <c r="I1675" s="489"/>
      <c r="J1675" s="1095"/>
      <c r="K1675" s="1095"/>
      <c r="L1675" s="1095"/>
      <c r="M1675" s="1095"/>
    </row>
    <row r="1676" spans="1:13" x14ac:dyDescent="0.25">
      <c r="A1676">
        <v>1107929</v>
      </c>
      <c r="B1676" t="s">
        <v>8975</v>
      </c>
      <c r="C1676" t="s">
        <v>2596</v>
      </c>
      <c r="D1676" s="254">
        <v>245.22</v>
      </c>
      <c r="E1676"/>
      <c r="F1676"/>
      <c r="G1676"/>
      <c r="H1676"/>
      <c r="I1676" s="489"/>
      <c r="J1676" s="1095"/>
      <c r="K1676" s="1095"/>
      <c r="L1676" s="1095"/>
      <c r="M1676" s="1095"/>
    </row>
    <row r="1677" spans="1:13" x14ac:dyDescent="0.25">
      <c r="A1677">
        <v>1106109</v>
      </c>
      <c r="B1677" t="s">
        <v>8976</v>
      </c>
      <c r="C1677" t="s">
        <v>2596</v>
      </c>
      <c r="D1677" s="254">
        <v>381.19</v>
      </c>
      <c r="E1677"/>
      <c r="F1677"/>
      <c r="G1677"/>
      <c r="H1677"/>
      <c r="I1677" s="489"/>
      <c r="J1677" s="1095"/>
      <c r="K1677" s="1095"/>
      <c r="L1677" s="1095"/>
      <c r="M1677" s="1095"/>
    </row>
    <row r="1678" spans="1:13" x14ac:dyDescent="0.25">
      <c r="A1678">
        <v>1106117</v>
      </c>
      <c r="B1678" t="s">
        <v>8977</v>
      </c>
      <c r="C1678" t="s">
        <v>2596</v>
      </c>
      <c r="D1678" s="254">
        <v>237.24</v>
      </c>
      <c r="E1678"/>
      <c r="F1678"/>
      <c r="G1678"/>
      <c r="H1678"/>
      <c r="I1678" s="489"/>
      <c r="J1678" s="1095"/>
      <c r="K1678" s="1095"/>
      <c r="L1678" s="1095"/>
      <c r="M1678" s="1095"/>
    </row>
    <row r="1679" spans="1:13" x14ac:dyDescent="0.25">
      <c r="A1679">
        <v>1107896</v>
      </c>
      <c r="B1679" t="s">
        <v>8978</v>
      </c>
      <c r="C1679" t="s">
        <v>2596</v>
      </c>
      <c r="D1679" s="254">
        <v>468.99</v>
      </c>
      <c r="E1679"/>
      <c r="F1679"/>
      <c r="G1679"/>
      <c r="H1679"/>
      <c r="I1679" s="489"/>
      <c r="J1679" s="1095"/>
      <c r="K1679" s="1095"/>
      <c r="L1679" s="1095"/>
      <c r="M1679" s="1095"/>
    </row>
    <row r="1680" spans="1:13" x14ac:dyDescent="0.25">
      <c r="A1680">
        <v>1107895</v>
      </c>
      <c r="B1680" t="s">
        <v>8979</v>
      </c>
      <c r="C1680" t="s">
        <v>2596</v>
      </c>
      <c r="D1680" s="254">
        <v>328.49</v>
      </c>
      <c r="E1680"/>
      <c r="F1680"/>
      <c r="G1680"/>
      <c r="H1680"/>
      <c r="I1680" s="489"/>
      <c r="J1680" s="1095"/>
      <c r="K1680" s="1095"/>
      <c r="L1680" s="1095"/>
      <c r="M1680" s="1095"/>
    </row>
    <row r="1681" spans="1:13" x14ac:dyDescent="0.25">
      <c r="A1681">
        <v>1119528</v>
      </c>
      <c r="B1681" t="s">
        <v>8980</v>
      </c>
      <c r="C1681" t="s">
        <v>2596</v>
      </c>
      <c r="D1681" s="254">
        <v>402.13</v>
      </c>
      <c r="E1681"/>
      <c r="F1681"/>
      <c r="G1681"/>
      <c r="H1681"/>
      <c r="I1681" s="489"/>
      <c r="J1681" s="1095"/>
      <c r="K1681" s="1095"/>
      <c r="L1681" s="1095"/>
      <c r="M1681" s="1095"/>
    </row>
    <row r="1682" spans="1:13" x14ac:dyDescent="0.25">
      <c r="A1682">
        <v>1106135</v>
      </c>
      <c r="B1682" t="s">
        <v>8981</v>
      </c>
      <c r="C1682" t="s">
        <v>2596</v>
      </c>
      <c r="D1682" s="254">
        <v>260.12</v>
      </c>
      <c r="E1682"/>
      <c r="F1682"/>
      <c r="G1682"/>
      <c r="H1682"/>
      <c r="I1682" s="489"/>
      <c r="J1682" s="1095"/>
      <c r="K1682" s="1095"/>
      <c r="L1682" s="1095"/>
      <c r="M1682" s="1095"/>
    </row>
    <row r="1683" spans="1:13" x14ac:dyDescent="0.25">
      <c r="A1683">
        <v>1106136</v>
      </c>
      <c r="B1683" t="s">
        <v>8982</v>
      </c>
      <c r="C1683" t="s">
        <v>2596</v>
      </c>
      <c r="D1683" s="254">
        <v>393.45</v>
      </c>
      <c r="E1683"/>
      <c r="F1683"/>
      <c r="G1683"/>
      <c r="H1683"/>
      <c r="I1683" s="489"/>
      <c r="J1683" s="1095"/>
      <c r="K1683" s="1095"/>
      <c r="L1683" s="1095"/>
      <c r="M1683" s="1095"/>
    </row>
    <row r="1684" spans="1:13" x14ac:dyDescent="0.25">
      <c r="A1684">
        <v>1106137</v>
      </c>
      <c r="B1684" t="s">
        <v>8983</v>
      </c>
      <c r="C1684" t="s">
        <v>2596</v>
      </c>
      <c r="D1684" s="254">
        <v>251.44</v>
      </c>
      <c r="E1684"/>
      <c r="F1684"/>
      <c r="G1684"/>
      <c r="H1684"/>
      <c r="I1684" s="489"/>
      <c r="J1684" s="1095"/>
      <c r="K1684" s="1095"/>
      <c r="L1684" s="1095"/>
      <c r="M1684" s="1095"/>
    </row>
    <row r="1685" spans="1:13" x14ac:dyDescent="0.25">
      <c r="A1685">
        <v>1116127</v>
      </c>
      <c r="B1685" t="s">
        <v>8984</v>
      </c>
      <c r="C1685" t="s">
        <v>2596</v>
      </c>
      <c r="D1685" s="254">
        <v>484.58</v>
      </c>
      <c r="E1685"/>
      <c r="F1685"/>
      <c r="G1685"/>
      <c r="H1685"/>
      <c r="I1685" s="489"/>
      <c r="J1685" s="1095"/>
      <c r="K1685" s="1095"/>
      <c r="L1685" s="1095"/>
      <c r="M1685" s="1095"/>
    </row>
    <row r="1686" spans="1:13" x14ac:dyDescent="0.25">
      <c r="A1686">
        <v>1116126</v>
      </c>
      <c r="B1686" t="s">
        <v>8985</v>
      </c>
      <c r="C1686" t="s">
        <v>2596</v>
      </c>
      <c r="D1686" s="254">
        <v>351.53</v>
      </c>
      <c r="E1686"/>
      <c r="F1686"/>
      <c r="G1686"/>
      <c r="H1686"/>
      <c r="I1686" s="489"/>
      <c r="J1686" s="1095"/>
      <c r="K1686" s="1095"/>
      <c r="L1686" s="1095"/>
      <c r="M1686" s="1095"/>
    </row>
    <row r="1687" spans="1:13" x14ac:dyDescent="0.25">
      <c r="A1687">
        <v>1107900</v>
      </c>
      <c r="B1687" t="s">
        <v>7513</v>
      </c>
      <c r="C1687" t="s">
        <v>2596</v>
      </c>
      <c r="D1687" s="254">
        <v>490.63</v>
      </c>
      <c r="E1687"/>
      <c r="F1687"/>
      <c r="G1687"/>
      <c r="H1687"/>
      <c r="I1687" s="489"/>
      <c r="J1687" s="1095"/>
      <c r="K1687" s="1095"/>
      <c r="L1687" s="1095"/>
      <c r="M1687" s="1095"/>
    </row>
    <row r="1688" spans="1:13" x14ac:dyDescent="0.25">
      <c r="A1688">
        <v>1107899</v>
      </c>
      <c r="B1688" t="s">
        <v>8986</v>
      </c>
      <c r="C1688" t="s">
        <v>2596</v>
      </c>
      <c r="D1688" s="254">
        <v>353.27</v>
      </c>
      <c r="E1688"/>
      <c r="F1688"/>
      <c r="G1688"/>
      <c r="H1688"/>
      <c r="I1688" s="489"/>
      <c r="J1688" s="1095"/>
      <c r="K1688" s="1095"/>
      <c r="L1688" s="1095"/>
      <c r="M1688" s="1095"/>
    </row>
    <row r="1689" spans="1:13" x14ac:dyDescent="0.25">
      <c r="A1689">
        <v>1107890</v>
      </c>
      <c r="B1689" t="s">
        <v>8987</v>
      </c>
      <c r="C1689" t="s">
        <v>2596</v>
      </c>
      <c r="D1689" s="254">
        <v>419.03</v>
      </c>
      <c r="E1689"/>
      <c r="F1689"/>
      <c r="G1689"/>
      <c r="H1689"/>
      <c r="I1689" s="489"/>
      <c r="J1689" s="1095"/>
      <c r="K1689" s="1095"/>
      <c r="L1689" s="1095"/>
      <c r="M1689" s="1095"/>
    </row>
    <row r="1690" spans="1:13" x14ac:dyDescent="0.25">
      <c r="A1690">
        <v>1106138</v>
      </c>
      <c r="B1690" t="s">
        <v>8988</v>
      </c>
      <c r="C1690" t="s">
        <v>2596</v>
      </c>
      <c r="D1690" s="254">
        <v>279.56</v>
      </c>
      <c r="E1690"/>
      <c r="F1690"/>
      <c r="G1690"/>
      <c r="H1690"/>
      <c r="I1690" s="489"/>
      <c r="J1690" s="1095"/>
      <c r="K1690" s="1095"/>
      <c r="L1690" s="1095"/>
      <c r="M1690" s="1095"/>
    </row>
    <row r="1691" spans="1:13" x14ac:dyDescent="0.25">
      <c r="A1691">
        <v>1106139</v>
      </c>
      <c r="B1691" t="s">
        <v>8989</v>
      </c>
      <c r="C1691" t="s">
        <v>2596</v>
      </c>
      <c r="D1691" s="254">
        <v>409.52</v>
      </c>
      <c r="E1691"/>
      <c r="F1691"/>
      <c r="G1691"/>
      <c r="H1691"/>
      <c r="I1691" s="489"/>
      <c r="J1691" s="1095"/>
      <c r="K1691" s="1095"/>
      <c r="L1691" s="1095"/>
      <c r="M1691" s="1095"/>
    </row>
    <row r="1692" spans="1:13" x14ac:dyDescent="0.25">
      <c r="A1692">
        <v>1106140</v>
      </c>
      <c r="B1692" t="s">
        <v>8990</v>
      </c>
      <c r="C1692" t="s">
        <v>2596</v>
      </c>
      <c r="D1692" s="254">
        <v>270.05</v>
      </c>
      <c r="E1692"/>
      <c r="F1692"/>
      <c r="G1692"/>
      <c r="H1692"/>
      <c r="I1692" s="489"/>
      <c r="J1692" s="1095"/>
      <c r="K1692" s="1095"/>
      <c r="L1692" s="1095"/>
      <c r="M1692" s="1095"/>
    </row>
    <row r="1693" spans="1:13" x14ac:dyDescent="0.25">
      <c r="A1693">
        <v>1107904</v>
      </c>
      <c r="B1693" t="s">
        <v>8991</v>
      </c>
      <c r="C1693" t="s">
        <v>2596</v>
      </c>
      <c r="D1693" s="254">
        <v>514.86</v>
      </c>
      <c r="E1693"/>
      <c r="F1693"/>
      <c r="G1693"/>
      <c r="H1693"/>
      <c r="I1693" s="489"/>
      <c r="J1693" s="1095"/>
      <c r="K1693" s="1095"/>
      <c r="L1693" s="1095"/>
      <c r="M1693" s="1095"/>
    </row>
    <row r="1694" spans="1:13" x14ac:dyDescent="0.25">
      <c r="A1694">
        <v>1107903</v>
      </c>
      <c r="B1694" t="s">
        <v>8992</v>
      </c>
      <c r="C1694" t="s">
        <v>2596</v>
      </c>
      <c r="D1694" s="254">
        <v>381.01</v>
      </c>
      <c r="E1694"/>
      <c r="F1694"/>
      <c r="G1694"/>
      <c r="H1694"/>
      <c r="I1694" s="489"/>
      <c r="J1694" s="1095"/>
      <c r="K1694" s="1095"/>
      <c r="L1694" s="1095"/>
      <c r="M1694" s="1095"/>
    </row>
    <row r="1695" spans="1:13" x14ac:dyDescent="0.25">
      <c r="A1695">
        <v>1107908</v>
      </c>
      <c r="B1695" t="s">
        <v>8993</v>
      </c>
      <c r="C1695" t="s">
        <v>2596</v>
      </c>
      <c r="D1695" s="254">
        <v>541.84</v>
      </c>
      <c r="E1695"/>
      <c r="F1695"/>
      <c r="G1695"/>
      <c r="H1695"/>
      <c r="I1695" s="489"/>
      <c r="J1695" s="1095"/>
      <c r="K1695" s="1095"/>
      <c r="L1695" s="1095"/>
      <c r="M1695" s="1095"/>
    </row>
    <row r="1696" spans="1:13" x14ac:dyDescent="0.25">
      <c r="A1696">
        <v>1107907</v>
      </c>
      <c r="B1696" t="s">
        <v>8994</v>
      </c>
      <c r="C1696" t="s">
        <v>2596</v>
      </c>
      <c r="D1696" s="254">
        <v>411.93</v>
      </c>
      <c r="E1696"/>
      <c r="F1696"/>
      <c r="G1696"/>
      <c r="H1696"/>
      <c r="I1696" s="489"/>
      <c r="J1696" s="1095"/>
      <c r="K1696" s="1095"/>
      <c r="L1696" s="1095"/>
      <c r="M1696" s="1095"/>
    </row>
    <row r="1697" spans="1:13" x14ac:dyDescent="0.25">
      <c r="A1697">
        <v>1107871</v>
      </c>
      <c r="B1697" t="s">
        <v>8995</v>
      </c>
      <c r="C1697" t="s">
        <v>2596</v>
      </c>
      <c r="D1697" s="254">
        <v>450.8</v>
      </c>
      <c r="E1697"/>
      <c r="F1697"/>
      <c r="G1697"/>
      <c r="H1697"/>
      <c r="I1697" s="489"/>
      <c r="J1697" s="1095"/>
      <c r="K1697" s="1095"/>
      <c r="L1697" s="1095"/>
      <c r="M1697" s="1095"/>
    </row>
    <row r="1698" spans="1:13" x14ac:dyDescent="0.25">
      <c r="A1698">
        <v>1107870</v>
      </c>
      <c r="B1698" t="s">
        <v>8996</v>
      </c>
      <c r="C1698" t="s">
        <v>2596</v>
      </c>
      <c r="D1698" s="254">
        <v>313.67</v>
      </c>
      <c r="E1698"/>
      <c r="F1698"/>
      <c r="G1698"/>
      <c r="H1698"/>
      <c r="I1698" s="489"/>
      <c r="J1698" s="1095"/>
      <c r="K1698" s="1095"/>
      <c r="L1698" s="1095"/>
      <c r="M1698" s="1095"/>
    </row>
    <row r="1699" spans="1:13" x14ac:dyDescent="0.25">
      <c r="A1699">
        <v>1106057</v>
      </c>
      <c r="B1699" t="s">
        <v>8997</v>
      </c>
      <c r="C1699" t="s">
        <v>2596</v>
      </c>
      <c r="D1699" s="254">
        <v>434.07</v>
      </c>
      <c r="E1699"/>
      <c r="F1699"/>
      <c r="G1699"/>
      <c r="H1699"/>
      <c r="I1699" s="489"/>
      <c r="J1699" s="1095"/>
      <c r="K1699" s="1095"/>
      <c r="L1699" s="1095"/>
      <c r="M1699" s="1095"/>
    </row>
    <row r="1700" spans="1:13" x14ac:dyDescent="0.25">
      <c r="A1700">
        <v>1106058</v>
      </c>
      <c r="B1700" t="s">
        <v>8998</v>
      </c>
      <c r="C1700" t="s">
        <v>2596</v>
      </c>
      <c r="D1700" s="254">
        <v>296.52999999999997</v>
      </c>
      <c r="E1700"/>
      <c r="F1700"/>
      <c r="G1700"/>
      <c r="H1700"/>
      <c r="I1700" s="489"/>
      <c r="J1700" s="1095"/>
      <c r="K1700" s="1095"/>
      <c r="L1700" s="1095"/>
      <c r="M1700" s="1095"/>
    </row>
    <row r="1701" spans="1:13" x14ac:dyDescent="0.25">
      <c r="A1701">
        <v>1106380</v>
      </c>
      <c r="B1701" t="s">
        <v>8999</v>
      </c>
      <c r="C1701" t="s">
        <v>2596</v>
      </c>
      <c r="D1701" s="254">
        <v>426.51</v>
      </c>
      <c r="E1701"/>
      <c r="F1701"/>
      <c r="G1701"/>
      <c r="H1701"/>
      <c r="I1701" s="489"/>
      <c r="J1701" s="1095"/>
      <c r="K1701" s="1095"/>
      <c r="L1701" s="1095"/>
      <c r="M1701" s="1095"/>
    </row>
    <row r="1702" spans="1:13" x14ac:dyDescent="0.25">
      <c r="A1702">
        <v>1106378</v>
      </c>
      <c r="B1702" t="s">
        <v>9000</v>
      </c>
      <c r="C1702" t="s">
        <v>2596</v>
      </c>
      <c r="D1702" s="254">
        <v>291.70999999999998</v>
      </c>
      <c r="E1702"/>
      <c r="F1702"/>
      <c r="G1702"/>
      <c r="H1702"/>
      <c r="I1702" s="489"/>
      <c r="J1702" s="1095"/>
      <c r="K1702" s="1095"/>
      <c r="L1702" s="1095"/>
      <c r="M1702" s="1095"/>
    </row>
    <row r="1703" spans="1:13" x14ac:dyDescent="0.25">
      <c r="A1703">
        <v>1116263</v>
      </c>
      <c r="B1703" t="s">
        <v>9001</v>
      </c>
      <c r="C1703" t="s">
        <v>2596</v>
      </c>
      <c r="D1703" s="254">
        <v>416.4</v>
      </c>
      <c r="E1703"/>
      <c r="F1703"/>
      <c r="G1703"/>
      <c r="H1703"/>
      <c r="I1703" s="489"/>
      <c r="J1703" s="1095"/>
      <c r="K1703" s="1095"/>
      <c r="L1703" s="1095"/>
      <c r="M1703" s="1095"/>
    </row>
    <row r="1704" spans="1:13" x14ac:dyDescent="0.25">
      <c r="A1704">
        <v>1116267</v>
      </c>
      <c r="B1704" t="s">
        <v>9002</v>
      </c>
      <c r="C1704" t="s">
        <v>2596</v>
      </c>
      <c r="D1704" s="254">
        <v>281.58999999999997</v>
      </c>
      <c r="E1704"/>
      <c r="F1704"/>
      <c r="G1704"/>
      <c r="H1704"/>
      <c r="I1704" s="489"/>
      <c r="J1704" s="1095"/>
      <c r="K1704" s="1095"/>
      <c r="L1704" s="1095"/>
      <c r="M1704" s="1095"/>
    </row>
    <row r="1705" spans="1:13" x14ac:dyDescent="0.25">
      <c r="A1705">
        <v>1106280</v>
      </c>
      <c r="B1705" t="s">
        <v>9003</v>
      </c>
      <c r="C1705" t="s">
        <v>2596</v>
      </c>
      <c r="D1705" s="254">
        <v>446.46</v>
      </c>
      <c r="E1705"/>
      <c r="F1705"/>
      <c r="G1705"/>
      <c r="H1705"/>
      <c r="I1705" s="489"/>
      <c r="J1705" s="1095"/>
      <c r="K1705" s="1095"/>
      <c r="L1705" s="1095"/>
      <c r="M1705" s="1095"/>
    </row>
    <row r="1706" spans="1:13" x14ac:dyDescent="0.25">
      <c r="A1706">
        <v>1106289</v>
      </c>
      <c r="B1706" t="s">
        <v>9004</v>
      </c>
      <c r="C1706" t="s">
        <v>2596</v>
      </c>
      <c r="D1706" s="254">
        <v>314.61</v>
      </c>
      <c r="E1706"/>
      <c r="F1706"/>
      <c r="G1706"/>
      <c r="H1706"/>
      <c r="I1706" s="489"/>
      <c r="J1706" s="1095"/>
      <c r="K1706" s="1095"/>
      <c r="L1706" s="1095"/>
      <c r="M1706" s="1095"/>
    </row>
    <row r="1707" spans="1:13" x14ac:dyDescent="0.25">
      <c r="A1707">
        <v>1116264</v>
      </c>
      <c r="B1707" t="s">
        <v>9005</v>
      </c>
      <c r="C1707" t="s">
        <v>2596</v>
      </c>
      <c r="D1707" s="254">
        <v>435.38</v>
      </c>
      <c r="E1707"/>
      <c r="F1707"/>
      <c r="G1707"/>
      <c r="H1707"/>
      <c r="I1707" s="489"/>
      <c r="J1707" s="1095"/>
      <c r="K1707" s="1095"/>
      <c r="L1707" s="1095"/>
      <c r="M1707" s="1095"/>
    </row>
    <row r="1708" spans="1:13" x14ac:dyDescent="0.25">
      <c r="A1708">
        <v>1116268</v>
      </c>
      <c r="B1708" t="s">
        <v>9006</v>
      </c>
      <c r="C1708" t="s">
        <v>2596</v>
      </c>
      <c r="D1708" s="254">
        <v>303.52999999999997</v>
      </c>
      <c r="E1708"/>
      <c r="F1708"/>
      <c r="G1708"/>
      <c r="H1708"/>
      <c r="I1708" s="489"/>
      <c r="J1708" s="1095"/>
      <c r="K1708" s="1095"/>
      <c r="L1708" s="1095"/>
      <c r="M1708" s="1095"/>
    </row>
    <row r="1709" spans="1:13" x14ac:dyDescent="0.25">
      <c r="A1709">
        <v>1106281</v>
      </c>
      <c r="B1709" t="s">
        <v>9007</v>
      </c>
      <c r="C1709" t="s">
        <v>2596</v>
      </c>
      <c r="D1709" s="254">
        <v>472.16</v>
      </c>
      <c r="E1709"/>
      <c r="F1709"/>
      <c r="G1709"/>
      <c r="H1709"/>
      <c r="I1709" s="489"/>
      <c r="J1709" s="1095"/>
      <c r="K1709" s="1095"/>
      <c r="L1709" s="1095"/>
      <c r="M1709" s="1095"/>
    </row>
    <row r="1710" spans="1:13" x14ac:dyDescent="0.25">
      <c r="A1710">
        <v>1106382</v>
      </c>
      <c r="B1710" t="s">
        <v>9008</v>
      </c>
      <c r="C1710" t="s">
        <v>2596</v>
      </c>
      <c r="D1710" s="254">
        <v>344.12</v>
      </c>
      <c r="E1710"/>
      <c r="F1710"/>
      <c r="G1710"/>
      <c r="H1710"/>
      <c r="I1710" s="489"/>
      <c r="J1710" s="1095"/>
      <c r="K1710" s="1095"/>
      <c r="L1710" s="1095"/>
      <c r="M1710" s="1095"/>
    </row>
    <row r="1711" spans="1:13" x14ac:dyDescent="0.25">
      <c r="A1711">
        <v>1116265</v>
      </c>
      <c r="B1711" t="s">
        <v>9009</v>
      </c>
      <c r="C1711" t="s">
        <v>2596</v>
      </c>
      <c r="D1711" s="254">
        <v>459.75</v>
      </c>
      <c r="E1711"/>
      <c r="F1711"/>
      <c r="G1711"/>
      <c r="H1711"/>
      <c r="I1711" s="489"/>
      <c r="J1711" s="1095"/>
      <c r="K1711" s="1095"/>
      <c r="L1711" s="1095"/>
      <c r="M1711" s="1095"/>
    </row>
    <row r="1712" spans="1:13" x14ac:dyDescent="0.25">
      <c r="A1712">
        <v>1116269</v>
      </c>
      <c r="B1712" t="s">
        <v>9010</v>
      </c>
      <c r="C1712" t="s">
        <v>2596</v>
      </c>
      <c r="D1712" s="254">
        <v>331.7</v>
      </c>
      <c r="E1712"/>
      <c r="F1712"/>
      <c r="G1712"/>
      <c r="H1712"/>
      <c r="I1712" s="489"/>
      <c r="J1712" s="1095"/>
      <c r="K1712" s="1095"/>
      <c r="L1712" s="1095"/>
      <c r="M1712" s="1095"/>
    </row>
    <row r="1713" spans="1:13" x14ac:dyDescent="0.25">
      <c r="A1713">
        <v>1106282</v>
      </c>
      <c r="B1713" t="s">
        <v>9011</v>
      </c>
      <c r="C1713" t="s">
        <v>2596</v>
      </c>
      <c r="D1713" s="254">
        <v>500.85</v>
      </c>
      <c r="E1713"/>
      <c r="F1713"/>
      <c r="G1713"/>
      <c r="H1713"/>
      <c r="I1713" s="489"/>
      <c r="J1713" s="1095"/>
      <c r="K1713" s="1095"/>
      <c r="L1713" s="1095"/>
      <c r="M1713" s="1095"/>
    </row>
    <row r="1714" spans="1:13" x14ac:dyDescent="0.25">
      <c r="A1714">
        <v>1106384</v>
      </c>
      <c r="B1714" t="s">
        <v>9012</v>
      </c>
      <c r="C1714" t="s">
        <v>2596</v>
      </c>
      <c r="D1714" s="254">
        <v>377.05</v>
      </c>
      <c r="E1714"/>
      <c r="F1714"/>
      <c r="G1714"/>
      <c r="H1714"/>
      <c r="I1714" s="489"/>
      <c r="J1714" s="1095"/>
      <c r="K1714" s="1095"/>
      <c r="L1714" s="1095"/>
      <c r="M1714" s="1095"/>
    </row>
    <row r="1715" spans="1:13" x14ac:dyDescent="0.25">
      <c r="A1715">
        <v>1116266</v>
      </c>
      <c r="B1715" t="s">
        <v>9013</v>
      </c>
      <c r="C1715" t="s">
        <v>2596</v>
      </c>
      <c r="D1715" s="254">
        <v>486.98</v>
      </c>
      <c r="E1715"/>
      <c r="F1715"/>
      <c r="G1715"/>
      <c r="H1715"/>
      <c r="I1715" s="489"/>
      <c r="J1715" s="1095"/>
      <c r="K1715" s="1095"/>
      <c r="L1715" s="1095"/>
      <c r="M1715" s="1095"/>
    </row>
    <row r="1716" spans="1:13" x14ac:dyDescent="0.25">
      <c r="A1716">
        <v>1116270</v>
      </c>
      <c r="B1716" t="s">
        <v>9014</v>
      </c>
      <c r="C1716" t="s">
        <v>2596</v>
      </c>
      <c r="D1716" s="254">
        <v>363.18</v>
      </c>
      <c r="E1716"/>
      <c r="F1716"/>
      <c r="G1716"/>
      <c r="H1716"/>
      <c r="I1716" s="489"/>
      <c r="J1716" s="1095"/>
      <c r="K1716" s="1095"/>
      <c r="L1716" s="1095"/>
      <c r="M1716" s="1095"/>
    </row>
    <row r="1717" spans="1:13" x14ac:dyDescent="0.25">
      <c r="A1717">
        <v>1107868</v>
      </c>
      <c r="B1717" t="s">
        <v>9015</v>
      </c>
      <c r="C1717" t="s">
        <v>2596</v>
      </c>
      <c r="D1717" s="254">
        <v>346.18</v>
      </c>
      <c r="E1717"/>
      <c r="F1717"/>
      <c r="G1717"/>
      <c r="H1717"/>
      <c r="I1717" s="489"/>
      <c r="J1717" s="1095"/>
      <c r="K1717" s="1095"/>
      <c r="L1717" s="1095"/>
      <c r="M1717" s="1095"/>
    </row>
    <row r="1718" spans="1:13" x14ac:dyDescent="0.25">
      <c r="A1718">
        <v>1107869</v>
      </c>
      <c r="B1718" t="s">
        <v>9016</v>
      </c>
      <c r="C1718" t="s">
        <v>2596</v>
      </c>
      <c r="D1718" s="254">
        <v>195.77</v>
      </c>
      <c r="E1718"/>
      <c r="F1718"/>
      <c r="G1718"/>
      <c r="H1718"/>
      <c r="I1718" s="489"/>
      <c r="J1718" s="1095"/>
      <c r="K1718" s="1095"/>
      <c r="L1718" s="1095"/>
      <c r="M1718" s="1095"/>
    </row>
    <row r="1719" spans="1:13" x14ac:dyDescent="0.25">
      <c r="A1719">
        <v>1103853</v>
      </c>
      <c r="B1719" t="s">
        <v>9017</v>
      </c>
      <c r="C1719" t="s">
        <v>2596</v>
      </c>
      <c r="D1719" s="254">
        <v>414.94</v>
      </c>
      <c r="E1719"/>
      <c r="F1719"/>
      <c r="G1719"/>
      <c r="H1719"/>
      <c r="I1719" s="489"/>
      <c r="J1719" s="1095"/>
      <c r="K1719" s="1095"/>
      <c r="L1719" s="1095"/>
      <c r="M1719" s="1095"/>
    </row>
    <row r="1720" spans="1:13" x14ac:dyDescent="0.25">
      <c r="A1720">
        <v>1103852</v>
      </c>
      <c r="B1720" t="s">
        <v>9018</v>
      </c>
      <c r="C1720" t="s">
        <v>2596</v>
      </c>
      <c r="D1720" s="254">
        <v>339.62</v>
      </c>
      <c r="E1720"/>
      <c r="F1720"/>
      <c r="G1720"/>
      <c r="H1720"/>
      <c r="I1720" s="489"/>
      <c r="J1720" s="1095"/>
      <c r="K1720" s="1095"/>
      <c r="L1720" s="1095"/>
      <c r="M1720" s="1095"/>
    </row>
    <row r="1721" spans="1:13" x14ac:dyDescent="0.25">
      <c r="A1721">
        <v>1106284</v>
      </c>
      <c r="B1721" t="s">
        <v>9019</v>
      </c>
      <c r="C1721" t="s">
        <v>2596</v>
      </c>
      <c r="D1721" s="254">
        <v>440.27</v>
      </c>
      <c r="E1721"/>
      <c r="F1721"/>
      <c r="G1721"/>
      <c r="H1721"/>
      <c r="I1721" s="489"/>
      <c r="J1721" s="1095"/>
      <c r="K1721" s="1095"/>
      <c r="L1721" s="1095"/>
      <c r="M1721" s="1095"/>
    </row>
    <row r="1722" spans="1:13" x14ac:dyDescent="0.25">
      <c r="A1722">
        <v>1108116</v>
      </c>
      <c r="B1722" t="s">
        <v>9020</v>
      </c>
      <c r="C1722" t="s">
        <v>2596</v>
      </c>
      <c r="D1722" s="254">
        <v>446.4</v>
      </c>
      <c r="E1722"/>
      <c r="F1722"/>
      <c r="G1722"/>
      <c r="H1722"/>
      <c r="I1722" s="489"/>
      <c r="J1722" s="1095"/>
      <c r="K1722" s="1095"/>
      <c r="L1722" s="1095"/>
      <c r="M1722" s="1095"/>
    </row>
    <row r="1723" spans="1:13" x14ac:dyDescent="0.25">
      <c r="A1723">
        <v>1108118</v>
      </c>
      <c r="B1723" t="s">
        <v>9021</v>
      </c>
      <c r="C1723" t="s">
        <v>2596</v>
      </c>
      <c r="D1723" s="254">
        <v>472.04</v>
      </c>
      <c r="E1723"/>
      <c r="F1723"/>
      <c r="G1723"/>
      <c r="H1723"/>
      <c r="I1723" s="489"/>
      <c r="J1723" s="1095"/>
      <c r="K1723" s="1095"/>
      <c r="L1723" s="1095"/>
      <c r="M1723" s="1095"/>
    </row>
    <row r="1724" spans="1:13" x14ac:dyDescent="0.25">
      <c r="A1724">
        <v>1106158</v>
      </c>
      <c r="B1724" t="s">
        <v>9022</v>
      </c>
      <c r="C1724" t="s">
        <v>2596</v>
      </c>
      <c r="D1724" s="254">
        <v>500.35</v>
      </c>
      <c r="E1724"/>
      <c r="F1724"/>
      <c r="G1724"/>
      <c r="H1724"/>
      <c r="I1724" s="489"/>
      <c r="J1724" s="1095"/>
      <c r="K1724" s="1095"/>
      <c r="L1724" s="1095"/>
      <c r="M1724" s="1095"/>
    </row>
    <row r="1725" spans="1:13" x14ac:dyDescent="0.25">
      <c r="A1725">
        <v>1108120</v>
      </c>
      <c r="B1725" t="s">
        <v>9023</v>
      </c>
      <c r="C1725" t="s">
        <v>2596</v>
      </c>
      <c r="D1725" s="254">
        <v>532</v>
      </c>
      <c r="E1725"/>
      <c r="F1725"/>
      <c r="G1725"/>
      <c r="H1725"/>
      <c r="I1725" s="489"/>
      <c r="J1725" s="1095"/>
      <c r="K1725" s="1095"/>
      <c r="L1725" s="1095"/>
      <c r="M1725" s="1095"/>
    </row>
    <row r="1726" spans="1:13" x14ac:dyDescent="0.25">
      <c r="A1726">
        <v>1106050</v>
      </c>
      <c r="B1726" t="s">
        <v>9024</v>
      </c>
      <c r="C1726" t="s">
        <v>2596</v>
      </c>
      <c r="D1726" s="254">
        <v>49.58</v>
      </c>
      <c r="E1726"/>
      <c r="F1726"/>
      <c r="G1726"/>
      <c r="H1726"/>
      <c r="I1726" s="489"/>
      <c r="J1726" s="1095"/>
      <c r="K1726" s="1095"/>
      <c r="L1726" s="1095"/>
      <c r="M1726" s="1095"/>
    </row>
    <row r="1727" spans="1:13" x14ac:dyDescent="0.25">
      <c r="A1727">
        <v>1106051</v>
      </c>
      <c r="B1727" t="s">
        <v>9025</v>
      </c>
      <c r="C1727" t="s">
        <v>2596</v>
      </c>
      <c r="D1727" s="254">
        <v>41.89</v>
      </c>
      <c r="E1727"/>
      <c r="F1727"/>
      <c r="G1727"/>
      <c r="H1727"/>
      <c r="I1727" s="489"/>
      <c r="J1727" s="1095"/>
      <c r="K1727" s="1095"/>
      <c r="L1727" s="1095"/>
      <c r="M1727" s="1095"/>
    </row>
    <row r="1728" spans="1:13" x14ac:dyDescent="0.25">
      <c r="A1728">
        <v>1106061</v>
      </c>
      <c r="B1728" t="s">
        <v>9026</v>
      </c>
      <c r="C1728" t="s">
        <v>2596</v>
      </c>
      <c r="D1728" s="254">
        <v>56.43</v>
      </c>
      <c r="E1728"/>
      <c r="F1728"/>
      <c r="G1728"/>
      <c r="H1728"/>
      <c r="I1728" s="489"/>
      <c r="J1728" s="1095"/>
      <c r="K1728" s="1095"/>
      <c r="L1728" s="1095"/>
      <c r="M1728" s="1095"/>
    </row>
    <row r="1729" spans="1:13" x14ac:dyDescent="0.25">
      <c r="A1729">
        <v>1106087</v>
      </c>
      <c r="B1729" t="s">
        <v>6442</v>
      </c>
      <c r="C1729" t="s">
        <v>2596</v>
      </c>
      <c r="D1729" s="254">
        <v>48.95</v>
      </c>
      <c r="E1729"/>
      <c r="F1729"/>
      <c r="G1729"/>
      <c r="H1729"/>
      <c r="I1729" s="489"/>
      <c r="J1729" s="1095"/>
      <c r="K1729" s="1095"/>
      <c r="L1729" s="1095"/>
      <c r="M1729" s="1095"/>
    </row>
    <row r="1730" spans="1:13" x14ac:dyDescent="0.25">
      <c r="A1730">
        <v>1107860</v>
      </c>
      <c r="B1730" t="s">
        <v>9027</v>
      </c>
      <c r="C1730" t="s">
        <v>2596</v>
      </c>
      <c r="D1730" s="254">
        <v>59.09</v>
      </c>
      <c r="E1730"/>
      <c r="F1730"/>
      <c r="G1730"/>
      <c r="H1730"/>
      <c r="I1730" s="489"/>
      <c r="J1730" s="1095"/>
      <c r="K1730" s="1095"/>
      <c r="L1730" s="1095"/>
      <c r="M1730" s="1095"/>
    </row>
    <row r="1731" spans="1:13" x14ac:dyDescent="0.25">
      <c r="A1731">
        <v>1106088</v>
      </c>
      <c r="B1731" t="s">
        <v>9028</v>
      </c>
      <c r="C1731" t="s">
        <v>2596</v>
      </c>
      <c r="D1731" s="254">
        <v>60.47</v>
      </c>
      <c r="E1731"/>
      <c r="F1731"/>
      <c r="G1731"/>
      <c r="H1731"/>
      <c r="I1731" s="489"/>
      <c r="J1731" s="1095"/>
      <c r="K1731" s="1095"/>
      <c r="L1731" s="1095"/>
      <c r="M1731" s="1095"/>
    </row>
    <row r="1732" spans="1:13" x14ac:dyDescent="0.25">
      <c r="A1732">
        <v>1106128</v>
      </c>
      <c r="B1732" t="s">
        <v>9029</v>
      </c>
      <c r="C1732" t="s">
        <v>2596</v>
      </c>
      <c r="D1732" s="254">
        <v>50.46</v>
      </c>
      <c r="E1732"/>
      <c r="F1732"/>
      <c r="G1732"/>
      <c r="H1732"/>
      <c r="I1732" s="489"/>
      <c r="J1732" s="1095"/>
      <c r="K1732" s="1095"/>
      <c r="L1732" s="1095"/>
      <c r="M1732" s="1095"/>
    </row>
    <row r="1733" spans="1:13" x14ac:dyDescent="0.25">
      <c r="A1733">
        <v>1108056</v>
      </c>
      <c r="B1733" t="s">
        <v>9030</v>
      </c>
      <c r="C1733" t="s">
        <v>2596</v>
      </c>
      <c r="D1733" s="254">
        <v>2443.7600000000002</v>
      </c>
      <c r="E1733"/>
      <c r="F1733"/>
      <c r="G1733"/>
      <c r="H1733"/>
      <c r="I1733" s="489"/>
      <c r="J1733" s="1095"/>
      <c r="K1733" s="1095"/>
      <c r="L1733" s="1095"/>
      <c r="M1733" s="1095"/>
    </row>
    <row r="1734" spans="1:13" x14ac:dyDescent="0.25">
      <c r="A1734">
        <v>1108059</v>
      </c>
      <c r="B1734" t="s">
        <v>9031</v>
      </c>
      <c r="C1734" t="s">
        <v>2596</v>
      </c>
      <c r="D1734" s="254">
        <v>2734.42</v>
      </c>
      <c r="E1734"/>
      <c r="F1734"/>
      <c r="G1734"/>
      <c r="H1734"/>
      <c r="I1734" s="489"/>
      <c r="J1734" s="1095"/>
      <c r="K1734" s="1095"/>
      <c r="L1734" s="1095"/>
      <c r="M1734" s="1095"/>
    </row>
    <row r="1735" spans="1:13" x14ac:dyDescent="0.25">
      <c r="A1735">
        <v>1207700</v>
      </c>
      <c r="B1735" t="s">
        <v>9032</v>
      </c>
      <c r="C1735" t="s">
        <v>2596</v>
      </c>
      <c r="D1735" s="254">
        <v>569.87</v>
      </c>
      <c r="E1735"/>
      <c r="F1735"/>
      <c r="G1735"/>
      <c r="H1735"/>
      <c r="I1735" s="489"/>
      <c r="J1735" s="1095"/>
      <c r="K1735" s="1095"/>
      <c r="L1735" s="1095"/>
      <c r="M1735" s="1095"/>
    </row>
    <row r="1736" spans="1:13" x14ac:dyDescent="0.25">
      <c r="A1736">
        <v>1207701</v>
      </c>
      <c r="B1736" t="s">
        <v>9033</v>
      </c>
      <c r="C1736" t="s">
        <v>2596</v>
      </c>
      <c r="D1736" s="254">
        <v>604.80999999999995</v>
      </c>
      <c r="E1736"/>
      <c r="F1736"/>
      <c r="G1736"/>
      <c r="H1736"/>
      <c r="I1736" s="489"/>
      <c r="J1736" s="1095"/>
      <c r="K1736" s="1095"/>
      <c r="L1736" s="1095"/>
      <c r="M1736" s="1095"/>
    </row>
    <row r="1737" spans="1:13" x14ac:dyDescent="0.25">
      <c r="A1737">
        <v>1207702</v>
      </c>
      <c r="B1737" t="s">
        <v>9034</v>
      </c>
      <c r="C1737" t="s">
        <v>2596</v>
      </c>
      <c r="D1737" s="254">
        <v>643.91</v>
      </c>
      <c r="E1737"/>
      <c r="F1737"/>
      <c r="G1737"/>
      <c r="H1737"/>
      <c r="I1737" s="489"/>
      <c r="J1737" s="1095"/>
      <c r="K1737" s="1095"/>
      <c r="L1737" s="1095"/>
      <c r="M1737" s="1095"/>
    </row>
    <row r="1738" spans="1:13" x14ac:dyDescent="0.25">
      <c r="A1738">
        <v>1207708</v>
      </c>
      <c r="B1738" t="s">
        <v>9035</v>
      </c>
      <c r="C1738" t="s">
        <v>2596</v>
      </c>
      <c r="D1738" s="254">
        <v>583.38</v>
      </c>
      <c r="E1738"/>
      <c r="F1738"/>
      <c r="G1738"/>
      <c r="H1738"/>
      <c r="I1738" s="489"/>
      <c r="J1738" s="1095"/>
      <c r="K1738" s="1095"/>
      <c r="L1738" s="1095"/>
      <c r="M1738" s="1095"/>
    </row>
    <row r="1739" spans="1:13" x14ac:dyDescent="0.25">
      <c r="A1739">
        <v>1207703</v>
      </c>
      <c r="B1739" t="s">
        <v>9036</v>
      </c>
      <c r="C1739" t="s">
        <v>2596</v>
      </c>
      <c r="D1739" s="254">
        <v>736.52</v>
      </c>
      <c r="E1739"/>
      <c r="F1739"/>
      <c r="G1739"/>
      <c r="H1739"/>
      <c r="I1739" s="489"/>
      <c r="J1739" s="1095"/>
      <c r="K1739" s="1095"/>
      <c r="L1739" s="1095"/>
      <c r="M1739" s="1095"/>
    </row>
    <row r="1740" spans="1:13" x14ac:dyDescent="0.25">
      <c r="A1740">
        <v>1207709</v>
      </c>
      <c r="B1740" t="s">
        <v>9037</v>
      </c>
      <c r="C1740" t="s">
        <v>2596</v>
      </c>
      <c r="D1740" s="254">
        <v>668.34</v>
      </c>
      <c r="E1740"/>
      <c r="F1740"/>
      <c r="G1740"/>
      <c r="H1740"/>
      <c r="I1740" s="489"/>
      <c r="J1740" s="1095"/>
      <c r="K1740" s="1095"/>
      <c r="L1740" s="1095"/>
      <c r="M1740" s="1095"/>
    </row>
    <row r="1741" spans="1:13" x14ac:dyDescent="0.25">
      <c r="A1741">
        <v>1207710</v>
      </c>
      <c r="B1741" t="s">
        <v>9038</v>
      </c>
      <c r="C1741" t="s">
        <v>2596</v>
      </c>
      <c r="D1741" s="254">
        <v>866.35</v>
      </c>
      <c r="E1741"/>
      <c r="F1741"/>
      <c r="G1741"/>
      <c r="H1741"/>
      <c r="I1741" s="489"/>
      <c r="J1741" s="1095"/>
      <c r="K1741" s="1095"/>
      <c r="L1741" s="1095"/>
      <c r="M1741" s="1095"/>
    </row>
    <row r="1742" spans="1:13" x14ac:dyDescent="0.25">
      <c r="A1742">
        <v>1207711</v>
      </c>
      <c r="B1742" t="s">
        <v>9039</v>
      </c>
      <c r="C1742" t="s">
        <v>2596</v>
      </c>
      <c r="D1742" s="254">
        <v>1081.69</v>
      </c>
      <c r="E1742"/>
      <c r="F1742"/>
      <c r="G1742"/>
      <c r="H1742"/>
      <c r="I1742" s="489"/>
      <c r="J1742" s="1095"/>
      <c r="K1742" s="1095"/>
      <c r="L1742" s="1095"/>
      <c r="M1742" s="1095"/>
    </row>
    <row r="1743" spans="1:13" x14ac:dyDescent="0.25">
      <c r="A1743">
        <v>1207713</v>
      </c>
      <c r="B1743" t="s">
        <v>9040</v>
      </c>
      <c r="C1743" t="s">
        <v>2596</v>
      </c>
      <c r="D1743" s="254">
        <v>1642.11</v>
      </c>
      <c r="E1743"/>
      <c r="F1743"/>
      <c r="G1743"/>
      <c r="H1743"/>
      <c r="I1743" s="489"/>
      <c r="J1743" s="1095"/>
      <c r="K1743" s="1095"/>
      <c r="L1743" s="1095"/>
      <c r="M1743" s="1095"/>
    </row>
    <row r="1744" spans="1:13" x14ac:dyDescent="0.25">
      <c r="A1744">
        <v>1207714</v>
      </c>
      <c r="B1744" t="s">
        <v>9041</v>
      </c>
      <c r="C1744" t="s">
        <v>2596</v>
      </c>
      <c r="D1744" s="254">
        <v>907.46</v>
      </c>
      <c r="E1744"/>
      <c r="F1744"/>
      <c r="G1744"/>
      <c r="H1744"/>
      <c r="I1744" s="489"/>
      <c r="J1744" s="1095"/>
      <c r="K1744" s="1095"/>
      <c r="L1744" s="1095"/>
      <c r="M1744" s="1095"/>
    </row>
    <row r="1745" spans="1:13" x14ac:dyDescent="0.25">
      <c r="A1745">
        <v>1207715</v>
      </c>
      <c r="B1745" t="s">
        <v>9042</v>
      </c>
      <c r="C1745" t="s">
        <v>2596</v>
      </c>
      <c r="D1745" s="254">
        <v>1131.6099999999999</v>
      </c>
      <c r="E1745"/>
      <c r="F1745"/>
      <c r="G1745"/>
      <c r="H1745"/>
      <c r="I1745" s="489"/>
      <c r="J1745" s="1095"/>
      <c r="K1745" s="1095"/>
      <c r="L1745" s="1095"/>
      <c r="M1745" s="1095"/>
    </row>
    <row r="1746" spans="1:13" x14ac:dyDescent="0.25">
      <c r="A1746">
        <v>1207717</v>
      </c>
      <c r="B1746" t="s">
        <v>9043</v>
      </c>
      <c r="C1746" t="s">
        <v>2596</v>
      </c>
      <c r="D1746" s="254">
        <v>1711.99</v>
      </c>
      <c r="E1746"/>
      <c r="F1746"/>
      <c r="G1746"/>
      <c r="H1746"/>
      <c r="I1746" s="489"/>
      <c r="J1746" s="1095"/>
      <c r="K1746" s="1095"/>
      <c r="L1746" s="1095"/>
      <c r="M1746" s="1095"/>
    </row>
    <row r="1747" spans="1:13" x14ac:dyDescent="0.25">
      <c r="A1747">
        <v>1207718</v>
      </c>
      <c r="B1747" t="s">
        <v>9044</v>
      </c>
      <c r="C1747" t="s">
        <v>2596</v>
      </c>
      <c r="D1747" s="254">
        <v>953.46</v>
      </c>
      <c r="E1747"/>
      <c r="F1747"/>
      <c r="G1747"/>
      <c r="H1747"/>
      <c r="I1747" s="489"/>
      <c r="J1747" s="1095"/>
      <c r="K1747" s="1095"/>
      <c r="L1747" s="1095"/>
      <c r="M1747" s="1095"/>
    </row>
    <row r="1748" spans="1:13" x14ac:dyDescent="0.25">
      <c r="A1748">
        <v>1207719</v>
      </c>
      <c r="B1748" t="s">
        <v>9045</v>
      </c>
      <c r="C1748" t="s">
        <v>2596</v>
      </c>
      <c r="D1748" s="254">
        <v>1187.47</v>
      </c>
      <c r="E1748"/>
      <c r="F1748"/>
      <c r="G1748"/>
      <c r="H1748"/>
      <c r="I1748" s="489"/>
      <c r="J1748" s="1095"/>
      <c r="K1748" s="1095"/>
      <c r="L1748" s="1095"/>
      <c r="M1748" s="1095"/>
    </row>
    <row r="1749" spans="1:13" x14ac:dyDescent="0.25">
      <c r="A1749">
        <v>1207721</v>
      </c>
      <c r="B1749" t="s">
        <v>9046</v>
      </c>
      <c r="C1749" t="s">
        <v>2596</v>
      </c>
      <c r="D1749" s="254">
        <v>1790.19</v>
      </c>
      <c r="E1749"/>
      <c r="F1749"/>
      <c r="G1749"/>
      <c r="H1749"/>
      <c r="I1749" s="489"/>
      <c r="J1749" s="1095"/>
      <c r="K1749" s="1095"/>
      <c r="L1749" s="1095"/>
      <c r="M1749" s="1095"/>
    </row>
    <row r="1750" spans="1:13" x14ac:dyDescent="0.25">
      <c r="A1750">
        <v>1207722</v>
      </c>
      <c r="B1750" t="s">
        <v>9047</v>
      </c>
      <c r="C1750" t="s">
        <v>2596</v>
      </c>
      <c r="D1750" s="254">
        <v>1062.4100000000001</v>
      </c>
      <c r="E1750"/>
      <c r="F1750"/>
      <c r="G1750"/>
      <c r="H1750"/>
      <c r="I1750" s="489"/>
      <c r="J1750" s="1095"/>
      <c r="K1750" s="1095"/>
      <c r="L1750" s="1095"/>
      <c r="M1750" s="1095"/>
    </row>
    <row r="1751" spans="1:13" x14ac:dyDescent="0.25">
      <c r="A1751">
        <v>1207723</v>
      </c>
      <c r="B1751" t="s">
        <v>9048</v>
      </c>
      <c r="C1751" t="s">
        <v>2596</v>
      </c>
      <c r="D1751" s="254">
        <v>1319.77</v>
      </c>
      <c r="E1751"/>
      <c r="F1751"/>
      <c r="G1751"/>
      <c r="H1751"/>
      <c r="I1751" s="489"/>
      <c r="J1751" s="1095"/>
      <c r="K1751" s="1095"/>
      <c r="L1751" s="1095"/>
      <c r="M1751" s="1095"/>
    </row>
    <row r="1752" spans="1:13" x14ac:dyDescent="0.25">
      <c r="A1752">
        <v>1207725</v>
      </c>
      <c r="B1752" t="s">
        <v>9049</v>
      </c>
      <c r="C1752" t="s">
        <v>2596</v>
      </c>
      <c r="D1752" s="254">
        <v>1975.41</v>
      </c>
      <c r="E1752"/>
      <c r="F1752"/>
      <c r="G1752"/>
      <c r="H1752"/>
      <c r="I1752" s="489"/>
      <c r="J1752" s="1095"/>
      <c r="K1752" s="1095"/>
      <c r="L1752" s="1095"/>
      <c r="M1752" s="1095"/>
    </row>
    <row r="1753" spans="1:13" x14ac:dyDescent="0.25">
      <c r="A1753">
        <v>1207728</v>
      </c>
      <c r="B1753" t="s">
        <v>9050</v>
      </c>
      <c r="C1753" t="s">
        <v>2596</v>
      </c>
      <c r="D1753" s="254">
        <v>884.98</v>
      </c>
      <c r="E1753"/>
      <c r="F1753"/>
      <c r="G1753"/>
      <c r="H1753"/>
      <c r="I1753" s="489"/>
      <c r="J1753" s="1095"/>
      <c r="K1753" s="1095"/>
      <c r="L1753" s="1095"/>
      <c r="M1753" s="1095"/>
    </row>
    <row r="1754" spans="1:13" x14ac:dyDescent="0.25">
      <c r="A1754">
        <v>1207727</v>
      </c>
      <c r="B1754" t="s">
        <v>9051</v>
      </c>
      <c r="C1754" t="s">
        <v>2596</v>
      </c>
      <c r="D1754" s="254">
        <v>862.24</v>
      </c>
      <c r="E1754"/>
      <c r="F1754"/>
      <c r="G1754"/>
      <c r="H1754"/>
      <c r="I1754" s="489"/>
      <c r="J1754" s="1095"/>
      <c r="K1754" s="1095"/>
      <c r="L1754" s="1095"/>
      <c r="M1754" s="1095"/>
    </row>
    <row r="1755" spans="1:13" x14ac:dyDescent="0.25">
      <c r="A1755">
        <v>1207726</v>
      </c>
      <c r="B1755" t="s">
        <v>9052</v>
      </c>
      <c r="C1755" t="s">
        <v>2596</v>
      </c>
      <c r="D1755" s="254">
        <v>844.06</v>
      </c>
      <c r="E1755"/>
      <c r="F1755"/>
      <c r="G1755"/>
      <c r="H1755"/>
      <c r="I1755" s="489"/>
      <c r="J1755" s="1095"/>
      <c r="K1755" s="1095"/>
      <c r="L1755" s="1095"/>
      <c r="M1755" s="1095"/>
    </row>
    <row r="1756" spans="1:13" x14ac:dyDescent="0.25">
      <c r="A1756">
        <v>1208329</v>
      </c>
      <c r="B1756" t="s">
        <v>9053</v>
      </c>
      <c r="C1756" t="s">
        <v>2596</v>
      </c>
      <c r="D1756" s="254">
        <v>823.12</v>
      </c>
      <c r="E1756"/>
      <c r="F1756"/>
      <c r="G1756"/>
      <c r="H1756"/>
      <c r="I1756" s="489"/>
      <c r="J1756" s="1095"/>
      <c r="K1756" s="1095"/>
      <c r="L1756" s="1095"/>
      <c r="M1756" s="1095"/>
    </row>
    <row r="1757" spans="1:13" x14ac:dyDescent="0.25">
      <c r="A1757">
        <v>1207685</v>
      </c>
      <c r="B1757" t="s">
        <v>9054</v>
      </c>
      <c r="C1757" t="s">
        <v>2596</v>
      </c>
      <c r="D1757" s="254">
        <v>933.05</v>
      </c>
      <c r="E1757"/>
      <c r="F1757"/>
      <c r="G1757"/>
      <c r="H1757"/>
      <c r="I1757" s="489"/>
      <c r="J1757" s="1095"/>
      <c r="K1757" s="1095"/>
      <c r="L1757" s="1095"/>
      <c r="M1757" s="1095"/>
    </row>
    <row r="1758" spans="1:13" x14ac:dyDescent="0.25">
      <c r="A1758">
        <v>1207684</v>
      </c>
      <c r="B1758" t="s">
        <v>9055</v>
      </c>
      <c r="C1758" t="s">
        <v>2596</v>
      </c>
      <c r="D1758" s="254">
        <v>903.01</v>
      </c>
      <c r="E1758"/>
      <c r="F1758"/>
      <c r="G1758"/>
      <c r="H1758"/>
      <c r="I1758" s="489"/>
      <c r="J1758" s="1095"/>
      <c r="K1758" s="1095"/>
      <c r="L1758" s="1095"/>
      <c r="M1758" s="1095"/>
    </row>
    <row r="1759" spans="1:13" x14ac:dyDescent="0.25">
      <c r="A1759">
        <v>1207683</v>
      </c>
      <c r="B1759" t="s">
        <v>9056</v>
      </c>
      <c r="C1759" t="s">
        <v>2596</v>
      </c>
      <c r="D1759" s="254">
        <v>880.12</v>
      </c>
      <c r="E1759"/>
      <c r="F1759"/>
      <c r="G1759"/>
      <c r="H1759"/>
      <c r="I1759" s="489"/>
      <c r="J1759" s="1095"/>
      <c r="K1759" s="1095"/>
      <c r="L1759" s="1095"/>
      <c r="M1759" s="1095"/>
    </row>
    <row r="1760" spans="1:13" x14ac:dyDescent="0.25">
      <c r="A1760">
        <v>1208337</v>
      </c>
      <c r="B1760" t="s">
        <v>9057</v>
      </c>
      <c r="C1760" t="s">
        <v>2596</v>
      </c>
      <c r="D1760" s="254">
        <v>855.79</v>
      </c>
      <c r="E1760"/>
      <c r="F1760"/>
      <c r="G1760"/>
      <c r="H1760"/>
      <c r="I1760" s="489"/>
      <c r="J1760" s="1095"/>
      <c r="K1760" s="1095"/>
      <c r="L1760" s="1095"/>
      <c r="M1760" s="1095"/>
    </row>
    <row r="1761" spans="1:13" x14ac:dyDescent="0.25">
      <c r="A1761">
        <v>1207691</v>
      </c>
      <c r="B1761" t="s">
        <v>9058</v>
      </c>
      <c r="C1761" t="s">
        <v>2596</v>
      </c>
      <c r="D1761" s="254">
        <v>991.42</v>
      </c>
      <c r="E1761"/>
      <c r="F1761"/>
      <c r="G1761"/>
      <c r="H1761"/>
      <c r="I1761" s="489"/>
      <c r="J1761" s="1095"/>
      <c r="K1761" s="1095"/>
      <c r="L1761" s="1095"/>
      <c r="M1761" s="1095"/>
    </row>
    <row r="1762" spans="1:13" x14ac:dyDescent="0.25">
      <c r="A1762">
        <v>1207690</v>
      </c>
      <c r="B1762" t="s">
        <v>9059</v>
      </c>
      <c r="C1762" t="s">
        <v>2596</v>
      </c>
      <c r="D1762" s="254">
        <v>950.52</v>
      </c>
      <c r="E1762"/>
      <c r="F1762"/>
      <c r="G1762"/>
      <c r="H1762"/>
      <c r="I1762" s="489"/>
      <c r="J1762" s="1095"/>
      <c r="K1762" s="1095"/>
      <c r="L1762" s="1095"/>
      <c r="M1762" s="1095"/>
    </row>
    <row r="1763" spans="1:13" x14ac:dyDescent="0.25">
      <c r="A1763">
        <v>1207689</v>
      </c>
      <c r="B1763" t="s">
        <v>9060</v>
      </c>
      <c r="C1763" t="s">
        <v>2596</v>
      </c>
      <c r="D1763" s="254">
        <v>916.14</v>
      </c>
      <c r="E1763"/>
      <c r="F1763"/>
      <c r="G1763"/>
      <c r="H1763"/>
      <c r="I1763" s="489"/>
      <c r="J1763" s="1095"/>
      <c r="K1763" s="1095"/>
      <c r="L1763" s="1095"/>
      <c r="M1763" s="1095"/>
    </row>
    <row r="1764" spans="1:13" x14ac:dyDescent="0.25">
      <c r="A1764">
        <v>1208345</v>
      </c>
      <c r="B1764" t="s">
        <v>9061</v>
      </c>
      <c r="C1764" t="s">
        <v>2596</v>
      </c>
      <c r="D1764" s="254">
        <v>887.79</v>
      </c>
      <c r="E1764"/>
      <c r="F1764"/>
      <c r="G1764"/>
      <c r="H1764"/>
      <c r="I1764" s="489"/>
      <c r="J1764" s="1095"/>
      <c r="K1764" s="1095"/>
      <c r="L1764" s="1095"/>
      <c r="M1764" s="1095"/>
    </row>
    <row r="1765" spans="1:13" x14ac:dyDescent="0.25">
      <c r="A1765">
        <v>1207697</v>
      </c>
      <c r="B1765" t="s">
        <v>9062</v>
      </c>
      <c r="C1765" t="s">
        <v>2596</v>
      </c>
      <c r="D1765" s="254">
        <v>1065.6099999999999</v>
      </c>
      <c r="E1765"/>
      <c r="F1765"/>
      <c r="G1765"/>
      <c r="H1765"/>
      <c r="I1765" s="489"/>
      <c r="J1765" s="1095"/>
      <c r="K1765" s="1095"/>
      <c r="L1765" s="1095"/>
      <c r="M1765" s="1095"/>
    </row>
    <row r="1766" spans="1:13" x14ac:dyDescent="0.25">
      <c r="A1766">
        <v>1207696</v>
      </c>
      <c r="B1766" t="s">
        <v>9063</v>
      </c>
      <c r="C1766" t="s">
        <v>2596</v>
      </c>
      <c r="D1766" s="254">
        <v>1007.16</v>
      </c>
      <c r="E1766"/>
      <c r="F1766"/>
      <c r="G1766"/>
      <c r="H1766"/>
      <c r="I1766" s="489"/>
      <c r="J1766" s="1095"/>
      <c r="K1766" s="1095"/>
      <c r="L1766" s="1095"/>
      <c r="M1766" s="1095"/>
    </row>
    <row r="1767" spans="1:13" x14ac:dyDescent="0.25">
      <c r="A1767">
        <v>1207695</v>
      </c>
      <c r="B1767" t="s">
        <v>9064</v>
      </c>
      <c r="C1767" t="s">
        <v>2596</v>
      </c>
      <c r="D1767" s="254">
        <v>967.4</v>
      </c>
      <c r="E1767"/>
      <c r="F1767"/>
      <c r="G1767"/>
      <c r="H1767"/>
      <c r="I1767" s="489"/>
      <c r="J1767" s="1095"/>
      <c r="K1767" s="1095"/>
      <c r="L1767" s="1095"/>
      <c r="M1767" s="1095"/>
    </row>
    <row r="1768" spans="1:13" x14ac:dyDescent="0.25">
      <c r="A1768">
        <v>1208353</v>
      </c>
      <c r="B1768" t="s">
        <v>9065</v>
      </c>
      <c r="C1768" t="s">
        <v>2596</v>
      </c>
      <c r="D1768" s="254">
        <v>927.42</v>
      </c>
      <c r="E1768"/>
      <c r="F1768"/>
      <c r="G1768"/>
      <c r="H1768"/>
      <c r="I1768" s="489"/>
      <c r="J1768" s="1095"/>
      <c r="K1768" s="1095"/>
      <c r="L1768" s="1095"/>
      <c r="M1768" s="1095"/>
    </row>
    <row r="1769" spans="1:13" x14ac:dyDescent="0.25">
      <c r="A1769">
        <v>1207663</v>
      </c>
      <c r="B1769" t="s">
        <v>9066</v>
      </c>
      <c r="C1769" t="s">
        <v>2596</v>
      </c>
      <c r="D1769" s="254">
        <v>1159.3</v>
      </c>
      <c r="E1769"/>
      <c r="F1769"/>
      <c r="G1769"/>
      <c r="H1769"/>
      <c r="I1769" s="489"/>
      <c r="J1769" s="1095"/>
      <c r="K1769" s="1095"/>
      <c r="L1769" s="1095"/>
      <c r="M1769" s="1095"/>
    </row>
    <row r="1770" spans="1:13" x14ac:dyDescent="0.25">
      <c r="A1770">
        <v>1207662</v>
      </c>
      <c r="B1770" t="s">
        <v>9067</v>
      </c>
      <c r="C1770" t="s">
        <v>2596</v>
      </c>
      <c r="D1770" s="254">
        <v>1129.26</v>
      </c>
      <c r="E1770"/>
      <c r="F1770"/>
      <c r="G1770"/>
      <c r="H1770"/>
      <c r="I1770" s="489"/>
      <c r="J1770" s="1095"/>
      <c r="K1770" s="1095"/>
      <c r="L1770" s="1095"/>
      <c r="M1770" s="1095"/>
    </row>
    <row r="1771" spans="1:13" x14ac:dyDescent="0.25">
      <c r="A1771">
        <v>1207661</v>
      </c>
      <c r="B1771" t="s">
        <v>9068</v>
      </c>
      <c r="C1771" t="s">
        <v>2596</v>
      </c>
      <c r="D1771" s="254">
        <v>1105.23</v>
      </c>
      <c r="E1771"/>
      <c r="F1771"/>
      <c r="G1771"/>
      <c r="H1771"/>
      <c r="I1771" s="489"/>
      <c r="J1771" s="1095"/>
      <c r="K1771" s="1095"/>
      <c r="L1771" s="1095"/>
      <c r="M1771" s="1095"/>
    </row>
    <row r="1772" spans="1:13" x14ac:dyDescent="0.25">
      <c r="A1772">
        <v>1208361</v>
      </c>
      <c r="B1772" t="s">
        <v>9069</v>
      </c>
      <c r="C1772" t="s">
        <v>2596</v>
      </c>
      <c r="D1772" s="254">
        <v>1069.19</v>
      </c>
      <c r="E1772"/>
      <c r="F1772"/>
      <c r="G1772"/>
      <c r="H1772"/>
      <c r="I1772" s="489"/>
      <c r="J1772" s="1095"/>
      <c r="K1772" s="1095"/>
      <c r="L1772" s="1095"/>
      <c r="M1772" s="1095"/>
    </row>
    <row r="1773" spans="1:13" x14ac:dyDescent="0.25">
      <c r="A1773">
        <v>1207669</v>
      </c>
      <c r="B1773" t="s">
        <v>9070</v>
      </c>
      <c r="C1773" t="s">
        <v>2596</v>
      </c>
      <c r="D1773" s="254">
        <v>1292.5</v>
      </c>
      <c r="E1773"/>
      <c r="F1773"/>
      <c r="G1773"/>
      <c r="H1773"/>
      <c r="I1773" s="489"/>
      <c r="J1773" s="1095"/>
      <c r="K1773" s="1095"/>
      <c r="L1773" s="1095"/>
      <c r="M1773" s="1095"/>
    </row>
    <row r="1774" spans="1:13" x14ac:dyDescent="0.25">
      <c r="A1774">
        <v>1207668</v>
      </c>
      <c r="B1774" t="s">
        <v>9071</v>
      </c>
      <c r="C1774" t="s">
        <v>2596</v>
      </c>
      <c r="D1774" s="254">
        <v>1255.21</v>
      </c>
      <c r="E1774"/>
      <c r="F1774"/>
      <c r="G1774"/>
      <c r="H1774"/>
      <c r="I1774" s="489"/>
      <c r="J1774" s="1095"/>
      <c r="K1774" s="1095"/>
      <c r="L1774" s="1095"/>
      <c r="M1774" s="1095"/>
    </row>
    <row r="1775" spans="1:13" x14ac:dyDescent="0.25">
      <c r="A1775">
        <v>1207667</v>
      </c>
      <c r="B1775" t="s">
        <v>9072</v>
      </c>
      <c r="C1775" t="s">
        <v>2596</v>
      </c>
      <c r="D1775" s="254">
        <v>1199.28</v>
      </c>
      <c r="E1775"/>
      <c r="F1775"/>
      <c r="G1775"/>
      <c r="H1775"/>
      <c r="I1775" s="489"/>
      <c r="J1775" s="1095"/>
      <c r="K1775" s="1095"/>
      <c r="L1775" s="1095"/>
      <c r="M1775" s="1095"/>
    </row>
    <row r="1776" spans="1:13" x14ac:dyDescent="0.25">
      <c r="A1776">
        <v>1208369</v>
      </c>
      <c r="B1776" t="s">
        <v>9073</v>
      </c>
      <c r="C1776" t="s">
        <v>2596</v>
      </c>
      <c r="D1776" s="254">
        <v>1143.3499999999999</v>
      </c>
      <c r="E1776"/>
      <c r="F1776"/>
      <c r="G1776"/>
      <c r="H1776"/>
      <c r="I1776" s="489"/>
      <c r="J1776" s="1095"/>
      <c r="K1776" s="1095"/>
      <c r="L1776" s="1095"/>
      <c r="M1776" s="1095"/>
    </row>
    <row r="1777" spans="1:13" x14ac:dyDescent="0.25">
      <c r="A1777">
        <v>1207682</v>
      </c>
      <c r="B1777" t="s">
        <v>9074</v>
      </c>
      <c r="C1777" t="s">
        <v>2596</v>
      </c>
      <c r="D1777" s="254">
        <v>984.93</v>
      </c>
      <c r="E1777"/>
      <c r="F1777"/>
      <c r="G1777"/>
      <c r="H1777"/>
      <c r="I1777" s="489"/>
      <c r="J1777" s="1095"/>
      <c r="K1777" s="1095"/>
      <c r="L1777" s="1095"/>
      <c r="M1777" s="1095"/>
    </row>
    <row r="1778" spans="1:13" x14ac:dyDescent="0.25">
      <c r="A1778">
        <v>1207681</v>
      </c>
      <c r="B1778" t="s">
        <v>9075</v>
      </c>
      <c r="C1778" t="s">
        <v>2596</v>
      </c>
      <c r="D1778" s="254">
        <v>962.19</v>
      </c>
      <c r="E1778"/>
      <c r="F1778"/>
      <c r="G1778"/>
      <c r="H1778"/>
      <c r="I1778" s="489"/>
      <c r="J1778" s="1095"/>
      <c r="K1778" s="1095"/>
      <c r="L1778" s="1095"/>
      <c r="M1778" s="1095"/>
    </row>
    <row r="1779" spans="1:13" x14ac:dyDescent="0.25">
      <c r="A1779">
        <v>1207729</v>
      </c>
      <c r="B1779" t="s">
        <v>9076</v>
      </c>
      <c r="C1779" t="s">
        <v>2596</v>
      </c>
      <c r="D1779" s="254">
        <v>944.01</v>
      </c>
      <c r="E1779"/>
      <c r="F1779"/>
      <c r="G1779"/>
      <c r="H1779"/>
      <c r="I1779" s="489"/>
      <c r="J1779" s="1095"/>
      <c r="K1779" s="1095"/>
      <c r="L1779" s="1095"/>
      <c r="M1779" s="1095"/>
    </row>
    <row r="1780" spans="1:13" x14ac:dyDescent="0.25">
      <c r="A1780">
        <v>1208333</v>
      </c>
      <c r="B1780" t="s">
        <v>9077</v>
      </c>
      <c r="C1780" t="s">
        <v>2596</v>
      </c>
      <c r="D1780" s="254">
        <v>923.08</v>
      </c>
      <c r="E1780"/>
      <c r="F1780"/>
      <c r="G1780"/>
      <c r="H1780"/>
      <c r="I1780" s="489"/>
      <c r="J1780" s="1095"/>
      <c r="K1780" s="1095"/>
      <c r="L1780" s="1095"/>
      <c r="M1780" s="1095"/>
    </row>
    <row r="1781" spans="1:13" x14ac:dyDescent="0.25">
      <c r="A1781">
        <v>1207688</v>
      </c>
      <c r="B1781" t="s">
        <v>9078</v>
      </c>
      <c r="C1781" t="s">
        <v>2596</v>
      </c>
      <c r="D1781" s="254">
        <v>1036.03</v>
      </c>
      <c r="E1781"/>
      <c r="F1781"/>
      <c r="G1781"/>
      <c r="H1781"/>
      <c r="I1781" s="489"/>
      <c r="J1781" s="1095"/>
      <c r="K1781" s="1095"/>
      <c r="L1781" s="1095"/>
      <c r="M1781" s="1095"/>
    </row>
    <row r="1782" spans="1:13" x14ac:dyDescent="0.25">
      <c r="A1782">
        <v>1207687</v>
      </c>
      <c r="B1782" t="s">
        <v>9079</v>
      </c>
      <c r="C1782" t="s">
        <v>2596</v>
      </c>
      <c r="D1782" s="254">
        <v>1005.99</v>
      </c>
      <c r="E1782"/>
      <c r="F1782"/>
      <c r="G1782"/>
      <c r="H1782"/>
      <c r="I1782" s="489"/>
      <c r="J1782" s="1095"/>
      <c r="K1782" s="1095"/>
      <c r="L1782" s="1095"/>
      <c r="M1782" s="1095"/>
    </row>
    <row r="1783" spans="1:13" x14ac:dyDescent="0.25">
      <c r="A1783">
        <v>1207686</v>
      </c>
      <c r="B1783" t="s">
        <v>9080</v>
      </c>
      <c r="C1783" t="s">
        <v>2596</v>
      </c>
      <c r="D1783" s="254">
        <v>983.1</v>
      </c>
      <c r="E1783"/>
      <c r="F1783"/>
      <c r="G1783"/>
      <c r="H1783"/>
      <c r="I1783" s="489"/>
      <c r="J1783" s="1095"/>
      <c r="K1783" s="1095"/>
      <c r="L1783" s="1095"/>
      <c r="M1783" s="1095"/>
    </row>
    <row r="1784" spans="1:13" x14ac:dyDescent="0.25">
      <c r="A1784">
        <v>1208341</v>
      </c>
      <c r="B1784" t="s">
        <v>9081</v>
      </c>
      <c r="C1784" t="s">
        <v>2596</v>
      </c>
      <c r="D1784" s="254">
        <v>958.77</v>
      </c>
      <c r="E1784"/>
      <c r="F1784"/>
      <c r="G1784"/>
      <c r="H1784"/>
      <c r="I1784" s="489"/>
      <c r="J1784" s="1095"/>
      <c r="K1784" s="1095"/>
      <c r="L1784" s="1095"/>
      <c r="M1784" s="1095"/>
    </row>
    <row r="1785" spans="1:13" x14ac:dyDescent="0.25">
      <c r="A1785">
        <v>1207694</v>
      </c>
      <c r="B1785" t="s">
        <v>9082</v>
      </c>
      <c r="C1785" t="s">
        <v>2596</v>
      </c>
      <c r="D1785" s="254">
        <v>1097.6199999999999</v>
      </c>
      <c r="E1785"/>
      <c r="F1785"/>
      <c r="G1785"/>
      <c r="H1785"/>
      <c r="I1785" s="489"/>
      <c r="J1785" s="1095"/>
      <c r="K1785" s="1095"/>
      <c r="L1785" s="1095"/>
      <c r="M1785" s="1095"/>
    </row>
    <row r="1786" spans="1:13" x14ac:dyDescent="0.25">
      <c r="A1786">
        <v>1207693</v>
      </c>
      <c r="B1786" t="s">
        <v>9083</v>
      </c>
      <c r="C1786" t="s">
        <v>2596</v>
      </c>
      <c r="D1786" s="254">
        <v>1056.72</v>
      </c>
      <c r="E1786"/>
      <c r="F1786"/>
      <c r="G1786"/>
      <c r="H1786"/>
      <c r="I1786" s="489"/>
      <c r="J1786" s="1095"/>
      <c r="K1786" s="1095"/>
      <c r="L1786" s="1095"/>
      <c r="M1786" s="1095"/>
    </row>
    <row r="1787" spans="1:13" x14ac:dyDescent="0.25">
      <c r="A1787">
        <v>1207692</v>
      </c>
      <c r="B1787" t="s">
        <v>9084</v>
      </c>
      <c r="C1787" t="s">
        <v>2596</v>
      </c>
      <c r="D1787" s="254">
        <v>1022.34</v>
      </c>
      <c r="E1787"/>
      <c r="F1787"/>
      <c r="G1787"/>
      <c r="H1787"/>
      <c r="I1787" s="489"/>
      <c r="J1787" s="1095"/>
      <c r="K1787" s="1095"/>
      <c r="L1787" s="1095"/>
      <c r="M1787" s="1095"/>
    </row>
    <row r="1788" spans="1:13" x14ac:dyDescent="0.25">
      <c r="A1788">
        <v>1208349</v>
      </c>
      <c r="B1788" t="s">
        <v>9085</v>
      </c>
      <c r="C1788" t="s">
        <v>2596</v>
      </c>
      <c r="D1788" s="254">
        <v>993.99</v>
      </c>
      <c r="E1788"/>
      <c r="F1788"/>
      <c r="G1788"/>
      <c r="H1788"/>
      <c r="I1788" s="489"/>
      <c r="J1788" s="1095"/>
      <c r="K1788" s="1095"/>
      <c r="L1788" s="1095"/>
      <c r="M1788" s="1095"/>
    </row>
    <row r="1789" spans="1:13" x14ac:dyDescent="0.25">
      <c r="A1789">
        <v>1207660</v>
      </c>
      <c r="B1789" t="s">
        <v>9086</v>
      </c>
      <c r="C1789" t="s">
        <v>2596</v>
      </c>
      <c r="D1789" s="254">
        <v>1175.24</v>
      </c>
      <c r="E1789"/>
      <c r="F1789"/>
      <c r="G1789"/>
      <c r="H1789"/>
      <c r="I1789" s="489"/>
      <c r="J1789" s="1095"/>
      <c r="K1789" s="1095"/>
      <c r="L1789" s="1095"/>
      <c r="M1789" s="1095"/>
    </row>
    <row r="1790" spans="1:13" x14ac:dyDescent="0.25">
      <c r="A1790">
        <v>1207699</v>
      </c>
      <c r="B1790" t="s">
        <v>9087</v>
      </c>
      <c r="C1790" t="s">
        <v>2596</v>
      </c>
      <c r="D1790" s="254">
        <v>1116.79</v>
      </c>
      <c r="E1790"/>
      <c r="F1790"/>
      <c r="G1790"/>
      <c r="H1790"/>
      <c r="I1790" s="489"/>
      <c r="J1790" s="1095"/>
      <c r="K1790" s="1095"/>
      <c r="L1790" s="1095"/>
      <c r="M1790" s="1095"/>
    </row>
    <row r="1791" spans="1:13" x14ac:dyDescent="0.25">
      <c r="A1791">
        <v>1207698</v>
      </c>
      <c r="B1791" t="s">
        <v>9088</v>
      </c>
      <c r="C1791" t="s">
        <v>2596</v>
      </c>
      <c r="D1791" s="254">
        <v>1077.03</v>
      </c>
      <c r="E1791"/>
      <c r="F1791"/>
      <c r="G1791"/>
      <c r="H1791"/>
      <c r="I1791" s="489"/>
      <c r="J1791" s="1095"/>
      <c r="K1791" s="1095"/>
      <c r="L1791" s="1095"/>
      <c r="M1791" s="1095"/>
    </row>
    <row r="1792" spans="1:13" x14ac:dyDescent="0.25">
      <c r="A1792">
        <v>1208357</v>
      </c>
      <c r="B1792" t="s">
        <v>9089</v>
      </c>
      <c r="C1792" t="s">
        <v>2596</v>
      </c>
      <c r="D1792" s="254">
        <v>1037.05</v>
      </c>
      <c r="E1792"/>
      <c r="F1792"/>
      <c r="G1792"/>
      <c r="H1792"/>
      <c r="I1792" s="489"/>
      <c r="J1792" s="1095"/>
      <c r="K1792" s="1095"/>
      <c r="L1792" s="1095"/>
      <c r="M1792" s="1095"/>
    </row>
    <row r="1793" spans="1:13" x14ac:dyDescent="0.25">
      <c r="A1793">
        <v>1207666</v>
      </c>
      <c r="B1793" t="s">
        <v>9090</v>
      </c>
      <c r="C1793" t="s">
        <v>2596</v>
      </c>
      <c r="D1793" s="254">
        <v>1272.58</v>
      </c>
      <c r="E1793"/>
      <c r="F1793"/>
      <c r="G1793"/>
      <c r="H1793"/>
      <c r="I1793" s="489"/>
      <c r="J1793" s="1095"/>
      <c r="K1793" s="1095"/>
      <c r="L1793" s="1095"/>
      <c r="M1793" s="1095"/>
    </row>
    <row r="1794" spans="1:13" x14ac:dyDescent="0.25">
      <c r="A1794">
        <v>1207665</v>
      </c>
      <c r="B1794" t="s">
        <v>9091</v>
      </c>
      <c r="C1794" t="s">
        <v>2596</v>
      </c>
      <c r="D1794" s="254">
        <v>1242.54</v>
      </c>
      <c r="E1794"/>
      <c r="F1794"/>
      <c r="G1794"/>
      <c r="H1794"/>
      <c r="I1794" s="489"/>
      <c r="J1794" s="1095"/>
      <c r="K1794" s="1095"/>
      <c r="L1794" s="1095"/>
      <c r="M1794" s="1095"/>
    </row>
    <row r="1795" spans="1:13" x14ac:dyDescent="0.25">
      <c r="A1795">
        <v>1207664</v>
      </c>
      <c r="B1795" t="s">
        <v>9092</v>
      </c>
      <c r="C1795" t="s">
        <v>2596</v>
      </c>
      <c r="D1795" s="254">
        <v>1218.51</v>
      </c>
      <c r="E1795"/>
      <c r="F1795"/>
      <c r="G1795"/>
      <c r="H1795"/>
      <c r="I1795" s="489"/>
      <c r="J1795" s="1095"/>
      <c r="K1795" s="1095"/>
      <c r="L1795" s="1095"/>
      <c r="M1795" s="1095"/>
    </row>
    <row r="1796" spans="1:13" x14ac:dyDescent="0.25">
      <c r="A1796">
        <v>1208365</v>
      </c>
      <c r="B1796" t="s">
        <v>9093</v>
      </c>
      <c r="C1796" t="s">
        <v>2596</v>
      </c>
      <c r="D1796" s="254">
        <v>1182.47</v>
      </c>
      <c r="E1796"/>
      <c r="F1796"/>
      <c r="G1796"/>
      <c r="H1796"/>
      <c r="I1796" s="489"/>
      <c r="J1796" s="1095"/>
      <c r="K1796" s="1095"/>
      <c r="L1796" s="1095"/>
      <c r="M1796" s="1095"/>
    </row>
    <row r="1797" spans="1:13" x14ac:dyDescent="0.25">
      <c r="A1797">
        <v>1207672</v>
      </c>
      <c r="B1797" t="s">
        <v>9094</v>
      </c>
      <c r="C1797" t="s">
        <v>2596</v>
      </c>
      <c r="D1797" s="254">
        <v>1409.69</v>
      </c>
      <c r="E1797"/>
      <c r="F1797"/>
      <c r="G1797"/>
      <c r="H1797"/>
      <c r="I1797" s="489"/>
      <c r="J1797" s="1095"/>
      <c r="K1797" s="1095"/>
      <c r="L1797" s="1095"/>
      <c r="M1797" s="1095"/>
    </row>
    <row r="1798" spans="1:13" x14ac:dyDescent="0.25">
      <c r="A1798">
        <v>1207671</v>
      </c>
      <c r="B1798" t="s">
        <v>9095</v>
      </c>
      <c r="C1798" t="s">
        <v>2596</v>
      </c>
      <c r="D1798" s="254">
        <v>1372.4</v>
      </c>
      <c r="E1798"/>
      <c r="F1798"/>
      <c r="G1798"/>
      <c r="H1798"/>
      <c r="I1798" s="489"/>
      <c r="J1798" s="1095"/>
      <c r="K1798" s="1095"/>
      <c r="L1798" s="1095"/>
      <c r="M1798" s="1095"/>
    </row>
    <row r="1799" spans="1:13" x14ac:dyDescent="0.25">
      <c r="A1799">
        <v>1207670</v>
      </c>
      <c r="B1799" t="s">
        <v>9096</v>
      </c>
      <c r="C1799" t="s">
        <v>2596</v>
      </c>
      <c r="D1799" s="254">
        <v>1316.47</v>
      </c>
      <c r="E1799"/>
      <c r="F1799"/>
      <c r="G1799"/>
      <c r="H1799"/>
      <c r="I1799" s="489"/>
      <c r="J1799" s="1095"/>
      <c r="K1799" s="1095"/>
      <c r="L1799" s="1095"/>
      <c r="M1799" s="1095"/>
    </row>
    <row r="1800" spans="1:13" x14ac:dyDescent="0.25">
      <c r="A1800">
        <v>1208373</v>
      </c>
      <c r="B1800" t="s">
        <v>9097</v>
      </c>
      <c r="C1800" t="s">
        <v>2596</v>
      </c>
      <c r="D1800" s="254">
        <v>1260.53</v>
      </c>
      <c r="E1800"/>
      <c r="F1800"/>
      <c r="G1800"/>
      <c r="H1800"/>
      <c r="I1800" s="489"/>
      <c r="J1800" s="1095"/>
      <c r="K1800" s="1095"/>
      <c r="L1800" s="1095"/>
      <c r="M1800" s="1095"/>
    </row>
    <row r="1801" spans="1:13" x14ac:dyDescent="0.25">
      <c r="A1801">
        <v>1407751</v>
      </c>
      <c r="B1801" t="s">
        <v>9098</v>
      </c>
      <c r="C1801" t="s">
        <v>2598</v>
      </c>
      <c r="D1801" s="254">
        <v>5.89</v>
      </c>
      <c r="E1801"/>
      <c r="F1801"/>
      <c r="G1801"/>
      <c r="H1801"/>
      <c r="I1801" s="489"/>
      <c r="J1801" s="1095"/>
      <c r="K1801" s="1095"/>
      <c r="L1801" s="1095"/>
      <c r="M1801" s="1095"/>
    </row>
    <row r="1802" spans="1:13" x14ac:dyDescent="0.25">
      <c r="A1802">
        <v>1407752</v>
      </c>
      <c r="B1802" t="s">
        <v>9099</v>
      </c>
      <c r="C1802" t="s">
        <v>2598</v>
      </c>
      <c r="D1802" s="254">
        <v>7.7</v>
      </c>
      <c r="E1802"/>
      <c r="F1802"/>
      <c r="G1802"/>
      <c r="H1802"/>
      <c r="I1802" s="489"/>
      <c r="J1802" s="1095"/>
      <c r="K1802" s="1095"/>
      <c r="L1802" s="1095"/>
      <c r="M1802" s="1095"/>
    </row>
    <row r="1803" spans="1:13" x14ac:dyDescent="0.25">
      <c r="A1803">
        <v>1407753</v>
      </c>
      <c r="B1803" t="s">
        <v>9100</v>
      </c>
      <c r="C1803" t="s">
        <v>2598</v>
      </c>
      <c r="D1803" s="254">
        <v>11.13</v>
      </c>
      <c r="E1803"/>
      <c r="F1803"/>
      <c r="G1803"/>
      <c r="H1803"/>
      <c r="I1803" s="489"/>
      <c r="J1803" s="1095"/>
      <c r="K1803" s="1095"/>
      <c r="L1803" s="1095"/>
      <c r="M1803" s="1095"/>
    </row>
    <row r="1804" spans="1:13" x14ac:dyDescent="0.25">
      <c r="A1804">
        <v>1407750</v>
      </c>
      <c r="B1804" t="s">
        <v>9101</v>
      </c>
      <c r="C1804" t="s">
        <v>2598</v>
      </c>
      <c r="D1804" s="254">
        <v>4.49</v>
      </c>
      <c r="E1804"/>
      <c r="F1804"/>
      <c r="G1804"/>
      <c r="H1804"/>
      <c r="I1804" s="489"/>
      <c r="J1804" s="1095"/>
      <c r="K1804" s="1095"/>
      <c r="L1804" s="1095"/>
      <c r="M1804" s="1095"/>
    </row>
    <row r="1805" spans="1:13" x14ac:dyDescent="0.25">
      <c r="A1805">
        <v>1400965</v>
      </c>
      <c r="B1805" t="s">
        <v>9102</v>
      </c>
      <c r="C1805" t="s">
        <v>2596</v>
      </c>
      <c r="D1805" s="254">
        <v>96.88</v>
      </c>
      <c r="E1805"/>
      <c r="F1805"/>
      <c r="G1805"/>
      <c r="H1805"/>
      <c r="I1805" s="489"/>
      <c r="J1805" s="1095"/>
      <c r="K1805" s="1095"/>
      <c r="L1805" s="1095"/>
      <c r="M1805" s="1095"/>
    </row>
    <row r="1806" spans="1:13" x14ac:dyDescent="0.25">
      <c r="A1806">
        <v>1400976</v>
      </c>
      <c r="B1806" t="s">
        <v>9103</v>
      </c>
      <c r="C1806" t="s">
        <v>2598</v>
      </c>
      <c r="D1806" s="254">
        <v>4.78</v>
      </c>
      <c r="E1806"/>
      <c r="F1806"/>
      <c r="G1806"/>
      <c r="H1806"/>
      <c r="I1806" s="489"/>
      <c r="J1806" s="1095"/>
      <c r="K1806" s="1095"/>
      <c r="L1806" s="1095"/>
      <c r="M1806" s="1095"/>
    </row>
    <row r="1807" spans="1:13" x14ac:dyDescent="0.25">
      <c r="A1807">
        <v>1400970</v>
      </c>
      <c r="B1807" t="s">
        <v>9104</v>
      </c>
      <c r="C1807" t="s">
        <v>2598</v>
      </c>
      <c r="D1807" s="254">
        <v>2.17</v>
      </c>
      <c r="E1807"/>
      <c r="F1807"/>
      <c r="G1807"/>
      <c r="H1807"/>
      <c r="I1807" s="489"/>
      <c r="J1807" s="1095"/>
      <c r="K1807" s="1095"/>
      <c r="L1807" s="1095"/>
      <c r="M1807" s="1095"/>
    </row>
    <row r="1808" spans="1:13" x14ac:dyDescent="0.25">
      <c r="A1808">
        <v>1400971</v>
      </c>
      <c r="B1808" t="s">
        <v>9105</v>
      </c>
      <c r="C1808" t="s">
        <v>2598</v>
      </c>
      <c r="D1808" s="254">
        <v>9.4600000000000009</v>
      </c>
      <c r="E1808"/>
      <c r="F1808"/>
      <c r="G1808"/>
      <c r="H1808"/>
      <c r="I1808" s="489"/>
      <c r="J1808" s="1095"/>
      <c r="K1808" s="1095"/>
      <c r="L1808" s="1095"/>
      <c r="M1808" s="1095"/>
    </row>
    <row r="1809" spans="1:13" x14ac:dyDescent="0.25">
      <c r="A1809">
        <v>1400972</v>
      </c>
      <c r="B1809" t="s">
        <v>9106</v>
      </c>
      <c r="C1809" t="s">
        <v>2598</v>
      </c>
      <c r="D1809" s="254">
        <v>1.67</v>
      </c>
      <c r="E1809"/>
      <c r="F1809"/>
      <c r="G1809"/>
      <c r="H1809"/>
      <c r="I1809" s="489"/>
      <c r="J1809" s="1095"/>
      <c r="K1809" s="1095"/>
      <c r="L1809" s="1095"/>
      <c r="M1809" s="1095"/>
    </row>
    <row r="1810" spans="1:13" x14ac:dyDescent="0.25">
      <c r="A1810">
        <v>1416201</v>
      </c>
      <c r="B1810" t="s">
        <v>9107</v>
      </c>
      <c r="C1810" t="s">
        <v>9108</v>
      </c>
      <c r="D1810" s="254">
        <v>0.19</v>
      </c>
      <c r="E1810"/>
      <c r="F1810"/>
      <c r="G1810"/>
      <c r="H1810"/>
      <c r="I1810" s="489"/>
      <c r="J1810" s="1095"/>
      <c r="K1810" s="1095"/>
      <c r="L1810" s="1095"/>
      <c r="M1810" s="1095"/>
    </row>
    <row r="1811" spans="1:13" x14ac:dyDescent="0.25">
      <c r="A1811">
        <v>1400969</v>
      </c>
      <c r="B1811" t="s">
        <v>9109</v>
      </c>
      <c r="C1811" t="s">
        <v>2640</v>
      </c>
      <c r="D1811" s="254">
        <v>0.1</v>
      </c>
      <c r="E1811"/>
      <c r="F1811"/>
      <c r="G1811"/>
      <c r="H1811"/>
      <c r="I1811" s="489"/>
      <c r="J1811" s="1095"/>
      <c r="K1811" s="1095"/>
      <c r="L1811" s="1095"/>
      <c r="M1811" s="1095"/>
    </row>
    <row r="1812" spans="1:13" x14ac:dyDescent="0.25">
      <c r="A1812">
        <v>1400975</v>
      </c>
      <c r="B1812" t="s">
        <v>9110</v>
      </c>
      <c r="C1812" t="s">
        <v>2598</v>
      </c>
      <c r="D1812" s="254">
        <v>3.24</v>
      </c>
      <c r="E1812"/>
      <c r="F1812"/>
      <c r="G1812"/>
      <c r="H1812"/>
      <c r="I1812" s="489"/>
      <c r="J1812" s="1095"/>
      <c r="K1812" s="1095"/>
      <c r="L1812" s="1095"/>
      <c r="M1812" s="1095"/>
    </row>
    <row r="1813" spans="1:13" x14ac:dyDescent="0.25">
      <c r="A1813">
        <v>1416141</v>
      </c>
      <c r="B1813" t="s">
        <v>9111</v>
      </c>
      <c r="C1813" t="s">
        <v>2598</v>
      </c>
      <c r="D1813" s="254">
        <v>3.11</v>
      </c>
      <c r="E1813"/>
      <c r="F1813"/>
      <c r="G1813"/>
      <c r="H1813"/>
      <c r="I1813" s="489"/>
      <c r="J1813" s="1095"/>
      <c r="K1813" s="1095"/>
      <c r="L1813" s="1095"/>
      <c r="M1813" s="1095"/>
    </row>
    <row r="1814" spans="1:13" x14ac:dyDescent="0.25">
      <c r="A1814">
        <v>1416142</v>
      </c>
      <c r="B1814" t="s">
        <v>9112</v>
      </c>
      <c r="C1814" t="s">
        <v>2598</v>
      </c>
      <c r="D1814" s="254">
        <v>4.8099999999999996</v>
      </c>
      <c r="E1814"/>
      <c r="F1814"/>
      <c r="G1814"/>
      <c r="H1814"/>
      <c r="I1814" s="489"/>
      <c r="J1814" s="1095"/>
      <c r="K1814" s="1095"/>
      <c r="L1814" s="1095"/>
      <c r="M1814" s="1095"/>
    </row>
    <row r="1815" spans="1:13" x14ac:dyDescent="0.25">
      <c r="A1815">
        <v>1400973</v>
      </c>
      <c r="B1815" t="s">
        <v>9113</v>
      </c>
      <c r="C1815" t="s">
        <v>2598</v>
      </c>
      <c r="D1815" s="254">
        <v>1.31</v>
      </c>
      <c r="E1815"/>
      <c r="F1815"/>
      <c r="G1815"/>
      <c r="H1815"/>
      <c r="I1815" s="489"/>
      <c r="J1815" s="1095"/>
      <c r="K1815" s="1095"/>
      <c r="L1815" s="1095"/>
      <c r="M1815" s="1095"/>
    </row>
    <row r="1816" spans="1:13" x14ac:dyDescent="0.25">
      <c r="A1816">
        <v>1400974</v>
      </c>
      <c r="B1816" t="s">
        <v>9114</v>
      </c>
      <c r="C1816" t="s">
        <v>2598</v>
      </c>
      <c r="D1816" s="254">
        <v>1.54</v>
      </c>
      <c r="E1816"/>
      <c r="F1816"/>
      <c r="G1816"/>
      <c r="H1816"/>
      <c r="I1816" s="489"/>
      <c r="J1816" s="1095"/>
      <c r="K1816" s="1095"/>
      <c r="L1816" s="1095"/>
      <c r="M1816" s="1095"/>
    </row>
    <row r="1817" spans="1:13" x14ac:dyDescent="0.25">
      <c r="A1817">
        <v>1416139</v>
      </c>
      <c r="B1817" t="s">
        <v>9115</v>
      </c>
      <c r="C1817" t="s">
        <v>2598</v>
      </c>
      <c r="D1817" s="254">
        <v>1.72</v>
      </c>
      <c r="E1817"/>
      <c r="F1817"/>
      <c r="G1817"/>
      <c r="H1817"/>
      <c r="I1817" s="489"/>
      <c r="J1817" s="1095"/>
      <c r="K1817" s="1095"/>
      <c r="L1817" s="1095"/>
      <c r="M1817" s="1095"/>
    </row>
    <row r="1818" spans="1:13" x14ac:dyDescent="0.25">
      <c r="A1818">
        <v>1416202</v>
      </c>
      <c r="B1818" t="s">
        <v>9116</v>
      </c>
      <c r="C1818" t="s">
        <v>2598</v>
      </c>
      <c r="D1818" s="254">
        <v>2</v>
      </c>
      <c r="E1818"/>
      <c r="F1818"/>
      <c r="G1818"/>
      <c r="H1818"/>
      <c r="I1818" s="489"/>
      <c r="J1818" s="1095"/>
      <c r="K1818" s="1095"/>
      <c r="L1818" s="1095"/>
      <c r="M1818" s="1095"/>
    </row>
    <row r="1819" spans="1:13" x14ac:dyDescent="0.25">
      <c r="A1819">
        <v>1416140</v>
      </c>
      <c r="B1819" t="s">
        <v>9117</v>
      </c>
      <c r="C1819" t="s">
        <v>2598</v>
      </c>
      <c r="D1819" s="254">
        <v>2.29</v>
      </c>
      <c r="E1819"/>
      <c r="F1819"/>
      <c r="G1819"/>
      <c r="H1819"/>
      <c r="I1819" s="489"/>
      <c r="J1819" s="1095"/>
      <c r="K1819" s="1095"/>
      <c r="L1819" s="1095"/>
      <c r="M1819" s="1095"/>
    </row>
    <row r="1820" spans="1:13" x14ac:dyDescent="0.25">
      <c r="A1820">
        <v>1419543</v>
      </c>
      <c r="B1820" t="s">
        <v>9118</v>
      </c>
      <c r="C1820" t="s">
        <v>2640</v>
      </c>
      <c r="D1820" s="254">
        <v>0.14000000000000001</v>
      </c>
      <c r="E1820"/>
      <c r="F1820"/>
      <c r="G1820"/>
      <c r="H1820"/>
      <c r="I1820" s="489"/>
      <c r="J1820" s="1095"/>
      <c r="K1820" s="1095"/>
      <c r="L1820" s="1095"/>
      <c r="M1820" s="1095"/>
    </row>
    <row r="1821" spans="1:13" x14ac:dyDescent="0.25">
      <c r="A1821">
        <v>1408173</v>
      </c>
      <c r="B1821" t="s">
        <v>9119</v>
      </c>
      <c r="C1821" t="s">
        <v>9108</v>
      </c>
      <c r="D1821" s="254">
        <v>0.05</v>
      </c>
      <c r="E1821"/>
      <c r="F1821"/>
      <c r="G1821"/>
      <c r="H1821"/>
      <c r="I1821" s="489"/>
      <c r="J1821" s="1095"/>
      <c r="K1821" s="1095"/>
      <c r="L1821" s="1095"/>
      <c r="M1821" s="1095"/>
    </row>
    <row r="1822" spans="1:13" x14ac:dyDescent="0.25">
      <c r="A1822">
        <v>1407063</v>
      </c>
      <c r="B1822" t="s">
        <v>9120</v>
      </c>
      <c r="C1822" t="s">
        <v>2640</v>
      </c>
      <c r="D1822" s="254">
        <v>7.23</v>
      </c>
      <c r="E1822"/>
      <c r="F1822"/>
      <c r="G1822"/>
      <c r="H1822"/>
      <c r="I1822" s="489"/>
      <c r="J1822" s="1095"/>
      <c r="K1822" s="1095"/>
      <c r="L1822" s="1095"/>
      <c r="M1822" s="1095"/>
    </row>
    <row r="1823" spans="1:13" x14ac:dyDescent="0.25">
      <c r="A1823">
        <v>1407064</v>
      </c>
      <c r="B1823" t="s">
        <v>9121</v>
      </c>
      <c r="C1823" t="s">
        <v>2640</v>
      </c>
      <c r="D1823" s="254">
        <v>7.47</v>
      </c>
      <c r="E1823"/>
      <c r="F1823"/>
      <c r="G1823"/>
      <c r="H1823"/>
      <c r="I1823" s="489"/>
      <c r="J1823" s="1095"/>
      <c r="K1823" s="1095"/>
      <c r="L1823" s="1095"/>
      <c r="M1823" s="1095"/>
    </row>
    <row r="1824" spans="1:13" x14ac:dyDescent="0.25">
      <c r="A1824">
        <v>1407065</v>
      </c>
      <c r="B1824" t="s">
        <v>9122</v>
      </c>
      <c r="C1824" t="s">
        <v>2640</v>
      </c>
      <c r="D1824" s="254">
        <v>7.65</v>
      </c>
      <c r="E1824"/>
      <c r="F1824"/>
      <c r="G1824"/>
      <c r="H1824"/>
      <c r="I1824" s="489"/>
      <c r="J1824" s="1095"/>
      <c r="K1824" s="1095"/>
      <c r="L1824" s="1095"/>
      <c r="M1824" s="1095"/>
    </row>
    <row r="1825" spans="1:13" x14ac:dyDescent="0.25">
      <c r="A1825">
        <v>1407066</v>
      </c>
      <c r="B1825" t="s">
        <v>9123</v>
      </c>
      <c r="C1825" t="s">
        <v>2640</v>
      </c>
      <c r="D1825" s="254">
        <v>7.52</v>
      </c>
      <c r="E1825"/>
      <c r="F1825"/>
      <c r="G1825"/>
      <c r="H1825"/>
      <c r="I1825" s="489"/>
      <c r="J1825" s="1095"/>
      <c r="K1825" s="1095"/>
      <c r="L1825" s="1095"/>
      <c r="M1825" s="1095"/>
    </row>
    <row r="1826" spans="1:13" x14ac:dyDescent="0.25">
      <c r="A1826">
        <v>1400977</v>
      </c>
      <c r="B1826" t="s">
        <v>9124</v>
      </c>
      <c r="C1826" t="s">
        <v>2598</v>
      </c>
      <c r="D1826" s="254">
        <v>2.54</v>
      </c>
      <c r="E1826"/>
      <c r="F1826"/>
      <c r="G1826"/>
      <c r="H1826"/>
      <c r="I1826" s="489"/>
      <c r="J1826" s="1095"/>
      <c r="K1826" s="1095"/>
      <c r="L1826" s="1095"/>
      <c r="M1826" s="1095"/>
    </row>
    <row r="1827" spans="1:13" x14ac:dyDescent="0.25">
      <c r="A1827">
        <v>1407067</v>
      </c>
      <c r="B1827" t="s">
        <v>9125</v>
      </c>
      <c r="C1827" t="s">
        <v>2640</v>
      </c>
      <c r="D1827" s="254">
        <v>2.33</v>
      </c>
      <c r="E1827"/>
      <c r="F1827"/>
      <c r="G1827"/>
      <c r="H1827"/>
      <c r="I1827" s="489"/>
      <c r="J1827" s="1095"/>
      <c r="K1827" s="1095"/>
      <c r="L1827" s="1095"/>
      <c r="M1827" s="1095"/>
    </row>
    <row r="1828" spans="1:13" x14ac:dyDescent="0.25">
      <c r="A1828">
        <v>1407068</v>
      </c>
      <c r="B1828" t="s">
        <v>9126</v>
      </c>
      <c r="C1828" t="s">
        <v>2640</v>
      </c>
      <c r="D1828" s="254">
        <v>2.62</v>
      </c>
      <c r="E1828"/>
      <c r="F1828"/>
      <c r="G1828"/>
      <c r="H1828"/>
      <c r="I1828" s="489"/>
      <c r="J1828" s="1095"/>
      <c r="K1828" s="1095"/>
      <c r="L1828" s="1095"/>
      <c r="M1828" s="1095"/>
    </row>
    <row r="1829" spans="1:13" x14ac:dyDescent="0.25">
      <c r="A1829">
        <v>1407069</v>
      </c>
      <c r="B1829" t="s">
        <v>9127</v>
      </c>
      <c r="C1829" t="s">
        <v>2640</v>
      </c>
      <c r="D1829" s="254">
        <v>2.84</v>
      </c>
      <c r="E1829"/>
      <c r="F1829"/>
      <c r="G1829"/>
      <c r="H1829"/>
      <c r="I1829" s="489"/>
      <c r="J1829" s="1095"/>
      <c r="K1829" s="1095"/>
      <c r="L1829" s="1095"/>
      <c r="M1829" s="1095"/>
    </row>
    <row r="1830" spans="1:13" x14ac:dyDescent="0.25">
      <c r="A1830">
        <v>1407070</v>
      </c>
      <c r="B1830" t="s">
        <v>9128</v>
      </c>
      <c r="C1830" t="s">
        <v>2640</v>
      </c>
      <c r="D1830" s="254">
        <v>2.7</v>
      </c>
      <c r="E1830"/>
      <c r="F1830"/>
      <c r="G1830"/>
      <c r="H1830"/>
      <c r="I1830" s="489"/>
      <c r="J1830" s="1095"/>
      <c r="K1830" s="1095"/>
      <c r="L1830" s="1095"/>
      <c r="M1830" s="1095"/>
    </row>
    <row r="1831" spans="1:13" x14ac:dyDescent="0.25">
      <c r="A1831">
        <v>1408148</v>
      </c>
      <c r="B1831" t="s">
        <v>9129</v>
      </c>
      <c r="C1831" t="s">
        <v>2598</v>
      </c>
      <c r="D1831" s="254">
        <v>398.46</v>
      </c>
      <c r="E1831"/>
      <c r="F1831"/>
      <c r="G1831"/>
      <c r="H1831"/>
      <c r="I1831" s="489"/>
      <c r="J1831" s="1095"/>
      <c r="K1831" s="1095"/>
      <c r="L1831" s="1095"/>
      <c r="M1831" s="1095"/>
    </row>
    <row r="1832" spans="1:13" x14ac:dyDescent="0.25">
      <c r="A1832">
        <v>1408021</v>
      </c>
      <c r="B1832" t="s">
        <v>9130</v>
      </c>
      <c r="C1832" t="s">
        <v>2598</v>
      </c>
      <c r="D1832" s="254">
        <v>118.75</v>
      </c>
      <c r="E1832"/>
      <c r="F1832"/>
      <c r="G1832"/>
      <c r="H1832"/>
      <c r="I1832" s="489"/>
      <c r="J1832" s="1095"/>
      <c r="K1832" s="1095"/>
      <c r="L1832" s="1095"/>
      <c r="M1832" s="1095"/>
    </row>
    <row r="1833" spans="1:13" x14ac:dyDescent="0.25">
      <c r="A1833">
        <v>1408024</v>
      </c>
      <c r="B1833" t="s">
        <v>9131</v>
      </c>
      <c r="C1833" t="s">
        <v>2598</v>
      </c>
      <c r="D1833" s="254">
        <v>122.43</v>
      </c>
      <c r="E1833"/>
      <c r="F1833"/>
      <c r="G1833"/>
      <c r="H1833"/>
      <c r="I1833" s="489"/>
      <c r="J1833" s="1095"/>
      <c r="K1833" s="1095"/>
      <c r="L1833" s="1095"/>
      <c r="M1833" s="1095"/>
    </row>
    <row r="1834" spans="1:13" x14ac:dyDescent="0.25">
      <c r="A1834">
        <v>1408026</v>
      </c>
      <c r="B1834" t="s">
        <v>9132</v>
      </c>
      <c r="C1834" t="s">
        <v>2598</v>
      </c>
      <c r="D1834" s="254">
        <v>151.79</v>
      </c>
      <c r="E1834"/>
      <c r="F1834"/>
      <c r="G1834"/>
      <c r="H1834"/>
      <c r="I1834" s="489"/>
      <c r="J1834" s="1095"/>
      <c r="K1834" s="1095"/>
      <c r="L1834" s="1095"/>
      <c r="M1834" s="1095"/>
    </row>
    <row r="1835" spans="1:13" x14ac:dyDescent="0.25">
      <c r="A1835">
        <v>1408142</v>
      </c>
      <c r="B1835" t="s">
        <v>9133</v>
      </c>
      <c r="C1835" t="s">
        <v>2598</v>
      </c>
      <c r="D1835" s="254">
        <v>189.51</v>
      </c>
      <c r="E1835"/>
      <c r="F1835"/>
      <c r="G1835"/>
      <c r="H1835"/>
      <c r="I1835" s="489"/>
      <c r="J1835" s="1095"/>
      <c r="K1835" s="1095"/>
      <c r="L1835" s="1095"/>
      <c r="M1835" s="1095"/>
    </row>
    <row r="1836" spans="1:13" x14ac:dyDescent="0.25">
      <c r="A1836">
        <v>1408143</v>
      </c>
      <c r="B1836" t="s">
        <v>9134</v>
      </c>
      <c r="C1836" t="s">
        <v>2598</v>
      </c>
      <c r="D1836" s="254">
        <v>191.42</v>
      </c>
      <c r="E1836"/>
      <c r="F1836"/>
      <c r="G1836"/>
      <c r="H1836"/>
      <c r="I1836" s="489"/>
      <c r="J1836" s="1095"/>
      <c r="K1836" s="1095"/>
      <c r="L1836" s="1095"/>
      <c r="M1836" s="1095"/>
    </row>
    <row r="1837" spans="1:13" x14ac:dyDescent="0.25">
      <c r="A1837">
        <v>1408144</v>
      </c>
      <c r="B1837" t="s">
        <v>9135</v>
      </c>
      <c r="C1837" t="s">
        <v>2598</v>
      </c>
      <c r="D1837" s="254">
        <v>199.85</v>
      </c>
      <c r="E1837"/>
      <c r="F1837"/>
      <c r="G1837"/>
      <c r="H1837"/>
      <c r="I1837" s="489"/>
      <c r="J1837" s="1095"/>
      <c r="K1837" s="1095"/>
      <c r="L1837" s="1095"/>
      <c r="M1837" s="1095"/>
    </row>
    <row r="1838" spans="1:13" x14ac:dyDescent="0.25">
      <c r="A1838">
        <v>1408145</v>
      </c>
      <c r="B1838" t="s">
        <v>9136</v>
      </c>
      <c r="C1838" t="s">
        <v>2598</v>
      </c>
      <c r="D1838" s="254">
        <v>216.68</v>
      </c>
      <c r="E1838"/>
      <c r="F1838"/>
      <c r="G1838"/>
      <c r="H1838"/>
      <c r="I1838" s="489"/>
      <c r="J1838" s="1095"/>
      <c r="K1838" s="1095"/>
      <c r="L1838" s="1095"/>
      <c r="M1838" s="1095"/>
    </row>
    <row r="1839" spans="1:13" x14ac:dyDescent="0.25">
      <c r="A1839">
        <v>1408146</v>
      </c>
      <c r="B1839" t="s">
        <v>9137</v>
      </c>
      <c r="C1839" t="s">
        <v>2598</v>
      </c>
      <c r="D1839" s="254">
        <v>229.92</v>
      </c>
      <c r="E1839"/>
      <c r="F1839"/>
      <c r="G1839"/>
      <c r="H1839"/>
      <c r="I1839" s="489"/>
      <c r="J1839" s="1095"/>
      <c r="K1839" s="1095"/>
      <c r="L1839" s="1095"/>
      <c r="M1839" s="1095"/>
    </row>
    <row r="1840" spans="1:13" x14ac:dyDescent="0.25">
      <c r="A1840">
        <v>1408147</v>
      </c>
      <c r="B1840" t="s">
        <v>9138</v>
      </c>
      <c r="C1840" t="s">
        <v>2598</v>
      </c>
      <c r="D1840" s="254">
        <v>324.26</v>
      </c>
      <c r="E1840"/>
      <c r="F1840"/>
      <c r="G1840"/>
      <c r="H1840"/>
      <c r="I1840" s="489"/>
      <c r="J1840" s="1095"/>
      <c r="K1840" s="1095"/>
      <c r="L1840" s="1095"/>
      <c r="M1840" s="1095"/>
    </row>
    <row r="1841" spans="1:13" x14ac:dyDescent="0.25">
      <c r="A1841">
        <v>1408019</v>
      </c>
      <c r="B1841" t="s">
        <v>9139</v>
      </c>
      <c r="C1841" t="s">
        <v>2598</v>
      </c>
      <c r="D1841" s="254">
        <v>17.309999999999999</v>
      </c>
      <c r="E1841"/>
      <c r="F1841"/>
      <c r="G1841"/>
      <c r="H1841"/>
      <c r="I1841" s="489"/>
      <c r="J1841" s="1095"/>
      <c r="K1841" s="1095"/>
      <c r="L1841" s="1095"/>
      <c r="M1841" s="1095"/>
    </row>
    <row r="1842" spans="1:13" x14ac:dyDescent="0.25">
      <c r="A1842">
        <v>1408020</v>
      </c>
      <c r="B1842" t="s">
        <v>9140</v>
      </c>
      <c r="C1842" t="s">
        <v>2598</v>
      </c>
      <c r="D1842" s="254">
        <v>22.85</v>
      </c>
      <c r="E1842"/>
      <c r="F1842"/>
      <c r="G1842"/>
      <c r="H1842"/>
      <c r="I1842" s="489"/>
      <c r="J1842" s="1095"/>
      <c r="K1842" s="1095"/>
      <c r="L1842" s="1095"/>
      <c r="M1842" s="1095"/>
    </row>
    <row r="1843" spans="1:13" x14ac:dyDescent="0.25">
      <c r="A1843">
        <v>1408025</v>
      </c>
      <c r="B1843" t="s">
        <v>9141</v>
      </c>
      <c r="C1843" t="s">
        <v>2598</v>
      </c>
      <c r="D1843" s="254">
        <v>27.79</v>
      </c>
      <c r="E1843"/>
      <c r="F1843"/>
      <c r="G1843"/>
      <c r="H1843"/>
      <c r="I1843" s="489"/>
      <c r="J1843" s="1095"/>
      <c r="K1843" s="1095"/>
      <c r="L1843" s="1095"/>
      <c r="M1843" s="1095"/>
    </row>
    <row r="1844" spans="1:13" x14ac:dyDescent="0.25">
      <c r="A1844">
        <v>1416257</v>
      </c>
      <c r="B1844" t="s">
        <v>9142</v>
      </c>
      <c r="C1844" t="s">
        <v>2598</v>
      </c>
      <c r="D1844" s="254">
        <v>200.82</v>
      </c>
      <c r="E1844"/>
      <c r="F1844"/>
      <c r="G1844"/>
      <c r="H1844"/>
      <c r="I1844" s="489"/>
      <c r="J1844" s="1095"/>
      <c r="K1844" s="1095"/>
      <c r="L1844" s="1095"/>
      <c r="M1844" s="1095"/>
    </row>
    <row r="1845" spans="1:13" x14ac:dyDescent="0.25">
      <c r="A1845">
        <v>1416253</v>
      </c>
      <c r="B1845" t="s">
        <v>9143</v>
      </c>
      <c r="C1845" t="s">
        <v>2598</v>
      </c>
      <c r="D1845" s="254">
        <v>450.19</v>
      </c>
      <c r="E1845"/>
      <c r="F1845"/>
      <c r="G1845"/>
      <c r="H1845"/>
      <c r="I1845" s="489"/>
      <c r="J1845" s="1095"/>
      <c r="K1845" s="1095"/>
      <c r="L1845" s="1095"/>
      <c r="M1845" s="1095"/>
    </row>
    <row r="1846" spans="1:13" x14ac:dyDescent="0.25">
      <c r="A1846">
        <v>1416254</v>
      </c>
      <c r="B1846" t="s">
        <v>9144</v>
      </c>
      <c r="C1846" t="s">
        <v>2598</v>
      </c>
      <c r="D1846" s="254">
        <v>39.81</v>
      </c>
      <c r="E1846"/>
      <c r="F1846"/>
      <c r="G1846"/>
      <c r="H1846"/>
      <c r="I1846" s="489"/>
      <c r="J1846" s="1095"/>
      <c r="K1846" s="1095"/>
      <c r="L1846" s="1095"/>
      <c r="M1846" s="1095"/>
    </row>
    <row r="1847" spans="1:13" x14ac:dyDescent="0.25">
      <c r="A1847">
        <v>1416255</v>
      </c>
      <c r="B1847" t="s">
        <v>9145</v>
      </c>
      <c r="C1847" t="s">
        <v>2598</v>
      </c>
      <c r="D1847" s="254">
        <v>68.569999999999993</v>
      </c>
      <c r="E1847"/>
      <c r="F1847"/>
      <c r="G1847"/>
      <c r="H1847"/>
      <c r="I1847" s="489"/>
      <c r="J1847" s="1095"/>
      <c r="K1847" s="1095"/>
      <c r="L1847" s="1095"/>
      <c r="M1847" s="1095"/>
    </row>
    <row r="1848" spans="1:13" x14ac:dyDescent="0.25">
      <c r="A1848">
        <v>1416256</v>
      </c>
      <c r="B1848" t="s">
        <v>9146</v>
      </c>
      <c r="C1848" t="s">
        <v>2598</v>
      </c>
      <c r="D1848" s="254">
        <v>104.74</v>
      </c>
      <c r="E1848"/>
      <c r="F1848"/>
      <c r="G1848"/>
      <c r="H1848"/>
      <c r="I1848" s="489"/>
      <c r="J1848" s="1095"/>
      <c r="K1848" s="1095"/>
      <c r="L1848" s="1095"/>
      <c r="M1848" s="1095"/>
    </row>
    <row r="1849" spans="1:13" x14ac:dyDescent="0.25">
      <c r="A1849">
        <v>1408028</v>
      </c>
      <c r="B1849" t="s">
        <v>9147</v>
      </c>
      <c r="C1849" t="s">
        <v>2716</v>
      </c>
      <c r="D1849" s="254">
        <v>180.78</v>
      </c>
      <c r="E1849"/>
      <c r="F1849"/>
      <c r="G1849"/>
      <c r="H1849"/>
      <c r="I1849" s="489"/>
      <c r="J1849" s="1095"/>
      <c r="K1849" s="1095"/>
      <c r="L1849" s="1095"/>
      <c r="M1849" s="1095"/>
    </row>
    <row r="1850" spans="1:13" x14ac:dyDescent="0.25">
      <c r="A1850">
        <v>1408027</v>
      </c>
      <c r="B1850" t="s">
        <v>9148</v>
      </c>
      <c r="C1850" t="s">
        <v>2716</v>
      </c>
      <c r="D1850" s="254">
        <v>120.4</v>
      </c>
      <c r="E1850"/>
      <c r="F1850"/>
      <c r="G1850"/>
      <c r="H1850"/>
      <c r="I1850" s="489"/>
      <c r="J1850" s="1095"/>
      <c r="K1850" s="1095"/>
      <c r="L1850" s="1095"/>
      <c r="M1850" s="1095"/>
    </row>
    <row r="1851" spans="1:13" x14ac:dyDescent="0.25">
      <c r="A1851">
        <v>1400978</v>
      </c>
      <c r="B1851" t="s">
        <v>9149</v>
      </c>
      <c r="C1851" t="s">
        <v>2716</v>
      </c>
      <c r="D1851" s="254">
        <v>186.54</v>
      </c>
      <c r="E1851"/>
      <c r="F1851"/>
      <c r="G1851"/>
      <c r="H1851"/>
      <c r="I1851" s="489"/>
      <c r="J1851" s="1095"/>
      <c r="K1851" s="1095"/>
      <c r="L1851" s="1095"/>
      <c r="M1851" s="1095"/>
    </row>
    <row r="1852" spans="1:13" x14ac:dyDescent="0.25">
      <c r="A1852">
        <v>1513941</v>
      </c>
      <c r="B1852" t="s">
        <v>9150</v>
      </c>
      <c r="C1852" t="s">
        <v>2596</v>
      </c>
      <c r="D1852" s="254">
        <v>499.56</v>
      </c>
      <c r="E1852"/>
      <c r="F1852"/>
      <c r="G1852"/>
      <c r="H1852"/>
      <c r="I1852" s="489"/>
      <c r="J1852" s="1095"/>
      <c r="K1852" s="1095"/>
      <c r="L1852" s="1095"/>
      <c r="M1852" s="1095"/>
    </row>
    <row r="1853" spans="1:13" x14ac:dyDescent="0.25">
      <c r="A1853">
        <v>1513940</v>
      </c>
      <c r="B1853" t="s">
        <v>9151</v>
      </c>
      <c r="C1853" t="s">
        <v>2596</v>
      </c>
      <c r="D1853" s="254">
        <v>331.85</v>
      </c>
      <c r="E1853"/>
      <c r="F1853"/>
      <c r="G1853"/>
      <c r="H1853"/>
      <c r="I1853" s="489"/>
      <c r="J1853" s="1095"/>
      <c r="K1853" s="1095"/>
      <c r="L1853" s="1095"/>
      <c r="M1853" s="1095"/>
    </row>
    <row r="1854" spans="1:13" x14ac:dyDescent="0.25">
      <c r="A1854">
        <v>1505879</v>
      </c>
      <c r="B1854" t="s">
        <v>9152</v>
      </c>
      <c r="C1854" t="s">
        <v>2596</v>
      </c>
      <c r="D1854" s="254">
        <v>252.21</v>
      </c>
      <c r="E1854"/>
      <c r="F1854"/>
      <c r="G1854"/>
      <c r="H1854"/>
      <c r="I1854" s="489"/>
      <c r="J1854" s="1095"/>
      <c r="K1854" s="1095"/>
      <c r="L1854" s="1095"/>
      <c r="M1854" s="1095"/>
    </row>
    <row r="1855" spans="1:13" x14ac:dyDescent="0.25">
      <c r="A1855">
        <v>1505878</v>
      </c>
      <c r="B1855" t="s">
        <v>9153</v>
      </c>
      <c r="C1855" t="s">
        <v>2596</v>
      </c>
      <c r="D1855" s="254">
        <v>163.27000000000001</v>
      </c>
      <c r="E1855"/>
      <c r="F1855"/>
      <c r="G1855"/>
      <c r="H1855"/>
      <c r="I1855" s="489"/>
      <c r="J1855" s="1095"/>
      <c r="K1855" s="1095"/>
      <c r="L1855" s="1095"/>
      <c r="M1855" s="1095"/>
    </row>
    <row r="1856" spans="1:13" x14ac:dyDescent="0.25">
      <c r="A1856">
        <v>1505877</v>
      </c>
      <c r="B1856" t="s">
        <v>9154</v>
      </c>
      <c r="C1856" t="s">
        <v>2596</v>
      </c>
      <c r="D1856" s="254">
        <v>160.01</v>
      </c>
      <c r="E1856"/>
      <c r="F1856"/>
      <c r="G1856"/>
      <c r="H1856"/>
      <c r="I1856" s="489"/>
      <c r="J1856" s="1095"/>
      <c r="K1856" s="1095"/>
      <c r="L1856" s="1095"/>
      <c r="M1856" s="1095"/>
    </row>
    <row r="1857" spans="1:13" x14ac:dyDescent="0.25">
      <c r="A1857">
        <v>1505860</v>
      </c>
      <c r="B1857" t="s">
        <v>9155</v>
      </c>
      <c r="C1857" t="s">
        <v>2596</v>
      </c>
      <c r="D1857" s="254">
        <v>163.19999999999999</v>
      </c>
      <c r="E1857"/>
      <c r="F1857"/>
      <c r="G1857"/>
      <c r="H1857"/>
      <c r="I1857" s="489"/>
      <c r="J1857" s="1095"/>
      <c r="K1857" s="1095"/>
      <c r="L1857" s="1095"/>
      <c r="M1857" s="1095"/>
    </row>
    <row r="1858" spans="1:13" x14ac:dyDescent="0.25">
      <c r="A1858">
        <v>1505859</v>
      </c>
      <c r="B1858" t="s">
        <v>9156</v>
      </c>
      <c r="C1858" t="s">
        <v>2596</v>
      </c>
      <c r="D1858" s="254">
        <v>89.09</v>
      </c>
      <c r="E1858"/>
      <c r="F1858"/>
      <c r="G1858"/>
      <c r="H1858"/>
      <c r="I1858" s="489"/>
      <c r="J1858" s="1095"/>
      <c r="K1858" s="1095"/>
      <c r="L1858" s="1095"/>
      <c r="M1858" s="1095"/>
    </row>
    <row r="1859" spans="1:13" x14ac:dyDescent="0.25">
      <c r="A1859">
        <v>1516204</v>
      </c>
      <c r="B1859" t="s">
        <v>9157</v>
      </c>
      <c r="C1859" t="s">
        <v>2640</v>
      </c>
      <c r="D1859" s="254">
        <v>5.44</v>
      </c>
      <c r="E1859"/>
      <c r="F1859"/>
      <c r="G1859"/>
      <c r="H1859"/>
      <c r="I1859" s="489"/>
      <c r="J1859" s="1095"/>
      <c r="K1859" s="1095"/>
      <c r="L1859" s="1095"/>
      <c r="M1859" s="1095"/>
    </row>
    <row r="1860" spans="1:13" x14ac:dyDescent="0.25">
      <c r="A1860">
        <v>1516312</v>
      </c>
      <c r="B1860" t="s">
        <v>9158</v>
      </c>
      <c r="C1860" t="s">
        <v>2595</v>
      </c>
      <c r="D1860" s="254">
        <v>41.24</v>
      </c>
      <c r="E1860"/>
      <c r="F1860"/>
      <c r="G1860"/>
      <c r="H1860"/>
      <c r="I1860" s="489"/>
      <c r="J1860" s="1095"/>
      <c r="K1860" s="1095"/>
      <c r="L1860" s="1095"/>
      <c r="M1860" s="1095"/>
    </row>
    <row r="1861" spans="1:13" x14ac:dyDescent="0.25">
      <c r="A1861">
        <v>1516304</v>
      </c>
      <c r="B1861" t="s">
        <v>9159</v>
      </c>
      <c r="C1861" t="s">
        <v>2595</v>
      </c>
      <c r="D1861" s="254">
        <v>52.56</v>
      </c>
      <c r="E1861"/>
      <c r="F1861"/>
      <c r="G1861"/>
      <c r="H1861"/>
      <c r="I1861" s="489"/>
      <c r="J1861" s="1095"/>
      <c r="K1861" s="1095"/>
      <c r="L1861" s="1095"/>
      <c r="M1861" s="1095"/>
    </row>
    <row r="1862" spans="1:13" x14ac:dyDescent="0.25">
      <c r="A1862">
        <v>1516308</v>
      </c>
      <c r="B1862" t="s">
        <v>9160</v>
      </c>
      <c r="C1862" t="s">
        <v>2595</v>
      </c>
      <c r="D1862" s="254">
        <v>43.53</v>
      </c>
      <c r="E1862"/>
      <c r="F1862"/>
      <c r="G1862"/>
      <c r="H1862"/>
      <c r="I1862" s="489"/>
      <c r="J1862" s="1095"/>
      <c r="K1862" s="1095"/>
      <c r="L1862" s="1095"/>
      <c r="M1862" s="1095"/>
    </row>
    <row r="1863" spans="1:13" x14ac:dyDescent="0.25">
      <c r="A1863">
        <v>1516313</v>
      </c>
      <c r="B1863" t="s">
        <v>9161</v>
      </c>
      <c r="C1863" t="s">
        <v>2595</v>
      </c>
      <c r="D1863" s="254">
        <v>49.16</v>
      </c>
      <c r="E1863"/>
      <c r="F1863"/>
      <c r="G1863"/>
      <c r="H1863"/>
      <c r="I1863" s="489"/>
      <c r="J1863" s="1095"/>
      <c r="K1863" s="1095"/>
      <c r="L1863" s="1095"/>
      <c r="M1863" s="1095"/>
    </row>
    <row r="1864" spans="1:13" x14ac:dyDescent="0.25">
      <c r="A1864">
        <v>1516305</v>
      </c>
      <c r="B1864" t="s">
        <v>9162</v>
      </c>
      <c r="C1864" t="s">
        <v>2595</v>
      </c>
      <c r="D1864" s="254">
        <v>63.22</v>
      </c>
      <c r="E1864"/>
      <c r="F1864"/>
      <c r="G1864"/>
      <c r="H1864"/>
      <c r="I1864" s="489"/>
      <c r="J1864" s="1095"/>
      <c r="K1864" s="1095"/>
      <c r="L1864" s="1095"/>
      <c r="M1864" s="1095"/>
    </row>
    <row r="1865" spans="1:13" x14ac:dyDescent="0.25">
      <c r="A1865">
        <v>1516309</v>
      </c>
      <c r="B1865" t="s">
        <v>9163</v>
      </c>
      <c r="C1865" t="s">
        <v>2595</v>
      </c>
      <c r="D1865" s="254">
        <v>51.83</v>
      </c>
      <c r="E1865"/>
      <c r="F1865"/>
      <c r="G1865"/>
      <c r="H1865"/>
      <c r="I1865" s="489"/>
      <c r="J1865" s="1095"/>
      <c r="K1865" s="1095"/>
      <c r="L1865" s="1095"/>
      <c r="M1865" s="1095"/>
    </row>
    <row r="1866" spans="1:13" x14ac:dyDescent="0.25">
      <c r="A1866">
        <v>1516314</v>
      </c>
      <c r="B1866" t="s">
        <v>9164</v>
      </c>
      <c r="C1866" t="s">
        <v>2595</v>
      </c>
      <c r="D1866" s="254">
        <v>57.17</v>
      </c>
      <c r="E1866"/>
      <c r="F1866"/>
      <c r="G1866"/>
      <c r="H1866"/>
      <c r="I1866" s="489"/>
      <c r="J1866" s="1095"/>
      <c r="K1866" s="1095"/>
      <c r="L1866" s="1095"/>
      <c r="M1866" s="1095"/>
    </row>
    <row r="1867" spans="1:13" x14ac:dyDescent="0.25">
      <c r="A1867">
        <v>1516306</v>
      </c>
      <c r="B1867" t="s">
        <v>9165</v>
      </c>
      <c r="C1867" t="s">
        <v>2595</v>
      </c>
      <c r="D1867" s="254">
        <v>74.209999999999994</v>
      </c>
      <c r="E1867"/>
      <c r="F1867"/>
      <c r="G1867"/>
      <c r="H1867"/>
      <c r="I1867" s="489"/>
      <c r="J1867" s="1095"/>
      <c r="K1867" s="1095"/>
      <c r="L1867" s="1095"/>
      <c r="M1867" s="1095"/>
    </row>
    <row r="1868" spans="1:13" x14ac:dyDescent="0.25">
      <c r="A1868">
        <v>1516310</v>
      </c>
      <c r="B1868" t="s">
        <v>9166</v>
      </c>
      <c r="C1868" t="s">
        <v>2595</v>
      </c>
      <c r="D1868" s="254">
        <v>60.55</v>
      </c>
      <c r="E1868"/>
      <c r="F1868"/>
      <c r="G1868"/>
      <c r="H1868"/>
      <c r="I1868" s="489"/>
      <c r="J1868" s="1095"/>
      <c r="K1868" s="1095"/>
      <c r="L1868" s="1095"/>
      <c r="M1868" s="1095"/>
    </row>
    <row r="1869" spans="1:13" x14ac:dyDescent="0.25">
      <c r="A1869">
        <v>1516311</v>
      </c>
      <c r="B1869" t="s">
        <v>9167</v>
      </c>
      <c r="C1869" t="s">
        <v>2595</v>
      </c>
      <c r="D1869" s="254">
        <v>31.66</v>
      </c>
      <c r="E1869"/>
      <c r="F1869"/>
      <c r="G1869"/>
      <c r="H1869"/>
      <c r="I1869" s="489"/>
      <c r="J1869" s="1095"/>
      <c r="K1869" s="1095"/>
      <c r="L1869" s="1095"/>
      <c r="M1869" s="1095"/>
    </row>
    <row r="1870" spans="1:13" x14ac:dyDescent="0.25">
      <c r="A1870">
        <v>1516303</v>
      </c>
      <c r="B1870" t="s">
        <v>9168</v>
      </c>
      <c r="C1870" t="s">
        <v>2595</v>
      </c>
      <c r="D1870" s="254">
        <v>41.99</v>
      </c>
      <c r="E1870"/>
      <c r="F1870"/>
      <c r="G1870"/>
      <c r="H1870"/>
      <c r="I1870" s="489"/>
      <c r="J1870" s="1095"/>
      <c r="K1870" s="1095"/>
      <c r="L1870" s="1095"/>
      <c r="M1870" s="1095"/>
    </row>
    <row r="1871" spans="1:13" x14ac:dyDescent="0.25">
      <c r="A1871">
        <v>1516307</v>
      </c>
      <c r="B1871" t="s">
        <v>9169</v>
      </c>
      <c r="C1871" t="s">
        <v>2595</v>
      </c>
      <c r="D1871" s="254">
        <v>34.840000000000003</v>
      </c>
      <c r="E1871"/>
      <c r="F1871"/>
      <c r="G1871"/>
      <c r="H1871"/>
      <c r="I1871" s="489"/>
      <c r="J1871" s="1095"/>
      <c r="K1871" s="1095"/>
      <c r="L1871" s="1095"/>
      <c r="M1871" s="1095"/>
    </row>
    <row r="1872" spans="1:13" x14ac:dyDescent="0.25">
      <c r="A1872">
        <v>1516298</v>
      </c>
      <c r="B1872" t="s">
        <v>9170</v>
      </c>
      <c r="C1872" t="s">
        <v>2595</v>
      </c>
      <c r="D1872" s="254">
        <v>28.91</v>
      </c>
      <c r="E1872"/>
      <c r="F1872"/>
      <c r="G1872"/>
      <c r="H1872"/>
      <c r="I1872" s="489"/>
      <c r="J1872" s="1095"/>
      <c r="K1872" s="1095"/>
      <c r="L1872" s="1095"/>
      <c r="M1872" s="1095"/>
    </row>
    <row r="1873" spans="1:13" x14ac:dyDescent="0.25">
      <c r="A1873">
        <v>1516299</v>
      </c>
      <c r="B1873" t="s">
        <v>9171</v>
      </c>
      <c r="C1873" t="s">
        <v>2595</v>
      </c>
      <c r="D1873" s="254">
        <v>33.43</v>
      </c>
      <c r="E1873"/>
      <c r="F1873"/>
      <c r="G1873"/>
      <c r="H1873"/>
      <c r="I1873" s="489"/>
      <c r="J1873" s="1095"/>
      <c r="K1873" s="1095"/>
      <c r="L1873" s="1095"/>
      <c r="M1873" s="1095"/>
    </row>
    <row r="1874" spans="1:13" x14ac:dyDescent="0.25">
      <c r="A1874">
        <v>1516300</v>
      </c>
      <c r="B1874" t="s">
        <v>9172</v>
      </c>
      <c r="C1874" t="s">
        <v>2595</v>
      </c>
      <c r="D1874" s="254">
        <v>43.72</v>
      </c>
      <c r="E1874"/>
      <c r="F1874"/>
      <c r="G1874"/>
      <c r="H1874"/>
      <c r="I1874" s="489"/>
      <c r="J1874" s="1095"/>
      <c r="K1874" s="1095"/>
      <c r="L1874" s="1095"/>
      <c r="M1874" s="1095"/>
    </row>
    <row r="1875" spans="1:13" x14ac:dyDescent="0.25">
      <c r="A1875">
        <v>1516301</v>
      </c>
      <c r="B1875" t="s">
        <v>9173</v>
      </c>
      <c r="C1875" t="s">
        <v>2595</v>
      </c>
      <c r="D1875" s="254">
        <v>64.41</v>
      </c>
      <c r="E1875"/>
      <c r="F1875"/>
      <c r="G1875"/>
      <c r="H1875"/>
      <c r="I1875" s="489"/>
      <c r="J1875" s="1095"/>
      <c r="K1875" s="1095"/>
      <c r="L1875" s="1095"/>
      <c r="M1875" s="1095"/>
    </row>
    <row r="1876" spans="1:13" x14ac:dyDescent="0.25">
      <c r="A1876">
        <v>1516302</v>
      </c>
      <c r="B1876" t="s">
        <v>9174</v>
      </c>
      <c r="C1876" t="s">
        <v>2595</v>
      </c>
      <c r="D1876" s="254">
        <v>84.96</v>
      </c>
      <c r="E1876"/>
      <c r="F1876"/>
      <c r="G1876"/>
      <c r="H1876"/>
      <c r="I1876" s="489"/>
      <c r="J1876" s="1095"/>
      <c r="K1876" s="1095"/>
      <c r="L1876" s="1095"/>
      <c r="M1876" s="1095"/>
    </row>
    <row r="1877" spans="1:13" x14ac:dyDescent="0.25">
      <c r="A1877">
        <v>1516296</v>
      </c>
      <c r="B1877" t="s">
        <v>9175</v>
      </c>
      <c r="C1877" t="s">
        <v>2595</v>
      </c>
      <c r="D1877" s="254">
        <v>21.27</v>
      </c>
      <c r="E1877"/>
      <c r="F1877"/>
      <c r="G1877"/>
      <c r="H1877"/>
      <c r="I1877" s="489"/>
      <c r="J1877" s="1095"/>
      <c r="K1877" s="1095"/>
      <c r="L1877" s="1095"/>
      <c r="M1877" s="1095"/>
    </row>
    <row r="1878" spans="1:13" x14ac:dyDescent="0.25">
      <c r="A1878">
        <v>1516297</v>
      </c>
      <c r="B1878" t="s">
        <v>9176</v>
      </c>
      <c r="C1878" t="s">
        <v>2595</v>
      </c>
      <c r="D1878" s="254">
        <v>27.88</v>
      </c>
      <c r="E1878"/>
      <c r="F1878"/>
      <c r="G1878"/>
      <c r="H1878"/>
      <c r="I1878" s="489"/>
      <c r="J1878" s="1095"/>
      <c r="K1878" s="1095"/>
      <c r="L1878" s="1095"/>
      <c r="M1878" s="1095"/>
    </row>
    <row r="1879" spans="1:13" x14ac:dyDescent="0.25">
      <c r="A1879">
        <v>1516318</v>
      </c>
      <c r="B1879" t="s">
        <v>9177</v>
      </c>
      <c r="C1879" t="s">
        <v>2595</v>
      </c>
      <c r="D1879" s="254">
        <v>454.45</v>
      </c>
      <c r="E1879"/>
      <c r="F1879"/>
      <c r="G1879"/>
      <c r="H1879"/>
      <c r="I1879" s="489"/>
      <c r="J1879" s="1095"/>
      <c r="K1879" s="1095"/>
      <c r="L1879" s="1095"/>
      <c r="M1879" s="1095"/>
    </row>
    <row r="1880" spans="1:13" x14ac:dyDescent="0.25">
      <c r="A1880">
        <v>1516317</v>
      </c>
      <c r="B1880" t="s">
        <v>9178</v>
      </c>
      <c r="C1880" t="s">
        <v>2595</v>
      </c>
      <c r="D1880" s="254">
        <v>601.80999999999995</v>
      </c>
      <c r="E1880"/>
      <c r="F1880"/>
      <c r="G1880"/>
      <c r="H1880"/>
      <c r="I1880" s="489"/>
      <c r="J1880" s="1095"/>
      <c r="K1880" s="1095"/>
      <c r="L1880" s="1095"/>
      <c r="M1880" s="1095"/>
    </row>
    <row r="1881" spans="1:13" x14ac:dyDescent="0.25">
      <c r="A1881">
        <v>1505847</v>
      </c>
      <c r="B1881" t="s">
        <v>9179</v>
      </c>
      <c r="C1881" t="s">
        <v>2595</v>
      </c>
      <c r="D1881" s="254">
        <v>165.82</v>
      </c>
      <c r="E1881"/>
      <c r="F1881"/>
      <c r="G1881"/>
      <c r="H1881"/>
      <c r="I1881" s="489"/>
      <c r="J1881" s="1095"/>
      <c r="K1881" s="1095"/>
      <c r="L1881" s="1095"/>
      <c r="M1881" s="1095"/>
    </row>
    <row r="1882" spans="1:13" x14ac:dyDescent="0.25">
      <c r="A1882">
        <v>1505848</v>
      </c>
      <c r="B1882" t="s">
        <v>9180</v>
      </c>
      <c r="C1882" t="s">
        <v>2595</v>
      </c>
      <c r="D1882" s="254">
        <v>161.58000000000001</v>
      </c>
      <c r="E1882"/>
      <c r="F1882"/>
      <c r="G1882"/>
      <c r="H1882"/>
      <c r="I1882" s="489"/>
      <c r="J1882" s="1095"/>
      <c r="K1882" s="1095"/>
      <c r="L1882" s="1095"/>
      <c r="M1882" s="1095"/>
    </row>
    <row r="1883" spans="1:13" x14ac:dyDescent="0.25">
      <c r="A1883">
        <v>1505849</v>
      </c>
      <c r="B1883" t="s">
        <v>9181</v>
      </c>
      <c r="C1883" t="s">
        <v>2595</v>
      </c>
      <c r="D1883" s="254">
        <v>159.22999999999999</v>
      </c>
      <c r="E1883"/>
      <c r="F1883"/>
      <c r="G1883"/>
      <c r="H1883"/>
      <c r="I1883" s="489"/>
      <c r="J1883" s="1095"/>
      <c r="K1883" s="1095"/>
      <c r="L1883" s="1095"/>
      <c r="M1883" s="1095"/>
    </row>
    <row r="1884" spans="1:13" x14ac:dyDescent="0.25">
      <c r="A1884">
        <v>1505930</v>
      </c>
      <c r="B1884" t="s">
        <v>9182</v>
      </c>
      <c r="C1884" t="s">
        <v>2595</v>
      </c>
      <c r="D1884" s="254">
        <v>188.08</v>
      </c>
      <c r="E1884"/>
      <c r="F1884"/>
      <c r="G1884"/>
      <c r="H1884"/>
      <c r="I1884" s="489"/>
      <c r="J1884" s="1095"/>
      <c r="K1884" s="1095"/>
      <c r="L1884" s="1095"/>
      <c r="M1884" s="1095"/>
    </row>
    <row r="1885" spans="1:13" x14ac:dyDescent="0.25">
      <c r="A1885">
        <v>1506055</v>
      </c>
      <c r="B1885" t="s">
        <v>6391</v>
      </c>
      <c r="C1885" t="s">
        <v>2596</v>
      </c>
      <c r="D1885" s="254">
        <v>407.97</v>
      </c>
      <c r="E1885"/>
      <c r="F1885"/>
      <c r="G1885"/>
      <c r="H1885"/>
      <c r="I1885" s="489"/>
      <c r="J1885" s="1095"/>
      <c r="K1885" s="1095"/>
      <c r="L1885" s="1095"/>
      <c r="M1885" s="1095"/>
    </row>
    <row r="1886" spans="1:13" x14ac:dyDescent="0.25">
      <c r="A1886">
        <v>1506056</v>
      </c>
      <c r="B1886" t="s">
        <v>9183</v>
      </c>
      <c r="C1886" t="s">
        <v>2596</v>
      </c>
      <c r="D1886" s="254">
        <v>271.45999999999998</v>
      </c>
      <c r="E1886"/>
      <c r="F1886"/>
      <c r="G1886"/>
      <c r="H1886"/>
      <c r="I1886" s="489"/>
      <c r="J1886" s="1095"/>
      <c r="K1886" s="1095"/>
      <c r="L1886" s="1095"/>
      <c r="M1886" s="1095"/>
    </row>
    <row r="1887" spans="1:13" x14ac:dyDescent="0.25">
      <c r="A1887">
        <v>1513945</v>
      </c>
      <c r="B1887" t="s">
        <v>9184</v>
      </c>
      <c r="C1887" t="s">
        <v>2595</v>
      </c>
      <c r="D1887" s="254">
        <v>93.77</v>
      </c>
      <c r="E1887"/>
      <c r="F1887"/>
      <c r="G1887"/>
      <c r="H1887"/>
      <c r="I1887" s="489"/>
      <c r="J1887" s="1095"/>
      <c r="K1887" s="1095"/>
      <c r="L1887" s="1095"/>
      <c r="M1887" s="1095"/>
    </row>
    <row r="1888" spans="1:13" x14ac:dyDescent="0.25">
      <c r="A1888">
        <v>1600408</v>
      </c>
      <c r="B1888" t="s">
        <v>9185</v>
      </c>
      <c r="C1888" t="s">
        <v>2595</v>
      </c>
      <c r="D1888" s="254">
        <v>16.87</v>
      </c>
      <c r="E1888"/>
      <c r="F1888"/>
      <c r="G1888"/>
      <c r="H1888"/>
      <c r="I1888" s="489"/>
      <c r="J1888" s="1095"/>
      <c r="K1888" s="1095"/>
      <c r="L1888" s="1095"/>
      <c r="M1888" s="1095"/>
    </row>
    <row r="1889" spans="1:13" x14ac:dyDescent="0.25">
      <c r="A1889">
        <v>1600438</v>
      </c>
      <c r="B1889" t="s">
        <v>6392</v>
      </c>
      <c r="C1889" t="s">
        <v>2596</v>
      </c>
      <c r="D1889" s="254">
        <v>544.58000000000004</v>
      </c>
      <c r="E1889"/>
      <c r="F1889"/>
      <c r="G1889"/>
      <c r="H1889"/>
      <c r="I1889" s="489"/>
      <c r="J1889" s="1095"/>
      <c r="K1889" s="1095"/>
      <c r="L1889" s="1095"/>
      <c r="M1889" s="1095"/>
    </row>
    <row r="1890" spans="1:13" x14ac:dyDescent="0.25">
      <c r="A1890">
        <v>1600990</v>
      </c>
      <c r="B1890" t="s">
        <v>9186</v>
      </c>
      <c r="C1890" t="s">
        <v>2596</v>
      </c>
      <c r="D1890" s="254">
        <v>675.56</v>
      </c>
      <c r="E1890"/>
      <c r="F1890"/>
      <c r="G1890"/>
      <c r="H1890"/>
      <c r="I1890" s="489"/>
      <c r="J1890" s="1095"/>
      <c r="K1890" s="1095"/>
      <c r="L1890" s="1095"/>
      <c r="M1890" s="1095"/>
    </row>
    <row r="1891" spans="1:13" x14ac:dyDescent="0.25">
      <c r="A1891">
        <v>1600436</v>
      </c>
      <c r="B1891" t="s">
        <v>6393</v>
      </c>
      <c r="C1891" t="s">
        <v>2596</v>
      </c>
      <c r="D1891" s="254">
        <v>375.13</v>
      </c>
      <c r="E1891"/>
      <c r="F1891"/>
      <c r="G1891"/>
      <c r="H1891"/>
      <c r="I1891" s="489"/>
      <c r="J1891" s="1095"/>
      <c r="K1891" s="1095"/>
      <c r="L1891" s="1095"/>
      <c r="M1891" s="1095"/>
    </row>
    <row r="1892" spans="1:13" x14ac:dyDescent="0.25">
      <c r="A1892">
        <v>1600989</v>
      </c>
      <c r="B1892" t="s">
        <v>6394</v>
      </c>
      <c r="C1892" t="s">
        <v>2596</v>
      </c>
      <c r="D1892" s="254">
        <v>365.89</v>
      </c>
      <c r="E1892"/>
      <c r="F1892"/>
      <c r="G1892"/>
      <c r="H1892"/>
      <c r="I1892" s="489"/>
      <c r="J1892" s="1095"/>
      <c r="K1892" s="1095"/>
      <c r="L1892" s="1095"/>
      <c r="M1892" s="1095"/>
    </row>
    <row r="1893" spans="1:13" x14ac:dyDescent="0.25">
      <c r="A1893">
        <v>1600895</v>
      </c>
      <c r="B1893" t="s">
        <v>9187</v>
      </c>
      <c r="C1893" t="s">
        <v>2595</v>
      </c>
      <c r="D1893" s="254">
        <v>13</v>
      </c>
      <c r="E1893"/>
      <c r="F1893"/>
      <c r="G1893"/>
      <c r="H1893"/>
      <c r="I1893" s="489"/>
      <c r="J1893" s="1095"/>
      <c r="K1893" s="1095"/>
      <c r="L1893" s="1095"/>
      <c r="M1893" s="1095"/>
    </row>
    <row r="1894" spans="1:13" x14ac:dyDescent="0.25">
      <c r="A1894">
        <v>1600897</v>
      </c>
      <c r="B1894" t="s">
        <v>9188</v>
      </c>
      <c r="C1894" t="s">
        <v>2595</v>
      </c>
      <c r="D1894" s="254">
        <v>3.48</v>
      </c>
      <c r="E1894"/>
      <c r="F1894"/>
      <c r="G1894"/>
      <c r="H1894"/>
      <c r="I1894" s="489"/>
      <c r="J1894" s="1095"/>
      <c r="K1894" s="1095"/>
      <c r="L1894" s="1095"/>
      <c r="M1894" s="1095"/>
    </row>
    <row r="1895" spans="1:13" x14ac:dyDescent="0.25">
      <c r="A1895">
        <v>1619004</v>
      </c>
      <c r="B1895" t="s">
        <v>9189</v>
      </c>
      <c r="C1895" t="s">
        <v>2596</v>
      </c>
      <c r="D1895" s="254">
        <v>7.68</v>
      </c>
      <c r="E1895"/>
      <c r="F1895"/>
      <c r="G1895"/>
      <c r="H1895"/>
      <c r="I1895" s="489"/>
      <c r="J1895" s="1095"/>
      <c r="K1895" s="1095"/>
      <c r="L1895" s="1095"/>
      <c r="M1895" s="1095"/>
    </row>
    <row r="1896" spans="1:13" x14ac:dyDescent="0.25">
      <c r="A1896">
        <v>1619003</v>
      </c>
      <c r="B1896" t="s">
        <v>9190</v>
      </c>
      <c r="C1896" t="s">
        <v>2596</v>
      </c>
      <c r="D1896" s="254">
        <v>72.819999999999993</v>
      </c>
      <c r="E1896"/>
      <c r="F1896"/>
      <c r="G1896"/>
      <c r="H1896"/>
      <c r="I1896" s="489"/>
      <c r="J1896" s="1095"/>
      <c r="K1896" s="1095"/>
      <c r="L1896" s="1095"/>
      <c r="M1896" s="1095"/>
    </row>
    <row r="1897" spans="1:13" x14ac:dyDescent="0.25">
      <c r="A1897">
        <v>1600896</v>
      </c>
      <c r="B1897" t="s">
        <v>9191</v>
      </c>
      <c r="C1897" t="s">
        <v>2595</v>
      </c>
      <c r="D1897" s="254">
        <v>17.149999999999999</v>
      </c>
      <c r="E1897"/>
      <c r="F1897"/>
      <c r="G1897"/>
      <c r="H1897"/>
      <c r="I1897" s="489"/>
      <c r="J1897" s="1095"/>
      <c r="K1897" s="1095"/>
      <c r="L1897" s="1095"/>
      <c r="M1897" s="1095"/>
    </row>
    <row r="1898" spans="1:13" x14ac:dyDescent="0.25">
      <c r="A1898">
        <v>1600414</v>
      </c>
      <c r="B1898" t="s">
        <v>9192</v>
      </c>
      <c r="C1898" t="s">
        <v>2595</v>
      </c>
      <c r="D1898" s="254">
        <v>1.1200000000000001</v>
      </c>
      <c r="E1898"/>
      <c r="F1898"/>
      <c r="G1898"/>
      <c r="H1898"/>
      <c r="I1898" s="489"/>
      <c r="J1898" s="1095"/>
      <c r="K1898" s="1095"/>
      <c r="L1898" s="1095"/>
      <c r="M1898" s="1095"/>
    </row>
    <row r="1899" spans="1:13" x14ac:dyDescent="0.25">
      <c r="A1899">
        <v>1600400</v>
      </c>
      <c r="B1899" t="s">
        <v>9193</v>
      </c>
      <c r="C1899" t="s">
        <v>2595</v>
      </c>
      <c r="D1899" s="254">
        <v>4.76</v>
      </c>
      <c r="E1899"/>
      <c r="F1899"/>
      <c r="G1899"/>
      <c r="H1899"/>
      <c r="I1899" s="489"/>
      <c r="J1899" s="1095"/>
      <c r="K1899" s="1095"/>
      <c r="L1899" s="1095"/>
      <c r="M1899" s="1095"/>
    </row>
    <row r="1900" spans="1:13" x14ac:dyDescent="0.25">
      <c r="A1900">
        <v>1600412</v>
      </c>
      <c r="B1900" t="s">
        <v>9194</v>
      </c>
      <c r="C1900" t="s">
        <v>2595</v>
      </c>
      <c r="D1900" s="254">
        <v>4.0999999999999996</v>
      </c>
      <c r="E1900"/>
      <c r="F1900"/>
      <c r="G1900"/>
      <c r="H1900"/>
      <c r="I1900" s="489"/>
      <c r="J1900" s="1095"/>
      <c r="K1900" s="1095"/>
      <c r="L1900" s="1095"/>
      <c r="M1900" s="1095"/>
    </row>
    <row r="1901" spans="1:13" x14ac:dyDescent="0.25">
      <c r="A1901">
        <v>1600966</v>
      </c>
      <c r="B1901" t="s">
        <v>2764</v>
      </c>
      <c r="C1901" t="s">
        <v>2598</v>
      </c>
      <c r="D1901" s="254">
        <v>0.69</v>
      </c>
      <c r="E1901"/>
      <c r="F1901"/>
      <c r="G1901"/>
      <c r="H1901"/>
      <c r="I1901" s="489"/>
      <c r="J1901" s="1095"/>
      <c r="K1901" s="1095"/>
      <c r="L1901" s="1095"/>
      <c r="M1901" s="1095"/>
    </row>
    <row r="1902" spans="1:13" x14ac:dyDescent="0.25">
      <c r="A1902">
        <v>1600898</v>
      </c>
      <c r="B1902" t="s">
        <v>9195</v>
      </c>
      <c r="C1902" t="s">
        <v>2595</v>
      </c>
      <c r="D1902" s="254">
        <v>12.8</v>
      </c>
      <c r="E1902"/>
      <c r="F1902"/>
      <c r="G1902"/>
      <c r="H1902"/>
      <c r="I1902" s="489"/>
      <c r="J1902" s="1095"/>
      <c r="K1902" s="1095"/>
      <c r="L1902" s="1095"/>
      <c r="M1902" s="1095"/>
    </row>
    <row r="1903" spans="1:13" x14ac:dyDescent="0.25">
      <c r="A1903">
        <v>1600441</v>
      </c>
      <c r="B1903" t="s">
        <v>6375</v>
      </c>
      <c r="C1903" t="s">
        <v>2595</v>
      </c>
      <c r="D1903" s="254">
        <v>3.68</v>
      </c>
      <c r="E1903"/>
      <c r="F1903"/>
      <c r="G1903"/>
      <c r="H1903"/>
      <c r="I1903" s="489"/>
      <c r="J1903" s="1095"/>
      <c r="K1903" s="1095"/>
      <c r="L1903" s="1095"/>
      <c r="M1903" s="1095"/>
    </row>
    <row r="1904" spans="1:13" x14ac:dyDescent="0.25">
      <c r="A1904">
        <v>1600404</v>
      </c>
      <c r="B1904" t="s">
        <v>6063</v>
      </c>
      <c r="C1904" t="s">
        <v>2598</v>
      </c>
      <c r="D1904" s="254">
        <v>10.46</v>
      </c>
      <c r="E1904"/>
      <c r="F1904"/>
      <c r="G1904"/>
      <c r="H1904"/>
      <c r="I1904" s="489"/>
      <c r="J1904" s="1095"/>
      <c r="K1904" s="1095"/>
      <c r="L1904" s="1095"/>
      <c r="M1904" s="1095"/>
    </row>
    <row r="1905" spans="1:13" x14ac:dyDescent="0.25">
      <c r="A1905">
        <v>1600405</v>
      </c>
      <c r="B1905" t="s">
        <v>9196</v>
      </c>
      <c r="C1905" t="s">
        <v>2598</v>
      </c>
      <c r="D1905" s="254">
        <v>11.48</v>
      </c>
      <c r="E1905"/>
      <c r="F1905"/>
      <c r="G1905"/>
      <c r="H1905"/>
      <c r="I1905" s="489"/>
      <c r="J1905" s="1095"/>
      <c r="K1905" s="1095"/>
      <c r="L1905" s="1095"/>
      <c r="M1905" s="1095"/>
    </row>
    <row r="1906" spans="1:13" x14ac:dyDescent="0.25">
      <c r="A1906">
        <v>1716605</v>
      </c>
      <c r="B1906" t="s">
        <v>9197</v>
      </c>
      <c r="C1906" t="s">
        <v>2596</v>
      </c>
      <c r="D1906" s="254">
        <v>127.78</v>
      </c>
      <c r="E1906"/>
      <c r="F1906"/>
      <c r="G1906"/>
      <c r="H1906"/>
      <c r="I1906" s="489"/>
      <c r="J1906" s="1095"/>
      <c r="K1906" s="1095"/>
      <c r="L1906" s="1095"/>
      <c r="M1906" s="1095"/>
    </row>
    <row r="1907" spans="1:13" x14ac:dyDescent="0.25">
      <c r="A1907">
        <v>1716610</v>
      </c>
      <c r="B1907" t="s">
        <v>9198</v>
      </c>
      <c r="C1907" t="s">
        <v>2596</v>
      </c>
      <c r="D1907" s="254">
        <v>133.38999999999999</v>
      </c>
      <c r="E1907"/>
      <c r="F1907"/>
      <c r="G1907"/>
      <c r="H1907"/>
      <c r="I1907" s="489"/>
      <c r="J1907" s="1095"/>
      <c r="K1907" s="1095"/>
      <c r="L1907" s="1095"/>
      <c r="M1907" s="1095"/>
    </row>
    <row r="1908" spans="1:13" x14ac:dyDescent="0.25">
      <c r="A1908">
        <v>1716611</v>
      </c>
      <c r="B1908" t="s">
        <v>9199</v>
      </c>
      <c r="C1908" t="s">
        <v>2596</v>
      </c>
      <c r="D1908" s="254">
        <v>134.09</v>
      </c>
      <c r="E1908"/>
      <c r="F1908"/>
      <c r="G1908"/>
      <c r="H1908"/>
      <c r="I1908" s="489"/>
      <c r="J1908" s="1095"/>
      <c r="K1908" s="1095"/>
      <c r="L1908" s="1095"/>
      <c r="M1908" s="1095"/>
    </row>
    <row r="1909" spans="1:13" x14ac:dyDescent="0.25">
      <c r="A1909">
        <v>1716612</v>
      </c>
      <c r="B1909" t="s">
        <v>9200</v>
      </c>
      <c r="C1909" t="s">
        <v>2596</v>
      </c>
      <c r="D1909" s="254">
        <v>134.79</v>
      </c>
      <c r="E1909"/>
      <c r="F1909"/>
      <c r="G1909"/>
      <c r="H1909"/>
      <c r="I1909" s="489"/>
      <c r="J1909" s="1095"/>
      <c r="K1909" s="1095"/>
      <c r="L1909" s="1095"/>
      <c r="M1909" s="1095"/>
    </row>
    <row r="1910" spans="1:13" x14ac:dyDescent="0.25">
      <c r="A1910">
        <v>1716613</v>
      </c>
      <c r="B1910" t="s">
        <v>9201</v>
      </c>
      <c r="C1910" t="s">
        <v>2596</v>
      </c>
      <c r="D1910" s="254">
        <v>135.49</v>
      </c>
      <c r="E1910"/>
      <c r="F1910"/>
      <c r="G1910"/>
      <c r="H1910"/>
      <c r="I1910" s="489"/>
      <c r="J1910" s="1095"/>
      <c r="K1910" s="1095"/>
      <c r="L1910" s="1095"/>
      <c r="M1910" s="1095"/>
    </row>
    <row r="1911" spans="1:13" x14ac:dyDescent="0.25">
      <c r="A1911">
        <v>1716614</v>
      </c>
      <c r="B1911" t="s">
        <v>9202</v>
      </c>
      <c r="C1911" t="s">
        <v>2596</v>
      </c>
      <c r="D1911" s="254">
        <v>136.9</v>
      </c>
      <c r="E1911"/>
      <c r="F1911"/>
      <c r="G1911"/>
      <c r="H1911"/>
      <c r="I1911" s="489"/>
      <c r="J1911" s="1095"/>
      <c r="K1911" s="1095"/>
      <c r="L1911" s="1095"/>
      <c r="M1911" s="1095"/>
    </row>
    <row r="1912" spans="1:13" x14ac:dyDescent="0.25">
      <c r="A1912">
        <v>1716615</v>
      </c>
      <c r="B1912" t="s">
        <v>9203</v>
      </c>
      <c r="C1912" t="s">
        <v>2596</v>
      </c>
      <c r="D1912" s="254">
        <v>138.30000000000001</v>
      </c>
      <c r="E1912"/>
      <c r="F1912"/>
      <c r="G1912"/>
      <c r="H1912"/>
      <c r="I1912" s="489"/>
      <c r="J1912" s="1095"/>
      <c r="K1912" s="1095"/>
      <c r="L1912" s="1095"/>
      <c r="M1912" s="1095"/>
    </row>
    <row r="1913" spans="1:13" x14ac:dyDescent="0.25">
      <c r="A1913">
        <v>1716616</v>
      </c>
      <c r="B1913" t="s">
        <v>9204</v>
      </c>
      <c r="C1913" t="s">
        <v>2596</v>
      </c>
      <c r="D1913" s="254">
        <v>140.4</v>
      </c>
      <c r="E1913"/>
      <c r="F1913"/>
      <c r="G1913"/>
      <c r="H1913"/>
      <c r="I1913" s="489"/>
      <c r="J1913" s="1095"/>
      <c r="K1913" s="1095"/>
      <c r="L1913" s="1095"/>
      <c r="M1913" s="1095"/>
    </row>
    <row r="1914" spans="1:13" x14ac:dyDescent="0.25">
      <c r="A1914">
        <v>1716606</v>
      </c>
      <c r="B1914" t="s">
        <v>9205</v>
      </c>
      <c r="C1914" t="s">
        <v>2596</v>
      </c>
      <c r="D1914" s="254">
        <v>129.88</v>
      </c>
      <c r="E1914"/>
      <c r="F1914"/>
      <c r="G1914"/>
      <c r="H1914"/>
      <c r="I1914" s="489"/>
      <c r="J1914" s="1095"/>
      <c r="K1914" s="1095"/>
      <c r="L1914" s="1095"/>
      <c r="M1914" s="1095"/>
    </row>
    <row r="1915" spans="1:13" x14ac:dyDescent="0.25">
      <c r="A1915">
        <v>1716617</v>
      </c>
      <c r="B1915" t="s">
        <v>9206</v>
      </c>
      <c r="C1915" t="s">
        <v>2596</v>
      </c>
      <c r="D1915" s="254">
        <v>141.81</v>
      </c>
      <c r="E1915"/>
      <c r="F1915"/>
      <c r="G1915"/>
      <c r="H1915"/>
      <c r="I1915" s="489"/>
      <c r="J1915" s="1095"/>
      <c r="K1915" s="1095"/>
      <c r="L1915" s="1095"/>
      <c r="M1915" s="1095"/>
    </row>
    <row r="1916" spans="1:13" x14ac:dyDescent="0.25">
      <c r="A1916">
        <v>1716607</v>
      </c>
      <c r="B1916" t="s">
        <v>9207</v>
      </c>
      <c r="C1916" t="s">
        <v>2596</v>
      </c>
      <c r="D1916" s="254">
        <v>130.59</v>
      </c>
      <c r="E1916"/>
      <c r="F1916"/>
      <c r="G1916"/>
      <c r="H1916"/>
      <c r="I1916" s="489"/>
      <c r="J1916" s="1095"/>
      <c r="K1916" s="1095"/>
      <c r="L1916" s="1095"/>
      <c r="M1916" s="1095"/>
    </row>
    <row r="1917" spans="1:13" x14ac:dyDescent="0.25">
      <c r="A1917">
        <v>1716608</v>
      </c>
      <c r="B1917" t="s">
        <v>9208</v>
      </c>
      <c r="C1917" t="s">
        <v>2596</v>
      </c>
      <c r="D1917" s="254">
        <v>131.99</v>
      </c>
      <c r="E1917"/>
      <c r="F1917"/>
      <c r="G1917"/>
      <c r="H1917"/>
      <c r="I1917" s="489"/>
      <c r="J1917" s="1095"/>
      <c r="K1917" s="1095"/>
      <c r="L1917" s="1095"/>
      <c r="M1917" s="1095"/>
    </row>
    <row r="1918" spans="1:13" x14ac:dyDescent="0.25">
      <c r="A1918">
        <v>1716609</v>
      </c>
      <c r="B1918" t="s">
        <v>9209</v>
      </c>
      <c r="C1918" t="s">
        <v>2596</v>
      </c>
      <c r="D1918" s="254">
        <v>132.69</v>
      </c>
      <c r="E1918"/>
      <c r="F1918"/>
      <c r="G1918"/>
      <c r="H1918"/>
      <c r="I1918" s="489"/>
      <c r="J1918" s="1095"/>
      <c r="K1918" s="1095"/>
      <c r="L1918" s="1095"/>
      <c r="M1918" s="1095"/>
    </row>
    <row r="1919" spans="1:13" x14ac:dyDescent="0.25">
      <c r="A1919">
        <v>1716604</v>
      </c>
      <c r="B1919" t="s">
        <v>9210</v>
      </c>
      <c r="C1919" t="s">
        <v>2596</v>
      </c>
      <c r="D1919" s="254">
        <v>71.28</v>
      </c>
      <c r="E1919"/>
      <c r="F1919"/>
      <c r="G1919"/>
      <c r="H1919"/>
      <c r="I1919" s="489"/>
      <c r="J1919" s="1095"/>
      <c r="K1919" s="1095"/>
      <c r="L1919" s="1095"/>
      <c r="M1919" s="1095"/>
    </row>
    <row r="1920" spans="1:13" x14ac:dyDescent="0.25">
      <c r="A1920">
        <v>1716623</v>
      </c>
      <c r="B1920" t="s">
        <v>9211</v>
      </c>
      <c r="C1920" t="s">
        <v>2596</v>
      </c>
      <c r="D1920" s="254">
        <v>70.2</v>
      </c>
      <c r="E1920"/>
      <c r="F1920"/>
      <c r="G1920"/>
      <c r="H1920"/>
      <c r="I1920" s="489"/>
      <c r="J1920" s="1095"/>
      <c r="K1920" s="1095"/>
      <c r="L1920" s="1095"/>
      <c r="M1920" s="1095"/>
    </row>
    <row r="1921" spans="1:13" x14ac:dyDescent="0.25">
      <c r="A1921">
        <v>1716624</v>
      </c>
      <c r="B1921" t="s">
        <v>9212</v>
      </c>
      <c r="C1921" t="s">
        <v>2596</v>
      </c>
      <c r="D1921" s="254">
        <v>126.7</v>
      </c>
      <c r="E1921"/>
      <c r="F1921"/>
      <c r="G1921"/>
      <c r="H1921"/>
      <c r="I1921" s="489"/>
      <c r="J1921" s="1095"/>
      <c r="K1921" s="1095"/>
      <c r="L1921" s="1095"/>
      <c r="M1921" s="1095"/>
    </row>
    <row r="1922" spans="1:13" x14ac:dyDescent="0.25">
      <c r="A1922">
        <v>1716629</v>
      </c>
      <c r="B1922" t="s">
        <v>9213</v>
      </c>
      <c r="C1922" t="s">
        <v>2596</v>
      </c>
      <c r="D1922" s="254">
        <v>132.31</v>
      </c>
      <c r="E1922"/>
      <c r="F1922"/>
      <c r="G1922"/>
      <c r="H1922"/>
      <c r="I1922" s="489"/>
      <c r="J1922" s="1095"/>
      <c r="K1922" s="1095"/>
      <c r="L1922" s="1095"/>
      <c r="M1922" s="1095"/>
    </row>
    <row r="1923" spans="1:13" x14ac:dyDescent="0.25">
      <c r="A1923">
        <v>1716630</v>
      </c>
      <c r="B1923" t="s">
        <v>9214</v>
      </c>
      <c r="C1923" t="s">
        <v>2596</v>
      </c>
      <c r="D1923" s="254">
        <v>133.01</v>
      </c>
      <c r="E1923"/>
      <c r="F1923"/>
      <c r="G1923"/>
      <c r="H1923"/>
      <c r="I1923" s="489"/>
      <c r="J1923" s="1095"/>
      <c r="K1923" s="1095"/>
      <c r="L1923" s="1095"/>
      <c r="M1923" s="1095"/>
    </row>
    <row r="1924" spans="1:13" x14ac:dyDescent="0.25">
      <c r="A1924">
        <v>1716631</v>
      </c>
      <c r="B1924" t="s">
        <v>9215</v>
      </c>
      <c r="C1924" t="s">
        <v>2596</v>
      </c>
      <c r="D1924" s="254">
        <v>133.71</v>
      </c>
      <c r="E1924"/>
      <c r="F1924"/>
      <c r="G1924"/>
      <c r="H1924"/>
      <c r="I1924" s="489"/>
      <c r="J1924" s="1095"/>
      <c r="K1924" s="1095"/>
      <c r="L1924" s="1095"/>
      <c r="M1924" s="1095"/>
    </row>
    <row r="1925" spans="1:13" x14ac:dyDescent="0.25">
      <c r="A1925">
        <v>1716632</v>
      </c>
      <c r="B1925" t="s">
        <v>9216</v>
      </c>
      <c r="C1925" t="s">
        <v>2596</v>
      </c>
      <c r="D1925" s="254">
        <v>134.41999999999999</v>
      </c>
      <c r="E1925"/>
      <c r="F1925"/>
      <c r="G1925"/>
      <c r="H1925"/>
      <c r="I1925" s="489"/>
      <c r="J1925" s="1095"/>
      <c r="K1925" s="1095"/>
      <c r="L1925" s="1095"/>
      <c r="M1925" s="1095"/>
    </row>
    <row r="1926" spans="1:13" x14ac:dyDescent="0.25">
      <c r="A1926">
        <v>1716633</v>
      </c>
      <c r="B1926" t="s">
        <v>9217</v>
      </c>
      <c r="C1926" t="s">
        <v>2596</v>
      </c>
      <c r="D1926" s="254">
        <v>135.82</v>
      </c>
      <c r="E1926"/>
      <c r="F1926"/>
      <c r="G1926"/>
      <c r="H1926"/>
      <c r="I1926" s="489"/>
      <c r="J1926" s="1095"/>
      <c r="K1926" s="1095"/>
      <c r="L1926" s="1095"/>
      <c r="M1926" s="1095"/>
    </row>
    <row r="1927" spans="1:13" x14ac:dyDescent="0.25">
      <c r="A1927">
        <v>1716634</v>
      </c>
      <c r="B1927" t="s">
        <v>9218</v>
      </c>
      <c r="C1927" t="s">
        <v>2596</v>
      </c>
      <c r="D1927" s="254">
        <v>137.22</v>
      </c>
      <c r="E1927"/>
      <c r="F1927"/>
      <c r="G1927"/>
      <c r="H1927"/>
      <c r="I1927" s="489"/>
      <c r="J1927" s="1095"/>
      <c r="K1927" s="1095"/>
      <c r="L1927" s="1095"/>
      <c r="M1927" s="1095"/>
    </row>
    <row r="1928" spans="1:13" x14ac:dyDescent="0.25">
      <c r="A1928">
        <v>1716635</v>
      </c>
      <c r="B1928" t="s">
        <v>9219</v>
      </c>
      <c r="C1928" t="s">
        <v>2596</v>
      </c>
      <c r="D1928" s="254">
        <v>139.32</v>
      </c>
      <c r="E1928"/>
      <c r="F1928"/>
      <c r="G1928"/>
      <c r="H1928"/>
      <c r="I1928" s="489"/>
      <c r="J1928" s="1095"/>
      <c r="K1928" s="1095"/>
      <c r="L1928" s="1095"/>
      <c r="M1928" s="1095"/>
    </row>
    <row r="1929" spans="1:13" x14ac:dyDescent="0.25">
      <c r="A1929">
        <v>1716625</v>
      </c>
      <c r="B1929" t="s">
        <v>9220</v>
      </c>
      <c r="C1929" t="s">
        <v>2596</v>
      </c>
      <c r="D1929" s="254">
        <v>128.81</v>
      </c>
      <c r="E1929"/>
      <c r="F1929"/>
      <c r="G1929"/>
      <c r="H1929"/>
      <c r="I1929" s="489"/>
      <c r="J1929" s="1095"/>
      <c r="K1929" s="1095"/>
      <c r="L1929" s="1095"/>
      <c r="M1929" s="1095"/>
    </row>
    <row r="1930" spans="1:13" x14ac:dyDescent="0.25">
      <c r="A1930">
        <v>1716636</v>
      </c>
      <c r="B1930" t="s">
        <v>9221</v>
      </c>
      <c r="C1930" t="s">
        <v>2596</v>
      </c>
      <c r="D1930" s="254">
        <v>140.72999999999999</v>
      </c>
      <c r="E1930"/>
      <c r="F1930"/>
      <c r="G1930"/>
      <c r="H1930"/>
      <c r="I1930" s="489"/>
      <c r="J1930" s="1095"/>
      <c r="K1930" s="1095"/>
      <c r="L1930" s="1095"/>
      <c r="M1930" s="1095"/>
    </row>
    <row r="1931" spans="1:13" x14ac:dyDescent="0.25">
      <c r="A1931">
        <v>1716626</v>
      </c>
      <c r="B1931" t="s">
        <v>9222</v>
      </c>
      <c r="C1931" t="s">
        <v>2596</v>
      </c>
      <c r="D1931" s="254">
        <v>129.51</v>
      </c>
      <c r="E1931"/>
      <c r="F1931"/>
      <c r="G1931"/>
      <c r="H1931"/>
      <c r="I1931" s="489"/>
      <c r="J1931" s="1095"/>
      <c r="K1931" s="1095"/>
      <c r="L1931" s="1095"/>
      <c r="M1931" s="1095"/>
    </row>
    <row r="1932" spans="1:13" x14ac:dyDescent="0.25">
      <c r="A1932">
        <v>1716627</v>
      </c>
      <c r="B1932" t="s">
        <v>9223</v>
      </c>
      <c r="C1932" t="s">
        <v>2596</v>
      </c>
      <c r="D1932" s="254">
        <v>130.91</v>
      </c>
      <c r="E1932"/>
      <c r="F1932"/>
      <c r="G1932"/>
      <c r="H1932"/>
      <c r="I1932" s="489"/>
      <c r="J1932" s="1095"/>
      <c r="K1932" s="1095"/>
      <c r="L1932" s="1095"/>
      <c r="M1932" s="1095"/>
    </row>
    <row r="1933" spans="1:13" x14ac:dyDescent="0.25">
      <c r="A1933">
        <v>1716628</v>
      </c>
      <c r="B1933" t="s">
        <v>9224</v>
      </c>
      <c r="C1933" t="s">
        <v>2596</v>
      </c>
      <c r="D1933" s="254">
        <v>131.61000000000001</v>
      </c>
      <c r="E1933"/>
      <c r="F1933"/>
      <c r="G1933"/>
      <c r="H1933"/>
      <c r="I1933" s="489"/>
      <c r="J1933" s="1095"/>
      <c r="K1933" s="1095"/>
      <c r="L1933" s="1095"/>
      <c r="M1933" s="1095"/>
    </row>
    <row r="1934" spans="1:13" x14ac:dyDescent="0.25">
      <c r="A1934">
        <v>1716640</v>
      </c>
      <c r="B1934" t="s">
        <v>9225</v>
      </c>
      <c r="C1934" t="s">
        <v>2596</v>
      </c>
      <c r="D1934" s="254">
        <v>31.13</v>
      </c>
      <c r="E1934"/>
      <c r="F1934"/>
      <c r="G1934"/>
      <c r="H1934"/>
      <c r="I1934" s="489"/>
      <c r="J1934" s="1095"/>
      <c r="K1934" s="1095"/>
      <c r="L1934" s="1095"/>
      <c r="M1934" s="1095"/>
    </row>
    <row r="1935" spans="1:13" x14ac:dyDescent="0.25">
      <c r="A1935">
        <v>1716641</v>
      </c>
      <c r="B1935" t="s">
        <v>9226</v>
      </c>
      <c r="C1935" t="s">
        <v>2596</v>
      </c>
      <c r="D1935" s="254">
        <v>40.18</v>
      </c>
      <c r="E1935"/>
      <c r="F1935"/>
      <c r="G1935"/>
      <c r="H1935"/>
      <c r="I1935" s="489"/>
      <c r="J1935" s="1095"/>
      <c r="K1935" s="1095"/>
      <c r="L1935" s="1095"/>
      <c r="M1935" s="1095"/>
    </row>
    <row r="1936" spans="1:13" x14ac:dyDescent="0.25">
      <c r="A1936">
        <v>1716646</v>
      </c>
      <c r="B1936" t="s">
        <v>9227</v>
      </c>
      <c r="C1936" t="s">
        <v>2596</v>
      </c>
      <c r="D1936" s="254">
        <v>40.770000000000003</v>
      </c>
      <c r="E1936"/>
      <c r="F1936"/>
      <c r="G1936"/>
      <c r="H1936"/>
      <c r="I1936" s="489"/>
      <c r="J1936" s="1095"/>
      <c r="K1936" s="1095"/>
      <c r="L1936" s="1095"/>
      <c r="M1936" s="1095"/>
    </row>
    <row r="1937" spans="1:13" x14ac:dyDescent="0.25">
      <c r="A1937">
        <v>1716647</v>
      </c>
      <c r="B1937" t="s">
        <v>9228</v>
      </c>
      <c r="C1937" t="s">
        <v>2596</v>
      </c>
      <c r="D1937" s="254">
        <v>40.83</v>
      </c>
      <c r="E1937"/>
      <c r="F1937"/>
      <c r="G1937"/>
      <c r="H1937"/>
      <c r="I1937" s="489"/>
      <c r="J1937" s="1095"/>
      <c r="K1937" s="1095"/>
      <c r="L1937" s="1095"/>
      <c r="M1937" s="1095"/>
    </row>
    <row r="1938" spans="1:13" x14ac:dyDescent="0.25">
      <c r="A1938">
        <v>1716648</v>
      </c>
      <c r="B1938" t="s">
        <v>9229</v>
      </c>
      <c r="C1938" t="s">
        <v>2596</v>
      </c>
      <c r="D1938" s="254">
        <v>40.950000000000003</v>
      </c>
      <c r="E1938"/>
      <c r="F1938"/>
      <c r="G1938"/>
      <c r="H1938"/>
      <c r="I1938" s="489"/>
      <c r="J1938" s="1095"/>
      <c r="K1938" s="1095"/>
      <c r="L1938" s="1095"/>
      <c r="M1938" s="1095"/>
    </row>
    <row r="1939" spans="1:13" x14ac:dyDescent="0.25">
      <c r="A1939">
        <v>1716649</v>
      </c>
      <c r="B1939" t="s">
        <v>9230</v>
      </c>
      <c r="C1939" t="s">
        <v>2596</v>
      </c>
      <c r="D1939" s="254">
        <v>41</v>
      </c>
      <c r="E1939"/>
      <c r="F1939"/>
      <c r="G1939"/>
      <c r="H1939"/>
      <c r="I1939" s="489"/>
      <c r="J1939" s="1095"/>
      <c r="K1939" s="1095"/>
      <c r="L1939" s="1095"/>
      <c r="M1939" s="1095"/>
    </row>
    <row r="1940" spans="1:13" x14ac:dyDescent="0.25">
      <c r="A1940">
        <v>1716650</v>
      </c>
      <c r="B1940" t="s">
        <v>9231</v>
      </c>
      <c r="C1940" t="s">
        <v>2596</v>
      </c>
      <c r="D1940" s="254">
        <v>41.12</v>
      </c>
      <c r="E1940"/>
      <c r="F1940"/>
      <c r="G1940"/>
      <c r="H1940"/>
      <c r="I1940" s="489"/>
      <c r="J1940" s="1095"/>
      <c r="K1940" s="1095"/>
      <c r="L1940" s="1095"/>
      <c r="M1940" s="1095"/>
    </row>
    <row r="1941" spans="1:13" x14ac:dyDescent="0.25">
      <c r="A1941">
        <v>1716651</v>
      </c>
      <c r="B1941" t="s">
        <v>9232</v>
      </c>
      <c r="C1941" t="s">
        <v>2596</v>
      </c>
      <c r="D1941" s="254">
        <v>41.24</v>
      </c>
      <c r="E1941"/>
      <c r="F1941"/>
      <c r="G1941"/>
      <c r="H1941"/>
      <c r="I1941" s="489"/>
      <c r="J1941" s="1095"/>
      <c r="K1941" s="1095"/>
      <c r="L1941" s="1095"/>
      <c r="M1941" s="1095"/>
    </row>
    <row r="1942" spans="1:13" x14ac:dyDescent="0.25">
      <c r="A1942">
        <v>1716652</v>
      </c>
      <c r="B1942" t="s">
        <v>9233</v>
      </c>
      <c r="C1942" t="s">
        <v>2596</v>
      </c>
      <c r="D1942" s="254">
        <v>41.48</v>
      </c>
      <c r="E1942"/>
      <c r="F1942"/>
      <c r="G1942"/>
      <c r="H1942"/>
      <c r="I1942" s="489"/>
      <c r="J1942" s="1095"/>
      <c r="K1942" s="1095"/>
      <c r="L1942" s="1095"/>
      <c r="M1942" s="1095"/>
    </row>
    <row r="1943" spans="1:13" x14ac:dyDescent="0.25">
      <c r="A1943">
        <v>1716642</v>
      </c>
      <c r="B1943" t="s">
        <v>9234</v>
      </c>
      <c r="C1943" t="s">
        <v>2596</v>
      </c>
      <c r="D1943" s="254">
        <v>40.35</v>
      </c>
      <c r="E1943"/>
      <c r="F1943"/>
      <c r="G1943"/>
      <c r="H1943"/>
      <c r="I1943" s="489"/>
      <c r="J1943" s="1095"/>
      <c r="K1943" s="1095"/>
      <c r="L1943" s="1095"/>
      <c r="M1943" s="1095"/>
    </row>
    <row r="1944" spans="1:13" x14ac:dyDescent="0.25">
      <c r="A1944">
        <v>1716653</v>
      </c>
      <c r="B1944" t="s">
        <v>9235</v>
      </c>
      <c r="C1944" t="s">
        <v>2596</v>
      </c>
      <c r="D1944" s="254">
        <v>41.65</v>
      </c>
      <c r="E1944"/>
      <c r="F1944"/>
      <c r="G1944"/>
      <c r="H1944"/>
      <c r="I1944" s="489"/>
      <c r="J1944" s="1095"/>
      <c r="K1944" s="1095"/>
      <c r="L1944" s="1095"/>
      <c r="M1944" s="1095"/>
    </row>
    <row r="1945" spans="1:13" x14ac:dyDescent="0.25">
      <c r="A1945">
        <v>1716643</v>
      </c>
      <c r="B1945" t="s">
        <v>9236</v>
      </c>
      <c r="C1945" t="s">
        <v>2596</v>
      </c>
      <c r="D1945" s="254">
        <v>40.47</v>
      </c>
      <c r="E1945"/>
      <c r="F1945"/>
      <c r="G1945"/>
      <c r="H1945"/>
      <c r="I1945" s="489"/>
      <c r="J1945" s="1095"/>
      <c r="K1945" s="1095"/>
      <c r="L1945" s="1095"/>
      <c r="M1945" s="1095"/>
    </row>
    <row r="1946" spans="1:13" x14ac:dyDescent="0.25">
      <c r="A1946">
        <v>1716644</v>
      </c>
      <c r="B1946" t="s">
        <v>9237</v>
      </c>
      <c r="C1946" t="s">
        <v>2596</v>
      </c>
      <c r="D1946" s="254">
        <v>40.590000000000003</v>
      </c>
      <c r="E1946"/>
      <c r="F1946"/>
      <c r="G1946"/>
      <c r="H1946"/>
      <c r="I1946" s="489"/>
      <c r="J1946" s="1095"/>
      <c r="K1946" s="1095"/>
      <c r="L1946" s="1095"/>
      <c r="M1946" s="1095"/>
    </row>
    <row r="1947" spans="1:13" x14ac:dyDescent="0.25">
      <c r="A1947">
        <v>1716645</v>
      </c>
      <c r="B1947" t="s">
        <v>9238</v>
      </c>
      <c r="C1947" t="s">
        <v>2596</v>
      </c>
      <c r="D1947" s="254">
        <v>40.65</v>
      </c>
      <c r="E1947"/>
      <c r="F1947"/>
      <c r="G1947"/>
      <c r="H1947"/>
      <c r="I1947" s="489"/>
      <c r="J1947" s="1095"/>
      <c r="K1947" s="1095"/>
      <c r="L1947" s="1095"/>
      <c r="M1947" s="1095"/>
    </row>
    <row r="1948" spans="1:13" x14ac:dyDescent="0.25">
      <c r="A1948">
        <v>1716622</v>
      </c>
      <c r="B1948" t="s">
        <v>13782</v>
      </c>
      <c r="C1948" t="s">
        <v>2596</v>
      </c>
      <c r="D1948" s="254">
        <v>93.46</v>
      </c>
      <c r="E1948"/>
      <c r="F1948"/>
      <c r="G1948"/>
      <c r="H1948"/>
      <c r="I1948" s="489"/>
      <c r="J1948" s="1095"/>
      <c r="K1948" s="1095"/>
      <c r="L1948" s="1095"/>
      <c r="M1948" s="1095"/>
    </row>
    <row r="1949" spans="1:13" x14ac:dyDescent="0.25">
      <c r="A1949">
        <v>1716603</v>
      </c>
      <c r="B1949" t="s">
        <v>13783</v>
      </c>
      <c r="C1949" t="s">
        <v>2596</v>
      </c>
      <c r="D1949" s="254">
        <v>93.46</v>
      </c>
      <c r="E1949"/>
      <c r="F1949"/>
      <c r="G1949"/>
      <c r="H1949"/>
      <c r="I1949" s="489"/>
      <c r="J1949" s="1095"/>
      <c r="K1949" s="1095"/>
      <c r="L1949" s="1095"/>
      <c r="M1949" s="1095"/>
    </row>
    <row r="1950" spans="1:13" x14ac:dyDescent="0.25">
      <c r="A1950">
        <v>1716620</v>
      </c>
      <c r="B1950" t="s">
        <v>9239</v>
      </c>
      <c r="C1950" t="s">
        <v>2596</v>
      </c>
      <c r="D1950" s="254">
        <v>122.53</v>
      </c>
      <c r="E1950"/>
      <c r="F1950"/>
      <c r="G1950"/>
      <c r="H1950"/>
      <c r="I1950" s="489"/>
      <c r="J1950" s="1095"/>
      <c r="K1950" s="1095"/>
      <c r="L1950" s="1095"/>
      <c r="M1950" s="1095"/>
    </row>
    <row r="1951" spans="1:13" x14ac:dyDescent="0.25">
      <c r="A1951">
        <v>1716621</v>
      </c>
      <c r="B1951" t="s">
        <v>9240</v>
      </c>
      <c r="C1951" t="s">
        <v>2596</v>
      </c>
      <c r="D1951" s="254">
        <v>95.16</v>
      </c>
      <c r="E1951"/>
      <c r="F1951"/>
      <c r="G1951"/>
      <c r="H1951"/>
      <c r="I1951" s="489"/>
      <c r="J1951" s="1095"/>
      <c r="K1951" s="1095"/>
      <c r="L1951" s="1095"/>
      <c r="M1951" s="1095"/>
    </row>
    <row r="1952" spans="1:13" x14ac:dyDescent="0.25">
      <c r="A1952">
        <v>1716619</v>
      </c>
      <c r="B1952" t="s">
        <v>9241</v>
      </c>
      <c r="C1952" t="s">
        <v>2596</v>
      </c>
      <c r="D1952" s="254">
        <v>204.73</v>
      </c>
      <c r="E1952"/>
      <c r="F1952"/>
      <c r="G1952"/>
      <c r="H1952"/>
      <c r="I1952" s="489"/>
      <c r="J1952" s="1095"/>
      <c r="K1952" s="1095"/>
      <c r="L1952" s="1095"/>
      <c r="M1952" s="1095"/>
    </row>
    <row r="1953" spans="1:13" x14ac:dyDescent="0.25">
      <c r="A1953">
        <v>1716601</v>
      </c>
      <c r="B1953" t="s">
        <v>9242</v>
      </c>
      <c r="C1953" t="s">
        <v>2596</v>
      </c>
      <c r="D1953" s="254">
        <v>123.98</v>
      </c>
      <c r="E1953"/>
      <c r="F1953"/>
      <c r="G1953"/>
      <c r="H1953"/>
      <c r="I1953" s="489"/>
      <c r="J1953" s="1095"/>
      <c r="K1953" s="1095"/>
      <c r="L1953" s="1095"/>
      <c r="M1953" s="1095"/>
    </row>
    <row r="1954" spans="1:13" x14ac:dyDescent="0.25">
      <c r="A1954">
        <v>1716602</v>
      </c>
      <c r="B1954" t="s">
        <v>9243</v>
      </c>
      <c r="C1954" t="s">
        <v>2596</v>
      </c>
      <c r="D1954" s="254">
        <v>96.13</v>
      </c>
      <c r="E1954"/>
      <c r="F1954"/>
      <c r="G1954"/>
      <c r="H1954"/>
      <c r="I1954" s="489"/>
      <c r="J1954" s="1095"/>
      <c r="K1954" s="1095"/>
      <c r="L1954" s="1095"/>
      <c r="M1954" s="1095"/>
    </row>
    <row r="1955" spans="1:13" x14ac:dyDescent="0.25">
      <c r="A1955">
        <v>1716600</v>
      </c>
      <c r="B1955" t="s">
        <v>9244</v>
      </c>
      <c r="C1955" t="s">
        <v>2596</v>
      </c>
      <c r="D1955" s="254">
        <v>207.62</v>
      </c>
      <c r="E1955"/>
      <c r="F1955"/>
      <c r="G1955"/>
      <c r="H1955"/>
      <c r="I1955" s="489"/>
      <c r="J1955" s="1095"/>
      <c r="K1955" s="1095"/>
      <c r="L1955" s="1095"/>
      <c r="M1955" s="1095"/>
    </row>
    <row r="1956" spans="1:13" x14ac:dyDescent="0.25">
      <c r="A1956">
        <v>1716655</v>
      </c>
      <c r="B1956" t="s">
        <v>9245</v>
      </c>
      <c r="C1956" t="s">
        <v>2596</v>
      </c>
      <c r="D1956" s="254">
        <v>71.209999999999994</v>
      </c>
      <c r="E1956"/>
      <c r="F1956"/>
      <c r="G1956"/>
      <c r="H1956"/>
      <c r="I1956" s="489"/>
      <c r="J1956" s="1095"/>
      <c r="K1956" s="1095"/>
      <c r="L1956" s="1095"/>
      <c r="M1956" s="1095"/>
    </row>
    <row r="1957" spans="1:13" x14ac:dyDescent="0.25">
      <c r="A1957">
        <v>1716639</v>
      </c>
      <c r="B1957" t="s">
        <v>9246</v>
      </c>
      <c r="C1957" t="s">
        <v>2596</v>
      </c>
      <c r="D1957" s="254">
        <v>49.43</v>
      </c>
      <c r="E1957"/>
      <c r="F1957"/>
      <c r="G1957"/>
      <c r="H1957"/>
      <c r="I1957" s="489"/>
      <c r="J1957" s="1095"/>
      <c r="K1957" s="1095"/>
      <c r="L1957" s="1095"/>
      <c r="M1957" s="1095"/>
    </row>
    <row r="1958" spans="1:13" x14ac:dyDescent="0.25">
      <c r="A1958">
        <v>1801636</v>
      </c>
      <c r="B1958" t="s">
        <v>9247</v>
      </c>
      <c r="C1958" t="s">
        <v>9248</v>
      </c>
      <c r="D1958" s="254">
        <v>18.68</v>
      </c>
      <c r="E1958"/>
      <c r="F1958"/>
      <c r="G1958"/>
      <c r="H1958"/>
      <c r="I1958" s="489"/>
      <c r="J1958" s="1095"/>
      <c r="K1958" s="1095"/>
      <c r="L1958" s="1095"/>
      <c r="M1958" s="1095"/>
    </row>
    <row r="1959" spans="1:13" x14ac:dyDescent="0.25">
      <c r="A1959">
        <v>1801637</v>
      </c>
      <c r="B1959" t="s">
        <v>9249</v>
      </c>
      <c r="C1959" t="s">
        <v>9248</v>
      </c>
      <c r="D1959" s="254">
        <v>24.91</v>
      </c>
      <c r="E1959"/>
      <c r="F1959"/>
      <c r="G1959"/>
      <c r="H1959"/>
      <c r="I1959" s="489"/>
      <c r="J1959" s="1095"/>
      <c r="K1959" s="1095"/>
      <c r="L1959" s="1095"/>
      <c r="M1959" s="1095"/>
    </row>
    <row r="1960" spans="1:13" x14ac:dyDescent="0.25">
      <c r="A1960">
        <v>1817720</v>
      </c>
      <c r="B1960" t="s">
        <v>9250</v>
      </c>
      <c r="C1960" t="s">
        <v>9248</v>
      </c>
      <c r="D1960" s="254">
        <v>95.92</v>
      </c>
      <c r="E1960"/>
      <c r="F1960"/>
      <c r="G1960"/>
      <c r="H1960"/>
      <c r="I1960" s="489"/>
      <c r="J1960" s="1095"/>
      <c r="K1960" s="1095"/>
      <c r="L1960" s="1095"/>
      <c r="M1960" s="1095"/>
    </row>
    <row r="1961" spans="1:13" x14ac:dyDescent="0.25">
      <c r="A1961">
        <v>1817723</v>
      </c>
      <c r="B1961" t="s">
        <v>9251</v>
      </c>
      <c r="C1961" t="s">
        <v>9248</v>
      </c>
      <c r="D1961" s="254">
        <v>43.59</v>
      </c>
      <c r="E1961"/>
      <c r="F1961"/>
      <c r="G1961"/>
      <c r="H1961"/>
      <c r="I1961" s="489"/>
      <c r="J1961" s="1095"/>
      <c r="K1961" s="1095"/>
      <c r="L1961" s="1095"/>
      <c r="M1961" s="1095"/>
    </row>
    <row r="1962" spans="1:13" x14ac:dyDescent="0.25">
      <c r="A1962">
        <v>1817721</v>
      </c>
      <c r="B1962" t="s">
        <v>9252</v>
      </c>
      <c r="C1962" t="s">
        <v>9248</v>
      </c>
      <c r="D1962" s="254">
        <v>130.77000000000001</v>
      </c>
      <c r="E1962"/>
      <c r="F1962"/>
      <c r="G1962"/>
      <c r="H1962"/>
      <c r="I1962" s="489"/>
      <c r="J1962" s="1095"/>
      <c r="K1962" s="1095"/>
      <c r="L1962" s="1095"/>
      <c r="M1962" s="1095"/>
    </row>
    <row r="1963" spans="1:13" x14ac:dyDescent="0.25">
      <c r="A1963">
        <v>1817722</v>
      </c>
      <c r="B1963" t="s">
        <v>9253</v>
      </c>
      <c r="C1963" t="s">
        <v>9248</v>
      </c>
      <c r="D1963" s="254">
        <v>65.39</v>
      </c>
      <c r="E1963"/>
      <c r="F1963"/>
      <c r="G1963"/>
      <c r="H1963"/>
      <c r="I1963" s="489"/>
      <c r="J1963" s="1095"/>
      <c r="K1963" s="1095"/>
      <c r="L1963" s="1095"/>
      <c r="M1963" s="1095"/>
    </row>
    <row r="1964" spans="1:13" x14ac:dyDescent="0.25">
      <c r="A1964">
        <v>1917483</v>
      </c>
      <c r="B1964" t="s">
        <v>9254</v>
      </c>
      <c r="C1964" t="s">
        <v>2596</v>
      </c>
      <c r="D1964" s="254">
        <v>5.24</v>
      </c>
      <c r="E1964"/>
      <c r="F1964"/>
      <c r="G1964"/>
      <c r="H1964"/>
      <c r="I1964" s="489"/>
      <c r="J1964" s="1095"/>
      <c r="K1964" s="1095"/>
      <c r="L1964" s="1095"/>
      <c r="M1964" s="1095"/>
    </row>
    <row r="1965" spans="1:13" x14ac:dyDescent="0.25">
      <c r="A1965">
        <v>1917484</v>
      </c>
      <c r="B1965" t="s">
        <v>9255</v>
      </c>
      <c r="C1965" t="s">
        <v>2596</v>
      </c>
      <c r="D1965" s="254">
        <v>5.45</v>
      </c>
      <c r="E1965"/>
      <c r="F1965"/>
      <c r="G1965"/>
      <c r="H1965"/>
      <c r="I1965" s="489"/>
      <c r="J1965" s="1095"/>
      <c r="K1965" s="1095"/>
      <c r="L1965" s="1095"/>
      <c r="M1965" s="1095"/>
    </row>
    <row r="1966" spans="1:13" x14ac:dyDescent="0.25">
      <c r="A1966">
        <v>1917485</v>
      </c>
      <c r="B1966" t="s">
        <v>9256</v>
      </c>
      <c r="C1966" t="s">
        <v>2596</v>
      </c>
      <c r="D1966" s="254">
        <v>5.94</v>
      </c>
      <c r="E1966"/>
      <c r="F1966"/>
      <c r="G1966"/>
      <c r="H1966"/>
      <c r="I1966" s="489"/>
      <c r="J1966" s="1095"/>
      <c r="K1966" s="1095"/>
      <c r="L1966" s="1095"/>
      <c r="M1966" s="1095"/>
    </row>
    <row r="1967" spans="1:13" x14ac:dyDescent="0.25">
      <c r="A1967">
        <v>1917486</v>
      </c>
      <c r="B1967" t="s">
        <v>9257</v>
      </c>
      <c r="C1967" t="s">
        <v>2596</v>
      </c>
      <c r="D1967" s="254">
        <v>6.19</v>
      </c>
      <c r="E1967"/>
      <c r="F1967"/>
      <c r="G1967"/>
      <c r="H1967"/>
      <c r="I1967" s="489"/>
      <c r="J1967" s="1095"/>
      <c r="K1967" s="1095"/>
      <c r="L1967" s="1095"/>
      <c r="M1967" s="1095"/>
    </row>
    <row r="1968" spans="1:13" x14ac:dyDescent="0.25">
      <c r="A1968">
        <v>1917487</v>
      </c>
      <c r="B1968" t="s">
        <v>9258</v>
      </c>
      <c r="C1968" t="s">
        <v>2596</v>
      </c>
      <c r="D1968" s="254">
        <v>6.51</v>
      </c>
      <c r="E1968"/>
      <c r="F1968"/>
      <c r="G1968"/>
      <c r="H1968"/>
      <c r="I1968" s="489"/>
      <c r="J1968" s="1095"/>
      <c r="K1968" s="1095"/>
      <c r="L1968" s="1095"/>
      <c r="M1968" s="1095"/>
    </row>
    <row r="1969" spans="1:13" x14ac:dyDescent="0.25">
      <c r="A1969">
        <v>1917528</v>
      </c>
      <c r="B1969" t="s">
        <v>9259</v>
      </c>
      <c r="C1969" t="s">
        <v>2596</v>
      </c>
      <c r="D1969" s="254">
        <v>32.07</v>
      </c>
      <c r="E1969"/>
      <c r="F1969"/>
      <c r="G1969"/>
      <c r="H1969"/>
      <c r="I1969" s="489"/>
      <c r="J1969" s="1095"/>
      <c r="K1969" s="1095"/>
      <c r="L1969" s="1095"/>
      <c r="M1969" s="1095"/>
    </row>
    <row r="1970" spans="1:13" x14ac:dyDescent="0.25">
      <c r="A1970">
        <v>1917529</v>
      </c>
      <c r="B1970" t="s">
        <v>9260</v>
      </c>
      <c r="C1970" t="s">
        <v>2596</v>
      </c>
      <c r="D1970" s="254">
        <v>33.119999999999997</v>
      </c>
      <c r="E1970"/>
      <c r="F1970"/>
      <c r="G1970"/>
      <c r="H1970"/>
      <c r="I1970" s="489"/>
      <c r="J1970" s="1095"/>
      <c r="K1970" s="1095"/>
      <c r="L1970" s="1095"/>
      <c r="M1970" s="1095"/>
    </row>
    <row r="1971" spans="1:13" x14ac:dyDescent="0.25">
      <c r="A1971">
        <v>1917530</v>
      </c>
      <c r="B1971" t="s">
        <v>9261</v>
      </c>
      <c r="C1971" t="s">
        <v>2596</v>
      </c>
      <c r="D1971" s="254">
        <v>34.74</v>
      </c>
      <c r="E1971"/>
      <c r="F1971"/>
      <c r="G1971"/>
      <c r="H1971"/>
      <c r="I1971" s="489"/>
      <c r="J1971" s="1095"/>
      <c r="K1971" s="1095"/>
      <c r="L1971" s="1095"/>
      <c r="M1971" s="1095"/>
    </row>
    <row r="1972" spans="1:13" x14ac:dyDescent="0.25">
      <c r="A1972">
        <v>1917531</v>
      </c>
      <c r="B1972" t="s">
        <v>9262</v>
      </c>
      <c r="C1972" t="s">
        <v>2596</v>
      </c>
      <c r="D1972" s="254">
        <v>36.520000000000003</v>
      </c>
      <c r="E1972"/>
      <c r="F1972"/>
      <c r="G1972"/>
      <c r="H1972"/>
      <c r="I1972" s="489"/>
      <c r="J1972" s="1095"/>
      <c r="K1972" s="1095"/>
      <c r="L1972" s="1095"/>
      <c r="M1972" s="1095"/>
    </row>
    <row r="1973" spans="1:13" x14ac:dyDescent="0.25">
      <c r="A1973">
        <v>1917532</v>
      </c>
      <c r="B1973" t="s">
        <v>9263</v>
      </c>
      <c r="C1973" t="s">
        <v>2596</v>
      </c>
      <c r="D1973" s="254">
        <v>38.520000000000003</v>
      </c>
      <c r="E1973"/>
      <c r="F1973"/>
      <c r="G1973"/>
      <c r="H1973"/>
      <c r="I1973" s="489"/>
      <c r="J1973" s="1095"/>
      <c r="K1973" s="1095"/>
      <c r="L1973" s="1095"/>
      <c r="M1973" s="1095"/>
    </row>
    <row r="1974" spans="1:13" x14ac:dyDescent="0.25">
      <c r="A1974">
        <v>1917533</v>
      </c>
      <c r="B1974" t="s">
        <v>9264</v>
      </c>
      <c r="C1974" t="s">
        <v>2596</v>
      </c>
      <c r="D1974" s="254">
        <v>39.57</v>
      </c>
      <c r="E1974"/>
      <c r="F1974"/>
      <c r="G1974"/>
      <c r="H1974"/>
      <c r="I1974" s="489"/>
      <c r="J1974" s="1095"/>
      <c r="K1974" s="1095"/>
      <c r="L1974" s="1095"/>
      <c r="M1974" s="1095"/>
    </row>
    <row r="1975" spans="1:13" x14ac:dyDescent="0.25">
      <c r="A1975">
        <v>1917534</v>
      </c>
      <c r="B1975" t="s">
        <v>9265</v>
      </c>
      <c r="C1975" t="s">
        <v>2596</v>
      </c>
      <c r="D1975" s="254">
        <v>40.67</v>
      </c>
      <c r="E1975"/>
      <c r="F1975"/>
      <c r="G1975"/>
      <c r="H1975"/>
      <c r="I1975" s="489"/>
      <c r="J1975" s="1095"/>
      <c r="K1975" s="1095"/>
      <c r="L1975" s="1095"/>
      <c r="M1975" s="1095"/>
    </row>
    <row r="1976" spans="1:13" x14ac:dyDescent="0.25">
      <c r="A1976">
        <v>1917535</v>
      </c>
      <c r="B1976" t="s">
        <v>9266</v>
      </c>
      <c r="C1976" t="s">
        <v>2596</v>
      </c>
      <c r="D1976" s="254">
        <v>42.07</v>
      </c>
      <c r="E1976"/>
      <c r="F1976"/>
      <c r="G1976"/>
      <c r="H1976"/>
      <c r="I1976" s="489"/>
      <c r="J1976" s="1095"/>
      <c r="K1976" s="1095"/>
      <c r="L1976" s="1095"/>
      <c r="M1976" s="1095"/>
    </row>
    <row r="1977" spans="1:13" x14ac:dyDescent="0.25">
      <c r="A1977">
        <v>1917536</v>
      </c>
      <c r="B1977" t="s">
        <v>9267</v>
      </c>
      <c r="C1977" t="s">
        <v>2596</v>
      </c>
      <c r="D1977" s="254">
        <v>43.31</v>
      </c>
      <c r="E1977"/>
      <c r="F1977"/>
      <c r="G1977"/>
      <c r="H1977"/>
      <c r="I1977" s="489"/>
      <c r="J1977" s="1095"/>
      <c r="K1977" s="1095"/>
      <c r="L1977" s="1095"/>
      <c r="M1977" s="1095"/>
    </row>
    <row r="1978" spans="1:13" x14ac:dyDescent="0.25">
      <c r="A1978">
        <v>1917537</v>
      </c>
      <c r="B1978" t="s">
        <v>9268</v>
      </c>
      <c r="C1978" t="s">
        <v>2596</v>
      </c>
      <c r="D1978" s="254">
        <v>44.59</v>
      </c>
      <c r="E1978"/>
      <c r="F1978"/>
      <c r="G1978"/>
      <c r="H1978"/>
      <c r="I1978" s="489"/>
      <c r="J1978" s="1095"/>
      <c r="K1978" s="1095"/>
      <c r="L1978" s="1095"/>
      <c r="M1978" s="1095"/>
    </row>
    <row r="1979" spans="1:13" x14ac:dyDescent="0.25">
      <c r="A1979">
        <v>1917488</v>
      </c>
      <c r="B1979" t="s">
        <v>9269</v>
      </c>
      <c r="C1979" t="s">
        <v>2596</v>
      </c>
      <c r="D1979" s="254">
        <v>6.77</v>
      </c>
      <c r="E1979"/>
      <c r="F1979"/>
      <c r="G1979"/>
      <c r="H1979"/>
      <c r="I1979" s="489"/>
      <c r="J1979" s="1095"/>
      <c r="K1979" s="1095"/>
      <c r="L1979" s="1095"/>
      <c r="M1979" s="1095"/>
    </row>
    <row r="1980" spans="1:13" x14ac:dyDescent="0.25">
      <c r="A1980">
        <v>1917489</v>
      </c>
      <c r="B1980" t="s">
        <v>9270</v>
      </c>
      <c r="C1980" t="s">
        <v>2596</v>
      </c>
      <c r="D1980" s="254">
        <v>7.07</v>
      </c>
      <c r="E1980"/>
      <c r="F1980"/>
      <c r="G1980"/>
      <c r="H1980"/>
      <c r="I1980" s="489"/>
      <c r="J1980" s="1095"/>
      <c r="K1980" s="1095"/>
      <c r="L1980" s="1095"/>
      <c r="M1980" s="1095"/>
    </row>
    <row r="1981" spans="1:13" x14ac:dyDescent="0.25">
      <c r="A1981">
        <v>1917490</v>
      </c>
      <c r="B1981" t="s">
        <v>9271</v>
      </c>
      <c r="C1981" t="s">
        <v>2596</v>
      </c>
      <c r="D1981" s="254">
        <v>7.54</v>
      </c>
      <c r="E1981"/>
      <c r="F1981"/>
      <c r="G1981"/>
      <c r="H1981"/>
      <c r="I1981" s="489"/>
      <c r="J1981" s="1095"/>
      <c r="K1981" s="1095"/>
      <c r="L1981" s="1095"/>
      <c r="M1981" s="1095"/>
    </row>
    <row r="1982" spans="1:13" x14ac:dyDescent="0.25">
      <c r="A1982">
        <v>1917491</v>
      </c>
      <c r="B1982" t="s">
        <v>9272</v>
      </c>
      <c r="C1982" t="s">
        <v>2596</v>
      </c>
      <c r="D1982" s="254">
        <v>7.87</v>
      </c>
      <c r="E1982"/>
      <c r="F1982"/>
      <c r="G1982"/>
      <c r="H1982"/>
      <c r="I1982" s="489"/>
      <c r="J1982" s="1095"/>
      <c r="K1982" s="1095"/>
      <c r="L1982" s="1095"/>
      <c r="M1982" s="1095"/>
    </row>
    <row r="1983" spans="1:13" x14ac:dyDescent="0.25">
      <c r="A1983">
        <v>1917492</v>
      </c>
      <c r="B1983" t="s">
        <v>9273</v>
      </c>
      <c r="C1983" t="s">
        <v>2596</v>
      </c>
      <c r="D1983" s="254">
        <v>8.16</v>
      </c>
      <c r="E1983"/>
      <c r="F1983"/>
      <c r="G1983"/>
      <c r="H1983"/>
      <c r="I1983" s="489"/>
      <c r="J1983" s="1095"/>
      <c r="K1983" s="1095"/>
      <c r="L1983" s="1095"/>
      <c r="M1983" s="1095"/>
    </row>
    <row r="1984" spans="1:13" x14ac:dyDescent="0.25">
      <c r="A1984">
        <v>1917493</v>
      </c>
      <c r="B1984" t="s">
        <v>9274</v>
      </c>
      <c r="C1984" t="s">
        <v>2596</v>
      </c>
      <c r="D1984" s="254">
        <v>8.51</v>
      </c>
      <c r="E1984"/>
      <c r="F1984"/>
      <c r="G1984"/>
      <c r="H1984"/>
      <c r="I1984" s="489"/>
      <c r="J1984" s="1095"/>
      <c r="K1984" s="1095"/>
      <c r="L1984" s="1095"/>
      <c r="M1984" s="1095"/>
    </row>
    <row r="1985" spans="1:13" x14ac:dyDescent="0.25">
      <c r="A1985">
        <v>1917494</v>
      </c>
      <c r="B1985" t="s">
        <v>9275</v>
      </c>
      <c r="C1985" t="s">
        <v>2596</v>
      </c>
      <c r="D1985" s="254">
        <v>8.8699999999999992</v>
      </c>
      <c r="E1985"/>
      <c r="F1985"/>
      <c r="G1985"/>
      <c r="H1985"/>
      <c r="I1985" s="489"/>
      <c r="J1985" s="1095"/>
      <c r="K1985" s="1095"/>
      <c r="L1985" s="1095"/>
      <c r="M1985" s="1095"/>
    </row>
    <row r="1986" spans="1:13" x14ac:dyDescent="0.25">
      <c r="A1986">
        <v>1917495</v>
      </c>
      <c r="B1986" t="s">
        <v>9276</v>
      </c>
      <c r="C1986" t="s">
        <v>2596</v>
      </c>
      <c r="D1986" s="254">
        <v>9.4</v>
      </c>
      <c r="E1986"/>
      <c r="F1986"/>
      <c r="G1986"/>
      <c r="H1986"/>
      <c r="I1986" s="489"/>
      <c r="J1986" s="1095"/>
      <c r="K1986" s="1095"/>
      <c r="L1986" s="1095"/>
      <c r="M1986" s="1095"/>
    </row>
    <row r="1987" spans="1:13" x14ac:dyDescent="0.25">
      <c r="A1987">
        <v>1917496</v>
      </c>
      <c r="B1987" t="s">
        <v>9277</v>
      </c>
      <c r="C1987" t="s">
        <v>2596</v>
      </c>
      <c r="D1987" s="254">
        <v>9.74</v>
      </c>
      <c r="E1987"/>
      <c r="F1987"/>
      <c r="G1987"/>
      <c r="H1987"/>
      <c r="I1987" s="489"/>
      <c r="J1987" s="1095"/>
      <c r="K1987" s="1095"/>
      <c r="L1987" s="1095"/>
      <c r="M1987" s="1095"/>
    </row>
    <row r="1988" spans="1:13" x14ac:dyDescent="0.25">
      <c r="A1988">
        <v>1917497</v>
      </c>
      <c r="B1988" t="s">
        <v>9278</v>
      </c>
      <c r="C1988" t="s">
        <v>2596</v>
      </c>
      <c r="D1988" s="254">
        <v>10.09</v>
      </c>
      <c r="E1988"/>
      <c r="F1988"/>
      <c r="G1988"/>
      <c r="H1988"/>
      <c r="I1988" s="489"/>
      <c r="J1988" s="1095"/>
      <c r="K1988" s="1095"/>
      <c r="L1988" s="1095"/>
      <c r="M1988" s="1095"/>
    </row>
    <row r="1989" spans="1:13" x14ac:dyDescent="0.25">
      <c r="A1989">
        <v>1917498</v>
      </c>
      <c r="B1989" t="s">
        <v>9279</v>
      </c>
      <c r="C1989" t="s">
        <v>2596</v>
      </c>
      <c r="D1989" s="254">
        <v>10.44</v>
      </c>
      <c r="E1989"/>
      <c r="F1989"/>
      <c r="G1989"/>
      <c r="H1989"/>
      <c r="I1989" s="489"/>
      <c r="J1989" s="1095"/>
      <c r="K1989" s="1095"/>
      <c r="L1989" s="1095"/>
      <c r="M1989" s="1095"/>
    </row>
    <row r="1990" spans="1:13" x14ac:dyDescent="0.25">
      <c r="A1990">
        <v>1917499</v>
      </c>
      <c r="B1990" t="s">
        <v>9280</v>
      </c>
      <c r="C1990" t="s">
        <v>2596</v>
      </c>
      <c r="D1990" s="254">
        <v>10.75</v>
      </c>
      <c r="E1990"/>
      <c r="F1990"/>
      <c r="G1990"/>
      <c r="H1990"/>
      <c r="I1990" s="489"/>
      <c r="J1990" s="1095"/>
      <c r="K1990" s="1095"/>
      <c r="L1990" s="1095"/>
      <c r="M1990" s="1095"/>
    </row>
    <row r="1991" spans="1:13" x14ac:dyDescent="0.25">
      <c r="A1991">
        <v>1917500</v>
      </c>
      <c r="B1991" t="s">
        <v>9281</v>
      </c>
      <c r="C1991" t="s">
        <v>2596</v>
      </c>
      <c r="D1991" s="254">
        <v>11.32</v>
      </c>
      <c r="E1991"/>
      <c r="F1991"/>
      <c r="G1991"/>
      <c r="H1991"/>
      <c r="I1991" s="489"/>
      <c r="J1991" s="1095"/>
      <c r="K1991" s="1095"/>
      <c r="L1991" s="1095"/>
      <c r="M1991" s="1095"/>
    </row>
    <row r="1992" spans="1:13" x14ac:dyDescent="0.25">
      <c r="A1992">
        <v>1917501</v>
      </c>
      <c r="B1992" t="s">
        <v>9282</v>
      </c>
      <c r="C1992" t="s">
        <v>2596</v>
      </c>
      <c r="D1992" s="254">
        <v>11.68</v>
      </c>
      <c r="E1992"/>
      <c r="F1992"/>
      <c r="G1992"/>
      <c r="H1992"/>
      <c r="I1992" s="489"/>
      <c r="J1992" s="1095"/>
      <c r="K1992" s="1095"/>
      <c r="L1992" s="1095"/>
      <c r="M1992" s="1095"/>
    </row>
    <row r="1993" spans="1:13" x14ac:dyDescent="0.25">
      <c r="A1993">
        <v>1917502</v>
      </c>
      <c r="B1993" t="s">
        <v>9283</v>
      </c>
      <c r="C1993" t="s">
        <v>2596</v>
      </c>
      <c r="D1993" s="254">
        <v>12.04</v>
      </c>
      <c r="E1993"/>
      <c r="F1993"/>
      <c r="G1993"/>
      <c r="H1993"/>
      <c r="I1993" s="489"/>
      <c r="J1993" s="1095"/>
      <c r="K1993" s="1095"/>
      <c r="L1993" s="1095"/>
      <c r="M1993" s="1095"/>
    </row>
    <row r="1994" spans="1:13" x14ac:dyDescent="0.25">
      <c r="A1994">
        <v>1917503</v>
      </c>
      <c r="B1994" t="s">
        <v>9284</v>
      </c>
      <c r="C1994" t="s">
        <v>2596</v>
      </c>
      <c r="D1994" s="254">
        <v>12.41</v>
      </c>
      <c r="E1994"/>
      <c r="F1994"/>
      <c r="G1994"/>
      <c r="H1994"/>
      <c r="I1994" s="489"/>
      <c r="J1994" s="1095"/>
      <c r="K1994" s="1095"/>
      <c r="L1994" s="1095"/>
      <c r="M1994" s="1095"/>
    </row>
    <row r="1995" spans="1:13" x14ac:dyDescent="0.25">
      <c r="A1995">
        <v>1917504</v>
      </c>
      <c r="B1995" t="s">
        <v>9285</v>
      </c>
      <c r="C1995" t="s">
        <v>2596</v>
      </c>
      <c r="D1995" s="254">
        <v>12.8</v>
      </c>
      <c r="E1995"/>
      <c r="F1995"/>
      <c r="G1995"/>
      <c r="H1995"/>
      <c r="I1995" s="489"/>
      <c r="J1995" s="1095"/>
      <c r="K1995" s="1095"/>
      <c r="L1995" s="1095"/>
      <c r="M1995" s="1095"/>
    </row>
    <row r="1996" spans="1:13" x14ac:dyDescent="0.25">
      <c r="A1996">
        <v>1917505</v>
      </c>
      <c r="B1996" t="s">
        <v>9286</v>
      </c>
      <c r="C1996" t="s">
        <v>2596</v>
      </c>
      <c r="D1996" s="254">
        <v>13.39</v>
      </c>
      <c r="E1996"/>
      <c r="F1996"/>
      <c r="G1996"/>
      <c r="H1996"/>
      <c r="I1996" s="489"/>
      <c r="J1996" s="1095"/>
      <c r="K1996" s="1095"/>
      <c r="L1996" s="1095"/>
      <c r="M1996" s="1095"/>
    </row>
    <row r="1997" spans="1:13" x14ac:dyDescent="0.25">
      <c r="A1997">
        <v>1917506</v>
      </c>
      <c r="B1997" t="s">
        <v>9287</v>
      </c>
      <c r="C1997" t="s">
        <v>2596</v>
      </c>
      <c r="D1997" s="254">
        <v>13.76</v>
      </c>
      <c r="E1997"/>
      <c r="F1997"/>
      <c r="G1997"/>
      <c r="H1997"/>
      <c r="I1997" s="489"/>
      <c r="J1997" s="1095"/>
      <c r="K1997" s="1095"/>
      <c r="L1997" s="1095"/>
      <c r="M1997" s="1095"/>
    </row>
    <row r="1998" spans="1:13" x14ac:dyDescent="0.25">
      <c r="A1998">
        <v>1917507</v>
      </c>
      <c r="B1998" t="s">
        <v>9288</v>
      </c>
      <c r="C1998" t="s">
        <v>2596</v>
      </c>
      <c r="D1998" s="254">
        <v>14.15</v>
      </c>
      <c r="E1998"/>
      <c r="F1998"/>
      <c r="G1998"/>
      <c r="H1998"/>
      <c r="I1998" s="489"/>
      <c r="J1998" s="1095"/>
      <c r="K1998" s="1095"/>
      <c r="L1998" s="1095"/>
      <c r="M1998" s="1095"/>
    </row>
    <row r="1999" spans="1:13" x14ac:dyDescent="0.25">
      <c r="A1999">
        <v>1917480</v>
      </c>
      <c r="B1999" t="s">
        <v>9289</v>
      </c>
      <c r="C1999" t="s">
        <v>2596</v>
      </c>
      <c r="D1999" s="254">
        <v>4.5599999999999996</v>
      </c>
      <c r="E1999"/>
      <c r="F1999"/>
      <c r="G1999"/>
      <c r="H1999"/>
      <c r="I1999" s="489"/>
      <c r="J1999" s="1095"/>
      <c r="K1999" s="1095"/>
      <c r="L1999" s="1095"/>
      <c r="M1999" s="1095"/>
    </row>
    <row r="2000" spans="1:13" x14ac:dyDescent="0.25">
      <c r="A2000">
        <v>1917508</v>
      </c>
      <c r="B2000" t="s">
        <v>9290</v>
      </c>
      <c r="C2000" t="s">
        <v>2596</v>
      </c>
      <c r="D2000" s="254">
        <v>14.55</v>
      </c>
      <c r="E2000"/>
      <c r="F2000"/>
      <c r="G2000"/>
      <c r="H2000"/>
      <c r="I2000" s="489"/>
      <c r="J2000" s="1095"/>
      <c r="K2000" s="1095"/>
      <c r="L2000" s="1095"/>
      <c r="M2000" s="1095"/>
    </row>
    <row r="2001" spans="1:13" x14ac:dyDescent="0.25">
      <c r="A2001">
        <v>1917509</v>
      </c>
      <c r="B2001" t="s">
        <v>9291</v>
      </c>
      <c r="C2001" t="s">
        <v>2596</v>
      </c>
      <c r="D2001" s="254">
        <v>15.01</v>
      </c>
      <c r="E2001"/>
      <c r="F2001"/>
      <c r="G2001"/>
      <c r="H2001"/>
      <c r="I2001" s="489"/>
      <c r="J2001" s="1095"/>
      <c r="K2001" s="1095"/>
      <c r="L2001" s="1095"/>
      <c r="M2001" s="1095"/>
    </row>
    <row r="2002" spans="1:13" x14ac:dyDescent="0.25">
      <c r="A2002">
        <v>1917510</v>
      </c>
      <c r="B2002" t="s">
        <v>9292</v>
      </c>
      <c r="C2002" t="s">
        <v>2596</v>
      </c>
      <c r="D2002" s="254">
        <v>15.64</v>
      </c>
      <c r="E2002"/>
      <c r="F2002"/>
      <c r="G2002"/>
      <c r="H2002"/>
      <c r="I2002" s="489"/>
      <c r="J2002" s="1095"/>
      <c r="K2002" s="1095"/>
      <c r="L2002" s="1095"/>
      <c r="M2002" s="1095"/>
    </row>
    <row r="2003" spans="1:13" x14ac:dyDescent="0.25">
      <c r="A2003">
        <v>1917511</v>
      </c>
      <c r="B2003" t="s">
        <v>9293</v>
      </c>
      <c r="C2003" t="s">
        <v>2596</v>
      </c>
      <c r="D2003" s="254">
        <v>16.079999999999998</v>
      </c>
      <c r="E2003"/>
      <c r="F2003"/>
      <c r="G2003"/>
      <c r="H2003"/>
      <c r="I2003" s="489"/>
      <c r="J2003" s="1095"/>
      <c r="K2003" s="1095"/>
      <c r="L2003" s="1095"/>
      <c r="M2003" s="1095"/>
    </row>
    <row r="2004" spans="1:13" x14ac:dyDescent="0.25">
      <c r="A2004">
        <v>1917512</v>
      </c>
      <c r="B2004" t="s">
        <v>9294</v>
      </c>
      <c r="C2004" t="s">
        <v>2596</v>
      </c>
      <c r="D2004" s="254">
        <v>16.579999999999998</v>
      </c>
      <c r="E2004"/>
      <c r="F2004"/>
      <c r="G2004"/>
      <c r="H2004"/>
      <c r="I2004" s="489"/>
      <c r="J2004" s="1095"/>
      <c r="K2004" s="1095"/>
      <c r="L2004" s="1095"/>
      <c r="M2004" s="1095"/>
    </row>
    <row r="2005" spans="1:13" x14ac:dyDescent="0.25">
      <c r="A2005">
        <v>1917513</v>
      </c>
      <c r="B2005" t="s">
        <v>9295</v>
      </c>
      <c r="C2005" t="s">
        <v>2596</v>
      </c>
      <c r="D2005" s="254">
        <v>17.059999999999999</v>
      </c>
      <c r="E2005"/>
      <c r="F2005"/>
      <c r="G2005"/>
      <c r="H2005"/>
      <c r="I2005" s="489"/>
      <c r="J2005" s="1095"/>
      <c r="K2005" s="1095"/>
      <c r="L2005" s="1095"/>
      <c r="M2005" s="1095"/>
    </row>
    <row r="2006" spans="1:13" x14ac:dyDescent="0.25">
      <c r="A2006">
        <v>1917514</v>
      </c>
      <c r="B2006" t="s">
        <v>9296</v>
      </c>
      <c r="C2006" t="s">
        <v>2596</v>
      </c>
      <c r="D2006" s="254">
        <v>17.62</v>
      </c>
      <c r="E2006"/>
      <c r="F2006"/>
      <c r="G2006"/>
      <c r="H2006"/>
      <c r="I2006" s="489"/>
      <c r="J2006" s="1095"/>
      <c r="K2006" s="1095"/>
      <c r="L2006" s="1095"/>
      <c r="M2006" s="1095"/>
    </row>
    <row r="2007" spans="1:13" x14ac:dyDescent="0.25">
      <c r="A2007">
        <v>1917515</v>
      </c>
      <c r="B2007" t="s">
        <v>9297</v>
      </c>
      <c r="C2007" t="s">
        <v>2596</v>
      </c>
      <c r="D2007" s="254">
        <v>18.420000000000002</v>
      </c>
      <c r="E2007"/>
      <c r="F2007"/>
      <c r="G2007"/>
      <c r="H2007"/>
      <c r="I2007" s="489"/>
      <c r="J2007" s="1095"/>
      <c r="K2007" s="1095"/>
      <c r="L2007" s="1095"/>
      <c r="M2007" s="1095"/>
    </row>
    <row r="2008" spans="1:13" x14ac:dyDescent="0.25">
      <c r="A2008">
        <v>1917516</v>
      </c>
      <c r="B2008" t="s">
        <v>9298</v>
      </c>
      <c r="C2008" t="s">
        <v>2596</v>
      </c>
      <c r="D2008" s="254">
        <v>19.03</v>
      </c>
      <c r="E2008"/>
      <c r="F2008"/>
      <c r="G2008"/>
      <c r="H2008"/>
      <c r="I2008" s="489"/>
      <c r="J2008" s="1095"/>
      <c r="K2008" s="1095"/>
      <c r="L2008" s="1095"/>
      <c r="M2008" s="1095"/>
    </row>
    <row r="2009" spans="1:13" x14ac:dyDescent="0.25">
      <c r="A2009">
        <v>1917517</v>
      </c>
      <c r="B2009" t="s">
        <v>9299</v>
      </c>
      <c r="C2009" t="s">
        <v>2596</v>
      </c>
      <c r="D2009" s="254">
        <v>19.850000000000001</v>
      </c>
      <c r="E2009"/>
      <c r="F2009"/>
      <c r="G2009"/>
      <c r="H2009"/>
      <c r="I2009" s="489"/>
      <c r="J2009" s="1095"/>
      <c r="K2009" s="1095"/>
      <c r="L2009" s="1095"/>
      <c r="M2009" s="1095"/>
    </row>
    <row r="2010" spans="1:13" x14ac:dyDescent="0.25">
      <c r="A2010">
        <v>1917481</v>
      </c>
      <c r="B2010" t="s">
        <v>9300</v>
      </c>
      <c r="C2010" t="s">
        <v>2596</v>
      </c>
      <c r="D2010" s="254">
        <v>4.7699999999999996</v>
      </c>
      <c r="E2010"/>
      <c r="F2010"/>
      <c r="G2010"/>
      <c r="H2010"/>
      <c r="I2010" s="489"/>
      <c r="J2010" s="1095"/>
      <c r="K2010" s="1095"/>
      <c r="L2010" s="1095"/>
      <c r="M2010" s="1095"/>
    </row>
    <row r="2011" spans="1:13" x14ac:dyDescent="0.25">
      <c r="A2011">
        <v>1917518</v>
      </c>
      <c r="B2011" t="s">
        <v>9301</v>
      </c>
      <c r="C2011" t="s">
        <v>2596</v>
      </c>
      <c r="D2011" s="254">
        <v>20.68</v>
      </c>
      <c r="E2011"/>
      <c r="F2011"/>
      <c r="G2011"/>
      <c r="H2011"/>
      <c r="I2011" s="489"/>
      <c r="J2011" s="1095"/>
      <c r="K2011" s="1095"/>
      <c r="L2011" s="1095"/>
      <c r="M2011" s="1095"/>
    </row>
    <row r="2012" spans="1:13" x14ac:dyDescent="0.25">
      <c r="A2012">
        <v>1917519</v>
      </c>
      <c r="B2012" t="s">
        <v>9302</v>
      </c>
      <c r="C2012" t="s">
        <v>2596</v>
      </c>
      <c r="D2012" s="254">
        <v>21.69</v>
      </c>
      <c r="E2012"/>
      <c r="F2012"/>
      <c r="G2012"/>
      <c r="H2012"/>
      <c r="I2012" s="489"/>
      <c r="J2012" s="1095"/>
      <c r="K2012" s="1095"/>
      <c r="L2012" s="1095"/>
      <c r="M2012" s="1095"/>
    </row>
    <row r="2013" spans="1:13" x14ac:dyDescent="0.25">
      <c r="A2013">
        <v>1917520</v>
      </c>
      <c r="B2013" t="s">
        <v>9303</v>
      </c>
      <c r="C2013" t="s">
        <v>2596</v>
      </c>
      <c r="D2013" s="254">
        <v>22.82</v>
      </c>
      <c r="E2013"/>
      <c r="F2013"/>
      <c r="G2013"/>
      <c r="H2013"/>
      <c r="I2013" s="489"/>
      <c r="J2013" s="1095"/>
      <c r="K2013" s="1095"/>
      <c r="L2013" s="1095"/>
      <c r="M2013" s="1095"/>
    </row>
    <row r="2014" spans="1:13" x14ac:dyDescent="0.25">
      <c r="A2014">
        <v>1917521</v>
      </c>
      <c r="B2014" t="s">
        <v>9304</v>
      </c>
      <c r="C2014" t="s">
        <v>2596</v>
      </c>
      <c r="D2014" s="254">
        <v>23.8</v>
      </c>
      <c r="E2014"/>
      <c r="F2014"/>
      <c r="G2014"/>
      <c r="H2014"/>
      <c r="I2014" s="489"/>
      <c r="J2014" s="1095"/>
      <c r="K2014" s="1095"/>
      <c r="L2014" s="1095"/>
      <c r="M2014" s="1095"/>
    </row>
    <row r="2015" spans="1:13" x14ac:dyDescent="0.25">
      <c r="A2015">
        <v>1917522</v>
      </c>
      <c r="B2015" t="s">
        <v>9305</v>
      </c>
      <c r="C2015" t="s">
        <v>2596</v>
      </c>
      <c r="D2015" s="254">
        <v>24.87</v>
      </c>
      <c r="E2015"/>
      <c r="F2015"/>
      <c r="G2015"/>
      <c r="H2015"/>
      <c r="I2015" s="489"/>
      <c r="J2015" s="1095"/>
      <c r="K2015" s="1095"/>
      <c r="L2015" s="1095"/>
      <c r="M2015" s="1095"/>
    </row>
    <row r="2016" spans="1:13" x14ac:dyDescent="0.25">
      <c r="A2016">
        <v>1917523</v>
      </c>
      <c r="B2016" t="s">
        <v>9306</v>
      </c>
      <c r="C2016" t="s">
        <v>2596</v>
      </c>
      <c r="D2016" s="254">
        <v>25.97</v>
      </c>
      <c r="E2016"/>
      <c r="F2016"/>
      <c r="G2016"/>
      <c r="H2016"/>
      <c r="I2016" s="489"/>
      <c r="J2016" s="1095"/>
      <c r="K2016" s="1095"/>
      <c r="L2016" s="1095"/>
      <c r="M2016" s="1095"/>
    </row>
    <row r="2017" spans="1:13" x14ac:dyDescent="0.25">
      <c r="A2017">
        <v>1917524</v>
      </c>
      <c r="B2017" t="s">
        <v>9307</v>
      </c>
      <c r="C2017" t="s">
        <v>2596</v>
      </c>
      <c r="D2017" s="254">
        <v>27.15</v>
      </c>
      <c r="E2017"/>
      <c r="F2017"/>
      <c r="G2017"/>
      <c r="H2017"/>
      <c r="I2017" s="489"/>
      <c r="J2017" s="1095"/>
      <c r="K2017" s="1095"/>
      <c r="L2017" s="1095"/>
      <c r="M2017" s="1095"/>
    </row>
    <row r="2018" spans="1:13" x14ac:dyDescent="0.25">
      <c r="A2018">
        <v>1917525</v>
      </c>
      <c r="B2018" t="s">
        <v>9308</v>
      </c>
      <c r="C2018" t="s">
        <v>2596</v>
      </c>
      <c r="D2018" s="254">
        <v>28.5</v>
      </c>
      <c r="E2018"/>
      <c r="F2018"/>
      <c r="G2018"/>
      <c r="H2018"/>
      <c r="I2018" s="489"/>
      <c r="J2018" s="1095"/>
      <c r="K2018" s="1095"/>
      <c r="L2018" s="1095"/>
      <c r="M2018" s="1095"/>
    </row>
    <row r="2019" spans="1:13" x14ac:dyDescent="0.25">
      <c r="A2019">
        <v>1917526</v>
      </c>
      <c r="B2019" t="s">
        <v>9309</v>
      </c>
      <c r="C2019" t="s">
        <v>2596</v>
      </c>
      <c r="D2019" s="254">
        <v>29.58</v>
      </c>
      <c r="E2019"/>
      <c r="F2019"/>
      <c r="G2019"/>
      <c r="H2019"/>
      <c r="I2019" s="489"/>
      <c r="J2019" s="1095"/>
      <c r="K2019" s="1095"/>
      <c r="L2019" s="1095"/>
      <c r="M2019" s="1095"/>
    </row>
    <row r="2020" spans="1:13" x14ac:dyDescent="0.25">
      <c r="A2020">
        <v>1917527</v>
      </c>
      <c r="B2020" t="s">
        <v>9310</v>
      </c>
      <c r="C2020" t="s">
        <v>2596</v>
      </c>
      <c r="D2020" s="254">
        <v>30.66</v>
      </c>
      <c r="E2020"/>
      <c r="F2020"/>
      <c r="G2020"/>
      <c r="H2020"/>
      <c r="I2020" s="489"/>
      <c r="J2020" s="1095"/>
      <c r="K2020" s="1095"/>
      <c r="L2020" s="1095"/>
      <c r="M2020" s="1095"/>
    </row>
    <row r="2021" spans="1:13" x14ac:dyDescent="0.25">
      <c r="A2021">
        <v>1917482</v>
      </c>
      <c r="B2021" t="s">
        <v>9311</v>
      </c>
      <c r="C2021" t="s">
        <v>2596</v>
      </c>
      <c r="D2021" s="254">
        <v>4.97</v>
      </c>
      <c r="E2021"/>
      <c r="F2021"/>
      <c r="G2021"/>
      <c r="H2021"/>
      <c r="I2021" s="489"/>
      <c r="J2021" s="1095"/>
      <c r="K2021" s="1095"/>
      <c r="L2021" s="1095"/>
      <c r="M2021" s="1095"/>
    </row>
    <row r="2022" spans="1:13" x14ac:dyDescent="0.25">
      <c r="A2022">
        <v>1917737</v>
      </c>
      <c r="B2022" t="s">
        <v>9312</v>
      </c>
      <c r="C2022" t="s">
        <v>2596</v>
      </c>
      <c r="D2022" s="254">
        <v>4.53</v>
      </c>
      <c r="E2022"/>
      <c r="F2022"/>
      <c r="G2022"/>
      <c r="H2022"/>
      <c r="I2022" s="489"/>
      <c r="J2022" s="1095"/>
      <c r="K2022" s="1095"/>
      <c r="L2022" s="1095"/>
      <c r="M2022" s="1095"/>
    </row>
    <row r="2023" spans="1:13" x14ac:dyDescent="0.25">
      <c r="A2023">
        <v>1917220</v>
      </c>
      <c r="B2023" t="s">
        <v>9313</v>
      </c>
      <c r="C2023" t="s">
        <v>2596</v>
      </c>
      <c r="D2023" s="254">
        <v>8.0399999999999991</v>
      </c>
      <c r="E2023"/>
      <c r="F2023"/>
      <c r="G2023"/>
      <c r="H2023"/>
      <c r="I2023" s="489"/>
      <c r="J2023" s="1095"/>
      <c r="K2023" s="1095"/>
      <c r="L2023" s="1095"/>
      <c r="M2023" s="1095"/>
    </row>
    <row r="2024" spans="1:13" x14ac:dyDescent="0.25">
      <c r="A2024">
        <v>1917221</v>
      </c>
      <c r="B2024" t="s">
        <v>9314</v>
      </c>
      <c r="C2024" t="s">
        <v>2596</v>
      </c>
      <c r="D2024" s="254">
        <v>8.58</v>
      </c>
      <c r="E2024"/>
      <c r="F2024"/>
      <c r="G2024"/>
      <c r="H2024"/>
      <c r="I2024" s="489"/>
      <c r="J2024" s="1095"/>
      <c r="K2024" s="1095"/>
      <c r="L2024" s="1095"/>
      <c r="M2024" s="1095"/>
    </row>
    <row r="2025" spans="1:13" x14ac:dyDescent="0.25">
      <c r="A2025">
        <v>1917222</v>
      </c>
      <c r="B2025" t="s">
        <v>9315</v>
      </c>
      <c r="C2025" t="s">
        <v>2596</v>
      </c>
      <c r="D2025" s="254">
        <v>9.19</v>
      </c>
      <c r="E2025"/>
      <c r="F2025"/>
      <c r="G2025"/>
      <c r="H2025"/>
      <c r="I2025" s="489"/>
      <c r="J2025" s="1095"/>
      <c r="K2025" s="1095"/>
      <c r="L2025" s="1095"/>
      <c r="M2025" s="1095"/>
    </row>
    <row r="2026" spans="1:13" x14ac:dyDescent="0.25">
      <c r="A2026">
        <v>1917223</v>
      </c>
      <c r="B2026" t="s">
        <v>9316</v>
      </c>
      <c r="C2026" t="s">
        <v>2596</v>
      </c>
      <c r="D2026" s="254">
        <v>9.59</v>
      </c>
      <c r="E2026"/>
      <c r="F2026"/>
      <c r="G2026"/>
      <c r="H2026"/>
      <c r="I2026" s="489"/>
      <c r="J2026" s="1095"/>
      <c r="K2026" s="1095"/>
      <c r="L2026" s="1095"/>
      <c r="M2026" s="1095"/>
    </row>
    <row r="2027" spans="1:13" x14ac:dyDescent="0.25">
      <c r="A2027">
        <v>1917224</v>
      </c>
      <c r="B2027" t="s">
        <v>9317</v>
      </c>
      <c r="C2027" t="s">
        <v>2596</v>
      </c>
      <c r="D2027" s="254">
        <v>10</v>
      </c>
      <c r="E2027"/>
      <c r="F2027"/>
      <c r="G2027"/>
      <c r="H2027"/>
      <c r="I2027" s="489"/>
      <c r="J2027" s="1095"/>
      <c r="K2027" s="1095"/>
      <c r="L2027" s="1095"/>
      <c r="M2027" s="1095"/>
    </row>
    <row r="2028" spans="1:13" x14ac:dyDescent="0.25">
      <c r="A2028">
        <v>1917225</v>
      </c>
      <c r="B2028" t="s">
        <v>9318</v>
      </c>
      <c r="C2028" t="s">
        <v>2596</v>
      </c>
      <c r="D2028" s="254">
        <v>10.48</v>
      </c>
      <c r="E2028"/>
      <c r="F2028"/>
      <c r="G2028"/>
      <c r="H2028"/>
      <c r="I2028" s="489"/>
      <c r="J2028" s="1095"/>
      <c r="K2028" s="1095"/>
      <c r="L2028" s="1095"/>
      <c r="M2028" s="1095"/>
    </row>
    <row r="2029" spans="1:13" x14ac:dyDescent="0.25">
      <c r="A2029">
        <v>1917226</v>
      </c>
      <c r="B2029" t="s">
        <v>9319</v>
      </c>
      <c r="C2029" t="s">
        <v>2596</v>
      </c>
      <c r="D2029" s="254">
        <v>10.94</v>
      </c>
      <c r="E2029"/>
      <c r="F2029"/>
      <c r="G2029"/>
      <c r="H2029"/>
      <c r="I2029" s="489"/>
      <c r="J2029" s="1095"/>
      <c r="K2029" s="1095"/>
      <c r="L2029" s="1095"/>
      <c r="M2029" s="1095"/>
    </row>
    <row r="2030" spans="1:13" x14ac:dyDescent="0.25">
      <c r="A2030">
        <v>1917227</v>
      </c>
      <c r="B2030" t="s">
        <v>9320</v>
      </c>
      <c r="C2030" t="s">
        <v>2596</v>
      </c>
      <c r="D2030" s="254">
        <v>11.58</v>
      </c>
      <c r="E2030"/>
      <c r="F2030"/>
      <c r="G2030"/>
      <c r="H2030"/>
      <c r="I2030" s="489"/>
      <c r="J2030" s="1095"/>
      <c r="K2030" s="1095"/>
      <c r="L2030" s="1095"/>
      <c r="M2030" s="1095"/>
    </row>
    <row r="2031" spans="1:13" x14ac:dyDescent="0.25">
      <c r="A2031">
        <v>1917228</v>
      </c>
      <c r="B2031" t="s">
        <v>9321</v>
      </c>
      <c r="C2031" t="s">
        <v>2596</v>
      </c>
      <c r="D2031" s="254">
        <v>12.12</v>
      </c>
      <c r="E2031"/>
      <c r="F2031"/>
      <c r="G2031"/>
      <c r="H2031"/>
      <c r="I2031" s="489"/>
      <c r="J2031" s="1095"/>
      <c r="K2031" s="1095"/>
      <c r="L2031" s="1095"/>
      <c r="M2031" s="1095"/>
    </row>
    <row r="2032" spans="1:13" x14ac:dyDescent="0.25">
      <c r="A2032">
        <v>1917229</v>
      </c>
      <c r="B2032" t="s">
        <v>9322</v>
      </c>
      <c r="C2032" t="s">
        <v>2596</v>
      </c>
      <c r="D2032" s="254">
        <v>12.6</v>
      </c>
      <c r="E2032"/>
      <c r="F2032"/>
      <c r="G2032"/>
      <c r="H2032"/>
      <c r="I2032" s="489"/>
      <c r="J2032" s="1095"/>
      <c r="K2032" s="1095"/>
      <c r="L2032" s="1095"/>
      <c r="M2032" s="1095"/>
    </row>
    <row r="2033" spans="1:13" x14ac:dyDescent="0.25">
      <c r="A2033">
        <v>1917230</v>
      </c>
      <c r="B2033" t="s">
        <v>9323</v>
      </c>
      <c r="C2033" t="s">
        <v>2596</v>
      </c>
      <c r="D2033" s="254">
        <v>13.13</v>
      </c>
      <c r="E2033"/>
      <c r="F2033"/>
      <c r="G2033"/>
      <c r="H2033"/>
      <c r="I2033" s="489"/>
      <c r="J2033" s="1095"/>
      <c r="K2033" s="1095"/>
      <c r="L2033" s="1095"/>
      <c r="M2033" s="1095"/>
    </row>
    <row r="2034" spans="1:13" x14ac:dyDescent="0.25">
      <c r="A2034">
        <v>1917231</v>
      </c>
      <c r="B2034" t="s">
        <v>9324</v>
      </c>
      <c r="C2034" t="s">
        <v>2596</v>
      </c>
      <c r="D2034" s="254">
        <v>13.69</v>
      </c>
      <c r="E2034"/>
      <c r="F2034"/>
      <c r="G2034"/>
      <c r="H2034"/>
      <c r="I2034" s="489"/>
      <c r="J2034" s="1095"/>
      <c r="K2034" s="1095"/>
      <c r="L2034" s="1095"/>
      <c r="M2034" s="1095"/>
    </row>
    <row r="2035" spans="1:13" x14ac:dyDescent="0.25">
      <c r="A2035">
        <v>1917232</v>
      </c>
      <c r="B2035" t="s">
        <v>9325</v>
      </c>
      <c r="C2035" t="s">
        <v>2596</v>
      </c>
      <c r="D2035" s="254">
        <v>14.43</v>
      </c>
      <c r="E2035"/>
      <c r="F2035"/>
      <c r="G2035"/>
      <c r="H2035"/>
      <c r="I2035" s="489"/>
      <c r="J2035" s="1095"/>
      <c r="K2035" s="1095"/>
      <c r="L2035" s="1095"/>
      <c r="M2035" s="1095"/>
    </row>
    <row r="2036" spans="1:13" x14ac:dyDescent="0.25">
      <c r="A2036">
        <v>1917233</v>
      </c>
      <c r="B2036" t="s">
        <v>9326</v>
      </c>
      <c r="C2036" t="s">
        <v>2596</v>
      </c>
      <c r="D2036" s="254">
        <v>14.99</v>
      </c>
      <c r="E2036"/>
      <c r="F2036"/>
      <c r="G2036"/>
      <c r="H2036"/>
      <c r="I2036" s="489"/>
      <c r="J2036" s="1095"/>
      <c r="K2036" s="1095"/>
      <c r="L2036" s="1095"/>
      <c r="M2036" s="1095"/>
    </row>
    <row r="2037" spans="1:13" x14ac:dyDescent="0.25">
      <c r="A2037">
        <v>1917234</v>
      </c>
      <c r="B2037" t="s">
        <v>9327</v>
      </c>
      <c r="C2037" t="s">
        <v>2596</v>
      </c>
      <c r="D2037" s="254">
        <v>15.69</v>
      </c>
      <c r="E2037"/>
      <c r="F2037"/>
      <c r="G2037"/>
      <c r="H2037"/>
      <c r="I2037" s="489"/>
      <c r="J2037" s="1095"/>
      <c r="K2037" s="1095"/>
      <c r="L2037" s="1095"/>
      <c r="M2037" s="1095"/>
    </row>
    <row r="2038" spans="1:13" x14ac:dyDescent="0.25">
      <c r="A2038">
        <v>1917217</v>
      </c>
      <c r="B2038" t="s">
        <v>9328</v>
      </c>
      <c r="C2038" t="s">
        <v>2596</v>
      </c>
      <c r="D2038" s="254">
        <v>6.64</v>
      </c>
      <c r="E2038"/>
      <c r="F2038"/>
      <c r="G2038"/>
      <c r="H2038"/>
      <c r="I2038" s="489"/>
      <c r="J2038" s="1095"/>
      <c r="K2038" s="1095"/>
      <c r="L2038" s="1095"/>
      <c r="M2038" s="1095"/>
    </row>
    <row r="2039" spans="1:13" x14ac:dyDescent="0.25">
      <c r="A2039">
        <v>1917218</v>
      </c>
      <c r="B2039" t="s">
        <v>9329</v>
      </c>
      <c r="C2039" t="s">
        <v>2596</v>
      </c>
      <c r="D2039" s="254">
        <v>6.88</v>
      </c>
      <c r="E2039"/>
      <c r="F2039"/>
      <c r="G2039"/>
      <c r="H2039"/>
      <c r="I2039" s="489"/>
      <c r="J2039" s="1095"/>
      <c r="K2039" s="1095"/>
      <c r="L2039" s="1095"/>
      <c r="M2039" s="1095"/>
    </row>
    <row r="2040" spans="1:13" x14ac:dyDescent="0.25">
      <c r="A2040">
        <v>1917219</v>
      </c>
      <c r="B2040" t="s">
        <v>9330</v>
      </c>
      <c r="C2040" t="s">
        <v>2596</v>
      </c>
      <c r="D2040" s="254">
        <v>7.4</v>
      </c>
      <c r="E2040"/>
      <c r="F2040"/>
      <c r="G2040"/>
      <c r="H2040"/>
      <c r="I2040" s="489"/>
      <c r="J2040" s="1095"/>
      <c r="K2040" s="1095"/>
      <c r="L2040" s="1095"/>
      <c r="M2040" s="1095"/>
    </row>
    <row r="2041" spans="1:13" x14ac:dyDescent="0.25">
      <c r="A2041">
        <v>1917724</v>
      </c>
      <c r="B2041" t="s">
        <v>9331</v>
      </c>
      <c r="C2041" t="s">
        <v>2596</v>
      </c>
      <c r="D2041" s="254">
        <v>6.51</v>
      </c>
      <c r="E2041"/>
      <c r="F2041"/>
      <c r="G2041"/>
      <c r="H2041"/>
      <c r="I2041" s="489"/>
      <c r="J2041" s="1095"/>
      <c r="K2041" s="1095"/>
      <c r="L2041" s="1095"/>
      <c r="M2041" s="1095"/>
    </row>
    <row r="2042" spans="1:13" x14ac:dyDescent="0.25">
      <c r="A2042">
        <v>1917274</v>
      </c>
      <c r="B2042" t="s">
        <v>9332</v>
      </c>
      <c r="C2042" t="s">
        <v>2596</v>
      </c>
      <c r="D2042" s="254">
        <v>5.53</v>
      </c>
      <c r="E2042"/>
      <c r="F2042"/>
      <c r="G2042"/>
      <c r="H2042"/>
      <c r="I2042" s="489"/>
      <c r="J2042" s="1095"/>
      <c r="K2042" s="1095"/>
      <c r="L2042" s="1095"/>
      <c r="M2042" s="1095"/>
    </row>
    <row r="2043" spans="1:13" x14ac:dyDescent="0.25">
      <c r="A2043">
        <v>1917275</v>
      </c>
      <c r="B2043" t="s">
        <v>9333</v>
      </c>
      <c r="C2043" t="s">
        <v>2596</v>
      </c>
      <c r="D2043" s="254">
        <v>5.88</v>
      </c>
      <c r="E2043"/>
      <c r="F2043"/>
      <c r="G2043"/>
      <c r="H2043"/>
      <c r="I2043" s="489"/>
      <c r="J2043" s="1095"/>
      <c r="K2043" s="1095"/>
      <c r="L2043" s="1095"/>
      <c r="M2043" s="1095"/>
    </row>
    <row r="2044" spans="1:13" x14ac:dyDescent="0.25">
      <c r="A2044">
        <v>1917276</v>
      </c>
      <c r="B2044" t="s">
        <v>9334</v>
      </c>
      <c r="C2044" t="s">
        <v>2596</v>
      </c>
      <c r="D2044" s="254">
        <v>6.38</v>
      </c>
      <c r="E2044"/>
      <c r="F2044"/>
      <c r="G2044"/>
      <c r="H2044"/>
      <c r="I2044" s="489"/>
      <c r="J2044" s="1095"/>
      <c r="K2044" s="1095"/>
      <c r="L2044" s="1095"/>
      <c r="M2044" s="1095"/>
    </row>
    <row r="2045" spans="1:13" x14ac:dyDescent="0.25">
      <c r="A2045">
        <v>1917277</v>
      </c>
      <c r="B2045" t="s">
        <v>9335</v>
      </c>
      <c r="C2045" t="s">
        <v>2596</v>
      </c>
      <c r="D2045" s="254">
        <v>6.83</v>
      </c>
      <c r="E2045"/>
      <c r="F2045"/>
      <c r="G2045"/>
      <c r="H2045"/>
      <c r="I2045" s="489"/>
      <c r="J2045" s="1095"/>
      <c r="K2045" s="1095"/>
      <c r="L2045" s="1095"/>
      <c r="M2045" s="1095"/>
    </row>
    <row r="2046" spans="1:13" x14ac:dyDescent="0.25">
      <c r="A2046">
        <v>1917278</v>
      </c>
      <c r="B2046" t="s">
        <v>9336</v>
      </c>
      <c r="C2046" t="s">
        <v>2596</v>
      </c>
      <c r="D2046" s="254">
        <v>7.03</v>
      </c>
      <c r="E2046"/>
      <c r="F2046"/>
      <c r="G2046"/>
      <c r="H2046"/>
      <c r="I2046" s="489"/>
      <c r="J2046" s="1095"/>
      <c r="K2046" s="1095"/>
      <c r="L2046" s="1095"/>
      <c r="M2046" s="1095"/>
    </row>
    <row r="2047" spans="1:13" x14ac:dyDescent="0.25">
      <c r="A2047">
        <v>1917279</v>
      </c>
      <c r="B2047" t="s">
        <v>9337</v>
      </c>
      <c r="C2047" t="s">
        <v>2596</v>
      </c>
      <c r="D2047" s="254">
        <v>7.48</v>
      </c>
      <c r="E2047"/>
      <c r="F2047"/>
      <c r="G2047"/>
      <c r="H2047"/>
      <c r="I2047" s="489"/>
      <c r="J2047" s="1095"/>
      <c r="K2047" s="1095"/>
      <c r="L2047" s="1095"/>
      <c r="M2047" s="1095"/>
    </row>
    <row r="2048" spans="1:13" x14ac:dyDescent="0.25">
      <c r="A2048">
        <v>1917280</v>
      </c>
      <c r="B2048" t="s">
        <v>9338</v>
      </c>
      <c r="C2048" t="s">
        <v>2596</v>
      </c>
      <c r="D2048" s="254">
        <v>7.89</v>
      </c>
      <c r="E2048"/>
      <c r="F2048"/>
      <c r="G2048"/>
      <c r="H2048"/>
      <c r="I2048" s="489"/>
      <c r="J2048" s="1095"/>
      <c r="K2048" s="1095"/>
      <c r="L2048" s="1095"/>
      <c r="M2048" s="1095"/>
    </row>
    <row r="2049" spans="1:13" x14ac:dyDescent="0.25">
      <c r="A2049">
        <v>1917281</v>
      </c>
      <c r="B2049" t="s">
        <v>9339</v>
      </c>
      <c r="C2049" t="s">
        <v>2596</v>
      </c>
      <c r="D2049" s="254">
        <v>8.42</v>
      </c>
      <c r="E2049"/>
      <c r="F2049"/>
      <c r="G2049"/>
      <c r="H2049"/>
      <c r="I2049" s="489"/>
      <c r="J2049" s="1095"/>
      <c r="K2049" s="1095"/>
      <c r="L2049" s="1095"/>
      <c r="M2049" s="1095"/>
    </row>
    <row r="2050" spans="1:13" x14ac:dyDescent="0.25">
      <c r="A2050">
        <v>1917282</v>
      </c>
      <c r="B2050" t="s">
        <v>9340</v>
      </c>
      <c r="C2050" t="s">
        <v>2596</v>
      </c>
      <c r="D2050" s="254">
        <v>8.82</v>
      </c>
      <c r="E2050"/>
      <c r="F2050"/>
      <c r="G2050"/>
      <c r="H2050"/>
      <c r="I2050" s="489"/>
      <c r="J2050" s="1095"/>
      <c r="K2050" s="1095"/>
      <c r="L2050" s="1095"/>
      <c r="M2050" s="1095"/>
    </row>
    <row r="2051" spans="1:13" x14ac:dyDescent="0.25">
      <c r="A2051">
        <v>1917283</v>
      </c>
      <c r="B2051" t="s">
        <v>9341</v>
      </c>
      <c r="C2051" t="s">
        <v>2596</v>
      </c>
      <c r="D2051" s="254">
        <v>9.24</v>
      </c>
      <c r="E2051"/>
      <c r="F2051"/>
      <c r="G2051"/>
      <c r="H2051"/>
      <c r="I2051" s="489"/>
      <c r="J2051" s="1095"/>
      <c r="K2051" s="1095"/>
      <c r="L2051" s="1095"/>
      <c r="M2051" s="1095"/>
    </row>
    <row r="2052" spans="1:13" x14ac:dyDescent="0.25">
      <c r="A2052">
        <v>1917284</v>
      </c>
      <c r="B2052" t="s">
        <v>9342</v>
      </c>
      <c r="C2052" t="s">
        <v>2596</v>
      </c>
      <c r="D2052" s="254">
        <v>9.6300000000000008</v>
      </c>
      <c r="E2052"/>
      <c r="F2052"/>
      <c r="G2052"/>
      <c r="H2052"/>
      <c r="I2052" s="489"/>
      <c r="J2052" s="1095"/>
      <c r="K2052" s="1095"/>
      <c r="L2052" s="1095"/>
      <c r="M2052" s="1095"/>
    </row>
    <row r="2053" spans="1:13" x14ac:dyDescent="0.25">
      <c r="A2053">
        <v>1917285</v>
      </c>
      <c r="B2053" t="s">
        <v>9343</v>
      </c>
      <c r="C2053" t="s">
        <v>2596</v>
      </c>
      <c r="D2053" s="254">
        <v>10.06</v>
      </c>
      <c r="E2053"/>
      <c r="F2053"/>
      <c r="G2053"/>
      <c r="H2053"/>
      <c r="I2053" s="489"/>
      <c r="J2053" s="1095"/>
      <c r="K2053" s="1095"/>
      <c r="L2053" s="1095"/>
      <c r="M2053" s="1095"/>
    </row>
    <row r="2054" spans="1:13" x14ac:dyDescent="0.25">
      <c r="A2054">
        <v>1917286</v>
      </c>
      <c r="B2054" t="s">
        <v>9344</v>
      </c>
      <c r="C2054" t="s">
        <v>2596</v>
      </c>
      <c r="D2054" s="254">
        <v>10.71</v>
      </c>
      <c r="E2054"/>
      <c r="F2054"/>
      <c r="G2054"/>
      <c r="H2054"/>
      <c r="I2054" s="489"/>
      <c r="J2054" s="1095"/>
      <c r="K2054" s="1095"/>
      <c r="L2054" s="1095"/>
      <c r="M2054" s="1095"/>
    </row>
    <row r="2055" spans="1:13" x14ac:dyDescent="0.25">
      <c r="A2055">
        <v>1917287</v>
      </c>
      <c r="B2055" t="s">
        <v>9345</v>
      </c>
      <c r="C2055" t="s">
        <v>2596</v>
      </c>
      <c r="D2055" s="254">
        <v>11.18</v>
      </c>
      <c r="E2055"/>
      <c r="F2055"/>
      <c r="G2055"/>
      <c r="H2055"/>
      <c r="I2055" s="489"/>
      <c r="J2055" s="1095"/>
      <c r="K2055" s="1095"/>
      <c r="L2055" s="1095"/>
      <c r="M2055" s="1095"/>
    </row>
    <row r="2056" spans="1:13" x14ac:dyDescent="0.25">
      <c r="A2056">
        <v>1917288</v>
      </c>
      <c r="B2056" t="s">
        <v>9346</v>
      </c>
      <c r="C2056" t="s">
        <v>2596</v>
      </c>
      <c r="D2056" s="254">
        <v>11.68</v>
      </c>
      <c r="E2056"/>
      <c r="F2056"/>
      <c r="G2056"/>
      <c r="H2056"/>
      <c r="I2056" s="489"/>
      <c r="J2056" s="1095"/>
      <c r="K2056" s="1095"/>
      <c r="L2056" s="1095"/>
      <c r="M2056" s="1095"/>
    </row>
    <row r="2057" spans="1:13" x14ac:dyDescent="0.25">
      <c r="A2057">
        <v>1917289</v>
      </c>
      <c r="B2057" t="s">
        <v>9347</v>
      </c>
      <c r="C2057" t="s">
        <v>2596</v>
      </c>
      <c r="D2057" s="254">
        <v>12.21</v>
      </c>
      <c r="E2057"/>
      <c r="F2057"/>
      <c r="G2057"/>
      <c r="H2057"/>
      <c r="I2057" s="489"/>
      <c r="J2057" s="1095"/>
      <c r="K2057" s="1095"/>
      <c r="L2057" s="1095"/>
      <c r="M2057" s="1095"/>
    </row>
    <row r="2058" spans="1:13" x14ac:dyDescent="0.25">
      <c r="A2058">
        <v>1917290</v>
      </c>
      <c r="B2058" t="s">
        <v>9348</v>
      </c>
      <c r="C2058" t="s">
        <v>2596</v>
      </c>
      <c r="D2058" s="254">
        <v>12.76</v>
      </c>
      <c r="E2058"/>
      <c r="F2058"/>
      <c r="G2058"/>
      <c r="H2058"/>
      <c r="I2058" s="489"/>
      <c r="J2058" s="1095"/>
      <c r="K2058" s="1095"/>
      <c r="L2058" s="1095"/>
      <c r="M2058" s="1095"/>
    </row>
    <row r="2059" spans="1:13" x14ac:dyDescent="0.25">
      <c r="A2059">
        <v>1917291</v>
      </c>
      <c r="B2059" t="s">
        <v>9349</v>
      </c>
      <c r="C2059" t="s">
        <v>2596</v>
      </c>
      <c r="D2059" s="254">
        <v>13.5</v>
      </c>
      <c r="E2059"/>
      <c r="F2059"/>
      <c r="G2059"/>
      <c r="H2059"/>
      <c r="I2059" s="489"/>
      <c r="J2059" s="1095"/>
      <c r="K2059" s="1095"/>
      <c r="L2059" s="1095"/>
      <c r="M2059" s="1095"/>
    </row>
    <row r="2060" spans="1:13" x14ac:dyDescent="0.25">
      <c r="A2060">
        <v>1917292</v>
      </c>
      <c r="B2060" t="s">
        <v>9350</v>
      </c>
      <c r="C2060" t="s">
        <v>2596</v>
      </c>
      <c r="D2060" s="254">
        <v>14.11</v>
      </c>
      <c r="E2060"/>
      <c r="F2060"/>
      <c r="G2060"/>
      <c r="H2060"/>
      <c r="I2060" s="489"/>
      <c r="J2060" s="1095"/>
      <c r="K2060" s="1095"/>
      <c r="L2060" s="1095"/>
      <c r="M2060" s="1095"/>
    </row>
    <row r="2061" spans="1:13" x14ac:dyDescent="0.25">
      <c r="A2061">
        <v>1917293</v>
      </c>
      <c r="B2061" t="s">
        <v>9351</v>
      </c>
      <c r="C2061" t="s">
        <v>2596</v>
      </c>
      <c r="D2061" s="254">
        <v>14.76</v>
      </c>
      <c r="E2061"/>
      <c r="F2061"/>
      <c r="G2061"/>
      <c r="H2061"/>
      <c r="I2061" s="489"/>
      <c r="J2061" s="1095"/>
      <c r="K2061" s="1095"/>
      <c r="L2061" s="1095"/>
      <c r="M2061" s="1095"/>
    </row>
    <row r="2062" spans="1:13" x14ac:dyDescent="0.25">
      <c r="A2062">
        <v>1917294</v>
      </c>
      <c r="B2062" t="s">
        <v>9352</v>
      </c>
      <c r="C2062" t="s">
        <v>2596</v>
      </c>
      <c r="D2062" s="254">
        <v>15.58</v>
      </c>
      <c r="E2062"/>
      <c r="F2062"/>
      <c r="G2062"/>
      <c r="H2062"/>
      <c r="I2062" s="489"/>
      <c r="J2062" s="1095"/>
      <c r="K2062" s="1095"/>
      <c r="L2062" s="1095"/>
      <c r="M2062" s="1095"/>
    </row>
    <row r="2063" spans="1:13" x14ac:dyDescent="0.25">
      <c r="A2063">
        <v>1917295</v>
      </c>
      <c r="B2063" t="s">
        <v>9353</v>
      </c>
      <c r="C2063" t="s">
        <v>2596</v>
      </c>
      <c r="D2063" s="254">
        <v>16.420000000000002</v>
      </c>
      <c r="E2063"/>
      <c r="F2063"/>
      <c r="G2063"/>
      <c r="H2063"/>
      <c r="I2063" s="489"/>
      <c r="J2063" s="1095"/>
      <c r="K2063" s="1095"/>
      <c r="L2063" s="1095"/>
      <c r="M2063" s="1095"/>
    </row>
    <row r="2064" spans="1:13" x14ac:dyDescent="0.25">
      <c r="A2064">
        <v>1917296</v>
      </c>
      <c r="B2064" t="s">
        <v>9354</v>
      </c>
      <c r="C2064" t="s">
        <v>2596</v>
      </c>
      <c r="D2064" s="254">
        <v>17.53</v>
      </c>
      <c r="E2064"/>
      <c r="F2064"/>
      <c r="G2064"/>
      <c r="H2064"/>
      <c r="I2064" s="489"/>
      <c r="J2064" s="1095"/>
      <c r="K2064" s="1095"/>
      <c r="L2064" s="1095"/>
      <c r="M2064" s="1095"/>
    </row>
    <row r="2065" spans="1:13" x14ac:dyDescent="0.25">
      <c r="A2065">
        <v>1917297</v>
      </c>
      <c r="B2065" t="s">
        <v>9355</v>
      </c>
      <c r="C2065" t="s">
        <v>2596</v>
      </c>
      <c r="D2065" s="254">
        <v>18.61</v>
      </c>
      <c r="E2065"/>
      <c r="F2065"/>
      <c r="G2065"/>
      <c r="H2065"/>
      <c r="I2065" s="489"/>
      <c r="J2065" s="1095"/>
      <c r="K2065" s="1095"/>
      <c r="L2065" s="1095"/>
      <c r="M2065" s="1095"/>
    </row>
    <row r="2066" spans="1:13" x14ac:dyDescent="0.25">
      <c r="A2066">
        <v>1917298</v>
      </c>
      <c r="B2066" t="s">
        <v>9356</v>
      </c>
      <c r="C2066" t="s">
        <v>2596</v>
      </c>
      <c r="D2066" s="254">
        <v>19.78</v>
      </c>
      <c r="E2066"/>
      <c r="F2066"/>
      <c r="G2066"/>
      <c r="H2066"/>
      <c r="I2066" s="489"/>
      <c r="J2066" s="1095"/>
      <c r="K2066" s="1095"/>
      <c r="L2066" s="1095"/>
      <c r="M2066" s="1095"/>
    </row>
    <row r="2067" spans="1:13" x14ac:dyDescent="0.25">
      <c r="A2067">
        <v>1917271</v>
      </c>
      <c r="B2067" t="s">
        <v>9357</v>
      </c>
      <c r="C2067" t="s">
        <v>2596</v>
      </c>
      <c r="D2067" s="254">
        <v>4.6900000000000004</v>
      </c>
      <c r="E2067"/>
      <c r="F2067"/>
      <c r="G2067"/>
      <c r="H2067"/>
      <c r="I2067" s="489"/>
      <c r="J2067" s="1095"/>
      <c r="K2067" s="1095"/>
      <c r="L2067" s="1095"/>
      <c r="M2067" s="1095"/>
    </row>
    <row r="2068" spans="1:13" x14ac:dyDescent="0.25">
      <c r="A2068">
        <v>1917299</v>
      </c>
      <c r="B2068" t="s">
        <v>9358</v>
      </c>
      <c r="C2068" t="s">
        <v>2596</v>
      </c>
      <c r="D2068" s="254">
        <v>21.15</v>
      </c>
      <c r="E2068"/>
      <c r="F2068"/>
      <c r="G2068"/>
      <c r="H2068"/>
      <c r="I2068" s="489"/>
      <c r="J2068" s="1095"/>
      <c r="K2068" s="1095"/>
      <c r="L2068" s="1095"/>
      <c r="M2068" s="1095"/>
    </row>
    <row r="2069" spans="1:13" x14ac:dyDescent="0.25">
      <c r="A2069">
        <v>1917300</v>
      </c>
      <c r="B2069" t="s">
        <v>9359</v>
      </c>
      <c r="C2069" t="s">
        <v>2596</v>
      </c>
      <c r="D2069" s="254">
        <v>22.67</v>
      </c>
      <c r="E2069"/>
      <c r="F2069"/>
      <c r="G2069"/>
      <c r="H2069"/>
      <c r="I2069" s="489"/>
      <c r="J2069" s="1095"/>
      <c r="K2069" s="1095"/>
      <c r="L2069" s="1095"/>
      <c r="M2069" s="1095"/>
    </row>
    <row r="2070" spans="1:13" x14ac:dyDescent="0.25">
      <c r="A2070">
        <v>1917301</v>
      </c>
      <c r="B2070" t="s">
        <v>9360</v>
      </c>
      <c r="C2070" t="s">
        <v>2596</v>
      </c>
      <c r="D2070" s="254">
        <v>24.61</v>
      </c>
      <c r="E2070"/>
      <c r="F2070"/>
      <c r="G2070"/>
      <c r="H2070"/>
      <c r="I2070" s="489"/>
      <c r="J2070" s="1095"/>
      <c r="K2070" s="1095"/>
      <c r="L2070" s="1095"/>
      <c r="M2070" s="1095"/>
    </row>
    <row r="2071" spans="1:13" x14ac:dyDescent="0.25">
      <c r="A2071">
        <v>1917302</v>
      </c>
      <c r="B2071" t="s">
        <v>9361</v>
      </c>
      <c r="C2071" t="s">
        <v>2596</v>
      </c>
      <c r="D2071" s="254">
        <v>26.51</v>
      </c>
      <c r="E2071"/>
      <c r="F2071"/>
      <c r="G2071"/>
      <c r="H2071"/>
      <c r="I2071" s="489"/>
      <c r="J2071" s="1095"/>
      <c r="K2071" s="1095"/>
      <c r="L2071" s="1095"/>
      <c r="M2071" s="1095"/>
    </row>
    <row r="2072" spans="1:13" x14ac:dyDescent="0.25">
      <c r="A2072">
        <v>1917303</v>
      </c>
      <c r="B2072" t="s">
        <v>9362</v>
      </c>
      <c r="C2072" t="s">
        <v>2596</v>
      </c>
      <c r="D2072" s="254">
        <v>28.27</v>
      </c>
      <c r="E2072"/>
      <c r="F2072"/>
      <c r="G2072"/>
      <c r="H2072"/>
      <c r="I2072" s="489"/>
      <c r="J2072" s="1095"/>
      <c r="K2072" s="1095"/>
      <c r="L2072" s="1095"/>
      <c r="M2072" s="1095"/>
    </row>
    <row r="2073" spans="1:13" x14ac:dyDescent="0.25">
      <c r="A2073">
        <v>1917304</v>
      </c>
      <c r="B2073" t="s">
        <v>9363</v>
      </c>
      <c r="C2073" t="s">
        <v>2596</v>
      </c>
      <c r="D2073" s="254">
        <v>30</v>
      </c>
      <c r="E2073"/>
      <c r="F2073"/>
      <c r="G2073"/>
      <c r="H2073"/>
      <c r="I2073" s="489"/>
      <c r="J2073" s="1095"/>
      <c r="K2073" s="1095"/>
      <c r="L2073" s="1095"/>
      <c r="M2073" s="1095"/>
    </row>
    <row r="2074" spans="1:13" x14ac:dyDescent="0.25">
      <c r="A2074">
        <v>1917305</v>
      </c>
      <c r="B2074" t="s">
        <v>9364</v>
      </c>
      <c r="C2074" t="s">
        <v>2596</v>
      </c>
      <c r="D2074" s="254">
        <v>31.92</v>
      </c>
      <c r="E2074"/>
      <c r="F2074"/>
      <c r="G2074"/>
      <c r="H2074"/>
      <c r="I2074" s="489"/>
      <c r="J2074" s="1095"/>
      <c r="K2074" s="1095"/>
      <c r="L2074" s="1095"/>
      <c r="M2074" s="1095"/>
    </row>
    <row r="2075" spans="1:13" x14ac:dyDescent="0.25">
      <c r="A2075">
        <v>1917306</v>
      </c>
      <c r="B2075" t="s">
        <v>9365</v>
      </c>
      <c r="C2075" t="s">
        <v>2596</v>
      </c>
      <c r="D2075" s="254">
        <v>34.22</v>
      </c>
      <c r="E2075"/>
      <c r="F2075"/>
      <c r="G2075"/>
      <c r="H2075"/>
      <c r="I2075" s="489"/>
      <c r="J2075" s="1095"/>
      <c r="K2075" s="1095"/>
      <c r="L2075" s="1095"/>
      <c r="M2075" s="1095"/>
    </row>
    <row r="2076" spans="1:13" x14ac:dyDescent="0.25">
      <c r="A2076">
        <v>1917307</v>
      </c>
      <c r="B2076" t="s">
        <v>9366</v>
      </c>
      <c r="C2076" t="s">
        <v>2596</v>
      </c>
      <c r="D2076" s="254">
        <v>35.950000000000003</v>
      </c>
      <c r="E2076"/>
      <c r="F2076"/>
      <c r="G2076"/>
      <c r="H2076"/>
      <c r="I2076" s="489"/>
      <c r="J2076" s="1095"/>
      <c r="K2076" s="1095"/>
      <c r="L2076" s="1095"/>
      <c r="M2076" s="1095"/>
    </row>
    <row r="2077" spans="1:13" x14ac:dyDescent="0.25">
      <c r="A2077">
        <v>1917272</v>
      </c>
      <c r="B2077" t="s">
        <v>9367</v>
      </c>
      <c r="C2077" t="s">
        <v>2596</v>
      </c>
      <c r="D2077" s="254">
        <v>4.91</v>
      </c>
      <c r="E2077"/>
      <c r="F2077"/>
      <c r="G2077"/>
      <c r="H2077"/>
      <c r="I2077" s="489"/>
      <c r="J2077" s="1095"/>
      <c r="K2077" s="1095"/>
      <c r="L2077" s="1095"/>
      <c r="M2077" s="1095"/>
    </row>
    <row r="2078" spans="1:13" x14ac:dyDescent="0.25">
      <c r="A2078">
        <v>1917273</v>
      </c>
      <c r="B2078" t="s">
        <v>9368</v>
      </c>
      <c r="C2078" t="s">
        <v>2596</v>
      </c>
      <c r="D2078" s="254">
        <v>5.15</v>
      </c>
      <c r="E2078"/>
      <c r="F2078"/>
      <c r="G2078"/>
      <c r="H2078"/>
      <c r="I2078" s="489"/>
      <c r="J2078" s="1095"/>
      <c r="K2078" s="1095"/>
      <c r="L2078" s="1095"/>
      <c r="M2078" s="1095"/>
    </row>
    <row r="2079" spans="1:13" x14ac:dyDescent="0.25">
      <c r="A2079">
        <v>1917729</v>
      </c>
      <c r="B2079" t="s">
        <v>9369</v>
      </c>
      <c r="C2079" t="s">
        <v>2596</v>
      </c>
      <c r="D2079" s="254">
        <v>4.62</v>
      </c>
      <c r="E2079"/>
      <c r="F2079"/>
      <c r="G2079"/>
      <c r="H2079"/>
      <c r="I2079" s="489"/>
      <c r="J2079" s="1095"/>
      <c r="K2079" s="1095"/>
      <c r="L2079" s="1095"/>
      <c r="M2079" s="1095"/>
    </row>
    <row r="2080" spans="1:13" x14ac:dyDescent="0.25">
      <c r="A2080">
        <v>1917367</v>
      </c>
      <c r="B2080" t="s">
        <v>9370</v>
      </c>
      <c r="C2080" t="s">
        <v>2596</v>
      </c>
      <c r="D2080" s="254">
        <v>5.15</v>
      </c>
      <c r="E2080"/>
      <c r="F2080"/>
      <c r="G2080"/>
      <c r="H2080"/>
      <c r="I2080" s="489"/>
      <c r="J2080" s="1095"/>
      <c r="K2080" s="1095"/>
      <c r="L2080" s="1095"/>
      <c r="M2080" s="1095"/>
    </row>
    <row r="2081" spans="1:13" x14ac:dyDescent="0.25">
      <c r="A2081">
        <v>1917368</v>
      </c>
      <c r="B2081" t="s">
        <v>9371</v>
      </c>
      <c r="C2081" t="s">
        <v>2596</v>
      </c>
      <c r="D2081" s="254">
        <v>5.5</v>
      </c>
      <c r="E2081"/>
      <c r="F2081"/>
      <c r="G2081"/>
      <c r="H2081"/>
      <c r="I2081" s="489"/>
      <c r="J2081" s="1095"/>
      <c r="K2081" s="1095"/>
      <c r="L2081" s="1095"/>
      <c r="M2081" s="1095"/>
    </row>
    <row r="2082" spans="1:13" x14ac:dyDescent="0.25">
      <c r="A2082">
        <v>1917369</v>
      </c>
      <c r="B2082" t="s">
        <v>9372</v>
      </c>
      <c r="C2082" t="s">
        <v>2596</v>
      </c>
      <c r="D2082" s="254">
        <v>5.97</v>
      </c>
      <c r="E2082"/>
      <c r="F2082"/>
      <c r="G2082"/>
      <c r="H2082"/>
      <c r="I2082" s="489"/>
      <c r="J2082" s="1095"/>
      <c r="K2082" s="1095"/>
      <c r="L2082" s="1095"/>
      <c r="M2082" s="1095"/>
    </row>
    <row r="2083" spans="1:13" x14ac:dyDescent="0.25">
      <c r="A2083">
        <v>1917370</v>
      </c>
      <c r="B2083" t="s">
        <v>9373</v>
      </c>
      <c r="C2083" t="s">
        <v>2596</v>
      </c>
      <c r="D2083" s="254">
        <v>6.29</v>
      </c>
      <c r="E2083"/>
      <c r="F2083"/>
      <c r="G2083"/>
      <c r="H2083"/>
      <c r="I2083" s="489"/>
      <c r="J2083" s="1095"/>
      <c r="K2083" s="1095"/>
      <c r="L2083" s="1095"/>
      <c r="M2083" s="1095"/>
    </row>
    <row r="2084" spans="1:13" x14ac:dyDescent="0.25">
      <c r="A2084">
        <v>1917371</v>
      </c>
      <c r="B2084" t="s">
        <v>9374</v>
      </c>
      <c r="C2084" t="s">
        <v>2596</v>
      </c>
      <c r="D2084" s="254">
        <v>6.58</v>
      </c>
      <c r="E2084"/>
      <c r="F2084"/>
      <c r="G2084"/>
      <c r="H2084"/>
      <c r="I2084" s="489"/>
      <c r="J2084" s="1095"/>
      <c r="K2084" s="1095"/>
      <c r="L2084" s="1095"/>
      <c r="M2084" s="1095"/>
    </row>
    <row r="2085" spans="1:13" x14ac:dyDescent="0.25">
      <c r="A2085">
        <v>1917372</v>
      </c>
      <c r="B2085" t="s">
        <v>9375</v>
      </c>
      <c r="C2085" t="s">
        <v>2596</v>
      </c>
      <c r="D2085" s="254">
        <v>6.88</v>
      </c>
      <c r="E2085"/>
      <c r="F2085"/>
      <c r="G2085"/>
      <c r="H2085"/>
      <c r="I2085" s="489"/>
      <c r="J2085" s="1095"/>
      <c r="K2085" s="1095"/>
      <c r="L2085" s="1095"/>
      <c r="M2085" s="1095"/>
    </row>
    <row r="2086" spans="1:13" x14ac:dyDescent="0.25">
      <c r="A2086">
        <v>1917373</v>
      </c>
      <c r="B2086" t="s">
        <v>9376</v>
      </c>
      <c r="C2086" t="s">
        <v>2596</v>
      </c>
      <c r="D2086" s="254">
        <v>7.13</v>
      </c>
      <c r="E2086"/>
      <c r="F2086"/>
      <c r="G2086"/>
      <c r="H2086"/>
      <c r="I2086" s="489"/>
      <c r="J2086" s="1095"/>
      <c r="K2086" s="1095"/>
      <c r="L2086" s="1095"/>
      <c r="M2086" s="1095"/>
    </row>
    <row r="2087" spans="1:13" x14ac:dyDescent="0.25">
      <c r="A2087">
        <v>1917374</v>
      </c>
      <c r="B2087" t="s">
        <v>9377</v>
      </c>
      <c r="C2087" t="s">
        <v>2596</v>
      </c>
      <c r="D2087" s="254">
        <v>7.65</v>
      </c>
      <c r="E2087"/>
      <c r="F2087"/>
      <c r="G2087"/>
      <c r="H2087"/>
      <c r="I2087" s="489"/>
      <c r="J2087" s="1095"/>
      <c r="K2087" s="1095"/>
      <c r="L2087" s="1095"/>
      <c r="M2087" s="1095"/>
    </row>
    <row r="2088" spans="1:13" x14ac:dyDescent="0.25">
      <c r="A2088">
        <v>1917375</v>
      </c>
      <c r="B2088" t="s">
        <v>9378</v>
      </c>
      <c r="C2088" t="s">
        <v>2596</v>
      </c>
      <c r="D2088" s="254">
        <v>7.93</v>
      </c>
      <c r="E2088"/>
      <c r="F2088"/>
      <c r="G2088"/>
      <c r="H2088"/>
      <c r="I2088" s="489"/>
      <c r="J2088" s="1095"/>
      <c r="K2088" s="1095"/>
      <c r="L2088" s="1095"/>
      <c r="M2088" s="1095"/>
    </row>
    <row r="2089" spans="1:13" x14ac:dyDescent="0.25">
      <c r="A2089">
        <v>1917376</v>
      </c>
      <c r="B2089" t="s">
        <v>9379</v>
      </c>
      <c r="C2089" t="s">
        <v>2596</v>
      </c>
      <c r="D2089" s="254">
        <v>8.2100000000000009</v>
      </c>
      <c r="E2089"/>
      <c r="F2089"/>
      <c r="G2089"/>
      <c r="H2089"/>
      <c r="I2089" s="489"/>
      <c r="J2089" s="1095"/>
      <c r="K2089" s="1095"/>
      <c r="L2089" s="1095"/>
      <c r="M2089" s="1095"/>
    </row>
    <row r="2090" spans="1:13" x14ac:dyDescent="0.25">
      <c r="A2090">
        <v>1917377</v>
      </c>
      <c r="B2090" t="s">
        <v>9380</v>
      </c>
      <c r="C2090" t="s">
        <v>2596</v>
      </c>
      <c r="D2090" s="254">
        <v>8.49</v>
      </c>
      <c r="E2090"/>
      <c r="F2090"/>
      <c r="G2090"/>
      <c r="H2090"/>
      <c r="I2090" s="489"/>
      <c r="J2090" s="1095"/>
      <c r="K2090" s="1095"/>
      <c r="L2090" s="1095"/>
      <c r="M2090" s="1095"/>
    </row>
    <row r="2091" spans="1:13" x14ac:dyDescent="0.25">
      <c r="A2091">
        <v>1917378</v>
      </c>
      <c r="B2091" t="s">
        <v>9381</v>
      </c>
      <c r="C2091" t="s">
        <v>2596</v>
      </c>
      <c r="D2091" s="254">
        <v>8.7799999999999994</v>
      </c>
      <c r="E2091"/>
      <c r="F2091"/>
      <c r="G2091"/>
      <c r="H2091"/>
      <c r="I2091" s="489"/>
      <c r="J2091" s="1095"/>
      <c r="K2091" s="1095"/>
      <c r="L2091" s="1095"/>
      <c r="M2091" s="1095"/>
    </row>
    <row r="2092" spans="1:13" x14ac:dyDescent="0.25">
      <c r="A2092">
        <v>1917379</v>
      </c>
      <c r="B2092" t="s">
        <v>9382</v>
      </c>
      <c r="C2092" t="s">
        <v>2596</v>
      </c>
      <c r="D2092" s="254">
        <v>9.32</v>
      </c>
      <c r="E2092"/>
      <c r="F2092"/>
      <c r="G2092"/>
      <c r="H2092"/>
      <c r="I2092" s="489"/>
      <c r="J2092" s="1095"/>
      <c r="K2092" s="1095"/>
      <c r="L2092" s="1095"/>
      <c r="M2092" s="1095"/>
    </row>
    <row r="2093" spans="1:13" x14ac:dyDescent="0.25">
      <c r="A2093">
        <v>1917380</v>
      </c>
      <c r="B2093" t="s">
        <v>9383</v>
      </c>
      <c r="C2093" t="s">
        <v>2596</v>
      </c>
      <c r="D2093" s="254">
        <v>9.68</v>
      </c>
      <c r="E2093"/>
      <c r="F2093"/>
      <c r="G2093"/>
      <c r="H2093"/>
      <c r="I2093" s="489"/>
      <c r="J2093" s="1095"/>
      <c r="K2093" s="1095"/>
      <c r="L2093" s="1095"/>
      <c r="M2093" s="1095"/>
    </row>
    <row r="2094" spans="1:13" x14ac:dyDescent="0.25">
      <c r="A2094">
        <v>1917381</v>
      </c>
      <c r="B2094" t="s">
        <v>9384</v>
      </c>
      <c r="C2094" t="s">
        <v>2596</v>
      </c>
      <c r="D2094" s="254">
        <v>10.039999999999999</v>
      </c>
      <c r="E2094"/>
      <c r="F2094"/>
      <c r="G2094"/>
      <c r="H2094"/>
      <c r="I2094" s="489"/>
      <c r="J2094" s="1095"/>
      <c r="K2094" s="1095"/>
      <c r="L2094" s="1095"/>
      <c r="M2094" s="1095"/>
    </row>
    <row r="2095" spans="1:13" x14ac:dyDescent="0.25">
      <c r="A2095">
        <v>1917382</v>
      </c>
      <c r="B2095" t="s">
        <v>9385</v>
      </c>
      <c r="C2095" t="s">
        <v>2596</v>
      </c>
      <c r="D2095" s="254">
        <v>10.47</v>
      </c>
      <c r="E2095"/>
      <c r="F2095"/>
      <c r="G2095"/>
      <c r="H2095"/>
      <c r="I2095" s="489"/>
      <c r="J2095" s="1095"/>
      <c r="K2095" s="1095"/>
      <c r="L2095" s="1095"/>
      <c r="M2095" s="1095"/>
    </row>
    <row r="2096" spans="1:13" x14ac:dyDescent="0.25">
      <c r="A2096">
        <v>1917383</v>
      </c>
      <c r="B2096" t="s">
        <v>9386</v>
      </c>
      <c r="C2096" t="s">
        <v>2596</v>
      </c>
      <c r="D2096" s="254">
        <v>10.86</v>
      </c>
      <c r="E2096"/>
      <c r="F2096"/>
      <c r="G2096"/>
      <c r="H2096"/>
      <c r="I2096" s="489"/>
      <c r="J2096" s="1095"/>
      <c r="K2096" s="1095"/>
      <c r="L2096" s="1095"/>
      <c r="M2096" s="1095"/>
    </row>
    <row r="2097" spans="1:13" x14ac:dyDescent="0.25">
      <c r="A2097">
        <v>1917384</v>
      </c>
      <c r="B2097" t="s">
        <v>9387</v>
      </c>
      <c r="C2097" t="s">
        <v>2596</v>
      </c>
      <c r="D2097" s="254">
        <v>11.47</v>
      </c>
      <c r="E2097"/>
      <c r="F2097"/>
      <c r="G2097"/>
      <c r="H2097"/>
      <c r="I2097" s="489"/>
      <c r="J2097" s="1095"/>
      <c r="K2097" s="1095"/>
      <c r="L2097" s="1095"/>
      <c r="M2097" s="1095"/>
    </row>
    <row r="2098" spans="1:13" x14ac:dyDescent="0.25">
      <c r="A2098">
        <v>1917385</v>
      </c>
      <c r="B2098" t="s">
        <v>9388</v>
      </c>
      <c r="C2098" t="s">
        <v>2596</v>
      </c>
      <c r="D2098" s="254">
        <v>11.95</v>
      </c>
      <c r="E2098"/>
      <c r="F2098"/>
      <c r="G2098"/>
      <c r="H2098"/>
      <c r="I2098" s="489"/>
      <c r="J2098" s="1095"/>
      <c r="K2098" s="1095"/>
      <c r="L2098" s="1095"/>
      <c r="M2098" s="1095"/>
    </row>
    <row r="2099" spans="1:13" x14ac:dyDescent="0.25">
      <c r="A2099">
        <v>1917386</v>
      </c>
      <c r="B2099" t="s">
        <v>9389</v>
      </c>
      <c r="C2099" t="s">
        <v>2596</v>
      </c>
      <c r="D2099" s="254">
        <v>12.44</v>
      </c>
      <c r="E2099"/>
      <c r="F2099"/>
      <c r="G2099"/>
      <c r="H2099"/>
      <c r="I2099" s="489"/>
      <c r="J2099" s="1095"/>
      <c r="K2099" s="1095"/>
      <c r="L2099" s="1095"/>
      <c r="M2099" s="1095"/>
    </row>
    <row r="2100" spans="1:13" x14ac:dyDescent="0.25">
      <c r="A2100">
        <v>1917387</v>
      </c>
      <c r="B2100" t="s">
        <v>9390</v>
      </c>
      <c r="C2100" t="s">
        <v>2596</v>
      </c>
      <c r="D2100" s="254">
        <v>12.96</v>
      </c>
      <c r="E2100"/>
      <c r="F2100"/>
      <c r="G2100"/>
      <c r="H2100"/>
      <c r="I2100" s="489"/>
      <c r="J2100" s="1095"/>
      <c r="K2100" s="1095"/>
      <c r="L2100" s="1095"/>
      <c r="M2100" s="1095"/>
    </row>
    <row r="2101" spans="1:13" x14ac:dyDescent="0.25">
      <c r="A2101">
        <v>1917388</v>
      </c>
      <c r="B2101" t="s">
        <v>9391</v>
      </c>
      <c r="C2101" t="s">
        <v>2596</v>
      </c>
      <c r="D2101" s="254">
        <v>13.51</v>
      </c>
      <c r="E2101"/>
      <c r="F2101"/>
      <c r="G2101"/>
      <c r="H2101"/>
      <c r="I2101" s="489"/>
      <c r="J2101" s="1095"/>
      <c r="K2101" s="1095"/>
      <c r="L2101" s="1095"/>
      <c r="M2101" s="1095"/>
    </row>
    <row r="2102" spans="1:13" x14ac:dyDescent="0.25">
      <c r="A2102">
        <v>1917389</v>
      </c>
      <c r="B2102" t="s">
        <v>9392</v>
      </c>
      <c r="C2102" t="s">
        <v>2596</v>
      </c>
      <c r="D2102" s="254">
        <v>14.29</v>
      </c>
      <c r="E2102"/>
      <c r="F2102"/>
      <c r="G2102"/>
      <c r="H2102"/>
      <c r="I2102" s="489"/>
      <c r="J2102" s="1095"/>
      <c r="K2102" s="1095"/>
      <c r="L2102" s="1095"/>
      <c r="M2102" s="1095"/>
    </row>
    <row r="2103" spans="1:13" x14ac:dyDescent="0.25">
      <c r="A2103">
        <v>1917390</v>
      </c>
      <c r="B2103" t="s">
        <v>9393</v>
      </c>
      <c r="C2103" t="s">
        <v>2596</v>
      </c>
      <c r="D2103" s="254">
        <v>15.03</v>
      </c>
      <c r="E2103"/>
      <c r="F2103"/>
      <c r="G2103"/>
      <c r="H2103"/>
      <c r="I2103" s="489"/>
      <c r="J2103" s="1095"/>
      <c r="K2103" s="1095"/>
      <c r="L2103" s="1095"/>
      <c r="M2103" s="1095"/>
    </row>
    <row r="2104" spans="1:13" x14ac:dyDescent="0.25">
      <c r="A2104">
        <v>1917391</v>
      </c>
      <c r="B2104" t="s">
        <v>9394</v>
      </c>
      <c r="C2104" t="s">
        <v>2596</v>
      </c>
      <c r="D2104" s="254">
        <v>15.83</v>
      </c>
      <c r="E2104"/>
      <c r="F2104"/>
      <c r="G2104"/>
      <c r="H2104"/>
      <c r="I2104" s="489"/>
      <c r="J2104" s="1095"/>
      <c r="K2104" s="1095"/>
      <c r="L2104" s="1095"/>
      <c r="M2104" s="1095"/>
    </row>
    <row r="2105" spans="1:13" x14ac:dyDescent="0.25">
      <c r="A2105">
        <v>1917364</v>
      </c>
      <c r="B2105" t="s">
        <v>9395</v>
      </c>
      <c r="C2105" t="s">
        <v>2596</v>
      </c>
      <c r="D2105" s="254">
        <v>4.13</v>
      </c>
      <c r="E2105"/>
      <c r="F2105"/>
      <c r="G2105"/>
      <c r="H2105"/>
      <c r="I2105" s="489"/>
      <c r="J2105" s="1095"/>
      <c r="K2105" s="1095"/>
      <c r="L2105" s="1095"/>
      <c r="M2105" s="1095"/>
    </row>
    <row r="2106" spans="1:13" x14ac:dyDescent="0.25">
      <c r="A2106">
        <v>1917392</v>
      </c>
      <c r="B2106" t="s">
        <v>9396</v>
      </c>
      <c r="C2106" t="s">
        <v>2596</v>
      </c>
      <c r="D2106" s="254">
        <v>16.809999999999999</v>
      </c>
      <c r="E2106"/>
      <c r="F2106"/>
      <c r="G2106"/>
      <c r="H2106"/>
      <c r="I2106" s="489"/>
      <c r="J2106" s="1095"/>
      <c r="K2106" s="1095"/>
      <c r="L2106" s="1095"/>
      <c r="M2106" s="1095"/>
    </row>
    <row r="2107" spans="1:13" x14ac:dyDescent="0.25">
      <c r="A2107">
        <v>1917393</v>
      </c>
      <c r="B2107" t="s">
        <v>9397</v>
      </c>
      <c r="C2107" t="s">
        <v>2596</v>
      </c>
      <c r="D2107" s="254">
        <v>17.86</v>
      </c>
      <c r="E2107"/>
      <c r="F2107"/>
      <c r="G2107"/>
      <c r="H2107"/>
      <c r="I2107" s="489"/>
      <c r="J2107" s="1095"/>
      <c r="K2107" s="1095"/>
      <c r="L2107" s="1095"/>
      <c r="M2107" s="1095"/>
    </row>
    <row r="2108" spans="1:13" x14ac:dyDescent="0.25">
      <c r="A2108">
        <v>1917394</v>
      </c>
      <c r="B2108" t="s">
        <v>9398</v>
      </c>
      <c r="C2108" t="s">
        <v>2596</v>
      </c>
      <c r="D2108" s="254">
        <v>19.28</v>
      </c>
      <c r="E2108"/>
      <c r="F2108"/>
      <c r="G2108"/>
      <c r="H2108"/>
      <c r="I2108" s="489"/>
      <c r="J2108" s="1095"/>
      <c r="K2108" s="1095"/>
      <c r="L2108" s="1095"/>
      <c r="M2108" s="1095"/>
    </row>
    <row r="2109" spans="1:13" x14ac:dyDescent="0.25">
      <c r="A2109">
        <v>1917395</v>
      </c>
      <c r="B2109" t="s">
        <v>9399</v>
      </c>
      <c r="C2109" t="s">
        <v>2596</v>
      </c>
      <c r="D2109" s="254">
        <v>20.309999999999999</v>
      </c>
      <c r="E2109"/>
      <c r="F2109"/>
      <c r="G2109"/>
      <c r="H2109"/>
      <c r="I2109" s="489"/>
      <c r="J2109" s="1095"/>
      <c r="K2109" s="1095"/>
      <c r="L2109" s="1095"/>
      <c r="M2109" s="1095"/>
    </row>
    <row r="2110" spans="1:13" x14ac:dyDescent="0.25">
      <c r="A2110">
        <v>1917396</v>
      </c>
      <c r="B2110" t="s">
        <v>9400</v>
      </c>
      <c r="C2110" t="s">
        <v>2596</v>
      </c>
      <c r="D2110" s="254">
        <v>21.48</v>
      </c>
      <c r="E2110"/>
      <c r="F2110"/>
      <c r="G2110"/>
      <c r="H2110"/>
      <c r="I2110" s="489"/>
      <c r="J2110" s="1095"/>
      <c r="K2110" s="1095"/>
      <c r="L2110" s="1095"/>
      <c r="M2110" s="1095"/>
    </row>
    <row r="2111" spans="1:13" x14ac:dyDescent="0.25">
      <c r="A2111">
        <v>1917397</v>
      </c>
      <c r="B2111" t="s">
        <v>9401</v>
      </c>
      <c r="C2111" t="s">
        <v>2596</v>
      </c>
      <c r="D2111" s="254">
        <v>22.82</v>
      </c>
      <c r="E2111"/>
      <c r="F2111"/>
      <c r="G2111"/>
      <c r="H2111"/>
      <c r="I2111" s="489"/>
      <c r="J2111" s="1095"/>
      <c r="K2111" s="1095"/>
      <c r="L2111" s="1095"/>
      <c r="M2111" s="1095"/>
    </row>
    <row r="2112" spans="1:13" x14ac:dyDescent="0.25">
      <c r="A2112">
        <v>1917398</v>
      </c>
      <c r="B2112" t="s">
        <v>9402</v>
      </c>
      <c r="C2112" t="s">
        <v>2596</v>
      </c>
      <c r="D2112" s="254">
        <v>24.01</v>
      </c>
      <c r="E2112"/>
      <c r="F2112"/>
      <c r="G2112"/>
      <c r="H2112"/>
      <c r="I2112" s="489"/>
      <c r="J2112" s="1095"/>
      <c r="K2112" s="1095"/>
      <c r="L2112" s="1095"/>
      <c r="M2112" s="1095"/>
    </row>
    <row r="2113" spans="1:13" x14ac:dyDescent="0.25">
      <c r="A2113">
        <v>1917399</v>
      </c>
      <c r="B2113" t="s">
        <v>9403</v>
      </c>
      <c r="C2113" t="s">
        <v>2596</v>
      </c>
      <c r="D2113" s="254">
        <v>25.6</v>
      </c>
      <c r="E2113"/>
      <c r="F2113"/>
      <c r="G2113"/>
      <c r="H2113"/>
      <c r="I2113" s="489"/>
      <c r="J2113" s="1095"/>
      <c r="K2113" s="1095"/>
      <c r="L2113" s="1095"/>
      <c r="M2113" s="1095"/>
    </row>
    <row r="2114" spans="1:13" x14ac:dyDescent="0.25">
      <c r="A2114">
        <v>1917400</v>
      </c>
      <c r="B2114" t="s">
        <v>9404</v>
      </c>
      <c r="C2114" t="s">
        <v>2596</v>
      </c>
      <c r="D2114" s="254">
        <v>27.11</v>
      </c>
      <c r="E2114"/>
      <c r="F2114"/>
      <c r="G2114"/>
      <c r="H2114"/>
      <c r="I2114" s="489"/>
      <c r="J2114" s="1095"/>
      <c r="K2114" s="1095"/>
      <c r="L2114" s="1095"/>
      <c r="M2114" s="1095"/>
    </row>
    <row r="2115" spans="1:13" x14ac:dyDescent="0.25">
      <c r="A2115">
        <v>1917401</v>
      </c>
      <c r="B2115" t="s">
        <v>9405</v>
      </c>
      <c r="C2115" t="s">
        <v>2596</v>
      </c>
      <c r="D2115" s="254">
        <v>28.49</v>
      </c>
      <c r="E2115"/>
      <c r="F2115"/>
      <c r="G2115"/>
      <c r="H2115"/>
      <c r="I2115" s="489"/>
      <c r="J2115" s="1095"/>
      <c r="K2115" s="1095"/>
      <c r="L2115" s="1095"/>
      <c r="M2115" s="1095"/>
    </row>
    <row r="2116" spans="1:13" x14ac:dyDescent="0.25">
      <c r="A2116">
        <v>1917365</v>
      </c>
      <c r="B2116" t="s">
        <v>9406</v>
      </c>
      <c r="C2116" t="s">
        <v>2596</v>
      </c>
      <c r="D2116" s="254">
        <v>4.53</v>
      </c>
      <c r="E2116"/>
      <c r="F2116"/>
      <c r="G2116"/>
      <c r="H2116"/>
      <c r="I2116" s="489"/>
      <c r="J2116" s="1095"/>
      <c r="K2116" s="1095"/>
      <c r="L2116" s="1095"/>
      <c r="M2116" s="1095"/>
    </row>
    <row r="2117" spans="1:13" x14ac:dyDescent="0.25">
      <c r="A2117">
        <v>1917402</v>
      </c>
      <c r="B2117" t="s">
        <v>9407</v>
      </c>
      <c r="C2117" t="s">
        <v>2596</v>
      </c>
      <c r="D2117" s="254">
        <v>30.09</v>
      </c>
      <c r="E2117"/>
      <c r="F2117"/>
      <c r="G2117"/>
      <c r="H2117"/>
      <c r="I2117" s="489"/>
      <c r="J2117" s="1095"/>
      <c r="K2117" s="1095"/>
      <c r="L2117" s="1095"/>
      <c r="M2117" s="1095"/>
    </row>
    <row r="2118" spans="1:13" x14ac:dyDescent="0.25">
      <c r="A2118">
        <v>1917403</v>
      </c>
      <c r="B2118" t="s">
        <v>9408</v>
      </c>
      <c r="C2118" t="s">
        <v>2596</v>
      </c>
      <c r="D2118" s="254">
        <v>31.88</v>
      </c>
      <c r="E2118"/>
      <c r="F2118"/>
      <c r="G2118"/>
      <c r="H2118"/>
      <c r="I2118" s="489"/>
      <c r="J2118" s="1095"/>
      <c r="K2118" s="1095"/>
      <c r="L2118" s="1095"/>
      <c r="M2118" s="1095"/>
    </row>
    <row r="2119" spans="1:13" x14ac:dyDescent="0.25">
      <c r="A2119">
        <v>1917404</v>
      </c>
      <c r="B2119" t="s">
        <v>9409</v>
      </c>
      <c r="C2119" t="s">
        <v>2596</v>
      </c>
      <c r="D2119" s="254">
        <v>33.67</v>
      </c>
      <c r="E2119"/>
      <c r="F2119"/>
      <c r="G2119"/>
      <c r="H2119"/>
      <c r="I2119" s="489"/>
      <c r="J2119" s="1095"/>
      <c r="K2119" s="1095"/>
      <c r="L2119" s="1095"/>
      <c r="M2119" s="1095"/>
    </row>
    <row r="2120" spans="1:13" x14ac:dyDescent="0.25">
      <c r="A2120">
        <v>1917405</v>
      </c>
      <c r="B2120" t="s">
        <v>9410</v>
      </c>
      <c r="C2120" t="s">
        <v>2596</v>
      </c>
      <c r="D2120" s="254">
        <v>35.42</v>
      </c>
      <c r="E2120"/>
      <c r="F2120"/>
      <c r="G2120"/>
      <c r="H2120"/>
      <c r="I2120" s="489"/>
      <c r="J2120" s="1095"/>
      <c r="K2120" s="1095"/>
      <c r="L2120" s="1095"/>
      <c r="M2120" s="1095"/>
    </row>
    <row r="2121" spans="1:13" x14ac:dyDescent="0.25">
      <c r="A2121">
        <v>1917406</v>
      </c>
      <c r="B2121" t="s">
        <v>9411</v>
      </c>
      <c r="C2121" t="s">
        <v>2596</v>
      </c>
      <c r="D2121" s="254">
        <v>37.36</v>
      </c>
      <c r="E2121"/>
      <c r="F2121"/>
      <c r="G2121"/>
      <c r="H2121"/>
      <c r="I2121" s="489"/>
      <c r="J2121" s="1095"/>
      <c r="K2121" s="1095"/>
      <c r="L2121" s="1095"/>
      <c r="M2121" s="1095"/>
    </row>
    <row r="2122" spans="1:13" x14ac:dyDescent="0.25">
      <c r="A2122">
        <v>1917407</v>
      </c>
      <c r="B2122" t="s">
        <v>9412</v>
      </c>
      <c r="C2122" t="s">
        <v>2596</v>
      </c>
      <c r="D2122" s="254">
        <v>39.57</v>
      </c>
      <c r="E2122"/>
      <c r="F2122"/>
      <c r="G2122"/>
      <c r="H2122"/>
      <c r="I2122" s="489"/>
      <c r="J2122" s="1095"/>
      <c r="K2122" s="1095"/>
      <c r="L2122" s="1095"/>
      <c r="M2122" s="1095"/>
    </row>
    <row r="2123" spans="1:13" x14ac:dyDescent="0.25">
      <c r="A2123">
        <v>1917408</v>
      </c>
      <c r="B2123" t="s">
        <v>9413</v>
      </c>
      <c r="C2123" t="s">
        <v>2596</v>
      </c>
      <c r="D2123" s="254">
        <v>42.03</v>
      </c>
      <c r="E2123"/>
      <c r="F2123"/>
      <c r="G2123"/>
      <c r="H2123"/>
      <c r="I2123" s="489"/>
      <c r="J2123" s="1095"/>
      <c r="K2123" s="1095"/>
      <c r="L2123" s="1095"/>
      <c r="M2123" s="1095"/>
    </row>
    <row r="2124" spans="1:13" x14ac:dyDescent="0.25">
      <c r="A2124">
        <v>1917409</v>
      </c>
      <c r="B2124" t="s">
        <v>9414</v>
      </c>
      <c r="C2124" t="s">
        <v>2596</v>
      </c>
      <c r="D2124" s="254">
        <v>43.93</v>
      </c>
      <c r="E2124"/>
      <c r="F2124"/>
      <c r="G2124"/>
      <c r="H2124"/>
      <c r="I2124" s="489"/>
      <c r="J2124" s="1095"/>
      <c r="K2124" s="1095"/>
      <c r="L2124" s="1095"/>
      <c r="M2124" s="1095"/>
    </row>
    <row r="2125" spans="1:13" x14ac:dyDescent="0.25">
      <c r="A2125">
        <v>1917410</v>
      </c>
      <c r="B2125" t="s">
        <v>9415</v>
      </c>
      <c r="C2125" t="s">
        <v>2596</v>
      </c>
      <c r="D2125" s="254">
        <v>45.71</v>
      </c>
      <c r="E2125"/>
      <c r="F2125"/>
      <c r="G2125"/>
      <c r="H2125"/>
      <c r="I2125" s="489"/>
      <c r="J2125" s="1095"/>
      <c r="K2125" s="1095"/>
      <c r="L2125" s="1095"/>
      <c r="M2125" s="1095"/>
    </row>
    <row r="2126" spans="1:13" x14ac:dyDescent="0.25">
      <c r="A2126">
        <v>1917411</v>
      </c>
      <c r="B2126" t="s">
        <v>9416</v>
      </c>
      <c r="C2126" t="s">
        <v>2596</v>
      </c>
      <c r="D2126" s="254">
        <v>47.69</v>
      </c>
      <c r="E2126"/>
      <c r="F2126"/>
      <c r="G2126"/>
      <c r="H2126"/>
      <c r="I2126" s="489"/>
      <c r="J2126" s="1095"/>
      <c r="K2126" s="1095"/>
      <c r="L2126" s="1095"/>
      <c r="M2126" s="1095"/>
    </row>
    <row r="2127" spans="1:13" x14ac:dyDescent="0.25">
      <c r="A2127">
        <v>1917366</v>
      </c>
      <c r="B2127" t="s">
        <v>9417</v>
      </c>
      <c r="C2127" t="s">
        <v>2596</v>
      </c>
      <c r="D2127" s="254">
        <v>4.8099999999999996</v>
      </c>
      <c r="E2127"/>
      <c r="F2127"/>
      <c r="G2127"/>
      <c r="H2127"/>
      <c r="I2127" s="489"/>
      <c r="J2127" s="1095"/>
      <c r="K2127" s="1095"/>
      <c r="L2127" s="1095"/>
      <c r="M2127" s="1095"/>
    </row>
    <row r="2128" spans="1:13" x14ac:dyDescent="0.25">
      <c r="A2128">
        <v>1917732</v>
      </c>
      <c r="B2128" t="s">
        <v>9418</v>
      </c>
      <c r="C2128" t="s">
        <v>2596</v>
      </c>
      <c r="D2128" s="254">
        <v>3.86</v>
      </c>
      <c r="E2128"/>
      <c r="F2128"/>
      <c r="G2128"/>
      <c r="H2128"/>
      <c r="I2128" s="489"/>
      <c r="J2128" s="1095"/>
      <c r="K2128" s="1095"/>
      <c r="L2128" s="1095"/>
      <c r="M2128" s="1095"/>
    </row>
    <row r="2129" spans="1:13" x14ac:dyDescent="0.25">
      <c r="A2129">
        <v>1917043</v>
      </c>
      <c r="B2129" t="s">
        <v>9419</v>
      </c>
      <c r="C2129" t="s">
        <v>2596</v>
      </c>
      <c r="D2129" s="254">
        <v>11.04</v>
      </c>
      <c r="E2129"/>
      <c r="F2129"/>
      <c r="G2129"/>
      <c r="H2129"/>
      <c r="I2129" s="489"/>
      <c r="J2129" s="1095"/>
      <c r="K2129" s="1095"/>
      <c r="L2129" s="1095"/>
      <c r="M2129" s="1095"/>
    </row>
    <row r="2130" spans="1:13" x14ac:dyDescent="0.25">
      <c r="A2130">
        <v>1917044</v>
      </c>
      <c r="B2130" t="s">
        <v>9420</v>
      </c>
      <c r="C2130" t="s">
        <v>2596</v>
      </c>
      <c r="D2130" s="254">
        <v>11.23</v>
      </c>
      <c r="E2130"/>
      <c r="F2130"/>
      <c r="G2130"/>
      <c r="H2130"/>
      <c r="I2130" s="489"/>
      <c r="J2130" s="1095"/>
      <c r="K2130" s="1095"/>
      <c r="L2130" s="1095"/>
      <c r="M2130" s="1095"/>
    </row>
    <row r="2131" spans="1:13" x14ac:dyDescent="0.25">
      <c r="A2131">
        <v>1917045</v>
      </c>
      <c r="B2131" t="s">
        <v>9421</v>
      </c>
      <c r="C2131" t="s">
        <v>2596</v>
      </c>
      <c r="D2131" s="254">
        <v>11.43</v>
      </c>
      <c r="E2131"/>
      <c r="F2131"/>
      <c r="G2131"/>
      <c r="H2131"/>
      <c r="I2131" s="489"/>
      <c r="J2131" s="1095"/>
      <c r="K2131" s="1095"/>
      <c r="L2131" s="1095"/>
      <c r="M2131" s="1095"/>
    </row>
    <row r="2132" spans="1:13" x14ac:dyDescent="0.25">
      <c r="A2132">
        <v>1917046</v>
      </c>
      <c r="B2132" t="s">
        <v>9422</v>
      </c>
      <c r="C2132" t="s">
        <v>2596</v>
      </c>
      <c r="D2132" s="254">
        <v>11.63</v>
      </c>
      <c r="E2132"/>
      <c r="F2132"/>
      <c r="G2132"/>
      <c r="H2132"/>
      <c r="I2132" s="489"/>
      <c r="J2132" s="1095"/>
      <c r="K2132" s="1095"/>
      <c r="L2132" s="1095"/>
      <c r="M2132" s="1095"/>
    </row>
    <row r="2133" spans="1:13" x14ac:dyDescent="0.25">
      <c r="A2133">
        <v>1917047</v>
      </c>
      <c r="B2133" t="s">
        <v>9423</v>
      </c>
      <c r="C2133" t="s">
        <v>2596</v>
      </c>
      <c r="D2133" s="254">
        <v>11.85</v>
      </c>
      <c r="E2133"/>
      <c r="F2133"/>
      <c r="G2133"/>
      <c r="H2133"/>
      <c r="I2133" s="489"/>
      <c r="J2133" s="1095"/>
      <c r="K2133" s="1095"/>
      <c r="L2133" s="1095"/>
      <c r="M2133" s="1095"/>
    </row>
    <row r="2134" spans="1:13" x14ac:dyDescent="0.25">
      <c r="A2134">
        <v>1917048</v>
      </c>
      <c r="B2134" t="s">
        <v>9424</v>
      </c>
      <c r="C2134" t="s">
        <v>2596</v>
      </c>
      <c r="D2134" s="254">
        <v>11.97</v>
      </c>
      <c r="E2134"/>
      <c r="F2134"/>
      <c r="G2134"/>
      <c r="H2134"/>
      <c r="I2134" s="489"/>
      <c r="J2134" s="1095"/>
      <c r="K2134" s="1095"/>
      <c r="L2134" s="1095"/>
      <c r="M2134" s="1095"/>
    </row>
    <row r="2135" spans="1:13" x14ac:dyDescent="0.25">
      <c r="A2135">
        <v>1901518</v>
      </c>
      <c r="B2135" t="s">
        <v>9425</v>
      </c>
      <c r="C2135" t="s">
        <v>2596</v>
      </c>
      <c r="D2135" s="254">
        <v>9.16</v>
      </c>
      <c r="E2135"/>
      <c r="F2135"/>
      <c r="G2135"/>
      <c r="H2135"/>
      <c r="I2135" s="489"/>
      <c r="J2135" s="1095"/>
      <c r="K2135" s="1095"/>
      <c r="L2135" s="1095"/>
      <c r="M2135" s="1095"/>
    </row>
    <row r="2136" spans="1:13" x14ac:dyDescent="0.25">
      <c r="A2136">
        <v>1901519</v>
      </c>
      <c r="B2136" t="s">
        <v>9426</v>
      </c>
      <c r="C2136" t="s">
        <v>2596</v>
      </c>
      <c r="D2136" s="254">
        <v>9.2200000000000006</v>
      </c>
      <c r="E2136"/>
      <c r="F2136"/>
      <c r="G2136"/>
      <c r="H2136"/>
      <c r="I2136" s="489"/>
      <c r="J2136" s="1095"/>
      <c r="K2136" s="1095"/>
      <c r="L2136" s="1095"/>
      <c r="M2136" s="1095"/>
    </row>
    <row r="2137" spans="1:13" x14ac:dyDescent="0.25">
      <c r="A2137">
        <v>1901520</v>
      </c>
      <c r="B2137" t="s">
        <v>9427</v>
      </c>
      <c r="C2137" t="s">
        <v>2596</v>
      </c>
      <c r="D2137" s="254">
        <v>9.3000000000000007</v>
      </c>
      <c r="E2137"/>
      <c r="F2137"/>
      <c r="G2137"/>
      <c r="H2137"/>
      <c r="I2137" s="489"/>
      <c r="J2137" s="1095"/>
      <c r="K2137" s="1095"/>
      <c r="L2137" s="1095"/>
      <c r="M2137" s="1095"/>
    </row>
    <row r="2138" spans="1:13" x14ac:dyDescent="0.25">
      <c r="A2138">
        <v>1901521</v>
      </c>
      <c r="B2138" t="s">
        <v>9428</v>
      </c>
      <c r="C2138" t="s">
        <v>2596</v>
      </c>
      <c r="D2138" s="254">
        <v>9.3699999999999992</v>
      </c>
      <c r="E2138"/>
      <c r="F2138"/>
      <c r="G2138"/>
      <c r="H2138"/>
      <c r="I2138" s="489"/>
      <c r="J2138" s="1095"/>
      <c r="K2138" s="1095"/>
      <c r="L2138" s="1095"/>
      <c r="M2138" s="1095"/>
    </row>
    <row r="2139" spans="1:13" x14ac:dyDescent="0.25">
      <c r="A2139">
        <v>1901522</v>
      </c>
      <c r="B2139" t="s">
        <v>9429</v>
      </c>
      <c r="C2139" t="s">
        <v>2596</v>
      </c>
      <c r="D2139" s="254">
        <v>9.4499999999999993</v>
      </c>
      <c r="E2139"/>
      <c r="F2139"/>
      <c r="G2139"/>
      <c r="H2139"/>
      <c r="I2139" s="489"/>
      <c r="J2139" s="1095"/>
      <c r="K2139" s="1095"/>
      <c r="L2139" s="1095"/>
      <c r="M2139" s="1095"/>
    </row>
    <row r="2140" spans="1:13" x14ac:dyDescent="0.25">
      <c r="A2140">
        <v>1901517</v>
      </c>
      <c r="B2140" t="s">
        <v>9430</v>
      </c>
      <c r="C2140" t="s">
        <v>2596</v>
      </c>
      <c r="D2140" s="254">
        <v>9.49</v>
      </c>
      <c r="E2140"/>
      <c r="F2140"/>
      <c r="G2140"/>
      <c r="H2140"/>
      <c r="I2140" s="489"/>
      <c r="J2140" s="1095"/>
      <c r="K2140" s="1095"/>
      <c r="L2140" s="1095"/>
      <c r="M2140" s="1095"/>
    </row>
    <row r="2141" spans="1:13" x14ac:dyDescent="0.25">
      <c r="A2141">
        <v>1901523</v>
      </c>
      <c r="B2141" t="s">
        <v>9431</v>
      </c>
      <c r="C2141" t="s">
        <v>2596</v>
      </c>
      <c r="D2141" s="254">
        <v>12.32</v>
      </c>
      <c r="E2141"/>
      <c r="F2141"/>
      <c r="G2141"/>
      <c r="H2141"/>
      <c r="I2141" s="489"/>
      <c r="J2141" s="1095"/>
      <c r="K2141" s="1095"/>
      <c r="L2141" s="1095"/>
      <c r="M2141" s="1095"/>
    </row>
    <row r="2142" spans="1:13" x14ac:dyDescent="0.25">
      <c r="A2142">
        <v>1901524</v>
      </c>
      <c r="B2142" t="s">
        <v>9432</v>
      </c>
      <c r="C2142" t="s">
        <v>2596</v>
      </c>
      <c r="D2142" s="254">
        <v>12.38</v>
      </c>
      <c r="E2142"/>
      <c r="F2142"/>
      <c r="G2142"/>
      <c r="H2142"/>
      <c r="I2142" s="489"/>
      <c r="J2142" s="1095"/>
      <c r="K2142" s="1095"/>
      <c r="L2142" s="1095"/>
      <c r="M2142" s="1095"/>
    </row>
    <row r="2143" spans="1:13" x14ac:dyDescent="0.25">
      <c r="A2143">
        <v>1901525</v>
      </c>
      <c r="B2143" t="s">
        <v>9433</v>
      </c>
      <c r="C2143" t="s">
        <v>2596</v>
      </c>
      <c r="D2143" s="254">
        <v>12.45</v>
      </c>
      <c r="E2143"/>
      <c r="F2143"/>
      <c r="G2143"/>
      <c r="H2143"/>
      <c r="I2143" s="489"/>
      <c r="J2143" s="1095"/>
      <c r="K2143" s="1095"/>
      <c r="L2143" s="1095"/>
      <c r="M2143" s="1095"/>
    </row>
    <row r="2144" spans="1:13" x14ac:dyDescent="0.25">
      <c r="A2144">
        <v>1901526</v>
      </c>
      <c r="B2144" t="s">
        <v>9434</v>
      </c>
      <c r="C2144" t="s">
        <v>2596</v>
      </c>
      <c r="D2144" s="254">
        <v>12.52</v>
      </c>
      <c r="E2144"/>
      <c r="F2144"/>
      <c r="G2144"/>
      <c r="H2144"/>
      <c r="I2144" s="489"/>
      <c r="J2144" s="1095"/>
      <c r="K2144" s="1095"/>
      <c r="L2144" s="1095"/>
      <c r="M2144" s="1095"/>
    </row>
    <row r="2145" spans="1:13" x14ac:dyDescent="0.25">
      <c r="A2145">
        <v>1901527</v>
      </c>
      <c r="B2145" t="s">
        <v>9435</v>
      </c>
      <c r="C2145" t="s">
        <v>2596</v>
      </c>
      <c r="D2145" s="254">
        <v>12.6</v>
      </c>
      <c r="E2145"/>
      <c r="F2145"/>
      <c r="G2145"/>
      <c r="H2145"/>
      <c r="I2145" s="489"/>
      <c r="J2145" s="1095"/>
      <c r="K2145" s="1095"/>
      <c r="L2145" s="1095"/>
      <c r="M2145" s="1095"/>
    </row>
    <row r="2146" spans="1:13" x14ac:dyDescent="0.25">
      <c r="A2146">
        <v>1901528</v>
      </c>
      <c r="B2146" t="s">
        <v>9436</v>
      </c>
      <c r="C2146" t="s">
        <v>2596</v>
      </c>
      <c r="D2146" s="254">
        <v>12.64</v>
      </c>
      <c r="E2146"/>
      <c r="F2146"/>
      <c r="G2146"/>
      <c r="H2146"/>
      <c r="I2146" s="489"/>
      <c r="J2146" s="1095"/>
      <c r="K2146" s="1095"/>
      <c r="L2146" s="1095"/>
      <c r="M2146" s="1095"/>
    </row>
    <row r="2147" spans="1:13" x14ac:dyDescent="0.25">
      <c r="A2147">
        <v>1917079</v>
      </c>
      <c r="B2147" t="s">
        <v>9437</v>
      </c>
      <c r="C2147" t="s">
        <v>2596</v>
      </c>
      <c r="D2147" s="254">
        <v>13.29</v>
      </c>
      <c r="E2147"/>
      <c r="F2147"/>
      <c r="G2147"/>
      <c r="H2147"/>
      <c r="I2147" s="489"/>
      <c r="J2147" s="1095"/>
      <c r="K2147" s="1095"/>
      <c r="L2147" s="1095"/>
      <c r="M2147" s="1095"/>
    </row>
    <row r="2148" spans="1:13" x14ac:dyDescent="0.25">
      <c r="A2148">
        <v>1917080</v>
      </c>
      <c r="B2148" t="s">
        <v>9438</v>
      </c>
      <c r="C2148" t="s">
        <v>2596</v>
      </c>
      <c r="D2148" s="254">
        <v>13.45</v>
      </c>
      <c r="E2148"/>
      <c r="F2148"/>
      <c r="G2148"/>
      <c r="H2148"/>
      <c r="I2148" s="489"/>
      <c r="J2148" s="1095"/>
      <c r="K2148" s="1095"/>
      <c r="L2148" s="1095"/>
      <c r="M2148" s="1095"/>
    </row>
    <row r="2149" spans="1:13" x14ac:dyDescent="0.25">
      <c r="A2149">
        <v>1917081</v>
      </c>
      <c r="B2149" t="s">
        <v>9439</v>
      </c>
      <c r="C2149" t="s">
        <v>2596</v>
      </c>
      <c r="D2149" s="254">
        <v>13.62</v>
      </c>
      <c r="E2149"/>
      <c r="F2149"/>
      <c r="G2149"/>
      <c r="H2149"/>
      <c r="I2149" s="489"/>
      <c r="J2149" s="1095"/>
      <c r="K2149" s="1095"/>
      <c r="L2149" s="1095"/>
      <c r="M2149" s="1095"/>
    </row>
    <row r="2150" spans="1:13" x14ac:dyDescent="0.25">
      <c r="A2150">
        <v>1917082</v>
      </c>
      <c r="B2150" t="s">
        <v>9440</v>
      </c>
      <c r="C2150" t="s">
        <v>2596</v>
      </c>
      <c r="D2150" s="254">
        <v>13.79</v>
      </c>
      <c r="E2150"/>
      <c r="F2150"/>
      <c r="G2150"/>
      <c r="H2150"/>
      <c r="I2150" s="489"/>
      <c r="J2150" s="1095"/>
      <c r="K2150" s="1095"/>
      <c r="L2150" s="1095"/>
      <c r="M2150" s="1095"/>
    </row>
    <row r="2151" spans="1:13" x14ac:dyDescent="0.25">
      <c r="A2151">
        <v>1917083</v>
      </c>
      <c r="B2151" t="s">
        <v>9441</v>
      </c>
      <c r="C2151" t="s">
        <v>2596</v>
      </c>
      <c r="D2151" s="254">
        <v>13.98</v>
      </c>
      <c r="E2151"/>
      <c r="F2151"/>
      <c r="G2151"/>
      <c r="H2151"/>
      <c r="I2151" s="489"/>
      <c r="J2151" s="1095"/>
      <c r="K2151" s="1095"/>
      <c r="L2151" s="1095"/>
      <c r="M2151" s="1095"/>
    </row>
    <row r="2152" spans="1:13" x14ac:dyDescent="0.25">
      <c r="A2152">
        <v>1917084</v>
      </c>
      <c r="B2152" t="s">
        <v>9442</v>
      </c>
      <c r="C2152" t="s">
        <v>2596</v>
      </c>
      <c r="D2152" s="254">
        <v>14.08</v>
      </c>
      <c r="E2152"/>
      <c r="F2152"/>
      <c r="G2152"/>
      <c r="H2152"/>
      <c r="I2152" s="489"/>
      <c r="J2152" s="1095"/>
      <c r="K2152" s="1095"/>
      <c r="L2152" s="1095"/>
      <c r="M2152" s="1095"/>
    </row>
    <row r="2153" spans="1:13" x14ac:dyDescent="0.25">
      <c r="A2153">
        <v>1901529</v>
      </c>
      <c r="B2153" t="s">
        <v>9443</v>
      </c>
      <c r="C2153" t="s">
        <v>2596</v>
      </c>
      <c r="D2153" s="254">
        <v>15.54</v>
      </c>
      <c r="E2153"/>
      <c r="F2153"/>
      <c r="G2153"/>
      <c r="H2153"/>
      <c r="I2153" s="489"/>
      <c r="J2153" s="1095"/>
      <c r="K2153" s="1095"/>
      <c r="L2153" s="1095"/>
      <c r="M2153" s="1095"/>
    </row>
    <row r="2154" spans="1:13" x14ac:dyDescent="0.25">
      <c r="A2154">
        <v>1901530</v>
      </c>
      <c r="B2154" t="s">
        <v>9444</v>
      </c>
      <c r="C2154" t="s">
        <v>2596</v>
      </c>
      <c r="D2154" s="254">
        <v>15.61</v>
      </c>
      <c r="E2154"/>
      <c r="F2154"/>
      <c r="G2154"/>
      <c r="H2154"/>
      <c r="I2154" s="489"/>
      <c r="J2154" s="1095"/>
      <c r="K2154" s="1095"/>
      <c r="L2154" s="1095"/>
      <c r="M2154" s="1095"/>
    </row>
    <row r="2155" spans="1:13" x14ac:dyDescent="0.25">
      <c r="A2155">
        <v>1901531</v>
      </c>
      <c r="B2155" t="s">
        <v>9445</v>
      </c>
      <c r="C2155" t="s">
        <v>2596</v>
      </c>
      <c r="D2155" s="254">
        <v>15.68</v>
      </c>
      <c r="E2155"/>
      <c r="F2155"/>
      <c r="G2155"/>
      <c r="H2155"/>
      <c r="I2155" s="489"/>
      <c r="J2155" s="1095"/>
      <c r="K2155" s="1095"/>
      <c r="L2155" s="1095"/>
      <c r="M2155" s="1095"/>
    </row>
    <row r="2156" spans="1:13" x14ac:dyDescent="0.25">
      <c r="A2156">
        <v>1901532</v>
      </c>
      <c r="B2156" t="s">
        <v>9446</v>
      </c>
      <c r="C2156" t="s">
        <v>2596</v>
      </c>
      <c r="D2156" s="254">
        <v>15.75</v>
      </c>
      <c r="E2156"/>
      <c r="F2156"/>
      <c r="G2156"/>
      <c r="H2156"/>
      <c r="I2156" s="489"/>
      <c r="J2156" s="1095"/>
      <c r="K2156" s="1095"/>
      <c r="L2156" s="1095"/>
      <c r="M2156" s="1095"/>
    </row>
    <row r="2157" spans="1:13" x14ac:dyDescent="0.25">
      <c r="A2157">
        <v>1901533</v>
      </c>
      <c r="B2157" t="s">
        <v>9447</v>
      </c>
      <c r="C2157" t="s">
        <v>2596</v>
      </c>
      <c r="D2157" s="254">
        <v>15.82</v>
      </c>
      <c r="E2157"/>
      <c r="F2157"/>
      <c r="G2157"/>
      <c r="H2157"/>
      <c r="I2157" s="489"/>
      <c r="J2157" s="1095"/>
      <c r="K2157" s="1095"/>
      <c r="L2157" s="1095"/>
      <c r="M2157" s="1095"/>
    </row>
    <row r="2158" spans="1:13" x14ac:dyDescent="0.25">
      <c r="A2158">
        <v>1901534</v>
      </c>
      <c r="B2158" t="s">
        <v>9448</v>
      </c>
      <c r="C2158" t="s">
        <v>2596</v>
      </c>
      <c r="D2158" s="254">
        <v>15.86</v>
      </c>
      <c r="E2158"/>
      <c r="F2158"/>
      <c r="G2158"/>
      <c r="H2158"/>
      <c r="I2158" s="489"/>
      <c r="J2158" s="1095"/>
      <c r="K2158" s="1095"/>
      <c r="L2158" s="1095"/>
      <c r="M2158" s="1095"/>
    </row>
    <row r="2159" spans="1:13" x14ac:dyDescent="0.25">
      <c r="A2159">
        <v>1917115</v>
      </c>
      <c r="B2159" t="s">
        <v>9449</v>
      </c>
      <c r="C2159" t="s">
        <v>2596</v>
      </c>
      <c r="D2159" s="254">
        <v>12.6</v>
      </c>
      <c r="E2159"/>
      <c r="F2159"/>
      <c r="G2159"/>
      <c r="H2159"/>
      <c r="I2159" s="489"/>
      <c r="J2159" s="1095"/>
      <c r="K2159" s="1095"/>
      <c r="L2159" s="1095"/>
      <c r="M2159" s="1095"/>
    </row>
    <row r="2160" spans="1:13" x14ac:dyDescent="0.25">
      <c r="A2160">
        <v>1917116</v>
      </c>
      <c r="B2160" t="s">
        <v>9450</v>
      </c>
      <c r="C2160" t="s">
        <v>2596</v>
      </c>
      <c r="D2160" s="254">
        <v>12.74</v>
      </c>
      <c r="E2160"/>
      <c r="F2160"/>
      <c r="G2160"/>
      <c r="H2160"/>
      <c r="I2160" s="489"/>
      <c r="J2160" s="1095"/>
      <c r="K2160" s="1095"/>
      <c r="L2160" s="1095"/>
      <c r="M2160" s="1095"/>
    </row>
    <row r="2161" spans="1:13" x14ac:dyDescent="0.25">
      <c r="A2161">
        <v>1917117</v>
      </c>
      <c r="B2161" t="s">
        <v>9451</v>
      </c>
      <c r="C2161" t="s">
        <v>2596</v>
      </c>
      <c r="D2161" s="254">
        <v>12.87</v>
      </c>
      <c r="E2161"/>
      <c r="F2161"/>
      <c r="G2161"/>
      <c r="H2161"/>
      <c r="I2161" s="489"/>
      <c r="J2161" s="1095"/>
      <c r="K2161" s="1095"/>
      <c r="L2161" s="1095"/>
      <c r="M2161" s="1095"/>
    </row>
    <row r="2162" spans="1:13" x14ac:dyDescent="0.25">
      <c r="A2162">
        <v>1917118</v>
      </c>
      <c r="B2162" t="s">
        <v>9452</v>
      </c>
      <c r="C2162" t="s">
        <v>2596</v>
      </c>
      <c r="D2162" s="254">
        <v>13.02</v>
      </c>
      <c r="E2162"/>
      <c r="F2162"/>
      <c r="G2162"/>
      <c r="H2162"/>
      <c r="I2162" s="489"/>
      <c r="J2162" s="1095"/>
      <c r="K2162" s="1095"/>
      <c r="L2162" s="1095"/>
      <c r="M2162" s="1095"/>
    </row>
    <row r="2163" spans="1:13" x14ac:dyDescent="0.25">
      <c r="A2163">
        <v>1917119</v>
      </c>
      <c r="B2163" t="s">
        <v>9453</v>
      </c>
      <c r="C2163" t="s">
        <v>2596</v>
      </c>
      <c r="D2163" s="254">
        <v>13.17</v>
      </c>
      <c r="E2163"/>
      <c r="F2163"/>
      <c r="G2163"/>
      <c r="H2163"/>
      <c r="I2163" s="489"/>
      <c r="J2163" s="1095"/>
      <c r="K2163" s="1095"/>
      <c r="L2163" s="1095"/>
      <c r="M2163" s="1095"/>
    </row>
    <row r="2164" spans="1:13" x14ac:dyDescent="0.25">
      <c r="A2164">
        <v>1917120</v>
      </c>
      <c r="B2164" t="s">
        <v>9454</v>
      </c>
      <c r="C2164" t="s">
        <v>2596</v>
      </c>
      <c r="D2164" s="254">
        <v>13.25</v>
      </c>
      <c r="E2164"/>
      <c r="F2164"/>
      <c r="G2164"/>
      <c r="H2164"/>
      <c r="I2164" s="489"/>
      <c r="J2164" s="1095"/>
      <c r="K2164" s="1095"/>
      <c r="L2164" s="1095"/>
      <c r="M2164" s="1095"/>
    </row>
    <row r="2165" spans="1:13" x14ac:dyDescent="0.25">
      <c r="A2165">
        <v>1917151</v>
      </c>
      <c r="B2165" t="s">
        <v>9455</v>
      </c>
      <c r="C2165" t="s">
        <v>2596</v>
      </c>
      <c r="D2165" s="254">
        <v>11.15</v>
      </c>
      <c r="E2165"/>
      <c r="F2165"/>
      <c r="G2165"/>
      <c r="H2165"/>
      <c r="I2165" s="489"/>
      <c r="J2165" s="1095"/>
      <c r="K2165" s="1095"/>
      <c r="L2165" s="1095"/>
      <c r="M2165" s="1095"/>
    </row>
    <row r="2166" spans="1:13" x14ac:dyDescent="0.25">
      <c r="A2166">
        <v>1917152</v>
      </c>
      <c r="B2166" t="s">
        <v>9456</v>
      </c>
      <c r="C2166" t="s">
        <v>2596</v>
      </c>
      <c r="D2166" s="254">
        <v>11.26</v>
      </c>
      <c r="E2166"/>
      <c r="F2166"/>
      <c r="G2166"/>
      <c r="H2166"/>
      <c r="I2166" s="489"/>
      <c r="J2166" s="1095"/>
      <c r="K2166" s="1095"/>
      <c r="L2166" s="1095"/>
      <c r="M2166" s="1095"/>
    </row>
    <row r="2167" spans="1:13" x14ac:dyDescent="0.25">
      <c r="A2167">
        <v>1917153</v>
      </c>
      <c r="B2167" t="s">
        <v>9457</v>
      </c>
      <c r="C2167" t="s">
        <v>2596</v>
      </c>
      <c r="D2167" s="254">
        <v>11.38</v>
      </c>
      <c r="E2167"/>
      <c r="F2167"/>
      <c r="G2167"/>
      <c r="H2167"/>
      <c r="I2167" s="489"/>
      <c r="J2167" s="1095"/>
      <c r="K2167" s="1095"/>
      <c r="L2167" s="1095"/>
      <c r="M2167" s="1095"/>
    </row>
    <row r="2168" spans="1:13" x14ac:dyDescent="0.25">
      <c r="A2168">
        <v>1917154</v>
      </c>
      <c r="B2168" t="s">
        <v>9458</v>
      </c>
      <c r="C2168" t="s">
        <v>2596</v>
      </c>
      <c r="D2168" s="254">
        <v>11.5</v>
      </c>
      <c r="E2168"/>
      <c r="F2168"/>
      <c r="G2168"/>
      <c r="H2168"/>
      <c r="I2168" s="489"/>
      <c r="J2168" s="1095"/>
      <c r="K2168" s="1095"/>
      <c r="L2168" s="1095"/>
      <c r="M2168" s="1095"/>
    </row>
    <row r="2169" spans="1:13" x14ac:dyDescent="0.25">
      <c r="A2169">
        <v>1917155</v>
      </c>
      <c r="B2169" t="s">
        <v>9459</v>
      </c>
      <c r="C2169" t="s">
        <v>2596</v>
      </c>
      <c r="D2169" s="254">
        <v>11.63</v>
      </c>
      <c r="E2169"/>
      <c r="F2169"/>
      <c r="G2169"/>
      <c r="H2169"/>
      <c r="I2169" s="489"/>
      <c r="J2169" s="1095"/>
      <c r="K2169" s="1095"/>
      <c r="L2169" s="1095"/>
      <c r="M2169" s="1095"/>
    </row>
    <row r="2170" spans="1:13" x14ac:dyDescent="0.25">
      <c r="A2170">
        <v>1917156</v>
      </c>
      <c r="B2170" t="s">
        <v>9460</v>
      </c>
      <c r="C2170" t="s">
        <v>2596</v>
      </c>
      <c r="D2170" s="254">
        <v>11.69</v>
      </c>
      <c r="E2170"/>
      <c r="F2170"/>
      <c r="G2170"/>
      <c r="H2170"/>
      <c r="I2170" s="489"/>
      <c r="J2170" s="1095"/>
      <c r="K2170" s="1095"/>
      <c r="L2170" s="1095"/>
      <c r="M2170" s="1095"/>
    </row>
    <row r="2171" spans="1:13" x14ac:dyDescent="0.25">
      <c r="A2171">
        <v>1917187</v>
      </c>
      <c r="B2171" t="s">
        <v>9461</v>
      </c>
      <c r="C2171" t="s">
        <v>2596</v>
      </c>
      <c r="D2171" s="254">
        <v>10.52</v>
      </c>
      <c r="E2171"/>
      <c r="F2171"/>
      <c r="G2171"/>
      <c r="H2171"/>
      <c r="I2171" s="489"/>
      <c r="J2171" s="1095"/>
      <c r="K2171" s="1095"/>
      <c r="L2171" s="1095"/>
      <c r="M2171" s="1095"/>
    </row>
    <row r="2172" spans="1:13" x14ac:dyDescent="0.25">
      <c r="A2172">
        <v>1917188</v>
      </c>
      <c r="B2172" t="s">
        <v>9462</v>
      </c>
      <c r="C2172" t="s">
        <v>2596</v>
      </c>
      <c r="D2172" s="254">
        <v>10.62</v>
      </c>
      <c r="E2172"/>
      <c r="F2172"/>
      <c r="G2172"/>
      <c r="H2172"/>
      <c r="I2172" s="489"/>
      <c r="J2172" s="1095"/>
      <c r="K2172" s="1095"/>
      <c r="L2172" s="1095"/>
      <c r="M2172" s="1095"/>
    </row>
    <row r="2173" spans="1:13" x14ac:dyDescent="0.25">
      <c r="A2173">
        <v>1917189</v>
      </c>
      <c r="B2173" t="s">
        <v>9463</v>
      </c>
      <c r="C2173" t="s">
        <v>2596</v>
      </c>
      <c r="D2173" s="254">
        <v>10.73</v>
      </c>
      <c r="E2173"/>
      <c r="F2173"/>
      <c r="G2173"/>
      <c r="H2173"/>
      <c r="I2173" s="489"/>
      <c r="J2173" s="1095"/>
      <c r="K2173" s="1095"/>
      <c r="L2173" s="1095"/>
      <c r="M2173" s="1095"/>
    </row>
    <row r="2174" spans="1:13" x14ac:dyDescent="0.25">
      <c r="A2174">
        <v>1917190</v>
      </c>
      <c r="B2174" t="s">
        <v>9464</v>
      </c>
      <c r="C2174" t="s">
        <v>2596</v>
      </c>
      <c r="D2174" s="254">
        <v>10.83</v>
      </c>
      <c r="E2174"/>
      <c r="F2174"/>
      <c r="G2174"/>
      <c r="H2174"/>
      <c r="I2174" s="489"/>
      <c r="J2174" s="1095"/>
      <c r="K2174" s="1095"/>
      <c r="L2174" s="1095"/>
      <c r="M2174" s="1095"/>
    </row>
    <row r="2175" spans="1:13" x14ac:dyDescent="0.25">
      <c r="A2175">
        <v>1917191</v>
      </c>
      <c r="B2175" t="s">
        <v>9465</v>
      </c>
      <c r="C2175" t="s">
        <v>2596</v>
      </c>
      <c r="D2175" s="254">
        <v>10.95</v>
      </c>
      <c r="E2175"/>
      <c r="F2175"/>
      <c r="G2175"/>
      <c r="H2175"/>
      <c r="I2175" s="489"/>
      <c r="J2175" s="1095"/>
      <c r="K2175" s="1095"/>
      <c r="L2175" s="1095"/>
      <c r="M2175" s="1095"/>
    </row>
    <row r="2176" spans="1:13" x14ac:dyDescent="0.25">
      <c r="A2176">
        <v>1917192</v>
      </c>
      <c r="B2176" t="s">
        <v>9466</v>
      </c>
      <c r="C2176" t="s">
        <v>2596</v>
      </c>
      <c r="D2176" s="254">
        <v>11.01</v>
      </c>
      <c r="E2176"/>
      <c r="F2176"/>
      <c r="G2176"/>
      <c r="H2176"/>
      <c r="I2176" s="489"/>
      <c r="J2176" s="1095"/>
      <c r="K2176" s="1095"/>
      <c r="L2176" s="1095"/>
      <c r="M2176" s="1095"/>
    </row>
    <row r="2177" spans="1:13" x14ac:dyDescent="0.25">
      <c r="A2177">
        <v>1917007</v>
      </c>
      <c r="B2177" t="s">
        <v>9467</v>
      </c>
      <c r="C2177" t="s">
        <v>2596</v>
      </c>
      <c r="D2177" s="254">
        <v>14.11</v>
      </c>
      <c r="E2177"/>
      <c r="F2177"/>
      <c r="G2177"/>
      <c r="H2177"/>
      <c r="I2177" s="489"/>
      <c r="J2177" s="1095"/>
      <c r="K2177" s="1095"/>
      <c r="L2177" s="1095"/>
      <c r="M2177" s="1095"/>
    </row>
    <row r="2178" spans="1:13" x14ac:dyDescent="0.25">
      <c r="A2178">
        <v>1917008</v>
      </c>
      <c r="B2178" t="s">
        <v>9468</v>
      </c>
      <c r="C2178" t="s">
        <v>2596</v>
      </c>
      <c r="D2178" s="254">
        <v>14.37</v>
      </c>
      <c r="E2178"/>
      <c r="F2178"/>
      <c r="G2178"/>
      <c r="H2178"/>
      <c r="I2178" s="489"/>
      <c r="J2178" s="1095"/>
      <c r="K2178" s="1095"/>
      <c r="L2178" s="1095"/>
      <c r="M2178" s="1095"/>
    </row>
    <row r="2179" spans="1:13" x14ac:dyDescent="0.25">
      <c r="A2179">
        <v>1917009</v>
      </c>
      <c r="B2179" t="s">
        <v>9469</v>
      </c>
      <c r="C2179" t="s">
        <v>2596</v>
      </c>
      <c r="D2179" s="254">
        <v>14.64</v>
      </c>
      <c r="E2179"/>
      <c r="F2179"/>
      <c r="G2179"/>
      <c r="H2179"/>
      <c r="I2179" s="489"/>
      <c r="J2179" s="1095"/>
      <c r="K2179" s="1095"/>
      <c r="L2179" s="1095"/>
      <c r="M2179" s="1095"/>
    </row>
    <row r="2180" spans="1:13" x14ac:dyDescent="0.25">
      <c r="A2180">
        <v>1917010</v>
      </c>
      <c r="B2180" t="s">
        <v>9470</v>
      </c>
      <c r="C2180" t="s">
        <v>2596</v>
      </c>
      <c r="D2180" s="254">
        <v>14.92</v>
      </c>
      <c r="E2180"/>
      <c r="F2180"/>
      <c r="G2180"/>
      <c r="H2180"/>
      <c r="I2180" s="489"/>
      <c r="J2180" s="1095"/>
      <c r="K2180" s="1095"/>
      <c r="L2180" s="1095"/>
      <c r="M2180" s="1095"/>
    </row>
    <row r="2181" spans="1:13" x14ac:dyDescent="0.25">
      <c r="A2181">
        <v>1917011</v>
      </c>
      <c r="B2181" t="s">
        <v>9471</v>
      </c>
      <c r="C2181" t="s">
        <v>2596</v>
      </c>
      <c r="D2181" s="254">
        <v>15.21</v>
      </c>
      <c r="E2181"/>
      <c r="F2181"/>
      <c r="G2181"/>
      <c r="H2181"/>
      <c r="I2181" s="489"/>
      <c r="J2181" s="1095"/>
      <c r="K2181" s="1095"/>
      <c r="L2181" s="1095"/>
      <c r="M2181" s="1095"/>
    </row>
    <row r="2182" spans="1:13" x14ac:dyDescent="0.25">
      <c r="A2182">
        <v>1917012</v>
      </c>
      <c r="B2182" t="s">
        <v>9472</v>
      </c>
      <c r="C2182" t="s">
        <v>2596</v>
      </c>
      <c r="D2182" s="254">
        <v>15.37</v>
      </c>
      <c r="E2182"/>
      <c r="F2182"/>
      <c r="G2182"/>
      <c r="H2182"/>
      <c r="I2182" s="489"/>
      <c r="J2182" s="1095"/>
      <c r="K2182" s="1095"/>
      <c r="L2182" s="1095"/>
      <c r="M2182" s="1095"/>
    </row>
    <row r="2183" spans="1:13" x14ac:dyDescent="0.25">
      <c r="A2183">
        <v>1917578</v>
      </c>
      <c r="B2183" t="s">
        <v>9473</v>
      </c>
      <c r="C2183" t="s">
        <v>2596</v>
      </c>
      <c r="D2183" s="254">
        <v>7.34</v>
      </c>
      <c r="E2183"/>
      <c r="F2183"/>
      <c r="G2183"/>
      <c r="H2183"/>
      <c r="I2183" s="489"/>
      <c r="J2183" s="1095"/>
      <c r="K2183" s="1095"/>
      <c r="L2183" s="1095"/>
      <c r="M2183" s="1095"/>
    </row>
    <row r="2184" spans="1:13" x14ac:dyDescent="0.25">
      <c r="A2184">
        <v>1917579</v>
      </c>
      <c r="B2184" t="s">
        <v>9474</v>
      </c>
      <c r="C2184" t="s">
        <v>2596</v>
      </c>
      <c r="D2184" s="254">
        <v>7.84</v>
      </c>
      <c r="E2184"/>
      <c r="F2184"/>
      <c r="G2184"/>
      <c r="H2184"/>
      <c r="I2184" s="489"/>
      <c r="J2184" s="1095"/>
      <c r="K2184" s="1095"/>
      <c r="L2184" s="1095"/>
      <c r="M2184" s="1095"/>
    </row>
    <row r="2185" spans="1:13" x14ac:dyDescent="0.25">
      <c r="A2185">
        <v>1917580</v>
      </c>
      <c r="B2185" t="s">
        <v>9475</v>
      </c>
      <c r="C2185" t="s">
        <v>2596</v>
      </c>
      <c r="D2185" s="254">
        <v>8.2899999999999991</v>
      </c>
      <c r="E2185"/>
      <c r="F2185"/>
      <c r="G2185"/>
      <c r="H2185"/>
      <c r="I2185" s="489"/>
      <c r="J2185" s="1095"/>
      <c r="K2185" s="1095"/>
      <c r="L2185" s="1095"/>
      <c r="M2185" s="1095"/>
    </row>
    <row r="2186" spans="1:13" x14ac:dyDescent="0.25">
      <c r="A2186">
        <v>1917581</v>
      </c>
      <c r="B2186" t="s">
        <v>9476</v>
      </c>
      <c r="C2186" t="s">
        <v>2596</v>
      </c>
      <c r="D2186" s="254">
        <v>8.7799999999999994</v>
      </c>
      <c r="E2186"/>
      <c r="F2186"/>
      <c r="G2186"/>
      <c r="H2186"/>
      <c r="I2186" s="489"/>
      <c r="J2186" s="1095"/>
      <c r="K2186" s="1095"/>
      <c r="L2186" s="1095"/>
      <c r="M2186" s="1095"/>
    </row>
    <row r="2187" spans="1:13" x14ac:dyDescent="0.25">
      <c r="A2187">
        <v>1917582</v>
      </c>
      <c r="B2187" t="s">
        <v>9477</v>
      </c>
      <c r="C2187" t="s">
        <v>2596</v>
      </c>
      <c r="D2187" s="254">
        <v>9.43</v>
      </c>
      <c r="E2187"/>
      <c r="F2187"/>
      <c r="G2187"/>
      <c r="H2187"/>
      <c r="I2187" s="489"/>
      <c r="J2187" s="1095"/>
      <c r="K2187" s="1095"/>
      <c r="L2187" s="1095"/>
      <c r="M2187" s="1095"/>
    </row>
    <row r="2188" spans="1:13" x14ac:dyDescent="0.25">
      <c r="A2188">
        <v>1917583</v>
      </c>
      <c r="B2188" t="s">
        <v>9478</v>
      </c>
      <c r="C2188" t="s">
        <v>2596</v>
      </c>
      <c r="D2188" s="254">
        <v>9.98</v>
      </c>
      <c r="E2188"/>
      <c r="F2188"/>
      <c r="G2188"/>
      <c r="H2188"/>
      <c r="I2188" s="489"/>
      <c r="J2188" s="1095"/>
      <c r="K2188" s="1095"/>
      <c r="L2188" s="1095"/>
      <c r="M2188" s="1095"/>
    </row>
    <row r="2189" spans="1:13" x14ac:dyDescent="0.25">
      <c r="A2189">
        <v>1917584</v>
      </c>
      <c r="B2189" t="s">
        <v>9479</v>
      </c>
      <c r="C2189" t="s">
        <v>2596</v>
      </c>
      <c r="D2189" s="254">
        <v>10.48</v>
      </c>
      <c r="E2189"/>
      <c r="F2189"/>
      <c r="G2189"/>
      <c r="H2189"/>
      <c r="I2189" s="489"/>
      <c r="J2189" s="1095"/>
      <c r="K2189" s="1095"/>
      <c r="L2189" s="1095"/>
      <c r="M2189" s="1095"/>
    </row>
    <row r="2190" spans="1:13" x14ac:dyDescent="0.25">
      <c r="A2190">
        <v>1917585</v>
      </c>
      <c r="B2190" t="s">
        <v>9480</v>
      </c>
      <c r="C2190" t="s">
        <v>2596</v>
      </c>
      <c r="D2190" s="254">
        <v>11.2</v>
      </c>
      <c r="E2190"/>
      <c r="F2190"/>
      <c r="G2190"/>
      <c r="H2190"/>
      <c r="I2190" s="489"/>
      <c r="J2190" s="1095"/>
      <c r="K2190" s="1095"/>
      <c r="L2190" s="1095"/>
      <c r="M2190" s="1095"/>
    </row>
    <row r="2191" spans="1:13" x14ac:dyDescent="0.25">
      <c r="A2191">
        <v>1917586</v>
      </c>
      <c r="B2191" t="s">
        <v>9481</v>
      </c>
      <c r="C2191" t="s">
        <v>2596</v>
      </c>
      <c r="D2191" s="254">
        <v>12.17</v>
      </c>
      <c r="E2191"/>
      <c r="F2191"/>
      <c r="G2191"/>
      <c r="H2191"/>
      <c r="I2191" s="489"/>
      <c r="J2191" s="1095"/>
      <c r="K2191" s="1095"/>
      <c r="L2191" s="1095"/>
      <c r="M2191" s="1095"/>
    </row>
    <row r="2192" spans="1:13" x14ac:dyDescent="0.25">
      <c r="A2192">
        <v>1917587</v>
      </c>
      <c r="B2192" t="s">
        <v>9482</v>
      </c>
      <c r="C2192" t="s">
        <v>2596</v>
      </c>
      <c r="D2192" s="254">
        <v>12.97</v>
      </c>
      <c r="E2192"/>
      <c r="F2192"/>
      <c r="G2192"/>
      <c r="H2192"/>
      <c r="I2192" s="489"/>
      <c r="J2192" s="1095"/>
      <c r="K2192" s="1095"/>
      <c r="L2192" s="1095"/>
      <c r="M2192" s="1095"/>
    </row>
    <row r="2193" spans="1:13" x14ac:dyDescent="0.25">
      <c r="A2193">
        <v>1917588</v>
      </c>
      <c r="B2193" t="s">
        <v>9483</v>
      </c>
      <c r="C2193" t="s">
        <v>2596</v>
      </c>
      <c r="D2193" s="254">
        <v>13.87</v>
      </c>
      <c r="E2193"/>
      <c r="F2193"/>
      <c r="G2193"/>
      <c r="H2193"/>
      <c r="I2193" s="489"/>
      <c r="J2193" s="1095"/>
      <c r="K2193" s="1095"/>
      <c r="L2193" s="1095"/>
      <c r="M2193" s="1095"/>
    </row>
    <row r="2194" spans="1:13" x14ac:dyDescent="0.25">
      <c r="A2194">
        <v>1917589</v>
      </c>
      <c r="B2194" t="s">
        <v>9484</v>
      </c>
      <c r="C2194" t="s">
        <v>2596</v>
      </c>
      <c r="D2194" s="254">
        <v>15.63</v>
      </c>
      <c r="E2194"/>
      <c r="F2194"/>
      <c r="G2194"/>
      <c r="H2194"/>
      <c r="I2194" s="489"/>
      <c r="J2194" s="1095"/>
      <c r="K2194" s="1095"/>
      <c r="L2194" s="1095"/>
      <c r="M2194" s="1095"/>
    </row>
    <row r="2195" spans="1:13" x14ac:dyDescent="0.25">
      <c r="A2195">
        <v>1917590</v>
      </c>
      <c r="B2195" t="s">
        <v>9485</v>
      </c>
      <c r="C2195" t="s">
        <v>2596</v>
      </c>
      <c r="D2195" s="254">
        <v>18.02</v>
      </c>
      <c r="E2195"/>
      <c r="F2195"/>
      <c r="G2195"/>
      <c r="H2195"/>
      <c r="I2195" s="489"/>
      <c r="J2195" s="1095"/>
      <c r="K2195" s="1095"/>
      <c r="L2195" s="1095"/>
      <c r="M2195" s="1095"/>
    </row>
    <row r="2196" spans="1:13" x14ac:dyDescent="0.25">
      <c r="A2196">
        <v>1917591</v>
      </c>
      <c r="B2196" t="s">
        <v>9486</v>
      </c>
      <c r="C2196" t="s">
        <v>2596</v>
      </c>
      <c r="D2196" s="254">
        <v>20.23</v>
      </c>
      <c r="E2196"/>
      <c r="F2196"/>
      <c r="G2196"/>
      <c r="H2196"/>
      <c r="I2196" s="489"/>
      <c r="J2196" s="1095"/>
      <c r="K2196" s="1095"/>
      <c r="L2196" s="1095"/>
      <c r="M2196" s="1095"/>
    </row>
    <row r="2197" spans="1:13" x14ac:dyDescent="0.25">
      <c r="A2197">
        <v>1917592</v>
      </c>
      <c r="B2197" t="s">
        <v>9487</v>
      </c>
      <c r="C2197" t="s">
        <v>2596</v>
      </c>
      <c r="D2197" s="254">
        <v>23</v>
      </c>
      <c r="E2197"/>
      <c r="F2197"/>
      <c r="G2197"/>
      <c r="H2197"/>
      <c r="I2197" s="489"/>
      <c r="J2197" s="1095"/>
      <c r="K2197" s="1095"/>
      <c r="L2197" s="1095"/>
      <c r="M2197" s="1095"/>
    </row>
    <row r="2198" spans="1:13" x14ac:dyDescent="0.25">
      <c r="A2198">
        <v>1917593</v>
      </c>
      <c r="B2198" t="s">
        <v>9488</v>
      </c>
      <c r="C2198" t="s">
        <v>2596</v>
      </c>
      <c r="D2198" s="254">
        <v>25.88</v>
      </c>
      <c r="E2198"/>
      <c r="F2198"/>
      <c r="G2198"/>
      <c r="H2198"/>
      <c r="I2198" s="489"/>
      <c r="J2198" s="1095"/>
      <c r="K2198" s="1095"/>
      <c r="L2198" s="1095"/>
      <c r="M2198" s="1095"/>
    </row>
    <row r="2199" spans="1:13" x14ac:dyDescent="0.25">
      <c r="A2199">
        <v>1917594</v>
      </c>
      <c r="B2199" t="s">
        <v>9489</v>
      </c>
      <c r="C2199" t="s">
        <v>2596</v>
      </c>
      <c r="D2199" s="254">
        <v>29.29</v>
      </c>
      <c r="E2199"/>
      <c r="F2199"/>
      <c r="G2199"/>
      <c r="H2199"/>
      <c r="I2199" s="489"/>
      <c r="J2199" s="1095"/>
      <c r="K2199" s="1095"/>
      <c r="L2199" s="1095"/>
      <c r="M2199" s="1095"/>
    </row>
    <row r="2200" spans="1:13" x14ac:dyDescent="0.25">
      <c r="A2200">
        <v>1917595</v>
      </c>
      <c r="B2200" t="s">
        <v>9490</v>
      </c>
      <c r="C2200" t="s">
        <v>2596</v>
      </c>
      <c r="D2200" s="254">
        <v>33.020000000000003</v>
      </c>
      <c r="E2200"/>
      <c r="F2200"/>
      <c r="G2200"/>
      <c r="H2200"/>
      <c r="I2200" s="489"/>
      <c r="J2200" s="1095"/>
      <c r="K2200" s="1095"/>
      <c r="L2200" s="1095"/>
      <c r="M2200" s="1095"/>
    </row>
    <row r="2201" spans="1:13" x14ac:dyDescent="0.25">
      <c r="A2201">
        <v>1917596</v>
      </c>
      <c r="B2201" t="s">
        <v>9491</v>
      </c>
      <c r="C2201" t="s">
        <v>2596</v>
      </c>
      <c r="D2201" s="254">
        <v>36.39</v>
      </c>
      <c r="E2201"/>
      <c r="F2201"/>
      <c r="G2201"/>
      <c r="H2201"/>
      <c r="I2201" s="489"/>
      <c r="J2201" s="1095"/>
      <c r="K2201" s="1095"/>
      <c r="L2201" s="1095"/>
      <c r="M2201" s="1095"/>
    </row>
    <row r="2202" spans="1:13" x14ac:dyDescent="0.25">
      <c r="A2202">
        <v>1917597</v>
      </c>
      <c r="B2202" t="s">
        <v>9492</v>
      </c>
      <c r="C2202" t="s">
        <v>2596</v>
      </c>
      <c r="D2202" s="254">
        <v>41.04</v>
      </c>
      <c r="E2202"/>
      <c r="F2202"/>
      <c r="G2202"/>
      <c r="H2202"/>
      <c r="I2202" s="489"/>
      <c r="J2202" s="1095"/>
      <c r="K2202" s="1095"/>
      <c r="L2202" s="1095"/>
      <c r="M2202" s="1095"/>
    </row>
    <row r="2203" spans="1:13" x14ac:dyDescent="0.25">
      <c r="A2203">
        <v>1917598</v>
      </c>
      <c r="B2203" t="s">
        <v>9493</v>
      </c>
      <c r="C2203" t="s">
        <v>2596</v>
      </c>
      <c r="D2203" s="254">
        <v>45.22</v>
      </c>
      <c r="E2203"/>
      <c r="F2203"/>
      <c r="G2203"/>
      <c r="H2203"/>
      <c r="I2203" s="489"/>
      <c r="J2203" s="1095"/>
      <c r="K2203" s="1095"/>
      <c r="L2203" s="1095"/>
      <c r="M2203" s="1095"/>
    </row>
    <row r="2204" spans="1:13" x14ac:dyDescent="0.25">
      <c r="A2204">
        <v>1917599</v>
      </c>
      <c r="B2204" t="s">
        <v>9494</v>
      </c>
      <c r="C2204" t="s">
        <v>2596</v>
      </c>
      <c r="D2204" s="254">
        <v>50.08</v>
      </c>
      <c r="E2204"/>
      <c r="F2204"/>
      <c r="G2204"/>
      <c r="H2204"/>
      <c r="I2204" s="489"/>
      <c r="J2204" s="1095"/>
      <c r="K2204" s="1095"/>
      <c r="L2204" s="1095"/>
      <c r="M2204" s="1095"/>
    </row>
    <row r="2205" spans="1:13" x14ac:dyDescent="0.25">
      <c r="A2205">
        <v>1917600</v>
      </c>
      <c r="B2205" t="s">
        <v>9495</v>
      </c>
      <c r="C2205" t="s">
        <v>2596</v>
      </c>
      <c r="D2205" s="254">
        <v>56.29</v>
      </c>
      <c r="E2205"/>
      <c r="F2205"/>
      <c r="G2205"/>
      <c r="H2205"/>
      <c r="I2205" s="489"/>
      <c r="J2205" s="1095"/>
      <c r="K2205" s="1095"/>
      <c r="L2205" s="1095"/>
      <c r="M2205" s="1095"/>
    </row>
    <row r="2206" spans="1:13" x14ac:dyDescent="0.25">
      <c r="A2206">
        <v>1917601</v>
      </c>
      <c r="B2206" t="s">
        <v>9496</v>
      </c>
      <c r="C2206" t="s">
        <v>2596</v>
      </c>
      <c r="D2206" s="254">
        <v>59.08</v>
      </c>
      <c r="E2206"/>
      <c r="F2206"/>
      <c r="G2206"/>
      <c r="H2206"/>
      <c r="I2206" s="489"/>
      <c r="J2206" s="1095"/>
      <c r="K2206" s="1095"/>
      <c r="L2206" s="1095"/>
      <c r="M2206" s="1095"/>
    </row>
    <row r="2207" spans="1:13" x14ac:dyDescent="0.25">
      <c r="A2207">
        <v>1917575</v>
      </c>
      <c r="B2207" t="s">
        <v>9497</v>
      </c>
      <c r="C2207" t="s">
        <v>2596</v>
      </c>
      <c r="D2207" s="254">
        <v>5.75</v>
      </c>
      <c r="E2207"/>
      <c r="F2207"/>
      <c r="G2207"/>
      <c r="H2207"/>
      <c r="I2207" s="489"/>
      <c r="J2207" s="1095"/>
      <c r="K2207" s="1095"/>
      <c r="L2207" s="1095"/>
      <c r="M2207" s="1095"/>
    </row>
    <row r="2208" spans="1:13" x14ac:dyDescent="0.25">
      <c r="A2208">
        <v>1917576</v>
      </c>
      <c r="B2208" t="s">
        <v>9498</v>
      </c>
      <c r="C2208" t="s">
        <v>2596</v>
      </c>
      <c r="D2208" s="254">
        <v>6.18</v>
      </c>
      <c r="E2208"/>
      <c r="F2208"/>
      <c r="G2208"/>
      <c r="H2208"/>
      <c r="I2208" s="489"/>
      <c r="J2208" s="1095"/>
      <c r="K2208" s="1095"/>
      <c r="L2208" s="1095"/>
      <c r="M2208" s="1095"/>
    </row>
    <row r="2209" spans="1:13" x14ac:dyDescent="0.25">
      <c r="A2209">
        <v>1917577</v>
      </c>
      <c r="B2209" t="s">
        <v>9499</v>
      </c>
      <c r="C2209" t="s">
        <v>2596</v>
      </c>
      <c r="D2209" s="254">
        <v>6.67</v>
      </c>
      <c r="E2209"/>
      <c r="F2209"/>
      <c r="G2209"/>
      <c r="H2209"/>
      <c r="I2209" s="489"/>
      <c r="J2209" s="1095"/>
      <c r="K2209" s="1095"/>
      <c r="L2209" s="1095"/>
      <c r="M2209" s="1095"/>
    </row>
    <row r="2210" spans="1:13" x14ac:dyDescent="0.25">
      <c r="A2210">
        <v>1917739</v>
      </c>
      <c r="B2210" t="s">
        <v>9500</v>
      </c>
      <c r="C2210" t="s">
        <v>2596</v>
      </c>
      <c r="D2210" s="254">
        <v>5.66</v>
      </c>
      <c r="E2210"/>
      <c r="F2210"/>
      <c r="G2210"/>
      <c r="H2210"/>
      <c r="I2210" s="489"/>
      <c r="J2210" s="1095"/>
      <c r="K2210" s="1095"/>
      <c r="L2210" s="1095"/>
      <c r="M2210" s="1095"/>
    </row>
    <row r="2211" spans="1:13" x14ac:dyDescent="0.25">
      <c r="A2211">
        <v>1917253</v>
      </c>
      <c r="B2211" t="s">
        <v>9501</v>
      </c>
      <c r="C2211" t="s">
        <v>2596</v>
      </c>
      <c r="D2211" s="254">
        <v>9.56</v>
      </c>
      <c r="E2211"/>
      <c r="F2211"/>
      <c r="G2211"/>
      <c r="H2211"/>
      <c r="I2211" s="489"/>
      <c r="J2211" s="1095"/>
      <c r="K2211" s="1095"/>
      <c r="L2211" s="1095"/>
      <c r="M2211" s="1095"/>
    </row>
    <row r="2212" spans="1:13" x14ac:dyDescent="0.25">
      <c r="A2212">
        <v>1917254</v>
      </c>
      <c r="B2212" t="s">
        <v>9502</v>
      </c>
      <c r="C2212" t="s">
        <v>2596</v>
      </c>
      <c r="D2212" s="254">
        <v>10.23</v>
      </c>
      <c r="E2212"/>
      <c r="F2212"/>
      <c r="G2212"/>
      <c r="H2212"/>
      <c r="I2212" s="489"/>
      <c r="J2212" s="1095"/>
      <c r="K2212" s="1095"/>
      <c r="L2212" s="1095"/>
      <c r="M2212" s="1095"/>
    </row>
    <row r="2213" spans="1:13" x14ac:dyDescent="0.25">
      <c r="A2213">
        <v>1917255</v>
      </c>
      <c r="B2213" t="s">
        <v>9503</v>
      </c>
      <c r="C2213" t="s">
        <v>2596</v>
      </c>
      <c r="D2213" s="254">
        <v>11.04</v>
      </c>
      <c r="E2213"/>
      <c r="F2213"/>
      <c r="G2213"/>
      <c r="H2213"/>
      <c r="I2213" s="489"/>
      <c r="J2213" s="1095"/>
      <c r="K2213" s="1095"/>
      <c r="L2213" s="1095"/>
      <c r="M2213" s="1095"/>
    </row>
    <row r="2214" spans="1:13" x14ac:dyDescent="0.25">
      <c r="A2214">
        <v>1917256</v>
      </c>
      <c r="B2214" t="s">
        <v>9504</v>
      </c>
      <c r="C2214" t="s">
        <v>2596</v>
      </c>
      <c r="D2214" s="254">
        <v>11.92</v>
      </c>
      <c r="E2214"/>
      <c r="F2214"/>
      <c r="G2214"/>
      <c r="H2214"/>
      <c r="I2214" s="489"/>
      <c r="J2214" s="1095"/>
      <c r="K2214" s="1095"/>
      <c r="L2214" s="1095"/>
      <c r="M2214" s="1095"/>
    </row>
    <row r="2215" spans="1:13" x14ac:dyDescent="0.25">
      <c r="A2215">
        <v>1917257</v>
      </c>
      <c r="B2215" t="s">
        <v>9505</v>
      </c>
      <c r="C2215" t="s">
        <v>2596</v>
      </c>
      <c r="D2215" s="254">
        <v>13.05</v>
      </c>
      <c r="E2215"/>
      <c r="F2215"/>
      <c r="G2215"/>
      <c r="H2215"/>
      <c r="I2215" s="489"/>
      <c r="J2215" s="1095"/>
      <c r="K2215" s="1095"/>
      <c r="L2215" s="1095"/>
      <c r="M2215" s="1095"/>
    </row>
    <row r="2216" spans="1:13" x14ac:dyDescent="0.25">
      <c r="A2216">
        <v>1917258</v>
      </c>
      <c r="B2216" t="s">
        <v>9506</v>
      </c>
      <c r="C2216" t="s">
        <v>2596</v>
      </c>
      <c r="D2216" s="254">
        <v>14.25</v>
      </c>
      <c r="E2216"/>
      <c r="F2216"/>
      <c r="G2216"/>
      <c r="H2216"/>
      <c r="I2216" s="489"/>
      <c r="J2216" s="1095"/>
      <c r="K2216" s="1095"/>
      <c r="L2216" s="1095"/>
      <c r="M2216" s="1095"/>
    </row>
    <row r="2217" spans="1:13" x14ac:dyDescent="0.25">
      <c r="A2217">
        <v>1917259</v>
      </c>
      <c r="B2217" t="s">
        <v>9507</v>
      </c>
      <c r="C2217" t="s">
        <v>2596</v>
      </c>
      <c r="D2217" s="254">
        <v>17.739999999999998</v>
      </c>
      <c r="E2217"/>
      <c r="F2217"/>
      <c r="G2217"/>
      <c r="H2217"/>
      <c r="I2217" s="489"/>
      <c r="J2217" s="1095"/>
      <c r="K2217" s="1095"/>
      <c r="L2217" s="1095"/>
      <c r="M2217" s="1095"/>
    </row>
    <row r="2218" spans="1:13" x14ac:dyDescent="0.25">
      <c r="A2218">
        <v>1917250</v>
      </c>
      <c r="B2218" t="s">
        <v>9508</v>
      </c>
      <c r="C2218" t="s">
        <v>2596</v>
      </c>
      <c r="D2218" s="254">
        <v>7.27</v>
      </c>
      <c r="E2218"/>
      <c r="F2218"/>
      <c r="G2218"/>
      <c r="H2218"/>
      <c r="I2218" s="489"/>
      <c r="J2218" s="1095"/>
      <c r="K2218" s="1095"/>
      <c r="L2218" s="1095"/>
      <c r="M2218" s="1095"/>
    </row>
    <row r="2219" spans="1:13" x14ac:dyDescent="0.25">
      <c r="A2219">
        <v>1917251</v>
      </c>
      <c r="B2219" t="s">
        <v>9509</v>
      </c>
      <c r="C2219" t="s">
        <v>2596</v>
      </c>
      <c r="D2219" s="254">
        <v>7.69</v>
      </c>
      <c r="E2219"/>
      <c r="F2219"/>
      <c r="G2219"/>
      <c r="H2219"/>
      <c r="I2219" s="489"/>
      <c r="J2219" s="1095"/>
      <c r="K2219" s="1095"/>
      <c r="L2219" s="1095"/>
      <c r="M2219" s="1095"/>
    </row>
    <row r="2220" spans="1:13" x14ac:dyDescent="0.25">
      <c r="A2220">
        <v>1917252</v>
      </c>
      <c r="B2220" t="s">
        <v>9510</v>
      </c>
      <c r="C2220" t="s">
        <v>2596</v>
      </c>
      <c r="D2220" s="254">
        <v>8.57</v>
      </c>
      <c r="E2220"/>
      <c r="F2220"/>
      <c r="G2220"/>
      <c r="H2220"/>
      <c r="I2220" s="489"/>
      <c r="J2220" s="1095"/>
      <c r="K2220" s="1095"/>
      <c r="L2220" s="1095"/>
      <c r="M2220" s="1095"/>
    </row>
    <row r="2221" spans="1:13" x14ac:dyDescent="0.25">
      <c r="A2221">
        <v>1917726</v>
      </c>
      <c r="B2221" t="s">
        <v>9511</v>
      </c>
      <c r="C2221" t="s">
        <v>2596</v>
      </c>
      <c r="D2221" s="254">
        <v>7.12</v>
      </c>
      <c r="E2221"/>
      <c r="F2221"/>
      <c r="G2221"/>
      <c r="H2221"/>
      <c r="I2221" s="489"/>
      <c r="J2221" s="1095"/>
      <c r="K2221" s="1095"/>
      <c r="L2221" s="1095"/>
      <c r="M2221" s="1095"/>
    </row>
    <row r="2222" spans="1:13" x14ac:dyDescent="0.25">
      <c r="A2222">
        <v>1917335</v>
      </c>
      <c r="B2222" t="s">
        <v>9512</v>
      </c>
      <c r="C2222" t="s">
        <v>2596</v>
      </c>
      <c r="D2222" s="254">
        <v>6.62</v>
      </c>
      <c r="E2222"/>
      <c r="F2222"/>
      <c r="G2222"/>
      <c r="H2222"/>
      <c r="I2222" s="489"/>
      <c r="J2222" s="1095"/>
      <c r="K2222" s="1095"/>
      <c r="L2222" s="1095"/>
      <c r="M2222" s="1095"/>
    </row>
    <row r="2223" spans="1:13" x14ac:dyDescent="0.25">
      <c r="A2223">
        <v>1917336</v>
      </c>
      <c r="B2223" t="s">
        <v>9513</v>
      </c>
      <c r="C2223" t="s">
        <v>2596</v>
      </c>
      <c r="D2223" s="254">
        <v>7.41</v>
      </c>
      <c r="E2223"/>
      <c r="F2223"/>
      <c r="G2223"/>
      <c r="H2223"/>
      <c r="I2223" s="489"/>
      <c r="J2223" s="1095"/>
      <c r="K2223" s="1095"/>
      <c r="L2223" s="1095"/>
      <c r="M2223" s="1095"/>
    </row>
    <row r="2224" spans="1:13" x14ac:dyDescent="0.25">
      <c r="A2224">
        <v>1917337</v>
      </c>
      <c r="B2224" t="s">
        <v>9514</v>
      </c>
      <c r="C2224" t="s">
        <v>2596</v>
      </c>
      <c r="D2224" s="254">
        <v>8.09</v>
      </c>
      <c r="E2224"/>
      <c r="F2224"/>
      <c r="G2224"/>
      <c r="H2224"/>
      <c r="I2224" s="489"/>
      <c r="J2224" s="1095"/>
      <c r="K2224" s="1095"/>
      <c r="L2224" s="1095"/>
      <c r="M2224" s="1095"/>
    </row>
    <row r="2225" spans="1:13" x14ac:dyDescent="0.25">
      <c r="A2225">
        <v>1917338</v>
      </c>
      <c r="B2225" t="s">
        <v>9515</v>
      </c>
      <c r="C2225" t="s">
        <v>2596</v>
      </c>
      <c r="D2225" s="254">
        <v>8.9499999999999993</v>
      </c>
      <c r="E2225"/>
      <c r="F2225"/>
      <c r="G2225"/>
      <c r="H2225"/>
      <c r="I2225" s="489"/>
      <c r="J2225" s="1095"/>
      <c r="K2225" s="1095"/>
      <c r="L2225" s="1095"/>
      <c r="M2225" s="1095"/>
    </row>
    <row r="2226" spans="1:13" x14ac:dyDescent="0.25">
      <c r="A2226">
        <v>1917339</v>
      </c>
      <c r="B2226" t="s">
        <v>9516</v>
      </c>
      <c r="C2226" t="s">
        <v>2596</v>
      </c>
      <c r="D2226" s="254">
        <v>9.9700000000000006</v>
      </c>
      <c r="E2226"/>
      <c r="F2226"/>
      <c r="G2226"/>
      <c r="H2226"/>
      <c r="I2226" s="489"/>
      <c r="J2226" s="1095"/>
      <c r="K2226" s="1095"/>
      <c r="L2226" s="1095"/>
      <c r="M2226" s="1095"/>
    </row>
    <row r="2227" spans="1:13" x14ac:dyDescent="0.25">
      <c r="A2227">
        <v>1917340</v>
      </c>
      <c r="B2227" t="s">
        <v>9517</v>
      </c>
      <c r="C2227" t="s">
        <v>2596</v>
      </c>
      <c r="D2227" s="254">
        <v>11.58</v>
      </c>
      <c r="E2227"/>
      <c r="F2227"/>
      <c r="G2227"/>
      <c r="H2227"/>
      <c r="I2227" s="489"/>
      <c r="J2227" s="1095"/>
      <c r="K2227" s="1095"/>
      <c r="L2227" s="1095"/>
      <c r="M2227" s="1095"/>
    </row>
    <row r="2228" spans="1:13" x14ac:dyDescent="0.25">
      <c r="A2228">
        <v>1917341</v>
      </c>
      <c r="B2228" t="s">
        <v>9518</v>
      </c>
      <c r="C2228" t="s">
        <v>2596</v>
      </c>
      <c r="D2228" s="254">
        <v>14.66</v>
      </c>
      <c r="E2228"/>
      <c r="F2228"/>
      <c r="G2228"/>
      <c r="H2228"/>
      <c r="I2228" s="489"/>
      <c r="J2228" s="1095"/>
      <c r="K2228" s="1095"/>
      <c r="L2228" s="1095"/>
      <c r="M2228" s="1095"/>
    </row>
    <row r="2229" spans="1:13" x14ac:dyDescent="0.25">
      <c r="A2229">
        <v>1917342</v>
      </c>
      <c r="B2229" t="s">
        <v>9519</v>
      </c>
      <c r="C2229" t="s">
        <v>2596</v>
      </c>
      <c r="D2229" s="254">
        <v>18.21</v>
      </c>
      <c r="E2229"/>
      <c r="F2229"/>
      <c r="G2229"/>
      <c r="H2229"/>
      <c r="I2229" s="489"/>
      <c r="J2229" s="1095"/>
      <c r="K2229" s="1095"/>
      <c r="L2229" s="1095"/>
      <c r="M2229" s="1095"/>
    </row>
    <row r="2230" spans="1:13" x14ac:dyDescent="0.25">
      <c r="A2230">
        <v>1917343</v>
      </c>
      <c r="B2230" t="s">
        <v>9520</v>
      </c>
      <c r="C2230" t="s">
        <v>2596</v>
      </c>
      <c r="D2230" s="254">
        <v>22.72</v>
      </c>
      <c r="E2230"/>
      <c r="F2230"/>
      <c r="G2230"/>
      <c r="H2230"/>
      <c r="I2230" s="489"/>
      <c r="J2230" s="1095"/>
      <c r="K2230" s="1095"/>
      <c r="L2230" s="1095"/>
      <c r="M2230" s="1095"/>
    </row>
    <row r="2231" spans="1:13" x14ac:dyDescent="0.25">
      <c r="A2231">
        <v>1917344</v>
      </c>
      <c r="B2231" t="s">
        <v>9521</v>
      </c>
      <c r="C2231" t="s">
        <v>2596</v>
      </c>
      <c r="D2231" s="254">
        <v>27.46</v>
      </c>
      <c r="E2231"/>
      <c r="F2231"/>
      <c r="G2231"/>
      <c r="H2231"/>
      <c r="I2231" s="489"/>
      <c r="J2231" s="1095"/>
      <c r="K2231" s="1095"/>
      <c r="L2231" s="1095"/>
      <c r="M2231" s="1095"/>
    </row>
    <row r="2232" spans="1:13" x14ac:dyDescent="0.25">
      <c r="A2232">
        <v>1917345</v>
      </c>
      <c r="B2232" t="s">
        <v>9522</v>
      </c>
      <c r="C2232" t="s">
        <v>2596</v>
      </c>
      <c r="D2232" s="254">
        <v>34.04</v>
      </c>
      <c r="E2232"/>
      <c r="F2232"/>
      <c r="G2232"/>
      <c r="H2232"/>
      <c r="I2232" s="489"/>
      <c r="J2232" s="1095"/>
      <c r="K2232" s="1095"/>
      <c r="L2232" s="1095"/>
      <c r="M2232" s="1095"/>
    </row>
    <row r="2233" spans="1:13" x14ac:dyDescent="0.25">
      <c r="A2233">
        <v>1917346</v>
      </c>
      <c r="B2233" t="s">
        <v>9523</v>
      </c>
      <c r="C2233" t="s">
        <v>2596</v>
      </c>
      <c r="D2233" s="254">
        <v>40.56</v>
      </c>
      <c r="E2233"/>
      <c r="F2233"/>
      <c r="G2233"/>
      <c r="H2233"/>
      <c r="I2233" s="489"/>
      <c r="J2233" s="1095"/>
      <c r="K2233" s="1095"/>
      <c r="L2233" s="1095"/>
      <c r="M2233" s="1095"/>
    </row>
    <row r="2234" spans="1:13" x14ac:dyDescent="0.25">
      <c r="A2234">
        <v>1917347</v>
      </c>
      <c r="B2234" t="s">
        <v>9524</v>
      </c>
      <c r="C2234" t="s">
        <v>2596</v>
      </c>
      <c r="D2234" s="254">
        <v>49.97</v>
      </c>
      <c r="E2234"/>
      <c r="F2234"/>
      <c r="G2234"/>
      <c r="H2234"/>
      <c r="I2234" s="489"/>
      <c r="J2234" s="1095"/>
      <c r="K2234" s="1095"/>
      <c r="L2234" s="1095"/>
      <c r="M2234" s="1095"/>
    </row>
    <row r="2235" spans="1:13" x14ac:dyDescent="0.25">
      <c r="A2235">
        <v>1917332</v>
      </c>
      <c r="B2235" t="s">
        <v>9525</v>
      </c>
      <c r="C2235" t="s">
        <v>2596</v>
      </c>
      <c r="D2235" s="254">
        <v>5.43</v>
      </c>
      <c r="E2235"/>
      <c r="F2235"/>
      <c r="G2235"/>
      <c r="H2235"/>
      <c r="I2235" s="489"/>
      <c r="J2235" s="1095"/>
      <c r="K2235" s="1095"/>
      <c r="L2235" s="1095"/>
      <c r="M2235" s="1095"/>
    </row>
    <row r="2236" spans="1:13" x14ac:dyDescent="0.25">
      <c r="A2236">
        <v>1917333</v>
      </c>
      <c r="B2236" t="s">
        <v>9526</v>
      </c>
      <c r="C2236" t="s">
        <v>2596</v>
      </c>
      <c r="D2236" s="254">
        <v>5.78</v>
      </c>
      <c r="E2236"/>
      <c r="F2236"/>
      <c r="G2236"/>
      <c r="H2236"/>
      <c r="I2236" s="489"/>
      <c r="J2236" s="1095"/>
      <c r="K2236" s="1095"/>
      <c r="L2236" s="1095"/>
      <c r="M2236" s="1095"/>
    </row>
    <row r="2237" spans="1:13" x14ac:dyDescent="0.25">
      <c r="A2237">
        <v>1917334</v>
      </c>
      <c r="B2237" t="s">
        <v>9527</v>
      </c>
      <c r="C2237" t="s">
        <v>2596</v>
      </c>
      <c r="D2237" s="254">
        <v>6.13</v>
      </c>
      <c r="E2237"/>
      <c r="F2237"/>
      <c r="G2237"/>
      <c r="H2237"/>
      <c r="I2237" s="489"/>
      <c r="J2237" s="1095"/>
      <c r="K2237" s="1095"/>
      <c r="L2237" s="1095"/>
      <c r="M2237" s="1095"/>
    </row>
    <row r="2238" spans="1:13" x14ac:dyDescent="0.25">
      <c r="A2238">
        <v>1917331</v>
      </c>
      <c r="B2238" t="s">
        <v>9528</v>
      </c>
      <c r="C2238" t="s">
        <v>2596</v>
      </c>
      <c r="D2238" s="254">
        <v>4.95</v>
      </c>
      <c r="E2238"/>
      <c r="F2238"/>
      <c r="G2238"/>
      <c r="H2238"/>
      <c r="I2238" s="489"/>
      <c r="J2238" s="1095"/>
      <c r="K2238" s="1095"/>
      <c r="L2238" s="1095"/>
      <c r="M2238" s="1095"/>
    </row>
    <row r="2239" spans="1:13" x14ac:dyDescent="0.25">
      <c r="A2239">
        <v>1917443</v>
      </c>
      <c r="B2239" t="s">
        <v>9529</v>
      </c>
      <c r="C2239" t="s">
        <v>2596</v>
      </c>
      <c r="D2239" s="254">
        <v>7.19</v>
      </c>
      <c r="E2239"/>
      <c r="F2239"/>
      <c r="G2239"/>
      <c r="H2239"/>
      <c r="I2239" s="489"/>
      <c r="J2239" s="1095"/>
      <c r="K2239" s="1095"/>
      <c r="L2239" s="1095"/>
      <c r="M2239" s="1095"/>
    </row>
    <row r="2240" spans="1:13" x14ac:dyDescent="0.25">
      <c r="A2240">
        <v>1917444</v>
      </c>
      <c r="B2240" t="s">
        <v>9530</v>
      </c>
      <c r="C2240" t="s">
        <v>2596</v>
      </c>
      <c r="D2240" s="254">
        <v>7.8</v>
      </c>
      <c r="E2240"/>
      <c r="F2240"/>
      <c r="G2240"/>
      <c r="H2240"/>
      <c r="I2240" s="489"/>
      <c r="J2240" s="1095"/>
      <c r="K2240" s="1095"/>
      <c r="L2240" s="1095"/>
      <c r="M2240" s="1095"/>
    </row>
    <row r="2241" spans="1:13" x14ac:dyDescent="0.25">
      <c r="A2241">
        <v>1917445</v>
      </c>
      <c r="B2241" t="s">
        <v>9531</v>
      </c>
      <c r="C2241" t="s">
        <v>2596</v>
      </c>
      <c r="D2241" s="254">
        <v>8.44</v>
      </c>
      <c r="E2241"/>
      <c r="F2241"/>
      <c r="G2241"/>
      <c r="H2241"/>
      <c r="I2241" s="489"/>
      <c r="J2241" s="1095"/>
      <c r="K2241" s="1095"/>
      <c r="L2241" s="1095"/>
      <c r="M2241" s="1095"/>
    </row>
    <row r="2242" spans="1:13" x14ac:dyDescent="0.25">
      <c r="A2242">
        <v>1917446</v>
      </c>
      <c r="B2242" t="s">
        <v>9532</v>
      </c>
      <c r="C2242" t="s">
        <v>2596</v>
      </c>
      <c r="D2242" s="254">
        <v>9.1</v>
      </c>
      <c r="E2242"/>
      <c r="F2242"/>
      <c r="G2242"/>
      <c r="H2242"/>
      <c r="I2242" s="489"/>
      <c r="J2242" s="1095"/>
      <c r="K2242" s="1095"/>
      <c r="L2242" s="1095"/>
      <c r="M2242" s="1095"/>
    </row>
    <row r="2243" spans="1:13" x14ac:dyDescent="0.25">
      <c r="A2243">
        <v>1917447</v>
      </c>
      <c r="B2243" t="s">
        <v>9533</v>
      </c>
      <c r="C2243" t="s">
        <v>2596</v>
      </c>
      <c r="D2243" s="254">
        <v>10.029999999999999</v>
      </c>
      <c r="E2243"/>
      <c r="F2243"/>
      <c r="G2243"/>
      <c r="H2243"/>
      <c r="I2243" s="489"/>
      <c r="J2243" s="1095"/>
      <c r="K2243" s="1095"/>
      <c r="L2243" s="1095"/>
      <c r="M2243" s="1095"/>
    </row>
    <row r="2244" spans="1:13" x14ac:dyDescent="0.25">
      <c r="A2244">
        <v>1917448</v>
      </c>
      <c r="B2244" t="s">
        <v>9534</v>
      </c>
      <c r="C2244" t="s">
        <v>2596</v>
      </c>
      <c r="D2244" s="254">
        <v>10.89</v>
      </c>
      <c r="E2244"/>
      <c r="F2244"/>
      <c r="G2244"/>
      <c r="H2244"/>
      <c r="I2244" s="489"/>
      <c r="J2244" s="1095"/>
      <c r="K2244" s="1095"/>
      <c r="L2244" s="1095"/>
      <c r="M2244" s="1095"/>
    </row>
    <row r="2245" spans="1:13" x14ac:dyDescent="0.25">
      <c r="A2245">
        <v>1917449</v>
      </c>
      <c r="B2245" t="s">
        <v>9535</v>
      </c>
      <c r="C2245" t="s">
        <v>2596</v>
      </c>
      <c r="D2245" s="254">
        <v>12</v>
      </c>
      <c r="E2245"/>
      <c r="F2245"/>
      <c r="G2245"/>
      <c r="H2245"/>
      <c r="I2245" s="489"/>
      <c r="J2245" s="1095"/>
      <c r="K2245" s="1095"/>
      <c r="L2245" s="1095"/>
      <c r="M2245" s="1095"/>
    </row>
    <row r="2246" spans="1:13" x14ac:dyDescent="0.25">
      <c r="A2246">
        <v>1917450</v>
      </c>
      <c r="B2246" t="s">
        <v>9536</v>
      </c>
      <c r="C2246" t="s">
        <v>2596</v>
      </c>
      <c r="D2246" s="254">
        <v>13.34</v>
      </c>
      <c r="E2246"/>
      <c r="F2246"/>
      <c r="G2246"/>
      <c r="H2246"/>
      <c r="I2246" s="489"/>
      <c r="J2246" s="1095"/>
      <c r="K2246" s="1095"/>
      <c r="L2246" s="1095"/>
      <c r="M2246" s="1095"/>
    </row>
    <row r="2247" spans="1:13" x14ac:dyDescent="0.25">
      <c r="A2247">
        <v>1917451</v>
      </c>
      <c r="B2247" t="s">
        <v>9537</v>
      </c>
      <c r="C2247" t="s">
        <v>2596</v>
      </c>
      <c r="D2247" s="254">
        <v>16.21</v>
      </c>
      <c r="E2247"/>
      <c r="F2247"/>
      <c r="G2247"/>
      <c r="H2247"/>
      <c r="I2247" s="489"/>
      <c r="J2247" s="1095"/>
      <c r="K2247" s="1095"/>
      <c r="L2247" s="1095"/>
      <c r="M2247" s="1095"/>
    </row>
    <row r="2248" spans="1:13" x14ac:dyDescent="0.25">
      <c r="A2248">
        <v>1917452</v>
      </c>
      <c r="B2248" t="s">
        <v>9538</v>
      </c>
      <c r="C2248" t="s">
        <v>2596</v>
      </c>
      <c r="D2248" s="254">
        <v>19.07</v>
      </c>
      <c r="E2248"/>
      <c r="F2248"/>
      <c r="G2248"/>
      <c r="H2248"/>
      <c r="I2248" s="489"/>
      <c r="J2248" s="1095"/>
      <c r="K2248" s="1095"/>
      <c r="L2248" s="1095"/>
      <c r="M2248" s="1095"/>
    </row>
    <row r="2249" spans="1:13" x14ac:dyDescent="0.25">
      <c r="A2249">
        <v>1917453</v>
      </c>
      <c r="B2249" t="s">
        <v>9539</v>
      </c>
      <c r="C2249" t="s">
        <v>2596</v>
      </c>
      <c r="D2249" s="254">
        <v>22.52</v>
      </c>
      <c r="E2249"/>
      <c r="F2249"/>
      <c r="G2249"/>
      <c r="H2249"/>
      <c r="I2249" s="489"/>
      <c r="J2249" s="1095"/>
      <c r="K2249" s="1095"/>
      <c r="L2249" s="1095"/>
      <c r="M2249" s="1095"/>
    </row>
    <row r="2250" spans="1:13" x14ac:dyDescent="0.25">
      <c r="A2250">
        <v>1917454</v>
      </c>
      <c r="B2250" t="s">
        <v>9540</v>
      </c>
      <c r="C2250" t="s">
        <v>2596</v>
      </c>
      <c r="D2250" s="254">
        <v>26.3</v>
      </c>
      <c r="E2250"/>
      <c r="F2250"/>
      <c r="G2250"/>
      <c r="H2250"/>
      <c r="I2250" s="489"/>
      <c r="J2250" s="1095"/>
      <c r="K2250" s="1095"/>
      <c r="L2250" s="1095"/>
      <c r="M2250" s="1095"/>
    </row>
    <row r="2251" spans="1:13" x14ac:dyDescent="0.25">
      <c r="A2251">
        <v>1917455</v>
      </c>
      <c r="B2251" t="s">
        <v>9541</v>
      </c>
      <c r="C2251" t="s">
        <v>2596</v>
      </c>
      <c r="D2251" s="254">
        <v>31.06</v>
      </c>
      <c r="E2251"/>
      <c r="F2251"/>
      <c r="G2251"/>
      <c r="H2251"/>
      <c r="I2251" s="489"/>
      <c r="J2251" s="1095"/>
      <c r="K2251" s="1095"/>
      <c r="L2251" s="1095"/>
      <c r="M2251" s="1095"/>
    </row>
    <row r="2252" spans="1:13" x14ac:dyDescent="0.25">
      <c r="A2252">
        <v>1917456</v>
      </c>
      <c r="B2252" t="s">
        <v>9542</v>
      </c>
      <c r="C2252" t="s">
        <v>2596</v>
      </c>
      <c r="D2252" s="254">
        <v>36.24</v>
      </c>
      <c r="E2252"/>
      <c r="F2252"/>
      <c r="G2252"/>
      <c r="H2252"/>
      <c r="I2252" s="489"/>
      <c r="J2252" s="1095"/>
      <c r="K2252" s="1095"/>
      <c r="L2252" s="1095"/>
      <c r="M2252" s="1095"/>
    </row>
    <row r="2253" spans="1:13" x14ac:dyDescent="0.25">
      <c r="A2253">
        <v>1917457</v>
      </c>
      <c r="B2253" t="s">
        <v>9543</v>
      </c>
      <c r="C2253" t="s">
        <v>2596</v>
      </c>
      <c r="D2253" s="254">
        <v>40.869999999999997</v>
      </c>
      <c r="E2253"/>
      <c r="F2253"/>
      <c r="G2253"/>
      <c r="H2253"/>
      <c r="I2253" s="489"/>
      <c r="J2253" s="1095"/>
      <c r="K2253" s="1095"/>
      <c r="L2253" s="1095"/>
      <c r="M2253" s="1095"/>
    </row>
    <row r="2254" spans="1:13" x14ac:dyDescent="0.25">
      <c r="A2254">
        <v>1917458</v>
      </c>
      <c r="B2254" t="s">
        <v>9544</v>
      </c>
      <c r="C2254" t="s">
        <v>2596</v>
      </c>
      <c r="D2254" s="254">
        <v>46.99</v>
      </c>
      <c r="E2254"/>
      <c r="F2254"/>
      <c r="G2254"/>
      <c r="H2254"/>
      <c r="I2254" s="489"/>
      <c r="J2254" s="1095"/>
      <c r="K2254" s="1095"/>
      <c r="L2254" s="1095"/>
      <c r="M2254" s="1095"/>
    </row>
    <row r="2255" spans="1:13" x14ac:dyDescent="0.25">
      <c r="A2255">
        <v>1917459</v>
      </c>
      <c r="B2255" t="s">
        <v>9545</v>
      </c>
      <c r="C2255" t="s">
        <v>2596</v>
      </c>
      <c r="D2255" s="254">
        <v>49.33</v>
      </c>
      <c r="E2255"/>
      <c r="F2255"/>
      <c r="G2255"/>
      <c r="H2255"/>
      <c r="I2255" s="489"/>
      <c r="J2255" s="1095"/>
      <c r="K2255" s="1095"/>
      <c r="L2255" s="1095"/>
      <c r="M2255" s="1095"/>
    </row>
    <row r="2256" spans="1:13" x14ac:dyDescent="0.25">
      <c r="A2256">
        <v>1917440</v>
      </c>
      <c r="B2256" t="s">
        <v>9546</v>
      </c>
      <c r="C2256" t="s">
        <v>2596</v>
      </c>
      <c r="D2256" s="254">
        <v>5.07</v>
      </c>
      <c r="E2256"/>
      <c r="F2256"/>
      <c r="G2256"/>
      <c r="H2256"/>
      <c r="I2256" s="489"/>
      <c r="J2256" s="1095"/>
      <c r="K2256" s="1095"/>
      <c r="L2256" s="1095"/>
      <c r="M2256" s="1095"/>
    </row>
    <row r="2257" spans="1:13" x14ac:dyDescent="0.25">
      <c r="A2257">
        <v>1917441</v>
      </c>
      <c r="B2257" t="s">
        <v>9547</v>
      </c>
      <c r="C2257" t="s">
        <v>2596</v>
      </c>
      <c r="D2257" s="254">
        <v>5.72</v>
      </c>
      <c r="E2257"/>
      <c r="F2257"/>
      <c r="G2257"/>
      <c r="H2257"/>
      <c r="I2257" s="489"/>
      <c r="J2257" s="1095"/>
      <c r="K2257" s="1095"/>
      <c r="L2257" s="1095"/>
      <c r="M2257" s="1095"/>
    </row>
    <row r="2258" spans="1:13" x14ac:dyDescent="0.25">
      <c r="A2258">
        <v>1917442</v>
      </c>
      <c r="B2258" t="s">
        <v>9548</v>
      </c>
      <c r="C2258" t="s">
        <v>2596</v>
      </c>
      <c r="D2258" s="254">
        <v>6.36</v>
      </c>
      <c r="E2258"/>
      <c r="F2258"/>
      <c r="G2258"/>
      <c r="H2258"/>
      <c r="I2258" s="489"/>
      <c r="J2258" s="1095"/>
      <c r="K2258" s="1095"/>
      <c r="L2258" s="1095"/>
      <c r="M2258" s="1095"/>
    </row>
    <row r="2259" spans="1:13" x14ac:dyDescent="0.25">
      <c r="A2259">
        <v>1917734</v>
      </c>
      <c r="B2259" t="s">
        <v>9549</v>
      </c>
      <c r="C2259" t="s">
        <v>2596</v>
      </c>
      <c r="D2259" s="254">
        <v>4.7</v>
      </c>
      <c r="E2259"/>
      <c r="F2259"/>
      <c r="G2259"/>
      <c r="H2259"/>
      <c r="I2259" s="489"/>
      <c r="J2259" s="1095"/>
      <c r="K2259" s="1095"/>
      <c r="L2259" s="1095"/>
      <c r="M2259" s="1095"/>
    </row>
    <row r="2260" spans="1:13" x14ac:dyDescent="0.25">
      <c r="A2260">
        <v>1917055</v>
      </c>
      <c r="B2260" t="s">
        <v>9550</v>
      </c>
      <c r="C2260" t="s">
        <v>2596</v>
      </c>
      <c r="D2260" s="254">
        <v>10.06</v>
      </c>
      <c r="E2260"/>
      <c r="F2260"/>
      <c r="G2260"/>
      <c r="H2260"/>
      <c r="I2260" s="489"/>
      <c r="J2260" s="1095"/>
      <c r="K2260" s="1095"/>
      <c r="L2260" s="1095"/>
      <c r="M2260" s="1095"/>
    </row>
    <row r="2261" spans="1:13" x14ac:dyDescent="0.25">
      <c r="A2261">
        <v>1917056</v>
      </c>
      <c r="B2261" t="s">
        <v>9551</v>
      </c>
      <c r="C2261" t="s">
        <v>2596</v>
      </c>
      <c r="D2261" s="254">
        <v>10.25</v>
      </c>
      <c r="E2261"/>
      <c r="F2261"/>
      <c r="G2261"/>
      <c r="H2261"/>
      <c r="I2261" s="489"/>
      <c r="J2261" s="1095"/>
      <c r="K2261" s="1095"/>
      <c r="L2261" s="1095"/>
      <c r="M2261" s="1095"/>
    </row>
    <row r="2262" spans="1:13" x14ac:dyDescent="0.25">
      <c r="A2262">
        <v>1917057</v>
      </c>
      <c r="B2262" t="s">
        <v>9552</v>
      </c>
      <c r="C2262" t="s">
        <v>2596</v>
      </c>
      <c r="D2262" s="254">
        <v>10.44</v>
      </c>
      <c r="E2262"/>
      <c r="F2262"/>
      <c r="G2262"/>
      <c r="H2262"/>
      <c r="I2262" s="489"/>
      <c r="J2262" s="1095"/>
      <c r="K2262" s="1095"/>
      <c r="L2262" s="1095"/>
      <c r="M2262" s="1095"/>
    </row>
    <row r="2263" spans="1:13" x14ac:dyDescent="0.25">
      <c r="A2263">
        <v>1917058</v>
      </c>
      <c r="B2263" t="s">
        <v>9553</v>
      </c>
      <c r="C2263" t="s">
        <v>2596</v>
      </c>
      <c r="D2263" s="254">
        <v>10.64</v>
      </c>
      <c r="E2263"/>
      <c r="F2263"/>
      <c r="G2263"/>
      <c r="H2263"/>
      <c r="I2263" s="489"/>
      <c r="J2263" s="1095"/>
      <c r="K2263" s="1095"/>
      <c r="L2263" s="1095"/>
      <c r="M2263" s="1095"/>
    </row>
    <row r="2264" spans="1:13" x14ac:dyDescent="0.25">
      <c r="A2264">
        <v>1917059</v>
      </c>
      <c r="B2264" t="s">
        <v>9554</v>
      </c>
      <c r="C2264" t="s">
        <v>2596</v>
      </c>
      <c r="D2264" s="254">
        <v>10.85</v>
      </c>
      <c r="E2264"/>
      <c r="F2264"/>
      <c r="G2264"/>
      <c r="H2264"/>
      <c r="I2264" s="489"/>
      <c r="J2264" s="1095"/>
      <c r="K2264" s="1095"/>
      <c r="L2264" s="1095"/>
      <c r="M2264" s="1095"/>
    </row>
    <row r="2265" spans="1:13" x14ac:dyDescent="0.25">
      <c r="A2265">
        <v>1917060</v>
      </c>
      <c r="B2265" t="s">
        <v>9555</v>
      </c>
      <c r="C2265" t="s">
        <v>2596</v>
      </c>
      <c r="D2265" s="254">
        <v>10.96</v>
      </c>
      <c r="E2265"/>
      <c r="F2265"/>
      <c r="G2265"/>
      <c r="H2265"/>
      <c r="I2265" s="489"/>
      <c r="J2265" s="1095"/>
      <c r="K2265" s="1095"/>
      <c r="L2265" s="1095"/>
      <c r="M2265" s="1095"/>
    </row>
    <row r="2266" spans="1:13" x14ac:dyDescent="0.25">
      <c r="A2266">
        <v>1901536</v>
      </c>
      <c r="B2266" t="s">
        <v>9556</v>
      </c>
      <c r="C2266" t="s">
        <v>2596</v>
      </c>
      <c r="D2266" s="254">
        <v>8.23</v>
      </c>
      <c r="E2266"/>
      <c r="F2266"/>
      <c r="G2266"/>
      <c r="H2266"/>
      <c r="I2266" s="489"/>
      <c r="J2266" s="1095"/>
      <c r="K2266" s="1095"/>
      <c r="L2266" s="1095"/>
      <c r="M2266" s="1095"/>
    </row>
    <row r="2267" spans="1:13" x14ac:dyDescent="0.25">
      <c r="A2267">
        <v>1901537</v>
      </c>
      <c r="B2267" t="s">
        <v>9557</v>
      </c>
      <c r="C2267" t="s">
        <v>2596</v>
      </c>
      <c r="D2267" s="254">
        <v>8.2899999999999991</v>
      </c>
      <c r="E2267"/>
      <c r="F2267"/>
      <c r="G2267"/>
      <c r="H2267"/>
      <c r="I2267" s="489"/>
      <c r="J2267" s="1095"/>
      <c r="K2267" s="1095"/>
      <c r="L2267" s="1095"/>
      <c r="M2267" s="1095"/>
    </row>
    <row r="2268" spans="1:13" x14ac:dyDescent="0.25">
      <c r="A2268">
        <v>1901538</v>
      </c>
      <c r="B2268" t="s">
        <v>9558</v>
      </c>
      <c r="C2268" t="s">
        <v>2596</v>
      </c>
      <c r="D2268" s="254">
        <v>8.36</v>
      </c>
      <c r="E2268"/>
      <c r="F2268"/>
      <c r="G2268"/>
      <c r="H2268"/>
      <c r="I2268" s="489"/>
      <c r="J2268" s="1095"/>
      <c r="K2268" s="1095"/>
      <c r="L2268" s="1095"/>
      <c r="M2268" s="1095"/>
    </row>
    <row r="2269" spans="1:13" x14ac:dyDescent="0.25">
      <c r="A2269">
        <v>1901539</v>
      </c>
      <c r="B2269" t="s">
        <v>9559</v>
      </c>
      <c r="C2269" t="s">
        <v>2596</v>
      </c>
      <c r="D2269" s="254">
        <v>8.44</v>
      </c>
      <c r="E2269"/>
      <c r="F2269"/>
      <c r="G2269"/>
      <c r="H2269"/>
      <c r="I2269" s="489"/>
      <c r="J2269" s="1095"/>
      <c r="K2269" s="1095"/>
      <c r="L2269" s="1095"/>
      <c r="M2269" s="1095"/>
    </row>
    <row r="2270" spans="1:13" x14ac:dyDescent="0.25">
      <c r="A2270">
        <v>1901540</v>
      </c>
      <c r="B2270" t="s">
        <v>9560</v>
      </c>
      <c r="C2270" t="s">
        <v>2596</v>
      </c>
      <c r="D2270" s="254">
        <v>8.51</v>
      </c>
      <c r="E2270"/>
      <c r="F2270"/>
      <c r="G2270"/>
      <c r="H2270"/>
      <c r="I2270" s="489"/>
      <c r="J2270" s="1095"/>
      <c r="K2270" s="1095"/>
      <c r="L2270" s="1095"/>
      <c r="M2270" s="1095"/>
    </row>
    <row r="2271" spans="1:13" x14ac:dyDescent="0.25">
      <c r="A2271">
        <v>1901535</v>
      </c>
      <c r="B2271" t="s">
        <v>9561</v>
      </c>
      <c r="C2271" t="s">
        <v>2596</v>
      </c>
      <c r="D2271" s="254">
        <v>8.5500000000000007</v>
      </c>
      <c r="E2271"/>
      <c r="F2271"/>
      <c r="G2271"/>
      <c r="H2271"/>
      <c r="I2271" s="489"/>
      <c r="J2271" s="1095"/>
      <c r="K2271" s="1095"/>
      <c r="L2271" s="1095"/>
      <c r="M2271" s="1095"/>
    </row>
    <row r="2272" spans="1:13" x14ac:dyDescent="0.25">
      <c r="A2272">
        <v>1901542</v>
      </c>
      <c r="B2272" t="s">
        <v>9562</v>
      </c>
      <c r="C2272" t="s">
        <v>2596</v>
      </c>
      <c r="D2272" s="254">
        <v>11</v>
      </c>
      <c r="E2272"/>
      <c r="F2272"/>
      <c r="G2272"/>
      <c r="H2272"/>
      <c r="I2272" s="489"/>
      <c r="J2272" s="1095"/>
      <c r="K2272" s="1095"/>
      <c r="L2272" s="1095"/>
      <c r="M2272" s="1095"/>
    </row>
    <row r="2273" spans="1:13" x14ac:dyDescent="0.25">
      <c r="A2273">
        <v>1901543</v>
      </c>
      <c r="B2273" t="s">
        <v>9563</v>
      </c>
      <c r="C2273" t="s">
        <v>2596</v>
      </c>
      <c r="D2273" s="254">
        <v>11.07</v>
      </c>
      <c r="E2273"/>
      <c r="F2273"/>
      <c r="G2273"/>
      <c r="H2273"/>
      <c r="I2273" s="489"/>
      <c r="J2273" s="1095"/>
      <c r="K2273" s="1095"/>
      <c r="L2273" s="1095"/>
      <c r="M2273" s="1095"/>
    </row>
    <row r="2274" spans="1:13" x14ac:dyDescent="0.25">
      <c r="A2274">
        <v>1901544</v>
      </c>
      <c r="B2274" t="s">
        <v>9564</v>
      </c>
      <c r="C2274" t="s">
        <v>2596</v>
      </c>
      <c r="D2274" s="254">
        <v>11.13</v>
      </c>
      <c r="E2274"/>
      <c r="F2274"/>
      <c r="G2274"/>
      <c r="H2274"/>
      <c r="I2274" s="489"/>
      <c r="J2274" s="1095"/>
      <c r="K2274" s="1095"/>
      <c r="L2274" s="1095"/>
      <c r="M2274" s="1095"/>
    </row>
    <row r="2275" spans="1:13" x14ac:dyDescent="0.25">
      <c r="A2275">
        <v>1901545</v>
      </c>
      <c r="B2275" t="s">
        <v>9565</v>
      </c>
      <c r="C2275" t="s">
        <v>2596</v>
      </c>
      <c r="D2275" s="254">
        <v>11.2</v>
      </c>
      <c r="E2275"/>
      <c r="F2275"/>
      <c r="G2275"/>
      <c r="H2275"/>
      <c r="I2275" s="489"/>
      <c r="J2275" s="1095"/>
      <c r="K2275" s="1095"/>
      <c r="L2275" s="1095"/>
      <c r="M2275" s="1095"/>
    </row>
    <row r="2276" spans="1:13" x14ac:dyDescent="0.25">
      <c r="A2276">
        <v>1901546</v>
      </c>
      <c r="B2276" t="s">
        <v>9566</v>
      </c>
      <c r="C2276" t="s">
        <v>2596</v>
      </c>
      <c r="D2276" s="254">
        <v>11.28</v>
      </c>
      <c r="E2276"/>
      <c r="F2276"/>
      <c r="G2276"/>
      <c r="H2276"/>
      <c r="I2276" s="489"/>
      <c r="J2276" s="1095"/>
      <c r="K2276" s="1095"/>
      <c r="L2276" s="1095"/>
      <c r="M2276" s="1095"/>
    </row>
    <row r="2277" spans="1:13" x14ac:dyDescent="0.25">
      <c r="A2277">
        <v>1901541</v>
      </c>
      <c r="B2277" t="s">
        <v>9567</v>
      </c>
      <c r="C2277" t="s">
        <v>2596</v>
      </c>
      <c r="D2277" s="254">
        <v>11.32</v>
      </c>
      <c r="E2277"/>
      <c r="F2277"/>
      <c r="G2277"/>
      <c r="H2277"/>
      <c r="I2277" s="489"/>
      <c r="J2277" s="1095"/>
      <c r="K2277" s="1095"/>
      <c r="L2277" s="1095"/>
      <c r="M2277" s="1095"/>
    </row>
    <row r="2278" spans="1:13" x14ac:dyDescent="0.25">
      <c r="A2278">
        <v>1917091</v>
      </c>
      <c r="B2278" t="s">
        <v>9568</v>
      </c>
      <c r="C2278" t="s">
        <v>2596</v>
      </c>
      <c r="D2278" s="254">
        <v>12.01</v>
      </c>
      <c r="E2278"/>
      <c r="F2278"/>
      <c r="G2278"/>
      <c r="H2278"/>
      <c r="I2278" s="489"/>
      <c r="J2278" s="1095"/>
      <c r="K2278" s="1095"/>
      <c r="L2278" s="1095"/>
      <c r="M2278" s="1095"/>
    </row>
    <row r="2279" spans="1:13" x14ac:dyDescent="0.25">
      <c r="A2279">
        <v>1917092</v>
      </c>
      <c r="B2279" t="s">
        <v>9569</v>
      </c>
      <c r="C2279" t="s">
        <v>2596</v>
      </c>
      <c r="D2279" s="254">
        <v>12.17</v>
      </c>
      <c r="E2279"/>
      <c r="F2279"/>
      <c r="G2279"/>
      <c r="H2279"/>
      <c r="I2279" s="489"/>
      <c r="J2279" s="1095"/>
      <c r="K2279" s="1095"/>
      <c r="L2279" s="1095"/>
      <c r="M2279" s="1095"/>
    </row>
    <row r="2280" spans="1:13" x14ac:dyDescent="0.25">
      <c r="A2280">
        <v>1917093</v>
      </c>
      <c r="B2280" t="s">
        <v>9570</v>
      </c>
      <c r="C2280" t="s">
        <v>2596</v>
      </c>
      <c r="D2280" s="254">
        <v>12.33</v>
      </c>
      <c r="E2280"/>
      <c r="F2280"/>
      <c r="G2280"/>
      <c r="H2280"/>
      <c r="I2280" s="489"/>
      <c r="J2280" s="1095"/>
      <c r="K2280" s="1095"/>
      <c r="L2280" s="1095"/>
      <c r="M2280" s="1095"/>
    </row>
    <row r="2281" spans="1:13" x14ac:dyDescent="0.25">
      <c r="A2281">
        <v>1917094</v>
      </c>
      <c r="B2281" t="s">
        <v>9571</v>
      </c>
      <c r="C2281" t="s">
        <v>2596</v>
      </c>
      <c r="D2281" s="254">
        <v>12.5</v>
      </c>
      <c r="E2281"/>
      <c r="F2281"/>
      <c r="G2281"/>
      <c r="H2281"/>
      <c r="I2281" s="489"/>
      <c r="J2281" s="1095"/>
      <c r="K2281" s="1095"/>
      <c r="L2281" s="1095"/>
      <c r="M2281" s="1095"/>
    </row>
    <row r="2282" spans="1:13" x14ac:dyDescent="0.25">
      <c r="A2282">
        <v>1917095</v>
      </c>
      <c r="B2282" t="s">
        <v>9572</v>
      </c>
      <c r="C2282" t="s">
        <v>2596</v>
      </c>
      <c r="D2282" s="254">
        <v>12.69</v>
      </c>
      <c r="E2282"/>
      <c r="F2282"/>
      <c r="G2282"/>
      <c r="H2282"/>
      <c r="I2282" s="489"/>
      <c r="J2282" s="1095"/>
      <c r="K2282" s="1095"/>
      <c r="L2282" s="1095"/>
      <c r="M2282" s="1095"/>
    </row>
    <row r="2283" spans="1:13" x14ac:dyDescent="0.25">
      <c r="A2283">
        <v>1917096</v>
      </c>
      <c r="B2283" t="s">
        <v>9573</v>
      </c>
      <c r="C2283" t="s">
        <v>2596</v>
      </c>
      <c r="D2283" s="254">
        <v>12.78</v>
      </c>
      <c r="E2283"/>
      <c r="F2283"/>
      <c r="G2283"/>
      <c r="H2283"/>
      <c r="I2283" s="489"/>
      <c r="J2283" s="1095"/>
      <c r="K2283" s="1095"/>
      <c r="L2283" s="1095"/>
      <c r="M2283" s="1095"/>
    </row>
    <row r="2284" spans="1:13" x14ac:dyDescent="0.25">
      <c r="A2284">
        <v>1901548</v>
      </c>
      <c r="B2284" t="s">
        <v>9574</v>
      </c>
      <c r="C2284" t="s">
        <v>2596</v>
      </c>
      <c r="D2284" s="254">
        <v>13.84</v>
      </c>
      <c r="E2284"/>
      <c r="F2284"/>
      <c r="G2284"/>
      <c r="H2284"/>
      <c r="I2284" s="489"/>
      <c r="J2284" s="1095"/>
      <c r="K2284" s="1095"/>
      <c r="L2284" s="1095"/>
      <c r="M2284" s="1095"/>
    </row>
    <row r="2285" spans="1:13" x14ac:dyDescent="0.25">
      <c r="A2285">
        <v>1901549</v>
      </c>
      <c r="B2285" t="s">
        <v>9575</v>
      </c>
      <c r="C2285" t="s">
        <v>2596</v>
      </c>
      <c r="D2285" s="254">
        <v>13.9</v>
      </c>
      <c r="E2285"/>
      <c r="F2285"/>
      <c r="G2285"/>
      <c r="H2285"/>
      <c r="I2285" s="489"/>
      <c r="J2285" s="1095"/>
      <c r="K2285" s="1095"/>
      <c r="L2285" s="1095"/>
      <c r="M2285" s="1095"/>
    </row>
    <row r="2286" spans="1:13" x14ac:dyDescent="0.25">
      <c r="A2286">
        <v>1901550</v>
      </c>
      <c r="B2286" t="s">
        <v>9576</v>
      </c>
      <c r="C2286" t="s">
        <v>2596</v>
      </c>
      <c r="D2286" s="254">
        <v>13.97</v>
      </c>
      <c r="E2286"/>
      <c r="F2286"/>
      <c r="G2286"/>
      <c r="H2286"/>
      <c r="I2286" s="489"/>
      <c r="J2286" s="1095"/>
      <c r="K2286" s="1095"/>
      <c r="L2286" s="1095"/>
      <c r="M2286" s="1095"/>
    </row>
    <row r="2287" spans="1:13" x14ac:dyDescent="0.25">
      <c r="A2287">
        <v>1901551</v>
      </c>
      <c r="B2287" t="s">
        <v>9577</v>
      </c>
      <c r="C2287" t="s">
        <v>2596</v>
      </c>
      <c r="D2287" s="254">
        <v>14.04</v>
      </c>
      <c r="E2287"/>
      <c r="F2287"/>
      <c r="G2287"/>
      <c r="H2287"/>
      <c r="I2287" s="489"/>
      <c r="J2287" s="1095"/>
      <c r="K2287" s="1095"/>
      <c r="L2287" s="1095"/>
      <c r="M2287" s="1095"/>
    </row>
    <row r="2288" spans="1:13" x14ac:dyDescent="0.25">
      <c r="A2288">
        <v>1901552</v>
      </c>
      <c r="B2288" t="s">
        <v>9578</v>
      </c>
      <c r="C2288" t="s">
        <v>2596</v>
      </c>
      <c r="D2288" s="254">
        <v>14.11</v>
      </c>
      <c r="E2288"/>
      <c r="F2288"/>
      <c r="G2288"/>
      <c r="H2288"/>
      <c r="I2288" s="489"/>
      <c r="J2288" s="1095"/>
      <c r="K2288" s="1095"/>
      <c r="L2288" s="1095"/>
      <c r="M2288" s="1095"/>
    </row>
    <row r="2289" spans="1:13" x14ac:dyDescent="0.25">
      <c r="A2289">
        <v>1901547</v>
      </c>
      <c r="B2289" t="s">
        <v>9579</v>
      </c>
      <c r="C2289" t="s">
        <v>2596</v>
      </c>
      <c r="D2289" s="254">
        <v>14.15</v>
      </c>
      <c r="E2289"/>
      <c r="F2289"/>
      <c r="G2289"/>
      <c r="H2289"/>
      <c r="I2289" s="489"/>
      <c r="J2289" s="1095"/>
      <c r="K2289" s="1095"/>
      <c r="L2289" s="1095"/>
      <c r="M2289" s="1095"/>
    </row>
    <row r="2290" spans="1:13" x14ac:dyDescent="0.25">
      <c r="A2290">
        <v>1917127</v>
      </c>
      <c r="B2290" t="s">
        <v>9580</v>
      </c>
      <c r="C2290" t="s">
        <v>2596</v>
      </c>
      <c r="D2290" s="254">
        <v>11.36</v>
      </c>
      <c r="E2290"/>
      <c r="F2290"/>
      <c r="G2290"/>
      <c r="H2290"/>
      <c r="I2290" s="489"/>
      <c r="J2290" s="1095"/>
      <c r="K2290" s="1095"/>
      <c r="L2290" s="1095"/>
      <c r="M2290" s="1095"/>
    </row>
    <row r="2291" spans="1:13" x14ac:dyDescent="0.25">
      <c r="A2291">
        <v>1917128</v>
      </c>
      <c r="B2291" t="s">
        <v>9581</v>
      </c>
      <c r="C2291" t="s">
        <v>2596</v>
      </c>
      <c r="D2291" s="254">
        <v>11.49</v>
      </c>
      <c r="E2291"/>
      <c r="F2291"/>
      <c r="G2291"/>
      <c r="H2291"/>
      <c r="I2291" s="489"/>
      <c r="J2291" s="1095"/>
      <c r="K2291" s="1095"/>
      <c r="L2291" s="1095"/>
      <c r="M2291" s="1095"/>
    </row>
    <row r="2292" spans="1:13" x14ac:dyDescent="0.25">
      <c r="A2292">
        <v>1917129</v>
      </c>
      <c r="B2292" t="s">
        <v>9582</v>
      </c>
      <c r="C2292" t="s">
        <v>2596</v>
      </c>
      <c r="D2292" s="254">
        <v>11.63</v>
      </c>
      <c r="E2292"/>
      <c r="F2292"/>
      <c r="G2292"/>
      <c r="H2292"/>
      <c r="I2292" s="489"/>
      <c r="J2292" s="1095"/>
      <c r="K2292" s="1095"/>
      <c r="L2292" s="1095"/>
      <c r="M2292" s="1095"/>
    </row>
    <row r="2293" spans="1:13" x14ac:dyDescent="0.25">
      <c r="A2293">
        <v>1917130</v>
      </c>
      <c r="B2293" t="s">
        <v>9583</v>
      </c>
      <c r="C2293" t="s">
        <v>2596</v>
      </c>
      <c r="D2293" s="254">
        <v>11.77</v>
      </c>
      <c r="E2293"/>
      <c r="F2293"/>
      <c r="G2293"/>
      <c r="H2293"/>
      <c r="I2293" s="489"/>
      <c r="J2293" s="1095"/>
      <c r="K2293" s="1095"/>
      <c r="L2293" s="1095"/>
      <c r="M2293" s="1095"/>
    </row>
    <row r="2294" spans="1:13" x14ac:dyDescent="0.25">
      <c r="A2294">
        <v>1917131</v>
      </c>
      <c r="B2294" t="s">
        <v>9584</v>
      </c>
      <c r="C2294" t="s">
        <v>2596</v>
      </c>
      <c r="D2294" s="254">
        <v>11.92</v>
      </c>
      <c r="E2294"/>
      <c r="F2294"/>
      <c r="G2294"/>
      <c r="H2294"/>
      <c r="I2294" s="489"/>
      <c r="J2294" s="1095"/>
      <c r="K2294" s="1095"/>
      <c r="L2294" s="1095"/>
      <c r="M2294" s="1095"/>
    </row>
    <row r="2295" spans="1:13" x14ac:dyDescent="0.25">
      <c r="A2295">
        <v>1917132</v>
      </c>
      <c r="B2295" t="s">
        <v>9585</v>
      </c>
      <c r="C2295" t="s">
        <v>2596</v>
      </c>
      <c r="D2295" s="254">
        <v>12</v>
      </c>
      <c r="E2295"/>
      <c r="F2295"/>
      <c r="G2295"/>
      <c r="H2295"/>
      <c r="I2295" s="489"/>
      <c r="J2295" s="1095"/>
      <c r="K2295" s="1095"/>
      <c r="L2295" s="1095"/>
      <c r="M2295" s="1095"/>
    </row>
    <row r="2296" spans="1:13" x14ac:dyDescent="0.25">
      <c r="A2296">
        <v>1917163</v>
      </c>
      <c r="B2296" t="s">
        <v>9586</v>
      </c>
      <c r="C2296" t="s">
        <v>2596</v>
      </c>
      <c r="D2296" s="254">
        <v>10.050000000000001</v>
      </c>
      <c r="E2296"/>
      <c r="F2296"/>
      <c r="G2296"/>
      <c r="H2296"/>
      <c r="I2296" s="489"/>
      <c r="J2296" s="1095"/>
      <c r="K2296" s="1095"/>
      <c r="L2296" s="1095"/>
      <c r="M2296" s="1095"/>
    </row>
    <row r="2297" spans="1:13" x14ac:dyDescent="0.25">
      <c r="A2297">
        <v>1917164</v>
      </c>
      <c r="B2297" t="s">
        <v>9587</v>
      </c>
      <c r="C2297" t="s">
        <v>2596</v>
      </c>
      <c r="D2297" s="254">
        <v>10.16</v>
      </c>
      <c r="E2297"/>
      <c r="F2297"/>
      <c r="G2297"/>
      <c r="H2297"/>
      <c r="I2297" s="489"/>
      <c r="J2297" s="1095"/>
      <c r="K2297" s="1095"/>
      <c r="L2297" s="1095"/>
      <c r="M2297" s="1095"/>
    </row>
    <row r="2298" spans="1:13" x14ac:dyDescent="0.25">
      <c r="A2298">
        <v>1917165</v>
      </c>
      <c r="B2298" t="s">
        <v>9588</v>
      </c>
      <c r="C2298" t="s">
        <v>2596</v>
      </c>
      <c r="D2298" s="254">
        <v>10.27</v>
      </c>
      <c r="E2298"/>
      <c r="F2298"/>
      <c r="G2298"/>
      <c r="H2298"/>
      <c r="I2298" s="489"/>
      <c r="J2298" s="1095"/>
      <c r="K2298" s="1095"/>
      <c r="L2298" s="1095"/>
      <c r="M2298" s="1095"/>
    </row>
    <row r="2299" spans="1:13" x14ac:dyDescent="0.25">
      <c r="A2299">
        <v>1917166</v>
      </c>
      <c r="B2299" t="s">
        <v>9589</v>
      </c>
      <c r="C2299" t="s">
        <v>2596</v>
      </c>
      <c r="D2299" s="254">
        <v>10.39</v>
      </c>
      <c r="E2299"/>
      <c r="F2299"/>
      <c r="G2299"/>
      <c r="H2299"/>
      <c r="I2299" s="489"/>
      <c r="J2299" s="1095"/>
      <c r="K2299" s="1095"/>
      <c r="L2299" s="1095"/>
      <c r="M2299" s="1095"/>
    </row>
    <row r="2300" spans="1:13" x14ac:dyDescent="0.25">
      <c r="A2300">
        <v>1917167</v>
      </c>
      <c r="B2300" t="s">
        <v>9590</v>
      </c>
      <c r="C2300" t="s">
        <v>2596</v>
      </c>
      <c r="D2300" s="254">
        <v>10.51</v>
      </c>
      <c r="E2300"/>
      <c r="F2300"/>
      <c r="G2300"/>
      <c r="H2300"/>
      <c r="I2300" s="489"/>
      <c r="J2300" s="1095"/>
      <c r="K2300" s="1095"/>
      <c r="L2300" s="1095"/>
      <c r="M2300" s="1095"/>
    </row>
    <row r="2301" spans="1:13" x14ac:dyDescent="0.25">
      <c r="A2301">
        <v>1917168</v>
      </c>
      <c r="B2301" t="s">
        <v>9591</v>
      </c>
      <c r="C2301" t="s">
        <v>2596</v>
      </c>
      <c r="D2301" s="254">
        <v>10.58</v>
      </c>
      <c r="E2301"/>
      <c r="F2301"/>
      <c r="G2301"/>
      <c r="H2301"/>
      <c r="I2301" s="489"/>
      <c r="J2301" s="1095"/>
      <c r="K2301" s="1095"/>
      <c r="L2301" s="1095"/>
      <c r="M2301" s="1095"/>
    </row>
    <row r="2302" spans="1:13" x14ac:dyDescent="0.25">
      <c r="A2302">
        <v>1917199</v>
      </c>
      <c r="B2302" t="s">
        <v>9592</v>
      </c>
      <c r="C2302" t="s">
        <v>2596</v>
      </c>
      <c r="D2302" s="254">
        <v>9.48</v>
      </c>
      <c r="E2302"/>
      <c r="F2302"/>
      <c r="G2302"/>
      <c r="H2302"/>
      <c r="I2302" s="489"/>
      <c r="J2302" s="1095"/>
      <c r="K2302" s="1095"/>
      <c r="L2302" s="1095"/>
      <c r="M2302" s="1095"/>
    </row>
    <row r="2303" spans="1:13" x14ac:dyDescent="0.25">
      <c r="A2303">
        <v>1917200</v>
      </c>
      <c r="B2303" t="s">
        <v>9593</v>
      </c>
      <c r="C2303" t="s">
        <v>2596</v>
      </c>
      <c r="D2303" s="254">
        <v>9.58</v>
      </c>
      <c r="E2303"/>
      <c r="F2303"/>
      <c r="G2303"/>
      <c r="H2303"/>
      <c r="I2303" s="489"/>
      <c r="J2303" s="1095"/>
      <c r="K2303" s="1095"/>
      <c r="L2303" s="1095"/>
      <c r="M2303" s="1095"/>
    </row>
    <row r="2304" spans="1:13" x14ac:dyDescent="0.25">
      <c r="A2304">
        <v>1917201</v>
      </c>
      <c r="B2304" t="s">
        <v>9594</v>
      </c>
      <c r="C2304" t="s">
        <v>2596</v>
      </c>
      <c r="D2304" s="254">
        <v>9.68</v>
      </c>
      <c r="E2304"/>
      <c r="F2304"/>
      <c r="G2304"/>
      <c r="H2304"/>
      <c r="I2304" s="489"/>
      <c r="J2304" s="1095"/>
      <c r="K2304" s="1095"/>
      <c r="L2304" s="1095"/>
      <c r="M2304" s="1095"/>
    </row>
    <row r="2305" spans="1:13" x14ac:dyDescent="0.25">
      <c r="A2305">
        <v>1917202</v>
      </c>
      <c r="B2305" t="s">
        <v>9595</v>
      </c>
      <c r="C2305" t="s">
        <v>2596</v>
      </c>
      <c r="D2305" s="254">
        <v>9.7799999999999994</v>
      </c>
      <c r="E2305"/>
      <c r="F2305"/>
      <c r="G2305"/>
      <c r="H2305"/>
      <c r="I2305" s="489"/>
      <c r="J2305" s="1095"/>
      <c r="K2305" s="1095"/>
      <c r="L2305" s="1095"/>
      <c r="M2305" s="1095"/>
    </row>
    <row r="2306" spans="1:13" x14ac:dyDescent="0.25">
      <c r="A2306">
        <v>1917203</v>
      </c>
      <c r="B2306" t="s">
        <v>9596</v>
      </c>
      <c r="C2306" t="s">
        <v>2596</v>
      </c>
      <c r="D2306" s="254">
        <v>9.9</v>
      </c>
      <c r="E2306"/>
      <c r="F2306"/>
      <c r="G2306"/>
      <c r="H2306"/>
      <c r="I2306" s="489"/>
      <c r="J2306" s="1095"/>
      <c r="K2306" s="1095"/>
      <c r="L2306" s="1095"/>
      <c r="M2306" s="1095"/>
    </row>
    <row r="2307" spans="1:13" x14ac:dyDescent="0.25">
      <c r="A2307">
        <v>1917204</v>
      </c>
      <c r="B2307" t="s">
        <v>9597</v>
      </c>
      <c r="C2307" t="s">
        <v>2596</v>
      </c>
      <c r="D2307" s="254">
        <v>9.9600000000000009</v>
      </c>
      <c r="E2307"/>
      <c r="F2307"/>
      <c r="G2307"/>
      <c r="H2307"/>
      <c r="I2307" s="489"/>
      <c r="J2307" s="1095"/>
      <c r="K2307" s="1095"/>
      <c r="L2307" s="1095"/>
      <c r="M2307" s="1095"/>
    </row>
    <row r="2308" spans="1:13" x14ac:dyDescent="0.25">
      <c r="A2308">
        <v>1917019</v>
      </c>
      <c r="B2308" t="s">
        <v>9598</v>
      </c>
      <c r="C2308" t="s">
        <v>2596</v>
      </c>
      <c r="D2308" s="254">
        <v>12.84</v>
      </c>
      <c r="E2308"/>
      <c r="F2308"/>
      <c r="G2308"/>
      <c r="H2308"/>
      <c r="I2308" s="489"/>
      <c r="J2308" s="1095"/>
      <c r="K2308" s="1095"/>
      <c r="L2308" s="1095"/>
      <c r="M2308" s="1095"/>
    </row>
    <row r="2309" spans="1:13" x14ac:dyDescent="0.25">
      <c r="A2309">
        <v>1917020</v>
      </c>
      <c r="B2309" t="s">
        <v>9599</v>
      </c>
      <c r="C2309" t="s">
        <v>2596</v>
      </c>
      <c r="D2309" s="254">
        <v>13.09</v>
      </c>
      <c r="E2309"/>
      <c r="F2309"/>
      <c r="G2309"/>
      <c r="H2309"/>
      <c r="I2309" s="489"/>
      <c r="J2309" s="1095"/>
      <c r="K2309" s="1095"/>
      <c r="L2309" s="1095"/>
      <c r="M2309" s="1095"/>
    </row>
    <row r="2310" spans="1:13" x14ac:dyDescent="0.25">
      <c r="A2310">
        <v>1917021</v>
      </c>
      <c r="B2310" t="s">
        <v>9600</v>
      </c>
      <c r="C2310" t="s">
        <v>2596</v>
      </c>
      <c r="D2310" s="254">
        <v>13.35</v>
      </c>
      <c r="E2310"/>
      <c r="F2310"/>
      <c r="G2310"/>
      <c r="H2310"/>
      <c r="I2310" s="489"/>
      <c r="J2310" s="1095"/>
      <c r="K2310" s="1095"/>
      <c r="L2310" s="1095"/>
      <c r="M2310" s="1095"/>
    </row>
    <row r="2311" spans="1:13" x14ac:dyDescent="0.25">
      <c r="A2311">
        <v>1917022</v>
      </c>
      <c r="B2311" t="s">
        <v>9601</v>
      </c>
      <c r="C2311" t="s">
        <v>2596</v>
      </c>
      <c r="D2311" s="254">
        <v>13.62</v>
      </c>
      <c r="E2311"/>
      <c r="F2311"/>
      <c r="G2311"/>
      <c r="H2311"/>
      <c r="I2311" s="489"/>
      <c r="J2311" s="1095"/>
      <c r="K2311" s="1095"/>
      <c r="L2311" s="1095"/>
      <c r="M2311" s="1095"/>
    </row>
    <row r="2312" spans="1:13" x14ac:dyDescent="0.25">
      <c r="A2312">
        <v>1917023</v>
      </c>
      <c r="B2312" t="s">
        <v>9602</v>
      </c>
      <c r="C2312" t="s">
        <v>2596</v>
      </c>
      <c r="D2312" s="254">
        <v>13.9</v>
      </c>
      <c r="E2312"/>
      <c r="F2312"/>
      <c r="G2312"/>
      <c r="H2312"/>
      <c r="I2312" s="489"/>
      <c r="J2312" s="1095"/>
      <c r="K2312" s="1095"/>
      <c r="L2312" s="1095"/>
      <c r="M2312" s="1095"/>
    </row>
    <row r="2313" spans="1:13" x14ac:dyDescent="0.25">
      <c r="A2313">
        <v>1917024</v>
      </c>
      <c r="B2313" t="s">
        <v>9603</v>
      </c>
      <c r="C2313" t="s">
        <v>2596</v>
      </c>
      <c r="D2313" s="254">
        <v>14.06</v>
      </c>
      <c r="E2313"/>
      <c r="F2313"/>
      <c r="G2313"/>
      <c r="H2313"/>
      <c r="I2313" s="489"/>
      <c r="J2313" s="1095"/>
      <c r="K2313" s="1095"/>
      <c r="L2313" s="1095"/>
      <c r="M2313" s="1095"/>
    </row>
    <row r="2314" spans="1:13" x14ac:dyDescent="0.25">
      <c r="A2314">
        <v>1917541</v>
      </c>
      <c r="B2314" t="s">
        <v>9604</v>
      </c>
      <c r="C2314" t="s">
        <v>2596</v>
      </c>
      <c r="D2314" s="254">
        <v>6.3</v>
      </c>
      <c r="E2314"/>
      <c r="F2314"/>
      <c r="G2314"/>
      <c r="H2314"/>
      <c r="I2314" s="489"/>
      <c r="J2314" s="1095"/>
      <c r="K2314" s="1095"/>
      <c r="L2314" s="1095"/>
      <c r="M2314" s="1095"/>
    </row>
    <row r="2315" spans="1:13" x14ac:dyDescent="0.25">
      <c r="A2315">
        <v>1917542</v>
      </c>
      <c r="B2315" t="s">
        <v>9605</v>
      </c>
      <c r="C2315" t="s">
        <v>2596</v>
      </c>
      <c r="D2315" s="254">
        <v>6.92</v>
      </c>
      <c r="E2315"/>
      <c r="F2315"/>
      <c r="G2315"/>
      <c r="H2315"/>
      <c r="I2315" s="489"/>
      <c r="J2315" s="1095"/>
      <c r="K2315" s="1095"/>
      <c r="L2315" s="1095"/>
      <c r="M2315" s="1095"/>
    </row>
    <row r="2316" spans="1:13" x14ac:dyDescent="0.25">
      <c r="A2316">
        <v>1917543</v>
      </c>
      <c r="B2316" t="s">
        <v>9606</v>
      </c>
      <c r="C2316" t="s">
        <v>2596</v>
      </c>
      <c r="D2316" s="254">
        <v>7.28</v>
      </c>
      <c r="E2316"/>
      <c r="F2316"/>
      <c r="G2316"/>
      <c r="H2316"/>
      <c r="I2316" s="489"/>
      <c r="J2316" s="1095"/>
      <c r="K2316" s="1095"/>
      <c r="L2316" s="1095"/>
      <c r="M2316" s="1095"/>
    </row>
    <row r="2317" spans="1:13" x14ac:dyDescent="0.25">
      <c r="A2317">
        <v>1917544</v>
      </c>
      <c r="B2317" t="s">
        <v>9607</v>
      </c>
      <c r="C2317" t="s">
        <v>2596</v>
      </c>
      <c r="D2317" s="254">
        <v>7.65</v>
      </c>
      <c r="E2317"/>
      <c r="F2317"/>
      <c r="G2317"/>
      <c r="H2317"/>
      <c r="I2317" s="489"/>
      <c r="J2317" s="1095"/>
      <c r="K2317" s="1095"/>
      <c r="L2317" s="1095"/>
      <c r="M2317" s="1095"/>
    </row>
    <row r="2318" spans="1:13" x14ac:dyDescent="0.25">
      <c r="A2318">
        <v>1917545</v>
      </c>
      <c r="B2318" t="s">
        <v>9608</v>
      </c>
      <c r="C2318" t="s">
        <v>2596</v>
      </c>
      <c r="D2318" s="254">
        <v>8.09</v>
      </c>
      <c r="E2318"/>
      <c r="F2318"/>
      <c r="G2318"/>
      <c r="H2318"/>
      <c r="I2318" s="489"/>
      <c r="J2318" s="1095"/>
      <c r="K2318" s="1095"/>
      <c r="L2318" s="1095"/>
      <c r="M2318" s="1095"/>
    </row>
    <row r="2319" spans="1:13" x14ac:dyDescent="0.25">
      <c r="A2319">
        <v>1917546</v>
      </c>
      <c r="B2319" t="s">
        <v>9609</v>
      </c>
      <c r="C2319" t="s">
        <v>2596</v>
      </c>
      <c r="D2319" s="254">
        <v>8.48</v>
      </c>
      <c r="E2319"/>
      <c r="F2319"/>
      <c r="G2319"/>
      <c r="H2319"/>
      <c r="I2319" s="489"/>
      <c r="J2319" s="1095"/>
      <c r="K2319" s="1095"/>
      <c r="L2319" s="1095"/>
      <c r="M2319" s="1095"/>
    </row>
    <row r="2320" spans="1:13" x14ac:dyDescent="0.25">
      <c r="A2320">
        <v>1917547</v>
      </c>
      <c r="B2320" t="s">
        <v>9610</v>
      </c>
      <c r="C2320" t="s">
        <v>2596</v>
      </c>
      <c r="D2320" s="254">
        <v>9.15</v>
      </c>
      <c r="E2320"/>
      <c r="F2320"/>
      <c r="G2320"/>
      <c r="H2320"/>
      <c r="I2320" s="489"/>
      <c r="J2320" s="1095"/>
      <c r="K2320" s="1095"/>
      <c r="L2320" s="1095"/>
      <c r="M2320" s="1095"/>
    </row>
    <row r="2321" spans="1:13" x14ac:dyDescent="0.25">
      <c r="A2321">
        <v>1917548</v>
      </c>
      <c r="B2321" t="s">
        <v>9611</v>
      </c>
      <c r="C2321" t="s">
        <v>2596</v>
      </c>
      <c r="D2321" s="254">
        <v>9.6199999999999992</v>
      </c>
      <c r="E2321"/>
      <c r="F2321"/>
      <c r="G2321"/>
      <c r="H2321"/>
      <c r="I2321" s="489"/>
      <c r="J2321" s="1095"/>
      <c r="K2321" s="1095"/>
      <c r="L2321" s="1095"/>
      <c r="M2321" s="1095"/>
    </row>
    <row r="2322" spans="1:13" x14ac:dyDescent="0.25">
      <c r="A2322">
        <v>1917549</v>
      </c>
      <c r="B2322" t="s">
        <v>9612</v>
      </c>
      <c r="C2322" t="s">
        <v>2596</v>
      </c>
      <c r="D2322" s="254">
        <v>10.130000000000001</v>
      </c>
      <c r="E2322"/>
      <c r="F2322"/>
      <c r="G2322"/>
      <c r="H2322"/>
      <c r="I2322" s="489"/>
      <c r="J2322" s="1095"/>
      <c r="K2322" s="1095"/>
      <c r="L2322" s="1095"/>
      <c r="M2322" s="1095"/>
    </row>
    <row r="2323" spans="1:13" x14ac:dyDescent="0.25">
      <c r="A2323">
        <v>1917550</v>
      </c>
      <c r="B2323" t="s">
        <v>9613</v>
      </c>
      <c r="C2323" t="s">
        <v>2596</v>
      </c>
      <c r="D2323" s="254">
        <v>10.66</v>
      </c>
      <c r="E2323"/>
      <c r="F2323"/>
      <c r="G2323"/>
      <c r="H2323"/>
      <c r="I2323" s="489"/>
      <c r="J2323" s="1095"/>
      <c r="K2323" s="1095"/>
      <c r="L2323" s="1095"/>
      <c r="M2323" s="1095"/>
    </row>
    <row r="2324" spans="1:13" x14ac:dyDescent="0.25">
      <c r="A2324">
        <v>1917551</v>
      </c>
      <c r="B2324" t="s">
        <v>9614</v>
      </c>
      <c r="C2324" t="s">
        <v>2596</v>
      </c>
      <c r="D2324" s="254">
        <v>11.42</v>
      </c>
      <c r="E2324"/>
      <c r="F2324"/>
      <c r="G2324"/>
      <c r="H2324"/>
      <c r="I2324" s="489"/>
      <c r="J2324" s="1095"/>
      <c r="K2324" s="1095"/>
      <c r="L2324" s="1095"/>
      <c r="M2324" s="1095"/>
    </row>
    <row r="2325" spans="1:13" x14ac:dyDescent="0.25">
      <c r="A2325">
        <v>1917552</v>
      </c>
      <c r="B2325" t="s">
        <v>9615</v>
      </c>
      <c r="C2325" t="s">
        <v>2596</v>
      </c>
      <c r="D2325" s="254">
        <v>12</v>
      </c>
      <c r="E2325"/>
      <c r="F2325"/>
      <c r="G2325"/>
      <c r="H2325"/>
      <c r="I2325" s="489"/>
      <c r="J2325" s="1095"/>
      <c r="K2325" s="1095"/>
      <c r="L2325" s="1095"/>
      <c r="M2325" s="1095"/>
    </row>
    <row r="2326" spans="1:13" x14ac:dyDescent="0.25">
      <c r="A2326">
        <v>1917553</v>
      </c>
      <c r="B2326" t="s">
        <v>9616</v>
      </c>
      <c r="C2326" t="s">
        <v>2596</v>
      </c>
      <c r="D2326" s="254">
        <v>12.08</v>
      </c>
      <c r="E2326"/>
      <c r="F2326"/>
      <c r="G2326"/>
      <c r="H2326"/>
      <c r="I2326" s="489"/>
      <c r="J2326" s="1095"/>
      <c r="K2326" s="1095"/>
      <c r="L2326" s="1095"/>
      <c r="M2326" s="1095"/>
    </row>
    <row r="2327" spans="1:13" x14ac:dyDescent="0.25">
      <c r="A2327">
        <v>1917554</v>
      </c>
      <c r="B2327" t="s">
        <v>9617</v>
      </c>
      <c r="C2327" t="s">
        <v>2596</v>
      </c>
      <c r="D2327" s="254">
        <v>13.1</v>
      </c>
      <c r="E2327"/>
      <c r="F2327"/>
      <c r="G2327"/>
      <c r="H2327"/>
      <c r="I2327" s="489"/>
      <c r="J2327" s="1095"/>
      <c r="K2327" s="1095"/>
      <c r="L2327" s="1095"/>
      <c r="M2327" s="1095"/>
    </row>
    <row r="2328" spans="1:13" x14ac:dyDescent="0.25">
      <c r="A2328">
        <v>1917555</v>
      </c>
      <c r="B2328" t="s">
        <v>9618</v>
      </c>
      <c r="C2328" t="s">
        <v>2596</v>
      </c>
      <c r="D2328" s="254">
        <v>13.72</v>
      </c>
      <c r="E2328"/>
      <c r="F2328"/>
      <c r="G2328"/>
      <c r="H2328"/>
      <c r="I2328" s="489"/>
      <c r="J2328" s="1095"/>
      <c r="K2328" s="1095"/>
      <c r="L2328" s="1095"/>
      <c r="M2328" s="1095"/>
    </row>
    <row r="2329" spans="1:13" x14ac:dyDescent="0.25">
      <c r="A2329">
        <v>1917556</v>
      </c>
      <c r="B2329" t="s">
        <v>9619</v>
      </c>
      <c r="C2329" t="s">
        <v>2596</v>
      </c>
      <c r="D2329" s="254">
        <v>14.63</v>
      </c>
      <c r="E2329"/>
      <c r="F2329"/>
      <c r="G2329"/>
      <c r="H2329"/>
      <c r="I2329" s="489"/>
      <c r="J2329" s="1095"/>
      <c r="K2329" s="1095"/>
      <c r="L2329" s="1095"/>
      <c r="M2329" s="1095"/>
    </row>
    <row r="2330" spans="1:13" x14ac:dyDescent="0.25">
      <c r="A2330">
        <v>1917557</v>
      </c>
      <c r="B2330" t="s">
        <v>9620</v>
      </c>
      <c r="C2330" t="s">
        <v>2596</v>
      </c>
      <c r="D2330" s="254">
        <v>15.3</v>
      </c>
      <c r="E2330"/>
      <c r="F2330"/>
      <c r="G2330"/>
      <c r="H2330"/>
      <c r="I2330" s="489"/>
      <c r="J2330" s="1095"/>
      <c r="K2330" s="1095"/>
      <c r="L2330" s="1095"/>
      <c r="M2330" s="1095"/>
    </row>
    <row r="2331" spans="1:13" x14ac:dyDescent="0.25">
      <c r="A2331">
        <v>1917558</v>
      </c>
      <c r="B2331" t="s">
        <v>9621</v>
      </c>
      <c r="C2331" t="s">
        <v>2596</v>
      </c>
      <c r="D2331" s="254">
        <v>16.27</v>
      </c>
      <c r="E2331"/>
      <c r="F2331"/>
      <c r="G2331"/>
      <c r="H2331"/>
      <c r="I2331" s="489"/>
      <c r="J2331" s="1095"/>
      <c r="K2331" s="1095"/>
      <c r="L2331" s="1095"/>
      <c r="M2331" s="1095"/>
    </row>
    <row r="2332" spans="1:13" x14ac:dyDescent="0.25">
      <c r="A2332">
        <v>1917559</v>
      </c>
      <c r="B2332" t="s">
        <v>9622</v>
      </c>
      <c r="C2332" t="s">
        <v>2596</v>
      </c>
      <c r="D2332" s="254">
        <v>17.89</v>
      </c>
      <c r="E2332"/>
      <c r="F2332"/>
      <c r="G2332"/>
      <c r="H2332"/>
      <c r="I2332" s="489"/>
      <c r="J2332" s="1095"/>
      <c r="K2332" s="1095"/>
      <c r="L2332" s="1095"/>
      <c r="M2332" s="1095"/>
    </row>
    <row r="2333" spans="1:13" x14ac:dyDescent="0.25">
      <c r="A2333">
        <v>1917560</v>
      </c>
      <c r="B2333" t="s">
        <v>9623</v>
      </c>
      <c r="C2333" t="s">
        <v>2596</v>
      </c>
      <c r="D2333" s="254">
        <v>19.88</v>
      </c>
      <c r="E2333"/>
      <c r="F2333"/>
      <c r="G2333"/>
      <c r="H2333"/>
      <c r="I2333" s="489"/>
      <c r="J2333" s="1095"/>
      <c r="K2333" s="1095"/>
      <c r="L2333" s="1095"/>
      <c r="M2333" s="1095"/>
    </row>
    <row r="2334" spans="1:13" x14ac:dyDescent="0.25">
      <c r="A2334">
        <v>1917561</v>
      </c>
      <c r="B2334" t="s">
        <v>9624</v>
      </c>
      <c r="C2334" t="s">
        <v>2596</v>
      </c>
      <c r="D2334" s="254">
        <v>21.89</v>
      </c>
      <c r="E2334"/>
      <c r="F2334"/>
      <c r="G2334"/>
      <c r="H2334"/>
      <c r="I2334" s="489"/>
      <c r="J2334" s="1095"/>
      <c r="K2334" s="1095"/>
      <c r="L2334" s="1095"/>
      <c r="M2334" s="1095"/>
    </row>
    <row r="2335" spans="1:13" x14ac:dyDescent="0.25">
      <c r="A2335">
        <v>1917562</v>
      </c>
      <c r="B2335" t="s">
        <v>9625</v>
      </c>
      <c r="C2335" t="s">
        <v>2596</v>
      </c>
      <c r="D2335" s="254">
        <v>24.18</v>
      </c>
      <c r="E2335"/>
      <c r="F2335"/>
      <c r="G2335"/>
      <c r="H2335"/>
      <c r="I2335" s="489"/>
      <c r="J2335" s="1095"/>
      <c r="K2335" s="1095"/>
      <c r="L2335" s="1095"/>
      <c r="M2335" s="1095"/>
    </row>
    <row r="2336" spans="1:13" x14ac:dyDescent="0.25">
      <c r="A2336">
        <v>1917563</v>
      </c>
      <c r="B2336" t="s">
        <v>9626</v>
      </c>
      <c r="C2336" t="s">
        <v>2596</v>
      </c>
      <c r="D2336" s="254">
        <v>26.27</v>
      </c>
      <c r="E2336"/>
      <c r="F2336"/>
      <c r="G2336"/>
      <c r="H2336"/>
      <c r="I2336" s="489"/>
      <c r="J2336" s="1095"/>
      <c r="K2336" s="1095"/>
      <c r="L2336" s="1095"/>
      <c r="M2336" s="1095"/>
    </row>
    <row r="2337" spans="1:13" x14ac:dyDescent="0.25">
      <c r="A2337">
        <v>1917564</v>
      </c>
      <c r="B2337" t="s">
        <v>9627</v>
      </c>
      <c r="C2337" t="s">
        <v>2596</v>
      </c>
      <c r="D2337" s="254">
        <v>28.53</v>
      </c>
      <c r="E2337"/>
      <c r="F2337"/>
      <c r="G2337"/>
      <c r="H2337"/>
      <c r="I2337" s="489"/>
      <c r="J2337" s="1095"/>
      <c r="K2337" s="1095"/>
      <c r="L2337" s="1095"/>
      <c r="M2337" s="1095"/>
    </row>
    <row r="2338" spans="1:13" x14ac:dyDescent="0.25">
      <c r="A2338">
        <v>1917565</v>
      </c>
      <c r="B2338" t="s">
        <v>9628</v>
      </c>
      <c r="C2338" t="s">
        <v>2596</v>
      </c>
      <c r="D2338" s="254">
        <v>31.45</v>
      </c>
      <c r="E2338"/>
      <c r="F2338"/>
      <c r="G2338"/>
      <c r="H2338"/>
      <c r="I2338" s="489"/>
      <c r="J2338" s="1095"/>
      <c r="K2338" s="1095"/>
      <c r="L2338" s="1095"/>
      <c r="M2338" s="1095"/>
    </row>
    <row r="2339" spans="1:13" x14ac:dyDescent="0.25">
      <c r="A2339">
        <v>1917538</v>
      </c>
      <c r="B2339" t="s">
        <v>9629</v>
      </c>
      <c r="C2339" t="s">
        <v>2596</v>
      </c>
      <c r="D2339" s="254">
        <v>5.21</v>
      </c>
      <c r="E2339"/>
      <c r="F2339"/>
      <c r="G2339"/>
      <c r="H2339"/>
      <c r="I2339" s="489"/>
      <c r="J2339" s="1095"/>
      <c r="K2339" s="1095"/>
      <c r="L2339" s="1095"/>
      <c r="M2339" s="1095"/>
    </row>
    <row r="2340" spans="1:13" x14ac:dyDescent="0.25">
      <c r="A2340">
        <v>1917566</v>
      </c>
      <c r="B2340" t="s">
        <v>9630</v>
      </c>
      <c r="C2340" t="s">
        <v>2596</v>
      </c>
      <c r="D2340" s="254">
        <v>34.479999999999997</v>
      </c>
      <c r="E2340"/>
      <c r="F2340"/>
      <c r="G2340"/>
      <c r="H2340"/>
      <c r="I2340" s="489"/>
      <c r="J2340" s="1095"/>
      <c r="K2340" s="1095"/>
      <c r="L2340" s="1095"/>
      <c r="M2340" s="1095"/>
    </row>
    <row r="2341" spans="1:13" x14ac:dyDescent="0.25">
      <c r="A2341">
        <v>1917567</v>
      </c>
      <c r="B2341" t="s">
        <v>9631</v>
      </c>
      <c r="C2341" t="s">
        <v>2596</v>
      </c>
      <c r="D2341" s="254">
        <v>37.68</v>
      </c>
      <c r="E2341"/>
      <c r="F2341"/>
      <c r="G2341"/>
      <c r="H2341"/>
      <c r="I2341" s="489"/>
      <c r="J2341" s="1095"/>
      <c r="K2341" s="1095"/>
      <c r="L2341" s="1095"/>
      <c r="M2341" s="1095"/>
    </row>
    <row r="2342" spans="1:13" x14ac:dyDescent="0.25">
      <c r="A2342">
        <v>1917568</v>
      </c>
      <c r="B2342" t="s">
        <v>9632</v>
      </c>
      <c r="C2342" t="s">
        <v>2596</v>
      </c>
      <c r="D2342" s="254">
        <v>40.71</v>
      </c>
      <c r="E2342"/>
      <c r="F2342"/>
      <c r="G2342"/>
      <c r="H2342"/>
      <c r="I2342" s="489"/>
      <c r="J2342" s="1095"/>
      <c r="K2342" s="1095"/>
      <c r="L2342" s="1095"/>
      <c r="M2342" s="1095"/>
    </row>
    <row r="2343" spans="1:13" x14ac:dyDescent="0.25">
      <c r="A2343">
        <v>1917569</v>
      </c>
      <c r="B2343" t="s">
        <v>9633</v>
      </c>
      <c r="C2343" t="s">
        <v>2596</v>
      </c>
      <c r="D2343" s="254">
        <v>44.42</v>
      </c>
      <c r="E2343"/>
      <c r="F2343"/>
      <c r="G2343"/>
      <c r="H2343"/>
      <c r="I2343" s="489"/>
      <c r="J2343" s="1095"/>
      <c r="K2343" s="1095"/>
      <c r="L2343" s="1095"/>
      <c r="M2343" s="1095"/>
    </row>
    <row r="2344" spans="1:13" x14ac:dyDescent="0.25">
      <c r="A2344">
        <v>1917570</v>
      </c>
      <c r="B2344" t="s">
        <v>9634</v>
      </c>
      <c r="C2344" t="s">
        <v>2596</v>
      </c>
      <c r="D2344" s="254">
        <v>47.88</v>
      </c>
      <c r="E2344"/>
      <c r="F2344"/>
      <c r="G2344"/>
      <c r="H2344"/>
      <c r="I2344" s="489"/>
      <c r="J2344" s="1095"/>
      <c r="K2344" s="1095"/>
      <c r="L2344" s="1095"/>
      <c r="M2344" s="1095"/>
    </row>
    <row r="2345" spans="1:13" x14ac:dyDescent="0.25">
      <c r="A2345">
        <v>1917571</v>
      </c>
      <c r="B2345" t="s">
        <v>9635</v>
      </c>
      <c r="C2345" t="s">
        <v>2596</v>
      </c>
      <c r="D2345" s="254">
        <v>51.97</v>
      </c>
      <c r="E2345"/>
      <c r="F2345"/>
      <c r="G2345"/>
      <c r="H2345"/>
      <c r="I2345" s="489"/>
      <c r="J2345" s="1095"/>
      <c r="K2345" s="1095"/>
      <c r="L2345" s="1095"/>
      <c r="M2345" s="1095"/>
    </row>
    <row r="2346" spans="1:13" x14ac:dyDescent="0.25">
      <c r="A2346">
        <v>1917572</v>
      </c>
      <c r="B2346" t="s">
        <v>9636</v>
      </c>
      <c r="C2346" t="s">
        <v>2596</v>
      </c>
      <c r="D2346" s="254">
        <v>56.51</v>
      </c>
      <c r="E2346"/>
      <c r="F2346"/>
      <c r="G2346"/>
      <c r="H2346"/>
      <c r="I2346" s="489"/>
      <c r="J2346" s="1095"/>
      <c r="K2346" s="1095"/>
      <c r="L2346" s="1095"/>
      <c r="M2346" s="1095"/>
    </row>
    <row r="2347" spans="1:13" x14ac:dyDescent="0.25">
      <c r="A2347">
        <v>1917573</v>
      </c>
      <c r="B2347" t="s">
        <v>9637</v>
      </c>
      <c r="C2347" t="s">
        <v>2596</v>
      </c>
      <c r="D2347" s="254">
        <v>61.46</v>
      </c>
      <c r="E2347"/>
      <c r="F2347"/>
      <c r="G2347"/>
      <c r="H2347"/>
      <c r="I2347" s="489"/>
      <c r="J2347" s="1095"/>
      <c r="K2347" s="1095"/>
      <c r="L2347" s="1095"/>
      <c r="M2347" s="1095"/>
    </row>
    <row r="2348" spans="1:13" x14ac:dyDescent="0.25">
      <c r="A2348">
        <v>1917574</v>
      </c>
      <c r="B2348" t="s">
        <v>9638</v>
      </c>
      <c r="C2348" t="s">
        <v>2596</v>
      </c>
      <c r="D2348" s="254">
        <v>65.900000000000006</v>
      </c>
      <c r="E2348"/>
      <c r="F2348"/>
      <c r="G2348"/>
      <c r="H2348"/>
      <c r="I2348" s="489"/>
      <c r="J2348" s="1095"/>
      <c r="K2348" s="1095"/>
      <c r="L2348" s="1095"/>
      <c r="M2348" s="1095"/>
    </row>
    <row r="2349" spans="1:13" x14ac:dyDescent="0.25">
      <c r="A2349">
        <v>1917539</v>
      </c>
      <c r="B2349" t="s">
        <v>9639</v>
      </c>
      <c r="C2349" t="s">
        <v>2596</v>
      </c>
      <c r="D2349" s="254">
        <v>5.55</v>
      </c>
      <c r="E2349"/>
      <c r="F2349"/>
      <c r="G2349"/>
      <c r="H2349"/>
      <c r="I2349" s="489"/>
      <c r="J2349" s="1095"/>
      <c r="K2349" s="1095"/>
      <c r="L2349" s="1095"/>
      <c r="M2349" s="1095"/>
    </row>
    <row r="2350" spans="1:13" x14ac:dyDescent="0.25">
      <c r="A2350">
        <v>1917540</v>
      </c>
      <c r="B2350" t="s">
        <v>9640</v>
      </c>
      <c r="C2350" t="s">
        <v>2596</v>
      </c>
      <c r="D2350" s="254">
        <v>5.95</v>
      </c>
      <c r="E2350"/>
      <c r="F2350"/>
      <c r="G2350"/>
      <c r="H2350"/>
      <c r="I2350" s="489"/>
      <c r="J2350" s="1095"/>
      <c r="K2350" s="1095"/>
      <c r="L2350" s="1095"/>
      <c r="M2350" s="1095"/>
    </row>
    <row r="2351" spans="1:13" x14ac:dyDescent="0.25">
      <c r="A2351">
        <v>1917738</v>
      </c>
      <c r="B2351" t="s">
        <v>9641</v>
      </c>
      <c r="C2351" t="s">
        <v>2596</v>
      </c>
      <c r="D2351" s="254">
        <v>5.13</v>
      </c>
      <c r="E2351"/>
      <c r="F2351"/>
      <c r="G2351"/>
      <c r="H2351"/>
      <c r="I2351" s="489"/>
      <c r="J2351" s="1095"/>
      <c r="K2351" s="1095"/>
      <c r="L2351" s="1095"/>
      <c r="M2351" s="1095"/>
    </row>
    <row r="2352" spans="1:13" x14ac:dyDescent="0.25">
      <c r="A2352">
        <v>1917238</v>
      </c>
      <c r="B2352" t="s">
        <v>9642</v>
      </c>
      <c r="C2352" t="s">
        <v>2596</v>
      </c>
      <c r="D2352" s="254">
        <v>8.5399999999999991</v>
      </c>
      <c r="E2352"/>
      <c r="F2352"/>
      <c r="G2352"/>
      <c r="H2352"/>
      <c r="I2352" s="489"/>
      <c r="J2352" s="1095"/>
      <c r="K2352" s="1095"/>
      <c r="L2352" s="1095"/>
      <c r="M2352" s="1095"/>
    </row>
    <row r="2353" spans="1:13" x14ac:dyDescent="0.25">
      <c r="A2353">
        <v>1917239</v>
      </c>
      <c r="B2353" t="s">
        <v>9643</v>
      </c>
      <c r="C2353" t="s">
        <v>2596</v>
      </c>
      <c r="D2353" s="254">
        <v>9.3000000000000007</v>
      </c>
      <c r="E2353"/>
      <c r="F2353"/>
      <c r="G2353"/>
      <c r="H2353"/>
      <c r="I2353" s="489"/>
      <c r="J2353" s="1095"/>
      <c r="K2353" s="1095"/>
      <c r="L2353" s="1095"/>
      <c r="M2353" s="1095"/>
    </row>
    <row r="2354" spans="1:13" x14ac:dyDescent="0.25">
      <c r="A2354">
        <v>1917240</v>
      </c>
      <c r="B2354" t="s">
        <v>9644</v>
      </c>
      <c r="C2354" t="s">
        <v>2596</v>
      </c>
      <c r="D2354" s="254">
        <v>9.9</v>
      </c>
      <c r="E2354"/>
      <c r="F2354"/>
      <c r="G2354"/>
      <c r="H2354"/>
      <c r="I2354" s="489"/>
      <c r="J2354" s="1095"/>
      <c r="K2354" s="1095"/>
      <c r="L2354" s="1095"/>
      <c r="M2354" s="1095"/>
    </row>
    <row r="2355" spans="1:13" x14ac:dyDescent="0.25">
      <c r="A2355">
        <v>1917241</v>
      </c>
      <c r="B2355" t="s">
        <v>9645</v>
      </c>
      <c r="C2355" t="s">
        <v>2596</v>
      </c>
      <c r="D2355" s="254">
        <v>10.45</v>
      </c>
      <c r="E2355"/>
      <c r="F2355"/>
      <c r="G2355"/>
      <c r="H2355"/>
      <c r="I2355" s="489"/>
      <c r="J2355" s="1095"/>
      <c r="K2355" s="1095"/>
      <c r="L2355" s="1095"/>
      <c r="M2355" s="1095"/>
    </row>
    <row r="2356" spans="1:13" x14ac:dyDescent="0.25">
      <c r="A2356">
        <v>1917242</v>
      </c>
      <c r="B2356" t="s">
        <v>9646</v>
      </c>
      <c r="C2356" t="s">
        <v>2596</v>
      </c>
      <c r="D2356" s="254">
        <v>10.99</v>
      </c>
      <c r="E2356"/>
      <c r="F2356"/>
      <c r="G2356"/>
      <c r="H2356"/>
      <c r="I2356" s="489"/>
      <c r="J2356" s="1095"/>
      <c r="K2356" s="1095"/>
      <c r="L2356" s="1095"/>
      <c r="M2356" s="1095"/>
    </row>
    <row r="2357" spans="1:13" x14ac:dyDescent="0.25">
      <c r="A2357">
        <v>1917243</v>
      </c>
      <c r="B2357" t="s">
        <v>9647</v>
      </c>
      <c r="C2357" t="s">
        <v>2596</v>
      </c>
      <c r="D2357" s="254">
        <v>11.49</v>
      </c>
      <c r="E2357"/>
      <c r="F2357"/>
      <c r="G2357"/>
      <c r="H2357"/>
      <c r="I2357" s="489"/>
      <c r="J2357" s="1095"/>
      <c r="K2357" s="1095"/>
      <c r="L2357" s="1095"/>
      <c r="M2357" s="1095"/>
    </row>
    <row r="2358" spans="1:13" x14ac:dyDescent="0.25">
      <c r="A2358">
        <v>1917244</v>
      </c>
      <c r="B2358" t="s">
        <v>9648</v>
      </c>
      <c r="C2358" t="s">
        <v>2596</v>
      </c>
      <c r="D2358" s="254">
        <v>12.18</v>
      </c>
      <c r="E2358"/>
      <c r="F2358"/>
      <c r="G2358"/>
      <c r="H2358"/>
      <c r="I2358" s="489"/>
      <c r="J2358" s="1095"/>
      <c r="K2358" s="1095"/>
      <c r="L2358" s="1095"/>
      <c r="M2358" s="1095"/>
    </row>
    <row r="2359" spans="1:13" x14ac:dyDescent="0.25">
      <c r="A2359">
        <v>1917245</v>
      </c>
      <c r="B2359" t="s">
        <v>9649</v>
      </c>
      <c r="C2359" t="s">
        <v>2596</v>
      </c>
      <c r="D2359" s="254">
        <v>12.78</v>
      </c>
      <c r="E2359"/>
      <c r="F2359"/>
      <c r="G2359"/>
      <c r="H2359"/>
      <c r="I2359" s="489"/>
      <c r="J2359" s="1095"/>
      <c r="K2359" s="1095"/>
      <c r="L2359" s="1095"/>
      <c r="M2359" s="1095"/>
    </row>
    <row r="2360" spans="1:13" x14ac:dyDescent="0.25">
      <c r="A2360">
        <v>1917246</v>
      </c>
      <c r="B2360" t="s">
        <v>9650</v>
      </c>
      <c r="C2360" t="s">
        <v>2596</v>
      </c>
      <c r="D2360" s="254">
        <v>13.42</v>
      </c>
      <c r="E2360"/>
      <c r="F2360"/>
      <c r="G2360"/>
      <c r="H2360"/>
      <c r="I2360" s="489"/>
      <c r="J2360" s="1095"/>
      <c r="K2360" s="1095"/>
      <c r="L2360" s="1095"/>
      <c r="M2360" s="1095"/>
    </row>
    <row r="2361" spans="1:13" x14ac:dyDescent="0.25">
      <c r="A2361">
        <v>1917247</v>
      </c>
      <c r="B2361" t="s">
        <v>9651</v>
      </c>
      <c r="C2361" t="s">
        <v>2596</v>
      </c>
      <c r="D2361" s="254">
        <v>14.51</v>
      </c>
      <c r="E2361"/>
      <c r="F2361"/>
      <c r="G2361"/>
      <c r="H2361"/>
      <c r="I2361" s="489"/>
      <c r="J2361" s="1095"/>
      <c r="K2361" s="1095"/>
      <c r="L2361" s="1095"/>
      <c r="M2361" s="1095"/>
    </row>
    <row r="2362" spans="1:13" x14ac:dyDescent="0.25">
      <c r="A2362">
        <v>1917248</v>
      </c>
      <c r="B2362" t="s">
        <v>9652</v>
      </c>
      <c r="C2362" t="s">
        <v>2596</v>
      </c>
      <c r="D2362" s="254">
        <v>16.52</v>
      </c>
      <c r="E2362"/>
      <c r="F2362"/>
      <c r="G2362"/>
      <c r="H2362"/>
      <c r="I2362" s="489"/>
      <c r="J2362" s="1095"/>
      <c r="K2362" s="1095"/>
      <c r="L2362" s="1095"/>
      <c r="M2362" s="1095"/>
    </row>
    <row r="2363" spans="1:13" x14ac:dyDescent="0.25">
      <c r="A2363">
        <v>1917249</v>
      </c>
      <c r="B2363" t="s">
        <v>9653</v>
      </c>
      <c r="C2363" t="s">
        <v>2596</v>
      </c>
      <c r="D2363" s="254">
        <v>19.8</v>
      </c>
      <c r="E2363"/>
      <c r="F2363"/>
      <c r="G2363"/>
      <c r="H2363"/>
      <c r="I2363" s="489"/>
      <c r="J2363" s="1095"/>
      <c r="K2363" s="1095"/>
      <c r="L2363" s="1095"/>
      <c r="M2363" s="1095"/>
    </row>
    <row r="2364" spans="1:13" x14ac:dyDescent="0.25">
      <c r="A2364">
        <v>1917235</v>
      </c>
      <c r="B2364" t="s">
        <v>9654</v>
      </c>
      <c r="C2364" t="s">
        <v>2596</v>
      </c>
      <c r="D2364" s="254">
        <v>6.87</v>
      </c>
      <c r="E2364"/>
      <c r="F2364"/>
      <c r="G2364"/>
      <c r="H2364"/>
      <c r="I2364" s="489"/>
      <c r="J2364" s="1095"/>
      <c r="K2364" s="1095"/>
      <c r="L2364" s="1095"/>
      <c r="M2364" s="1095"/>
    </row>
    <row r="2365" spans="1:13" x14ac:dyDescent="0.25">
      <c r="A2365">
        <v>1917236</v>
      </c>
      <c r="B2365" t="s">
        <v>9655</v>
      </c>
      <c r="C2365" t="s">
        <v>2596</v>
      </c>
      <c r="D2365" s="254">
        <v>7.31</v>
      </c>
      <c r="E2365"/>
      <c r="F2365"/>
      <c r="G2365"/>
      <c r="H2365"/>
      <c r="I2365" s="489"/>
      <c r="J2365" s="1095"/>
      <c r="K2365" s="1095"/>
      <c r="L2365" s="1095"/>
      <c r="M2365" s="1095"/>
    </row>
    <row r="2366" spans="1:13" x14ac:dyDescent="0.25">
      <c r="A2366">
        <v>1917237</v>
      </c>
      <c r="B2366" t="s">
        <v>9656</v>
      </c>
      <c r="C2366" t="s">
        <v>2596</v>
      </c>
      <c r="D2366" s="254">
        <v>7.86</v>
      </c>
      <c r="E2366"/>
      <c r="F2366"/>
      <c r="G2366"/>
      <c r="H2366"/>
      <c r="I2366" s="489"/>
      <c r="J2366" s="1095"/>
      <c r="K2366" s="1095"/>
      <c r="L2366" s="1095"/>
      <c r="M2366" s="1095"/>
    </row>
    <row r="2367" spans="1:13" x14ac:dyDescent="0.25">
      <c r="A2367">
        <v>1917725</v>
      </c>
      <c r="B2367" t="s">
        <v>9657</v>
      </c>
      <c r="C2367" t="s">
        <v>2596</v>
      </c>
      <c r="D2367" s="254">
        <v>6.69</v>
      </c>
      <c r="E2367"/>
      <c r="F2367"/>
      <c r="G2367"/>
      <c r="H2367"/>
      <c r="I2367" s="489"/>
      <c r="J2367" s="1095"/>
      <c r="K2367" s="1095"/>
      <c r="L2367" s="1095"/>
      <c r="M2367" s="1095"/>
    </row>
    <row r="2368" spans="1:13" x14ac:dyDescent="0.25">
      <c r="A2368">
        <v>1917311</v>
      </c>
      <c r="B2368" t="s">
        <v>9658</v>
      </c>
      <c r="C2368" t="s">
        <v>2596</v>
      </c>
      <c r="D2368" s="254">
        <v>6.28</v>
      </c>
      <c r="E2368"/>
      <c r="F2368"/>
      <c r="G2368"/>
      <c r="H2368"/>
      <c r="I2368" s="489"/>
      <c r="J2368" s="1095"/>
      <c r="K2368" s="1095"/>
      <c r="L2368" s="1095"/>
      <c r="M2368" s="1095"/>
    </row>
    <row r="2369" spans="1:13" x14ac:dyDescent="0.25">
      <c r="A2369">
        <v>1917312</v>
      </c>
      <c r="B2369" t="s">
        <v>9659</v>
      </c>
      <c r="C2369" t="s">
        <v>2596</v>
      </c>
      <c r="D2369" s="254">
        <v>7.01</v>
      </c>
      <c r="E2369"/>
      <c r="F2369"/>
      <c r="G2369"/>
      <c r="H2369"/>
      <c r="I2369" s="489"/>
      <c r="J2369" s="1095"/>
      <c r="K2369" s="1095"/>
      <c r="L2369" s="1095"/>
      <c r="M2369" s="1095"/>
    </row>
    <row r="2370" spans="1:13" x14ac:dyDescent="0.25">
      <c r="A2370">
        <v>1917313</v>
      </c>
      <c r="B2370" t="s">
        <v>9660</v>
      </c>
      <c r="C2370" t="s">
        <v>2596</v>
      </c>
      <c r="D2370" s="254">
        <v>7.51</v>
      </c>
      <c r="E2370"/>
      <c r="F2370"/>
      <c r="G2370"/>
      <c r="H2370"/>
      <c r="I2370" s="489"/>
      <c r="J2370" s="1095"/>
      <c r="K2370" s="1095"/>
      <c r="L2370" s="1095"/>
      <c r="M2370" s="1095"/>
    </row>
    <row r="2371" spans="1:13" x14ac:dyDescent="0.25">
      <c r="A2371">
        <v>1917314</v>
      </c>
      <c r="B2371" t="s">
        <v>9661</v>
      </c>
      <c r="C2371" t="s">
        <v>2596</v>
      </c>
      <c r="D2371" s="254">
        <v>8</v>
      </c>
      <c r="E2371"/>
      <c r="F2371"/>
      <c r="G2371"/>
      <c r="H2371"/>
      <c r="I2371" s="489"/>
      <c r="J2371" s="1095"/>
      <c r="K2371" s="1095"/>
      <c r="L2371" s="1095"/>
      <c r="M2371" s="1095"/>
    </row>
    <row r="2372" spans="1:13" x14ac:dyDescent="0.25">
      <c r="A2372">
        <v>1917315</v>
      </c>
      <c r="B2372" t="s">
        <v>9662</v>
      </c>
      <c r="C2372" t="s">
        <v>2596</v>
      </c>
      <c r="D2372" s="254">
        <v>8.59</v>
      </c>
      <c r="E2372"/>
      <c r="F2372"/>
      <c r="G2372"/>
      <c r="H2372"/>
      <c r="I2372" s="489"/>
      <c r="J2372" s="1095"/>
      <c r="K2372" s="1095"/>
      <c r="L2372" s="1095"/>
      <c r="M2372" s="1095"/>
    </row>
    <row r="2373" spans="1:13" x14ac:dyDescent="0.25">
      <c r="A2373">
        <v>1917316</v>
      </c>
      <c r="B2373" t="s">
        <v>9663</v>
      </c>
      <c r="C2373" t="s">
        <v>2596</v>
      </c>
      <c r="D2373" s="254">
        <v>9.18</v>
      </c>
      <c r="E2373"/>
      <c r="F2373"/>
      <c r="G2373"/>
      <c r="H2373"/>
      <c r="I2373" s="489"/>
      <c r="J2373" s="1095"/>
      <c r="K2373" s="1095"/>
      <c r="L2373" s="1095"/>
      <c r="M2373" s="1095"/>
    </row>
    <row r="2374" spans="1:13" x14ac:dyDescent="0.25">
      <c r="A2374">
        <v>1917317</v>
      </c>
      <c r="B2374" t="s">
        <v>9664</v>
      </c>
      <c r="C2374" t="s">
        <v>2596</v>
      </c>
      <c r="D2374" s="254">
        <v>10.02</v>
      </c>
      <c r="E2374"/>
      <c r="F2374"/>
      <c r="G2374"/>
      <c r="H2374"/>
      <c r="I2374" s="489"/>
      <c r="J2374" s="1095"/>
      <c r="K2374" s="1095"/>
      <c r="L2374" s="1095"/>
      <c r="M2374" s="1095"/>
    </row>
    <row r="2375" spans="1:13" x14ac:dyDescent="0.25">
      <c r="A2375">
        <v>1917318</v>
      </c>
      <c r="B2375" t="s">
        <v>9665</v>
      </c>
      <c r="C2375" t="s">
        <v>2596</v>
      </c>
      <c r="D2375" s="254">
        <v>10.81</v>
      </c>
      <c r="E2375"/>
      <c r="F2375"/>
      <c r="G2375"/>
      <c r="H2375"/>
      <c r="I2375" s="489"/>
      <c r="J2375" s="1095"/>
      <c r="K2375" s="1095"/>
      <c r="L2375" s="1095"/>
      <c r="M2375" s="1095"/>
    </row>
    <row r="2376" spans="1:13" x14ac:dyDescent="0.25">
      <c r="A2376">
        <v>1917319</v>
      </c>
      <c r="B2376" t="s">
        <v>9666</v>
      </c>
      <c r="C2376" t="s">
        <v>2596</v>
      </c>
      <c r="D2376" s="254">
        <v>11.56</v>
      </c>
      <c r="E2376"/>
      <c r="F2376"/>
      <c r="G2376"/>
      <c r="H2376"/>
      <c r="I2376" s="489"/>
      <c r="J2376" s="1095"/>
      <c r="K2376" s="1095"/>
      <c r="L2376" s="1095"/>
      <c r="M2376" s="1095"/>
    </row>
    <row r="2377" spans="1:13" x14ac:dyDescent="0.25">
      <c r="A2377">
        <v>1917320</v>
      </c>
      <c r="B2377" t="s">
        <v>9667</v>
      </c>
      <c r="C2377" t="s">
        <v>2596</v>
      </c>
      <c r="D2377" s="254">
        <v>12.36</v>
      </c>
      <c r="E2377"/>
      <c r="F2377"/>
      <c r="G2377"/>
      <c r="H2377"/>
      <c r="I2377" s="489"/>
      <c r="J2377" s="1095"/>
      <c r="K2377" s="1095"/>
      <c r="L2377" s="1095"/>
      <c r="M2377" s="1095"/>
    </row>
    <row r="2378" spans="1:13" x14ac:dyDescent="0.25">
      <c r="A2378">
        <v>1917321</v>
      </c>
      <c r="B2378" t="s">
        <v>9668</v>
      </c>
      <c r="C2378" t="s">
        <v>2596</v>
      </c>
      <c r="D2378" s="254">
        <v>15.04</v>
      </c>
      <c r="E2378"/>
      <c r="F2378"/>
      <c r="G2378"/>
      <c r="H2378"/>
      <c r="I2378" s="489"/>
      <c r="J2378" s="1095"/>
      <c r="K2378" s="1095"/>
      <c r="L2378" s="1095"/>
      <c r="M2378" s="1095"/>
    </row>
    <row r="2379" spans="1:13" x14ac:dyDescent="0.25">
      <c r="A2379">
        <v>1917322</v>
      </c>
      <c r="B2379" t="s">
        <v>9669</v>
      </c>
      <c r="C2379" t="s">
        <v>2596</v>
      </c>
      <c r="D2379" s="254">
        <v>17.420000000000002</v>
      </c>
      <c r="E2379"/>
      <c r="F2379"/>
      <c r="G2379"/>
      <c r="H2379"/>
      <c r="I2379" s="489"/>
      <c r="J2379" s="1095"/>
      <c r="K2379" s="1095"/>
      <c r="L2379" s="1095"/>
      <c r="M2379" s="1095"/>
    </row>
    <row r="2380" spans="1:13" x14ac:dyDescent="0.25">
      <c r="A2380">
        <v>1917323</v>
      </c>
      <c r="B2380" t="s">
        <v>9670</v>
      </c>
      <c r="C2380" t="s">
        <v>2596</v>
      </c>
      <c r="D2380" s="254">
        <v>20.45</v>
      </c>
      <c r="E2380"/>
      <c r="F2380"/>
      <c r="G2380"/>
      <c r="H2380"/>
      <c r="I2380" s="489"/>
      <c r="J2380" s="1095"/>
      <c r="K2380" s="1095"/>
      <c r="L2380" s="1095"/>
      <c r="M2380" s="1095"/>
    </row>
    <row r="2381" spans="1:13" x14ac:dyDescent="0.25">
      <c r="A2381">
        <v>1917324</v>
      </c>
      <c r="B2381" t="s">
        <v>9671</v>
      </c>
      <c r="C2381" t="s">
        <v>2596</v>
      </c>
      <c r="D2381" s="254">
        <v>23.63</v>
      </c>
      <c r="E2381"/>
      <c r="F2381"/>
      <c r="G2381"/>
      <c r="H2381"/>
      <c r="I2381" s="489"/>
      <c r="J2381" s="1095"/>
      <c r="K2381" s="1095"/>
      <c r="L2381" s="1095"/>
      <c r="M2381" s="1095"/>
    </row>
    <row r="2382" spans="1:13" x14ac:dyDescent="0.25">
      <c r="A2382">
        <v>1917325</v>
      </c>
      <c r="B2382" t="s">
        <v>9672</v>
      </c>
      <c r="C2382" t="s">
        <v>2596</v>
      </c>
      <c r="D2382" s="254">
        <v>27.37</v>
      </c>
      <c r="E2382"/>
      <c r="F2382"/>
      <c r="G2382"/>
      <c r="H2382"/>
      <c r="I2382" s="489"/>
      <c r="J2382" s="1095"/>
      <c r="K2382" s="1095"/>
      <c r="L2382" s="1095"/>
      <c r="M2382" s="1095"/>
    </row>
    <row r="2383" spans="1:13" x14ac:dyDescent="0.25">
      <c r="A2383">
        <v>1917326</v>
      </c>
      <c r="B2383" t="s">
        <v>9673</v>
      </c>
      <c r="C2383" t="s">
        <v>2596</v>
      </c>
      <c r="D2383" s="254">
        <v>32.380000000000003</v>
      </c>
      <c r="E2383"/>
      <c r="F2383"/>
      <c r="G2383"/>
      <c r="H2383"/>
      <c r="I2383" s="489"/>
      <c r="J2383" s="1095"/>
      <c r="K2383" s="1095"/>
      <c r="L2383" s="1095"/>
      <c r="M2383" s="1095"/>
    </row>
    <row r="2384" spans="1:13" x14ac:dyDescent="0.25">
      <c r="A2384">
        <v>1917327</v>
      </c>
      <c r="B2384" t="s">
        <v>9674</v>
      </c>
      <c r="C2384" t="s">
        <v>2596</v>
      </c>
      <c r="D2384" s="254">
        <v>37.520000000000003</v>
      </c>
      <c r="E2384"/>
      <c r="F2384"/>
      <c r="G2384"/>
      <c r="H2384"/>
      <c r="I2384" s="489"/>
      <c r="J2384" s="1095"/>
      <c r="K2384" s="1095"/>
      <c r="L2384" s="1095"/>
      <c r="M2384" s="1095"/>
    </row>
    <row r="2385" spans="1:13" x14ac:dyDescent="0.25">
      <c r="A2385">
        <v>1917328</v>
      </c>
      <c r="B2385" t="s">
        <v>9675</v>
      </c>
      <c r="C2385" t="s">
        <v>2596</v>
      </c>
      <c r="D2385" s="254">
        <v>43.41</v>
      </c>
      <c r="E2385"/>
      <c r="F2385"/>
      <c r="G2385"/>
      <c r="H2385"/>
      <c r="I2385" s="489"/>
      <c r="J2385" s="1095"/>
      <c r="K2385" s="1095"/>
      <c r="L2385" s="1095"/>
      <c r="M2385" s="1095"/>
    </row>
    <row r="2386" spans="1:13" x14ac:dyDescent="0.25">
      <c r="A2386">
        <v>1917329</v>
      </c>
      <c r="B2386" t="s">
        <v>9676</v>
      </c>
      <c r="C2386" t="s">
        <v>2596</v>
      </c>
      <c r="D2386" s="254">
        <v>47.39</v>
      </c>
      <c r="E2386"/>
      <c r="F2386"/>
      <c r="G2386"/>
      <c r="H2386"/>
      <c r="I2386" s="489"/>
      <c r="J2386" s="1095"/>
      <c r="K2386" s="1095"/>
      <c r="L2386" s="1095"/>
      <c r="M2386" s="1095"/>
    </row>
    <row r="2387" spans="1:13" x14ac:dyDescent="0.25">
      <c r="A2387">
        <v>1917330</v>
      </c>
      <c r="B2387" t="s">
        <v>9677</v>
      </c>
      <c r="C2387" t="s">
        <v>2596</v>
      </c>
      <c r="D2387" s="254">
        <v>52.24</v>
      </c>
      <c r="E2387"/>
      <c r="F2387"/>
      <c r="G2387"/>
      <c r="H2387"/>
      <c r="I2387" s="489"/>
      <c r="J2387" s="1095"/>
      <c r="K2387" s="1095"/>
      <c r="L2387" s="1095"/>
      <c r="M2387" s="1095"/>
    </row>
    <row r="2388" spans="1:13" x14ac:dyDescent="0.25">
      <c r="A2388">
        <v>1917308</v>
      </c>
      <c r="B2388" t="s">
        <v>9678</v>
      </c>
      <c r="C2388" t="s">
        <v>2596</v>
      </c>
      <c r="D2388" s="254">
        <v>5.17</v>
      </c>
      <c r="E2388"/>
      <c r="F2388"/>
      <c r="G2388"/>
      <c r="H2388"/>
      <c r="I2388" s="489"/>
      <c r="J2388" s="1095"/>
      <c r="K2388" s="1095"/>
      <c r="L2388" s="1095"/>
      <c r="M2388" s="1095"/>
    </row>
    <row r="2389" spans="1:13" x14ac:dyDescent="0.25">
      <c r="A2389">
        <v>1917309</v>
      </c>
      <c r="B2389" t="s">
        <v>9679</v>
      </c>
      <c r="C2389" t="s">
        <v>2596</v>
      </c>
      <c r="D2389" s="254">
        <v>5.49</v>
      </c>
      <c r="E2389"/>
      <c r="F2389"/>
      <c r="G2389"/>
      <c r="H2389"/>
      <c r="I2389" s="489"/>
      <c r="J2389" s="1095"/>
      <c r="K2389" s="1095"/>
      <c r="L2389" s="1095"/>
      <c r="M2389" s="1095"/>
    </row>
    <row r="2390" spans="1:13" x14ac:dyDescent="0.25">
      <c r="A2390">
        <v>1917310</v>
      </c>
      <c r="B2390" t="s">
        <v>9680</v>
      </c>
      <c r="C2390" t="s">
        <v>2596</v>
      </c>
      <c r="D2390" s="254">
        <v>5.82</v>
      </c>
      <c r="E2390"/>
      <c r="F2390"/>
      <c r="G2390"/>
      <c r="H2390"/>
      <c r="I2390" s="489"/>
      <c r="J2390" s="1095"/>
      <c r="K2390" s="1095"/>
      <c r="L2390" s="1095"/>
      <c r="M2390" s="1095"/>
    </row>
    <row r="2391" spans="1:13" x14ac:dyDescent="0.25">
      <c r="A2391">
        <v>1917730</v>
      </c>
      <c r="B2391" t="s">
        <v>9681</v>
      </c>
      <c r="C2391" t="s">
        <v>2596</v>
      </c>
      <c r="D2391" s="254">
        <v>5.1100000000000003</v>
      </c>
      <c r="E2391"/>
      <c r="F2391"/>
      <c r="G2391"/>
      <c r="H2391"/>
      <c r="I2391" s="489"/>
      <c r="J2391" s="1095"/>
      <c r="K2391" s="1095"/>
      <c r="L2391" s="1095"/>
      <c r="M2391" s="1095"/>
    </row>
    <row r="2392" spans="1:13" x14ac:dyDescent="0.25">
      <c r="A2392">
        <v>1917415</v>
      </c>
      <c r="B2392" t="s">
        <v>9682</v>
      </c>
      <c r="C2392" t="s">
        <v>2596</v>
      </c>
      <c r="D2392" s="254">
        <v>6.18</v>
      </c>
      <c r="E2392"/>
      <c r="F2392"/>
      <c r="G2392"/>
      <c r="H2392"/>
      <c r="I2392" s="489"/>
      <c r="J2392" s="1095"/>
      <c r="K2392" s="1095"/>
      <c r="L2392" s="1095"/>
      <c r="M2392" s="1095"/>
    </row>
    <row r="2393" spans="1:13" x14ac:dyDescent="0.25">
      <c r="A2393">
        <v>1917416</v>
      </c>
      <c r="B2393" t="s">
        <v>9683</v>
      </c>
      <c r="C2393" t="s">
        <v>2596</v>
      </c>
      <c r="D2393" s="254">
        <v>6.85</v>
      </c>
      <c r="E2393"/>
      <c r="F2393"/>
      <c r="G2393"/>
      <c r="H2393"/>
      <c r="I2393" s="489"/>
      <c r="J2393" s="1095"/>
      <c r="K2393" s="1095"/>
      <c r="L2393" s="1095"/>
      <c r="M2393" s="1095"/>
    </row>
    <row r="2394" spans="1:13" x14ac:dyDescent="0.25">
      <c r="A2394">
        <v>1917417</v>
      </c>
      <c r="B2394" t="s">
        <v>9684</v>
      </c>
      <c r="C2394" t="s">
        <v>2596</v>
      </c>
      <c r="D2394" s="254">
        <v>7.33</v>
      </c>
      <c r="E2394"/>
      <c r="F2394"/>
      <c r="G2394"/>
      <c r="H2394"/>
      <c r="I2394" s="489"/>
      <c r="J2394" s="1095"/>
      <c r="K2394" s="1095"/>
      <c r="L2394" s="1095"/>
      <c r="M2394" s="1095"/>
    </row>
    <row r="2395" spans="1:13" x14ac:dyDescent="0.25">
      <c r="A2395">
        <v>1917418</v>
      </c>
      <c r="B2395" t="s">
        <v>9685</v>
      </c>
      <c r="C2395" t="s">
        <v>2596</v>
      </c>
      <c r="D2395" s="254">
        <v>7.79</v>
      </c>
      <c r="E2395"/>
      <c r="F2395"/>
      <c r="G2395"/>
      <c r="H2395"/>
      <c r="I2395" s="489"/>
      <c r="J2395" s="1095"/>
      <c r="K2395" s="1095"/>
      <c r="L2395" s="1095"/>
      <c r="M2395" s="1095"/>
    </row>
    <row r="2396" spans="1:13" x14ac:dyDescent="0.25">
      <c r="A2396">
        <v>1917419</v>
      </c>
      <c r="B2396" t="s">
        <v>9686</v>
      </c>
      <c r="C2396" t="s">
        <v>2596</v>
      </c>
      <c r="D2396" s="254">
        <v>8.2100000000000009</v>
      </c>
      <c r="E2396"/>
      <c r="F2396"/>
      <c r="G2396"/>
      <c r="H2396"/>
      <c r="I2396" s="489"/>
      <c r="J2396" s="1095"/>
      <c r="K2396" s="1095"/>
      <c r="L2396" s="1095"/>
      <c r="M2396" s="1095"/>
    </row>
    <row r="2397" spans="1:13" x14ac:dyDescent="0.25">
      <c r="A2397">
        <v>1917420</v>
      </c>
      <c r="B2397" t="s">
        <v>9687</v>
      </c>
      <c r="C2397" t="s">
        <v>2596</v>
      </c>
      <c r="D2397" s="254">
        <v>8.6999999999999993</v>
      </c>
      <c r="E2397"/>
      <c r="F2397"/>
      <c r="G2397"/>
      <c r="H2397"/>
      <c r="I2397" s="489"/>
      <c r="J2397" s="1095"/>
      <c r="K2397" s="1095"/>
      <c r="L2397" s="1095"/>
      <c r="M2397" s="1095"/>
    </row>
    <row r="2398" spans="1:13" x14ac:dyDescent="0.25">
      <c r="A2398">
        <v>1917421</v>
      </c>
      <c r="B2398" t="s">
        <v>9688</v>
      </c>
      <c r="C2398" t="s">
        <v>2596</v>
      </c>
      <c r="D2398" s="254">
        <v>9.4</v>
      </c>
      <c r="E2398"/>
      <c r="F2398"/>
      <c r="G2398"/>
      <c r="H2398"/>
      <c r="I2398" s="489"/>
      <c r="J2398" s="1095"/>
      <c r="K2398" s="1095"/>
      <c r="L2398" s="1095"/>
      <c r="M2398" s="1095"/>
    </row>
    <row r="2399" spans="1:13" x14ac:dyDescent="0.25">
      <c r="A2399">
        <v>1917422</v>
      </c>
      <c r="B2399" t="s">
        <v>9689</v>
      </c>
      <c r="C2399" t="s">
        <v>2596</v>
      </c>
      <c r="D2399" s="254">
        <v>9.86</v>
      </c>
      <c r="E2399"/>
      <c r="F2399"/>
      <c r="G2399"/>
      <c r="H2399"/>
      <c r="I2399" s="489"/>
      <c r="J2399" s="1095"/>
      <c r="K2399" s="1095"/>
      <c r="L2399" s="1095"/>
      <c r="M2399" s="1095"/>
    </row>
    <row r="2400" spans="1:13" x14ac:dyDescent="0.25">
      <c r="A2400">
        <v>1917423</v>
      </c>
      <c r="B2400" t="s">
        <v>9690</v>
      </c>
      <c r="C2400" t="s">
        <v>2596</v>
      </c>
      <c r="D2400" s="254">
        <v>10.33</v>
      </c>
      <c r="E2400"/>
      <c r="F2400"/>
      <c r="G2400"/>
      <c r="H2400"/>
      <c r="I2400" s="489"/>
      <c r="J2400" s="1095"/>
      <c r="K2400" s="1095"/>
      <c r="L2400" s="1095"/>
      <c r="M2400" s="1095"/>
    </row>
    <row r="2401" spans="1:13" x14ac:dyDescent="0.25">
      <c r="A2401">
        <v>1917424</v>
      </c>
      <c r="B2401" t="s">
        <v>9691</v>
      </c>
      <c r="C2401" t="s">
        <v>2596</v>
      </c>
      <c r="D2401" s="254">
        <v>10.81</v>
      </c>
      <c r="E2401"/>
      <c r="F2401"/>
      <c r="G2401"/>
      <c r="H2401"/>
      <c r="I2401" s="489"/>
      <c r="J2401" s="1095"/>
      <c r="K2401" s="1095"/>
      <c r="L2401" s="1095"/>
      <c r="M2401" s="1095"/>
    </row>
    <row r="2402" spans="1:13" x14ac:dyDescent="0.25">
      <c r="A2402">
        <v>1917425</v>
      </c>
      <c r="B2402" t="s">
        <v>9692</v>
      </c>
      <c r="C2402" t="s">
        <v>2596</v>
      </c>
      <c r="D2402" s="254">
        <v>11.68</v>
      </c>
      <c r="E2402"/>
      <c r="F2402"/>
      <c r="G2402"/>
      <c r="H2402"/>
      <c r="I2402" s="489"/>
      <c r="J2402" s="1095"/>
      <c r="K2402" s="1095"/>
      <c r="L2402" s="1095"/>
      <c r="M2402" s="1095"/>
    </row>
    <row r="2403" spans="1:13" x14ac:dyDescent="0.25">
      <c r="A2403">
        <v>1917426</v>
      </c>
      <c r="B2403" t="s">
        <v>9693</v>
      </c>
      <c r="C2403" t="s">
        <v>2596</v>
      </c>
      <c r="D2403" s="254">
        <v>12.67</v>
      </c>
      <c r="E2403"/>
      <c r="F2403"/>
      <c r="G2403"/>
      <c r="H2403"/>
      <c r="I2403" s="489"/>
      <c r="J2403" s="1095"/>
      <c r="K2403" s="1095"/>
      <c r="L2403" s="1095"/>
      <c r="M2403" s="1095"/>
    </row>
    <row r="2404" spans="1:13" x14ac:dyDescent="0.25">
      <c r="A2404">
        <v>1917427</v>
      </c>
      <c r="B2404" t="s">
        <v>9694</v>
      </c>
      <c r="C2404" t="s">
        <v>2596</v>
      </c>
      <c r="D2404" s="254">
        <v>14.44</v>
      </c>
      <c r="E2404"/>
      <c r="F2404"/>
      <c r="G2404"/>
      <c r="H2404"/>
      <c r="I2404" s="489"/>
      <c r="J2404" s="1095"/>
      <c r="K2404" s="1095"/>
      <c r="L2404" s="1095"/>
      <c r="M2404" s="1095"/>
    </row>
    <row r="2405" spans="1:13" x14ac:dyDescent="0.25">
      <c r="A2405">
        <v>1917428</v>
      </c>
      <c r="B2405" t="s">
        <v>9695</v>
      </c>
      <c r="C2405" t="s">
        <v>2596</v>
      </c>
      <c r="D2405" s="254">
        <v>16.5</v>
      </c>
      <c r="E2405"/>
      <c r="F2405"/>
      <c r="G2405"/>
      <c r="H2405"/>
      <c r="I2405" s="489"/>
      <c r="J2405" s="1095"/>
      <c r="K2405" s="1095"/>
      <c r="L2405" s="1095"/>
      <c r="M2405" s="1095"/>
    </row>
    <row r="2406" spans="1:13" x14ac:dyDescent="0.25">
      <c r="A2406">
        <v>1917429</v>
      </c>
      <c r="B2406" t="s">
        <v>9696</v>
      </c>
      <c r="C2406" t="s">
        <v>2596</v>
      </c>
      <c r="D2406" s="254">
        <v>18.670000000000002</v>
      </c>
      <c r="E2406"/>
      <c r="F2406"/>
      <c r="G2406"/>
      <c r="H2406"/>
      <c r="I2406" s="489"/>
      <c r="J2406" s="1095"/>
      <c r="K2406" s="1095"/>
      <c r="L2406" s="1095"/>
      <c r="M2406" s="1095"/>
    </row>
    <row r="2407" spans="1:13" x14ac:dyDescent="0.25">
      <c r="A2407">
        <v>1917430</v>
      </c>
      <c r="B2407" t="s">
        <v>9697</v>
      </c>
      <c r="C2407" t="s">
        <v>2596</v>
      </c>
      <c r="D2407" s="254">
        <v>21.47</v>
      </c>
      <c r="E2407"/>
      <c r="F2407"/>
      <c r="G2407"/>
      <c r="H2407"/>
      <c r="I2407" s="489"/>
      <c r="J2407" s="1095"/>
      <c r="K2407" s="1095"/>
      <c r="L2407" s="1095"/>
      <c r="M2407" s="1095"/>
    </row>
    <row r="2408" spans="1:13" x14ac:dyDescent="0.25">
      <c r="A2408">
        <v>1917431</v>
      </c>
      <c r="B2408" t="s">
        <v>9698</v>
      </c>
      <c r="C2408" t="s">
        <v>2596</v>
      </c>
      <c r="D2408" s="254">
        <v>23.98</v>
      </c>
      <c r="E2408"/>
      <c r="F2408"/>
      <c r="G2408"/>
      <c r="H2408"/>
      <c r="I2408" s="489"/>
      <c r="J2408" s="1095"/>
      <c r="K2408" s="1095"/>
      <c r="L2408" s="1095"/>
      <c r="M2408" s="1095"/>
    </row>
    <row r="2409" spans="1:13" x14ac:dyDescent="0.25">
      <c r="A2409">
        <v>1917432</v>
      </c>
      <c r="B2409" t="s">
        <v>9699</v>
      </c>
      <c r="C2409" t="s">
        <v>2596</v>
      </c>
      <c r="D2409" s="254">
        <v>27.22</v>
      </c>
      <c r="E2409"/>
      <c r="F2409"/>
      <c r="G2409"/>
      <c r="H2409"/>
      <c r="I2409" s="489"/>
      <c r="J2409" s="1095"/>
      <c r="K2409" s="1095"/>
      <c r="L2409" s="1095"/>
      <c r="M2409" s="1095"/>
    </row>
    <row r="2410" spans="1:13" x14ac:dyDescent="0.25">
      <c r="A2410">
        <v>1917433</v>
      </c>
      <c r="B2410" t="s">
        <v>9700</v>
      </c>
      <c r="C2410" t="s">
        <v>2596</v>
      </c>
      <c r="D2410" s="254">
        <v>30.53</v>
      </c>
      <c r="E2410"/>
      <c r="F2410"/>
      <c r="G2410"/>
      <c r="H2410"/>
      <c r="I2410" s="489"/>
      <c r="J2410" s="1095"/>
      <c r="K2410" s="1095"/>
      <c r="L2410" s="1095"/>
      <c r="M2410" s="1095"/>
    </row>
    <row r="2411" spans="1:13" x14ac:dyDescent="0.25">
      <c r="A2411">
        <v>1917434</v>
      </c>
      <c r="B2411" t="s">
        <v>9701</v>
      </c>
      <c r="C2411" t="s">
        <v>2596</v>
      </c>
      <c r="D2411" s="254">
        <v>34.39</v>
      </c>
      <c r="E2411"/>
      <c r="F2411"/>
      <c r="G2411"/>
      <c r="H2411"/>
      <c r="I2411" s="489"/>
      <c r="J2411" s="1095"/>
      <c r="K2411" s="1095"/>
      <c r="L2411" s="1095"/>
      <c r="M2411" s="1095"/>
    </row>
    <row r="2412" spans="1:13" x14ac:dyDescent="0.25">
      <c r="A2412">
        <v>1917435</v>
      </c>
      <c r="B2412" t="s">
        <v>9702</v>
      </c>
      <c r="C2412" t="s">
        <v>2596</v>
      </c>
      <c r="D2412" s="254">
        <v>39.07</v>
      </c>
      <c r="E2412"/>
      <c r="F2412"/>
      <c r="G2412"/>
      <c r="H2412"/>
      <c r="I2412" s="489"/>
      <c r="J2412" s="1095"/>
      <c r="K2412" s="1095"/>
      <c r="L2412" s="1095"/>
      <c r="M2412" s="1095"/>
    </row>
    <row r="2413" spans="1:13" x14ac:dyDescent="0.25">
      <c r="A2413">
        <v>1917436</v>
      </c>
      <c r="B2413" t="s">
        <v>9703</v>
      </c>
      <c r="C2413" t="s">
        <v>2596</v>
      </c>
      <c r="D2413" s="254">
        <v>43.3</v>
      </c>
      <c r="E2413"/>
      <c r="F2413"/>
      <c r="G2413"/>
      <c r="H2413"/>
      <c r="I2413" s="489"/>
      <c r="J2413" s="1095"/>
      <c r="K2413" s="1095"/>
      <c r="L2413" s="1095"/>
      <c r="M2413" s="1095"/>
    </row>
    <row r="2414" spans="1:13" x14ac:dyDescent="0.25">
      <c r="A2414">
        <v>1917437</v>
      </c>
      <c r="B2414" t="s">
        <v>9704</v>
      </c>
      <c r="C2414" t="s">
        <v>2596</v>
      </c>
      <c r="D2414" s="254">
        <v>48.69</v>
      </c>
      <c r="E2414"/>
      <c r="F2414"/>
      <c r="G2414"/>
      <c r="H2414"/>
      <c r="I2414" s="489"/>
      <c r="J2414" s="1095"/>
      <c r="K2414" s="1095"/>
      <c r="L2414" s="1095"/>
      <c r="M2414" s="1095"/>
    </row>
    <row r="2415" spans="1:13" x14ac:dyDescent="0.25">
      <c r="A2415">
        <v>1917438</v>
      </c>
      <c r="B2415" t="s">
        <v>9705</v>
      </c>
      <c r="C2415" t="s">
        <v>2596</v>
      </c>
      <c r="D2415" s="254">
        <v>52.45</v>
      </c>
      <c r="E2415"/>
      <c r="F2415"/>
      <c r="G2415"/>
      <c r="H2415"/>
      <c r="I2415" s="489"/>
      <c r="J2415" s="1095"/>
      <c r="K2415" s="1095"/>
      <c r="L2415" s="1095"/>
      <c r="M2415" s="1095"/>
    </row>
    <row r="2416" spans="1:13" x14ac:dyDescent="0.25">
      <c r="A2416">
        <v>1917439</v>
      </c>
      <c r="B2416" t="s">
        <v>9706</v>
      </c>
      <c r="C2416" t="s">
        <v>2596</v>
      </c>
      <c r="D2416" s="254">
        <v>55.69</v>
      </c>
      <c r="E2416"/>
      <c r="F2416"/>
      <c r="G2416"/>
      <c r="H2416"/>
      <c r="I2416" s="489"/>
      <c r="J2416" s="1095"/>
      <c r="K2416" s="1095"/>
      <c r="L2416" s="1095"/>
      <c r="M2416" s="1095"/>
    </row>
    <row r="2417" spans="1:13" x14ac:dyDescent="0.25">
      <c r="A2417">
        <v>1917412</v>
      </c>
      <c r="B2417" t="s">
        <v>9707</v>
      </c>
      <c r="C2417" t="s">
        <v>2596</v>
      </c>
      <c r="D2417" s="254">
        <v>4.66</v>
      </c>
      <c r="E2417"/>
      <c r="F2417"/>
      <c r="G2417"/>
      <c r="H2417"/>
      <c r="I2417" s="489"/>
      <c r="J2417" s="1095"/>
      <c r="K2417" s="1095"/>
      <c r="L2417" s="1095"/>
      <c r="M2417" s="1095"/>
    </row>
    <row r="2418" spans="1:13" x14ac:dyDescent="0.25">
      <c r="A2418">
        <v>1917413</v>
      </c>
      <c r="B2418" t="s">
        <v>9708</v>
      </c>
      <c r="C2418" t="s">
        <v>2596</v>
      </c>
      <c r="D2418" s="254">
        <v>5.2</v>
      </c>
      <c r="E2418"/>
      <c r="F2418"/>
      <c r="G2418"/>
      <c r="H2418"/>
      <c r="I2418" s="489"/>
      <c r="J2418" s="1095"/>
      <c r="K2418" s="1095"/>
      <c r="L2418" s="1095"/>
      <c r="M2418" s="1095"/>
    </row>
    <row r="2419" spans="1:13" x14ac:dyDescent="0.25">
      <c r="A2419">
        <v>1917414</v>
      </c>
      <c r="B2419" t="s">
        <v>9709</v>
      </c>
      <c r="C2419" t="s">
        <v>2596</v>
      </c>
      <c r="D2419" s="254">
        <v>5.74</v>
      </c>
      <c r="E2419"/>
      <c r="F2419"/>
      <c r="G2419"/>
      <c r="H2419"/>
      <c r="I2419" s="489"/>
      <c r="J2419" s="1095"/>
      <c r="K2419" s="1095"/>
      <c r="L2419" s="1095"/>
      <c r="M2419" s="1095"/>
    </row>
    <row r="2420" spans="1:13" x14ac:dyDescent="0.25">
      <c r="A2420">
        <v>1917733</v>
      </c>
      <c r="B2420" t="s">
        <v>9710</v>
      </c>
      <c r="C2420" t="s">
        <v>2596</v>
      </c>
      <c r="D2420" s="254">
        <v>4.3499999999999996</v>
      </c>
      <c r="E2420"/>
      <c r="F2420"/>
      <c r="G2420"/>
      <c r="H2420"/>
      <c r="I2420" s="489"/>
      <c r="J2420" s="1095"/>
      <c r="K2420" s="1095"/>
      <c r="L2420" s="1095"/>
      <c r="M2420" s="1095"/>
    </row>
    <row r="2421" spans="1:13" x14ac:dyDescent="0.25">
      <c r="A2421">
        <v>1917049</v>
      </c>
      <c r="B2421" t="s">
        <v>9711</v>
      </c>
      <c r="C2421" t="s">
        <v>2596</v>
      </c>
      <c r="D2421" s="254">
        <v>10.39</v>
      </c>
      <c r="E2421"/>
      <c r="F2421"/>
      <c r="G2421"/>
      <c r="H2421"/>
      <c r="I2421" s="489"/>
      <c r="J2421" s="1095"/>
      <c r="K2421" s="1095"/>
      <c r="L2421" s="1095"/>
      <c r="M2421" s="1095"/>
    </row>
    <row r="2422" spans="1:13" x14ac:dyDescent="0.25">
      <c r="A2422">
        <v>1917050</v>
      </c>
      <c r="B2422" t="s">
        <v>9712</v>
      </c>
      <c r="C2422" t="s">
        <v>2596</v>
      </c>
      <c r="D2422" s="254">
        <v>10.58</v>
      </c>
      <c r="E2422"/>
      <c r="F2422"/>
      <c r="G2422"/>
      <c r="H2422"/>
      <c r="I2422" s="489"/>
      <c r="J2422" s="1095"/>
      <c r="K2422" s="1095"/>
      <c r="L2422" s="1095"/>
      <c r="M2422" s="1095"/>
    </row>
    <row r="2423" spans="1:13" x14ac:dyDescent="0.25">
      <c r="A2423">
        <v>1917051</v>
      </c>
      <c r="B2423" t="s">
        <v>9713</v>
      </c>
      <c r="C2423" t="s">
        <v>2596</v>
      </c>
      <c r="D2423" s="254">
        <v>10.78</v>
      </c>
      <c r="E2423"/>
      <c r="F2423"/>
      <c r="G2423"/>
      <c r="H2423"/>
      <c r="I2423" s="489"/>
      <c r="J2423" s="1095"/>
      <c r="K2423" s="1095"/>
      <c r="L2423" s="1095"/>
      <c r="M2423" s="1095"/>
    </row>
    <row r="2424" spans="1:13" x14ac:dyDescent="0.25">
      <c r="A2424">
        <v>1917052</v>
      </c>
      <c r="B2424" t="s">
        <v>9714</v>
      </c>
      <c r="C2424" t="s">
        <v>2596</v>
      </c>
      <c r="D2424" s="254">
        <v>10.98</v>
      </c>
      <c r="E2424"/>
      <c r="F2424"/>
      <c r="G2424"/>
      <c r="H2424"/>
      <c r="I2424" s="489"/>
      <c r="J2424" s="1095"/>
      <c r="K2424" s="1095"/>
      <c r="L2424" s="1095"/>
      <c r="M2424" s="1095"/>
    </row>
    <row r="2425" spans="1:13" x14ac:dyDescent="0.25">
      <c r="A2425">
        <v>1917053</v>
      </c>
      <c r="B2425" t="s">
        <v>9715</v>
      </c>
      <c r="C2425" t="s">
        <v>2596</v>
      </c>
      <c r="D2425" s="254">
        <v>11.19</v>
      </c>
      <c r="E2425"/>
      <c r="F2425"/>
      <c r="G2425"/>
      <c r="H2425"/>
      <c r="I2425" s="489"/>
      <c r="J2425" s="1095"/>
      <c r="K2425" s="1095"/>
      <c r="L2425" s="1095"/>
      <c r="M2425" s="1095"/>
    </row>
    <row r="2426" spans="1:13" x14ac:dyDescent="0.25">
      <c r="A2426">
        <v>1917054</v>
      </c>
      <c r="B2426" t="s">
        <v>9716</v>
      </c>
      <c r="C2426" t="s">
        <v>2596</v>
      </c>
      <c r="D2426" s="254">
        <v>11.31</v>
      </c>
      <c r="E2426"/>
      <c r="F2426"/>
      <c r="G2426"/>
      <c r="H2426"/>
      <c r="I2426" s="489"/>
      <c r="J2426" s="1095"/>
      <c r="K2426" s="1095"/>
      <c r="L2426" s="1095"/>
      <c r="M2426" s="1095"/>
    </row>
    <row r="2427" spans="1:13" x14ac:dyDescent="0.25">
      <c r="A2427">
        <v>1901553</v>
      </c>
      <c r="B2427" t="s">
        <v>9717</v>
      </c>
      <c r="C2427" t="s">
        <v>2596</v>
      </c>
      <c r="D2427" s="254">
        <v>8.5399999999999991</v>
      </c>
      <c r="E2427"/>
      <c r="F2427"/>
      <c r="G2427"/>
      <c r="H2427"/>
      <c r="I2427" s="489"/>
      <c r="J2427" s="1095"/>
      <c r="K2427" s="1095"/>
      <c r="L2427" s="1095"/>
      <c r="M2427" s="1095"/>
    </row>
    <row r="2428" spans="1:13" x14ac:dyDescent="0.25">
      <c r="A2428">
        <v>1901554</v>
      </c>
      <c r="B2428" t="s">
        <v>9718</v>
      </c>
      <c r="C2428" t="s">
        <v>2596</v>
      </c>
      <c r="D2428" s="254">
        <v>8.61</v>
      </c>
      <c r="E2428"/>
      <c r="F2428"/>
      <c r="G2428"/>
      <c r="H2428"/>
      <c r="I2428" s="489"/>
      <c r="J2428" s="1095"/>
      <c r="K2428" s="1095"/>
      <c r="L2428" s="1095"/>
      <c r="M2428" s="1095"/>
    </row>
    <row r="2429" spans="1:13" x14ac:dyDescent="0.25">
      <c r="A2429">
        <v>1901555</v>
      </c>
      <c r="B2429" t="s">
        <v>9719</v>
      </c>
      <c r="C2429" t="s">
        <v>2596</v>
      </c>
      <c r="D2429" s="254">
        <v>8.68</v>
      </c>
      <c r="E2429"/>
      <c r="F2429"/>
      <c r="G2429"/>
      <c r="H2429"/>
      <c r="I2429" s="489"/>
      <c r="J2429" s="1095"/>
      <c r="K2429" s="1095"/>
      <c r="L2429" s="1095"/>
      <c r="M2429" s="1095"/>
    </row>
    <row r="2430" spans="1:13" x14ac:dyDescent="0.25">
      <c r="A2430">
        <v>1901556</v>
      </c>
      <c r="B2430" t="s">
        <v>9720</v>
      </c>
      <c r="C2430" t="s">
        <v>2596</v>
      </c>
      <c r="D2430" s="254">
        <v>8.75</v>
      </c>
      <c r="E2430"/>
      <c r="F2430"/>
      <c r="G2430"/>
      <c r="H2430"/>
      <c r="I2430" s="489"/>
      <c r="J2430" s="1095"/>
      <c r="K2430" s="1095"/>
      <c r="L2430" s="1095"/>
      <c r="M2430" s="1095"/>
    </row>
    <row r="2431" spans="1:13" x14ac:dyDescent="0.25">
      <c r="A2431">
        <v>1901557</v>
      </c>
      <c r="B2431" t="s">
        <v>9721</v>
      </c>
      <c r="C2431" t="s">
        <v>2596</v>
      </c>
      <c r="D2431" s="254">
        <v>8.83</v>
      </c>
      <c r="E2431"/>
      <c r="F2431"/>
      <c r="G2431"/>
      <c r="H2431"/>
      <c r="I2431" s="489"/>
      <c r="J2431" s="1095"/>
      <c r="K2431" s="1095"/>
      <c r="L2431" s="1095"/>
      <c r="M2431" s="1095"/>
    </row>
    <row r="2432" spans="1:13" x14ac:dyDescent="0.25">
      <c r="A2432">
        <v>1901558</v>
      </c>
      <c r="B2432" t="s">
        <v>9722</v>
      </c>
      <c r="C2432" t="s">
        <v>2596</v>
      </c>
      <c r="D2432" s="254">
        <v>8.8699999999999992</v>
      </c>
      <c r="E2432"/>
      <c r="F2432"/>
      <c r="G2432"/>
      <c r="H2432"/>
      <c r="I2432" s="489"/>
      <c r="J2432" s="1095"/>
      <c r="K2432" s="1095"/>
      <c r="L2432" s="1095"/>
      <c r="M2432" s="1095"/>
    </row>
    <row r="2433" spans="1:13" x14ac:dyDescent="0.25">
      <c r="A2433">
        <v>1901560</v>
      </c>
      <c r="B2433" t="s">
        <v>9723</v>
      </c>
      <c r="C2433" t="s">
        <v>2596</v>
      </c>
      <c r="D2433" s="254">
        <v>11.44</v>
      </c>
      <c r="E2433"/>
      <c r="F2433"/>
      <c r="G2433"/>
      <c r="H2433"/>
      <c r="I2433" s="489"/>
      <c r="J2433" s="1095"/>
      <c r="K2433" s="1095"/>
      <c r="L2433" s="1095"/>
      <c r="M2433" s="1095"/>
    </row>
    <row r="2434" spans="1:13" x14ac:dyDescent="0.25">
      <c r="A2434">
        <v>1901561</v>
      </c>
      <c r="B2434" t="s">
        <v>9724</v>
      </c>
      <c r="C2434" t="s">
        <v>2596</v>
      </c>
      <c r="D2434" s="254">
        <v>11.51</v>
      </c>
      <c r="E2434"/>
      <c r="F2434"/>
      <c r="G2434"/>
      <c r="H2434"/>
      <c r="I2434" s="489"/>
      <c r="J2434" s="1095"/>
      <c r="K2434" s="1095"/>
      <c r="L2434" s="1095"/>
      <c r="M2434" s="1095"/>
    </row>
    <row r="2435" spans="1:13" x14ac:dyDescent="0.25">
      <c r="A2435">
        <v>1901562</v>
      </c>
      <c r="B2435" t="s">
        <v>9725</v>
      </c>
      <c r="C2435" t="s">
        <v>2596</v>
      </c>
      <c r="D2435" s="254">
        <v>11.58</v>
      </c>
      <c r="E2435"/>
      <c r="F2435"/>
      <c r="G2435"/>
      <c r="H2435"/>
      <c r="I2435" s="489"/>
      <c r="J2435" s="1095"/>
      <c r="K2435" s="1095"/>
      <c r="L2435" s="1095"/>
      <c r="M2435" s="1095"/>
    </row>
    <row r="2436" spans="1:13" x14ac:dyDescent="0.25">
      <c r="A2436">
        <v>1901563</v>
      </c>
      <c r="B2436" t="s">
        <v>9726</v>
      </c>
      <c r="C2436" t="s">
        <v>2596</v>
      </c>
      <c r="D2436" s="254">
        <v>11.65</v>
      </c>
      <c r="E2436"/>
      <c r="F2436"/>
      <c r="G2436"/>
      <c r="H2436"/>
      <c r="I2436" s="489"/>
      <c r="J2436" s="1095"/>
      <c r="K2436" s="1095"/>
      <c r="L2436" s="1095"/>
      <c r="M2436" s="1095"/>
    </row>
    <row r="2437" spans="1:13" x14ac:dyDescent="0.25">
      <c r="A2437">
        <v>1901564</v>
      </c>
      <c r="B2437" t="s">
        <v>9727</v>
      </c>
      <c r="C2437" t="s">
        <v>2596</v>
      </c>
      <c r="D2437" s="254">
        <v>11.72</v>
      </c>
      <c r="E2437"/>
      <c r="F2437"/>
      <c r="G2437"/>
      <c r="H2437"/>
      <c r="I2437" s="489"/>
      <c r="J2437" s="1095"/>
      <c r="K2437" s="1095"/>
      <c r="L2437" s="1095"/>
      <c r="M2437" s="1095"/>
    </row>
    <row r="2438" spans="1:13" x14ac:dyDescent="0.25">
      <c r="A2438">
        <v>1901559</v>
      </c>
      <c r="B2438" t="s">
        <v>9728</v>
      </c>
      <c r="C2438" t="s">
        <v>2596</v>
      </c>
      <c r="D2438" s="254">
        <v>11.76</v>
      </c>
      <c r="E2438"/>
      <c r="F2438"/>
      <c r="G2438"/>
      <c r="H2438"/>
      <c r="I2438" s="489"/>
      <c r="J2438" s="1095"/>
      <c r="K2438" s="1095"/>
      <c r="L2438" s="1095"/>
      <c r="M2438" s="1095"/>
    </row>
    <row r="2439" spans="1:13" x14ac:dyDescent="0.25">
      <c r="A2439">
        <v>1917085</v>
      </c>
      <c r="B2439" t="s">
        <v>9729</v>
      </c>
      <c r="C2439" t="s">
        <v>2596</v>
      </c>
      <c r="D2439" s="254">
        <v>12.44</v>
      </c>
      <c r="E2439"/>
      <c r="F2439"/>
      <c r="G2439"/>
      <c r="H2439"/>
      <c r="I2439" s="489"/>
      <c r="J2439" s="1095"/>
      <c r="K2439" s="1095"/>
      <c r="L2439" s="1095"/>
      <c r="M2439" s="1095"/>
    </row>
    <row r="2440" spans="1:13" x14ac:dyDescent="0.25">
      <c r="A2440">
        <v>1917086</v>
      </c>
      <c r="B2440" t="s">
        <v>9730</v>
      </c>
      <c r="C2440" t="s">
        <v>2596</v>
      </c>
      <c r="D2440" s="254">
        <v>12.6</v>
      </c>
      <c r="E2440"/>
      <c r="F2440"/>
      <c r="G2440"/>
      <c r="H2440"/>
      <c r="I2440" s="489"/>
      <c r="J2440" s="1095"/>
      <c r="K2440" s="1095"/>
      <c r="L2440" s="1095"/>
      <c r="M2440" s="1095"/>
    </row>
    <row r="2441" spans="1:13" x14ac:dyDescent="0.25">
      <c r="A2441">
        <v>1917087</v>
      </c>
      <c r="B2441" t="s">
        <v>9731</v>
      </c>
      <c r="C2441" t="s">
        <v>2596</v>
      </c>
      <c r="D2441" s="254">
        <v>12.77</v>
      </c>
      <c r="E2441"/>
      <c r="F2441"/>
      <c r="G2441"/>
      <c r="H2441"/>
      <c r="I2441" s="489"/>
      <c r="J2441" s="1095"/>
      <c r="K2441" s="1095"/>
      <c r="L2441" s="1095"/>
      <c r="M2441" s="1095"/>
    </row>
    <row r="2442" spans="1:13" x14ac:dyDescent="0.25">
      <c r="A2442">
        <v>1917088</v>
      </c>
      <c r="B2442" t="s">
        <v>9732</v>
      </c>
      <c r="C2442" t="s">
        <v>2596</v>
      </c>
      <c r="D2442" s="254">
        <v>12.94</v>
      </c>
      <c r="E2442"/>
      <c r="F2442"/>
      <c r="G2442"/>
      <c r="H2442"/>
      <c r="I2442" s="489"/>
      <c r="J2442" s="1095"/>
      <c r="K2442" s="1095"/>
      <c r="L2442" s="1095"/>
      <c r="M2442" s="1095"/>
    </row>
    <row r="2443" spans="1:13" x14ac:dyDescent="0.25">
      <c r="A2443">
        <v>1917089</v>
      </c>
      <c r="B2443" t="s">
        <v>9733</v>
      </c>
      <c r="C2443" t="s">
        <v>2596</v>
      </c>
      <c r="D2443" s="254">
        <v>13.13</v>
      </c>
      <c r="E2443"/>
      <c r="F2443"/>
      <c r="G2443"/>
      <c r="H2443"/>
      <c r="I2443" s="489"/>
      <c r="J2443" s="1095"/>
      <c r="K2443" s="1095"/>
      <c r="L2443" s="1095"/>
      <c r="M2443" s="1095"/>
    </row>
    <row r="2444" spans="1:13" x14ac:dyDescent="0.25">
      <c r="A2444">
        <v>1917090</v>
      </c>
      <c r="B2444" t="s">
        <v>9734</v>
      </c>
      <c r="C2444" t="s">
        <v>2596</v>
      </c>
      <c r="D2444" s="254">
        <v>13.22</v>
      </c>
      <c r="E2444"/>
      <c r="F2444"/>
      <c r="G2444"/>
      <c r="H2444"/>
      <c r="I2444" s="489"/>
      <c r="J2444" s="1095"/>
      <c r="K2444" s="1095"/>
      <c r="L2444" s="1095"/>
      <c r="M2444" s="1095"/>
    </row>
    <row r="2445" spans="1:13" x14ac:dyDescent="0.25">
      <c r="A2445">
        <v>1901566</v>
      </c>
      <c r="B2445" t="s">
        <v>9735</v>
      </c>
      <c r="C2445" t="s">
        <v>2596</v>
      </c>
      <c r="D2445" s="254">
        <v>14.41</v>
      </c>
      <c r="E2445"/>
      <c r="F2445"/>
      <c r="G2445"/>
      <c r="H2445"/>
      <c r="I2445" s="489"/>
      <c r="J2445" s="1095"/>
      <c r="K2445" s="1095"/>
      <c r="L2445" s="1095"/>
      <c r="M2445" s="1095"/>
    </row>
    <row r="2446" spans="1:13" x14ac:dyDescent="0.25">
      <c r="A2446">
        <v>1901567</v>
      </c>
      <c r="B2446" t="s">
        <v>9736</v>
      </c>
      <c r="C2446" t="s">
        <v>2596</v>
      </c>
      <c r="D2446" s="254">
        <v>14.47</v>
      </c>
      <c r="E2446"/>
      <c r="F2446"/>
      <c r="G2446"/>
      <c r="H2446"/>
      <c r="I2446" s="489"/>
      <c r="J2446" s="1095"/>
      <c r="K2446" s="1095"/>
      <c r="L2446" s="1095"/>
      <c r="M2446" s="1095"/>
    </row>
    <row r="2447" spans="1:13" x14ac:dyDescent="0.25">
      <c r="A2447">
        <v>1901568</v>
      </c>
      <c r="B2447" t="s">
        <v>9737</v>
      </c>
      <c r="C2447" t="s">
        <v>2596</v>
      </c>
      <c r="D2447" s="254">
        <v>14.54</v>
      </c>
      <c r="E2447"/>
      <c r="F2447"/>
      <c r="G2447"/>
      <c r="H2447"/>
      <c r="I2447" s="489"/>
      <c r="J2447" s="1095"/>
      <c r="K2447" s="1095"/>
      <c r="L2447" s="1095"/>
      <c r="M2447" s="1095"/>
    </row>
    <row r="2448" spans="1:13" x14ac:dyDescent="0.25">
      <c r="A2448">
        <v>1901569</v>
      </c>
      <c r="B2448" t="s">
        <v>9738</v>
      </c>
      <c r="C2448" t="s">
        <v>2596</v>
      </c>
      <c r="D2448" s="254">
        <v>14.61</v>
      </c>
      <c r="E2448"/>
      <c r="F2448"/>
      <c r="G2448"/>
      <c r="H2448"/>
      <c r="I2448" s="489"/>
      <c r="J2448" s="1095"/>
      <c r="K2448" s="1095"/>
      <c r="L2448" s="1095"/>
      <c r="M2448" s="1095"/>
    </row>
    <row r="2449" spans="1:13" x14ac:dyDescent="0.25">
      <c r="A2449">
        <v>1901570</v>
      </c>
      <c r="B2449" t="s">
        <v>9739</v>
      </c>
      <c r="C2449" t="s">
        <v>2596</v>
      </c>
      <c r="D2449" s="254">
        <v>14.68</v>
      </c>
      <c r="E2449"/>
      <c r="F2449"/>
      <c r="G2449"/>
      <c r="H2449"/>
      <c r="I2449" s="489"/>
      <c r="J2449" s="1095"/>
      <c r="K2449" s="1095"/>
      <c r="L2449" s="1095"/>
      <c r="M2449" s="1095"/>
    </row>
    <row r="2450" spans="1:13" x14ac:dyDescent="0.25">
      <c r="A2450">
        <v>1901565</v>
      </c>
      <c r="B2450" t="s">
        <v>9740</v>
      </c>
      <c r="C2450" t="s">
        <v>2596</v>
      </c>
      <c r="D2450" s="254">
        <v>14.72</v>
      </c>
      <c r="E2450"/>
      <c r="F2450"/>
      <c r="G2450"/>
      <c r="H2450"/>
      <c r="I2450" s="489"/>
      <c r="J2450" s="1095"/>
      <c r="K2450" s="1095"/>
      <c r="L2450" s="1095"/>
      <c r="M2450" s="1095"/>
    </row>
    <row r="2451" spans="1:13" x14ac:dyDescent="0.25">
      <c r="A2451">
        <v>1917121</v>
      </c>
      <c r="B2451" t="s">
        <v>9741</v>
      </c>
      <c r="C2451" t="s">
        <v>2596</v>
      </c>
      <c r="D2451" s="254">
        <v>11.78</v>
      </c>
      <c r="E2451"/>
      <c r="F2451"/>
      <c r="G2451"/>
      <c r="H2451"/>
      <c r="I2451" s="489"/>
      <c r="J2451" s="1095"/>
      <c r="K2451" s="1095"/>
      <c r="L2451" s="1095"/>
      <c r="M2451" s="1095"/>
    </row>
    <row r="2452" spans="1:13" x14ac:dyDescent="0.25">
      <c r="A2452">
        <v>1917122</v>
      </c>
      <c r="B2452" t="s">
        <v>9742</v>
      </c>
      <c r="C2452" t="s">
        <v>2596</v>
      </c>
      <c r="D2452" s="254">
        <v>11.91</v>
      </c>
      <c r="E2452"/>
      <c r="F2452"/>
      <c r="G2452"/>
      <c r="H2452"/>
      <c r="I2452" s="489"/>
      <c r="J2452" s="1095"/>
      <c r="K2452" s="1095"/>
      <c r="L2452" s="1095"/>
      <c r="M2452" s="1095"/>
    </row>
    <row r="2453" spans="1:13" x14ac:dyDescent="0.25">
      <c r="A2453">
        <v>1917123</v>
      </c>
      <c r="B2453" t="s">
        <v>9743</v>
      </c>
      <c r="C2453" t="s">
        <v>2596</v>
      </c>
      <c r="D2453" s="254">
        <v>12.05</v>
      </c>
      <c r="E2453"/>
      <c r="F2453"/>
      <c r="G2453"/>
      <c r="H2453"/>
      <c r="I2453" s="489"/>
      <c r="J2453" s="1095"/>
      <c r="K2453" s="1095"/>
      <c r="L2453" s="1095"/>
      <c r="M2453" s="1095"/>
    </row>
    <row r="2454" spans="1:13" x14ac:dyDescent="0.25">
      <c r="A2454">
        <v>1917124</v>
      </c>
      <c r="B2454" t="s">
        <v>9744</v>
      </c>
      <c r="C2454" t="s">
        <v>2596</v>
      </c>
      <c r="D2454" s="254">
        <v>12.19</v>
      </c>
      <c r="E2454"/>
      <c r="F2454"/>
      <c r="G2454"/>
      <c r="H2454"/>
      <c r="I2454" s="489"/>
      <c r="J2454" s="1095"/>
      <c r="K2454" s="1095"/>
      <c r="L2454" s="1095"/>
      <c r="M2454" s="1095"/>
    </row>
    <row r="2455" spans="1:13" x14ac:dyDescent="0.25">
      <c r="A2455">
        <v>1917125</v>
      </c>
      <c r="B2455" t="s">
        <v>9745</v>
      </c>
      <c r="C2455" t="s">
        <v>2596</v>
      </c>
      <c r="D2455" s="254">
        <v>12.34</v>
      </c>
      <c r="E2455"/>
      <c r="F2455"/>
      <c r="G2455"/>
      <c r="H2455"/>
      <c r="I2455" s="489"/>
      <c r="J2455" s="1095"/>
      <c r="K2455" s="1095"/>
      <c r="L2455" s="1095"/>
      <c r="M2455" s="1095"/>
    </row>
    <row r="2456" spans="1:13" x14ac:dyDescent="0.25">
      <c r="A2456">
        <v>1917126</v>
      </c>
      <c r="B2456" t="s">
        <v>9746</v>
      </c>
      <c r="C2456" t="s">
        <v>2596</v>
      </c>
      <c r="D2456" s="254">
        <v>12.42</v>
      </c>
      <c r="E2456"/>
      <c r="F2456"/>
      <c r="G2456"/>
      <c r="H2456"/>
      <c r="I2456" s="489"/>
      <c r="J2456" s="1095"/>
      <c r="K2456" s="1095"/>
      <c r="L2456" s="1095"/>
      <c r="M2456" s="1095"/>
    </row>
    <row r="2457" spans="1:13" x14ac:dyDescent="0.25">
      <c r="A2457">
        <v>1917157</v>
      </c>
      <c r="B2457" t="s">
        <v>9747</v>
      </c>
      <c r="C2457" t="s">
        <v>2596</v>
      </c>
      <c r="D2457" s="254">
        <v>10.42</v>
      </c>
      <c r="E2457"/>
      <c r="F2457"/>
      <c r="G2457"/>
      <c r="H2457"/>
      <c r="I2457" s="489"/>
      <c r="J2457" s="1095"/>
      <c r="K2457" s="1095"/>
      <c r="L2457" s="1095"/>
      <c r="M2457" s="1095"/>
    </row>
    <row r="2458" spans="1:13" x14ac:dyDescent="0.25">
      <c r="A2458">
        <v>1917158</v>
      </c>
      <c r="B2458" t="s">
        <v>9748</v>
      </c>
      <c r="C2458" t="s">
        <v>2596</v>
      </c>
      <c r="D2458" s="254">
        <v>10.53</v>
      </c>
      <c r="E2458"/>
      <c r="F2458"/>
      <c r="G2458"/>
      <c r="H2458"/>
      <c r="I2458" s="489"/>
      <c r="J2458" s="1095"/>
      <c r="K2458" s="1095"/>
      <c r="L2458" s="1095"/>
      <c r="M2458" s="1095"/>
    </row>
    <row r="2459" spans="1:13" x14ac:dyDescent="0.25">
      <c r="A2459">
        <v>1917159</v>
      </c>
      <c r="B2459" t="s">
        <v>9749</v>
      </c>
      <c r="C2459" t="s">
        <v>2596</v>
      </c>
      <c r="D2459" s="254">
        <v>10.64</v>
      </c>
      <c r="E2459"/>
      <c r="F2459"/>
      <c r="G2459"/>
      <c r="H2459"/>
      <c r="I2459" s="489"/>
      <c r="J2459" s="1095"/>
      <c r="K2459" s="1095"/>
      <c r="L2459" s="1095"/>
      <c r="M2459" s="1095"/>
    </row>
    <row r="2460" spans="1:13" x14ac:dyDescent="0.25">
      <c r="A2460">
        <v>1917160</v>
      </c>
      <c r="B2460" t="s">
        <v>9750</v>
      </c>
      <c r="C2460" t="s">
        <v>2596</v>
      </c>
      <c r="D2460" s="254">
        <v>10.76</v>
      </c>
      <c r="E2460"/>
      <c r="F2460"/>
      <c r="G2460"/>
      <c r="H2460"/>
      <c r="I2460" s="489"/>
      <c r="J2460" s="1095"/>
      <c r="K2460" s="1095"/>
      <c r="L2460" s="1095"/>
      <c r="M2460" s="1095"/>
    </row>
    <row r="2461" spans="1:13" x14ac:dyDescent="0.25">
      <c r="A2461">
        <v>1917161</v>
      </c>
      <c r="B2461" t="s">
        <v>9751</v>
      </c>
      <c r="C2461" t="s">
        <v>2596</v>
      </c>
      <c r="D2461" s="254">
        <v>10.89</v>
      </c>
      <c r="E2461"/>
      <c r="F2461"/>
      <c r="G2461"/>
      <c r="H2461"/>
      <c r="I2461" s="489"/>
      <c r="J2461" s="1095"/>
      <c r="K2461" s="1095"/>
      <c r="L2461" s="1095"/>
      <c r="M2461" s="1095"/>
    </row>
    <row r="2462" spans="1:13" x14ac:dyDescent="0.25">
      <c r="A2462">
        <v>1917162</v>
      </c>
      <c r="B2462" t="s">
        <v>9752</v>
      </c>
      <c r="C2462" t="s">
        <v>2596</v>
      </c>
      <c r="D2462" s="254">
        <v>10.96</v>
      </c>
      <c r="E2462"/>
      <c r="F2462"/>
      <c r="G2462"/>
      <c r="H2462"/>
      <c r="I2462" s="489"/>
      <c r="J2462" s="1095"/>
      <c r="K2462" s="1095"/>
      <c r="L2462" s="1095"/>
      <c r="M2462" s="1095"/>
    </row>
    <row r="2463" spans="1:13" x14ac:dyDescent="0.25">
      <c r="A2463">
        <v>1917193</v>
      </c>
      <c r="B2463" t="s">
        <v>9753</v>
      </c>
      <c r="C2463" t="s">
        <v>2596</v>
      </c>
      <c r="D2463" s="254">
        <v>9.83</v>
      </c>
      <c r="E2463"/>
      <c r="F2463"/>
      <c r="G2463"/>
      <c r="H2463"/>
      <c r="I2463" s="489"/>
      <c r="J2463" s="1095"/>
      <c r="K2463" s="1095"/>
      <c r="L2463" s="1095"/>
      <c r="M2463" s="1095"/>
    </row>
    <row r="2464" spans="1:13" x14ac:dyDescent="0.25">
      <c r="A2464">
        <v>1917194</v>
      </c>
      <c r="B2464" t="s">
        <v>9754</v>
      </c>
      <c r="C2464" t="s">
        <v>2596</v>
      </c>
      <c r="D2464" s="254">
        <v>9.93</v>
      </c>
      <c r="E2464"/>
      <c r="F2464"/>
      <c r="G2464"/>
      <c r="H2464"/>
      <c r="I2464" s="489"/>
      <c r="J2464" s="1095"/>
      <c r="K2464" s="1095"/>
      <c r="L2464" s="1095"/>
      <c r="M2464" s="1095"/>
    </row>
    <row r="2465" spans="1:13" x14ac:dyDescent="0.25">
      <c r="A2465">
        <v>1917195</v>
      </c>
      <c r="B2465" t="s">
        <v>9755</v>
      </c>
      <c r="C2465" t="s">
        <v>2596</v>
      </c>
      <c r="D2465" s="254">
        <v>10.029999999999999</v>
      </c>
      <c r="E2465"/>
      <c r="F2465"/>
      <c r="G2465"/>
      <c r="H2465"/>
      <c r="I2465" s="489"/>
      <c r="J2465" s="1095"/>
      <c r="K2465" s="1095"/>
      <c r="L2465" s="1095"/>
      <c r="M2465" s="1095"/>
    </row>
    <row r="2466" spans="1:13" x14ac:dyDescent="0.25">
      <c r="A2466">
        <v>1917196</v>
      </c>
      <c r="B2466" t="s">
        <v>9756</v>
      </c>
      <c r="C2466" t="s">
        <v>2596</v>
      </c>
      <c r="D2466" s="254">
        <v>10.14</v>
      </c>
      <c r="E2466"/>
      <c r="F2466"/>
      <c r="G2466"/>
      <c r="H2466"/>
      <c r="I2466" s="489"/>
      <c r="J2466" s="1095"/>
      <c r="K2466" s="1095"/>
      <c r="L2466" s="1095"/>
      <c r="M2466" s="1095"/>
    </row>
    <row r="2467" spans="1:13" x14ac:dyDescent="0.25">
      <c r="A2467">
        <v>1917197</v>
      </c>
      <c r="B2467" t="s">
        <v>9757</v>
      </c>
      <c r="C2467" t="s">
        <v>2596</v>
      </c>
      <c r="D2467" s="254">
        <v>10.25</v>
      </c>
      <c r="E2467"/>
      <c r="F2467"/>
      <c r="G2467"/>
      <c r="H2467"/>
      <c r="I2467" s="489"/>
      <c r="J2467" s="1095"/>
      <c r="K2467" s="1095"/>
      <c r="L2467" s="1095"/>
      <c r="M2467" s="1095"/>
    </row>
    <row r="2468" spans="1:13" x14ac:dyDescent="0.25">
      <c r="A2468">
        <v>1917198</v>
      </c>
      <c r="B2468" t="s">
        <v>9758</v>
      </c>
      <c r="C2468" t="s">
        <v>2596</v>
      </c>
      <c r="D2468" s="254">
        <v>10.32</v>
      </c>
      <c r="E2468"/>
      <c r="F2468"/>
      <c r="G2468"/>
      <c r="H2468"/>
      <c r="I2468" s="489"/>
      <c r="J2468" s="1095"/>
      <c r="K2468" s="1095"/>
      <c r="L2468" s="1095"/>
      <c r="M2468" s="1095"/>
    </row>
    <row r="2469" spans="1:13" x14ac:dyDescent="0.25">
      <c r="A2469">
        <v>1917013</v>
      </c>
      <c r="B2469" t="s">
        <v>9759</v>
      </c>
      <c r="C2469" t="s">
        <v>2596</v>
      </c>
      <c r="D2469" s="254">
        <v>13.27</v>
      </c>
      <c r="E2469"/>
      <c r="F2469"/>
      <c r="G2469"/>
      <c r="H2469"/>
      <c r="I2469" s="489"/>
      <c r="J2469" s="1095"/>
      <c r="K2469" s="1095"/>
      <c r="L2469" s="1095"/>
      <c r="M2469" s="1095"/>
    </row>
    <row r="2470" spans="1:13" x14ac:dyDescent="0.25">
      <c r="A2470">
        <v>1917014</v>
      </c>
      <c r="B2470" t="s">
        <v>9760</v>
      </c>
      <c r="C2470" t="s">
        <v>2596</v>
      </c>
      <c r="D2470" s="254">
        <v>13.53</v>
      </c>
      <c r="E2470"/>
      <c r="F2470"/>
      <c r="G2470"/>
      <c r="H2470"/>
      <c r="I2470" s="489"/>
      <c r="J2470" s="1095"/>
      <c r="K2470" s="1095"/>
      <c r="L2470" s="1095"/>
      <c r="M2470" s="1095"/>
    </row>
    <row r="2471" spans="1:13" x14ac:dyDescent="0.25">
      <c r="A2471">
        <v>1917015</v>
      </c>
      <c r="B2471" t="s">
        <v>9761</v>
      </c>
      <c r="C2471" t="s">
        <v>2596</v>
      </c>
      <c r="D2471" s="254">
        <v>13.79</v>
      </c>
      <c r="E2471"/>
      <c r="F2471"/>
      <c r="G2471"/>
      <c r="H2471"/>
      <c r="I2471" s="489"/>
      <c r="J2471" s="1095"/>
      <c r="K2471" s="1095"/>
      <c r="L2471" s="1095"/>
      <c r="M2471" s="1095"/>
    </row>
    <row r="2472" spans="1:13" x14ac:dyDescent="0.25">
      <c r="A2472">
        <v>1917016</v>
      </c>
      <c r="B2472" t="s">
        <v>9762</v>
      </c>
      <c r="C2472" t="s">
        <v>2596</v>
      </c>
      <c r="D2472" s="254">
        <v>14.06</v>
      </c>
      <c r="E2472"/>
      <c r="F2472"/>
      <c r="G2472"/>
      <c r="H2472"/>
      <c r="I2472" s="489"/>
      <c r="J2472" s="1095"/>
      <c r="K2472" s="1095"/>
      <c r="L2472" s="1095"/>
      <c r="M2472" s="1095"/>
    </row>
    <row r="2473" spans="1:13" x14ac:dyDescent="0.25">
      <c r="A2473">
        <v>1917017</v>
      </c>
      <c r="B2473" t="s">
        <v>9763</v>
      </c>
      <c r="C2473" t="s">
        <v>2596</v>
      </c>
      <c r="D2473" s="254">
        <v>14.35</v>
      </c>
      <c r="E2473"/>
      <c r="F2473"/>
      <c r="G2473"/>
      <c r="H2473"/>
      <c r="I2473" s="489"/>
      <c r="J2473" s="1095"/>
      <c r="K2473" s="1095"/>
      <c r="L2473" s="1095"/>
      <c r="M2473" s="1095"/>
    </row>
    <row r="2474" spans="1:13" x14ac:dyDescent="0.25">
      <c r="A2474">
        <v>1917018</v>
      </c>
      <c r="B2474" t="s">
        <v>9764</v>
      </c>
      <c r="C2474" t="s">
        <v>2596</v>
      </c>
      <c r="D2474" s="254">
        <v>14.5</v>
      </c>
      <c r="E2474"/>
      <c r="F2474"/>
      <c r="G2474"/>
      <c r="H2474"/>
      <c r="I2474" s="489"/>
      <c r="J2474" s="1095"/>
      <c r="K2474" s="1095"/>
      <c r="L2474" s="1095"/>
      <c r="M2474" s="1095"/>
    </row>
    <row r="2475" spans="1:13" x14ac:dyDescent="0.25">
      <c r="A2475">
        <v>1917623</v>
      </c>
      <c r="B2475" t="s">
        <v>9765</v>
      </c>
      <c r="C2475" t="s">
        <v>2596</v>
      </c>
      <c r="D2475" s="254">
        <v>21.82</v>
      </c>
      <c r="E2475"/>
      <c r="F2475"/>
      <c r="G2475"/>
      <c r="H2475"/>
      <c r="I2475" s="489"/>
      <c r="J2475" s="1095"/>
      <c r="K2475" s="1095"/>
      <c r="L2475" s="1095"/>
      <c r="M2475" s="1095"/>
    </row>
    <row r="2476" spans="1:13" x14ac:dyDescent="0.25">
      <c r="A2476">
        <v>1917624</v>
      </c>
      <c r="B2476" t="s">
        <v>9766</v>
      </c>
      <c r="C2476" t="s">
        <v>2596</v>
      </c>
      <c r="D2476" s="254">
        <v>27.5</v>
      </c>
      <c r="E2476"/>
      <c r="F2476"/>
      <c r="G2476"/>
      <c r="H2476"/>
      <c r="I2476" s="489"/>
      <c r="J2476" s="1095"/>
      <c r="K2476" s="1095"/>
      <c r="L2476" s="1095"/>
      <c r="M2476" s="1095"/>
    </row>
    <row r="2477" spans="1:13" x14ac:dyDescent="0.25">
      <c r="A2477">
        <v>1917625</v>
      </c>
      <c r="B2477" t="s">
        <v>9767</v>
      </c>
      <c r="C2477" t="s">
        <v>2596</v>
      </c>
      <c r="D2477" s="254">
        <v>34.32</v>
      </c>
      <c r="E2477"/>
      <c r="F2477"/>
      <c r="G2477"/>
      <c r="H2477"/>
      <c r="I2477" s="489"/>
      <c r="J2477" s="1095"/>
      <c r="K2477" s="1095"/>
      <c r="L2477" s="1095"/>
      <c r="M2477" s="1095"/>
    </row>
    <row r="2478" spans="1:13" x14ac:dyDescent="0.25">
      <c r="A2478">
        <v>1917626</v>
      </c>
      <c r="B2478" t="s">
        <v>9768</v>
      </c>
      <c r="C2478" t="s">
        <v>2596</v>
      </c>
      <c r="D2478" s="254">
        <v>41.94</v>
      </c>
      <c r="E2478"/>
      <c r="F2478"/>
      <c r="G2478"/>
      <c r="H2478"/>
      <c r="I2478" s="489"/>
      <c r="J2478" s="1095"/>
      <c r="K2478" s="1095"/>
      <c r="L2478" s="1095"/>
      <c r="M2478" s="1095"/>
    </row>
    <row r="2479" spans="1:13" x14ac:dyDescent="0.25">
      <c r="A2479">
        <v>1917627</v>
      </c>
      <c r="B2479" t="s">
        <v>9769</v>
      </c>
      <c r="C2479" t="s">
        <v>2596</v>
      </c>
      <c r="D2479" s="254">
        <v>50.36</v>
      </c>
      <c r="E2479"/>
      <c r="F2479"/>
      <c r="G2479"/>
      <c r="H2479"/>
      <c r="I2479" s="489"/>
      <c r="J2479" s="1095"/>
      <c r="K2479" s="1095"/>
      <c r="L2479" s="1095"/>
      <c r="M2479" s="1095"/>
    </row>
    <row r="2480" spans="1:13" x14ac:dyDescent="0.25">
      <c r="A2480">
        <v>1917628</v>
      </c>
      <c r="B2480" t="s">
        <v>9770</v>
      </c>
      <c r="C2480" t="s">
        <v>2596</v>
      </c>
      <c r="D2480" s="254">
        <v>58.75</v>
      </c>
      <c r="E2480"/>
      <c r="F2480"/>
      <c r="G2480"/>
      <c r="H2480"/>
      <c r="I2480" s="489"/>
      <c r="J2480" s="1095"/>
      <c r="K2480" s="1095"/>
      <c r="L2480" s="1095"/>
      <c r="M2480" s="1095"/>
    </row>
    <row r="2481" spans="1:13" x14ac:dyDescent="0.25">
      <c r="A2481">
        <v>1917620</v>
      </c>
      <c r="B2481" t="s">
        <v>9771</v>
      </c>
      <c r="C2481" t="s">
        <v>2596</v>
      </c>
      <c r="D2481" s="254">
        <v>10.28</v>
      </c>
      <c r="E2481"/>
      <c r="F2481"/>
      <c r="G2481"/>
      <c r="H2481"/>
      <c r="I2481" s="489"/>
      <c r="J2481" s="1095"/>
      <c r="K2481" s="1095"/>
      <c r="L2481" s="1095"/>
      <c r="M2481" s="1095"/>
    </row>
    <row r="2482" spans="1:13" x14ac:dyDescent="0.25">
      <c r="A2482">
        <v>1917621</v>
      </c>
      <c r="B2482" t="s">
        <v>9772</v>
      </c>
      <c r="C2482" t="s">
        <v>2596</v>
      </c>
      <c r="D2482" s="254">
        <v>11.97</v>
      </c>
      <c r="E2482"/>
      <c r="F2482"/>
      <c r="G2482"/>
      <c r="H2482"/>
      <c r="I2482" s="489"/>
      <c r="J2482" s="1095"/>
      <c r="K2482" s="1095"/>
      <c r="L2482" s="1095"/>
      <c r="M2482" s="1095"/>
    </row>
    <row r="2483" spans="1:13" x14ac:dyDescent="0.25">
      <c r="A2483">
        <v>1917622</v>
      </c>
      <c r="B2483" t="s">
        <v>9773</v>
      </c>
      <c r="C2483" t="s">
        <v>2596</v>
      </c>
      <c r="D2483" s="254">
        <v>14.84</v>
      </c>
      <c r="E2483"/>
      <c r="F2483"/>
      <c r="G2483"/>
      <c r="H2483"/>
      <c r="I2483" s="489"/>
      <c r="J2483" s="1095"/>
      <c r="K2483" s="1095"/>
      <c r="L2483" s="1095"/>
      <c r="M2483" s="1095"/>
    </row>
    <row r="2484" spans="1:13" x14ac:dyDescent="0.25">
      <c r="A2484">
        <v>1917741</v>
      </c>
      <c r="B2484" t="s">
        <v>9774</v>
      </c>
      <c r="C2484" t="s">
        <v>2596</v>
      </c>
      <c r="D2484" s="254">
        <v>9.51</v>
      </c>
      <c r="E2484"/>
      <c r="F2484"/>
      <c r="G2484"/>
      <c r="H2484"/>
      <c r="I2484" s="489"/>
      <c r="J2484" s="1095"/>
      <c r="K2484" s="1095"/>
      <c r="L2484" s="1095"/>
      <c r="M2484" s="1095"/>
    </row>
    <row r="2485" spans="1:13" x14ac:dyDescent="0.25">
      <c r="A2485">
        <v>1917269</v>
      </c>
      <c r="B2485" t="s">
        <v>9775</v>
      </c>
      <c r="C2485" t="s">
        <v>2596</v>
      </c>
      <c r="D2485" s="254">
        <v>28.12</v>
      </c>
      <c r="E2485"/>
      <c r="F2485"/>
      <c r="G2485"/>
      <c r="H2485"/>
      <c r="I2485" s="489"/>
      <c r="J2485" s="1095"/>
      <c r="K2485" s="1095"/>
      <c r="L2485" s="1095"/>
      <c r="M2485" s="1095"/>
    </row>
    <row r="2486" spans="1:13" x14ac:dyDescent="0.25">
      <c r="A2486">
        <v>1917270</v>
      </c>
      <c r="B2486" t="s">
        <v>9776</v>
      </c>
      <c r="C2486" t="s">
        <v>2596</v>
      </c>
      <c r="D2486" s="254">
        <v>37.79</v>
      </c>
      <c r="E2486"/>
      <c r="F2486"/>
      <c r="G2486"/>
      <c r="H2486"/>
      <c r="I2486" s="489"/>
      <c r="J2486" s="1095"/>
      <c r="K2486" s="1095"/>
      <c r="L2486" s="1095"/>
      <c r="M2486" s="1095"/>
    </row>
    <row r="2487" spans="1:13" x14ac:dyDescent="0.25">
      <c r="A2487">
        <v>1917266</v>
      </c>
      <c r="B2487" t="s">
        <v>9777</v>
      </c>
      <c r="C2487" t="s">
        <v>2596</v>
      </c>
      <c r="D2487" s="254">
        <v>9.31</v>
      </c>
      <c r="E2487"/>
      <c r="F2487"/>
      <c r="G2487"/>
      <c r="H2487"/>
      <c r="I2487" s="489"/>
      <c r="J2487" s="1095"/>
      <c r="K2487" s="1095"/>
      <c r="L2487" s="1095"/>
      <c r="M2487" s="1095"/>
    </row>
    <row r="2488" spans="1:13" x14ac:dyDescent="0.25">
      <c r="A2488">
        <v>1917267</v>
      </c>
      <c r="B2488" t="s">
        <v>9778</v>
      </c>
      <c r="C2488" t="s">
        <v>2596</v>
      </c>
      <c r="D2488" s="254">
        <v>13.49</v>
      </c>
      <c r="E2488"/>
      <c r="F2488"/>
      <c r="G2488"/>
      <c r="H2488"/>
      <c r="I2488" s="489"/>
      <c r="J2488" s="1095"/>
      <c r="K2488" s="1095"/>
      <c r="L2488" s="1095"/>
      <c r="M2488" s="1095"/>
    </row>
    <row r="2489" spans="1:13" x14ac:dyDescent="0.25">
      <c r="A2489">
        <v>1917268</v>
      </c>
      <c r="B2489" t="s">
        <v>9779</v>
      </c>
      <c r="C2489" t="s">
        <v>2596</v>
      </c>
      <c r="D2489" s="254">
        <v>20.46</v>
      </c>
      <c r="E2489"/>
      <c r="F2489"/>
      <c r="G2489"/>
      <c r="H2489"/>
      <c r="I2489" s="489"/>
      <c r="J2489" s="1095"/>
      <c r="K2489" s="1095"/>
      <c r="L2489" s="1095"/>
      <c r="M2489" s="1095"/>
    </row>
    <row r="2490" spans="1:13" x14ac:dyDescent="0.25">
      <c r="A2490">
        <v>1917728</v>
      </c>
      <c r="B2490" t="s">
        <v>9780</v>
      </c>
      <c r="C2490" t="s">
        <v>2596</v>
      </c>
      <c r="D2490" s="254">
        <v>8.6</v>
      </c>
      <c r="E2490"/>
      <c r="F2490"/>
      <c r="G2490"/>
      <c r="H2490"/>
      <c r="I2490" s="489"/>
      <c r="J2490" s="1095"/>
      <c r="K2490" s="1095"/>
      <c r="L2490" s="1095"/>
      <c r="M2490" s="1095"/>
    </row>
    <row r="2491" spans="1:13" x14ac:dyDescent="0.25">
      <c r="A2491">
        <v>1917358</v>
      </c>
      <c r="B2491" t="s">
        <v>9781</v>
      </c>
      <c r="C2491" t="s">
        <v>2596</v>
      </c>
      <c r="D2491" s="254">
        <v>8.17</v>
      </c>
      <c r="E2491"/>
      <c r="F2491"/>
      <c r="G2491"/>
      <c r="H2491"/>
      <c r="I2491" s="489"/>
      <c r="J2491" s="1095"/>
      <c r="K2491" s="1095"/>
      <c r="L2491" s="1095"/>
      <c r="M2491" s="1095"/>
    </row>
    <row r="2492" spans="1:13" x14ac:dyDescent="0.25">
      <c r="A2492">
        <v>1917362</v>
      </c>
      <c r="B2492" t="s">
        <v>9782</v>
      </c>
      <c r="C2492" t="s">
        <v>2596</v>
      </c>
      <c r="D2492" s="254">
        <v>38.86</v>
      </c>
      <c r="E2492"/>
      <c r="F2492"/>
      <c r="G2492"/>
      <c r="H2492"/>
      <c r="I2492" s="489"/>
      <c r="J2492" s="1095"/>
      <c r="K2492" s="1095"/>
      <c r="L2492" s="1095"/>
      <c r="M2492" s="1095"/>
    </row>
    <row r="2493" spans="1:13" x14ac:dyDescent="0.25">
      <c r="A2493">
        <v>1917363</v>
      </c>
      <c r="B2493" t="s">
        <v>9783</v>
      </c>
      <c r="C2493" t="s">
        <v>2596</v>
      </c>
      <c r="D2493" s="254">
        <v>47.26</v>
      </c>
      <c r="E2493"/>
      <c r="F2493"/>
      <c r="G2493"/>
      <c r="H2493"/>
      <c r="I2493" s="489"/>
      <c r="J2493" s="1095"/>
      <c r="K2493" s="1095"/>
      <c r="L2493" s="1095"/>
      <c r="M2493" s="1095"/>
    </row>
    <row r="2494" spans="1:13" x14ac:dyDescent="0.25">
      <c r="A2494">
        <v>1917359</v>
      </c>
      <c r="B2494" t="s">
        <v>9784</v>
      </c>
      <c r="C2494" t="s">
        <v>2596</v>
      </c>
      <c r="D2494" s="254">
        <v>11.5</v>
      </c>
      <c r="E2494"/>
      <c r="F2494"/>
      <c r="G2494"/>
      <c r="H2494"/>
      <c r="I2494" s="489"/>
      <c r="J2494" s="1095"/>
      <c r="K2494" s="1095"/>
      <c r="L2494" s="1095"/>
      <c r="M2494" s="1095"/>
    </row>
    <row r="2495" spans="1:13" x14ac:dyDescent="0.25">
      <c r="A2495">
        <v>1917360</v>
      </c>
      <c r="B2495" t="s">
        <v>9785</v>
      </c>
      <c r="C2495" t="s">
        <v>2596</v>
      </c>
      <c r="D2495" s="254">
        <v>18.760000000000002</v>
      </c>
      <c r="E2495"/>
      <c r="F2495"/>
      <c r="G2495"/>
      <c r="H2495"/>
      <c r="I2495" s="489"/>
      <c r="J2495" s="1095"/>
      <c r="K2495" s="1095"/>
      <c r="L2495" s="1095"/>
      <c r="M2495" s="1095"/>
    </row>
    <row r="2496" spans="1:13" x14ac:dyDescent="0.25">
      <c r="A2496">
        <v>1917361</v>
      </c>
      <c r="B2496" t="s">
        <v>9786</v>
      </c>
      <c r="C2496" t="s">
        <v>2596</v>
      </c>
      <c r="D2496" s="254">
        <v>27.93</v>
      </c>
      <c r="E2496"/>
      <c r="F2496"/>
      <c r="G2496"/>
      <c r="H2496"/>
      <c r="I2496" s="489"/>
      <c r="J2496" s="1095"/>
      <c r="K2496" s="1095"/>
      <c r="L2496" s="1095"/>
      <c r="M2496" s="1095"/>
    </row>
    <row r="2497" spans="1:13" x14ac:dyDescent="0.25">
      <c r="A2497">
        <v>1917476</v>
      </c>
      <c r="B2497" t="s">
        <v>9787</v>
      </c>
      <c r="C2497" t="s">
        <v>2596</v>
      </c>
      <c r="D2497" s="254">
        <v>28.56</v>
      </c>
      <c r="E2497"/>
      <c r="F2497"/>
      <c r="G2497"/>
      <c r="H2497"/>
      <c r="I2497" s="489"/>
      <c r="J2497" s="1095"/>
      <c r="K2497" s="1095"/>
      <c r="L2497" s="1095"/>
      <c r="M2497" s="1095"/>
    </row>
    <row r="2498" spans="1:13" x14ac:dyDescent="0.25">
      <c r="A2498">
        <v>1917477</v>
      </c>
      <c r="B2498" t="s">
        <v>9788</v>
      </c>
      <c r="C2498" t="s">
        <v>2596</v>
      </c>
      <c r="D2498" s="254">
        <v>36.71</v>
      </c>
      <c r="E2498"/>
      <c r="F2498"/>
      <c r="G2498"/>
      <c r="H2498"/>
      <c r="I2498" s="489"/>
      <c r="J2498" s="1095"/>
      <c r="K2498" s="1095"/>
      <c r="L2498" s="1095"/>
      <c r="M2498" s="1095"/>
    </row>
    <row r="2499" spans="1:13" x14ac:dyDescent="0.25">
      <c r="A2499">
        <v>1917478</v>
      </c>
      <c r="B2499" t="s">
        <v>9789</v>
      </c>
      <c r="C2499" t="s">
        <v>2596</v>
      </c>
      <c r="D2499" s="254">
        <v>46.97</v>
      </c>
      <c r="E2499"/>
      <c r="F2499"/>
      <c r="G2499"/>
      <c r="H2499"/>
      <c r="I2499" s="489"/>
      <c r="J2499" s="1095"/>
      <c r="K2499" s="1095"/>
      <c r="L2499" s="1095"/>
      <c r="M2499" s="1095"/>
    </row>
    <row r="2500" spans="1:13" x14ac:dyDescent="0.25">
      <c r="A2500">
        <v>1917479</v>
      </c>
      <c r="B2500" t="s">
        <v>9790</v>
      </c>
      <c r="C2500" t="s">
        <v>2596</v>
      </c>
      <c r="D2500" s="254">
        <v>51.01</v>
      </c>
      <c r="E2500"/>
      <c r="F2500"/>
      <c r="G2500"/>
      <c r="H2500"/>
      <c r="I2500" s="489"/>
      <c r="J2500" s="1095"/>
      <c r="K2500" s="1095"/>
      <c r="L2500" s="1095"/>
      <c r="M2500" s="1095"/>
    </row>
    <row r="2501" spans="1:13" x14ac:dyDescent="0.25">
      <c r="A2501">
        <v>1917473</v>
      </c>
      <c r="B2501" t="s">
        <v>9791</v>
      </c>
      <c r="C2501" t="s">
        <v>2596</v>
      </c>
      <c r="D2501" s="254">
        <v>13.18</v>
      </c>
      <c r="E2501"/>
      <c r="F2501"/>
      <c r="G2501"/>
      <c r="H2501"/>
      <c r="I2501" s="489"/>
      <c r="J2501" s="1095"/>
      <c r="K2501" s="1095"/>
      <c r="L2501" s="1095"/>
      <c r="M2501" s="1095"/>
    </row>
    <row r="2502" spans="1:13" x14ac:dyDescent="0.25">
      <c r="A2502">
        <v>1917474</v>
      </c>
      <c r="B2502" t="s">
        <v>9792</v>
      </c>
      <c r="C2502" t="s">
        <v>2596</v>
      </c>
      <c r="D2502" s="254">
        <v>16.920000000000002</v>
      </c>
      <c r="E2502"/>
      <c r="F2502"/>
      <c r="G2502"/>
      <c r="H2502"/>
      <c r="I2502" s="489"/>
      <c r="J2502" s="1095"/>
      <c r="K2502" s="1095"/>
      <c r="L2502" s="1095"/>
      <c r="M2502" s="1095"/>
    </row>
    <row r="2503" spans="1:13" x14ac:dyDescent="0.25">
      <c r="A2503">
        <v>1917475</v>
      </c>
      <c r="B2503" t="s">
        <v>9793</v>
      </c>
      <c r="C2503" t="s">
        <v>2596</v>
      </c>
      <c r="D2503" s="254">
        <v>21.58</v>
      </c>
      <c r="E2503"/>
      <c r="F2503"/>
      <c r="G2503"/>
      <c r="H2503"/>
      <c r="I2503" s="489"/>
      <c r="J2503" s="1095"/>
      <c r="K2503" s="1095"/>
      <c r="L2503" s="1095"/>
      <c r="M2503" s="1095"/>
    </row>
    <row r="2504" spans="1:13" x14ac:dyDescent="0.25">
      <c r="A2504">
        <v>1917736</v>
      </c>
      <c r="B2504" t="s">
        <v>9794</v>
      </c>
      <c r="C2504" t="s">
        <v>2596</v>
      </c>
      <c r="D2504" s="254">
        <v>9.4700000000000006</v>
      </c>
      <c r="E2504"/>
      <c r="F2504"/>
      <c r="G2504"/>
      <c r="H2504"/>
      <c r="I2504" s="489"/>
      <c r="J2504" s="1095"/>
      <c r="K2504" s="1095"/>
      <c r="L2504" s="1095"/>
      <c r="M2504" s="1095"/>
    </row>
    <row r="2505" spans="1:13" x14ac:dyDescent="0.25">
      <c r="A2505">
        <v>1917067</v>
      </c>
      <c r="B2505" t="s">
        <v>9795</v>
      </c>
      <c r="C2505" t="s">
        <v>2596</v>
      </c>
      <c r="D2505" s="254">
        <v>9.7100000000000009</v>
      </c>
      <c r="E2505"/>
      <c r="F2505"/>
      <c r="G2505"/>
      <c r="H2505"/>
      <c r="I2505" s="489"/>
      <c r="J2505" s="1095"/>
      <c r="K2505" s="1095"/>
      <c r="L2505" s="1095"/>
      <c r="M2505" s="1095"/>
    </row>
    <row r="2506" spans="1:13" x14ac:dyDescent="0.25">
      <c r="A2506">
        <v>1917068</v>
      </c>
      <c r="B2506" t="s">
        <v>9796</v>
      </c>
      <c r="C2506" t="s">
        <v>2596</v>
      </c>
      <c r="D2506" s="254">
        <v>9.9</v>
      </c>
      <c r="E2506"/>
      <c r="F2506"/>
      <c r="G2506"/>
      <c r="H2506"/>
      <c r="I2506" s="489"/>
      <c r="J2506" s="1095"/>
      <c r="K2506" s="1095"/>
      <c r="L2506" s="1095"/>
      <c r="M2506" s="1095"/>
    </row>
    <row r="2507" spans="1:13" x14ac:dyDescent="0.25">
      <c r="A2507">
        <v>1917069</v>
      </c>
      <c r="B2507" t="s">
        <v>9797</v>
      </c>
      <c r="C2507" t="s">
        <v>2596</v>
      </c>
      <c r="D2507" s="254">
        <v>10.1</v>
      </c>
      <c r="E2507"/>
      <c r="F2507"/>
      <c r="G2507"/>
      <c r="H2507"/>
      <c r="I2507" s="489"/>
      <c r="J2507" s="1095"/>
      <c r="K2507" s="1095"/>
      <c r="L2507" s="1095"/>
      <c r="M2507" s="1095"/>
    </row>
    <row r="2508" spans="1:13" x14ac:dyDescent="0.25">
      <c r="A2508">
        <v>1917070</v>
      </c>
      <c r="B2508" t="s">
        <v>9798</v>
      </c>
      <c r="C2508" t="s">
        <v>2596</v>
      </c>
      <c r="D2508" s="254">
        <v>10.31</v>
      </c>
      <c r="E2508"/>
      <c r="F2508"/>
      <c r="G2508"/>
      <c r="H2508"/>
      <c r="I2508" s="489"/>
      <c r="J2508" s="1095"/>
      <c r="K2508" s="1095"/>
      <c r="L2508" s="1095"/>
      <c r="M2508" s="1095"/>
    </row>
    <row r="2509" spans="1:13" x14ac:dyDescent="0.25">
      <c r="A2509">
        <v>1917071</v>
      </c>
      <c r="B2509" t="s">
        <v>9799</v>
      </c>
      <c r="C2509" t="s">
        <v>2596</v>
      </c>
      <c r="D2509" s="254">
        <v>10.53</v>
      </c>
      <c r="E2509"/>
      <c r="F2509"/>
      <c r="G2509"/>
      <c r="H2509"/>
      <c r="I2509" s="489"/>
      <c r="J2509" s="1095"/>
      <c r="K2509" s="1095"/>
      <c r="L2509" s="1095"/>
      <c r="M2509" s="1095"/>
    </row>
    <row r="2510" spans="1:13" x14ac:dyDescent="0.25">
      <c r="A2510">
        <v>1917072</v>
      </c>
      <c r="B2510" t="s">
        <v>9800</v>
      </c>
      <c r="C2510" t="s">
        <v>2596</v>
      </c>
      <c r="D2510" s="254">
        <v>10.65</v>
      </c>
      <c r="E2510"/>
      <c r="F2510"/>
      <c r="G2510"/>
      <c r="H2510"/>
      <c r="I2510" s="489"/>
      <c r="J2510" s="1095"/>
      <c r="K2510" s="1095"/>
      <c r="L2510" s="1095"/>
      <c r="M2510" s="1095"/>
    </row>
    <row r="2511" spans="1:13" x14ac:dyDescent="0.25">
      <c r="A2511">
        <v>1901572</v>
      </c>
      <c r="B2511" t="s">
        <v>9801</v>
      </c>
      <c r="C2511" t="s">
        <v>2596</v>
      </c>
      <c r="D2511" s="254">
        <v>7.81</v>
      </c>
      <c r="E2511"/>
      <c r="F2511"/>
      <c r="G2511"/>
      <c r="H2511"/>
      <c r="I2511" s="489"/>
      <c r="J2511" s="1095"/>
      <c r="K2511" s="1095"/>
      <c r="L2511" s="1095"/>
      <c r="M2511" s="1095"/>
    </row>
    <row r="2512" spans="1:13" x14ac:dyDescent="0.25">
      <c r="A2512">
        <v>1901573</v>
      </c>
      <c r="B2512" t="s">
        <v>9802</v>
      </c>
      <c r="C2512" t="s">
        <v>2596</v>
      </c>
      <c r="D2512" s="254">
        <v>7.88</v>
      </c>
      <c r="E2512"/>
      <c r="F2512"/>
      <c r="G2512"/>
      <c r="H2512"/>
      <c r="I2512" s="489"/>
      <c r="J2512" s="1095"/>
      <c r="K2512" s="1095"/>
      <c r="L2512" s="1095"/>
      <c r="M2512" s="1095"/>
    </row>
    <row r="2513" spans="1:13" x14ac:dyDescent="0.25">
      <c r="A2513">
        <v>1901574</v>
      </c>
      <c r="B2513" t="s">
        <v>9803</v>
      </c>
      <c r="C2513" t="s">
        <v>2596</v>
      </c>
      <c r="D2513" s="254">
        <v>7.96</v>
      </c>
      <c r="E2513"/>
      <c r="F2513"/>
      <c r="G2513"/>
      <c r="H2513"/>
      <c r="I2513" s="489"/>
      <c r="J2513" s="1095"/>
      <c r="K2513" s="1095"/>
      <c r="L2513" s="1095"/>
      <c r="M2513" s="1095"/>
    </row>
    <row r="2514" spans="1:13" x14ac:dyDescent="0.25">
      <c r="A2514">
        <v>1901575</v>
      </c>
      <c r="B2514" t="s">
        <v>9804</v>
      </c>
      <c r="C2514" t="s">
        <v>2596</v>
      </c>
      <c r="D2514" s="254">
        <v>8.0299999999999994</v>
      </c>
      <c r="E2514"/>
      <c r="F2514"/>
      <c r="G2514"/>
      <c r="H2514"/>
      <c r="I2514" s="489"/>
      <c r="J2514" s="1095"/>
      <c r="K2514" s="1095"/>
      <c r="L2514" s="1095"/>
      <c r="M2514" s="1095"/>
    </row>
    <row r="2515" spans="1:13" x14ac:dyDescent="0.25">
      <c r="A2515">
        <v>1901576</v>
      </c>
      <c r="B2515" t="s">
        <v>9805</v>
      </c>
      <c r="C2515" t="s">
        <v>2596</v>
      </c>
      <c r="D2515" s="254">
        <v>8.11</v>
      </c>
      <c r="E2515"/>
      <c r="F2515"/>
      <c r="G2515"/>
      <c r="H2515"/>
      <c r="I2515" s="489"/>
      <c r="J2515" s="1095"/>
      <c r="K2515" s="1095"/>
      <c r="L2515" s="1095"/>
      <c r="M2515" s="1095"/>
    </row>
    <row r="2516" spans="1:13" x14ac:dyDescent="0.25">
      <c r="A2516">
        <v>1901571</v>
      </c>
      <c r="B2516" t="s">
        <v>9806</v>
      </c>
      <c r="C2516" t="s">
        <v>2596</v>
      </c>
      <c r="D2516" s="254">
        <v>8.16</v>
      </c>
      <c r="E2516"/>
      <c r="F2516"/>
      <c r="G2516"/>
      <c r="H2516"/>
      <c r="I2516" s="489"/>
      <c r="J2516" s="1095"/>
      <c r="K2516" s="1095"/>
      <c r="L2516" s="1095"/>
      <c r="M2516" s="1095"/>
    </row>
    <row r="2517" spans="1:13" x14ac:dyDescent="0.25">
      <c r="A2517">
        <v>1901578</v>
      </c>
      <c r="B2517" t="s">
        <v>9807</v>
      </c>
      <c r="C2517" t="s">
        <v>2596</v>
      </c>
      <c r="D2517" s="254">
        <v>10.38</v>
      </c>
      <c r="E2517"/>
      <c r="F2517"/>
      <c r="G2517"/>
      <c r="H2517"/>
      <c r="I2517" s="489"/>
      <c r="J2517" s="1095"/>
      <c r="K2517" s="1095"/>
      <c r="L2517" s="1095"/>
      <c r="M2517" s="1095"/>
    </row>
    <row r="2518" spans="1:13" x14ac:dyDescent="0.25">
      <c r="A2518">
        <v>1901579</v>
      </c>
      <c r="B2518" t="s">
        <v>9808</v>
      </c>
      <c r="C2518" t="s">
        <v>2596</v>
      </c>
      <c r="D2518" s="254">
        <v>10.45</v>
      </c>
      <c r="E2518"/>
      <c r="F2518"/>
      <c r="G2518"/>
      <c r="H2518"/>
      <c r="I2518" s="489"/>
      <c r="J2518" s="1095"/>
      <c r="K2518" s="1095"/>
      <c r="L2518" s="1095"/>
      <c r="M2518" s="1095"/>
    </row>
    <row r="2519" spans="1:13" x14ac:dyDescent="0.25">
      <c r="A2519">
        <v>1901580</v>
      </c>
      <c r="B2519" t="s">
        <v>9809</v>
      </c>
      <c r="C2519" t="s">
        <v>2596</v>
      </c>
      <c r="D2519" s="254">
        <v>10.52</v>
      </c>
      <c r="E2519"/>
      <c r="F2519"/>
      <c r="G2519"/>
      <c r="H2519"/>
      <c r="I2519" s="489"/>
      <c r="J2519" s="1095"/>
      <c r="K2519" s="1095"/>
      <c r="L2519" s="1095"/>
      <c r="M2519" s="1095"/>
    </row>
    <row r="2520" spans="1:13" x14ac:dyDescent="0.25">
      <c r="A2520">
        <v>1901581</v>
      </c>
      <c r="B2520" t="s">
        <v>9810</v>
      </c>
      <c r="C2520" t="s">
        <v>2596</v>
      </c>
      <c r="D2520" s="254">
        <v>10.59</v>
      </c>
      <c r="E2520"/>
      <c r="F2520"/>
      <c r="G2520"/>
      <c r="H2520"/>
      <c r="I2520" s="489"/>
      <c r="J2520" s="1095"/>
      <c r="K2520" s="1095"/>
      <c r="L2520" s="1095"/>
      <c r="M2520" s="1095"/>
    </row>
    <row r="2521" spans="1:13" x14ac:dyDescent="0.25">
      <c r="A2521">
        <v>1901582</v>
      </c>
      <c r="B2521" t="s">
        <v>9811</v>
      </c>
      <c r="C2521" t="s">
        <v>2596</v>
      </c>
      <c r="D2521" s="254">
        <v>10.67</v>
      </c>
      <c r="E2521"/>
      <c r="F2521"/>
      <c r="G2521"/>
      <c r="H2521"/>
      <c r="I2521" s="489"/>
      <c r="J2521" s="1095"/>
      <c r="K2521" s="1095"/>
      <c r="L2521" s="1095"/>
      <c r="M2521" s="1095"/>
    </row>
    <row r="2522" spans="1:13" x14ac:dyDescent="0.25">
      <c r="A2522">
        <v>1901577</v>
      </c>
      <c r="B2522" t="s">
        <v>9812</v>
      </c>
      <c r="C2522" t="s">
        <v>2596</v>
      </c>
      <c r="D2522" s="254">
        <v>10.71</v>
      </c>
      <c r="E2522"/>
      <c r="F2522"/>
      <c r="G2522"/>
      <c r="H2522"/>
      <c r="I2522" s="489"/>
      <c r="J2522" s="1095"/>
      <c r="K2522" s="1095"/>
      <c r="L2522" s="1095"/>
      <c r="M2522" s="1095"/>
    </row>
    <row r="2523" spans="1:13" x14ac:dyDescent="0.25">
      <c r="A2523">
        <v>1917103</v>
      </c>
      <c r="B2523" t="s">
        <v>9813</v>
      </c>
      <c r="C2523" t="s">
        <v>2596</v>
      </c>
      <c r="D2523" s="254">
        <v>11.49</v>
      </c>
      <c r="E2523"/>
      <c r="F2523"/>
      <c r="G2523"/>
      <c r="H2523"/>
      <c r="I2523" s="489"/>
      <c r="J2523" s="1095"/>
      <c r="K2523" s="1095"/>
      <c r="L2523" s="1095"/>
      <c r="M2523" s="1095"/>
    </row>
    <row r="2524" spans="1:13" x14ac:dyDescent="0.25">
      <c r="A2524">
        <v>1917104</v>
      </c>
      <c r="B2524" t="s">
        <v>9814</v>
      </c>
      <c r="C2524" t="s">
        <v>2596</v>
      </c>
      <c r="D2524" s="254">
        <v>11.65</v>
      </c>
      <c r="E2524"/>
      <c r="F2524"/>
      <c r="G2524"/>
      <c r="H2524"/>
      <c r="I2524" s="489"/>
      <c r="J2524" s="1095"/>
      <c r="K2524" s="1095"/>
      <c r="L2524" s="1095"/>
      <c r="M2524" s="1095"/>
    </row>
    <row r="2525" spans="1:13" x14ac:dyDescent="0.25">
      <c r="A2525">
        <v>1917105</v>
      </c>
      <c r="B2525" t="s">
        <v>9815</v>
      </c>
      <c r="C2525" t="s">
        <v>2596</v>
      </c>
      <c r="D2525" s="254">
        <v>11.82</v>
      </c>
      <c r="E2525"/>
      <c r="F2525"/>
      <c r="G2525"/>
      <c r="H2525"/>
      <c r="I2525" s="489"/>
      <c r="J2525" s="1095"/>
      <c r="K2525" s="1095"/>
      <c r="L2525" s="1095"/>
      <c r="M2525" s="1095"/>
    </row>
    <row r="2526" spans="1:13" x14ac:dyDescent="0.25">
      <c r="A2526">
        <v>1917106</v>
      </c>
      <c r="B2526" t="s">
        <v>9816</v>
      </c>
      <c r="C2526" t="s">
        <v>2596</v>
      </c>
      <c r="D2526" s="254">
        <v>12</v>
      </c>
      <c r="E2526"/>
      <c r="F2526"/>
      <c r="G2526"/>
      <c r="H2526"/>
      <c r="I2526" s="489"/>
      <c r="J2526" s="1095"/>
      <c r="K2526" s="1095"/>
      <c r="L2526" s="1095"/>
      <c r="M2526" s="1095"/>
    </row>
    <row r="2527" spans="1:13" x14ac:dyDescent="0.25">
      <c r="A2527">
        <v>1917107</v>
      </c>
      <c r="B2527" t="s">
        <v>9817</v>
      </c>
      <c r="C2527" t="s">
        <v>2596</v>
      </c>
      <c r="D2527" s="254">
        <v>12.19</v>
      </c>
      <c r="E2527"/>
      <c r="F2527"/>
      <c r="G2527"/>
      <c r="H2527"/>
      <c r="I2527" s="489"/>
      <c r="J2527" s="1095"/>
      <c r="K2527" s="1095"/>
      <c r="L2527" s="1095"/>
      <c r="M2527" s="1095"/>
    </row>
    <row r="2528" spans="1:13" x14ac:dyDescent="0.25">
      <c r="A2528">
        <v>1917108</v>
      </c>
      <c r="B2528" t="s">
        <v>9818</v>
      </c>
      <c r="C2528" t="s">
        <v>2596</v>
      </c>
      <c r="D2528" s="254">
        <v>12.29</v>
      </c>
      <c r="E2528"/>
      <c r="F2528"/>
      <c r="G2528"/>
      <c r="H2528"/>
      <c r="I2528" s="489"/>
      <c r="J2528" s="1095"/>
      <c r="K2528" s="1095"/>
      <c r="L2528" s="1095"/>
      <c r="M2528" s="1095"/>
    </row>
    <row r="2529" spans="1:13" x14ac:dyDescent="0.25">
      <c r="A2529">
        <v>1901583</v>
      </c>
      <c r="B2529" t="s">
        <v>9819</v>
      </c>
      <c r="C2529" t="s">
        <v>2596</v>
      </c>
      <c r="D2529" s="254">
        <v>13.01</v>
      </c>
      <c r="E2529"/>
      <c r="F2529"/>
      <c r="G2529"/>
      <c r="H2529"/>
      <c r="I2529" s="489"/>
      <c r="J2529" s="1095"/>
      <c r="K2529" s="1095"/>
      <c r="L2529" s="1095"/>
      <c r="M2529" s="1095"/>
    </row>
    <row r="2530" spans="1:13" x14ac:dyDescent="0.25">
      <c r="A2530">
        <v>1901584</v>
      </c>
      <c r="B2530" t="s">
        <v>9820</v>
      </c>
      <c r="C2530" t="s">
        <v>2596</v>
      </c>
      <c r="D2530" s="254">
        <v>13.07</v>
      </c>
      <c r="E2530"/>
      <c r="F2530"/>
      <c r="G2530"/>
      <c r="H2530"/>
      <c r="I2530" s="489"/>
      <c r="J2530" s="1095"/>
      <c r="K2530" s="1095"/>
      <c r="L2530" s="1095"/>
      <c r="M2530" s="1095"/>
    </row>
    <row r="2531" spans="1:13" x14ac:dyDescent="0.25">
      <c r="A2531">
        <v>1901585</v>
      </c>
      <c r="B2531" t="s">
        <v>9821</v>
      </c>
      <c r="C2531" t="s">
        <v>2596</v>
      </c>
      <c r="D2531" s="254">
        <v>13.14</v>
      </c>
      <c r="E2531"/>
      <c r="F2531"/>
      <c r="G2531"/>
      <c r="H2531"/>
      <c r="I2531" s="489"/>
      <c r="J2531" s="1095"/>
      <c r="K2531" s="1095"/>
      <c r="L2531" s="1095"/>
      <c r="M2531" s="1095"/>
    </row>
    <row r="2532" spans="1:13" x14ac:dyDescent="0.25">
      <c r="A2532">
        <v>1901586</v>
      </c>
      <c r="B2532" t="s">
        <v>9822</v>
      </c>
      <c r="C2532" t="s">
        <v>2596</v>
      </c>
      <c r="D2532" s="254">
        <v>13.21</v>
      </c>
      <c r="E2532"/>
      <c r="F2532"/>
      <c r="G2532"/>
      <c r="H2532"/>
      <c r="I2532" s="489"/>
      <c r="J2532" s="1095"/>
      <c r="K2532" s="1095"/>
      <c r="L2532" s="1095"/>
      <c r="M2532" s="1095"/>
    </row>
    <row r="2533" spans="1:13" x14ac:dyDescent="0.25">
      <c r="A2533">
        <v>1901587</v>
      </c>
      <c r="B2533" t="s">
        <v>9823</v>
      </c>
      <c r="C2533" t="s">
        <v>2596</v>
      </c>
      <c r="D2533" s="254">
        <v>13.29</v>
      </c>
      <c r="E2533"/>
      <c r="F2533"/>
      <c r="G2533"/>
      <c r="H2533"/>
      <c r="I2533" s="489"/>
      <c r="J2533" s="1095"/>
      <c r="K2533" s="1095"/>
      <c r="L2533" s="1095"/>
      <c r="M2533" s="1095"/>
    </row>
    <row r="2534" spans="1:13" x14ac:dyDescent="0.25">
      <c r="A2534">
        <v>1901588</v>
      </c>
      <c r="B2534" t="s">
        <v>9824</v>
      </c>
      <c r="C2534" t="s">
        <v>2596</v>
      </c>
      <c r="D2534" s="254">
        <v>13.33</v>
      </c>
      <c r="E2534"/>
      <c r="F2534"/>
      <c r="G2534"/>
      <c r="H2534"/>
      <c r="I2534" s="489"/>
      <c r="J2534" s="1095"/>
      <c r="K2534" s="1095"/>
      <c r="L2534" s="1095"/>
      <c r="M2534" s="1095"/>
    </row>
    <row r="2535" spans="1:13" x14ac:dyDescent="0.25">
      <c r="A2535">
        <v>1917139</v>
      </c>
      <c r="B2535" t="s">
        <v>9825</v>
      </c>
      <c r="C2535" t="s">
        <v>2596</v>
      </c>
      <c r="D2535" s="254">
        <v>10.84</v>
      </c>
      <c r="E2535"/>
      <c r="F2535"/>
      <c r="G2535"/>
      <c r="H2535"/>
      <c r="I2535" s="489"/>
      <c r="J2535" s="1095"/>
      <c r="K2535" s="1095"/>
      <c r="L2535" s="1095"/>
      <c r="M2535" s="1095"/>
    </row>
    <row r="2536" spans="1:13" x14ac:dyDescent="0.25">
      <c r="A2536">
        <v>1917140</v>
      </c>
      <c r="B2536" t="s">
        <v>9826</v>
      </c>
      <c r="C2536" t="s">
        <v>2596</v>
      </c>
      <c r="D2536" s="254">
        <v>10.98</v>
      </c>
      <c r="E2536"/>
      <c r="F2536"/>
      <c r="G2536"/>
      <c r="H2536"/>
      <c r="I2536" s="489"/>
      <c r="J2536" s="1095"/>
      <c r="K2536" s="1095"/>
      <c r="L2536" s="1095"/>
      <c r="M2536" s="1095"/>
    </row>
    <row r="2537" spans="1:13" x14ac:dyDescent="0.25">
      <c r="A2537">
        <v>1917141</v>
      </c>
      <c r="B2537" t="s">
        <v>9827</v>
      </c>
      <c r="C2537" t="s">
        <v>2596</v>
      </c>
      <c r="D2537" s="254">
        <v>11.11</v>
      </c>
      <c r="E2537"/>
      <c r="F2537"/>
      <c r="G2537"/>
      <c r="H2537"/>
      <c r="I2537" s="489"/>
      <c r="J2537" s="1095"/>
      <c r="K2537" s="1095"/>
      <c r="L2537" s="1095"/>
      <c r="M2537" s="1095"/>
    </row>
    <row r="2538" spans="1:13" x14ac:dyDescent="0.25">
      <c r="A2538">
        <v>1917142</v>
      </c>
      <c r="B2538" t="s">
        <v>9828</v>
      </c>
      <c r="C2538" t="s">
        <v>2596</v>
      </c>
      <c r="D2538" s="254">
        <v>11.26</v>
      </c>
      <c r="E2538"/>
      <c r="F2538"/>
      <c r="G2538"/>
      <c r="H2538"/>
      <c r="I2538" s="489"/>
      <c r="J2538" s="1095"/>
      <c r="K2538" s="1095"/>
      <c r="L2538" s="1095"/>
      <c r="M2538" s="1095"/>
    </row>
    <row r="2539" spans="1:13" x14ac:dyDescent="0.25">
      <c r="A2539">
        <v>1917143</v>
      </c>
      <c r="B2539" t="s">
        <v>9829</v>
      </c>
      <c r="C2539" t="s">
        <v>2596</v>
      </c>
      <c r="D2539" s="254">
        <v>11.41</v>
      </c>
      <c r="E2539"/>
      <c r="F2539"/>
      <c r="G2539"/>
      <c r="H2539"/>
      <c r="I2539" s="489"/>
      <c r="J2539" s="1095"/>
      <c r="K2539" s="1095"/>
      <c r="L2539" s="1095"/>
      <c r="M2539" s="1095"/>
    </row>
    <row r="2540" spans="1:13" x14ac:dyDescent="0.25">
      <c r="A2540">
        <v>1917144</v>
      </c>
      <c r="B2540" t="s">
        <v>9830</v>
      </c>
      <c r="C2540" t="s">
        <v>2596</v>
      </c>
      <c r="D2540" s="254">
        <v>11.5</v>
      </c>
      <c r="E2540"/>
      <c r="F2540"/>
      <c r="G2540"/>
      <c r="H2540"/>
      <c r="I2540" s="489"/>
      <c r="J2540" s="1095"/>
      <c r="K2540" s="1095"/>
      <c r="L2540" s="1095"/>
      <c r="M2540" s="1095"/>
    </row>
    <row r="2541" spans="1:13" x14ac:dyDescent="0.25">
      <c r="A2541">
        <v>1917175</v>
      </c>
      <c r="B2541" t="s">
        <v>9831</v>
      </c>
      <c r="C2541" t="s">
        <v>2596</v>
      </c>
      <c r="D2541" s="254">
        <v>9.58</v>
      </c>
      <c r="E2541"/>
      <c r="F2541"/>
      <c r="G2541"/>
      <c r="H2541"/>
      <c r="I2541" s="489"/>
      <c r="J2541" s="1095"/>
      <c r="K2541" s="1095"/>
      <c r="L2541" s="1095"/>
      <c r="M2541" s="1095"/>
    </row>
    <row r="2542" spans="1:13" x14ac:dyDescent="0.25">
      <c r="A2542">
        <v>1917176</v>
      </c>
      <c r="B2542" t="s">
        <v>9832</v>
      </c>
      <c r="C2542" t="s">
        <v>2596</v>
      </c>
      <c r="D2542" s="254">
        <v>9.69</v>
      </c>
      <c r="E2542"/>
      <c r="F2542"/>
      <c r="G2542"/>
      <c r="H2542"/>
      <c r="I2542" s="489"/>
      <c r="J2542" s="1095"/>
      <c r="K2542" s="1095"/>
      <c r="L2542" s="1095"/>
      <c r="M2542" s="1095"/>
    </row>
    <row r="2543" spans="1:13" x14ac:dyDescent="0.25">
      <c r="A2543">
        <v>1917177</v>
      </c>
      <c r="B2543" t="s">
        <v>9833</v>
      </c>
      <c r="C2543" t="s">
        <v>2596</v>
      </c>
      <c r="D2543" s="254">
        <v>9.81</v>
      </c>
      <c r="E2543"/>
      <c r="F2543"/>
      <c r="G2543"/>
      <c r="H2543"/>
      <c r="I2543" s="489"/>
      <c r="J2543" s="1095"/>
      <c r="K2543" s="1095"/>
      <c r="L2543" s="1095"/>
      <c r="M2543" s="1095"/>
    </row>
    <row r="2544" spans="1:13" x14ac:dyDescent="0.25">
      <c r="A2544">
        <v>1917178</v>
      </c>
      <c r="B2544" t="s">
        <v>9834</v>
      </c>
      <c r="C2544" t="s">
        <v>2596</v>
      </c>
      <c r="D2544" s="254">
        <v>9.93</v>
      </c>
      <c r="E2544"/>
      <c r="F2544"/>
      <c r="G2544"/>
      <c r="H2544"/>
      <c r="I2544" s="489"/>
      <c r="J2544" s="1095"/>
      <c r="K2544" s="1095"/>
      <c r="L2544" s="1095"/>
      <c r="M2544" s="1095"/>
    </row>
    <row r="2545" spans="1:13" x14ac:dyDescent="0.25">
      <c r="A2545">
        <v>1917179</v>
      </c>
      <c r="B2545" t="s">
        <v>9835</v>
      </c>
      <c r="C2545" t="s">
        <v>2596</v>
      </c>
      <c r="D2545" s="254">
        <v>10.06</v>
      </c>
      <c r="E2545"/>
      <c r="F2545"/>
      <c r="G2545"/>
      <c r="H2545"/>
      <c r="I2545" s="489"/>
      <c r="J2545" s="1095"/>
      <c r="K2545" s="1095"/>
      <c r="L2545" s="1095"/>
      <c r="M2545" s="1095"/>
    </row>
    <row r="2546" spans="1:13" x14ac:dyDescent="0.25">
      <c r="A2546">
        <v>1917180</v>
      </c>
      <c r="B2546" t="s">
        <v>9836</v>
      </c>
      <c r="C2546" t="s">
        <v>2596</v>
      </c>
      <c r="D2546" s="254">
        <v>10.130000000000001</v>
      </c>
      <c r="E2546"/>
      <c r="F2546"/>
      <c r="G2546"/>
      <c r="H2546"/>
      <c r="I2546" s="489"/>
      <c r="J2546" s="1095"/>
      <c r="K2546" s="1095"/>
      <c r="L2546" s="1095"/>
      <c r="M2546" s="1095"/>
    </row>
    <row r="2547" spans="1:13" x14ac:dyDescent="0.25">
      <c r="A2547">
        <v>1917211</v>
      </c>
      <c r="B2547" t="s">
        <v>9837</v>
      </c>
      <c r="C2547" t="s">
        <v>2596</v>
      </c>
      <c r="D2547" s="254">
        <v>9.0299999999999994</v>
      </c>
      <c r="E2547"/>
      <c r="F2547"/>
      <c r="G2547"/>
      <c r="H2547"/>
      <c r="I2547" s="489"/>
      <c r="J2547" s="1095"/>
      <c r="K2547" s="1095"/>
      <c r="L2547" s="1095"/>
      <c r="M2547" s="1095"/>
    </row>
    <row r="2548" spans="1:13" x14ac:dyDescent="0.25">
      <c r="A2548">
        <v>1917212</v>
      </c>
      <c r="B2548" t="s">
        <v>9838</v>
      </c>
      <c r="C2548" t="s">
        <v>2596</v>
      </c>
      <c r="D2548" s="254">
        <v>9.14</v>
      </c>
      <c r="E2548"/>
      <c r="F2548"/>
      <c r="G2548"/>
      <c r="H2548"/>
      <c r="I2548" s="489"/>
      <c r="J2548" s="1095"/>
      <c r="K2548" s="1095"/>
      <c r="L2548" s="1095"/>
      <c r="M2548" s="1095"/>
    </row>
    <row r="2549" spans="1:13" x14ac:dyDescent="0.25">
      <c r="A2549">
        <v>1917213</v>
      </c>
      <c r="B2549" t="s">
        <v>9839</v>
      </c>
      <c r="C2549" t="s">
        <v>2596</v>
      </c>
      <c r="D2549" s="254">
        <v>9.24</v>
      </c>
      <c r="E2549"/>
      <c r="F2549"/>
      <c r="G2549"/>
      <c r="H2549"/>
      <c r="I2549" s="489"/>
      <c r="J2549" s="1095"/>
      <c r="K2549" s="1095"/>
      <c r="L2549" s="1095"/>
      <c r="M2549" s="1095"/>
    </row>
    <row r="2550" spans="1:13" x14ac:dyDescent="0.25">
      <c r="A2550">
        <v>1917214</v>
      </c>
      <c r="B2550" t="s">
        <v>9840</v>
      </c>
      <c r="C2550" t="s">
        <v>2596</v>
      </c>
      <c r="D2550" s="254">
        <v>9.35</v>
      </c>
      <c r="E2550"/>
      <c r="F2550"/>
      <c r="G2550"/>
      <c r="H2550"/>
      <c r="I2550" s="489"/>
      <c r="J2550" s="1095"/>
      <c r="K2550" s="1095"/>
      <c r="L2550" s="1095"/>
      <c r="M2550" s="1095"/>
    </row>
    <row r="2551" spans="1:13" x14ac:dyDescent="0.25">
      <c r="A2551">
        <v>1917215</v>
      </c>
      <c r="B2551" t="s">
        <v>9841</v>
      </c>
      <c r="C2551" t="s">
        <v>2596</v>
      </c>
      <c r="D2551" s="254">
        <v>9.4700000000000006</v>
      </c>
      <c r="E2551"/>
      <c r="F2551"/>
      <c r="G2551"/>
      <c r="H2551"/>
      <c r="I2551" s="489"/>
      <c r="J2551" s="1095"/>
      <c r="K2551" s="1095"/>
      <c r="L2551" s="1095"/>
      <c r="M2551" s="1095"/>
    </row>
    <row r="2552" spans="1:13" x14ac:dyDescent="0.25">
      <c r="A2552">
        <v>1917216</v>
      </c>
      <c r="B2552" t="s">
        <v>9842</v>
      </c>
      <c r="C2552" t="s">
        <v>2596</v>
      </c>
      <c r="D2552" s="254">
        <v>9.5299999999999994</v>
      </c>
      <c r="E2552"/>
      <c r="F2552"/>
      <c r="G2552"/>
      <c r="H2552"/>
      <c r="I2552" s="489"/>
      <c r="J2552" s="1095"/>
      <c r="K2552" s="1095"/>
      <c r="L2552" s="1095"/>
      <c r="M2552" s="1095"/>
    </row>
    <row r="2553" spans="1:13" x14ac:dyDescent="0.25">
      <c r="A2553">
        <v>1917031</v>
      </c>
      <c r="B2553" t="s">
        <v>9843</v>
      </c>
      <c r="C2553" t="s">
        <v>2596</v>
      </c>
      <c r="D2553" s="254">
        <v>12.36</v>
      </c>
      <c r="E2553"/>
      <c r="F2553"/>
      <c r="G2553"/>
      <c r="H2553"/>
      <c r="I2553" s="489"/>
      <c r="J2553" s="1095"/>
      <c r="K2553" s="1095"/>
      <c r="L2553" s="1095"/>
      <c r="M2553" s="1095"/>
    </row>
    <row r="2554" spans="1:13" x14ac:dyDescent="0.25">
      <c r="A2554">
        <v>1917032</v>
      </c>
      <c r="B2554" t="s">
        <v>9844</v>
      </c>
      <c r="C2554" t="s">
        <v>2596</v>
      </c>
      <c r="D2554" s="254">
        <v>12.62</v>
      </c>
      <c r="E2554"/>
      <c r="F2554"/>
      <c r="G2554"/>
      <c r="H2554"/>
      <c r="I2554" s="489"/>
      <c r="J2554" s="1095"/>
      <c r="K2554" s="1095"/>
      <c r="L2554" s="1095"/>
      <c r="M2554" s="1095"/>
    </row>
    <row r="2555" spans="1:13" x14ac:dyDescent="0.25">
      <c r="A2555">
        <v>1917033</v>
      </c>
      <c r="B2555" t="s">
        <v>9845</v>
      </c>
      <c r="C2555" t="s">
        <v>2596</v>
      </c>
      <c r="D2555" s="254">
        <v>12.89</v>
      </c>
      <c r="E2555"/>
      <c r="F2555"/>
      <c r="G2555"/>
      <c r="H2555"/>
      <c r="I2555" s="489"/>
      <c r="J2555" s="1095"/>
      <c r="K2555" s="1095"/>
      <c r="L2555" s="1095"/>
      <c r="M2555" s="1095"/>
    </row>
    <row r="2556" spans="1:13" x14ac:dyDescent="0.25">
      <c r="A2556">
        <v>1917034</v>
      </c>
      <c r="B2556" t="s">
        <v>9846</v>
      </c>
      <c r="C2556" t="s">
        <v>2596</v>
      </c>
      <c r="D2556" s="254">
        <v>13.17</v>
      </c>
      <c r="E2556"/>
      <c r="F2556"/>
      <c r="G2556"/>
      <c r="H2556"/>
      <c r="I2556" s="489"/>
      <c r="J2556" s="1095"/>
      <c r="K2556" s="1095"/>
      <c r="L2556" s="1095"/>
      <c r="M2556" s="1095"/>
    </row>
    <row r="2557" spans="1:13" x14ac:dyDescent="0.25">
      <c r="A2557">
        <v>1917035</v>
      </c>
      <c r="B2557" t="s">
        <v>9847</v>
      </c>
      <c r="C2557" t="s">
        <v>2596</v>
      </c>
      <c r="D2557" s="254">
        <v>13.47</v>
      </c>
      <c r="E2557"/>
      <c r="F2557"/>
      <c r="G2557"/>
      <c r="H2557"/>
      <c r="I2557" s="489"/>
      <c r="J2557" s="1095"/>
      <c r="K2557" s="1095"/>
      <c r="L2557" s="1095"/>
      <c r="M2557" s="1095"/>
    </row>
    <row r="2558" spans="1:13" x14ac:dyDescent="0.25">
      <c r="A2558">
        <v>1917036</v>
      </c>
      <c r="B2558" t="s">
        <v>9848</v>
      </c>
      <c r="C2558" t="s">
        <v>2596</v>
      </c>
      <c r="D2558" s="254">
        <v>13.62</v>
      </c>
      <c r="E2558"/>
      <c r="F2558"/>
      <c r="G2558"/>
      <c r="H2558"/>
      <c r="I2558" s="489"/>
      <c r="J2558" s="1095"/>
      <c r="K2558" s="1095"/>
      <c r="L2558" s="1095"/>
      <c r="M2558" s="1095"/>
    </row>
    <row r="2559" spans="1:13" x14ac:dyDescent="0.25">
      <c r="A2559">
        <v>1917605</v>
      </c>
      <c r="B2559" t="s">
        <v>9849</v>
      </c>
      <c r="C2559" t="s">
        <v>2596</v>
      </c>
      <c r="D2559" s="254">
        <v>9.5299999999999994</v>
      </c>
      <c r="E2559"/>
      <c r="F2559"/>
      <c r="G2559"/>
      <c r="H2559"/>
      <c r="I2559" s="489"/>
      <c r="J2559" s="1095"/>
      <c r="K2559" s="1095"/>
      <c r="L2559" s="1095"/>
      <c r="M2559" s="1095"/>
    </row>
    <row r="2560" spans="1:13" x14ac:dyDescent="0.25">
      <c r="A2560">
        <v>1917606</v>
      </c>
      <c r="B2560" t="s">
        <v>9850</v>
      </c>
      <c r="C2560" t="s">
        <v>2596</v>
      </c>
      <c r="D2560" s="254">
        <v>10.28</v>
      </c>
      <c r="E2560"/>
      <c r="F2560"/>
      <c r="G2560"/>
      <c r="H2560"/>
      <c r="I2560" s="489"/>
      <c r="J2560" s="1095"/>
      <c r="K2560" s="1095"/>
      <c r="L2560" s="1095"/>
      <c r="M2560" s="1095"/>
    </row>
    <row r="2561" spans="1:13" x14ac:dyDescent="0.25">
      <c r="A2561">
        <v>1917607</v>
      </c>
      <c r="B2561" t="s">
        <v>9851</v>
      </c>
      <c r="C2561" t="s">
        <v>2596</v>
      </c>
      <c r="D2561" s="254">
        <v>11.05</v>
      </c>
      <c r="E2561"/>
      <c r="F2561"/>
      <c r="G2561"/>
      <c r="H2561"/>
      <c r="I2561" s="489"/>
      <c r="J2561" s="1095"/>
      <c r="K2561" s="1095"/>
      <c r="L2561" s="1095"/>
      <c r="M2561" s="1095"/>
    </row>
    <row r="2562" spans="1:13" x14ac:dyDescent="0.25">
      <c r="A2562">
        <v>1917608</v>
      </c>
      <c r="B2562" t="s">
        <v>9852</v>
      </c>
      <c r="C2562" t="s">
        <v>2596</v>
      </c>
      <c r="D2562" s="254">
        <v>12.22</v>
      </c>
      <c r="E2562"/>
      <c r="F2562"/>
      <c r="G2562"/>
      <c r="H2562"/>
      <c r="I2562" s="489"/>
      <c r="J2562" s="1095"/>
      <c r="K2562" s="1095"/>
      <c r="L2562" s="1095"/>
      <c r="M2562" s="1095"/>
    </row>
    <row r="2563" spans="1:13" x14ac:dyDescent="0.25">
      <c r="A2563">
        <v>1917609</v>
      </c>
      <c r="B2563" t="s">
        <v>9853</v>
      </c>
      <c r="C2563" t="s">
        <v>2596</v>
      </c>
      <c r="D2563" s="254">
        <v>13.93</v>
      </c>
      <c r="E2563"/>
      <c r="F2563"/>
      <c r="G2563"/>
      <c r="H2563"/>
      <c r="I2563" s="489"/>
      <c r="J2563" s="1095"/>
      <c r="K2563" s="1095"/>
      <c r="L2563" s="1095"/>
      <c r="M2563" s="1095"/>
    </row>
    <row r="2564" spans="1:13" x14ac:dyDescent="0.25">
      <c r="A2564">
        <v>1917610</v>
      </c>
      <c r="B2564" t="s">
        <v>9854</v>
      </c>
      <c r="C2564" t="s">
        <v>2596</v>
      </c>
      <c r="D2564" s="254">
        <v>16.53</v>
      </c>
      <c r="E2564"/>
      <c r="F2564"/>
      <c r="G2564"/>
      <c r="H2564"/>
      <c r="I2564" s="489"/>
      <c r="J2564" s="1095"/>
      <c r="K2564" s="1095"/>
      <c r="L2564" s="1095"/>
      <c r="M2564" s="1095"/>
    </row>
    <row r="2565" spans="1:13" x14ac:dyDescent="0.25">
      <c r="A2565">
        <v>1917611</v>
      </c>
      <c r="B2565" t="s">
        <v>9855</v>
      </c>
      <c r="C2565" t="s">
        <v>2596</v>
      </c>
      <c r="D2565" s="254">
        <v>19.399999999999999</v>
      </c>
      <c r="E2565"/>
      <c r="F2565"/>
      <c r="G2565"/>
      <c r="H2565"/>
      <c r="I2565" s="489"/>
      <c r="J2565" s="1095"/>
      <c r="K2565" s="1095"/>
      <c r="L2565" s="1095"/>
      <c r="M2565" s="1095"/>
    </row>
    <row r="2566" spans="1:13" x14ac:dyDescent="0.25">
      <c r="A2566">
        <v>1917612</v>
      </c>
      <c r="B2566" t="s">
        <v>9856</v>
      </c>
      <c r="C2566" t="s">
        <v>2596</v>
      </c>
      <c r="D2566" s="254">
        <v>22.73</v>
      </c>
      <c r="E2566"/>
      <c r="F2566"/>
      <c r="G2566"/>
      <c r="H2566"/>
      <c r="I2566" s="489"/>
      <c r="J2566" s="1095"/>
      <c r="K2566" s="1095"/>
      <c r="L2566" s="1095"/>
      <c r="M2566" s="1095"/>
    </row>
    <row r="2567" spans="1:13" x14ac:dyDescent="0.25">
      <c r="A2567">
        <v>1917613</v>
      </c>
      <c r="B2567" t="s">
        <v>9857</v>
      </c>
      <c r="C2567" t="s">
        <v>2596</v>
      </c>
      <c r="D2567" s="254">
        <v>26.49</v>
      </c>
      <c r="E2567"/>
      <c r="F2567"/>
      <c r="G2567"/>
      <c r="H2567"/>
      <c r="I2567" s="489"/>
      <c r="J2567" s="1095"/>
      <c r="K2567" s="1095"/>
      <c r="L2567" s="1095"/>
      <c r="M2567" s="1095"/>
    </row>
    <row r="2568" spans="1:13" x14ac:dyDescent="0.25">
      <c r="A2568">
        <v>1917614</v>
      </c>
      <c r="B2568" t="s">
        <v>9858</v>
      </c>
      <c r="C2568" t="s">
        <v>2596</v>
      </c>
      <c r="D2568" s="254">
        <v>30.62</v>
      </c>
      <c r="E2568"/>
      <c r="F2568"/>
      <c r="G2568"/>
      <c r="H2568"/>
      <c r="I2568" s="489"/>
      <c r="J2568" s="1095"/>
      <c r="K2568" s="1095"/>
      <c r="L2568" s="1095"/>
      <c r="M2568" s="1095"/>
    </row>
    <row r="2569" spans="1:13" x14ac:dyDescent="0.25">
      <c r="A2569">
        <v>1917615</v>
      </c>
      <c r="B2569" t="s">
        <v>9859</v>
      </c>
      <c r="C2569" t="s">
        <v>2596</v>
      </c>
      <c r="D2569" s="254">
        <v>35.200000000000003</v>
      </c>
      <c r="E2569"/>
      <c r="F2569"/>
      <c r="G2569"/>
      <c r="H2569"/>
      <c r="I2569" s="489"/>
      <c r="J2569" s="1095"/>
      <c r="K2569" s="1095"/>
      <c r="L2569" s="1095"/>
      <c r="M2569" s="1095"/>
    </row>
    <row r="2570" spans="1:13" x14ac:dyDescent="0.25">
      <c r="A2570">
        <v>1917616</v>
      </c>
      <c r="B2570" t="s">
        <v>9860</v>
      </c>
      <c r="C2570" t="s">
        <v>2596</v>
      </c>
      <c r="D2570" s="254">
        <v>40.78</v>
      </c>
      <c r="E2570"/>
      <c r="F2570"/>
      <c r="G2570"/>
      <c r="H2570"/>
      <c r="I2570" s="489"/>
      <c r="J2570" s="1095"/>
      <c r="K2570" s="1095"/>
      <c r="L2570" s="1095"/>
      <c r="M2570" s="1095"/>
    </row>
    <row r="2571" spans="1:13" x14ac:dyDescent="0.25">
      <c r="A2571">
        <v>1917617</v>
      </c>
      <c r="B2571" t="s">
        <v>9861</v>
      </c>
      <c r="C2571" t="s">
        <v>2596</v>
      </c>
      <c r="D2571" s="254">
        <v>45.72</v>
      </c>
      <c r="E2571"/>
      <c r="F2571"/>
      <c r="G2571"/>
      <c r="H2571"/>
      <c r="I2571" s="489"/>
      <c r="J2571" s="1095"/>
      <c r="K2571" s="1095"/>
      <c r="L2571" s="1095"/>
      <c r="M2571" s="1095"/>
    </row>
    <row r="2572" spans="1:13" x14ac:dyDescent="0.25">
      <c r="A2572">
        <v>1917618</v>
      </c>
      <c r="B2572" t="s">
        <v>9862</v>
      </c>
      <c r="C2572" t="s">
        <v>2596</v>
      </c>
      <c r="D2572" s="254">
        <v>52.1</v>
      </c>
      <c r="E2572"/>
      <c r="F2572"/>
      <c r="G2572"/>
      <c r="H2572"/>
      <c r="I2572" s="489"/>
      <c r="J2572" s="1095"/>
      <c r="K2572" s="1095"/>
      <c r="L2572" s="1095"/>
      <c r="M2572" s="1095"/>
    </row>
    <row r="2573" spans="1:13" x14ac:dyDescent="0.25">
      <c r="A2573">
        <v>1917619</v>
      </c>
      <c r="B2573" t="s">
        <v>9863</v>
      </c>
      <c r="C2573" t="s">
        <v>2596</v>
      </c>
      <c r="D2573" s="254">
        <v>56.36</v>
      </c>
      <c r="E2573"/>
      <c r="F2573"/>
      <c r="G2573"/>
      <c r="H2573"/>
      <c r="I2573" s="489"/>
      <c r="J2573" s="1095"/>
      <c r="K2573" s="1095"/>
      <c r="L2573" s="1095"/>
      <c r="M2573" s="1095"/>
    </row>
    <row r="2574" spans="1:13" x14ac:dyDescent="0.25">
      <c r="A2574">
        <v>1917602</v>
      </c>
      <c r="B2574" t="s">
        <v>9864</v>
      </c>
      <c r="C2574" t="s">
        <v>2596</v>
      </c>
      <c r="D2574" s="254">
        <v>7.07</v>
      </c>
      <c r="E2574"/>
      <c r="F2574"/>
      <c r="G2574"/>
      <c r="H2574"/>
      <c r="I2574" s="489"/>
      <c r="J2574" s="1095"/>
      <c r="K2574" s="1095"/>
      <c r="L2574" s="1095"/>
      <c r="M2574" s="1095"/>
    </row>
    <row r="2575" spans="1:13" x14ac:dyDescent="0.25">
      <c r="A2575">
        <v>1917603</v>
      </c>
      <c r="B2575" t="s">
        <v>9865</v>
      </c>
      <c r="C2575" t="s">
        <v>2596</v>
      </c>
      <c r="D2575" s="254">
        <v>7.85</v>
      </c>
      <c r="E2575"/>
      <c r="F2575"/>
      <c r="G2575"/>
      <c r="H2575"/>
      <c r="I2575" s="489"/>
      <c r="J2575" s="1095"/>
      <c r="K2575" s="1095"/>
      <c r="L2575" s="1095"/>
      <c r="M2575" s="1095"/>
    </row>
    <row r="2576" spans="1:13" x14ac:dyDescent="0.25">
      <c r="A2576">
        <v>1917604</v>
      </c>
      <c r="B2576" t="s">
        <v>9866</v>
      </c>
      <c r="C2576" t="s">
        <v>2596</v>
      </c>
      <c r="D2576" s="254">
        <v>8.56</v>
      </c>
      <c r="E2576"/>
      <c r="F2576"/>
      <c r="G2576"/>
      <c r="H2576"/>
      <c r="I2576" s="489"/>
      <c r="J2576" s="1095"/>
      <c r="K2576" s="1095"/>
      <c r="L2576" s="1095"/>
      <c r="M2576" s="1095"/>
    </row>
    <row r="2577" spans="1:13" x14ac:dyDescent="0.25">
      <c r="A2577">
        <v>1917740</v>
      </c>
      <c r="B2577" t="s">
        <v>9867</v>
      </c>
      <c r="C2577" t="s">
        <v>2596</v>
      </c>
      <c r="D2577" s="254">
        <v>6.8</v>
      </c>
      <c r="E2577"/>
      <c r="F2577"/>
      <c r="G2577"/>
      <c r="H2577"/>
      <c r="I2577" s="489"/>
      <c r="J2577" s="1095"/>
      <c r="K2577" s="1095"/>
      <c r="L2577" s="1095"/>
      <c r="M2577" s="1095"/>
    </row>
    <row r="2578" spans="1:13" x14ac:dyDescent="0.25">
      <c r="A2578">
        <v>1917263</v>
      </c>
      <c r="B2578" t="s">
        <v>9868</v>
      </c>
      <c r="C2578" t="s">
        <v>2596</v>
      </c>
      <c r="D2578" s="254">
        <v>12.93</v>
      </c>
      <c r="E2578"/>
      <c r="F2578"/>
      <c r="G2578"/>
      <c r="H2578"/>
      <c r="I2578" s="489"/>
      <c r="J2578" s="1095"/>
      <c r="K2578" s="1095"/>
      <c r="L2578" s="1095"/>
      <c r="M2578" s="1095"/>
    </row>
    <row r="2579" spans="1:13" x14ac:dyDescent="0.25">
      <c r="A2579">
        <v>1917264</v>
      </c>
      <c r="B2579" t="s">
        <v>9869</v>
      </c>
      <c r="C2579" t="s">
        <v>2596</v>
      </c>
      <c r="D2579" s="254">
        <v>16</v>
      </c>
      <c r="E2579"/>
      <c r="F2579"/>
      <c r="G2579"/>
      <c r="H2579"/>
      <c r="I2579" s="489"/>
      <c r="J2579" s="1095"/>
      <c r="K2579" s="1095"/>
      <c r="L2579" s="1095"/>
      <c r="M2579" s="1095"/>
    </row>
    <row r="2580" spans="1:13" x14ac:dyDescent="0.25">
      <c r="A2580">
        <v>1917265</v>
      </c>
      <c r="B2580" t="s">
        <v>9870</v>
      </c>
      <c r="C2580" t="s">
        <v>2596</v>
      </c>
      <c r="D2580" s="254">
        <v>20.68</v>
      </c>
      <c r="E2580"/>
      <c r="F2580"/>
      <c r="G2580"/>
      <c r="H2580"/>
      <c r="I2580" s="489"/>
      <c r="J2580" s="1095"/>
      <c r="K2580" s="1095"/>
      <c r="L2580" s="1095"/>
      <c r="M2580" s="1095"/>
    </row>
    <row r="2581" spans="1:13" x14ac:dyDescent="0.25">
      <c r="A2581">
        <v>1917260</v>
      </c>
      <c r="B2581" t="s">
        <v>9871</v>
      </c>
      <c r="C2581" t="s">
        <v>2596</v>
      </c>
      <c r="D2581" s="254">
        <v>7.98</v>
      </c>
      <c r="E2581"/>
      <c r="F2581"/>
      <c r="G2581"/>
      <c r="H2581"/>
      <c r="I2581" s="489"/>
      <c r="J2581" s="1095"/>
      <c r="K2581" s="1095"/>
      <c r="L2581" s="1095"/>
      <c r="M2581" s="1095"/>
    </row>
    <row r="2582" spans="1:13" x14ac:dyDescent="0.25">
      <c r="A2582">
        <v>1917261</v>
      </c>
      <c r="B2582" t="s">
        <v>9872</v>
      </c>
      <c r="C2582" t="s">
        <v>2596</v>
      </c>
      <c r="D2582" s="254">
        <v>8.85</v>
      </c>
      <c r="E2582"/>
      <c r="F2582"/>
      <c r="G2582"/>
      <c r="H2582"/>
      <c r="I2582" s="489"/>
      <c r="J2582" s="1095"/>
      <c r="K2582" s="1095"/>
      <c r="L2582" s="1095"/>
      <c r="M2582" s="1095"/>
    </row>
    <row r="2583" spans="1:13" x14ac:dyDescent="0.25">
      <c r="A2583">
        <v>1917262</v>
      </c>
      <c r="B2583" t="s">
        <v>9873</v>
      </c>
      <c r="C2583" t="s">
        <v>2596</v>
      </c>
      <c r="D2583" s="254">
        <v>10.43</v>
      </c>
      <c r="E2583"/>
      <c r="F2583"/>
      <c r="G2583"/>
      <c r="H2583"/>
      <c r="I2583" s="489"/>
      <c r="J2583" s="1095"/>
      <c r="K2583" s="1095"/>
      <c r="L2583" s="1095"/>
      <c r="M2583" s="1095"/>
    </row>
    <row r="2584" spans="1:13" x14ac:dyDescent="0.25">
      <c r="A2584">
        <v>1917727</v>
      </c>
      <c r="B2584" t="s">
        <v>9874</v>
      </c>
      <c r="C2584" t="s">
        <v>2596</v>
      </c>
      <c r="D2584" s="254">
        <v>7.73</v>
      </c>
      <c r="E2584"/>
      <c r="F2584"/>
      <c r="G2584"/>
      <c r="H2584"/>
      <c r="I2584" s="489"/>
      <c r="J2584" s="1095"/>
      <c r="K2584" s="1095"/>
      <c r="L2584" s="1095"/>
      <c r="M2584" s="1095"/>
    </row>
    <row r="2585" spans="1:13" x14ac:dyDescent="0.25">
      <c r="A2585">
        <v>1917351</v>
      </c>
      <c r="B2585" t="s">
        <v>9875</v>
      </c>
      <c r="C2585" t="s">
        <v>2596</v>
      </c>
      <c r="D2585" s="254">
        <v>10.52</v>
      </c>
      <c r="E2585"/>
      <c r="F2585"/>
      <c r="G2585"/>
      <c r="H2585"/>
      <c r="I2585" s="489"/>
      <c r="J2585" s="1095"/>
      <c r="K2585" s="1095"/>
      <c r="L2585" s="1095"/>
      <c r="M2585" s="1095"/>
    </row>
    <row r="2586" spans="1:13" x14ac:dyDescent="0.25">
      <c r="A2586">
        <v>1917352</v>
      </c>
      <c r="B2586" t="s">
        <v>9876</v>
      </c>
      <c r="C2586" t="s">
        <v>2596</v>
      </c>
      <c r="D2586" s="254">
        <v>13.91</v>
      </c>
      <c r="E2586"/>
      <c r="F2586"/>
      <c r="G2586"/>
      <c r="H2586"/>
      <c r="I2586" s="489"/>
      <c r="J2586" s="1095"/>
      <c r="K2586" s="1095"/>
      <c r="L2586" s="1095"/>
      <c r="M2586" s="1095"/>
    </row>
    <row r="2587" spans="1:13" x14ac:dyDescent="0.25">
      <c r="A2587">
        <v>1917353</v>
      </c>
      <c r="B2587" t="s">
        <v>9877</v>
      </c>
      <c r="C2587" t="s">
        <v>2596</v>
      </c>
      <c r="D2587" s="254">
        <v>17.899999999999999</v>
      </c>
      <c r="E2587"/>
      <c r="F2587"/>
      <c r="G2587"/>
      <c r="H2587"/>
      <c r="I2587" s="489"/>
      <c r="J2587" s="1095"/>
      <c r="K2587" s="1095"/>
      <c r="L2587" s="1095"/>
      <c r="M2587" s="1095"/>
    </row>
    <row r="2588" spans="1:13" x14ac:dyDescent="0.25">
      <c r="A2588">
        <v>1917354</v>
      </c>
      <c r="B2588" t="s">
        <v>9878</v>
      </c>
      <c r="C2588" t="s">
        <v>2596</v>
      </c>
      <c r="D2588" s="254">
        <v>23.13</v>
      </c>
      <c r="E2588"/>
      <c r="F2588"/>
      <c r="G2588"/>
      <c r="H2588"/>
      <c r="I2588" s="489"/>
      <c r="J2588" s="1095"/>
      <c r="K2588" s="1095"/>
      <c r="L2588" s="1095"/>
      <c r="M2588" s="1095"/>
    </row>
    <row r="2589" spans="1:13" x14ac:dyDescent="0.25">
      <c r="A2589">
        <v>1917355</v>
      </c>
      <c r="B2589" t="s">
        <v>9879</v>
      </c>
      <c r="C2589" t="s">
        <v>2596</v>
      </c>
      <c r="D2589" s="254">
        <v>29.79</v>
      </c>
      <c r="E2589"/>
      <c r="F2589"/>
      <c r="G2589"/>
      <c r="H2589"/>
      <c r="I2589" s="489"/>
      <c r="J2589" s="1095"/>
      <c r="K2589" s="1095"/>
      <c r="L2589" s="1095"/>
      <c r="M2589" s="1095"/>
    </row>
    <row r="2590" spans="1:13" x14ac:dyDescent="0.25">
      <c r="A2590">
        <v>1917356</v>
      </c>
      <c r="B2590" t="s">
        <v>9880</v>
      </c>
      <c r="C2590" t="s">
        <v>2596</v>
      </c>
      <c r="D2590" s="254">
        <v>36.44</v>
      </c>
      <c r="E2590"/>
      <c r="F2590"/>
      <c r="G2590"/>
      <c r="H2590"/>
      <c r="I2590" s="489"/>
      <c r="J2590" s="1095"/>
      <c r="K2590" s="1095"/>
      <c r="L2590" s="1095"/>
      <c r="M2590" s="1095"/>
    </row>
    <row r="2591" spans="1:13" x14ac:dyDescent="0.25">
      <c r="A2591">
        <v>1917357</v>
      </c>
      <c r="B2591" t="s">
        <v>9881</v>
      </c>
      <c r="C2591" t="s">
        <v>2596</v>
      </c>
      <c r="D2591" s="254">
        <v>41.56</v>
      </c>
      <c r="E2591"/>
      <c r="F2591"/>
      <c r="G2591"/>
      <c r="H2591"/>
      <c r="I2591" s="489"/>
      <c r="J2591" s="1095"/>
      <c r="K2591" s="1095"/>
      <c r="L2591" s="1095"/>
      <c r="M2591" s="1095"/>
    </row>
    <row r="2592" spans="1:13" x14ac:dyDescent="0.25">
      <c r="A2592">
        <v>1917348</v>
      </c>
      <c r="B2592" t="s">
        <v>9882</v>
      </c>
      <c r="C2592" t="s">
        <v>2596</v>
      </c>
      <c r="D2592" s="254">
        <v>6.45</v>
      </c>
      <c r="E2592"/>
      <c r="F2592"/>
      <c r="G2592"/>
      <c r="H2592"/>
      <c r="I2592" s="489"/>
      <c r="J2592" s="1095"/>
      <c r="K2592" s="1095"/>
      <c r="L2592" s="1095"/>
      <c r="M2592" s="1095"/>
    </row>
    <row r="2593" spans="1:13" x14ac:dyDescent="0.25">
      <c r="A2593">
        <v>1917349</v>
      </c>
      <c r="B2593" t="s">
        <v>9883</v>
      </c>
      <c r="C2593" t="s">
        <v>2596</v>
      </c>
      <c r="D2593" s="254">
        <v>6.98</v>
      </c>
      <c r="E2593"/>
      <c r="F2593"/>
      <c r="G2593"/>
      <c r="H2593"/>
      <c r="I2593" s="489"/>
      <c r="J2593" s="1095"/>
      <c r="K2593" s="1095"/>
      <c r="L2593" s="1095"/>
      <c r="M2593" s="1095"/>
    </row>
    <row r="2594" spans="1:13" x14ac:dyDescent="0.25">
      <c r="A2594">
        <v>1917350</v>
      </c>
      <c r="B2594" t="s">
        <v>9884</v>
      </c>
      <c r="C2594" t="s">
        <v>2596</v>
      </c>
      <c r="D2594" s="254">
        <v>7.93</v>
      </c>
      <c r="E2594"/>
      <c r="F2594"/>
      <c r="G2594"/>
      <c r="H2594"/>
      <c r="I2594" s="489"/>
      <c r="J2594" s="1095"/>
      <c r="K2594" s="1095"/>
      <c r="L2594" s="1095"/>
      <c r="M2594" s="1095"/>
    </row>
    <row r="2595" spans="1:13" x14ac:dyDescent="0.25">
      <c r="A2595">
        <v>1917731</v>
      </c>
      <c r="B2595" t="s">
        <v>9885</v>
      </c>
      <c r="C2595" t="s">
        <v>2596</v>
      </c>
      <c r="D2595" s="254">
        <v>6.32</v>
      </c>
      <c r="E2595"/>
      <c r="F2595"/>
      <c r="G2595"/>
      <c r="H2595"/>
      <c r="I2595" s="489"/>
      <c r="J2595" s="1095"/>
      <c r="K2595" s="1095"/>
      <c r="L2595" s="1095"/>
      <c r="M2595" s="1095"/>
    </row>
    <row r="2596" spans="1:13" x14ac:dyDescent="0.25">
      <c r="A2596">
        <v>1917463</v>
      </c>
      <c r="B2596" t="s">
        <v>9886</v>
      </c>
      <c r="C2596" t="s">
        <v>2596</v>
      </c>
      <c r="D2596" s="254">
        <v>10.61</v>
      </c>
      <c r="E2596"/>
      <c r="F2596"/>
      <c r="G2596"/>
      <c r="H2596"/>
      <c r="I2596" s="489"/>
      <c r="J2596" s="1095"/>
      <c r="K2596" s="1095"/>
      <c r="L2596" s="1095"/>
      <c r="M2596" s="1095"/>
    </row>
    <row r="2597" spans="1:13" x14ac:dyDescent="0.25">
      <c r="A2597">
        <v>1917464</v>
      </c>
      <c r="B2597" t="s">
        <v>9887</v>
      </c>
      <c r="C2597" t="s">
        <v>2596</v>
      </c>
      <c r="D2597" s="254">
        <v>12.28</v>
      </c>
      <c r="E2597"/>
      <c r="F2597"/>
      <c r="G2597"/>
      <c r="H2597"/>
      <c r="I2597" s="489"/>
      <c r="J2597" s="1095"/>
      <c r="K2597" s="1095"/>
      <c r="L2597" s="1095"/>
      <c r="M2597" s="1095"/>
    </row>
    <row r="2598" spans="1:13" x14ac:dyDescent="0.25">
      <c r="A2598">
        <v>1917465</v>
      </c>
      <c r="B2598" t="s">
        <v>9888</v>
      </c>
      <c r="C2598" t="s">
        <v>2596</v>
      </c>
      <c r="D2598" s="254">
        <v>14.16</v>
      </c>
      <c r="E2598"/>
      <c r="F2598"/>
      <c r="G2598"/>
      <c r="H2598"/>
      <c r="I2598" s="489"/>
      <c r="J2598" s="1095"/>
      <c r="K2598" s="1095"/>
      <c r="L2598" s="1095"/>
      <c r="M2598" s="1095"/>
    </row>
    <row r="2599" spans="1:13" x14ac:dyDescent="0.25">
      <c r="A2599">
        <v>1917466</v>
      </c>
      <c r="B2599" t="s">
        <v>9889</v>
      </c>
      <c r="C2599" t="s">
        <v>2596</v>
      </c>
      <c r="D2599" s="254">
        <v>16.77</v>
      </c>
      <c r="E2599"/>
      <c r="F2599"/>
      <c r="G2599"/>
      <c r="H2599"/>
      <c r="I2599" s="489"/>
      <c r="J2599" s="1095"/>
      <c r="K2599" s="1095"/>
      <c r="L2599" s="1095"/>
      <c r="M2599" s="1095"/>
    </row>
    <row r="2600" spans="1:13" x14ac:dyDescent="0.25">
      <c r="A2600">
        <v>1917467</v>
      </c>
      <c r="B2600" t="s">
        <v>9890</v>
      </c>
      <c r="C2600" t="s">
        <v>2596</v>
      </c>
      <c r="D2600" s="254">
        <v>20.74</v>
      </c>
      <c r="E2600"/>
      <c r="F2600"/>
      <c r="G2600"/>
      <c r="H2600"/>
      <c r="I2600" s="489"/>
      <c r="J2600" s="1095"/>
      <c r="K2600" s="1095"/>
      <c r="L2600" s="1095"/>
      <c r="M2600" s="1095"/>
    </row>
    <row r="2601" spans="1:13" x14ac:dyDescent="0.25">
      <c r="A2601">
        <v>1917468</v>
      </c>
      <c r="B2601" t="s">
        <v>9891</v>
      </c>
      <c r="C2601" t="s">
        <v>2596</v>
      </c>
      <c r="D2601" s="254">
        <v>25.26</v>
      </c>
      <c r="E2601"/>
      <c r="F2601"/>
      <c r="G2601"/>
      <c r="H2601"/>
      <c r="I2601" s="489"/>
      <c r="J2601" s="1095"/>
      <c r="K2601" s="1095"/>
      <c r="L2601" s="1095"/>
      <c r="M2601" s="1095"/>
    </row>
    <row r="2602" spans="1:13" x14ac:dyDescent="0.25">
      <c r="A2602">
        <v>1917469</v>
      </c>
      <c r="B2602" t="s">
        <v>9892</v>
      </c>
      <c r="C2602" t="s">
        <v>2596</v>
      </c>
      <c r="D2602" s="254">
        <v>30.22</v>
      </c>
      <c r="E2602"/>
      <c r="F2602"/>
      <c r="G2602"/>
      <c r="H2602"/>
      <c r="I2602" s="489"/>
      <c r="J2602" s="1095"/>
      <c r="K2602" s="1095"/>
      <c r="L2602" s="1095"/>
      <c r="M2602" s="1095"/>
    </row>
    <row r="2603" spans="1:13" x14ac:dyDescent="0.25">
      <c r="A2603">
        <v>1917470</v>
      </c>
      <c r="B2603" t="s">
        <v>9893</v>
      </c>
      <c r="C2603" t="s">
        <v>2596</v>
      </c>
      <c r="D2603" s="254">
        <v>35.93</v>
      </c>
      <c r="E2603"/>
      <c r="F2603"/>
      <c r="G2603"/>
      <c r="H2603"/>
      <c r="I2603" s="489"/>
      <c r="J2603" s="1095"/>
      <c r="K2603" s="1095"/>
      <c r="L2603" s="1095"/>
      <c r="M2603" s="1095"/>
    </row>
    <row r="2604" spans="1:13" x14ac:dyDescent="0.25">
      <c r="A2604">
        <v>1917471</v>
      </c>
      <c r="B2604" t="s">
        <v>9894</v>
      </c>
      <c r="C2604" t="s">
        <v>2596</v>
      </c>
      <c r="D2604" s="254">
        <v>42.73</v>
      </c>
      <c r="E2604"/>
      <c r="F2604"/>
      <c r="G2604"/>
      <c r="H2604"/>
      <c r="I2604" s="489"/>
      <c r="J2604" s="1095"/>
      <c r="K2604" s="1095"/>
      <c r="L2604" s="1095"/>
      <c r="M2604" s="1095"/>
    </row>
    <row r="2605" spans="1:13" x14ac:dyDescent="0.25">
      <c r="A2605">
        <v>1917472</v>
      </c>
      <c r="B2605" t="s">
        <v>9895</v>
      </c>
      <c r="C2605" t="s">
        <v>2596</v>
      </c>
      <c r="D2605" s="254">
        <v>45.66</v>
      </c>
      <c r="E2605"/>
      <c r="F2605"/>
      <c r="G2605"/>
      <c r="H2605"/>
      <c r="I2605" s="489"/>
      <c r="J2605" s="1095"/>
      <c r="K2605" s="1095"/>
      <c r="L2605" s="1095"/>
      <c r="M2605" s="1095"/>
    </row>
    <row r="2606" spans="1:13" x14ac:dyDescent="0.25">
      <c r="A2606">
        <v>1917460</v>
      </c>
      <c r="B2606" t="s">
        <v>9896</v>
      </c>
      <c r="C2606" t="s">
        <v>2596</v>
      </c>
      <c r="D2606" s="254">
        <v>6.2</v>
      </c>
      <c r="E2606"/>
      <c r="F2606"/>
      <c r="G2606"/>
      <c r="H2606"/>
      <c r="I2606" s="489"/>
      <c r="J2606" s="1095"/>
      <c r="K2606" s="1095"/>
      <c r="L2606" s="1095"/>
      <c r="M2606" s="1095"/>
    </row>
    <row r="2607" spans="1:13" x14ac:dyDescent="0.25">
      <c r="A2607">
        <v>1917461</v>
      </c>
      <c r="B2607" t="s">
        <v>9897</v>
      </c>
      <c r="C2607" t="s">
        <v>2596</v>
      </c>
      <c r="D2607" s="254">
        <v>7.36</v>
      </c>
      <c r="E2607"/>
      <c r="F2607"/>
      <c r="G2607"/>
      <c r="H2607"/>
      <c r="I2607" s="489"/>
      <c r="J2607" s="1095"/>
      <c r="K2607" s="1095"/>
      <c r="L2607" s="1095"/>
      <c r="M2607" s="1095"/>
    </row>
    <row r="2608" spans="1:13" x14ac:dyDescent="0.25">
      <c r="A2608">
        <v>1917462</v>
      </c>
      <c r="B2608" t="s">
        <v>9898</v>
      </c>
      <c r="C2608" t="s">
        <v>2596</v>
      </c>
      <c r="D2608" s="254">
        <v>8.76</v>
      </c>
      <c r="E2608"/>
      <c r="F2608"/>
      <c r="G2608"/>
      <c r="H2608"/>
      <c r="I2608" s="489"/>
      <c r="J2608" s="1095"/>
      <c r="K2608" s="1095"/>
      <c r="L2608" s="1095"/>
      <c r="M2608" s="1095"/>
    </row>
    <row r="2609" spans="1:13" x14ac:dyDescent="0.25">
      <c r="A2609">
        <v>1917735</v>
      </c>
      <c r="B2609" t="s">
        <v>9899</v>
      </c>
      <c r="C2609" t="s">
        <v>2596</v>
      </c>
      <c r="D2609" s="254">
        <v>5.52</v>
      </c>
      <c r="E2609"/>
      <c r="F2609"/>
      <c r="G2609"/>
      <c r="H2609"/>
      <c r="I2609" s="489"/>
      <c r="J2609" s="1095"/>
      <c r="K2609" s="1095"/>
      <c r="L2609" s="1095"/>
      <c r="M2609" s="1095"/>
    </row>
    <row r="2610" spans="1:13" x14ac:dyDescent="0.25">
      <c r="A2610">
        <v>1917061</v>
      </c>
      <c r="B2610" t="s">
        <v>9900</v>
      </c>
      <c r="C2610" t="s">
        <v>2596</v>
      </c>
      <c r="D2610" s="254">
        <v>9.82</v>
      </c>
      <c r="E2610"/>
      <c r="F2610"/>
      <c r="G2610"/>
      <c r="H2610"/>
      <c r="I2610" s="489"/>
      <c r="J2610" s="1095"/>
      <c r="K2610" s="1095"/>
      <c r="L2610" s="1095"/>
      <c r="M2610" s="1095"/>
    </row>
    <row r="2611" spans="1:13" x14ac:dyDescent="0.25">
      <c r="A2611">
        <v>1917062</v>
      </c>
      <c r="B2611" t="s">
        <v>9901</v>
      </c>
      <c r="C2611" t="s">
        <v>2596</v>
      </c>
      <c r="D2611" s="254">
        <v>10.01</v>
      </c>
      <c r="E2611"/>
      <c r="F2611"/>
      <c r="G2611"/>
      <c r="H2611"/>
      <c r="I2611" s="489"/>
      <c r="J2611" s="1095"/>
      <c r="K2611" s="1095"/>
      <c r="L2611" s="1095"/>
      <c r="M2611" s="1095"/>
    </row>
    <row r="2612" spans="1:13" x14ac:dyDescent="0.25">
      <c r="A2612">
        <v>1917063</v>
      </c>
      <c r="B2612" t="s">
        <v>9902</v>
      </c>
      <c r="C2612" t="s">
        <v>2596</v>
      </c>
      <c r="D2612" s="254">
        <v>10.199999999999999</v>
      </c>
      <c r="E2612"/>
      <c r="F2612"/>
      <c r="G2612"/>
      <c r="H2612"/>
      <c r="I2612" s="489"/>
      <c r="J2612" s="1095"/>
      <c r="K2612" s="1095"/>
      <c r="L2612" s="1095"/>
      <c r="M2612" s="1095"/>
    </row>
    <row r="2613" spans="1:13" x14ac:dyDescent="0.25">
      <c r="A2613">
        <v>1917064</v>
      </c>
      <c r="B2613" t="s">
        <v>9903</v>
      </c>
      <c r="C2613" t="s">
        <v>2596</v>
      </c>
      <c r="D2613" s="254">
        <v>10.41</v>
      </c>
      <c r="E2613"/>
      <c r="F2613"/>
      <c r="G2613"/>
      <c r="H2613"/>
      <c r="I2613" s="489"/>
      <c r="J2613" s="1095"/>
      <c r="K2613" s="1095"/>
      <c r="L2613" s="1095"/>
      <c r="M2613" s="1095"/>
    </row>
    <row r="2614" spans="1:13" x14ac:dyDescent="0.25">
      <c r="A2614">
        <v>1917065</v>
      </c>
      <c r="B2614" t="s">
        <v>9904</v>
      </c>
      <c r="C2614" t="s">
        <v>2596</v>
      </c>
      <c r="D2614" s="254">
        <v>10.62</v>
      </c>
      <c r="E2614"/>
      <c r="F2614"/>
      <c r="G2614"/>
      <c r="H2614"/>
      <c r="I2614" s="489"/>
      <c r="J2614" s="1095"/>
      <c r="K2614" s="1095"/>
      <c r="L2614" s="1095"/>
      <c r="M2614" s="1095"/>
    </row>
    <row r="2615" spans="1:13" x14ac:dyDescent="0.25">
      <c r="A2615">
        <v>1917066</v>
      </c>
      <c r="B2615" t="s">
        <v>9905</v>
      </c>
      <c r="C2615" t="s">
        <v>2596</v>
      </c>
      <c r="D2615" s="254">
        <v>10.74</v>
      </c>
      <c r="E2615"/>
      <c r="F2615"/>
      <c r="G2615"/>
      <c r="H2615"/>
      <c r="I2615" s="489"/>
      <c r="J2615" s="1095"/>
      <c r="K2615" s="1095"/>
      <c r="L2615" s="1095"/>
      <c r="M2615" s="1095"/>
    </row>
    <row r="2616" spans="1:13" x14ac:dyDescent="0.25">
      <c r="A2616">
        <v>1901590</v>
      </c>
      <c r="B2616" t="s">
        <v>9906</v>
      </c>
      <c r="C2616" t="s">
        <v>2596</v>
      </c>
      <c r="D2616" s="254">
        <v>7.96</v>
      </c>
      <c r="E2616"/>
      <c r="F2616"/>
      <c r="G2616"/>
      <c r="H2616"/>
      <c r="I2616" s="489"/>
      <c r="J2616" s="1095"/>
      <c r="K2616" s="1095"/>
      <c r="L2616" s="1095"/>
      <c r="M2616" s="1095"/>
    </row>
    <row r="2617" spans="1:13" x14ac:dyDescent="0.25">
      <c r="A2617">
        <v>1901591</v>
      </c>
      <c r="B2617" t="s">
        <v>9907</v>
      </c>
      <c r="C2617" t="s">
        <v>2596</v>
      </c>
      <c r="D2617" s="254">
        <v>8.0299999999999994</v>
      </c>
      <c r="E2617"/>
      <c r="F2617"/>
      <c r="G2617"/>
      <c r="H2617"/>
      <c r="I2617" s="489"/>
      <c r="J2617" s="1095"/>
      <c r="K2617" s="1095"/>
      <c r="L2617" s="1095"/>
      <c r="M2617" s="1095"/>
    </row>
    <row r="2618" spans="1:13" x14ac:dyDescent="0.25">
      <c r="A2618">
        <v>1901592</v>
      </c>
      <c r="B2618" t="s">
        <v>9908</v>
      </c>
      <c r="C2618" t="s">
        <v>2596</v>
      </c>
      <c r="D2618" s="254">
        <v>8.1</v>
      </c>
      <c r="E2618"/>
      <c r="F2618"/>
      <c r="G2618"/>
      <c r="H2618"/>
      <c r="I2618" s="489"/>
      <c r="J2618" s="1095"/>
      <c r="K2618" s="1095"/>
      <c r="L2618" s="1095"/>
      <c r="M2618" s="1095"/>
    </row>
    <row r="2619" spans="1:13" x14ac:dyDescent="0.25">
      <c r="A2619">
        <v>1901593</v>
      </c>
      <c r="B2619" t="s">
        <v>9909</v>
      </c>
      <c r="C2619" t="s">
        <v>2596</v>
      </c>
      <c r="D2619" s="254">
        <v>8.17</v>
      </c>
      <c r="E2619"/>
      <c r="F2619"/>
      <c r="G2619"/>
      <c r="H2619"/>
      <c r="I2619" s="489"/>
      <c r="J2619" s="1095"/>
      <c r="K2619" s="1095"/>
      <c r="L2619" s="1095"/>
      <c r="M2619" s="1095"/>
    </row>
    <row r="2620" spans="1:13" x14ac:dyDescent="0.25">
      <c r="A2620">
        <v>1901594</v>
      </c>
      <c r="B2620" t="s">
        <v>9910</v>
      </c>
      <c r="C2620" t="s">
        <v>2596</v>
      </c>
      <c r="D2620" s="254">
        <v>8.25</v>
      </c>
      <c r="E2620"/>
      <c r="F2620"/>
      <c r="G2620"/>
      <c r="H2620"/>
      <c r="I2620" s="489"/>
      <c r="J2620" s="1095"/>
      <c r="K2620" s="1095"/>
      <c r="L2620" s="1095"/>
      <c r="M2620" s="1095"/>
    </row>
    <row r="2621" spans="1:13" x14ac:dyDescent="0.25">
      <c r="A2621">
        <v>1901589</v>
      </c>
      <c r="B2621" t="s">
        <v>9911</v>
      </c>
      <c r="C2621" t="s">
        <v>2596</v>
      </c>
      <c r="D2621" s="254">
        <v>8.2899999999999991</v>
      </c>
      <c r="E2621"/>
      <c r="F2621"/>
      <c r="G2621"/>
      <c r="H2621"/>
      <c r="I2621" s="489"/>
      <c r="J2621" s="1095"/>
      <c r="K2621" s="1095"/>
      <c r="L2621" s="1095"/>
      <c r="M2621" s="1095"/>
    </row>
    <row r="2622" spans="1:13" x14ac:dyDescent="0.25">
      <c r="A2622">
        <v>1901596</v>
      </c>
      <c r="B2622" t="s">
        <v>9912</v>
      </c>
      <c r="C2622" t="s">
        <v>2596</v>
      </c>
      <c r="D2622" s="254">
        <v>10.6</v>
      </c>
      <c r="E2622"/>
      <c r="F2622"/>
      <c r="G2622"/>
      <c r="H2622"/>
      <c r="I2622" s="489"/>
      <c r="J2622" s="1095"/>
      <c r="K2622" s="1095"/>
      <c r="L2622" s="1095"/>
      <c r="M2622" s="1095"/>
    </row>
    <row r="2623" spans="1:13" x14ac:dyDescent="0.25">
      <c r="A2623">
        <v>1901597</v>
      </c>
      <c r="B2623" t="s">
        <v>9913</v>
      </c>
      <c r="C2623" t="s">
        <v>2596</v>
      </c>
      <c r="D2623" s="254">
        <v>10.67</v>
      </c>
      <c r="E2623"/>
      <c r="F2623"/>
      <c r="G2623"/>
      <c r="H2623"/>
      <c r="I2623" s="489"/>
      <c r="J2623" s="1095"/>
      <c r="K2623" s="1095"/>
      <c r="L2623" s="1095"/>
      <c r="M2623" s="1095"/>
    </row>
    <row r="2624" spans="1:13" x14ac:dyDescent="0.25">
      <c r="A2624">
        <v>1901598</v>
      </c>
      <c r="B2624" t="s">
        <v>9914</v>
      </c>
      <c r="C2624" t="s">
        <v>2596</v>
      </c>
      <c r="D2624" s="254">
        <v>10.74</v>
      </c>
      <c r="E2624"/>
      <c r="F2624"/>
      <c r="G2624"/>
      <c r="H2624"/>
      <c r="I2624" s="489"/>
      <c r="J2624" s="1095"/>
      <c r="K2624" s="1095"/>
      <c r="L2624" s="1095"/>
      <c r="M2624" s="1095"/>
    </row>
    <row r="2625" spans="1:13" x14ac:dyDescent="0.25">
      <c r="A2625">
        <v>1901599</v>
      </c>
      <c r="B2625" t="s">
        <v>9915</v>
      </c>
      <c r="C2625" t="s">
        <v>2596</v>
      </c>
      <c r="D2625" s="254">
        <v>10.81</v>
      </c>
      <c r="E2625"/>
      <c r="F2625"/>
      <c r="G2625"/>
      <c r="H2625"/>
      <c r="I2625" s="489"/>
      <c r="J2625" s="1095"/>
      <c r="K2625" s="1095"/>
      <c r="L2625" s="1095"/>
      <c r="M2625" s="1095"/>
    </row>
    <row r="2626" spans="1:13" x14ac:dyDescent="0.25">
      <c r="A2626">
        <v>1901600</v>
      </c>
      <c r="B2626" t="s">
        <v>9916</v>
      </c>
      <c r="C2626" t="s">
        <v>2596</v>
      </c>
      <c r="D2626" s="254">
        <v>10.88</v>
      </c>
      <c r="E2626"/>
      <c r="F2626"/>
      <c r="G2626"/>
      <c r="H2626"/>
      <c r="I2626" s="489"/>
      <c r="J2626" s="1095"/>
      <c r="K2626" s="1095"/>
      <c r="L2626" s="1095"/>
      <c r="M2626" s="1095"/>
    </row>
    <row r="2627" spans="1:13" x14ac:dyDescent="0.25">
      <c r="A2627">
        <v>1901595</v>
      </c>
      <c r="B2627" t="s">
        <v>9917</v>
      </c>
      <c r="C2627" t="s">
        <v>2596</v>
      </c>
      <c r="D2627" s="254">
        <v>10.92</v>
      </c>
      <c r="E2627"/>
      <c r="F2627"/>
      <c r="G2627"/>
      <c r="H2627"/>
      <c r="I2627" s="489"/>
      <c r="J2627" s="1095"/>
      <c r="K2627" s="1095"/>
      <c r="L2627" s="1095"/>
      <c r="M2627" s="1095"/>
    </row>
    <row r="2628" spans="1:13" x14ac:dyDescent="0.25">
      <c r="A2628">
        <v>1917097</v>
      </c>
      <c r="B2628" t="s">
        <v>9918</v>
      </c>
      <c r="C2628" t="s">
        <v>2596</v>
      </c>
      <c r="D2628" s="254">
        <v>11.67</v>
      </c>
      <c r="E2628"/>
      <c r="F2628"/>
      <c r="G2628"/>
      <c r="H2628"/>
      <c r="I2628" s="489"/>
      <c r="J2628" s="1095"/>
      <c r="K2628" s="1095"/>
      <c r="L2628" s="1095"/>
      <c r="M2628" s="1095"/>
    </row>
    <row r="2629" spans="1:13" x14ac:dyDescent="0.25">
      <c r="A2629">
        <v>1917098</v>
      </c>
      <c r="B2629" t="s">
        <v>9919</v>
      </c>
      <c r="C2629" t="s">
        <v>2596</v>
      </c>
      <c r="D2629" s="254">
        <v>11.83</v>
      </c>
      <c r="E2629"/>
      <c r="F2629"/>
      <c r="G2629"/>
      <c r="H2629"/>
      <c r="I2629" s="489"/>
      <c r="J2629" s="1095"/>
      <c r="K2629" s="1095"/>
      <c r="L2629" s="1095"/>
      <c r="M2629" s="1095"/>
    </row>
    <row r="2630" spans="1:13" x14ac:dyDescent="0.25">
      <c r="A2630">
        <v>1917099</v>
      </c>
      <c r="B2630" t="s">
        <v>9920</v>
      </c>
      <c r="C2630" t="s">
        <v>2596</v>
      </c>
      <c r="D2630" s="254">
        <v>11.99</v>
      </c>
      <c r="E2630"/>
      <c r="F2630"/>
      <c r="G2630"/>
      <c r="H2630"/>
      <c r="I2630" s="489"/>
      <c r="J2630" s="1095"/>
      <c r="K2630" s="1095"/>
      <c r="L2630" s="1095"/>
      <c r="M2630" s="1095"/>
    </row>
    <row r="2631" spans="1:13" x14ac:dyDescent="0.25">
      <c r="A2631">
        <v>1917100</v>
      </c>
      <c r="B2631" t="s">
        <v>9921</v>
      </c>
      <c r="C2631" t="s">
        <v>2596</v>
      </c>
      <c r="D2631" s="254">
        <v>12.17</v>
      </c>
      <c r="E2631"/>
      <c r="F2631"/>
      <c r="G2631"/>
      <c r="H2631"/>
      <c r="I2631" s="489"/>
      <c r="J2631" s="1095"/>
      <c r="K2631" s="1095"/>
      <c r="L2631" s="1095"/>
      <c r="M2631" s="1095"/>
    </row>
    <row r="2632" spans="1:13" x14ac:dyDescent="0.25">
      <c r="A2632">
        <v>1917101</v>
      </c>
      <c r="B2632" t="s">
        <v>9922</v>
      </c>
      <c r="C2632" t="s">
        <v>2596</v>
      </c>
      <c r="D2632" s="254">
        <v>12.35</v>
      </c>
      <c r="E2632"/>
      <c r="F2632"/>
      <c r="G2632"/>
      <c r="H2632"/>
      <c r="I2632" s="489"/>
      <c r="J2632" s="1095"/>
      <c r="K2632" s="1095"/>
      <c r="L2632" s="1095"/>
      <c r="M2632" s="1095"/>
    </row>
    <row r="2633" spans="1:13" x14ac:dyDescent="0.25">
      <c r="A2633">
        <v>1917102</v>
      </c>
      <c r="B2633" t="s">
        <v>9923</v>
      </c>
      <c r="C2633" t="s">
        <v>2596</v>
      </c>
      <c r="D2633" s="254">
        <v>12.45</v>
      </c>
      <c r="E2633"/>
      <c r="F2633"/>
      <c r="G2633"/>
      <c r="H2633"/>
      <c r="I2633" s="489"/>
      <c r="J2633" s="1095"/>
      <c r="K2633" s="1095"/>
      <c r="L2633" s="1095"/>
      <c r="M2633" s="1095"/>
    </row>
    <row r="2634" spans="1:13" x14ac:dyDescent="0.25">
      <c r="A2634">
        <v>1901601</v>
      </c>
      <c r="B2634" t="s">
        <v>9924</v>
      </c>
      <c r="C2634" t="s">
        <v>2596</v>
      </c>
      <c r="D2634" s="254">
        <v>13.31</v>
      </c>
      <c r="E2634"/>
      <c r="F2634"/>
      <c r="G2634"/>
      <c r="H2634"/>
      <c r="I2634" s="489"/>
      <c r="J2634" s="1095"/>
      <c r="K2634" s="1095"/>
      <c r="L2634" s="1095"/>
      <c r="M2634" s="1095"/>
    </row>
    <row r="2635" spans="1:13" x14ac:dyDescent="0.25">
      <c r="A2635">
        <v>1901602</v>
      </c>
      <c r="B2635" t="s">
        <v>9925</v>
      </c>
      <c r="C2635" t="s">
        <v>2596</v>
      </c>
      <c r="D2635" s="254">
        <v>13.37</v>
      </c>
      <c r="E2635"/>
      <c r="F2635"/>
      <c r="G2635"/>
      <c r="H2635"/>
      <c r="I2635" s="489"/>
      <c r="J2635" s="1095"/>
      <c r="K2635" s="1095"/>
      <c r="L2635" s="1095"/>
      <c r="M2635" s="1095"/>
    </row>
    <row r="2636" spans="1:13" x14ac:dyDescent="0.25">
      <c r="A2636">
        <v>1901603</v>
      </c>
      <c r="B2636" t="s">
        <v>9926</v>
      </c>
      <c r="C2636" t="s">
        <v>2596</v>
      </c>
      <c r="D2636" s="254">
        <v>13.44</v>
      </c>
      <c r="E2636"/>
      <c r="F2636"/>
      <c r="G2636"/>
      <c r="H2636"/>
      <c r="I2636" s="489"/>
      <c r="J2636" s="1095"/>
      <c r="K2636" s="1095"/>
      <c r="L2636" s="1095"/>
      <c r="M2636" s="1095"/>
    </row>
    <row r="2637" spans="1:13" x14ac:dyDescent="0.25">
      <c r="A2637">
        <v>1901604</v>
      </c>
      <c r="B2637" t="s">
        <v>9927</v>
      </c>
      <c r="C2637" t="s">
        <v>2596</v>
      </c>
      <c r="D2637" s="254">
        <v>13.51</v>
      </c>
      <c r="E2637"/>
      <c r="F2637"/>
      <c r="G2637"/>
      <c r="H2637"/>
      <c r="I2637" s="489"/>
      <c r="J2637" s="1095"/>
      <c r="K2637" s="1095"/>
      <c r="L2637" s="1095"/>
      <c r="M2637" s="1095"/>
    </row>
    <row r="2638" spans="1:13" x14ac:dyDescent="0.25">
      <c r="A2638">
        <v>1901605</v>
      </c>
      <c r="B2638" t="s">
        <v>9928</v>
      </c>
      <c r="C2638" t="s">
        <v>2596</v>
      </c>
      <c r="D2638" s="254">
        <v>13.58</v>
      </c>
      <c r="E2638"/>
      <c r="F2638"/>
      <c r="G2638"/>
      <c r="H2638"/>
      <c r="I2638" s="489"/>
      <c r="J2638" s="1095"/>
      <c r="K2638" s="1095"/>
      <c r="L2638" s="1095"/>
      <c r="M2638" s="1095"/>
    </row>
    <row r="2639" spans="1:13" x14ac:dyDescent="0.25">
      <c r="A2639">
        <v>1901606</v>
      </c>
      <c r="B2639" t="s">
        <v>9929</v>
      </c>
      <c r="C2639" t="s">
        <v>2596</v>
      </c>
      <c r="D2639" s="254">
        <v>13.62</v>
      </c>
      <c r="E2639"/>
      <c r="F2639"/>
      <c r="G2639"/>
      <c r="H2639"/>
      <c r="I2639" s="489"/>
      <c r="J2639" s="1095"/>
      <c r="K2639" s="1095"/>
      <c r="L2639" s="1095"/>
      <c r="M2639" s="1095"/>
    </row>
    <row r="2640" spans="1:13" x14ac:dyDescent="0.25">
      <c r="A2640">
        <v>1917133</v>
      </c>
      <c r="B2640" t="s">
        <v>9930</v>
      </c>
      <c r="C2640" t="s">
        <v>2596</v>
      </c>
      <c r="D2640" s="254">
        <v>11.02</v>
      </c>
      <c r="E2640"/>
      <c r="F2640"/>
      <c r="G2640"/>
      <c r="H2640"/>
      <c r="I2640" s="489"/>
      <c r="J2640" s="1095"/>
      <c r="K2640" s="1095"/>
      <c r="L2640" s="1095"/>
      <c r="M2640" s="1095"/>
    </row>
    <row r="2641" spans="1:13" x14ac:dyDescent="0.25">
      <c r="A2641">
        <v>1917134</v>
      </c>
      <c r="B2641" t="s">
        <v>9931</v>
      </c>
      <c r="C2641" t="s">
        <v>2596</v>
      </c>
      <c r="D2641" s="254">
        <v>11.15</v>
      </c>
      <c r="E2641"/>
      <c r="F2641"/>
      <c r="G2641"/>
      <c r="H2641"/>
      <c r="I2641" s="489"/>
      <c r="J2641" s="1095"/>
      <c r="K2641" s="1095"/>
      <c r="L2641" s="1095"/>
      <c r="M2641" s="1095"/>
    </row>
    <row r="2642" spans="1:13" x14ac:dyDescent="0.25">
      <c r="A2642">
        <v>1917135</v>
      </c>
      <c r="B2642" t="s">
        <v>9932</v>
      </c>
      <c r="C2642" t="s">
        <v>2596</v>
      </c>
      <c r="D2642" s="254">
        <v>11.29</v>
      </c>
      <c r="E2642"/>
      <c r="F2642"/>
      <c r="G2642"/>
      <c r="H2642"/>
      <c r="I2642" s="489"/>
      <c r="J2642" s="1095"/>
      <c r="K2642" s="1095"/>
      <c r="L2642" s="1095"/>
      <c r="M2642" s="1095"/>
    </row>
    <row r="2643" spans="1:13" x14ac:dyDescent="0.25">
      <c r="A2643">
        <v>1917136</v>
      </c>
      <c r="B2643" t="s">
        <v>9933</v>
      </c>
      <c r="C2643" t="s">
        <v>2596</v>
      </c>
      <c r="D2643" s="254">
        <v>11.43</v>
      </c>
      <c r="E2643"/>
      <c r="F2643"/>
      <c r="G2643"/>
      <c r="H2643"/>
      <c r="I2643" s="489"/>
      <c r="J2643" s="1095"/>
      <c r="K2643" s="1095"/>
      <c r="L2643" s="1095"/>
      <c r="M2643" s="1095"/>
    </row>
    <row r="2644" spans="1:13" x14ac:dyDescent="0.25">
      <c r="A2644">
        <v>1917137</v>
      </c>
      <c r="B2644" t="s">
        <v>9934</v>
      </c>
      <c r="C2644" t="s">
        <v>2596</v>
      </c>
      <c r="D2644" s="254">
        <v>11.58</v>
      </c>
      <c r="E2644"/>
      <c r="F2644"/>
      <c r="G2644"/>
      <c r="H2644"/>
      <c r="I2644" s="489"/>
      <c r="J2644" s="1095"/>
      <c r="K2644" s="1095"/>
      <c r="L2644" s="1095"/>
      <c r="M2644" s="1095"/>
    </row>
    <row r="2645" spans="1:13" x14ac:dyDescent="0.25">
      <c r="A2645">
        <v>1917138</v>
      </c>
      <c r="B2645" t="s">
        <v>9935</v>
      </c>
      <c r="C2645" t="s">
        <v>2596</v>
      </c>
      <c r="D2645" s="254">
        <v>11.67</v>
      </c>
      <c r="E2645"/>
      <c r="F2645"/>
      <c r="G2645"/>
      <c r="H2645"/>
      <c r="I2645" s="489"/>
      <c r="J2645" s="1095"/>
      <c r="K2645" s="1095"/>
      <c r="L2645" s="1095"/>
      <c r="M2645" s="1095"/>
    </row>
    <row r="2646" spans="1:13" x14ac:dyDescent="0.25">
      <c r="A2646">
        <v>1917169</v>
      </c>
      <c r="B2646" t="s">
        <v>9936</v>
      </c>
      <c r="C2646" t="s">
        <v>2596</v>
      </c>
      <c r="D2646" s="254">
        <v>9.74</v>
      </c>
      <c r="E2646"/>
      <c r="F2646"/>
      <c r="G2646"/>
      <c r="H2646"/>
      <c r="I2646" s="489"/>
      <c r="J2646" s="1095"/>
      <c r="K2646" s="1095"/>
      <c r="L2646" s="1095"/>
      <c r="M2646" s="1095"/>
    </row>
    <row r="2647" spans="1:13" x14ac:dyDescent="0.25">
      <c r="A2647">
        <v>1917170</v>
      </c>
      <c r="B2647" t="s">
        <v>9937</v>
      </c>
      <c r="C2647" t="s">
        <v>2596</v>
      </c>
      <c r="D2647" s="254">
        <v>9.85</v>
      </c>
      <c r="E2647"/>
      <c r="F2647"/>
      <c r="G2647"/>
      <c r="H2647"/>
      <c r="I2647" s="489"/>
      <c r="J2647" s="1095"/>
      <c r="K2647" s="1095"/>
      <c r="L2647" s="1095"/>
      <c r="M2647" s="1095"/>
    </row>
    <row r="2648" spans="1:13" x14ac:dyDescent="0.25">
      <c r="A2648">
        <v>1917171</v>
      </c>
      <c r="B2648" t="s">
        <v>9938</v>
      </c>
      <c r="C2648" t="s">
        <v>2596</v>
      </c>
      <c r="D2648" s="254">
        <v>9.9600000000000009</v>
      </c>
      <c r="E2648"/>
      <c r="F2648"/>
      <c r="G2648"/>
      <c r="H2648"/>
      <c r="I2648" s="489"/>
      <c r="J2648" s="1095"/>
      <c r="K2648" s="1095"/>
      <c r="L2648" s="1095"/>
      <c r="M2648" s="1095"/>
    </row>
    <row r="2649" spans="1:13" x14ac:dyDescent="0.25">
      <c r="A2649">
        <v>1917172</v>
      </c>
      <c r="B2649" t="s">
        <v>9939</v>
      </c>
      <c r="C2649" t="s">
        <v>2596</v>
      </c>
      <c r="D2649" s="254">
        <v>10.08</v>
      </c>
      <c r="E2649"/>
      <c r="F2649"/>
      <c r="G2649"/>
      <c r="H2649"/>
      <c r="I2649" s="489"/>
      <c r="J2649" s="1095"/>
      <c r="K2649" s="1095"/>
      <c r="L2649" s="1095"/>
      <c r="M2649" s="1095"/>
    </row>
    <row r="2650" spans="1:13" x14ac:dyDescent="0.25">
      <c r="A2650">
        <v>1917173</v>
      </c>
      <c r="B2650" t="s">
        <v>9940</v>
      </c>
      <c r="C2650" t="s">
        <v>2596</v>
      </c>
      <c r="D2650" s="254">
        <v>10.210000000000001</v>
      </c>
      <c r="E2650"/>
      <c r="F2650"/>
      <c r="G2650"/>
      <c r="H2650"/>
      <c r="I2650" s="489"/>
      <c r="J2650" s="1095"/>
      <c r="K2650" s="1095"/>
      <c r="L2650" s="1095"/>
      <c r="M2650" s="1095"/>
    </row>
    <row r="2651" spans="1:13" x14ac:dyDescent="0.25">
      <c r="A2651">
        <v>1917174</v>
      </c>
      <c r="B2651" t="s">
        <v>9941</v>
      </c>
      <c r="C2651" t="s">
        <v>2596</v>
      </c>
      <c r="D2651" s="254">
        <v>10.28</v>
      </c>
      <c r="E2651"/>
      <c r="F2651"/>
      <c r="G2651"/>
      <c r="H2651"/>
      <c r="I2651" s="489"/>
      <c r="J2651" s="1095"/>
      <c r="K2651" s="1095"/>
      <c r="L2651" s="1095"/>
      <c r="M2651" s="1095"/>
    </row>
    <row r="2652" spans="1:13" x14ac:dyDescent="0.25">
      <c r="A2652">
        <v>1917205</v>
      </c>
      <c r="B2652" t="s">
        <v>9942</v>
      </c>
      <c r="C2652" t="s">
        <v>2596</v>
      </c>
      <c r="D2652" s="254">
        <v>9.19</v>
      </c>
      <c r="E2652"/>
      <c r="F2652"/>
      <c r="G2652"/>
      <c r="H2652"/>
      <c r="I2652" s="489"/>
      <c r="J2652" s="1095"/>
      <c r="K2652" s="1095"/>
      <c r="L2652" s="1095"/>
      <c r="M2652" s="1095"/>
    </row>
    <row r="2653" spans="1:13" x14ac:dyDescent="0.25">
      <c r="A2653">
        <v>1917206</v>
      </c>
      <c r="B2653" t="s">
        <v>9943</v>
      </c>
      <c r="C2653" t="s">
        <v>2596</v>
      </c>
      <c r="D2653" s="254">
        <v>9.2899999999999991</v>
      </c>
      <c r="E2653"/>
      <c r="F2653"/>
      <c r="G2653"/>
      <c r="H2653"/>
      <c r="I2653" s="489"/>
      <c r="J2653" s="1095"/>
      <c r="K2653" s="1095"/>
      <c r="L2653" s="1095"/>
      <c r="M2653" s="1095"/>
    </row>
    <row r="2654" spans="1:13" x14ac:dyDescent="0.25">
      <c r="A2654">
        <v>1917207</v>
      </c>
      <c r="B2654" t="s">
        <v>9944</v>
      </c>
      <c r="C2654" t="s">
        <v>2596</v>
      </c>
      <c r="D2654" s="254">
        <v>9.39</v>
      </c>
      <c r="E2654"/>
      <c r="F2654"/>
      <c r="G2654"/>
      <c r="H2654"/>
      <c r="I2654" s="489"/>
      <c r="J2654" s="1095"/>
      <c r="K2654" s="1095"/>
      <c r="L2654" s="1095"/>
      <c r="M2654" s="1095"/>
    </row>
    <row r="2655" spans="1:13" x14ac:dyDescent="0.25">
      <c r="A2655">
        <v>1917208</v>
      </c>
      <c r="B2655" t="s">
        <v>9945</v>
      </c>
      <c r="C2655" t="s">
        <v>2596</v>
      </c>
      <c r="D2655" s="254">
        <v>9.5</v>
      </c>
      <c r="E2655"/>
      <c r="F2655"/>
      <c r="G2655"/>
      <c r="H2655"/>
      <c r="I2655" s="489"/>
      <c r="J2655" s="1095"/>
      <c r="K2655" s="1095"/>
      <c r="L2655" s="1095"/>
      <c r="M2655" s="1095"/>
    </row>
    <row r="2656" spans="1:13" x14ac:dyDescent="0.25">
      <c r="A2656">
        <v>1917209</v>
      </c>
      <c r="B2656" t="s">
        <v>9946</v>
      </c>
      <c r="C2656" t="s">
        <v>2596</v>
      </c>
      <c r="D2656" s="254">
        <v>9.61</v>
      </c>
      <c r="E2656"/>
      <c r="F2656"/>
      <c r="G2656"/>
      <c r="H2656"/>
      <c r="I2656" s="489"/>
      <c r="J2656" s="1095"/>
      <c r="K2656" s="1095"/>
      <c r="L2656" s="1095"/>
      <c r="M2656" s="1095"/>
    </row>
    <row r="2657" spans="1:13" x14ac:dyDescent="0.25">
      <c r="A2657">
        <v>1917210</v>
      </c>
      <c r="B2657" t="s">
        <v>9947</v>
      </c>
      <c r="C2657" t="s">
        <v>2596</v>
      </c>
      <c r="D2657" s="254">
        <v>9.67</v>
      </c>
      <c r="E2657"/>
      <c r="F2657"/>
      <c r="G2657"/>
      <c r="H2657"/>
      <c r="I2657" s="489"/>
      <c r="J2657" s="1095"/>
      <c r="K2657" s="1095"/>
      <c r="L2657" s="1095"/>
      <c r="M2657" s="1095"/>
    </row>
    <row r="2658" spans="1:13" x14ac:dyDescent="0.25">
      <c r="A2658">
        <v>1917025</v>
      </c>
      <c r="B2658" t="s">
        <v>9948</v>
      </c>
      <c r="C2658" t="s">
        <v>2596</v>
      </c>
      <c r="D2658" s="254">
        <v>12.51</v>
      </c>
      <c r="E2658"/>
      <c r="F2658"/>
      <c r="G2658"/>
      <c r="H2658"/>
      <c r="I2658" s="489"/>
      <c r="J2658" s="1095"/>
      <c r="K2658" s="1095"/>
      <c r="L2658" s="1095"/>
      <c r="M2658" s="1095"/>
    </row>
    <row r="2659" spans="1:13" x14ac:dyDescent="0.25">
      <c r="A2659">
        <v>1917026</v>
      </c>
      <c r="B2659" t="s">
        <v>9949</v>
      </c>
      <c r="C2659" t="s">
        <v>2596</v>
      </c>
      <c r="D2659" s="254">
        <v>12.77</v>
      </c>
      <c r="E2659"/>
      <c r="F2659"/>
      <c r="G2659"/>
      <c r="H2659"/>
      <c r="I2659" s="489"/>
      <c r="J2659" s="1095"/>
      <c r="K2659" s="1095"/>
      <c r="L2659" s="1095"/>
      <c r="M2659" s="1095"/>
    </row>
    <row r="2660" spans="1:13" x14ac:dyDescent="0.25">
      <c r="A2660">
        <v>1917027</v>
      </c>
      <c r="B2660" t="s">
        <v>9950</v>
      </c>
      <c r="C2660" t="s">
        <v>2596</v>
      </c>
      <c r="D2660" s="254">
        <v>13.03</v>
      </c>
      <c r="E2660"/>
      <c r="F2660"/>
      <c r="G2660"/>
      <c r="H2660"/>
      <c r="I2660" s="489"/>
      <c r="J2660" s="1095"/>
      <c r="K2660" s="1095"/>
      <c r="L2660" s="1095"/>
      <c r="M2660" s="1095"/>
    </row>
    <row r="2661" spans="1:13" x14ac:dyDescent="0.25">
      <c r="A2661">
        <v>1917028</v>
      </c>
      <c r="B2661" t="s">
        <v>9951</v>
      </c>
      <c r="C2661" t="s">
        <v>2596</v>
      </c>
      <c r="D2661" s="254">
        <v>13.31</v>
      </c>
      <c r="E2661"/>
      <c r="F2661"/>
      <c r="G2661"/>
      <c r="H2661"/>
      <c r="I2661" s="489"/>
      <c r="J2661" s="1095"/>
      <c r="K2661" s="1095"/>
      <c r="L2661" s="1095"/>
      <c r="M2661" s="1095"/>
    </row>
    <row r="2662" spans="1:13" x14ac:dyDescent="0.25">
      <c r="A2662">
        <v>1917029</v>
      </c>
      <c r="B2662" t="s">
        <v>9952</v>
      </c>
      <c r="C2662" t="s">
        <v>2596</v>
      </c>
      <c r="D2662" s="254">
        <v>13.6</v>
      </c>
      <c r="E2662"/>
      <c r="F2662"/>
      <c r="G2662"/>
      <c r="H2662"/>
      <c r="I2662" s="489"/>
      <c r="J2662" s="1095"/>
      <c r="K2662" s="1095"/>
      <c r="L2662" s="1095"/>
      <c r="M2662" s="1095"/>
    </row>
    <row r="2663" spans="1:13" x14ac:dyDescent="0.25">
      <c r="A2663">
        <v>1917030</v>
      </c>
      <c r="B2663" t="s">
        <v>9953</v>
      </c>
      <c r="C2663" t="s">
        <v>2596</v>
      </c>
      <c r="D2663" s="254">
        <v>13.75</v>
      </c>
      <c r="E2663"/>
      <c r="F2663"/>
      <c r="G2663"/>
      <c r="H2663"/>
      <c r="I2663" s="489"/>
      <c r="J2663" s="1095"/>
      <c r="K2663" s="1095"/>
      <c r="L2663" s="1095"/>
      <c r="M2663" s="1095"/>
    </row>
    <row r="2664" spans="1:13" x14ac:dyDescent="0.25">
      <c r="A2664">
        <v>1917629</v>
      </c>
      <c r="B2664" t="s">
        <v>9954</v>
      </c>
      <c r="C2664" t="s">
        <v>2596</v>
      </c>
      <c r="D2664" s="254">
        <v>15.01</v>
      </c>
      <c r="E2664"/>
      <c r="F2664"/>
      <c r="G2664"/>
      <c r="H2664"/>
      <c r="I2664" s="489"/>
      <c r="J2664" s="1095"/>
      <c r="K2664" s="1095"/>
      <c r="L2664" s="1095"/>
      <c r="M2664" s="1095"/>
    </row>
    <row r="2665" spans="1:13" x14ac:dyDescent="0.25">
      <c r="A2665">
        <v>1917633</v>
      </c>
      <c r="B2665" t="s">
        <v>9955</v>
      </c>
      <c r="C2665" t="s">
        <v>2596</v>
      </c>
      <c r="D2665" s="254">
        <v>17.170000000000002</v>
      </c>
      <c r="E2665"/>
      <c r="F2665"/>
      <c r="G2665"/>
      <c r="H2665"/>
      <c r="I2665" s="489"/>
      <c r="J2665" s="1095"/>
      <c r="K2665" s="1095"/>
      <c r="L2665" s="1095"/>
      <c r="M2665" s="1095"/>
    </row>
    <row r="2666" spans="1:13" x14ac:dyDescent="0.25">
      <c r="A2666">
        <v>1917634</v>
      </c>
      <c r="B2666" t="s">
        <v>9956</v>
      </c>
      <c r="C2666" t="s">
        <v>2596</v>
      </c>
      <c r="D2666" s="254">
        <v>17.559999999999999</v>
      </c>
      <c r="E2666"/>
      <c r="F2666"/>
      <c r="G2666"/>
      <c r="H2666"/>
      <c r="I2666" s="489"/>
      <c r="J2666" s="1095"/>
      <c r="K2666" s="1095"/>
      <c r="L2666" s="1095"/>
      <c r="M2666" s="1095"/>
    </row>
    <row r="2667" spans="1:13" x14ac:dyDescent="0.25">
      <c r="A2667">
        <v>1917635</v>
      </c>
      <c r="B2667" t="s">
        <v>9957</v>
      </c>
      <c r="C2667" t="s">
        <v>2596</v>
      </c>
      <c r="D2667" s="254">
        <v>17.96</v>
      </c>
      <c r="E2667"/>
      <c r="F2667"/>
      <c r="G2667"/>
      <c r="H2667"/>
      <c r="I2667" s="489"/>
      <c r="J2667" s="1095"/>
      <c r="K2667" s="1095"/>
      <c r="L2667" s="1095"/>
      <c r="M2667" s="1095"/>
    </row>
    <row r="2668" spans="1:13" x14ac:dyDescent="0.25">
      <c r="A2668">
        <v>1917636</v>
      </c>
      <c r="B2668" t="s">
        <v>9958</v>
      </c>
      <c r="C2668" t="s">
        <v>2596</v>
      </c>
      <c r="D2668" s="254">
        <v>19.86</v>
      </c>
      <c r="E2668"/>
      <c r="F2668"/>
      <c r="G2668"/>
      <c r="H2668"/>
      <c r="I2668" s="489"/>
      <c r="J2668" s="1095"/>
      <c r="K2668" s="1095"/>
      <c r="L2668" s="1095"/>
      <c r="M2668" s="1095"/>
    </row>
    <row r="2669" spans="1:13" x14ac:dyDescent="0.25">
      <c r="A2669">
        <v>1917637</v>
      </c>
      <c r="B2669" t="s">
        <v>9959</v>
      </c>
      <c r="C2669" t="s">
        <v>2596</v>
      </c>
      <c r="D2669" s="254">
        <v>20.38</v>
      </c>
      <c r="E2669"/>
      <c r="F2669"/>
      <c r="G2669"/>
      <c r="H2669"/>
      <c r="I2669" s="489"/>
      <c r="J2669" s="1095"/>
      <c r="K2669" s="1095"/>
      <c r="L2669" s="1095"/>
      <c r="M2669" s="1095"/>
    </row>
    <row r="2670" spans="1:13" x14ac:dyDescent="0.25">
      <c r="A2670">
        <v>1917638</v>
      </c>
      <c r="B2670" t="s">
        <v>9960</v>
      </c>
      <c r="C2670" t="s">
        <v>2596</v>
      </c>
      <c r="D2670" s="254">
        <v>20.9</v>
      </c>
      <c r="E2670"/>
      <c r="F2670"/>
      <c r="G2670"/>
      <c r="H2670"/>
      <c r="I2670" s="489"/>
      <c r="J2670" s="1095"/>
      <c r="K2670" s="1095"/>
      <c r="L2670" s="1095"/>
      <c r="M2670" s="1095"/>
    </row>
    <row r="2671" spans="1:13" x14ac:dyDescent="0.25">
      <c r="A2671">
        <v>1917630</v>
      </c>
      <c r="B2671" t="s">
        <v>9961</v>
      </c>
      <c r="C2671" t="s">
        <v>2596</v>
      </c>
      <c r="D2671" s="254">
        <v>15.7</v>
      </c>
      <c r="E2671"/>
      <c r="F2671"/>
      <c r="G2671"/>
      <c r="H2671"/>
      <c r="I2671" s="489"/>
      <c r="J2671" s="1095"/>
      <c r="K2671" s="1095"/>
      <c r="L2671" s="1095"/>
      <c r="M2671" s="1095"/>
    </row>
    <row r="2672" spans="1:13" x14ac:dyDescent="0.25">
      <c r="A2672">
        <v>1917631</v>
      </c>
      <c r="B2672" t="s">
        <v>9962</v>
      </c>
      <c r="C2672" t="s">
        <v>2596</v>
      </c>
      <c r="D2672" s="254">
        <v>16.29</v>
      </c>
      <c r="E2672"/>
      <c r="F2672"/>
      <c r="G2672"/>
      <c r="H2672"/>
      <c r="I2672" s="489"/>
      <c r="J2672" s="1095"/>
      <c r="K2672" s="1095"/>
      <c r="L2672" s="1095"/>
      <c r="M2672" s="1095"/>
    </row>
    <row r="2673" spans="1:13" x14ac:dyDescent="0.25">
      <c r="A2673">
        <v>1917632</v>
      </c>
      <c r="B2673" t="s">
        <v>9963</v>
      </c>
      <c r="C2673" t="s">
        <v>2596</v>
      </c>
      <c r="D2673" s="254">
        <v>16.68</v>
      </c>
      <c r="E2673"/>
      <c r="F2673"/>
      <c r="G2673"/>
      <c r="H2673"/>
      <c r="I2673" s="489"/>
      <c r="J2673" s="1095"/>
      <c r="K2673" s="1095"/>
      <c r="L2673" s="1095"/>
      <c r="M2673" s="1095"/>
    </row>
    <row r="2674" spans="1:13" x14ac:dyDescent="0.25">
      <c r="A2674">
        <v>1917639</v>
      </c>
      <c r="B2674" t="s">
        <v>9964</v>
      </c>
      <c r="C2674" t="s">
        <v>2596</v>
      </c>
      <c r="D2674" s="254">
        <v>21.17</v>
      </c>
      <c r="E2674"/>
      <c r="F2674"/>
      <c r="G2674"/>
      <c r="H2674"/>
      <c r="I2674" s="489"/>
      <c r="J2674" s="1095"/>
      <c r="K2674" s="1095"/>
      <c r="L2674" s="1095"/>
      <c r="M2674" s="1095"/>
    </row>
    <row r="2675" spans="1:13" x14ac:dyDescent="0.25">
      <c r="A2675">
        <v>1917646</v>
      </c>
      <c r="B2675" t="s">
        <v>9965</v>
      </c>
      <c r="C2675" t="s">
        <v>2596</v>
      </c>
      <c r="D2675" s="254">
        <v>19.45</v>
      </c>
      <c r="E2675"/>
      <c r="F2675"/>
      <c r="G2675"/>
      <c r="H2675"/>
      <c r="I2675" s="489"/>
      <c r="J2675" s="1095"/>
      <c r="K2675" s="1095"/>
      <c r="L2675" s="1095"/>
      <c r="M2675" s="1095"/>
    </row>
    <row r="2676" spans="1:13" x14ac:dyDescent="0.25">
      <c r="A2676">
        <v>1917647</v>
      </c>
      <c r="B2676" t="s">
        <v>9966</v>
      </c>
      <c r="C2676" t="s">
        <v>2596</v>
      </c>
      <c r="D2676" s="254">
        <v>19.77</v>
      </c>
      <c r="E2676"/>
      <c r="F2676"/>
      <c r="G2676"/>
      <c r="H2676"/>
      <c r="I2676" s="489"/>
      <c r="J2676" s="1095"/>
      <c r="K2676" s="1095"/>
      <c r="L2676" s="1095"/>
      <c r="M2676" s="1095"/>
    </row>
    <row r="2677" spans="1:13" x14ac:dyDescent="0.25">
      <c r="A2677">
        <v>1917648</v>
      </c>
      <c r="B2677" t="s">
        <v>9967</v>
      </c>
      <c r="C2677" t="s">
        <v>2596</v>
      </c>
      <c r="D2677" s="254">
        <v>20.02</v>
      </c>
      <c r="E2677"/>
      <c r="F2677"/>
      <c r="G2677"/>
      <c r="H2677"/>
      <c r="I2677" s="489"/>
      <c r="J2677" s="1095"/>
      <c r="K2677" s="1095"/>
      <c r="L2677" s="1095"/>
      <c r="M2677" s="1095"/>
    </row>
    <row r="2678" spans="1:13" x14ac:dyDescent="0.25">
      <c r="A2678">
        <v>1917649</v>
      </c>
      <c r="B2678" t="s">
        <v>9968</v>
      </c>
      <c r="C2678" t="s">
        <v>2596</v>
      </c>
      <c r="D2678" s="254">
        <v>20.34</v>
      </c>
      <c r="E2678"/>
      <c r="F2678"/>
      <c r="G2678"/>
      <c r="H2678"/>
      <c r="I2678" s="489"/>
      <c r="J2678" s="1095"/>
      <c r="K2678" s="1095"/>
      <c r="L2678" s="1095"/>
      <c r="M2678" s="1095"/>
    </row>
    <row r="2679" spans="1:13" x14ac:dyDescent="0.25">
      <c r="A2679">
        <v>1917650</v>
      </c>
      <c r="B2679" t="s">
        <v>9969</v>
      </c>
      <c r="C2679" t="s">
        <v>2596</v>
      </c>
      <c r="D2679" s="254">
        <v>20.66</v>
      </c>
      <c r="E2679"/>
      <c r="F2679"/>
      <c r="G2679"/>
      <c r="H2679"/>
      <c r="I2679" s="489"/>
      <c r="J2679" s="1095"/>
      <c r="K2679" s="1095"/>
      <c r="L2679" s="1095"/>
      <c r="M2679" s="1095"/>
    </row>
    <row r="2680" spans="1:13" x14ac:dyDescent="0.25">
      <c r="A2680">
        <v>1917651</v>
      </c>
      <c r="B2680" t="s">
        <v>9970</v>
      </c>
      <c r="C2680" t="s">
        <v>2596</v>
      </c>
      <c r="D2680" s="254">
        <v>21.15</v>
      </c>
      <c r="E2680"/>
      <c r="F2680"/>
      <c r="G2680"/>
      <c r="H2680"/>
      <c r="I2680" s="489"/>
      <c r="J2680" s="1095"/>
      <c r="K2680" s="1095"/>
      <c r="L2680" s="1095"/>
      <c r="M2680" s="1095"/>
    </row>
    <row r="2681" spans="1:13" x14ac:dyDescent="0.25">
      <c r="A2681">
        <v>1917652</v>
      </c>
      <c r="B2681" t="s">
        <v>9971</v>
      </c>
      <c r="C2681" t="s">
        <v>2596</v>
      </c>
      <c r="D2681" s="254">
        <v>23.45</v>
      </c>
      <c r="E2681"/>
      <c r="F2681"/>
      <c r="G2681"/>
      <c r="H2681"/>
      <c r="I2681" s="489"/>
      <c r="J2681" s="1095"/>
      <c r="K2681" s="1095"/>
      <c r="L2681" s="1095"/>
      <c r="M2681" s="1095"/>
    </row>
    <row r="2682" spans="1:13" x14ac:dyDescent="0.25">
      <c r="A2682">
        <v>1917642</v>
      </c>
      <c r="B2682" t="s">
        <v>9972</v>
      </c>
      <c r="C2682" t="s">
        <v>2596</v>
      </c>
      <c r="D2682" s="254">
        <v>18.079999999999998</v>
      </c>
      <c r="E2682"/>
      <c r="F2682"/>
      <c r="G2682"/>
      <c r="H2682"/>
      <c r="I2682" s="489"/>
      <c r="J2682" s="1095"/>
      <c r="K2682" s="1095"/>
      <c r="L2682" s="1095"/>
      <c r="M2682" s="1095"/>
    </row>
    <row r="2683" spans="1:13" x14ac:dyDescent="0.25">
      <c r="A2683">
        <v>1917643</v>
      </c>
      <c r="B2683" t="s">
        <v>9973</v>
      </c>
      <c r="C2683" t="s">
        <v>2596</v>
      </c>
      <c r="D2683" s="254">
        <v>18.48</v>
      </c>
      <c r="E2683"/>
      <c r="F2683"/>
      <c r="G2683"/>
      <c r="H2683"/>
      <c r="I2683" s="489"/>
      <c r="J2683" s="1095"/>
      <c r="K2683" s="1095"/>
      <c r="L2683" s="1095"/>
      <c r="M2683" s="1095"/>
    </row>
    <row r="2684" spans="1:13" x14ac:dyDescent="0.25">
      <c r="A2684">
        <v>1917641</v>
      </c>
      <c r="B2684" t="s">
        <v>9974</v>
      </c>
      <c r="C2684" t="s">
        <v>2596</v>
      </c>
      <c r="D2684" s="254">
        <v>16.18</v>
      </c>
      <c r="E2684"/>
      <c r="F2684"/>
      <c r="G2684"/>
      <c r="H2684"/>
      <c r="I2684" s="489"/>
      <c r="J2684" s="1095"/>
      <c r="K2684" s="1095"/>
      <c r="L2684" s="1095"/>
      <c r="M2684" s="1095"/>
    </row>
    <row r="2685" spans="1:13" x14ac:dyDescent="0.25">
      <c r="A2685">
        <v>1917644</v>
      </c>
      <c r="B2685" t="s">
        <v>9975</v>
      </c>
      <c r="C2685" t="s">
        <v>2596</v>
      </c>
      <c r="D2685" s="254">
        <v>18.89</v>
      </c>
      <c r="E2685"/>
      <c r="F2685"/>
      <c r="G2685"/>
      <c r="H2685"/>
      <c r="I2685" s="489"/>
      <c r="J2685" s="1095"/>
      <c r="K2685" s="1095"/>
      <c r="L2685" s="1095"/>
      <c r="M2685" s="1095"/>
    </row>
    <row r="2686" spans="1:13" x14ac:dyDescent="0.25">
      <c r="A2686">
        <v>1917645</v>
      </c>
      <c r="B2686" t="s">
        <v>9976</v>
      </c>
      <c r="C2686" t="s">
        <v>2596</v>
      </c>
      <c r="D2686" s="254">
        <v>19.13</v>
      </c>
      <c r="E2686"/>
      <c r="F2686"/>
      <c r="G2686"/>
      <c r="H2686"/>
      <c r="I2686" s="489"/>
      <c r="J2686" s="1095"/>
      <c r="K2686" s="1095"/>
      <c r="L2686" s="1095"/>
      <c r="M2686" s="1095"/>
    </row>
    <row r="2687" spans="1:13" x14ac:dyDescent="0.25">
      <c r="A2687">
        <v>1917653</v>
      </c>
      <c r="B2687" t="s">
        <v>9977</v>
      </c>
      <c r="C2687" t="s">
        <v>2596</v>
      </c>
      <c r="D2687" s="254">
        <v>23.81</v>
      </c>
      <c r="E2687"/>
      <c r="F2687"/>
      <c r="G2687"/>
      <c r="H2687"/>
      <c r="I2687" s="489"/>
      <c r="J2687" s="1095"/>
      <c r="K2687" s="1095"/>
      <c r="L2687" s="1095"/>
      <c r="M2687" s="1095"/>
    </row>
    <row r="2688" spans="1:13" x14ac:dyDescent="0.25">
      <c r="A2688">
        <v>1917659</v>
      </c>
      <c r="B2688" t="s">
        <v>9978</v>
      </c>
      <c r="C2688" t="s">
        <v>2596</v>
      </c>
      <c r="D2688" s="254">
        <v>18.559999999999999</v>
      </c>
      <c r="E2688"/>
      <c r="F2688"/>
      <c r="G2688"/>
      <c r="H2688"/>
      <c r="I2688" s="489"/>
      <c r="J2688" s="1095"/>
      <c r="K2688" s="1095"/>
      <c r="L2688" s="1095"/>
      <c r="M2688" s="1095"/>
    </row>
    <row r="2689" spans="1:13" x14ac:dyDescent="0.25">
      <c r="A2689">
        <v>1917660</v>
      </c>
      <c r="B2689" t="s">
        <v>9979</v>
      </c>
      <c r="C2689" t="s">
        <v>2596</v>
      </c>
      <c r="D2689" s="254">
        <v>18.72</v>
      </c>
      <c r="E2689"/>
      <c r="F2689"/>
      <c r="G2689"/>
      <c r="H2689"/>
      <c r="I2689" s="489"/>
      <c r="J2689" s="1095"/>
      <c r="K2689" s="1095"/>
      <c r="L2689" s="1095"/>
      <c r="M2689" s="1095"/>
    </row>
    <row r="2690" spans="1:13" x14ac:dyDescent="0.25">
      <c r="A2690">
        <v>1917661</v>
      </c>
      <c r="B2690" t="s">
        <v>9980</v>
      </c>
      <c r="C2690" t="s">
        <v>2596</v>
      </c>
      <c r="D2690" s="254">
        <v>18.89</v>
      </c>
      <c r="E2690"/>
      <c r="F2690"/>
      <c r="G2690"/>
      <c r="H2690"/>
      <c r="I2690" s="489"/>
      <c r="J2690" s="1095"/>
      <c r="K2690" s="1095"/>
      <c r="L2690" s="1095"/>
      <c r="M2690" s="1095"/>
    </row>
    <row r="2691" spans="1:13" x14ac:dyDescent="0.25">
      <c r="A2691">
        <v>1917662</v>
      </c>
      <c r="B2691" t="s">
        <v>9981</v>
      </c>
      <c r="C2691" t="s">
        <v>2596</v>
      </c>
      <c r="D2691" s="254">
        <v>19.05</v>
      </c>
      <c r="E2691"/>
      <c r="F2691"/>
      <c r="G2691"/>
      <c r="H2691"/>
      <c r="I2691" s="489"/>
      <c r="J2691" s="1095"/>
      <c r="K2691" s="1095"/>
      <c r="L2691" s="1095"/>
      <c r="M2691" s="1095"/>
    </row>
    <row r="2692" spans="1:13" x14ac:dyDescent="0.25">
      <c r="A2692">
        <v>1917663</v>
      </c>
      <c r="B2692" t="s">
        <v>9982</v>
      </c>
      <c r="C2692" t="s">
        <v>2596</v>
      </c>
      <c r="D2692" s="254">
        <v>19.29</v>
      </c>
      <c r="E2692"/>
      <c r="F2692"/>
      <c r="G2692"/>
      <c r="H2692"/>
      <c r="I2692" s="489"/>
      <c r="J2692" s="1095"/>
      <c r="K2692" s="1095"/>
      <c r="L2692" s="1095"/>
      <c r="M2692" s="1095"/>
    </row>
    <row r="2693" spans="1:13" x14ac:dyDescent="0.25">
      <c r="A2693">
        <v>1917664</v>
      </c>
      <c r="B2693" t="s">
        <v>9983</v>
      </c>
      <c r="C2693" t="s">
        <v>2596</v>
      </c>
      <c r="D2693" s="254">
        <v>19.61</v>
      </c>
      <c r="E2693"/>
      <c r="F2693"/>
      <c r="G2693"/>
      <c r="H2693"/>
      <c r="I2693" s="489"/>
      <c r="J2693" s="1095"/>
      <c r="K2693" s="1095"/>
      <c r="L2693" s="1095"/>
      <c r="M2693" s="1095"/>
    </row>
    <row r="2694" spans="1:13" x14ac:dyDescent="0.25">
      <c r="A2694">
        <v>1917665</v>
      </c>
      <c r="B2694" t="s">
        <v>9984</v>
      </c>
      <c r="C2694" t="s">
        <v>2596</v>
      </c>
      <c r="D2694" s="254">
        <v>20.100000000000001</v>
      </c>
      <c r="E2694"/>
      <c r="F2694"/>
      <c r="G2694"/>
      <c r="H2694"/>
      <c r="I2694" s="489"/>
      <c r="J2694" s="1095"/>
      <c r="K2694" s="1095"/>
      <c r="L2694" s="1095"/>
      <c r="M2694" s="1095"/>
    </row>
    <row r="2695" spans="1:13" x14ac:dyDescent="0.25">
      <c r="A2695">
        <v>1917655</v>
      </c>
      <c r="B2695" t="s">
        <v>9985</v>
      </c>
      <c r="C2695" t="s">
        <v>2596</v>
      </c>
      <c r="D2695" s="254">
        <v>16.18</v>
      </c>
      <c r="E2695"/>
      <c r="F2695"/>
      <c r="G2695"/>
      <c r="H2695"/>
      <c r="I2695" s="489"/>
      <c r="J2695" s="1095"/>
      <c r="K2695" s="1095"/>
      <c r="L2695" s="1095"/>
      <c r="M2695" s="1095"/>
    </row>
    <row r="2696" spans="1:13" x14ac:dyDescent="0.25">
      <c r="A2696">
        <v>1917656</v>
      </c>
      <c r="B2696" t="s">
        <v>9986</v>
      </c>
      <c r="C2696" t="s">
        <v>2596</v>
      </c>
      <c r="D2696" s="254">
        <v>17.920000000000002</v>
      </c>
      <c r="E2696"/>
      <c r="F2696"/>
      <c r="G2696"/>
      <c r="H2696"/>
      <c r="I2696" s="489"/>
      <c r="J2696" s="1095"/>
      <c r="K2696" s="1095"/>
      <c r="L2696" s="1095"/>
      <c r="M2696" s="1095"/>
    </row>
    <row r="2697" spans="1:13" x14ac:dyDescent="0.25">
      <c r="A2697">
        <v>1917654</v>
      </c>
      <c r="B2697" t="s">
        <v>9987</v>
      </c>
      <c r="C2697" t="s">
        <v>2596</v>
      </c>
      <c r="D2697" s="254">
        <v>15.9</v>
      </c>
      <c r="E2697"/>
      <c r="F2697"/>
      <c r="G2697"/>
      <c r="H2697"/>
      <c r="I2697" s="489"/>
      <c r="J2697" s="1095"/>
      <c r="K2697" s="1095"/>
      <c r="L2697" s="1095"/>
      <c r="M2697" s="1095"/>
    </row>
    <row r="2698" spans="1:13" x14ac:dyDescent="0.25">
      <c r="A2698">
        <v>1917657</v>
      </c>
      <c r="B2698" t="s">
        <v>9988</v>
      </c>
      <c r="C2698" t="s">
        <v>2596</v>
      </c>
      <c r="D2698" s="254">
        <v>18.16</v>
      </c>
      <c r="E2698"/>
      <c r="F2698"/>
      <c r="G2698"/>
      <c r="H2698"/>
      <c r="I2698" s="489"/>
      <c r="J2698" s="1095"/>
      <c r="K2698" s="1095"/>
      <c r="L2698" s="1095"/>
      <c r="M2698" s="1095"/>
    </row>
    <row r="2699" spans="1:13" x14ac:dyDescent="0.25">
      <c r="A2699">
        <v>1917658</v>
      </c>
      <c r="B2699" t="s">
        <v>9989</v>
      </c>
      <c r="C2699" t="s">
        <v>2596</v>
      </c>
      <c r="D2699" s="254">
        <v>18.32</v>
      </c>
      <c r="E2699"/>
      <c r="F2699"/>
      <c r="G2699"/>
      <c r="H2699"/>
      <c r="I2699" s="489"/>
      <c r="J2699" s="1095"/>
      <c r="K2699" s="1095"/>
      <c r="L2699" s="1095"/>
      <c r="M2699" s="1095"/>
    </row>
    <row r="2700" spans="1:13" x14ac:dyDescent="0.25">
      <c r="A2700">
        <v>1917666</v>
      </c>
      <c r="B2700" t="s">
        <v>9990</v>
      </c>
      <c r="C2700" t="s">
        <v>2596</v>
      </c>
      <c r="D2700" s="254">
        <v>20.420000000000002</v>
      </c>
      <c r="E2700"/>
      <c r="F2700"/>
      <c r="G2700"/>
      <c r="H2700"/>
      <c r="I2700" s="489"/>
      <c r="J2700" s="1095"/>
      <c r="K2700" s="1095"/>
      <c r="L2700" s="1095"/>
      <c r="M2700" s="1095"/>
    </row>
    <row r="2701" spans="1:13" x14ac:dyDescent="0.25">
      <c r="A2701">
        <v>1917672</v>
      </c>
      <c r="B2701" t="s">
        <v>9991</v>
      </c>
      <c r="C2701" t="s">
        <v>2596</v>
      </c>
      <c r="D2701" s="254">
        <v>18.239999999999998</v>
      </c>
      <c r="E2701"/>
      <c r="F2701"/>
      <c r="G2701"/>
      <c r="H2701"/>
      <c r="I2701" s="489"/>
      <c r="J2701" s="1095"/>
      <c r="K2701" s="1095"/>
      <c r="L2701" s="1095"/>
      <c r="M2701" s="1095"/>
    </row>
    <row r="2702" spans="1:13" x14ac:dyDescent="0.25">
      <c r="A2702">
        <v>1917673</v>
      </c>
      <c r="B2702" t="s">
        <v>9992</v>
      </c>
      <c r="C2702" t="s">
        <v>2596</v>
      </c>
      <c r="D2702" s="254">
        <v>18.399999999999999</v>
      </c>
      <c r="E2702"/>
      <c r="F2702"/>
      <c r="G2702"/>
      <c r="H2702"/>
      <c r="I2702" s="489"/>
      <c r="J2702" s="1095"/>
      <c r="K2702" s="1095"/>
      <c r="L2702" s="1095"/>
      <c r="M2702" s="1095"/>
    </row>
    <row r="2703" spans="1:13" x14ac:dyDescent="0.25">
      <c r="A2703">
        <v>1917674</v>
      </c>
      <c r="B2703" t="s">
        <v>9993</v>
      </c>
      <c r="C2703" t="s">
        <v>2596</v>
      </c>
      <c r="D2703" s="254">
        <v>18.559999999999999</v>
      </c>
      <c r="E2703"/>
      <c r="F2703"/>
      <c r="G2703"/>
      <c r="H2703"/>
      <c r="I2703" s="489"/>
      <c r="J2703" s="1095"/>
      <c r="K2703" s="1095"/>
      <c r="L2703" s="1095"/>
      <c r="M2703" s="1095"/>
    </row>
    <row r="2704" spans="1:13" x14ac:dyDescent="0.25">
      <c r="A2704">
        <v>1917675</v>
      </c>
      <c r="B2704" t="s">
        <v>9994</v>
      </c>
      <c r="C2704" t="s">
        <v>2596</v>
      </c>
      <c r="D2704" s="254">
        <v>18.72</v>
      </c>
      <c r="E2704"/>
      <c r="F2704"/>
      <c r="G2704"/>
      <c r="H2704"/>
      <c r="I2704" s="489"/>
      <c r="J2704" s="1095"/>
      <c r="K2704" s="1095"/>
      <c r="L2704" s="1095"/>
      <c r="M2704" s="1095"/>
    </row>
    <row r="2705" spans="1:13" x14ac:dyDescent="0.25">
      <c r="A2705">
        <v>1917676</v>
      </c>
      <c r="B2705" t="s">
        <v>9995</v>
      </c>
      <c r="C2705" t="s">
        <v>2596</v>
      </c>
      <c r="D2705" s="254">
        <v>18.8</v>
      </c>
      <c r="E2705"/>
      <c r="F2705"/>
      <c r="G2705"/>
      <c r="H2705"/>
      <c r="I2705" s="489"/>
      <c r="J2705" s="1095"/>
      <c r="K2705" s="1095"/>
      <c r="L2705" s="1095"/>
      <c r="M2705" s="1095"/>
    </row>
    <row r="2706" spans="1:13" x14ac:dyDescent="0.25">
      <c r="A2706">
        <v>1917677</v>
      </c>
      <c r="B2706" t="s">
        <v>9996</v>
      </c>
      <c r="C2706" t="s">
        <v>2596</v>
      </c>
      <c r="D2706" s="254">
        <v>19.13</v>
      </c>
      <c r="E2706"/>
      <c r="F2706"/>
      <c r="G2706"/>
      <c r="H2706"/>
      <c r="I2706" s="489"/>
      <c r="J2706" s="1095"/>
      <c r="K2706" s="1095"/>
      <c r="L2706" s="1095"/>
      <c r="M2706" s="1095"/>
    </row>
    <row r="2707" spans="1:13" x14ac:dyDescent="0.25">
      <c r="A2707">
        <v>1917678</v>
      </c>
      <c r="B2707" t="s">
        <v>9997</v>
      </c>
      <c r="C2707" t="s">
        <v>2596</v>
      </c>
      <c r="D2707" s="254">
        <v>19.53</v>
      </c>
      <c r="E2707"/>
      <c r="F2707"/>
      <c r="G2707"/>
      <c r="H2707"/>
      <c r="I2707" s="489"/>
      <c r="J2707" s="1095"/>
      <c r="K2707" s="1095"/>
      <c r="L2707" s="1095"/>
      <c r="M2707" s="1095"/>
    </row>
    <row r="2708" spans="1:13" x14ac:dyDescent="0.25">
      <c r="A2708">
        <v>1917668</v>
      </c>
      <c r="B2708" t="s">
        <v>9998</v>
      </c>
      <c r="C2708" t="s">
        <v>2596</v>
      </c>
      <c r="D2708" s="254">
        <v>16.059999999999999</v>
      </c>
      <c r="E2708"/>
      <c r="F2708"/>
      <c r="G2708"/>
      <c r="H2708"/>
      <c r="I2708" s="489"/>
      <c r="J2708" s="1095"/>
      <c r="K2708" s="1095"/>
      <c r="L2708" s="1095"/>
      <c r="M2708" s="1095"/>
    </row>
    <row r="2709" spans="1:13" x14ac:dyDescent="0.25">
      <c r="A2709">
        <v>1917669</v>
      </c>
      <c r="B2709" t="s">
        <v>9999</v>
      </c>
      <c r="C2709" t="s">
        <v>2596</v>
      </c>
      <c r="D2709" s="254">
        <v>17.670000000000002</v>
      </c>
      <c r="E2709"/>
      <c r="F2709"/>
      <c r="G2709"/>
      <c r="H2709"/>
      <c r="I2709" s="489"/>
      <c r="J2709" s="1095"/>
      <c r="K2709" s="1095"/>
      <c r="L2709" s="1095"/>
      <c r="M2709" s="1095"/>
    </row>
    <row r="2710" spans="1:13" x14ac:dyDescent="0.25">
      <c r="A2710">
        <v>1917667</v>
      </c>
      <c r="B2710" t="s">
        <v>10000</v>
      </c>
      <c r="C2710" t="s">
        <v>2596</v>
      </c>
      <c r="D2710" s="254">
        <v>15.78</v>
      </c>
      <c r="E2710"/>
      <c r="F2710"/>
      <c r="G2710"/>
      <c r="H2710"/>
      <c r="I2710" s="489"/>
      <c r="J2710" s="1095"/>
      <c r="K2710" s="1095"/>
      <c r="L2710" s="1095"/>
      <c r="M2710" s="1095"/>
    </row>
    <row r="2711" spans="1:13" x14ac:dyDescent="0.25">
      <c r="A2711">
        <v>1917670</v>
      </c>
      <c r="B2711" t="s">
        <v>10001</v>
      </c>
      <c r="C2711" t="s">
        <v>2596</v>
      </c>
      <c r="D2711" s="254">
        <v>17.920000000000002</v>
      </c>
      <c r="E2711"/>
      <c r="F2711"/>
      <c r="G2711"/>
      <c r="H2711"/>
      <c r="I2711" s="489"/>
      <c r="J2711" s="1095"/>
      <c r="K2711" s="1095"/>
      <c r="L2711" s="1095"/>
      <c r="M2711" s="1095"/>
    </row>
    <row r="2712" spans="1:13" x14ac:dyDescent="0.25">
      <c r="A2712">
        <v>1917671</v>
      </c>
      <c r="B2712" t="s">
        <v>10002</v>
      </c>
      <c r="C2712" t="s">
        <v>2596</v>
      </c>
      <c r="D2712" s="254">
        <v>18.079999999999998</v>
      </c>
      <c r="E2712"/>
      <c r="F2712"/>
      <c r="G2712"/>
      <c r="H2712"/>
      <c r="I2712" s="489"/>
      <c r="J2712" s="1095"/>
      <c r="K2712" s="1095"/>
      <c r="L2712" s="1095"/>
      <c r="M2712" s="1095"/>
    </row>
    <row r="2713" spans="1:13" x14ac:dyDescent="0.25">
      <c r="A2713">
        <v>1917679</v>
      </c>
      <c r="B2713" t="s">
        <v>10003</v>
      </c>
      <c r="C2713" t="s">
        <v>2596</v>
      </c>
      <c r="D2713" s="254">
        <v>19.77</v>
      </c>
      <c r="E2713"/>
      <c r="F2713"/>
      <c r="G2713"/>
      <c r="H2713"/>
      <c r="I2713" s="489"/>
      <c r="J2713" s="1095"/>
      <c r="K2713" s="1095"/>
      <c r="L2713" s="1095"/>
      <c r="M2713" s="1095"/>
    </row>
    <row r="2714" spans="1:13" x14ac:dyDescent="0.25">
      <c r="A2714">
        <v>1917640</v>
      </c>
      <c r="B2714" t="s">
        <v>10004</v>
      </c>
      <c r="C2714" t="s">
        <v>2596</v>
      </c>
      <c r="D2714" s="254">
        <v>8.31</v>
      </c>
      <c r="E2714"/>
      <c r="F2714"/>
      <c r="G2714"/>
      <c r="H2714"/>
      <c r="I2714" s="489"/>
      <c r="J2714" s="1095"/>
      <c r="K2714" s="1095"/>
      <c r="L2714" s="1095"/>
      <c r="M2714" s="1095"/>
    </row>
    <row r="2715" spans="1:13" x14ac:dyDescent="0.25">
      <c r="A2715">
        <v>1917686</v>
      </c>
      <c r="B2715" t="s">
        <v>10005</v>
      </c>
      <c r="C2715" t="s">
        <v>2596</v>
      </c>
      <c r="D2715" s="254">
        <v>11.43</v>
      </c>
      <c r="E2715"/>
      <c r="F2715"/>
      <c r="G2715"/>
      <c r="H2715"/>
      <c r="I2715" s="489"/>
      <c r="J2715" s="1095"/>
      <c r="K2715" s="1095"/>
      <c r="L2715" s="1095"/>
      <c r="M2715" s="1095"/>
    </row>
    <row r="2716" spans="1:13" x14ac:dyDescent="0.25">
      <c r="A2716">
        <v>1917687</v>
      </c>
      <c r="B2716" t="s">
        <v>10006</v>
      </c>
      <c r="C2716" t="s">
        <v>2596</v>
      </c>
      <c r="D2716" s="254">
        <v>11.75</v>
      </c>
      <c r="E2716"/>
      <c r="F2716"/>
      <c r="G2716"/>
      <c r="H2716"/>
      <c r="I2716" s="489"/>
      <c r="J2716" s="1095"/>
      <c r="K2716" s="1095"/>
      <c r="L2716" s="1095"/>
      <c r="M2716" s="1095"/>
    </row>
    <row r="2717" spans="1:13" x14ac:dyDescent="0.25">
      <c r="A2717">
        <v>1917688</v>
      </c>
      <c r="B2717" t="s">
        <v>10007</v>
      </c>
      <c r="C2717" t="s">
        <v>2596</v>
      </c>
      <c r="D2717" s="254">
        <v>12.76</v>
      </c>
      <c r="E2717"/>
      <c r="F2717"/>
      <c r="G2717"/>
      <c r="H2717"/>
      <c r="I2717" s="489"/>
      <c r="J2717" s="1095"/>
      <c r="K2717" s="1095"/>
      <c r="L2717" s="1095"/>
      <c r="M2717" s="1095"/>
    </row>
    <row r="2718" spans="1:13" x14ac:dyDescent="0.25">
      <c r="A2718">
        <v>1917689</v>
      </c>
      <c r="B2718" t="s">
        <v>10008</v>
      </c>
      <c r="C2718" t="s">
        <v>2596</v>
      </c>
      <c r="D2718" s="254">
        <v>13.1</v>
      </c>
      <c r="E2718"/>
      <c r="F2718"/>
      <c r="G2718"/>
      <c r="H2718"/>
      <c r="I2718" s="489"/>
      <c r="J2718" s="1095"/>
      <c r="K2718" s="1095"/>
      <c r="L2718" s="1095"/>
      <c r="M2718" s="1095"/>
    </row>
    <row r="2719" spans="1:13" x14ac:dyDescent="0.25">
      <c r="A2719">
        <v>1917690</v>
      </c>
      <c r="B2719" t="s">
        <v>10009</v>
      </c>
      <c r="C2719" t="s">
        <v>2596</v>
      </c>
      <c r="D2719" s="254">
        <v>13.35</v>
      </c>
      <c r="E2719"/>
      <c r="F2719"/>
      <c r="G2719"/>
      <c r="H2719"/>
      <c r="I2719" s="489"/>
      <c r="J2719" s="1095"/>
      <c r="K2719" s="1095"/>
      <c r="L2719" s="1095"/>
      <c r="M2719" s="1095"/>
    </row>
    <row r="2720" spans="1:13" x14ac:dyDescent="0.25">
      <c r="A2720">
        <v>1917691</v>
      </c>
      <c r="B2720" t="s">
        <v>10010</v>
      </c>
      <c r="C2720" t="s">
        <v>2596</v>
      </c>
      <c r="D2720" s="254">
        <v>13.86</v>
      </c>
      <c r="E2720"/>
      <c r="F2720"/>
      <c r="G2720"/>
      <c r="H2720"/>
      <c r="I2720" s="489"/>
      <c r="J2720" s="1095"/>
      <c r="K2720" s="1095"/>
      <c r="L2720" s="1095"/>
      <c r="M2720" s="1095"/>
    </row>
    <row r="2721" spans="1:13" x14ac:dyDescent="0.25">
      <c r="A2721">
        <v>1917692</v>
      </c>
      <c r="B2721" t="s">
        <v>10011</v>
      </c>
      <c r="C2721" t="s">
        <v>2596</v>
      </c>
      <c r="D2721" s="254">
        <v>15.49</v>
      </c>
      <c r="E2721"/>
      <c r="F2721"/>
      <c r="G2721"/>
      <c r="H2721"/>
      <c r="I2721" s="489"/>
      <c r="J2721" s="1095"/>
      <c r="K2721" s="1095"/>
      <c r="L2721" s="1095"/>
      <c r="M2721" s="1095"/>
    </row>
    <row r="2722" spans="1:13" x14ac:dyDescent="0.25">
      <c r="A2722">
        <v>1917682</v>
      </c>
      <c r="B2722" t="s">
        <v>10012</v>
      </c>
      <c r="C2722" t="s">
        <v>2596</v>
      </c>
      <c r="D2722" s="254">
        <v>10.1</v>
      </c>
      <c r="E2722"/>
      <c r="F2722"/>
      <c r="G2722"/>
      <c r="H2722"/>
      <c r="I2722" s="489"/>
      <c r="J2722" s="1095"/>
      <c r="K2722" s="1095"/>
      <c r="L2722" s="1095"/>
      <c r="M2722" s="1095"/>
    </row>
    <row r="2723" spans="1:13" x14ac:dyDescent="0.25">
      <c r="A2723">
        <v>1917693</v>
      </c>
      <c r="B2723" t="s">
        <v>10013</v>
      </c>
      <c r="C2723" t="s">
        <v>2596</v>
      </c>
      <c r="D2723" s="254">
        <v>15.91</v>
      </c>
      <c r="E2723"/>
      <c r="F2723"/>
      <c r="G2723"/>
      <c r="H2723"/>
      <c r="I2723" s="489"/>
      <c r="J2723" s="1095"/>
      <c r="K2723" s="1095"/>
      <c r="L2723" s="1095"/>
      <c r="M2723" s="1095"/>
    </row>
    <row r="2724" spans="1:13" x14ac:dyDescent="0.25">
      <c r="A2724">
        <v>1917683</v>
      </c>
      <c r="B2724" t="s">
        <v>10014</v>
      </c>
      <c r="C2724" t="s">
        <v>2596</v>
      </c>
      <c r="D2724" s="254">
        <v>10.48</v>
      </c>
      <c r="E2724"/>
      <c r="F2724"/>
      <c r="G2724"/>
      <c r="H2724"/>
      <c r="I2724" s="489"/>
      <c r="J2724" s="1095"/>
      <c r="K2724" s="1095"/>
      <c r="L2724" s="1095"/>
      <c r="M2724" s="1095"/>
    </row>
    <row r="2725" spans="1:13" x14ac:dyDescent="0.25">
      <c r="A2725">
        <v>1917681</v>
      </c>
      <c r="B2725" t="s">
        <v>10015</v>
      </c>
      <c r="C2725" t="s">
        <v>2596</v>
      </c>
      <c r="D2725" s="254">
        <v>8.83</v>
      </c>
      <c r="E2725"/>
      <c r="F2725"/>
      <c r="G2725"/>
      <c r="H2725"/>
      <c r="I2725" s="489"/>
      <c r="J2725" s="1095"/>
      <c r="K2725" s="1095"/>
      <c r="L2725" s="1095"/>
      <c r="M2725" s="1095"/>
    </row>
    <row r="2726" spans="1:13" x14ac:dyDescent="0.25">
      <c r="A2726">
        <v>1917684</v>
      </c>
      <c r="B2726" t="s">
        <v>10016</v>
      </c>
      <c r="C2726" t="s">
        <v>2596</v>
      </c>
      <c r="D2726" s="254">
        <v>10.8</v>
      </c>
      <c r="E2726"/>
      <c r="F2726"/>
      <c r="G2726"/>
      <c r="H2726"/>
      <c r="I2726" s="489"/>
      <c r="J2726" s="1095"/>
      <c r="K2726" s="1095"/>
      <c r="L2726" s="1095"/>
      <c r="M2726" s="1095"/>
    </row>
    <row r="2727" spans="1:13" x14ac:dyDescent="0.25">
      <c r="A2727">
        <v>1917685</v>
      </c>
      <c r="B2727" t="s">
        <v>10017</v>
      </c>
      <c r="C2727" t="s">
        <v>2596</v>
      </c>
      <c r="D2727" s="254">
        <v>11.11</v>
      </c>
      <c r="E2727"/>
      <c r="F2727"/>
      <c r="G2727"/>
      <c r="H2727"/>
      <c r="I2727" s="489"/>
      <c r="J2727" s="1095"/>
      <c r="K2727" s="1095"/>
      <c r="L2727" s="1095"/>
      <c r="M2727" s="1095"/>
    </row>
    <row r="2728" spans="1:13" x14ac:dyDescent="0.25">
      <c r="A2728">
        <v>1917699</v>
      </c>
      <c r="B2728" t="s">
        <v>10018</v>
      </c>
      <c r="C2728" t="s">
        <v>2596</v>
      </c>
      <c r="D2728" s="254">
        <v>10.48</v>
      </c>
      <c r="E2728"/>
      <c r="F2728"/>
      <c r="G2728"/>
      <c r="H2728"/>
      <c r="I2728" s="489"/>
      <c r="J2728" s="1095"/>
      <c r="K2728" s="1095"/>
      <c r="L2728" s="1095"/>
      <c r="M2728" s="1095"/>
    </row>
    <row r="2729" spans="1:13" x14ac:dyDescent="0.25">
      <c r="A2729">
        <v>1917700</v>
      </c>
      <c r="B2729" t="s">
        <v>10019</v>
      </c>
      <c r="C2729" t="s">
        <v>2596</v>
      </c>
      <c r="D2729" s="254">
        <v>10.67</v>
      </c>
      <c r="E2729"/>
      <c r="F2729"/>
      <c r="G2729"/>
      <c r="H2729"/>
      <c r="I2729" s="489"/>
      <c r="J2729" s="1095"/>
      <c r="K2729" s="1095"/>
      <c r="L2729" s="1095"/>
      <c r="M2729" s="1095"/>
    </row>
    <row r="2730" spans="1:13" x14ac:dyDescent="0.25">
      <c r="A2730">
        <v>1917701</v>
      </c>
      <c r="B2730" t="s">
        <v>10020</v>
      </c>
      <c r="C2730" t="s">
        <v>2596</v>
      </c>
      <c r="D2730" s="254">
        <v>10.86</v>
      </c>
      <c r="E2730"/>
      <c r="F2730"/>
      <c r="G2730"/>
      <c r="H2730"/>
      <c r="I2730" s="489"/>
      <c r="J2730" s="1095"/>
      <c r="K2730" s="1095"/>
      <c r="L2730" s="1095"/>
      <c r="M2730" s="1095"/>
    </row>
    <row r="2731" spans="1:13" x14ac:dyDescent="0.25">
      <c r="A2731">
        <v>1917702</v>
      </c>
      <c r="B2731" t="s">
        <v>10021</v>
      </c>
      <c r="C2731" t="s">
        <v>2596</v>
      </c>
      <c r="D2731" s="254">
        <v>11.05</v>
      </c>
      <c r="E2731"/>
      <c r="F2731"/>
      <c r="G2731"/>
      <c r="H2731"/>
      <c r="I2731" s="489"/>
      <c r="J2731" s="1095"/>
      <c r="K2731" s="1095"/>
      <c r="L2731" s="1095"/>
      <c r="M2731" s="1095"/>
    </row>
    <row r="2732" spans="1:13" x14ac:dyDescent="0.25">
      <c r="A2732">
        <v>1917703</v>
      </c>
      <c r="B2732" t="s">
        <v>10022</v>
      </c>
      <c r="C2732" t="s">
        <v>2596</v>
      </c>
      <c r="D2732" s="254">
        <v>11.24</v>
      </c>
      <c r="E2732"/>
      <c r="F2732"/>
      <c r="G2732"/>
      <c r="H2732"/>
      <c r="I2732" s="489"/>
      <c r="J2732" s="1095"/>
      <c r="K2732" s="1095"/>
      <c r="L2732" s="1095"/>
      <c r="M2732" s="1095"/>
    </row>
    <row r="2733" spans="1:13" x14ac:dyDescent="0.25">
      <c r="A2733">
        <v>1917704</v>
      </c>
      <c r="B2733" t="s">
        <v>10023</v>
      </c>
      <c r="C2733" t="s">
        <v>2596</v>
      </c>
      <c r="D2733" s="254">
        <v>11.56</v>
      </c>
      <c r="E2733"/>
      <c r="F2733"/>
      <c r="G2733"/>
      <c r="H2733"/>
      <c r="I2733" s="489"/>
      <c r="J2733" s="1095"/>
      <c r="K2733" s="1095"/>
      <c r="L2733" s="1095"/>
      <c r="M2733" s="1095"/>
    </row>
    <row r="2734" spans="1:13" x14ac:dyDescent="0.25">
      <c r="A2734">
        <v>1917705</v>
      </c>
      <c r="B2734" t="s">
        <v>10024</v>
      </c>
      <c r="C2734" t="s">
        <v>2596</v>
      </c>
      <c r="D2734" s="254">
        <v>12.85</v>
      </c>
      <c r="E2734"/>
      <c r="F2734"/>
      <c r="G2734"/>
      <c r="H2734"/>
      <c r="I2734" s="489"/>
      <c r="J2734" s="1095"/>
      <c r="K2734" s="1095"/>
      <c r="L2734" s="1095"/>
      <c r="M2734" s="1095"/>
    </row>
    <row r="2735" spans="1:13" x14ac:dyDescent="0.25">
      <c r="A2735">
        <v>1917695</v>
      </c>
      <c r="B2735" t="s">
        <v>10025</v>
      </c>
      <c r="C2735" t="s">
        <v>2596</v>
      </c>
      <c r="D2735" s="254">
        <v>8.83</v>
      </c>
      <c r="E2735"/>
      <c r="F2735"/>
      <c r="G2735"/>
      <c r="H2735"/>
      <c r="I2735" s="489"/>
      <c r="J2735" s="1095"/>
      <c r="K2735" s="1095"/>
      <c r="L2735" s="1095"/>
      <c r="M2735" s="1095"/>
    </row>
    <row r="2736" spans="1:13" x14ac:dyDescent="0.25">
      <c r="A2736">
        <v>1917706</v>
      </c>
      <c r="B2736" t="s">
        <v>10026</v>
      </c>
      <c r="C2736" t="s">
        <v>2596</v>
      </c>
      <c r="D2736" s="254">
        <v>13.18</v>
      </c>
      <c r="E2736"/>
      <c r="F2736"/>
      <c r="G2736"/>
      <c r="H2736"/>
      <c r="I2736" s="489"/>
      <c r="J2736" s="1095"/>
      <c r="K2736" s="1095"/>
      <c r="L2736" s="1095"/>
      <c r="M2736" s="1095"/>
    </row>
    <row r="2737" spans="1:13" x14ac:dyDescent="0.25">
      <c r="A2737">
        <v>1917696</v>
      </c>
      <c r="B2737" t="s">
        <v>10027</v>
      </c>
      <c r="C2737" t="s">
        <v>2596</v>
      </c>
      <c r="D2737" s="254">
        <v>9.85</v>
      </c>
      <c r="E2737"/>
      <c r="F2737"/>
      <c r="G2737"/>
      <c r="H2737"/>
      <c r="I2737" s="489"/>
      <c r="J2737" s="1095"/>
      <c r="K2737" s="1095"/>
      <c r="L2737" s="1095"/>
      <c r="M2737" s="1095"/>
    </row>
    <row r="2738" spans="1:13" x14ac:dyDescent="0.25">
      <c r="A2738">
        <v>1917694</v>
      </c>
      <c r="B2738" t="s">
        <v>10028</v>
      </c>
      <c r="C2738" t="s">
        <v>2596</v>
      </c>
      <c r="D2738" s="254">
        <v>8.5399999999999991</v>
      </c>
      <c r="E2738"/>
      <c r="F2738"/>
      <c r="G2738"/>
      <c r="H2738"/>
      <c r="I2738" s="489"/>
      <c r="J2738" s="1095"/>
      <c r="K2738" s="1095"/>
      <c r="L2738" s="1095"/>
      <c r="M2738" s="1095"/>
    </row>
    <row r="2739" spans="1:13" x14ac:dyDescent="0.25">
      <c r="A2739">
        <v>1917697</v>
      </c>
      <c r="B2739" t="s">
        <v>10029</v>
      </c>
      <c r="C2739" t="s">
        <v>2596</v>
      </c>
      <c r="D2739" s="254">
        <v>10.1</v>
      </c>
      <c r="E2739"/>
      <c r="F2739"/>
      <c r="G2739"/>
      <c r="H2739"/>
      <c r="I2739" s="489"/>
      <c r="J2739" s="1095"/>
      <c r="K2739" s="1095"/>
      <c r="L2739" s="1095"/>
      <c r="M2739" s="1095"/>
    </row>
    <row r="2740" spans="1:13" x14ac:dyDescent="0.25">
      <c r="A2740">
        <v>1917698</v>
      </c>
      <c r="B2740" t="s">
        <v>10030</v>
      </c>
      <c r="C2740" t="s">
        <v>2596</v>
      </c>
      <c r="D2740" s="254">
        <v>10.29</v>
      </c>
      <c r="E2740"/>
      <c r="F2740"/>
      <c r="G2740"/>
      <c r="H2740"/>
      <c r="I2740" s="489"/>
      <c r="J2740" s="1095"/>
      <c r="K2740" s="1095"/>
      <c r="L2740" s="1095"/>
      <c r="M2740" s="1095"/>
    </row>
    <row r="2741" spans="1:13" x14ac:dyDescent="0.25">
      <c r="A2741">
        <v>1917712</v>
      </c>
      <c r="B2741" t="s">
        <v>10031</v>
      </c>
      <c r="C2741" t="s">
        <v>2596</v>
      </c>
      <c r="D2741" s="254">
        <v>10.16</v>
      </c>
      <c r="E2741"/>
      <c r="F2741"/>
      <c r="G2741"/>
      <c r="H2741"/>
      <c r="I2741" s="489"/>
      <c r="J2741" s="1095"/>
      <c r="K2741" s="1095"/>
      <c r="L2741" s="1095"/>
      <c r="M2741" s="1095"/>
    </row>
    <row r="2742" spans="1:13" x14ac:dyDescent="0.25">
      <c r="A2742">
        <v>1917713</v>
      </c>
      <c r="B2742" t="s">
        <v>10032</v>
      </c>
      <c r="C2742" t="s">
        <v>2596</v>
      </c>
      <c r="D2742" s="254">
        <v>10.35</v>
      </c>
      <c r="E2742"/>
      <c r="F2742"/>
      <c r="G2742"/>
      <c r="H2742"/>
      <c r="I2742" s="489"/>
      <c r="J2742" s="1095"/>
      <c r="K2742" s="1095"/>
      <c r="L2742" s="1095"/>
      <c r="M2742" s="1095"/>
    </row>
    <row r="2743" spans="1:13" x14ac:dyDescent="0.25">
      <c r="A2743">
        <v>1917714</v>
      </c>
      <c r="B2743" t="s">
        <v>10033</v>
      </c>
      <c r="C2743" t="s">
        <v>2596</v>
      </c>
      <c r="D2743" s="254">
        <v>10.48</v>
      </c>
      <c r="E2743"/>
      <c r="F2743"/>
      <c r="G2743"/>
      <c r="H2743"/>
      <c r="I2743" s="489"/>
      <c r="J2743" s="1095"/>
      <c r="K2743" s="1095"/>
      <c r="L2743" s="1095"/>
      <c r="M2743" s="1095"/>
    </row>
    <row r="2744" spans="1:13" x14ac:dyDescent="0.25">
      <c r="A2744">
        <v>1917715</v>
      </c>
      <c r="B2744" t="s">
        <v>10034</v>
      </c>
      <c r="C2744" t="s">
        <v>2596</v>
      </c>
      <c r="D2744" s="254">
        <v>10.67</v>
      </c>
      <c r="E2744"/>
      <c r="F2744"/>
      <c r="G2744"/>
      <c r="H2744"/>
      <c r="I2744" s="489"/>
      <c r="J2744" s="1095"/>
      <c r="K2744" s="1095"/>
      <c r="L2744" s="1095"/>
      <c r="M2744" s="1095"/>
    </row>
    <row r="2745" spans="1:13" x14ac:dyDescent="0.25">
      <c r="A2745">
        <v>1917716</v>
      </c>
      <c r="B2745" t="s">
        <v>10035</v>
      </c>
      <c r="C2745" t="s">
        <v>2596</v>
      </c>
      <c r="D2745" s="254">
        <v>10.8</v>
      </c>
      <c r="E2745"/>
      <c r="F2745"/>
      <c r="G2745"/>
      <c r="H2745"/>
      <c r="I2745" s="489"/>
      <c r="J2745" s="1095"/>
      <c r="K2745" s="1095"/>
      <c r="L2745" s="1095"/>
      <c r="M2745" s="1095"/>
    </row>
    <row r="2746" spans="1:13" x14ac:dyDescent="0.25">
      <c r="A2746">
        <v>1917717</v>
      </c>
      <c r="B2746" t="s">
        <v>10036</v>
      </c>
      <c r="C2746" t="s">
        <v>2596</v>
      </c>
      <c r="D2746" s="254">
        <v>11.11</v>
      </c>
      <c r="E2746"/>
      <c r="F2746"/>
      <c r="G2746"/>
      <c r="H2746"/>
      <c r="I2746" s="489"/>
      <c r="J2746" s="1095"/>
      <c r="K2746" s="1095"/>
      <c r="L2746" s="1095"/>
      <c r="M2746" s="1095"/>
    </row>
    <row r="2747" spans="1:13" x14ac:dyDescent="0.25">
      <c r="A2747">
        <v>1917718</v>
      </c>
      <c r="B2747" t="s">
        <v>10037</v>
      </c>
      <c r="C2747" t="s">
        <v>2596</v>
      </c>
      <c r="D2747" s="254">
        <v>11.49</v>
      </c>
      <c r="E2747"/>
      <c r="F2747"/>
      <c r="G2747"/>
      <c r="H2747"/>
      <c r="I2747" s="489"/>
      <c r="J2747" s="1095"/>
      <c r="K2747" s="1095"/>
      <c r="L2747" s="1095"/>
      <c r="M2747" s="1095"/>
    </row>
    <row r="2748" spans="1:13" x14ac:dyDescent="0.25">
      <c r="A2748">
        <v>1917708</v>
      </c>
      <c r="B2748" t="s">
        <v>10038</v>
      </c>
      <c r="C2748" t="s">
        <v>2596</v>
      </c>
      <c r="D2748" s="254">
        <v>8.7100000000000009</v>
      </c>
      <c r="E2748"/>
      <c r="F2748"/>
      <c r="G2748"/>
      <c r="H2748"/>
      <c r="I2748" s="489"/>
      <c r="J2748" s="1095"/>
      <c r="K2748" s="1095"/>
      <c r="L2748" s="1095"/>
      <c r="M2748" s="1095"/>
    </row>
    <row r="2749" spans="1:13" x14ac:dyDescent="0.25">
      <c r="A2749">
        <v>1917719</v>
      </c>
      <c r="B2749" t="s">
        <v>10039</v>
      </c>
      <c r="C2749" t="s">
        <v>2596</v>
      </c>
      <c r="D2749" s="254">
        <v>11.75</v>
      </c>
      <c r="E2749"/>
      <c r="F2749"/>
      <c r="G2749"/>
      <c r="H2749"/>
      <c r="I2749" s="489"/>
      <c r="J2749" s="1095"/>
      <c r="K2749" s="1095"/>
      <c r="L2749" s="1095"/>
      <c r="M2749" s="1095"/>
    </row>
    <row r="2750" spans="1:13" x14ac:dyDescent="0.25">
      <c r="A2750">
        <v>1917709</v>
      </c>
      <c r="B2750" t="s">
        <v>10040</v>
      </c>
      <c r="C2750" t="s">
        <v>2596</v>
      </c>
      <c r="D2750" s="254">
        <v>9.66</v>
      </c>
      <c r="E2750"/>
      <c r="F2750"/>
      <c r="G2750"/>
      <c r="H2750"/>
      <c r="I2750" s="489"/>
      <c r="J2750" s="1095"/>
      <c r="K2750" s="1095"/>
      <c r="L2750" s="1095"/>
      <c r="M2750" s="1095"/>
    </row>
    <row r="2751" spans="1:13" x14ac:dyDescent="0.25">
      <c r="A2751">
        <v>1917707</v>
      </c>
      <c r="B2751" t="s">
        <v>10041</v>
      </c>
      <c r="C2751" t="s">
        <v>2596</v>
      </c>
      <c r="D2751" s="254">
        <v>8.4499999999999993</v>
      </c>
      <c r="E2751"/>
      <c r="F2751"/>
      <c r="G2751"/>
      <c r="H2751"/>
      <c r="I2751" s="489"/>
      <c r="J2751" s="1095"/>
      <c r="K2751" s="1095"/>
      <c r="L2751" s="1095"/>
      <c r="M2751" s="1095"/>
    </row>
    <row r="2752" spans="1:13" x14ac:dyDescent="0.25">
      <c r="A2752">
        <v>1917710</v>
      </c>
      <c r="B2752" t="s">
        <v>10042</v>
      </c>
      <c r="C2752" t="s">
        <v>2596</v>
      </c>
      <c r="D2752" s="254">
        <v>9.85</v>
      </c>
      <c r="E2752"/>
      <c r="F2752"/>
      <c r="G2752"/>
      <c r="H2752"/>
      <c r="I2752" s="489"/>
      <c r="J2752" s="1095"/>
      <c r="K2752" s="1095"/>
      <c r="L2752" s="1095"/>
      <c r="M2752" s="1095"/>
    </row>
    <row r="2753" spans="1:13" x14ac:dyDescent="0.25">
      <c r="A2753">
        <v>1917711</v>
      </c>
      <c r="B2753" t="s">
        <v>10043</v>
      </c>
      <c r="C2753" t="s">
        <v>2596</v>
      </c>
      <c r="D2753" s="254">
        <v>10.039999999999999</v>
      </c>
      <c r="E2753"/>
      <c r="F2753"/>
      <c r="G2753"/>
      <c r="H2753"/>
      <c r="I2753" s="489"/>
      <c r="J2753" s="1095"/>
      <c r="K2753" s="1095"/>
      <c r="L2753" s="1095"/>
      <c r="M2753" s="1095"/>
    </row>
    <row r="2754" spans="1:13" x14ac:dyDescent="0.25">
      <c r="A2754">
        <v>1917680</v>
      </c>
      <c r="B2754" t="s">
        <v>10044</v>
      </c>
      <c r="C2754" t="s">
        <v>2596</v>
      </c>
      <c r="D2754" s="254">
        <v>3.13</v>
      </c>
      <c r="E2754"/>
      <c r="F2754"/>
      <c r="G2754"/>
      <c r="H2754"/>
      <c r="I2754" s="489"/>
      <c r="J2754" s="1095"/>
      <c r="K2754" s="1095"/>
      <c r="L2754" s="1095"/>
      <c r="M2754" s="1095"/>
    </row>
    <row r="2755" spans="1:13" x14ac:dyDescent="0.25">
      <c r="A2755">
        <v>1901607</v>
      </c>
      <c r="B2755" t="s">
        <v>10045</v>
      </c>
      <c r="C2755" t="s">
        <v>2596</v>
      </c>
      <c r="D2755" s="254">
        <v>16.47</v>
      </c>
      <c r="E2755"/>
      <c r="F2755"/>
      <c r="G2755"/>
      <c r="H2755"/>
      <c r="I2755" s="489"/>
      <c r="J2755" s="1095"/>
      <c r="K2755" s="1095"/>
      <c r="L2755" s="1095"/>
      <c r="M2755" s="1095"/>
    </row>
    <row r="2756" spans="1:13" x14ac:dyDescent="0.25">
      <c r="A2756">
        <v>1901611</v>
      </c>
      <c r="B2756" t="s">
        <v>10046</v>
      </c>
      <c r="C2756" t="s">
        <v>2596</v>
      </c>
      <c r="D2756" s="254">
        <v>20.48</v>
      </c>
      <c r="E2756"/>
      <c r="F2756"/>
      <c r="G2756"/>
      <c r="H2756"/>
      <c r="I2756" s="489"/>
      <c r="J2756" s="1095"/>
      <c r="K2756" s="1095"/>
      <c r="L2756" s="1095"/>
      <c r="M2756" s="1095"/>
    </row>
    <row r="2757" spans="1:13" x14ac:dyDescent="0.25">
      <c r="A2757">
        <v>1901612</v>
      </c>
      <c r="B2757" t="s">
        <v>10047</v>
      </c>
      <c r="C2757" t="s">
        <v>2596</v>
      </c>
      <c r="D2757" s="254">
        <v>21.02</v>
      </c>
      <c r="E2757"/>
      <c r="F2757"/>
      <c r="G2757"/>
      <c r="H2757"/>
      <c r="I2757" s="489"/>
      <c r="J2757" s="1095"/>
      <c r="K2757" s="1095"/>
      <c r="L2757" s="1095"/>
      <c r="M2757" s="1095"/>
    </row>
    <row r="2758" spans="1:13" x14ac:dyDescent="0.25">
      <c r="A2758">
        <v>1901613</v>
      </c>
      <c r="B2758" t="s">
        <v>10048</v>
      </c>
      <c r="C2758" t="s">
        <v>2596</v>
      </c>
      <c r="D2758" s="254">
        <v>21.43</v>
      </c>
      <c r="E2758"/>
      <c r="F2758"/>
      <c r="G2758"/>
      <c r="H2758"/>
      <c r="I2758" s="489"/>
      <c r="J2758" s="1095"/>
      <c r="K2758" s="1095"/>
      <c r="L2758" s="1095"/>
      <c r="M2758" s="1095"/>
    </row>
    <row r="2759" spans="1:13" x14ac:dyDescent="0.25">
      <c r="A2759">
        <v>1901614</v>
      </c>
      <c r="B2759" t="s">
        <v>10049</v>
      </c>
      <c r="C2759" t="s">
        <v>2596</v>
      </c>
      <c r="D2759" s="254">
        <v>21.83</v>
      </c>
      <c r="E2759"/>
      <c r="F2759"/>
      <c r="G2759"/>
      <c r="H2759"/>
      <c r="I2759" s="489"/>
      <c r="J2759" s="1095"/>
      <c r="K2759" s="1095"/>
      <c r="L2759" s="1095"/>
      <c r="M2759" s="1095"/>
    </row>
    <row r="2760" spans="1:13" x14ac:dyDescent="0.25">
      <c r="A2760">
        <v>1901615</v>
      </c>
      <c r="B2760" t="s">
        <v>10050</v>
      </c>
      <c r="C2760" t="s">
        <v>2596</v>
      </c>
      <c r="D2760" s="254">
        <v>22.37</v>
      </c>
      <c r="E2760"/>
      <c r="F2760"/>
      <c r="G2760"/>
      <c r="H2760"/>
      <c r="I2760" s="489"/>
      <c r="J2760" s="1095"/>
      <c r="K2760" s="1095"/>
      <c r="L2760" s="1095"/>
      <c r="M2760" s="1095"/>
    </row>
    <row r="2761" spans="1:13" x14ac:dyDescent="0.25">
      <c r="A2761">
        <v>1901616</v>
      </c>
      <c r="B2761" t="s">
        <v>10051</v>
      </c>
      <c r="C2761" t="s">
        <v>2596</v>
      </c>
      <c r="D2761" s="254">
        <v>22.78</v>
      </c>
      <c r="E2761"/>
      <c r="F2761"/>
      <c r="G2761"/>
      <c r="H2761"/>
      <c r="I2761" s="489"/>
      <c r="J2761" s="1095"/>
      <c r="K2761" s="1095"/>
      <c r="L2761" s="1095"/>
      <c r="M2761" s="1095"/>
    </row>
    <row r="2762" spans="1:13" x14ac:dyDescent="0.25">
      <c r="A2762">
        <v>1901608</v>
      </c>
      <c r="B2762" t="s">
        <v>10052</v>
      </c>
      <c r="C2762" t="s">
        <v>2596</v>
      </c>
      <c r="D2762" s="254">
        <v>17.100000000000001</v>
      </c>
      <c r="E2762"/>
      <c r="F2762"/>
      <c r="G2762"/>
      <c r="H2762"/>
      <c r="I2762" s="489"/>
      <c r="J2762" s="1095"/>
      <c r="K2762" s="1095"/>
      <c r="L2762" s="1095"/>
      <c r="M2762" s="1095"/>
    </row>
    <row r="2763" spans="1:13" x14ac:dyDescent="0.25">
      <c r="A2763">
        <v>1901609</v>
      </c>
      <c r="B2763" t="s">
        <v>10053</v>
      </c>
      <c r="C2763" t="s">
        <v>2596</v>
      </c>
      <c r="D2763" s="254">
        <v>17.64</v>
      </c>
      <c r="E2763"/>
      <c r="F2763"/>
      <c r="G2763"/>
      <c r="H2763"/>
      <c r="I2763" s="489"/>
      <c r="J2763" s="1095"/>
      <c r="K2763" s="1095"/>
      <c r="L2763" s="1095"/>
      <c r="M2763" s="1095"/>
    </row>
    <row r="2764" spans="1:13" x14ac:dyDescent="0.25">
      <c r="A2764">
        <v>1901610</v>
      </c>
      <c r="B2764" t="s">
        <v>10054</v>
      </c>
      <c r="C2764" t="s">
        <v>2596</v>
      </c>
      <c r="D2764" s="254">
        <v>20.079999999999998</v>
      </c>
      <c r="E2764"/>
      <c r="F2764"/>
      <c r="G2764"/>
      <c r="H2764"/>
      <c r="I2764" s="489"/>
      <c r="J2764" s="1095"/>
      <c r="K2764" s="1095"/>
      <c r="L2764" s="1095"/>
      <c r="M2764" s="1095"/>
    </row>
    <row r="2765" spans="1:13" x14ac:dyDescent="0.25">
      <c r="A2765">
        <v>1901617</v>
      </c>
      <c r="B2765" t="s">
        <v>10055</v>
      </c>
      <c r="C2765" t="s">
        <v>2596</v>
      </c>
      <c r="D2765" s="254">
        <v>23.05</v>
      </c>
      <c r="E2765"/>
      <c r="F2765"/>
      <c r="G2765"/>
      <c r="H2765"/>
      <c r="I2765" s="489"/>
      <c r="J2765" s="1095"/>
      <c r="K2765" s="1095"/>
      <c r="L2765" s="1095"/>
      <c r="M2765" s="1095"/>
    </row>
    <row r="2766" spans="1:13" x14ac:dyDescent="0.25">
      <c r="A2766">
        <v>1917037</v>
      </c>
      <c r="B2766" t="s">
        <v>10056</v>
      </c>
      <c r="C2766" t="s">
        <v>2596</v>
      </c>
      <c r="D2766" s="254">
        <v>16.34</v>
      </c>
      <c r="E2766"/>
      <c r="F2766"/>
      <c r="G2766"/>
      <c r="H2766"/>
      <c r="I2766" s="489"/>
      <c r="J2766" s="1095"/>
      <c r="K2766" s="1095"/>
      <c r="L2766" s="1095"/>
      <c r="M2766" s="1095"/>
    </row>
    <row r="2767" spans="1:13" x14ac:dyDescent="0.25">
      <c r="A2767">
        <v>1917038</v>
      </c>
      <c r="B2767" t="s">
        <v>10057</v>
      </c>
      <c r="C2767" t="s">
        <v>2596</v>
      </c>
      <c r="D2767" s="254">
        <v>16.89</v>
      </c>
      <c r="E2767"/>
      <c r="F2767"/>
      <c r="G2767"/>
      <c r="H2767"/>
      <c r="I2767" s="489"/>
      <c r="J2767" s="1095"/>
      <c r="K2767" s="1095"/>
      <c r="L2767" s="1095"/>
      <c r="M2767" s="1095"/>
    </row>
    <row r="2768" spans="1:13" x14ac:dyDescent="0.25">
      <c r="A2768">
        <v>1917039</v>
      </c>
      <c r="B2768" t="s">
        <v>10058</v>
      </c>
      <c r="C2768" t="s">
        <v>2596</v>
      </c>
      <c r="D2768" s="254">
        <v>17.45</v>
      </c>
      <c r="E2768"/>
      <c r="F2768"/>
      <c r="G2768"/>
      <c r="H2768"/>
      <c r="I2768" s="489"/>
      <c r="J2768" s="1095"/>
      <c r="K2768" s="1095"/>
      <c r="L2768" s="1095"/>
      <c r="M2768" s="1095"/>
    </row>
    <row r="2769" spans="1:13" x14ac:dyDescent="0.25">
      <c r="A2769">
        <v>1917040</v>
      </c>
      <c r="B2769" t="s">
        <v>10059</v>
      </c>
      <c r="C2769" t="s">
        <v>2596</v>
      </c>
      <c r="D2769" s="254">
        <v>18.04</v>
      </c>
      <c r="E2769"/>
      <c r="F2769"/>
      <c r="G2769"/>
      <c r="H2769"/>
      <c r="I2769" s="489"/>
      <c r="J2769" s="1095"/>
      <c r="K2769" s="1095"/>
      <c r="L2769" s="1095"/>
      <c r="M2769" s="1095"/>
    </row>
    <row r="2770" spans="1:13" x14ac:dyDescent="0.25">
      <c r="A2770">
        <v>1917041</v>
      </c>
      <c r="B2770" t="s">
        <v>10060</v>
      </c>
      <c r="C2770" t="s">
        <v>2596</v>
      </c>
      <c r="D2770" s="254">
        <v>18.670000000000002</v>
      </c>
      <c r="E2770"/>
      <c r="F2770"/>
      <c r="G2770"/>
      <c r="H2770"/>
      <c r="I2770" s="489"/>
      <c r="J2770" s="1095"/>
      <c r="K2770" s="1095"/>
      <c r="L2770" s="1095"/>
      <c r="M2770" s="1095"/>
    </row>
    <row r="2771" spans="1:13" x14ac:dyDescent="0.25">
      <c r="A2771">
        <v>1917042</v>
      </c>
      <c r="B2771" t="s">
        <v>10061</v>
      </c>
      <c r="C2771" t="s">
        <v>2596</v>
      </c>
      <c r="D2771" s="254">
        <v>19</v>
      </c>
      <c r="E2771"/>
      <c r="F2771"/>
      <c r="G2771"/>
      <c r="H2771"/>
      <c r="I2771" s="489"/>
      <c r="J2771" s="1095"/>
      <c r="K2771" s="1095"/>
      <c r="L2771" s="1095"/>
      <c r="M2771" s="1095"/>
    </row>
    <row r="2772" spans="1:13" x14ac:dyDescent="0.25">
      <c r="A2772">
        <v>1901619</v>
      </c>
      <c r="B2772" t="s">
        <v>10062</v>
      </c>
      <c r="C2772" t="s">
        <v>2596</v>
      </c>
      <c r="D2772" s="254">
        <v>11.01</v>
      </c>
      <c r="E2772"/>
      <c r="F2772"/>
      <c r="G2772"/>
      <c r="H2772"/>
      <c r="I2772" s="489"/>
      <c r="J2772" s="1095"/>
      <c r="K2772" s="1095"/>
      <c r="L2772" s="1095"/>
      <c r="M2772" s="1095"/>
    </row>
    <row r="2773" spans="1:13" x14ac:dyDescent="0.25">
      <c r="A2773">
        <v>1901620</v>
      </c>
      <c r="B2773" t="s">
        <v>10063</v>
      </c>
      <c r="C2773" t="s">
        <v>2596</v>
      </c>
      <c r="D2773" s="254">
        <v>11.21</v>
      </c>
      <c r="E2773"/>
      <c r="F2773"/>
      <c r="G2773"/>
      <c r="H2773"/>
      <c r="I2773" s="489"/>
      <c r="J2773" s="1095"/>
      <c r="K2773" s="1095"/>
      <c r="L2773" s="1095"/>
      <c r="M2773" s="1095"/>
    </row>
    <row r="2774" spans="1:13" x14ac:dyDescent="0.25">
      <c r="A2774">
        <v>1901621</v>
      </c>
      <c r="B2774" t="s">
        <v>10064</v>
      </c>
      <c r="C2774" t="s">
        <v>2596</v>
      </c>
      <c r="D2774" s="254">
        <v>11.42</v>
      </c>
      <c r="E2774"/>
      <c r="F2774"/>
      <c r="G2774"/>
      <c r="H2774"/>
      <c r="I2774" s="489"/>
      <c r="J2774" s="1095"/>
      <c r="K2774" s="1095"/>
      <c r="L2774" s="1095"/>
      <c r="M2774" s="1095"/>
    </row>
    <row r="2775" spans="1:13" x14ac:dyDescent="0.25">
      <c r="A2775">
        <v>1901622</v>
      </c>
      <c r="B2775" t="s">
        <v>10065</v>
      </c>
      <c r="C2775" t="s">
        <v>2596</v>
      </c>
      <c r="D2775" s="254">
        <v>11.63</v>
      </c>
      <c r="E2775"/>
      <c r="F2775"/>
      <c r="G2775"/>
      <c r="H2775"/>
      <c r="I2775" s="489"/>
      <c r="J2775" s="1095"/>
      <c r="K2775" s="1095"/>
      <c r="L2775" s="1095"/>
      <c r="M2775" s="1095"/>
    </row>
    <row r="2776" spans="1:13" x14ac:dyDescent="0.25">
      <c r="A2776">
        <v>1901623</v>
      </c>
      <c r="B2776" t="s">
        <v>10066</v>
      </c>
      <c r="C2776" t="s">
        <v>2596</v>
      </c>
      <c r="D2776" s="254">
        <v>11.86</v>
      </c>
      <c r="E2776"/>
      <c r="F2776"/>
      <c r="G2776"/>
      <c r="H2776"/>
      <c r="I2776" s="489"/>
      <c r="J2776" s="1095"/>
      <c r="K2776" s="1095"/>
      <c r="L2776" s="1095"/>
      <c r="M2776" s="1095"/>
    </row>
    <row r="2777" spans="1:13" x14ac:dyDescent="0.25">
      <c r="A2777">
        <v>1901618</v>
      </c>
      <c r="B2777" t="s">
        <v>10067</v>
      </c>
      <c r="C2777" t="s">
        <v>2596</v>
      </c>
      <c r="D2777" s="254">
        <v>11.98</v>
      </c>
      <c r="E2777"/>
      <c r="F2777"/>
      <c r="G2777"/>
      <c r="H2777"/>
      <c r="I2777" s="489"/>
      <c r="J2777" s="1095"/>
      <c r="K2777" s="1095"/>
      <c r="L2777" s="1095"/>
      <c r="M2777" s="1095"/>
    </row>
    <row r="2778" spans="1:13" x14ac:dyDescent="0.25">
      <c r="A2778">
        <v>1901625</v>
      </c>
      <c r="B2778" t="s">
        <v>10068</v>
      </c>
      <c r="C2778" t="s">
        <v>2596</v>
      </c>
      <c r="D2778" s="254">
        <v>13.39</v>
      </c>
      <c r="E2778"/>
      <c r="F2778"/>
      <c r="G2778"/>
      <c r="H2778"/>
      <c r="I2778" s="489"/>
      <c r="J2778" s="1095"/>
      <c r="K2778" s="1095"/>
      <c r="L2778" s="1095"/>
      <c r="M2778" s="1095"/>
    </row>
    <row r="2779" spans="1:13" x14ac:dyDescent="0.25">
      <c r="A2779">
        <v>1901626</v>
      </c>
      <c r="B2779" t="s">
        <v>10069</v>
      </c>
      <c r="C2779" t="s">
        <v>2596</v>
      </c>
      <c r="D2779" s="254">
        <v>13.58</v>
      </c>
      <c r="E2779"/>
      <c r="F2779"/>
      <c r="G2779"/>
      <c r="H2779"/>
      <c r="I2779" s="489"/>
      <c r="J2779" s="1095"/>
      <c r="K2779" s="1095"/>
      <c r="L2779" s="1095"/>
      <c r="M2779" s="1095"/>
    </row>
    <row r="2780" spans="1:13" x14ac:dyDescent="0.25">
      <c r="A2780">
        <v>1901627</v>
      </c>
      <c r="B2780" t="s">
        <v>10070</v>
      </c>
      <c r="C2780" t="s">
        <v>2596</v>
      </c>
      <c r="D2780" s="254">
        <v>13.78</v>
      </c>
      <c r="E2780"/>
      <c r="F2780"/>
      <c r="G2780"/>
      <c r="H2780"/>
      <c r="I2780" s="489"/>
      <c r="J2780" s="1095"/>
      <c r="K2780" s="1095"/>
      <c r="L2780" s="1095"/>
      <c r="M2780" s="1095"/>
    </row>
    <row r="2781" spans="1:13" x14ac:dyDescent="0.25">
      <c r="A2781">
        <v>1901628</v>
      </c>
      <c r="B2781" t="s">
        <v>10071</v>
      </c>
      <c r="C2781" t="s">
        <v>2596</v>
      </c>
      <c r="D2781" s="254">
        <v>13.99</v>
      </c>
      <c r="E2781"/>
      <c r="F2781"/>
      <c r="G2781"/>
      <c r="H2781"/>
      <c r="I2781" s="489"/>
      <c r="J2781" s="1095"/>
      <c r="K2781" s="1095"/>
      <c r="L2781" s="1095"/>
      <c r="M2781" s="1095"/>
    </row>
    <row r="2782" spans="1:13" x14ac:dyDescent="0.25">
      <c r="A2782">
        <v>1901629</v>
      </c>
      <c r="B2782" t="s">
        <v>10072</v>
      </c>
      <c r="C2782" t="s">
        <v>2596</v>
      </c>
      <c r="D2782" s="254">
        <v>14.21</v>
      </c>
      <c r="E2782"/>
      <c r="F2782"/>
      <c r="G2782"/>
      <c r="H2782"/>
      <c r="I2782" s="489"/>
      <c r="J2782" s="1095"/>
      <c r="K2782" s="1095"/>
      <c r="L2782" s="1095"/>
      <c r="M2782" s="1095"/>
    </row>
    <row r="2783" spans="1:13" x14ac:dyDescent="0.25">
      <c r="A2783">
        <v>1901624</v>
      </c>
      <c r="B2783" t="s">
        <v>10073</v>
      </c>
      <c r="C2783" t="s">
        <v>2596</v>
      </c>
      <c r="D2783" s="254">
        <v>14.32</v>
      </c>
      <c r="E2783"/>
      <c r="F2783"/>
      <c r="G2783"/>
      <c r="H2783"/>
      <c r="I2783" s="489"/>
      <c r="J2783" s="1095"/>
      <c r="K2783" s="1095"/>
      <c r="L2783" s="1095"/>
      <c r="M2783" s="1095"/>
    </row>
    <row r="2784" spans="1:13" x14ac:dyDescent="0.25">
      <c r="A2784">
        <v>1917073</v>
      </c>
      <c r="B2784" t="s">
        <v>10074</v>
      </c>
      <c r="C2784" t="s">
        <v>2596</v>
      </c>
      <c r="D2784" s="254">
        <v>17.55</v>
      </c>
      <c r="E2784"/>
      <c r="F2784"/>
      <c r="G2784"/>
      <c r="H2784"/>
      <c r="I2784" s="489"/>
      <c r="J2784" s="1095"/>
      <c r="K2784" s="1095"/>
      <c r="L2784" s="1095"/>
      <c r="M2784" s="1095"/>
    </row>
    <row r="2785" spans="1:13" x14ac:dyDescent="0.25">
      <c r="A2785">
        <v>1917074</v>
      </c>
      <c r="B2785" t="s">
        <v>10075</v>
      </c>
      <c r="C2785" t="s">
        <v>2596</v>
      </c>
      <c r="D2785" s="254">
        <v>18.02</v>
      </c>
      <c r="E2785"/>
      <c r="F2785"/>
      <c r="G2785"/>
      <c r="H2785"/>
      <c r="I2785" s="489"/>
      <c r="J2785" s="1095"/>
      <c r="K2785" s="1095"/>
      <c r="L2785" s="1095"/>
      <c r="M2785" s="1095"/>
    </row>
    <row r="2786" spans="1:13" x14ac:dyDescent="0.25">
      <c r="A2786">
        <v>1917075</v>
      </c>
      <c r="B2786" t="s">
        <v>10076</v>
      </c>
      <c r="C2786" t="s">
        <v>2596</v>
      </c>
      <c r="D2786" s="254">
        <v>18.5</v>
      </c>
      <c r="E2786"/>
      <c r="F2786"/>
      <c r="G2786"/>
      <c r="H2786"/>
      <c r="I2786" s="489"/>
      <c r="J2786" s="1095"/>
      <c r="K2786" s="1095"/>
      <c r="L2786" s="1095"/>
      <c r="M2786" s="1095"/>
    </row>
    <row r="2787" spans="1:13" x14ac:dyDescent="0.25">
      <c r="A2787">
        <v>1917076</v>
      </c>
      <c r="B2787" t="s">
        <v>10077</v>
      </c>
      <c r="C2787" t="s">
        <v>2596</v>
      </c>
      <c r="D2787" s="254">
        <v>19</v>
      </c>
      <c r="E2787"/>
      <c r="F2787"/>
      <c r="G2787"/>
      <c r="H2787"/>
      <c r="I2787" s="489"/>
      <c r="J2787" s="1095"/>
      <c r="K2787" s="1095"/>
      <c r="L2787" s="1095"/>
      <c r="M2787" s="1095"/>
    </row>
    <row r="2788" spans="1:13" x14ac:dyDescent="0.25">
      <c r="A2788">
        <v>1917077</v>
      </c>
      <c r="B2788" t="s">
        <v>10078</v>
      </c>
      <c r="C2788" t="s">
        <v>2596</v>
      </c>
      <c r="D2788" s="254">
        <v>19.53</v>
      </c>
      <c r="E2788"/>
      <c r="F2788"/>
      <c r="G2788"/>
      <c r="H2788"/>
      <c r="I2788" s="489"/>
      <c r="J2788" s="1095"/>
      <c r="K2788" s="1095"/>
      <c r="L2788" s="1095"/>
      <c r="M2788" s="1095"/>
    </row>
    <row r="2789" spans="1:13" x14ac:dyDescent="0.25">
      <c r="A2789">
        <v>1917078</v>
      </c>
      <c r="B2789" t="s">
        <v>10079</v>
      </c>
      <c r="C2789" t="s">
        <v>2596</v>
      </c>
      <c r="D2789" s="254">
        <v>19.82</v>
      </c>
      <c r="E2789"/>
      <c r="F2789"/>
      <c r="G2789"/>
      <c r="H2789"/>
      <c r="I2789" s="489"/>
      <c r="J2789" s="1095"/>
      <c r="K2789" s="1095"/>
      <c r="L2789" s="1095"/>
      <c r="M2789" s="1095"/>
    </row>
    <row r="2790" spans="1:13" x14ac:dyDescent="0.25">
      <c r="A2790">
        <v>1901631</v>
      </c>
      <c r="B2790" t="s">
        <v>10080</v>
      </c>
      <c r="C2790" t="s">
        <v>2596</v>
      </c>
      <c r="D2790" s="254">
        <v>15.91</v>
      </c>
      <c r="E2790"/>
      <c r="F2790"/>
      <c r="G2790"/>
      <c r="H2790"/>
      <c r="I2790" s="489"/>
      <c r="J2790" s="1095"/>
      <c r="K2790" s="1095"/>
      <c r="L2790" s="1095"/>
      <c r="M2790" s="1095"/>
    </row>
    <row r="2791" spans="1:13" x14ac:dyDescent="0.25">
      <c r="A2791">
        <v>1901632</v>
      </c>
      <c r="B2791" t="s">
        <v>10081</v>
      </c>
      <c r="C2791" t="s">
        <v>2596</v>
      </c>
      <c r="D2791" s="254">
        <v>16.09</v>
      </c>
      <c r="E2791"/>
      <c r="F2791"/>
      <c r="G2791"/>
      <c r="H2791"/>
      <c r="I2791" s="489"/>
      <c r="J2791" s="1095"/>
      <c r="K2791" s="1095"/>
      <c r="L2791" s="1095"/>
      <c r="M2791" s="1095"/>
    </row>
    <row r="2792" spans="1:13" x14ac:dyDescent="0.25">
      <c r="A2792">
        <v>1901633</v>
      </c>
      <c r="B2792" t="s">
        <v>10082</v>
      </c>
      <c r="C2792" t="s">
        <v>2596</v>
      </c>
      <c r="D2792" s="254">
        <v>16.29</v>
      </c>
      <c r="E2792"/>
      <c r="F2792"/>
      <c r="G2792"/>
      <c r="H2792"/>
      <c r="I2792" s="489"/>
      <c r="J2792" s="1095"/>
      <c r="K2792" s="1095"/>
      <c r="L2792" s="1095"/>
      <c r="M2792" s="1095"/>
    </row>
    <row r="2793" spans="1:13" x14ac:dyDescent="0.25">
      <c r="A2793">
        <v>1901634</v>
      </c>
      <c r="B2793" t="s">
        <v>10083</v>
      </c>
      <c r="C2793" t="s">
        <v>2596</v>
      </c>
      <c r="D2793" s="254">
        <v>16.489999999999998</v>
      </c>
      <c r="E2793"/>
      <c r="F2793"/>
      <c r="G2793"/>
      <c r="H2793"/>
      <c r="I2793" s="489"/>
      <c r="J2793" s="1095"/>
      <c r="K2793" s="1095"/>
      <c r="L2793" s="1095"/>
      <c r="M2793" s="1095"/>
    </row>
    <row r="2794" spans="1:13" x14ac:dyDescent="0.25">
      <c r="A2794">
        <v>1901635</v>
      </c>
      <c r="B2794" t="s">
        <v>10084</v>
      </c>
      <c r="C2794" t="s">
        <v>2596</v>
      </c>
      <c r="D2794" s="254">
        <v>16.7</v>
      </c>
      <c r="E2794"/>
      <c r="F2794"/>
      <c r="G2794"/>
      <c r="H2794"/>
      <c r="I2794" s="489"/>
      <c r="J2794" s="1095"/>
      <c r="K2794" s="1095"/>
      <c r="L2794" s="1095"/>
      <c r="M2794" s="1095"/>
    </row>
    <row r="2795" spans="1:13" x14ac:dyDescent="0.25">
      <c r="A2795">
        <v>1901630</v>
      </c>
      <c r="B2795" t="s">
        <v>10085</v>
      </c>
      <c r="C2795" t="s">
        <v>2596</v>
      </c>
      <c r="D2795" s="254">
        <v>16.82</v>
      </c>
      <c r="E2795"/>
      <c r="F2795"/>
      <c r="G2795"/>
      <c r="H2795"/>
      <c r="I2795" s="489"/>
      <c r="J2795" s="1095"/>
      <c r="K2795" s="1095"/>
      <c r="L2795" s="1095"/>
      <c r="M2795" s="1095"/>
    </row>
    <row r="2796" spans="1:13" x14ac:dyDescent="0.25">
      <c r="A2796">
        <v>1917109</v>
      </c>
      <c r="B2796" t="s">
        <v>10086</v>
      </c>
      <c r="C2796" t="s">
        <v>2596</v>
      </c>
      <c r="D2796" s="254">
        <v>16.059999999999999</v>
      </c>
      <c r="E2796"/>
      <c r="F2796"/>
      <c r="G2796"/>
      <c r="H2796"/>
      <c r="I2796" s="489"/>
      <c r="J2796" s="1095"/>
      <c r="K2796" s="1095"/>
      <c r="L2796" s="1095"/>
      <c r="M2796" s="1095"/>
    </row>
    <row r="2797" spans="1:13" x14ac:dyDescent="0.25">
      <c r="A2797">
        <v>1917110</v>
      </c>
      <c r="B2797" t="s">
        <v>10087</v>
      </c>
      <c r="C2797" t="s">
        <v>2596</v>
      </c>
      <c r="D2797" s="254">
        <v>16.440000000000001</v>
      </c>
      <c r="E2797"/>
      <c r="F2797"/>
      <c r="G2797"/>
      <c r="H2797"/>
      <c r="I2797" s="489"/>
      <c r="J2797" s="1095"/>
      <c r="K2797" s="1095"/>
      <c r="L2797" s="1095"/>
      <c r="M2797" s="1095"/>
    </row>
    <row r="2798" spans="1:13" x14ac:dyDescent="0.25">
      <c r="A2798">
        <v>1917111</v>
      </c>
      <c r="B2798" t="s">
        <v>10088</v>
      </c>
      <c r="C2798" t="s">
        <v>2596</v>
      </c>
      <c r="D2798" s="254">
        <v>16.84</v>
      </c>
      <c r="E2798"/>
      <c r="F2798"/>
      <c r="G2798"/>
      <c r="H2798"/>
      <c r="I2798" s="489"/>
      <c r="J2798" s="1095"/>
      <c r="K2798" s="1095"/>
      <c r="L2798" s="1095"/>
      <c r="M2798" s="1095"/>
    </row>
    <row r="2799" spans="1:13" x14ac:dyDescent="0.25">
      <c r="A2799">
        <v>1917112</v>
      </c>
      <c r="B2799" t="s">
        <v>10089</v>
      </c>
      <c r="C2799" t="s">
        <v>2596</v>
      </c>
      <c r="D2799" s="254">
        <v>17.25</v>
      </c>
      <c r="E2799"/>
      <c r="F2799"/>
      <c r="G2799"/>
      <c r="H2799"/>
      <c r="I2799" s="489"/>
      <c r="J2799" s="1095"/>
      <c r="K2799" s="1095"/>
      <c r="L2799" s="1095"/>
      <c r="M2799" s="1095"/>
    </row>
    <row r="2800" spans="1:13" x14ac:dyDescent="0.25">
      <c r="A2800">
        <v>1917113</v>
      </c>
      <c r="B2800" t="s">
        <v>10090</v>
      </c>
      <c r="C2800" t="s">
        <v>2596</v>
      </c>
      <c r="D2800" s="254">
        <v>17.690000000000001</v>
      </c>
      <c r="E2800"/>
      <c r="F2800"/>
      <c r="G2800"/>
      <c r="H2800"/>
      <c r="I2800" s="489"/>
      <c r="J2800" s="1095"/>
      <c r="K2800" s="1095"/>
      <c r="L2800" s="1095"/>
      <c r="M2800" s="1095"/>
    </row>
    <row r="2801" spans="1:13" x14ac:dyDescent="0.25">
      <c r="A2801">
        <v>1917114</v>
      </c>
      <c r="B2801" t="s">
        <v>10091</v>
      </c>
      <c r="C2801" t="s">
        <v>2596</v>
      </c>
      <c r="D2801" s="254">
        <v>17.93</v>
      </c>
      <c r="E2801"/>
      <c r="F2801"/>
      <c r="G2801"/>
      <c r="H2801"/>
      <c r="I2801" s="489"/>
      <c r="J2801" s="1095"/>
      <c r="K2801" s="1095"/>
      <c r="L2801" s="1095"/>
      <c r="M2801" s="1095"/>
    </row>
    <row r="2802" spans="1:13" x14ac:dyDescent="0.25">
      <c r="A2802">
        <v>1917145</v>
      </c>
      <c r="B2802" t="s">
        <v>10092</v>
      </c>
      <c r="C2802" t="s">
        <v>2596</v>
      </c>
      <c r="D2802" s="254">
        <v>14.07</v>
      </c>
      <c r="E2802"/>
      <c r="F2802"/>
      <c r="G2802"/>
      <c r="H2802"/>
      <c r="I2802" s="489"/>
      <c r="J2802" s="1095"/>
      <c r="K2802" s="1095"/>
      <c r="L2802" s="1095"/>
      <c r="M2802" s="1095"/>
    </row>
    <row r="2803" spans="1:13" x14ac:dyDescent="0.25">
      <c r="A2803">
        <v>1917146</v>
      </c>
      <c r="B2803" t="s">
        <v>10093</v>
      </c>
      <c r="C2803" t="s">
        <v>2596</v>
      </c>
      <c r="D2803" s="254">
        <v>14.39</v>
      </c>
      <c r="E2803"/>
      <c r="F2803"/>
      <c r="G2803"/>
      <c r="H2803"/>
      <c r="I2803" s="489"/>
      <c r="J2803" s="1095"/>
      <c r="K2803" s="1095"/>
      <c r="L2803" s="1095"/>
      <c r="M2803" s="1095"/>
    </row>
    <row r="2804" spans="1:13" x14ac:dyDescent="0.25">
      <c r="A2804">
        <v>1917147</v>
      </c>
      <c r="B2804" t="s">
        <v>10094</v>
      </c>
      <c r="C2804" t="s">
        <v>2596</v>
      </c>
      <c r="D2804" s="254">
        <v>14.72</v>
      </c>
      <c r="E2804"/>
      <c r="F2804"/>
      <c r="G2804"/>
      <c r="H2804"/>
      <c r="I2804" s="489"/>
      <c r="J2804" s="1095"/>
      <c r="K2804" s="1095"/>
      <c r="L2804" s="1095"/>
      <c r="M2804" s="1095"/>
    </row>
    <row r="2805" spans="1:13" x14ac:dyDescent="0.25">
      <c r="A2805">
        <v>1917148</v>
      </c>
      <c r="B2805" t="s">
        <v>10095</v>
      </c>
      <c r="C2805" t="s">
        <v>2596</v>
      </c>
      <c r="D2805" s="254">
        <v>15.06</v>
      </c>
      <c r="E2805"/>
      <c r="F2805"/>
      <c r="G2805"/>
      <c r="H2805"/>
      <c r="I2805" s="489"/>
      <c r="J2805" s="1095"/>
      <c r="K2805" s="1095"/>
      <c r="L2805" s="1095"/>
      <c r="M2805" s="1095"/>
    </row>
    <row r="2806" spans="1:13" x14ac:dyDescent="0.25">
      <c r="A2806">
        <v>1917149</v>
      </c>
      <c r="B2806" t="s">
        <v>10096</v>
      </c>
      <c r="C2806" t="s">
        <v>2596</v>
      </c>
      <c r="D2806" s="254">
        <v>15.43</v>
      </c>
      <c r="E2806"/>
      <c r="F2806"/>
      <c r="G2806"/>
      <c r="H2806"/>
      <c r="I2806" s="489"/>
      <c r="J2806" s="1095"/>
      <c r="K2806" s="1095"/>
      <c r="L2806" s="1095"/>
      <c r="M2806" s="1095"/>
    </row>
    <row r="2807" spans="1:13" x14ac:dyDescent="0.25">
      <c r="A2807">
        <v>1917150</v>
      </c>
      <c r="B2807" t="s">
        <v>10097</v>
      </c>
      <c r="C2807" t="s">
        <v>2596</v>
      </c>
      <c r="D2807" s="254">
        <v>15.63</v>
      </c>
      <c r="E2807"/>
      <c r="F2807"/>
      <c r="G2807"/>
      <c r="H2807"/>
      <c r="I2807" s="489"/>
      <c r="J2807" s="1095"/>
      <c r="K2807" s="1095"/>
      <c r="L2807" s="1095"/>
      <c r="M2807" s="1095"/>
    </row>
    <row r="2808" spans="1:13" x14ac:dyDescent="0.25">
      <c r="A2808">
        <v>1917181</v>
      </c>
      <c r="B2808" t="s">
        <v>10098</v>
      </c>
      <c r="C2808" t="s">
        <v>2596</v>
      </c>
      <c r="D2808" s="254">
        <v>13.24</v>
      </c>
      <c r="E2808"/>
      <c r="F2808"/>
      <c r="G2808"/>
      <c r="H2808"/>
      <c r="I2808" s="489"/>
      <c r="J2808" s="1095"/>
      <c r="K2808" s="1095"/>
      <c r="L2808" s="1095"/>
      <c r="M2808" s="1095"/>
    </row>
    <row r="2809" spans="1:13" x14ac:dyDescent="0.25">
      <c r="A2809">
        <v>1917182</v>
      </c>
      <c r="B2809" t="s">
        <v>10099</v>
      </c>
      <c r="C2809" t="s">
        <v>2596</v>
      </c>
      <c r="D2809" s="254">
        <v>13.53</v>
      </c>
      <c r="E2809"/>
      <c r="F2809"/>
      <c r="G2809"/>
      <c r="H2809"/>
      <c r="I2809" s="489"/>
      <c r="J2809" s="1095"/>
      <c r="K2809" s="1095"/>
      <c r="L2809" s="1095"/>
      <c r="M2809" s="1095"/>
    </row>
    <row r="2810" spans="1:13" x14ac:dyDescent="0.25">
      <c r="A2810">
        <v>1917183</v>
      </c>
      <c r="B2810" t="s">
        <v>10100</v>
      </c>
      <c r="C2810" t="s">
        <v>2596</v>
      </c>
      <c r="D2810" s="254">
        <v>13.83</v>
      </c>
      <c r="E2810"/>
      <c r="F2810"/>
      <c r="G2810"/>
      <c r="H2810"/>
      <c r="I2810" s="489"/>
      <c r="J2810" s="1095"/>
      <c r="K2810" s="1095"/>
      <c r="L2810" s="1095"/>
      <c r="M2810" s="1095"/>
    </row>
    <row r="2811" spans="1:13" x14ac:dyDescent="0.25">
      <c r="A2811">
        <v>1917184</v>
      </c>
      <c r="B2811" t="s">
        <v>10101</v>
      </c>
      <c r="C2811" t="s">
        <v>2596</v>
      </c>
      <c r="D2811" s="254">
        <v>14.14</v>
      </c>
      <c r="E2811"/>
      <c r="F2811"/>
      <c r="G2811"/>
      <c r="H2811"/>
      <c r="I2811" s="489"/>
      <c r="J2811" s="1095"/>
      <c r="K2811" s="1095"/>
      <c r="L2811" s="1095"/>
      <c r="M2811" s="1095"/>
    </row>
    <row r="2812" spans="1:13" x14ac:dyDescent="0.25">
      <c r="A2812">
        <v>1917185</v>
      </c>
      <c r="B2812" t="s">
        <v>10102</v>
      </c>
      <c r="C2812" t="s">
        <v>2596</v>
      </c>
      <c r="D2812" s="254">
        <v>14.48</v>
      </c>
      <c r="E2812"/>
      <c r="F2812"/>
      <c r="G2812"/>
      <c r="H2812"/>
      <c r="I2812" s="489"/>
      <c r="J2812" s="1095"/>
      <c r="K2812" s="1095"/>
      <c r="L2812" s="1095"/>
      <c r="M2812" s="1095"/>
    </row>
    <row r="2813" spans="1:13" x14ac:dyDescent="0.25">
      <c r="A2813">
        <v>1917186</v>
      </c>
      <c r="B2813" t="s">
        <v>10103</v>
      </c>
      <c r="C2813" t="s">
        <v>2596</v>
      </c>
      <c r="D2813" s="254">
        <v>14.65</v>
      </c>
      <c r="E2813"/>
      <c r="F2813"/>
      <c r="G2813"/>
      <c r="H2813"/>
      <c r="I2813" s="489"/>
      <c r="J2813" s="1095"/>
      <c r="K2813" s="1095"/>
      <c r="L2813" s="1095"/>
      <c r="M2813" s="1095"/>
    </row>
    <row r="2814" spans="1:13" x14ac:dyDescent="0.25">
      <c r="A2814">
        <v>1917001</v>
      </c>
      <c r="B2814" t="s">
        <v>10104</v>
      </c>
      <c r="C2814" t="s">
        <v>2596</v>
      </c>
      <c r="D2814" s="254">
        <v>20.34</v>
      </c>
      <c r="E2814"/>
      <c r="F2814"/>
      <c r="G2814"/>
      <c r="H2814"/>
      <c r="I2814" s="489"/>
      <c r="J2814" s="1095"/>
      <c r="K2814" s="1095"/>
      <c r="L2814" s="1095"/>
      <c r="M2814" s="1095"/>
    </row>
    <row r="2815" spans="1:13" x14ac:dyDescent="0.25">
      <c r="A2815">
        <v>1917002</v>
      </c>
      <c r="B2815" t="s">
        <v>10105</v>
      </c>
      <c r="C2815" t="s">
        <v>2596</v>
      </c>
      <c r="D2815" s="254">
        <v>21.09</v>
      </c>
      <c r="E2815"/>
      <c r="F2815"/>
      <c r="G2815"/>
      <c r="H2815"/>
      <c r="I2815" s="489"/>
      <c r="J2815" s="1095"/>
      <c r="K2815" s="1095"/>
      <c r="L2815" s="1095"/>
      <c r="M2815" s="1095"/>
    </row>
    <row r="2816" spans="1:13" x14ac:dyDescent="0.25">
      <c r="A2816">
        <v>1917003</v>
      </c>
      <c r="B2816" t="s">
        <v>10106</v>
      </c>
      <c r="C2816" t="s">
        <v>2596</v>
      </c>
      <c r="D2816" s="254">
        <v>21.84</v>
      </c>
      <c r="E2816"/>
      <c r="F2816"/>
      <c r="G2816"/>
      <c r="H2816"/>
      <c r="I2816" s="489"/>
      <c r="J2816" s="1095"/>
      <c r="K2816" s="1095"/>
      <c r="L2816" s="1095"/>
      <c r="M2816" s="1095"/>
    </row>
    <row r="2817" spans="1:13" x14ac:dyDescent="0.25">
      <c r="A2817">
        <v>1917004</v>
      </c>
      <c r="B2817" t="s">
        <v>10107</v>
      </c>
      <c r="C2817" t="s">
        <v>2596</v>
      </c>
      <c r="D2817" s="254">
        <v>22.64</v>
      </c>
      <c r="E2817"/>
      <c r="F2817"/>
      <c r="G2817"/>
      <c r="H2817"/>
      <c r="I2817" s="489"/>
      <c r="J2817" s="1095"/>
      <c r="K2817" s="1095"/>
      <c r="L2817" s="1095"/>
      <c r="M2817" s="1095"/>
    </row>
    <row r="2818" spans="1:13" x14ac:dyDescent="0.25">
      <c r="A2818">
        <v>1917005</v>
      </c>
      <c r="B2818" t="s">
        <v>10108</v>
      </c>
      <c r="C2818" t="s">
        <v>2596</v>
      </c>
      <c r="D2818" s="254">
        <v>23.48</v>
      </c>
      <c r="E2818"/>
      <c r="F2818"/>
      <c r="G2818"/>
      <c r="H2818"/>
      <c r="I2818" s="489"/>
      <c r="J2818" s="1095"/>
      <c r="K2818" s="1095"/>
      <c r="L2818" s="1095"/>
      <c r="M2818" s="1095"/>
    </row>
    <row r="2819" spans="1:13" x14ac:dyDescent="0.25">
      <c r="A2819">
        <v>1917006</v>
      </c>
      <c r="B2819" t="s">
        <v>10109</v>
      </c>
      <c r="C2819" t="s">
        <v>2596</v>
      </c>
      <c r="D2819" s="254">
        <v>23.93</v>
      </c>
      <c r="E2819"/>
      <c r="F2819"/>
      <c r="G2819"/>
      <c r="H2819"/>
      <c r="I2819" s="489"/>
      <c r="J2819" s="1095"/>
      <c r="K2819" s="1095"/>
      <c r="L2819" s="1095"/>
      <c r="M2819" s="1095"/>
    </row>
    <row r="2820" spans="1:13" x14ac:dyDescent="0.25">
      <c r="A2820">
        <v>2009619</v>
      </c>
      <c r="B2820" t="s">
        <v>10110</v>
      </c>
      <c r="C2820" t="s">
        <v>2595</v>
      </c>
      <c r="D2820" s="254">
        <v>104.57</v>
      </c>
      <c r="E2820"/>
      <c r="F2820"/>
      <c r="G2820"/>
      <c r="H2820"/>
      <c r="I2820" s="489"/>
      <c r="J2820" s="1095"/>
      <c r="K2820" s="1095"/>
      <c r="L2820" s="1095"/>
      <c r="M2820" s="1095"/>
    </row>
    <row r="2821" spans="1:13" x14ac:dyDescent="0.25">
      <c r="A2821">
        <v>2009618</v>
      </c>
      <c r="B2821" t="s">
        <v>10111</v>
      </c>
      <c r="C2821" t="s">
        <v>2595</v>
      </c>
      <c r="D2821" s="254">
        <v>102.23</v>
      </c>
      <c r="E2821"/>
      <c r="F2821"/>
      <c r="G2821"/>
      <c r="H2821"/>
      <c r="I2821" s="489"/>
      <c r="J2821" s="1095"/>
      <c r="K2821" s="1095"/>
      <c r="L2821" s="1095"/>
      <c r="M2821" s="1095"/>
    </row>
    <row r="2822" spans="1:13" x14ac:dyDescent="0.25">
      <c r="A2822">
        <v>2003866</v>
      </c>
      <c r="B2822" t="s">
        <v>10112</v>
      </c>
      <c r="C2822" t="s">
        <v>2595</v>
      </c>
      <c r="D2822" s="254">
        <v>8.14</v>
      </c>
      <c r="E2822"/>
      <c r="F2822"/>
      <c r="G2822"/>
      <c r="H2822"/>
      <c r="I2822" s="489"/>
      <c r="J2822" s="1095"/>
      <c r="K2822" s="1095"/>
      <c r="L2822" s="1095"/>
      <c r="M2822" s="1095"/>
    </row>
    <row r="2823" spans="1:13" x14ac:dyDescent="0.25">
      <c r="A2823">
        <v>2003867</v>
      </c>
      <c r="B2823" t="s">
        <v>10113</v>
      </c>
      <c r="C2823" t="s">
        <v>2595</v>
      </c>
      <c r="D2823" s="254">
        <v>18.78</v>
      </c>
      <c r="E2823"/>
      <c r="F2823"/>
      <c r="G2823"/>
      <c r="H2823"/>
      <c r="I2823" s="489"/>
      <c r="J2823" s="1095"/>
      <c r="K2823" s="1095"/>
      <c r="L2823" s="1095"/>
      <c r="M2823" s="1095"/>
    </row>
    <row r="2824" spans="1:13" x14ac:dyDescent="0.25">
      <c r="A2824">
        <v>2003622</v>
      </c>
      <c r="B2824" t="s">
        <v>10114</v>
      </c>
      <c r="C2824" t="s">
        <v>2640</v>
      </c>
      <c r="D2824" s="254">
        <v>2264.7800000000002</v>
      </c>
      <c r="E2824"/>
      <c r="F2824"/>
      <c r="G2824"/>
      <c r="H2824"/>
      <c r="I2824" s="489"/>
      <c r="J2824" s="1095"/>
      <c r="K2824" s="1095"/>
      <c r="L2824" s="1095"/>
      <c r="M2824" s="1095"/>
    </row>
    <row r="2825" spans="1:13" x14ac:dyDescent="0.25">
      <c r="A2825">
        <v>2003621</v>
      </c>
      <c r="B2825" t="s">
        <v>10115</v>
      </c>
      <c r="C2825" t="s">
        <v>2640</v>
      </c>
      <c r="D2825" s="254">
        <v>2151.91</v>
      </c>
      <c r="E2825"/>
      <c r="F2825"/>
      <c r="G2825"/>
      <c r="H2825"/>
      <c r="I2825" s="489"/>
      <c r="J2825" s="1095"/>
      <c r="K2825" s="1095"/>
      <c r="L2825" s="1095"/>
      <c r="M2825" s="1095"/>
    </row>
    <row r="2826" spans="1:13" x14ac:dyDescent="0.25">
      <c r="A2826">
        <v>2003624</v>
      </c>
      <c r="B2826" t="s">
        <v>10116</v>
      </c>
      <c r="C2826" t="s">
        <v>2640</v>
      </c>
      <c r="D2826" s="254">
        <v>2610.52</v>
      </c>
      <c r="E2826"/>
      <c r="F2826"/>
      <c r="G2826"/>
      <c r="H2826"/>
      <c r="I2826" s="489"/>
      <c r="J2826" s="1095"/>
      <c r="K2826" s="1095"/>
      <c r="L2826" s="1095"/>
      <c r="M2826" s="1095"/>
    </row>
    <row r="2827" spans="1:13" x14ac:dyDescent="0.25">
      <c r="A2827">
        <v>2003623</v>
      </c>
      <c r="B2827" t="s">
        <v>10117</v>
      </c>
      <c r="C2827" t="s">
        <v>2640</v>
      </c>
      <c r="D2827" s="254">
        <v>2482.9499999999998</v>
      </c>
      <c r="E2827"/>
      <c r="F2827"/>
      <c r="G2827"/>
      <c r="H2827"/>
      <c r="I2827" s="489"/>
      <c r="J2827" s="1095"/>
      <c r="K2827" s="1095"/>
      <c r="L2827" s="1095"/>
      <c r="M2827" s="1095"/>
    </row>
    <row r="2828" spans="1:13" x14ac:dyDescent="0.25">
      <c r="A2828">
        <v>2003634</v>
      </c>
      <c r="B2828" t="s">
        <v>10118</v>
      </c>
      <c r="C2828" t="s">
        <v>2640</v>
      </c>
      <c r="D2828" s="254">
        <v>1644.48</v>
      </c>
      <c r="E2828"/>
      <c r="F2828"/>
      <c r="G2828"/>
      <c r="H2828"/>
      <c r="I2828" s="489"/>
      <c r="J2828" s="1095"/>
      <c r="K2828" s="1095"/>
      <c r="L2828" s="1095"/>
      <c r="M2828" s="1095"/>
    </row>
    <row r="2829" spans="1:13" x14ac:dyDescent="0.25">
      <c r="A2829">
        <v>2003633</v>
      </c>
      <c r="B2829" t="s">
        <v>10119</v>
      </c>
      <c r="C2829" t="s">
        <v>2640</v>
      </c>
      <c r="D2829" s="254">
        <v>1531.61</v>
      </c>
      <c r="E2829"/>
      <c r="F2829"/>
      <c r="G2829"/>
      <c r="H2829"/>
      <c r="I2829" s="489"/>
      <c r="J2829" s="1095"/>
      <c r="K2829" s="1095"/>
      <c r="L2829" s="1095"/>
      <c r="M2829" s="1095"/>
    </row>
    <row r="2830" spans="1:13" x14ac:dyDescent="0.25">
      <c r="A2830">
        <v>2003636</v>
      </c>
      <c r="B2830" t="s">
        <v>10120</v>
      </c>
      <c r="C2830" t="s">
        <v>2640</v>
      </c>
      <c r="D2830" s="254">
        <v>1990.22</v>
      </c>
      <c r="E2830"/>
      <c r="F2830"/>
      <c r="G2830"/>
      <c r="H2830"/>
      <c r="I2830" s="489"/>
      <c r="J2830" s="1095"/>
      <c r="K2830" s="1095"/>
      <c r="L2830" s="1095"/>
      <c r="M2830" s="1095"/>
    </row>
    <row r="2831" spans="1:13" x14ac:dyDescent="0.25">
      <c r="A2831">
        <v>2003635</v>
      </c>
      <c r="B2831" t="s">
        <v>10121</v>
      </c>
      <c r="C2831" t="s">
        <v>2640</v>
      </c>
      <c r="D2831" s="254">
        <v>1862.65</v>
      </c>
      <c r="E2831"/>
      <c r="F2831"/>
      <c r="G2831"/>
      <c r="H2831"/>
      <c r="I2831" s="489"/>
      <c r="J2831" s="1095"/>
      <c r="K2831" s="1095"/>
      <c r="L2831" s="1095"/>
      <c r="M2831" s="1095"/>
    </row>
    <row r="2832" spans="1:13" x14ac:dyDescent="0.25">
      <c r="A2832">
        <v>2003638</v>
      </c>
      <c r="B2832" t="s">
        <v>10122</v>
      </c>
      <c r="C2832" t="s">
        <v>2640</v>
      </c>
      <c r="D2832" s="254">
        <v>2341.11</v>
      </c>
      <c r="E2832"/>
      <c r="F2832"/>
      <c r="G2832"/>
      <c r="H2832"/>
      <c r="I2832" s="489"/>
      <c r="J2832" s="1095"/>
      <c r="K2832" s="1095"/>
      <c r="L2832" s="1095"/>
      <c r="M2832" s="1095"/>
    </row>
    <row r="2833" spans="1:13" x14ac:dyDescent="0.25">
      <c r="A2833">
        <v>2003637</v>
      </c>
      <c r="B2833" t="s">
        <v>10123</v>
      </c>
      <c r="C2833" t="s">
        <v>2640</v>
      </c>
      <c r="D2833" s="254">
        <v>2197.34</v>
      </c>
      <c r="E2833"/>
      <c r="F2833"/>
      <c r="G2833"/>
      <c r="H2833"/>
      <c r="I2833" s="489"/>
      <c r="J2833" s="1095"/>
      <c r="K2833" s="1095"/>
      <c r="L2833" s="1095"/>
      <c r="M2833" s="1095"/>
    </row>
    <row r="2834" spans="1:13" x14ac:dyDescent="0.25">
      <c r="A2834">
        <v>2003640</v>
      </c>
      <c r="B2834" t="s">
        <v>10124</v>
      </c>
      <c r="C2834" t="s">
        <v>2640</v>
      </c>
      <c r="D2834" s="254">
        <v>2686.86</v>
      </c>
      <c r="E2834"/>
      <c r="F2834"/>
      <c r="G2834"/>
      <c r="H2834"/>
      <c r="I2834" s="489"/>
      <c r="J2834" s="1095"/>
      <c r="K2834" s="1095"/>
      <c r="L2834" s="1095"/>
      <c r="M2834" s="1095"/>
    </row>
    <row r="2835" spans="1:13" x14ac:dyDescent="0.25">
      <c r="A2835">
        <v>2003639</v>
      </c>
      <c r="B2835" t="s">
        <v>10125</v>
      </c>
      <c r="C2835" t="s">
        <v>2640</v>
      </c>
      <c r="D2835" s="254">
        <v>2528.39</v>
      </c>
      <c r="E2835"/>
      <c r="F2835"/>
      <c r="G2835"/>
      <c r="H2835"/>
      <c r="I2835" s="489"/>
      <c r="J2835" s="1095"/>
      <c r="K2835" s="1095"/>
      <c r="L2835" s="1095"/>
      <c r="M2835" s="1095"/>
    </row>
    <row r="2836" spans="1:13" x14ac:dyDescent="0.25">
      <c r="A2836">
        <v>2003618</v>
      </c>
      <c r="B2836" t="s">
        <v>6278</v>
      </c>
      <c r="C2836" t="s">
        <v>2640</v>
      </c>
      <c r="D2836" s="254">
        <v>922.7</v>
      </c>
      <c r="E2836"/>
      <c r="F2836"/>
      <c r="G2836"/>
      <c r="H2836"/>
      <c r="I2836" s="489"/>
      <c r="J2836" s="1095"/>
      <c r="K2836" s="1095"/>
      <c r="L2836" s="1095"/>
      <c r="M2836" s="1095"/>
    </row>
    <row r="2837" spans="1:13" x14ac:dyDescent="0.25">
      <c r="A2837">
        <v>2003617</v>
      </c>
      <c r="B2837" t="s">
        <v>10126</v>
      </c>
      <c r="C2837" t="s">
        <v>2640</v>
      </c>
      <c r="D2837" s="254">
        <v>860.48</v>
      </c>
      <c r="E2837"/>
      <c r="F2837"/>
      <c r="G2837"/>
      <c r="H2837"/>
      <c r="I2837" s="489"/>
      <c r="J2837" s="1095"/>
      <c r="K2837" s="1095"/>
      <c r="L2837" s="1095"/>
      <c r="M2837" s="1095"/>
    </row>
    <row r="2838" spans="1:13" x14ac:dyDescent="0.25">
      <c r="A2838">
        <v>2003620</v>
      </c>
      <c r="B2838" t="s">
        <v>6279</v>
      </c>
      <c r="C2838" t="s">
        <v>2640</v>
      </c>
      <c r="D2838" s="254">
        <v>1133.7</v>
      </c>
      <c r="E2838"/>
      <c r="F2838"/>
      <c r="G2838"/>
      <c r="H2838"/>
      <c r="I2838" s="489"/>
      <c r="J2838" s="1095"/>
      <c r="K2838" s="1095"/>
      <c r="L2838" s="1095"/>
      <c r="M2838" s="1095"/>
    </row>
    <row r="2839" spans="1:13" x14ac:dyDescent="0.25">
      <c r="A2839">
        <v>2003619</v>
      </c>
      <c r="B2839" t="s">
        <v>10127</v>
      </c>
      <c r="C2839" t="s">
        <v>2640</v>
      </c>
      <c r="D2839" s="254">
        <v>1062.58</v>
      </c>
      <c r="E2839"/>
      <c r="F2839"/>
      <c r="G2839"/>
      <c r="H2839"/>
      <c r="I2839" s="489"/>
      <c r="J2839" s="1095"/>
      <c r="K2839" s="1095"/>
      <c r="L2839" s="1095"/>
      <c r="M2839" s="1095"/>
    </row>
    <row r="2840" spans="1:13" x14ac:dyDescent="0.25">
      <c r="A2840">
        <v>2003626</v>
      </c>
      <c r="B2840" t="s">
        <v>6321</v>
      </c>
      <c r="C2840" t="s">
        <v>2640</v>
      </c>
      <c r="D2840" s="254">
        <v>839.18</v>
      </c>
      <c r="E2840"/>
      <c r="F2840"/>
      <c r="G2840"/>
      <c r="H2840"/>
      <c r="I2840" s="489"/>
      <c r="J2840" s="1095"/>
      <c r="K2840" s="1095"/>
      <c r="L2840" s="1095"/>
      <c r="M2840" s="1095"/>
    </row>
    <row r="2841" spans="1:13" x14ac:dyDescent="0.25">
      <c r="A2841">
        <v>2003625</v>
      </c>
      <c r="B2841" t="s">
        <v>10128</v>
      </c>
      <c r="C2841" t="s">
        <v>2640</v>
      </c>
      <c r="D2841" s="254">
        <v>776.96</v>
      </c>
      <c r="E2841"/>
      <c r="F2841"/>
      <c r="G2841"/>
      <c r="H2841"/>
      <c r="I2841" s="489"/>
      <c r="J2841" s="1095"/>
      <c r="K2841" s="1095"/>
      <c r="L2841" s="1095"/>
      <c r="M2841" s="1095"/>
    </row>
    <row r="2842" spans="1:13" x14ac:dyDescent="0.25">
      <c r="A2842">
        <v>2003628</v>
      </c>
      <c r="B2842" t="s">
        <v>6322</v>
      </c>
      <c r="C2842" t="s">
        <v>2640</v>
      </c>
      <c r="D2842" s="254">
        <v>1050.18</v>
      </c>
      <c r="E2842"/>
      <c r="F2842"/>
      <c r="G2842"/>
      <c r="H2842"/>
      <c r="I2842" s="489"/>
      <c r="J2842" s="1095"/>
      <c r="K2842" s="1095"/>
      <c r="L2842" s="1095"/>
      <c r="M2842" s="1095"/>
    </row>
    <row r="2843" spans="1:13" x14ac:dyDescent="0.25">
      <c r="A2843">
        <v>2003627</v>
      </c>
      <c r="B2843" t="s">
        <v>10129</v>
      </c>
      <c r="C2843" t="s">
        <v>2640</v>
      </c>
      <c r="D2843" s="254">
        <v>979.07</v>
      </c>
      <c r="E2843"/>
      <c r="F2843"/>
      <c r="G2843"/>
      <c r="H2843"/>
      <c r="I2843" s="489"/>
      <c r="J2843" s="1095"/>
      <c r="K2843" s="1095"/>
      <c r="L2843" s="1095"/>
      <c r="M2843" s="1095"/>
    </row>
    <row r="2844" spans="1:13" x14ac:dyDescent="0.25">
      <c r="A2844">
        <v>2003630</v>
      </c>
      <c r="B2844" t="s">
        <v>6323</v>
      </c>
      <c r="C2844" t="s">
        <v>2640</v>
      </c>
      <c r="D2844" s="254">
        <v>1261.19</v>
      </c>
      <c r="E2844"/>
      <c r="F2844"/>
      <c r="G2844"/>
      <c r="H2844"/>
      <c r="I2844" s="489"/>
      <c r="J2844" s="1095"/>
      <c r="K2844" s="1095"/>
      <c r="L2844" s="1095"/>
      <c r="M2844" s="1095"/>
    </row>
    <row r="2845" spans="1:13" x14ac:dyDescent="0.25">
      <c r="A2845">
        <v>2003629</v>
      </c>
      <c r="B2845" t="s">
        <v>10130</v>
      </c>
      <c r="C2845" t="s">
        <v>2640</v>
      </c>
      <c r="D2845" s="254">
        <v>1181.17</v>
      </c>
      <c r="E2845"/>
      <c r="F2845"/>
      <c r="G2845"/>
      <c r="H2845"/>
      <c r="I2845" s="489"/>
      <c r="J2845" s="1095"/>
      <c r="K2845" s="1095"/>
      <c r="L2845" s="1095"/>
      <c r="M2845" s="1095"/>
    </row>
    <row r="2846" spans="1:13" x14ac:dyDescent="0.25">
      <c r="A2846">
        <v>2003632</v>
      </c>
      <c r="B2846" t="s">
        <v>6324</v>
      </c>
      <c r="C2846" t="s">
        <v>2640</v>
      </c>
      <c r="D2846" s="254">
        <v>1472.19</v>
      </c>
      <c r="E2846"/>
      <c r="F2846"/>
      <c r="G2846"/>
      <c r="H2846"/>
      <c r="I2846" s="489"/>
      <c r="J2846" s="1095"/>
      <c r="K2846" s="1095"/>
      <c r="L2846" s="1095"/>
      <c r="M2846" s="1095"/>
    </row>
    <row r="2847" spans="1:13" x14ac:dyDescent="0.25">
      <c r="A2847">
        <v>2003631</v>
      </c>
      <c r="B2847" t="s">
        <v>10131</v>
      </c>
      <c r="C2847" t="s">
        <v>2640</v>
      </c>
      <c r="D2847" s="254">
        <v>1383.27</v>
      </c>
      <c r="E2847"/>
      <c r="F2847"/>
      <c r="G2847"/>
      <c r="H2847"/>
      <c r="I2847" s="489"/>
      <c r="J2847" s="1095"/>
      <c r="K2847" s="1095"/>
      <c r="L2847" s="1095"/>
      <c r="M2847" s="1095"/>
    </row>
    <row r="2848" spans="1:13" x14ac:dyDescent="0.25">
      <c r="A2848">
        <v>2003599</v>
      </c>
      <c r="B2848" t="s">
        <v>10132</v>
      </c>
      <c r="C2848" t="s">
        <v>2640</v>
      </c>
      <c r="D2848" s="254">
        <v>188.99</v>
      </c>
      <c r="E2848"/>
      <c r="F2848"/>
      <c r="G2848"/>
      <c r="H2848"/>
      <c r="I2848" s="489"/>
      <c r="J2848" s="1095"/>
      <c r="K2848" s="1095"/>
      <c r="L2848" s="1095"/>
      <c r="M2848" s="1095"/>
    </row>
    <row r="2849" spans="1:13" x14ac:dyDescent="0.25">
      <c r="A2849">
        <v>2003598</v>
      </c>
      <c r="B2849" t="s">
        <v>10133</v>
      </c>
      <c r="C2849" t="s">
        <v>2640</v>
      </c>
      <c r="D2849" s="254">
        <v>166.63</v>
      </c>
      <c r="E2849"/>
      <c r="F2849"/>
      <c r="G2849"/>
      <c r="H2849"/>
      <c r="I2849" s="489"/>
      <c r="J2849" s="1095"/>
      <c r="K2849" s="1095"/>
      <c r="L2849" s="1095"/>
      <c r="M2849" s="1095"/>
    </row>
    <row r="2850" spans="1:13" x14ac:dyDescent="0.25">
      <c r="A2850">
        <v>2003919</v>
      </c>
      <c r="B2850" t="s">
        <v>10134</v>
      </c>
      <c r="C2850" t="s">
        <v>2640</v>
      </c>
      <c r="D2850" s="254">
        <v>188.99</v>
      </c>
      <c r="E2850"/>
      <c r="F2850"/>
      <c r="G2850"/>
      <c r="H2850"/>
      <c r="I2850" s="489"/>
      <c r="J2850" s="1095"/>
      <c r="K2850" s="1095"/>
      <c r="L2850" s="1095"/>
      <c r="M2850" s="1095"/>
    </row>
    <row r="2851" spans="1:13" x14ac:dyDescent="0.25">
      <c r="A2851">
        <v>2003918</v>
      </c>
      <c r="B2851" t="s">
        <v>10135</v>
      </c>
      <c r="C2851" t="s">
        <v>2640</v>
      </c>
      <c r="D2851" s="254">
        <v>166.63</v>
      </c>
      <c r="E2851"/>
      <c r="F2851"/>
      <c r="G2851"/>
      <c r="H2851"/>
      <c r="I2851" s="489"/>
      <c r="J2851" s="1095"/>
      <c r="K2851" s="1095"/>
      <c r="L2851" s="1095"/>
      <c r="M2851" s="1095"/>
    </row>
    <row r="2852" spans="1:13" x14ac:dyDescent="0.25">
      <c r="A2852">
        <v>2003601</v>
      </c>
      <c r="B2852" t="s">
        <v>10136</v>
      </c>
      <c r="C2852" t="s">
        <v>2640</v>
      </c>
      <c r="D2852" s="254">
        <v>237.58</v>
      </c>
      <c r="E2852"/>
      <c r="F2852"/>
      <c r="G2852"/>
      <c r="H2852"/>
      <c r="I2852" s="489"/>
      <c r="J2852" s="1095"/>
      <c r="K2852" s="1095"/>
      <c r="L2852" s="1095"/>
      <c r="M2852" s="1095"/>
    </row>
    <row r="2853" spans="1:13" x14ac:dyDescent="0.25">
      <c r="A2853">
        <v>2003600</v>
      </c>
      <c r="B2853" t="s">
        <v>10137</v>
      </c>
      <c r="C2853" t="s">
        <v>2640</v>
      </c>
      <c r="D2853" s="254">
        <v>208.34</v>
      </c>
      <c r="E2853"/>
      <c r="F2853"/>
      <c r="G2853"/>
      <c r="H2853"/>
      <c r="I2853" s="489"/>
      <c r="J2853" s="1095"/>
      <c r="K2853" s="1095"/>
      <c r="L2853" s="1095"/>
      <c r="M2853" s="1095"/>
    </row>
    <row r="2854" spans="1:13" x14ac:dyDescent="0.25">
      <c r="A2854">
        <v>2003921</v>
      </c>
      <c r="B2854" t="s">
        <v>7224</v>
      </c>
      <c r="C2854" t="s">
        <v>2640</v>
      </c>
      <c r="D2854" s="254">
        <v>237.58</v>
      </c>
      <c r="E2854"/>
      <c r="F2854"/>
      <c r="G2854"/>
      <c r="H2854"/>
      <c r="I2854" s="489"/>
      <c r="J2854" s="1095"/>
      <c r="K2854" s="1095"/>
      <c r="L2854" s="1095"/>
      <c r="M2854" s="1095"/>
    </row>
    <row r="2855" spans="1:13" x14ac:dyDescent="0.25">
      <c r="A2855">
        <v>2003920</v>
      </c>
      <c r="B2855" t="s">
        <v>10138</v>
      </c>
      <c r="C2855" t="s">
        <v>2640</v>
      </c>
      <c r="D2855" s="254">
        <v>208.34</v>
      </c>
      <c r="E2855"/>
      <c r="F2855"/>
      <c r="G2855"/>
      <c r="H2855"/>
      <c r="I2855" s="489"/>
      <c r="J2855" s="1095"/>
      <c r="K2855" s="1095"/>
      <c r="L2855" s="1095"/>
      <c r="M2855" s="1095"/>
    </row>
    <row r="2856" spans="1:13" x14ac:dyDescent="0.25">
      <c r="A2856">
        <v>2003616</v>
      </c>
      <c r="B2856" t="s">
        <v>10139</v>
      </c>
      <c r="C2856" t="s">
        <v>2640</v>
      </c>
      <c r="D2856" s="254">
        <v>20.72</v>
      </c>
      <c r="E2856"/>
      <c r="F2856"/>
      <c r="G2856"/>
      <c r="H2856"/>
      <c r="I2856" s="489"/>
      <c r="J2856" s="1095"/>
      <c r="K2856" s="1095"/>
      <c r="L2856" s="1095"/>
      <c r="M2856" s="1095"/>
    </row>
    <row r="2857" spans="1:13" x14ac:dyDescent="0.25">
      <c r="A2857">
        <v>2003615</v>
      </c>
      <c r="B2857" t="s">
        <v>10140</v>
      </c>
      <c r="C2857" t="s">
        <v>2640</v>
      </c>
      <c r="D2857" s="254">
        <v>17.559999999999999</v>
      </c>
      <c r="E2857"/>
      <c r="F2857"/>
      <c r="G2857"/>
      <c r="H2857"/>
      <c r="I2857" s="489"/>
      <c r="J2857" s="1095"/>
      <c r="K2857" s="1095"/>
      <c r="L2857" s="1095"/>
      <c r="M2857" s="1095"/>
    </row>
    <row r="2858" spans="1:13" x14ac:dyDescent="0.25">
      <c r="A2858">
        <v>2003927</v>
      </c>
      <c r="B2858" t="s">
        <v>10141</v>
      </c>
      <c r="C2858" t="s">
        <v>2640</v>
      </c>
      <c r="D2858" s="254">
        <v>21.5</v>
      </c>
      <c r="E2858"/>
      <c r="F2858"/>
      <c r="G2858"/>
      <c r="H2858"/>
      <c r="I2858" s="489"/>
      <c r="J2858" s="1095"/>
      <c r="K2858" s="1095"/>
      <c r="L2858" s="1095"/>
      <c r="M2858" s="1095"/>
    </row>
    <row r="2859" spans="1:13" x14ac:dyDescent="0.25">
      <c r="A2859">
        <v>2003926</v>
      </c>
      <c r="B2859" t="s">
        <v>10142</v>
      </c>
      <c r="C2859" t="s">
        <v>2640</v>
      </c>
      <c r="D2859" s="254">
        <v>18.34</v>
      </c>
      <c r="E2859"/>
      <c r="F2859"/>
      <c r="G2859"/>
      <c r="H2859"/>
      <c r="I2859" s="489"/>
      <c r="J2859" s="1095"/>
      <c r="K2859" s="1095"/>
      <c r="L2859" s="1095"/>
      <c r="M2859" s="1095"/>
    </row>
    <row r="2860" spans="1:13" x14ac:dyDescent="0.25">
      <c r="A2860">
        <v>2003613</v>
      </c>
      <c r="B2860" t="s">
        <v>13784</v>
      </c>
      <c r="C2860" t="s">
        <v>2640</v>
      </c>
      <c r="D2860" s="254">
        <v>134.32</v>
      </c>
      <c r="E2860"/>
      <c r="F2860"/>
      <c r="G2860"/>
      <c r="H2860"/>
      <c r="I2860" s="489"/>
      <c r="J2860" s="1095"/>
      <c r="K2860" s="1095"/>
      <c r="L2860" s="1095"/>
      <c r="M2860" s="1095"/>
    </row>
    <row r="2861" spans="1:13" x14ac:dyDescent="0.25">
      <c r="A2861">
        <v>2003612</v>
      </c>
      <c r="B2861" t="s">
        <v>13785</v>
      </c>
      <c r="C2861" t="s">
        <v>2640</v>
      </c>
      <c r="D2861" s="254">
        <v>120.57</v>
      </c>
      <c r="E2861"/>
      <c r="F2861"/>
      <c r="G2861"/>
      <c r="H2861"/>
      <c r="I2861" s="489"/>
      <c r="J2861" s="1095"/>
      <c r="K2861" s="1095"/>
      <c r="L2861" s="1095"/>
      <c r="M2861" s="1095"/>
    </row>
    <row r="2862" spans="1:13" x14ac:dyDescent="0.25">
      <c r="A2862">
        <v>2003477</v>
      </c>
      <c r="B2862" t="s">
        <v>4615</v>
      </c>
      <c r="C2862" t="s">
        <v>2640</v>
      </c>
      <c r="D2862" s="254">
        <v>3582.78</v>
      </c>
      <c r="E2862"/>
      <c r="F2862"/>
      <c r="G2862"/>
      <c r="H2862"/>
      <c r="I2862" s="489"/>
      <c r="J2862" s="1095"/>
      <c r="K2862" s="1095"/>
      <c r="L2862" s="1095"/>
      <c r="M2862" s="1095"/>
    </row>
    <row r="2863" spans="1:13" x14ac:dyDescent="0.25">
      <c r="A2863">
        <v>2003476</v>
      </c>
      <c r="B2863" t="s">
        <v>10143</v>
      </c>
      <c r="C2863" t="s">
        <v>2640</v>
      </c>
      <c r="D2863" s="254">
        <v>3254.55</v>
      </c>
      <c r="E2863"/>
      <c r="F2863"/>
      <c r="G2863"/>
      <c r="H2863"/>
      <c r="I2863" s="489"/>
      <c r="J2863" s="1095"/>
      <c r="K2863" s="1095"/>
      <c r="L2863" s="1095"/>
      <c r="M2863" s="1095"/>
    </row>
    <row r="2864" spans="1:13" x14ac:dyDescent="0.25">
      <c r="A2864">
        <v>2003517</v>
      </c>
      <c r="B2864" t="s">
        <v>10144</v>
      </c>
      <c r="C2864" t="s">
        <v>2640</v>
      </c>
      <c r="D2864" s="254">
        <v>3892.59</v>
      </c>
      <c r="E2864"/>
      <c r="F2864"/>
      <c r="G2864"/>
      <c r="H2864"/>
      <c r="I2864" s="489"/>
      <c r="J2864" s="1095"/>
      <c r="K2864" s="1095"/>
      <c r="L2864" s="1095"/>
      <c r="M2864" s="1095"/>
    </row>
    <row r="2865" spans="1:13" x14ac:dyDescent="0.25">
      <c r="A2865">
        <v>2003516</v>
      </c>
      <c r="B2865" t="s">
        <v>10145</v>
      </c>
      <c r="C2865" t="s">
        <v>2640</v>
      </c>
      <c r="D2865" s="254">
        <v>3577.28</v>
      </c>
      <c r="E2865"/>
      <c r="F2865"/>
      <c r="G2865"/>
      <c r="H2865"/>
      <c r="I2865" s="489"/>
      <c r="J2865" s="1095"/>
      <c r="K2865" s="1095"/>
      <c r="L2865" s="1095"/>
      <c r="M2865" s="1095"/>
    </row>
    <row r="2866" spans="1:13" x14ac:dyDescent="0.25">
      <c r="A2866">
        <v>2003479</v>
      </c>
      <c r="B2866" t="s">
        <v>5155</v>
      </c>
      <c r="C2866" t="s">
        <v>2640</v>
      </c>
      <c r="D2866" s="254">
        <v>3537.83</v>
      </c>
      <c r="E2866"/>
      <c r="F2866"/>
      <c r="G2866"/>
      <c r="H2866"/>
      <c r="I2866" s="489"/>
      <c r="J2866" s="1095"/>
      <c r="K2866" s="1095"/>
      <c r="L2866" s="1095"/>
      <c r="M2866" s="1095"/>
    </row>
    <row r="2867" spans="1:13" x14ac:dyDescent="0.25">
      <c r="A2867">
        <v>2003478</v>
      </c>
      <c r="B2867" t="s">
        <v>10146</v>
      </c>
      <c r="C2867" t="s">
        <v>2640</v>
      </c>
      <c r="D2867" s="254">
        <v>3223.93</v>
      </c>
      <c r="E2867"/>
      <c r="F2867"/>
      <c r="G2867"/>
      <c r="H2867"/>
      <c r="I2867" s="489"/>
      <c r="J2867" s="1095"/>
      <c r="K2867" s="1095"/>
      <c r="L2867" s="1095"/>
      <c r="M2867" s="1095"/>
    </row>
    <row r="2868" spans="1:13" x14ac:dyDescent="0.25">
      <c r="A2868">
        <v>2003519</v>
      </c>
      <c r="B2868" t="s">
        <v>10147</v>
      </c>
      <c r="C2868" t="s">
        <v>2640</v>
      </c>
      <c r="D2868" s="254">
        <v>3847.63</v>
      </c>
      <c r="E2868"/>
      <c r="F2868"/>
      <c r="G2868"/>
      <c r="H2868"/>
      <c r="I2868" s="489"/>
      <c r="J2868" s="1095"/>
      <c r="K2868" s="1095"/>
      <c r="L2868" s="1095"/>
      <c r="M2868" s="1095"/>
    </row>
    <row r="2869" spans="1:13" x14ac:dyDescent="0.25">
      <c r="A2869">
        <v>2003518</v>
      </c>
      <c r="B2869" t="s">
        <v>10148</v>
      </c>
      <c r="C2869" t="s">
        <v>2640</v>
      </c>
      <c r="D2869" s="254">
        <v>3546.66</v>
      </c>
      <c r="E2869"/>
      <c r="F2869"/>
      <c r="G2869"/>
      <c r="H2869"/>
      <c r="I2869" s="489"/>
      <c r="J2869" s="1095"/>
      <c r="K2869" s="1095"/>
      <c r="L2869" s="1095"/>
      <c r="M2869" s="1095"/>
    </row>
    <row r="2870" spans="1:13" x14ac:dyDescent="0.25">
      <c r="A2870">
        <v>2003481</v>
      </c>
      <c r="B2870" t="s">
        <v>5156</v>
      </c>
      <c r="C2870" t="s">
        <v>2640</v>
      </c>
      <c r="D2870" s="254">
        <v>3492.87</v>
      </c>
      <c r="E2870"/>
      <c r="F2870"/>
      <c r="G2870"/>
      <c r="H2870"/>
      <c r="I2870" s="489"/>
      <c r="J2870" s="1095"/>
      <c r="K2870" s="1095"/>
      <c r="L2870" s="1095"/>
      <c r="M2870" s="1095"/>
    </row>
    <row r="2871" spans="1:13" x14ac:dyDescent="0.25">
      <c r="A2871">
        <v>2003480</v>
      </c>
      <c r="B2871" t="s">
        <v>10149</v>
      </c>
      <c r="C2871" t="s">
        <v>2640</v>
      </c>
      <c r="D2871" s="254">
        <v>3193.3</v>
      </c>
      <c r="E2871"/>
      <c r="F2871"/>
      <c r="G2871"/>
      <c r="H2871"/>
      <c r="I2871" s="489"/>
      <c r="J2871" s="1095"/>
      <c r="K2871" s="1095"/>
      <c r="L2871" s="1095"/>
      <c r="M2871" s="1095"/>
    </row>
    <row r="2872" spans="1:13" x14ac:dyDescent="0.25">
      <c r="A2872">
        <v>2003521</v>
      </c>
      <c r="B2872" t="s">
        <v>10150</v>
      </c>
      <c r="C2872" t="s">
        <v>2640</v>
      </c>
      <c r="D2872" s="254">
        <v>3802.67</v>
      </c>
      <c r="E2872"/>
      <c r="F2872"/>
      <c r="G2872"/>
      <c r="H2872"/>
      <c r="I2872" s="489"/>
      <c r="J2872" s="1095"/>
      <c r="K2872" s="1095"/>
      <c r="L2872" s="1095"/>
      <c r="M2872" s="1095"/>
    </row>
    <row r="2873" spans="1:13" x14ac:dyDescent="0.25">
      <c r="A2873">
        <v>2003520</v>
      </c>
      <c r="B2873" t="s">
        <v>10151</v>
      </c>
      <c r="C2873" t="s">
        <v>2640</v>
      </c>
      <c r="D2873" s="254">
        <v>3516.03</v>
      </c>
      <c r="E2873"/>
      <c r="F2873"/>
      <c r="G2873"/>
      <c r="H2873"/>
      <c r="I2873" s="489"/>
      <c r="J2873" s="1095"/>
      <c r="K2873" s="1095"/>
      <c r="L2873" s="1095"/>
      <c r="M2873" s="1095"/>
    </row>
    <row r="2874" spans="1:13" x14ac:dyDescent="0.25">
      <c r="A2874">
        <v>2003483</v>
      </c>
      <c r="B2874" t="s">
        <v>5157</v>
      </c>
      <c r="C2874" t="s">
        <v>2640</v>
      </c>
      <c r="D2874" s="254">
        <v>3447.91</v>
      </c>
      <c r="E2874"/>
      <c r="F2874"/>
      <c r="G2874"/>
      <c r="H2874"/>
      <c r="I2874" s="489"/>
      <c r="J2874" s="1095"/>
      <c r="K2874" s="1095"/>
      <c r="L2874" s="1095"/>
      <c r="M2874" s="1095"/>
    </row>
    <row r="2875" spans="1:13" x14ac:dyDescent="0.25">
      <c r="A2875">
        <v>2003482</v>
      </c>
      <c r="B2875" t="s">
        <v>10152</v>
      </c>
      <c r="C2875" t="s">
        <v>2640</v>
      </c>
      <c r="D2875" s="254">
        <v>3162.68</v>
      </c>
      <c r="E2875"/>
      <c r="F2875"/>
      <c r="G2875"/>
      <c r="H2875"/>
      <c r="I2875" s="489"/>
      <c r="J2875" s="1095"/>
      <c r="K2875" s="1095"/>
      <c r="L2875" s="1095"/>
      <c r="M2875" s="1095"/>
    </row>
    <row r="2876" spans="1:13" x14ac:dyDescent="0.25">
      <c r="A2876">
        <v>2003523</v>
      </c>
      <c r="B2876" t="s">
        <v>10153</v>
      </c>
      <c r="C2876" t="s">
        <v>2640</v>
      </c>
      <c r="D2876" s="254">
        <v>3757.72</v>
      </c>
      <c r="E2876"/>
      <c r="F2876"/>
      <c r="G2876"/>
      <c r="H2876"/>
      <c r="I2876" s="489"/>
      <c r="J2876" s="1095"/>
      <c r="K2876" s="1095"/>
      <c r="L2876" s="1095"/>
      <c r="M2876" s="1095"/>
    </row>
    <row r="2877" spans="1:13" x14ac:dyDescent="0.25">
      <c r="A2877">
        <v>2003522</v>
      </c>
      <c r="B2877" t="s">
        <v>10154</v>
      </c>
      <c r="C2877" t="s">
        <v>2640</v>
      </c>
      <c r="D2877" s="254">
        <v>3485.41</v>
      </c>
      <c r="E2877"/>
      <c r="F2877"/>
      <c r="G2877"/>
      <c r="H2877"/>
      <c r="I2877" s="489"/>
      <c r="J2877" s="1095"/>
      <c r="K2877" s="1095"/>
      <c r="L2877" s="1095"/>
      <c r="M2877" s="1095"/>
    </row>
    <row r="2878" spans="1:13" x14ac:dyDescent="0.25">
      <c r="A2878">
        <v>2003485</v>
      </c>
      <c r="B2878" t="s">
        <v>10155</v>
      </c>
      <c r="C2878" t="s">
        <v>2640</v>
      </c>
      <c r="D2878" s="254">
        <v>4616.83</v>
      </c>
      <c r="E2878"/>
      <c r="F2878"/>
      <c r="G2878"/>
      <c r="H2878"/>
      <c r="I2878" s="489"/>
      <c r="J2878" s="1095"/>
      <c r="K2878" s="1095"/>
      <c r="L2878" s="1095"/>
      <c r="M2878" s="1095"/>
    </row>
    <row r="2879" spans="1:13" x14ac:dyDescent="0.25">
      <c r="A2879">
        <v>2003484</v>
      </c>
      <c r="B2879" t="s">
        <v>10156</v>
      </c>
      <c r="C2879" t="s">
        <v>2640</v>
      </c>
      <c r="D2879" s="254">
        <v>4209.7700000000004</v>
      </c>
      <c r="E2879"/>
      <c r="F2879"/>
      <c r="G2879"/>
      <c r="H2879"/>
      <c r="I2879" s="489"/>
      <c r="J2879" s="1095"/>
      <c r="K2879" s="1095"/>
      <c r="L2879" s="1095"/>
      <c r="M2879" s="1095"/>
    </row>
    <row r="2880" spans="1:13" x14ac:dyDescent="0.25">
      <c r="A2880">
        <v>2003525</v>
      </c>
      <c r="B2880" t="s">
        <v>10157</v>
      </c>
      <c r="C2880" t="s">
        <v>2640</v>
      </c>
      <c r="D2880" s="254">
        <v>4926.63</v>
      </c>
      <c r="E2880"/>
      <c r="F2880"/>
      <c r="G2880"/>
      <c r="H2880"/>
      <c r="I2880" s="489"/>
      <c r="J2880" s="1095"/>
      <c r="K2880" s="1095"/>
      <c r="L2880" s="1095"/>
      <c r="M2880" s="1095"/>
    </row>
    <row r="2881" spans="1:13" x14ac:dyDescent="0.25">
      <c r="A2881">
        <v>2003524</v>
      </c>
      <c r="B2881" t="s">
        <v>10158</v>
      </c>
      <c r="C2881" t="s">
        <v>2640</v>
      </c>
      <c r="D2881" s="254">
        <v>4532.5</v>
      </c>
      <c r="E2881"/>
      <c r="F2881"/>
      <c r="G2881"/>
      <c r="H2881"/>
      <c r="I2881" s="489"/>
      <c r="J2881" s="1095"/>
      <c r="K2881" s="1095"/>
      <c r="L2881" s="1095"/>
      <c r="M2881" s="1095"/>
    </row>
    <row r="2882" spans="1:13" x14ac:dyDescent="0.25">
      <c r="A2882">
        <v>2003487</v>
      </c>
      <c r="B2882" t="s">
        <v>10159</v>
      </c>
      <c r="C2882" t="s">
        <v>2640</v>
      </c>
      <c r="D2882" s="254">
        <v>4571.87</v>
      </c>
      <c r="E2882"/>
      <c r="F2882"/>
      <c r="G2882"/>
      <c r="H2882"/>
      <c r="I2882" s="489"/>
      <c r="J2882" s="1095"/>
      <c r="K2882" s="1095"/>
      <c r="L2882" s="1095"/>
      <c r="M2882" s="1095"/>
    </row>
    <row r="2883" spans="1:13" x14ac:dyDescent="0.25">
      <c r="A2883">
        <v>2003486</v>
      </c>
      <c r="B2883" t="s">
        <v>10160</v>
      </c>
      <c r="C2883" t="s">
        <v>2640</v>
      </c>
      <c r="D2883" s="254">
        <v>4179.1499999999996</v>
      </c>
      <c r="E2883"/>
      <c r="F2883"/>
      <c r="G2883"/>
      <c r="H2883"/>
      <c r="I2883" s="489"/>
      <c r="J2883" s="1095"/>
      <c r="K2883" s="1095"/>
      <c r="L2883" s="1095"/>
      <c r="M2883" s="1095"/>
    </row>
    <row r="2884" spans="1:13" x14ac:dyDescent="0.25">
      <c r="A2884">
        <v>2003527</v>
      </c>
      <c r="B2884" t="s">
        <v>10161</v>
      </c>
      <c r="C2884" t="s">
        <v>2640</v>
      </c>
      <c r="D2884" s="254">
        <v>4881.67</v>
      </c>
      <c r="E2884"/>
      <c r="F2884"/>
      <c r="G2884"/>
      <c r="H2884"/>
      <c r="I2884" s="489"/>
      <c r="J2884" s="1095"/>
      <c r="K2884" s="1095"/>
      <c r="L2884" s="1095"/>
      <c r="M2884" s="1095"/>
    </row>
    <row r="2885" spans="1:13" x14ac:dyDescent="0.25">
      <c r="A2885">
        <v>2003526</v>
      </c>
      <c r="B2885" t="s">
        <v>10162</v>
      </c>
      <c r="C2885" t="s">
        <v>2640</v>
      </c>
      <c r="D2885" s="254">
        <v>4501.87</v>
      </c>
      <c r="E2885"/>
      <c r="F2885"/>
      <c r="G2885"/>
      <c r="H2885"/>
      <c r="I2885" s="489"/>
      <c r="J2885" s="1095"/>
      <c r="K2885" s="1095"/>
      <c r="L2885" s="1095"/>
      <c r="M2885" s="1095"/>
    </row>
    <row r="2886" spans="1:13" x14ac:dyDescent="0.25">
      <c r="A2886">
        <v>2003489</v>
      </c>
      <c r="B2886" t="s">
        <v>10163</v>
      </c>
      <c r="C2886" t="s">
        <v>2640</v>
      </c>
      <c r="D2886" s="254">
        <v>4526.91</v>
      </c>
      <c r="E2886"/>
      <c r="F2886"/>
      <c r="G2886"/>
      <c r="H2886"/>
      <c r="I2886" s="489"/>
      <c r="J2886" s="1095"/>
      <c r="K2886" s="1095"/>
      <c r="L2886" s="1095"/>
      <c r="M2886" s="1095"/>
    </row>
    <row r="2887" spans="1:13" x14ac:dyDescent="0.25">
      <c r="A2887">
        <v>2003488</v>
      </c>
      <c r="B2887" t="s">
        <v>10164</v>
      </c>
      <c r="C2887" t="s">
        <v>2640</v>
      </c>
      <c r="D2887" s="254">
        <v>4148.5200000000004</v>
      </c>
      <c r="E2887"/>
      <c r="F2887"/>
      <c r="G2887"/>
      <c r="H2887"/>
      <c r="I2887" s="489"/>
      <c r="J2887" s="1095"/>
      <c r="K2887" s="1095"/>
      <c r="L2887" s="1095"/>
      <c r="M2887" s="1095"/>
    </row>
    <row r="2888" spans="1:13" x14ac:dyDescent="0.25">
      <c r="A2888">
        <v>2003529</v>
      </c>
      <c r="B2888" t="s">
        <v>10165</v>
      </c>
      <c r="C2888" t="s">
        <v>2640</v>
      </c>
      <c r="D2888" s="254">
        <v>4836.72</v>
      </c>
      <c r="E2888"/>
      <c r="F2888"/>
      <c r="G2888"/>
      <c r="H2888"/>
      <c r="I2888" s="489"/>
      <c r="J2888" s="1095"/>
      <c r="K2888" s="1095"/>
      <c r="L2888" s="1095"/>
      <c r="M2888" s="1095"/>
    </row>
    <row r="2889" spans="1:13" x14ac:dyDescent="0.25">
      <c r="A2889">
        <v>2003528</v>
      </c>
      <c r="B2889" t="s">
        <v>10166</v>
      </c>
      <c r="C2889" t="s">
        <v>2640</v>
      </c>
      <c r="D2889" s="254">
        <v>4471.25</v>
      </c>
      <c r="E2889"/>
      <c r="F2889"/>
      <c r="G2889"/>
      <c r="H2889"/>
      <c r="I2889" s="489"/>
      <c r="J2889" s="1095"/>
      <c r="K2889" s="1095"/>
      <c r="L2889" s="1095"/>
      <c r="M2889" s="1095"/>
    </row>
    <row r="2890" spans="1:13" x14ac:dyDescent="0.25">
      <c r="A2890">
        <v>2003491</v>
      </c>
      <c r="B2890" t="s">
        <v>10167</v>
      </c>
      <c r="C2890" t="s">
        <v>2640</v>
      </c>
      <c r="D2890" s="254">
        <v>4481.96</v>
      </c>
      <c r="E2890"/>
      <c r="F2890"/>
      <c r="G2890"/>
      <c r="H2890"/>
      <c r="I2890" s="489"/>
      <c r="J2890" s="1095"/>
      <c r="K2890" s="1095"/>
      <c r="L2890" s="1095"/>
      <c r="M2890" s="1095"/>
    </row>
    <row r="2891" spans="1:13" x14ac:dyDescent="0.25">
      <c r="A2891">
        <v>2003490</v>
      </c>
      <c r="B2891" t="s">
        <v>10168</v>
      </c>
      <c r="C2891" t="s">
        <v>2640</v>
      </c>
      <c r="D2891" s="254">
        <v>4117.8999999999996</v>
      </c>
      <c r="E2891"/>
      <c r="F2891"/>
      <c r="G2891"/>
      <c r="H2891"/>
      <c r="I2891" s="489"/>
      <c r="J2891" s="1095"/>
      <c r="K2891" s="1095"/>
      <c r="L2891" s="1095"/>
      <c r="M2891" s="1095"/>
    </row>
    <row r="2892" spans="1:13" x14ac:dyDescent="0.25">
      <c r="A2892">
        <v>2003531</v>
      </c>
      <c r="B2892" t="s">
        <v>10169</v>
      </c>
      <c r="C2892" t="s">
        <v>2640</v>
      </c>
      <c r="D2892" s="254">
        <v>4791.76</v>
      </c>
      <c r="E2892"/>
      <c r="F2892"/>
      <c r="G2892"/>
      <c r="H2892"/>
      <c r="I2892" s="489"/>
      <c r="J2892" s="1095"/>
      <c r="K2892" s="1095"/>
      <c r="L2892" s="1095"/>
      <c r="M2892" s="1095"/>
    </row>
    <row r="2893" spans="1:13" x14ac:dyDescent="0.25">
      <c r="A2893">
        <v>2003530</v>
      </c>
      <c r="B2893" t="s">
        <v>10170</v>
      </c>
      <c r="C2893" t="s">
        <v>2640</v>
      </c>
      <c r="D2893" s="254">
        <v>4440.62</v>
      </c>
      <c r="E2893"/>
      <c r="F2893"/>
      <c r="G2893"/>
      <c r="H2893"/>
      <c r="I2893" s="489"/>
      <c r="J2893" s="1095"/>
      <c r="K2893" s="1095"/>
      <c r="L2893" s="1095"/>
      <c r="M2893" s="1095"/>
    </row>
    <row r="2894" spans="1:13" x14ac:dyDescent="0.25">
      <c r="A2894">
        <v>2003493</v>
      </c>
      <c r="B2894" t="s">
        <v>10171</v>
      </c>
      <c r="C2894" t="s">
        <v>2640</v>
      </c>
      <c r="D2894" s="254">
        <v>5497.27</v>
      </c>
      <c r="E2894"/>
      <c r="F2894"/>
      <c r="G2894"/>
      <c r="H2894"/>
      <c r="I2894" s="489"/>
      <c r="J2894" s="1095"/>
      <c r="K2894" s="1095"/>
      <c r="L2894" s="1095"/>
      <c r="M2894" s="1095"/>
    </row>
    <row r="2895" spans="1:13" x14ac:dyDescent="0.25">
      <c r="A2895">
        <v>2003492</v>
      </c>
      <c r="B2895" t="s">
        <v>10172</v>
      </c>
      <c r="C2895" t="s">
        <v>2640</v>
      </c>
      <c r="D2895" s="254">
        <v>5011.3900000000003</v>
      </c>
      <c r="E2895"/>
      <c r="F2895"/>
      <c r="G2895"/>
      <c r="H2895"/>
      <c r="I2895" s="489"/>
      <c r="J2895" s="1095"/>
      <c r="K2895" s="1095"/>
      <c r="L2895" s="1095"/>
      <c r="M2895" s="1095"/>
    </row>
    <row r="2896" spans="1:13" x14ac:dyDescent="0.25">
      <c r="A2896">
        <v>2003533</v>
      </c>
      <c r="B2896" t="s">
        <v>10173</v>
      </c>
      <c r="C2896" t="s">
        <v>2640</v>
      </c>
      <c r="D2896" s="254">
        <v>5807.07</v>
      </c>
      <c r="E2896"/>
      <c r="F2896"/>
      <c r="G2896"/>
      <c r="H2896"/>
      <c r="I2896" s="489"/>
      <c r="J2896" s="1095"/>
      <c r="K2896" s="1095"/>
      <c r="L2896" s="1095"/>
      <c r="M2896" s="1095"/>
    </row>
    <row r="2897" spans="1:13" x14ac:dyDescent="0.25">
      <c r="A2897">
        <v>2003532</v>
      </c>
      <c r="B2897" t="s">
        <v>10174</v>
      </c>
      <c r="C2897" t="s">
        <v>2640</v>
      </c>
      <c r="D2897" s="254">
        <v>5334.12</v>
      </c>
      <c r="E2897"/>
      <c r="F2897"/>
      <c r="G2897"/>
      <c r="H2897"/>
      <c r="I2897" s="489"/>
      <c r="J2897" s="1095"/>
      <c r="K2897" s="1095"/>
      <c r="L2897" s="1095"/>
      <c r="M2897" s="1095"/>
    </row>
    <row r="2898" spans="1:13" x14ac:dyDescent="0.25">
      <c r="A2898">
        <v>2003495</v>
      </c>
      <c r="B2898" t="s">
        <v>10175</v>
      </c>
      <c r="C2898" t="s">
        <v>2640</v>
      </c>
      <c r="D2898" s="254">
        <v>5452.31</v>
      </c>
      <c r="E2898"/>
      <c r="F2898"/>
      <c r="G2898"/>
      <c r="H2898"/>
      <c r="I2898" s="489"/>
      <c r="J2898" s="1095"/>
      <c r="K2898" s="1095"/>
      <c r="L2898" s="1095"/>
      <c r="M2898" s="1095"/>
    </row>
    <row r="2899" spans="1:13" x14ac:dyDescent="0.25">
      <c r="A2899">
        <v>2003494</v>
      </c>
      <c r="B2899" t="s">
        <v>10176</v>
      </c>
      <c r="C2899" t="s">
        <v>2640</v>
      </c>
      <c r="D2899" s="254">
        <v>4980.76</v>
      </c>
      <c r="E2899"/>
      <c r="F2899"/>
      <c r="G2899"/>
      <c r="H2899"/>
      <c r="I2899" s="489"/>
      <c r="J2899" s="1095"/>
      <c r="K2899" s="1095"/>
      <c r="L2899" s="1095"/>
      <c r="M2899" s="1095"/>
    </row>
    <row r="2900" spans="1:13" x14ac:dyDescent="0.25">
      <c r="A2900">
        <v>2003535</v>
      </c>
      <c r="B2900" t="s">
        <v>10177</v>
      </c>
      <c r="C2900" t="s">
        <v>2640</v>
      </c>
      <c r="D2900" s="254">
        <v>5762.11</v>
      </c>
      <c r="E2900"/>
      <c r="F2900"/>
      <c r="G2900"/>
      <c r="H2900"/>
      <c r="I2900" s="489"/>
      <c r="J2900" s="1095"/>
      <c r="K2900" s="1095"/>
      <c r="L2900" s="1095"/>
      <c r="M2900" s="1095"/>
    </row>
    <row r="2901" spans="1:13" x14ac:dyDescent="0.25">
      <c r="A2901">
        <v>2003534</v>
      </c>
      <c r="B2901" t="s">
        <v>10178</v>
      </c>
      <c r="C2901" t="s">
        <v>2640</v>
      </c>
      <c r="D2901" s="254">
        <v>5303.49</v>
      </c>
      <c r="E2901"/>
      <c r="F2901"/>
      <c r="G2901"/>
      <c r="H2901"/>
      <c r="I2901" s="489"/>
      <c r="J2901" s="1095"/>
      <c r="K2901" s="1095"/>
      <c r="L2901" s="1095"/>
      <c r="M2901" s="1095"/>
    </row>
    <row r="2902" spans="1:13" x14ac:dyDescent="0.25">
      <c r="A2902">
        <v>2003497</v>
      </c>
      <c r="B2902" t="s">
        <v>10179</v>
      </c>
      <c r="C2902" t="s">
        <v>2640</v>
      </c>
      <c r="D2902" s="254">
        <v>5407.35</v>
      </c>
      <c r="E2902"/>
      <c r="F2902"/>
      <c r="G2902"/>
      <c r="H2902"/>
      <c r="I2902" s="489"/>
      <c r="J2902" s="1095"/>
      <c r="K2902" s="1095"/>
      <c r="L2902" s="1095"/>
      <c r="M2902" s="1095"/>
    </row>
    <row r="2903" spans="1:13" x14ac:dyDescent="0.25">
      <c r="A2903">
        <v>2003496</v>
      </c>
      <c r="B2903" t="s">
        <v>10180</v>
      </c>
      <c r="C2903" t="s">
        <v>2640</v>
      </c>
      <c r="D2903" s="254">
        <v>4950.1400000000003</v>
      </c>
      <c r="E2903"/>
      <c r="F2903"/>
      <c r="G2903"/>
      <c r="H2903"/>
      <c r="I2903" s="489"/>
      <c r="J2903" s="1095"/>
      <c r="K2903" s="1095"/>
      <c r="L2903" s="1095"/>
      <c r="M2903" s="1095"/>
    </row>
    <row r="2904" spans="1:13" x14ac:dyDescent="0.25">
      <c r="A2904">
        <v>2003537</v>
      </c>
      <c r="B2904" t="s">
        <v>10181</v>
      </c>
      <c r="C2904" t="s">
        <v>2640</v>
      </c>
      <c r="D2904" s="254">
        <v>5717.16</v>
      </c>
      <c r="E2904"/>
      <c r="F2904"/>
      <c r="G2904"/>
      <c r="H2904"/>
      <c r="I2904" s="489"/>
      <c r="J2904" s="1095"/>
      <c r="K2904" s="1095"/>
      <c r="L2904" s="1095"/>
      <c r="M2904" s="1095"/>
    </row>
    <row r="2905" spans="1:13" x14ac:dyDescent="0.25">
      <c r="A2905">
        <v>2003536</v>
      </c>
      <c r="B2905" t="s">
        <v>10182</v>
      </c>
      <c r="C2905" t="s">
        <v>2640</v>
      </c>
      <c r="D2905" s="254">
        <v>5272.87</v>
      </c>
      <c r="E2905"/>
      <c r="F2905"/>
      <c r="G2905"/>
      <c r="H2905"/>
      <c r="I2905" s="489"/>
      <c r="J2905" s="1095"/>
      <c r="K2905" s="1095"/>
      <c r="L2905" s="1095"/>
      <c r="M2905" s="1095"/>
    </row>
    <row r="2906" spans="1:13" x14ac:dyDescent="0.25">
      <c r="A2906">
        <v>2003499</v>
      </c>
      <c r="B2906" t="s">
        <v>10183</v>
      </c>
      <c r="C2906" t="s">
        <v>2640</v>
      </c>
      <c r="D2906" s="254">
        <v>5362.4</v>
      </c>
      <c r="E2906"/>
      <c r="F2906"/>
      <c r="G2906"/>
      <c r="H2906"/>
      <c r="I2906" s="489"/>
      <c r="J2906" s="1095"/>
      <c r="K2906" s="1095"/>
      <c r="L2906" s="1095"/>
      <c r="M2906" s="1095"/>
    </row>
    <row r="2907" spans="1:13" x14ac:dyDescent="0.25">
      <c r="A2907">
        <v>2003498</v>
      </c>
      <c r="B2907" t="s">
        <v>10184</v>
      </c>
      <c r="C2907" t="s">
        <v>2640</v>
      </c>
      <c r="D2907" s="254">
        <v>4919.51</v>
      </c>
      <c r="E2907"/>
      <c r="F2907"/>
      <c r="G2907"/>
      <c r="H2907"/>
      <c r="I2907" s="489"/>
      <c r="J2907" s="1095"/>
      <c r="K2907" s="1095"/>
      <c r="L2907" s="1095"/>
      <c r="M2907" s="1095"/>
    </row>
    <row r="2908" spans="1:13" x14ac:dyDescent="0.25">
      <c r="A2908">
        <v>2003539</v>
      </c>
      <c r="B2908" t="s">
        <v>10185</v>
      </c>
      <c r="C2908" t="s">
        <v>2640</v>
      </c>
      <c r="D2908" s="254">
        <v>5627.24</v>
      </c>
      <c r="E2908"/>
      <c r="F2908"/>
      <c r="G2908"/>
      <c r="H2908"/>
      <c r="I2908" s="489"/>
      <c r="J2908" s="1095"/>
      <c r="K2908" s="1095"/>
      <c r="L2908" s="1095"/>
      <c r="M2908" s="1095"/>
    </row>
    <row r="2909" spans="1:13" x14ac:dyDescent="0.25">
      <c r="A2909">
        <v>2003538</v>
      </c>
      <c r="B2909" t="s">
        <v>10186</v>
      </c>
      <c r="C2909" t="s">
        <v>2640</v>
      </c>
      <c r="D2909" s="254">
        <v>5211.62</v>
      </c>
      <c r="E2909"/>
      <c r="F2909"/>
      <c r="G2909"/>
      <c r="H2909"/>
      <c r="I2909" s="489"/>
      <c r="J2909" s="1095"/>
      <c r="K2909" s="1095"/>
      <c r="L2909" s="1095"/>
      <c r="M2909" s="1095"/>
    </row>
    <row r="2910" spans="1:13" x14ac:dyDescent="0.25">
      <c r="A2910">
        <v>2003501</v>
      </c>
      <c r="B2910" t="s">
        <v>10187</v>
      </c>
      <c r="C2910" t="s">
        <v>2640</v>
      </c>
      <c r="D2910" s="254">
        <v>6582.52</v>
      </c>
      <c r="E2910"/>
      <c r="F2910"/>
      <c r="G2910"/>
      <c r="H2910"/>
      <c r="I2910" s="489"/>
      <c r="J2910" s="1095"/>
      <c r="K2910" s="1095"/>
      <c r="L2910" s="1095"/>
      <c r="M2910" s="1095"/>
    </row>
    <row r="2911" spans="1:13" x14ac:dyDescent="0.25">
      <c r="A2911">
        <v>2003500</v>
      </c>
      <c r="B2911" t="s">
        <v>10188</v>
      </c>
      <c r="C2911" t="s">
        <v>2640</v>
      </c>
      <c r="D2911" s="254">
        <v>6017.81</v>
      </c>
      <c r="E2911"/>
      <c r="F2911"/>
      <c r="G2911"/>
      <c r="H2911"/>
      <c r="I2911" s="489"/>
      <c r="J2911" s="1095"/>
      <c r="K2911" s="1095"/>
      <c r="L2911" s="1095"/>
      <c r="M2911" s="1095"/>
    </row>
    <row r="2912" spans="1:13" x14ac:dyDescent="0.25">
      <c r="A2912">
        <v>2003541</v>
      </c>
      <c r="B2912" t="s">
        <v>10189</v>
      </c>
      <c r="C2912" t="s">
        <v>2640</v>
      </c>
      <c r="D2912" s="254">
        <v>6892.32</v>
      </c>
      <c r="E2912"/>
      <c r="F2912"/>
      <c r="G2912"/>
      <c r="H2912"/>
      <c r="I2912" s="489"/>
      <c r="J2912" s="1095"/>
      <c r="K2912" s="1095"/>
      <c r="L2912" s="1095"/>
      <c r="M2912" s="1095"/>
    </row>
    <row r="2913" spans="1:13" x14ac:dyDescent="0.25">
      <c r="A2913">
        <v>2003540</v>
      </c>
      <c r="B2913" t="s">
        <v>10190</v>
      </c>
      <c r="C2913" t="s">
        <v>2640</v>
      </c>
      <c r="D2913" s="254">
        <v>6340.54</v>
      </c>
      <c r="E2913"/>
      <c r="F2913"/>
      <c r="G2913"/>
      <c r="H2913"/>
      <c r="I2913" s="489"/>
      <c r="J2913" s="1095"/>
      <c r="K2913" s="1095"/>
      <c r="L2913" s="1095"/>
      <c r="M2913" s="1095"/>
    </row>
    <row r="2914" spans="1:13" x14ac:dyDescent="0.25">
      <c r="A2914">
        <v>2003503</v>
      </c>
      <c r="B2914" t="s">
        <v>10191</v>
      </c>
      <c r="C2914" t="s">
        <v>2640</v>
      </c>
      <c r="D2914" s="254">
        <v>6537.56</v>
      </c>
      <c r="E2914"/>
      <c r="F2914"/>
      <c r="G2914"/>
      <c r="H2914"/>
      <c r="I2914" s="489"/>
      <c r="J2914" s="1095"/>
      <c r="K2914" s="1095"/>
      <c r="L2914" s="1095"/>
      <c r="M2914" s="1095"/>
    </row>
    <row r="2915" spans="1:13" x14ac:dyDescent="0.25">
      <c r="A2915">
        <v>2003502</v>
      </c>
      <c r="B2915" t="s">
        <v>10192</v>
      </c>
      <c r="C2915" t="s">
        <v>2640</v>
      </c>
      <c r="D2915" s="254">
        <v>5987.19</v>
      </c>
      <c r="E2915"/>
      <c r="F2915"/>
      <c r="G2915"/>
      <c r="H2915"/>
      <c r="I2915" s="489"/>
      <c r="J2915" s="1095"/>
      <c r="K2915" s="1095"/>
      <c r="L2915" s="1095"/>
      <c r="M2915" s="1095"/>
    </row>
    <row r="2916" spans="1:13" x14ac:dyDescent="0.25">
      <c r="A2916">
        <v>2003543</v>
      </c>
      <c r="B2916" t="s">
        <v>10193</v>
      </c>
      <c r="C2916" t="s">
        <v>2640</v>
      </c>
      <c r="D2916" s="254">
        <v>6847.37</v>
      </c>
      <c r="E2916"/>
      <c r="F2916"/>
      <c r="G2916"/>
      <c r="H2916"/>
      <c r="I2916" s="489"/>
      <c r="J2916" s="1095"/>
      <c r="K2916" s="1095"/>
      <c r="L2916" s="1095"/>
      <c r="M2916" s="1095"/>
    </row>
    <row r="2917" spans="1:13" x14ac:dyDescent="0.25">
      <c r="A2917">
        <v>2003542</v>
      </c>
      <c r="B2917" t="s">
        <v>10194</v>
      </c>
      <c r="C2917" t="s">
        <v>2640</v>
      </c>
      <c r="D2917" s="254">
        <v>6309.92</v>
      </c>
      <c r="E2917"/>
      <c r="F2917"/>
      <c r="G2917"/>
      <c r="H2917"/>
      <c r="I2917" s="489"/>
      <c r="J2917" s="1095"/>
      <c r="K2917" s="1095"/>
      <c r="L2917" s="1095"/>
      <c r="M2917" s="1095"/>
    </row>
    <row r="2918" spans="1:13" x14ac:dyDescent="0.25">
      <c r="A2918">
        <v>2003505</v>
      </c>
      <c r="B2918" t="s">
        <v>10195</v>
      </c>
      <c r="C2918" t="s">
        <v>2640</v>
      </c>
      <c r="D2918" s="254">
        <v>6492.61</v>
      </c>
      <c r="E2918"/>
      <c r="F2918"/>
      <c r="G2918"/>
      <c r="H2918"/>
      <c r="I2918" s="489"/>
      <c r="J2918" s="1095"/>
      <c r="K2918" s="1095"/>
      <c r="L2918" s="1095"/>
      <c r="M2918" s="1095"/>
    </row>
    <row r="2919" spans="1:13" x14ac:dyDescent="0.25">
      <c r="A2919">
        <v>2003504</v>
      </c>
      <c r="B2919" t="s">
        <v>10196</v>
      </c>
      <c r="C2919" t="s">
        <v>2640</v>
      </c>
      <c r="D2919" s="254">
        <v>5956.56</v>
      </c>
      <c r="E2919"/>
      <c r="F2919"/>
      <c r="G2919"/>
      <c r="H2919"/>
      <c r="I2919" s="489"/>
      <c r="J2919" s="1095"/>
      <c r="K2919" s="1095"/>
      <c r="L2919" s="1095"/>
      <c r="M2919" s="1095"/>
    </row>
    <row r="2920" spans="1:13" x14ac:dyDescent="0.25">
      <c r="A2920">
        <v>2003545</v>
      </c>
      <c r="B2920" t="s">
        <v>10197</v>
      </c>
      <c r="C2920" t="s">
        <v>2640</v>
      </c>
      <c r="D2920" s="254">
        <v>6802.41</v>
      </c>
      <c r="E2920"/>
      <c r="F2920"/>
      <c r="G2920"/>
      <c r="H2920"/>
      <c r="I2920" s="489"/>
      <c r="J2920" s="1095"/>
      <c r="K2920" s="1095"/>
      <c r="L2920" s="1095"/>
      <c r="M2920" s="1095"/>
    </row>
    <row r="2921" spans="1:13" x14ac:dyDescent="0.25">
      <c r="A2921">
        <v>2003544</v>
      </c>
      <c r="B2921" t="s">
        <v>10198</v>
      </c>
      <c r="C2921" t="s">
        <v>2640</v>
      </c>
      <c r="D2921" s="254">
        <v>6279.29</v>
      </c>
      <c r="E2921"/>
      <c r="F2921"/>
      <c r="G2921"/>
      <c r="H2921"/>
      <c r="I2921" s="489"/>
      <c r="J2921" s="1095"/>
      <c r="K2921" s="1095"/>
      <c r="L2921" s="1095"/>
      <c r="M2921" s="1095"/>
    </row>
    <row r="2922" spans="1:13" x14ac:dyDescent="0.25">
      <c r="A2922">
        <v>2003507</v>
      </c>
      <c r="B2922" t="s">
        <v>10199</v>
      </c>
      <c r="C2922" t="s">
        <v>2640</v>
      </c>
      <c r="D2922" s="254">
        <v>6447.65</v>
      </c>
      <c r="E2922"/>
      <c r="F2922"/>
      <c r="G2922"/>
      <c r="H2922"/>
      <c r="I2922" s="489"/>
      <c r="J2922" s="1095"/>
      <c r="K2922" s="1095"/>
      <c r="L2922" s="1095"/>
      <c r="M2922" s="1095"/>
    </row>
    <row r="2923" spans="1:13" x14ac:dyDescent="0.25">
      <c r="A2923">
        <v>2003506</v>
      </c>
      <c r="B2923" t="s">
        <v>10200</v>
      </c>
      <c r="C2923" t="s">
        <v>2640</v>
      </c>
      <c r="D2923" s="254">
        <v>5925.94</v>
      </c>
      <c r="E2923"/>
      <c r="F2923"/>
      <c r="G2923"/>
      <c r="H2923"/>
      <c r="I2923" s="489"/>
      <c r="J2923" s="1095"/>
      <c r="K2923" s="1095"/>
      <c r="L2923" s="1095"/>
      <c r="M2923" s="1095"/>
    </row>
    <row r="2924" spans="1:13" x14ac:dyDescent="0.25">
      <c r="A2924">
        <v>2003547</v>
      </c>
      <c r="B2924" t="s">
        <v>10201</v>
      </c>
      <c r="C2924" t="s">
        <v>2640</v>
      </c>
      <c r="D2924" s="254">
        <v>6757.45</v>
      </c>
      <c r="E2924"/>
      <c r="F2924"/>
      <c r="G2924"/>
      <c r="H2924"/>
      <c r="I2924" s="489"/>
      <c r="J2924" s="1095"/>
      <c r="K2924" s="1095"/>
      <c r="L2924" s="1095"/>
      <c r="M2924" s="1095"/>
    </row>
    <row r="2925" spans="1:13" x14ac:dyDescent="0.25">
      <c r="A2925">
        <v>2003546</v>
      </c>
      <c r="B2925" t="s">
        <v>10202</v>
      </c>
      <c r="C2925" t="s">
        <v>2640</v>
      </c>
      <c r="D2925" s="254">
        <v>6248.67</v>
      </c>
      <c r="E2925"/>
      <c r="F2925"/>
      <c r="G2925"/>
      <c r="H2925"/>
      <c r="I2925" s="489"/>
      <c r="J2925" s="1095"/>
      <c r="K2925" s="1095"/>
      <c r="L2925" s="1095"/>
      <c r="M2925" s="1095"/>
    </row>
    <row r="2926" spans="1:13" x14ac:dyDescent="0.25">
      <c r="A2926">
        <v>2003509</v>
      </c>
      <c r="B2926" t="s">
        <v>10203</v>
      </c>
      <c r="C2926" t="s">
        <v>2640</v>
      </c>
      <c r="D2926" s="254">
        <v>7503.92</v>
      </c>
      <c r="E2926"/>
      <c r="F2926"/>
      <c r="G2926"/>
      <c r="H2926"/>
      <c r="I2926" s="489"/>
      <c r="J2926" s="1095"/>
      <c r="K2926" s="1095"/>
      <c r="L2926" s="1095"/>
      <c r="M2926" s="1095"/>
    </row>
    <row r="2927" spans="1:13" x14ac:dyDescent="0.25">
      <c r="A2927">
        <v>2003508</v>
      </c>
      <c r="B2927" t="s">
        <v>10204</v>
      </c>
      <c r="C2927" t="s">
        <v>2640</v>
      </c>
      <c r="D2927" s="254">
        <v>6860.39</v>
      </c>
      <c r="E2927"/>
      <c r="F2927"/>
      <c r="G2927"/>
      <c r="H2927"/>
      <c r="I2927" s="489"/>
      <c r="J2927" s="1095"/>
      <c r="K2927" s="1095"/>
      <c r="L2927" s="1095"/>
      <c r="M2927" s="1095"/>
    </row>
    <row r="2928" spans="1:13" x14ac:dyDescent="0.25">
      <c r="A2928">
        <v>2003549</v>
      </c>
      <c r="B2928" t="s">
        <v>10205</v>
      </c>
      <c r="C2928" t="s">
        <v>2640</v>
      </c>
      <c r="D2928" s="254">
        <v>7813.73</v>
      </c>
      <c r="E2928"/>
      <c r="F2928"/>
      <c r="G2928"/>
      <c r="H2928"/>
      <c r="I2928" s="489"/>
      <c r="J2928" s="1095"/>
      <c r="K2928" s="1095"/>
      <c r="L2928" s="1095"/>
      <c r="M2928" s="1095"/>
    </row>
    <row r="2929" spans="1:13" x14ac:dyDescent="0.25">
      <c r="A2929">
        <v>2003548</v>
      </c>
      <c r="B2929" t="s">
        <v>10206</v>
      </c>
      <c r="C2929" t="s">
        <v>2640</v>
      </c>
      <c r="D2929" s="254">
        <v>7183.12</v>
      </c>
      <c r="E2929"/>
      <c r="F2929"/>
      <c r="G2929"/>
      <c r="H2929"/>
      <c r="I2929" s="489"/>
      <c r="J2929" s="1095"/>
      <c r="K2929" s="1095"/>
      <c r="L2929" s="1095"/>
      <c r="M2929" s="1095"/>
    </row>
    <row r="2930" spans="1:13" x14ac:dyDescent="0.25">
      <c r="A2930">
        <v>2003511</v>
      </c>
      <c r="B2930" t="s">
        <v>10207</v>
      </c>
      <c r="C2930" t="s">
        <v>2640</v>
      </c>
      <c r="D2930" s="254">
        <v>7458.97</v>
      </c>
      <c r="E2930"/>
      <c r="F2930"/>
      <c r="G2930"/>
      <c r="H2930"/>
      <c r="I2930" s="489"/>
      <c r="J2930" s="1095"/>
      <c r="K2930" s="1095"/>
      <c r="L2930" s="1095"/>
      <c r="M2930" s="1095"/>
    </row>
    <row r="2931" spans="1:13" x14ac:dyDescent="0.25">
      <c r="A2931">
        <v>2003510</v>
      </c>
      <c r="B2931" t="s">
        <v>10208</v>
      </c>
      <c r="C2931" t="s">
        <v>2640</v>
      </c>
      <c r="D2931" s="254">
        <v>6829.76</v>
      </c>
      <c r="E2931"/>
      <c r="F2931"/>
      <c r="G2931"/>
      <c r="H2931"/>
      <c r="I2931" s="489"/>
      <c r="J2931" s="1095"/>
      <c r="K2931" s="1095"/>
      <c r="L2931" s="1095"/>
      <c r="M2931" s="1095"/>
    </row>
    <row r="2932" spans="1:13" x14ac:dyDescent="0.25">
      <c r="A2932">
        <v>2003551</v>
      </c>
      <c r="B2932" t="s">
        <v>10209</v>
      </c>
      <c r="C2932" t="s">
        <v>2640</v>
      </c>
      <c r="D2932" s="254">
        <v>7768.77</v>
      </c>
      <c r="E2932"/>
      <c r="F2932"/>
      <c r="G2932"/>
      <c r="H2932"/>
      <c r="I2932" s="489"/>
      <c r="J2932" s="1095"/>
      <c r="K2932" s="1095"/>
      <c r="L2932" s="1095"/>
      <c r="M2932" s="1095"/>
    </row>
    <row r="2933" spans="1:13" x14ac:dyDescent="0.25">
      <c r="A2933">
        <v>2003550</v>
      </c>
      <c r="B2933" t="s">
        <v>10210</v>
      </c>
      <c r="C2933" t="s">
        <v>2640</v>
      </c>
      <c r="D2933" s="254">
        <v>7152.49</v>
      </c>
      <c r="E2933"/>
      <c r="F2933"/>
      <c r="G2933"/>
      <c r="H2933"/>
      <c r="I2933" s="489"/>
      <c r="J2933" s="1095"/>
      <c r="K2933" s="1095"/>
      <c r="L2933" s="1095"/>
      <c r="M2933" s="1095"/>
    </row>
    <row r="2934" spans="1:13" x14ac:dyDescent="0.25">
      <c r="A2934">
        <v>2003513</v>
      </c>
      <c r="B2934" t="s">
        <v>10211</v>
      </c>
      <c r="C2934" t="s">
        <v>2640</v>
      </c>
      <c r="D2934" s="254">
        <v>7414.01</v>
      </c>
      <c r="E2934"/>
      <c r="F2934"/>
      <c r="G2934"/>
      <c r="H2934"/>
      <c r="I2934" s="489"/>
      <c r="J2934" s="1095"/>
      <c r="K2934" s="1095"/>
      <c r="L2934" s="1095"/>
      <c r="M2934" s="1095"/>
    </row>
    <row r="2935" spans="1:13" x14ac:dyDescent="0.25">
      <c r="A2935">
        <v>2003512</v>
      </c>
      <c r="B2935" t="s">
        <v>10212</v>
      </c>
      <c r="C2935" t="s">
        <v>2640</v>
      </c>
      <c r="D2935" s="254">
        <v>6799.14</v>
      </c>
      <c r="E2935"/>
      <c r="F2935"/>
      <c r="G2935"/>
      <c r="H2935"/>
      <c r="I2935" s="489"/>
      <c r="J2935" s="1095"/>
      <c r="K2935" s="1095"/>
      <c r="L2935" s="1095"/>
      <c r="M2935" s="1095"/>
    </row>
    <row r="2936" spans="1:13" x14ac:dyDescent="0.25">
      <c r="A2936">
        <v>2003553</v>
      </c>
      <c r="B2936" t="s">
        <v>10213</v>
      </c>
      <c r="C2936" t="s">
        <v>2640</v>
      </c>
      <c r="D2936" s="254">
        <v>7723.81</v>
      </c>
      <c r="E2936"/>
      <c r="F2936"/>
      <c r="G2936"/>
      <c r="H2936"/>
      <c r="I2936" s="489"/>
      <c r="J2936" s="1095"/>
      <c r="K2936" s="1095"/>
      <c r="L2936" s="1095"/>
      <c r="M2936" s="1095"/>
    </row>
    <row r="2937" spans="1:13" x14ac:dyDescent="0.25">
      <c r="A2937">
        <v>2003552</v>
      </c>
      <c r="B2937" t="s">
        <v>10214</v>
      </c>
      <c r="C2937" t="s">
        <v>2640</v>
      </c>
      <c r="D2937" s="254">
        <v>7121.87</v>
      </c>
      <c r="E2937"/>
      <c r="F2937"/>
      <c r="G2937"/>
      <c r="H2937"/>
      <c r="I2937" s="489"/>
      <c r="J2937" s="1095"/>
      <c r="K2937" s="1095"/>
      <c r="L2937" s="1095"/>
      <c r="M2937" s="1095"/>
    </row>
    <row r="2938" spans="1:13" x14ac:dyDescent="0.25">
      <c r="A2938">
        <v>2003515</v>
      </c>
      <c r="B2938" t="s">
        <v>10215</v>
      </c>
      <c r="C2938" t="s">
        <v>2640</v>
      </c>
      <c r="D2938" s="254">
        <v>7369.05</v>
      </c>
      <c r="E2938"/>
      <c r="F2938"/>
      <c r="G2938"/>
      <c r="H2938"/>
      <c r="I2938" s="489"/>
      <c r="J2938" s="1095"/>
      <c r="K2938" s="1095"/>
      <c r="L2938" s="1095"/>
      <c r="M2938" s="1095"/>
    </row>
    <row r="2939" spans="1:13" x14ac:dyDescent="0.25">
      <c r="A2939">
        <v>2003514</v>
      </c>
      <c r="B2939" t="s">
        <v>10216</v>
      </c>
      <c r="C2939" t="s">
        <v>2640</v>
      </c>
      <c r="D2939" s="254">
        <v>6768.51</v>
      </c>
      <c r="E2939"/>
      <c r="F2939"/>
      <c r="G2939"/>
      <c r="H2939"/>
      <c r="I2939" s="489"/>
      <c r="J2939" s="1095"/>
      <c r="K2939" s="1095"/>
      <c r="L2939" s="1095"/>
      <c r="M2939" s="1095"/>
    </row>
    <row r="2940" spans="1:13" x14ac:dyDescent="0.25">
      <c r="A2940">
        <v>2003555</v>
      </c>
      <c r="B2940" t="s">
        <v>10217</v>
      </c>
      <c r="C2940" t="s">
        <v>2640</v>
      </c>
      <c r="D2940" s="254">
        <v>7678.86</v>
      </c>
      <c r="E2940"/>
      <c r="F2940"/>
      <c r="G2940"/>
      <c r="H2940"/>
      <c r="I2940" s="489"/>
      <c r="J2940" s="1095"/>
      <c r="K2940" s="1095"/>
      <c r="L2940" s="1095"/>
      <c r="M2940" s="1095"/>
    </row>
    <row r="2941" spans="1:13" x14ac:dyDescent="0.25">
      <c r="A2941">
        <v>2003554</v>
      </c>
      <c r="B2941" t="s">
        <v>10218</v>
      </c>
      <c r="C2941" t="s">
        <v>2640</v>
      </c>
      <c r="D2941" s="254">
        <v>7091.24</v>
      </c>
      <c r="E2941"/>
      <c r="F2941"/>
      <c r="G2941"/>
      <c r="H2941"/>
      <c r="I2941" s="489"/>
      <c r="J2941" s="1095"/>
      <c r="K2941" s="1095"/>
      <c r="L2941" s="1095"/>
      <c r="M2941" s="1095"/>
    </row>
    <row r="2942" spans="1:13" x14ac:dyDescent="0.25">
      <c r="A2942">
        <v>2003728</v>
      </c>
      <c r="B2942" t="s">
        <v>5158</v>
      </c>
      <c r="C2942" t="s">
        <v>2640</v>
      </c>
      <c r="D2942" s="254">
        <v>3302.49</v>
      </c>
      <c r="E2942"/>
      <c r="F2942"/>
      <c r="G2942"/>
      <c r="H2942"/>
      <c r="I2942" s="489"/>
      <c r="J2942" s="1095"/>
      <c r="K2942" s="1095"/>
      <c r="L2942" s="1095"/>
      <c r="M2942" s="1095"/>
    </row>
    <row r="2943" spans="1:13" x14ac:dyDescent="0.25">
      <c r="A2943">
        <v>2003727</v>
      </c>
      <c r="B2943" t="s">
        <v>10219</v>
      </c>
      <c r="C2943" t="s">
        <v>2640</v>
      </c>
      <c r="D2943" s="254">
        <v>2978.58</v>
      </c>
      <c r="E2943"/>
      <c r="F2943"/>
      <c r="G2943"/>
      <c r="H2943"/>
      <c r="I2943" s="489"/>
      <c r="J2943" s="1095"/>
      <c r="K2943" s="1095"/>
      <c r="L2943" s="1095"/>
      <c r="M2943" s="1095"/>
    </row>
    <row r="2944" spans="1:13" x14ac:dyDescent="0.25">
      <c r="A2944">
        <v>2003730</v>
      </c>
      <c r="B2944" t="s">
        <v>6499</v>
      </c>
      <c r="C2944" t="s">
        <v>2640</v>
      </c>
      <c r="D2944" s="254">
        <v>3257.53</v>
      </c>
      <c r="E2944"/>
      <c r="F2944"/>
      <c r="G2944"/>
      <c r="H2944"/>
      <c r="I2944" s="489"/>
      <c r="J2944" s="1095"/>
      <c r="K2944" s="1095"/>
      <c r="L2944" s="1095"/>
      <c r="M2944" s="1095"/>
    </row>
    <row r="2945" spans="1:13" x14ac:dyDescent="0.25">
      <c r="A2945">
        <v>2003729</v>
      </c>
      <c r="B2945" t="s">
        <v>10220</v>
      </c>
      <c r="C2945" t="s">
        <v>2640</v>
      </c>
      <c r="D2945" s="254">
        <v>2947.96</v>
      </c>
      <c r="E2945"/>
      <c r="F2945"/>
      <c r="G2945"/>
      <c r="H2945"/>
      <c r="I2945" s="489"/>
      <c r="J2945" s="1095"/>
      <c r="K2945" s="1095"/>
      <c r="L2945" s="1095"/>
      <c r="M2945" s="1095"/>
    </row>
    <row r="2946" spans="1:13" x14ac:dyDescent="0.25">
      <c r="A2946">
        <v>2003732</v>
      </c>
      <c r="B2946" t="s">
        <v>6500</v>
      </c>
      <c r="C2946" t="s">
        <v>2640</v>
      </c>
      <c r="D2946" s="254">
        <v>3217.07</v>
      </c>
      <c r="E2946"/>
      <c r="F2946"/>
      <c r="G2946"/>
      <c r="H2946"/>
      <c r="I2946" s="489"/>
      <c r="J2946" s="1095"/>
      <c r="K2946" s="1095"/>
      <c r="L2946" s="1095"/>
      <c r="M2946" s="1095"/>
    </row>
    <row r="2947" spans="1:13" x14ac:dyDescent="0.25">
      <c r="A2947">
        <v>2003731</v>
      </c>
      <c r="B2947" t="s">
        <v>10221</v>
      </c>
      <c r="C2947" t="s">
        <v>2640</v>
      </c>
      <c r="D2947" s="254">
        <v>2920.4</v>
      </c>
      <c r="E2947"/>
      <c r="F2947"/>
      <c r="G2947"/>
      <c r="H2947"/>
      <c r="I2947" s="489"/>
      <c r="J2947" s="1095"/>
      <c r="K2947" s="1095"/>
      <c r="L2947" s="1095"/>
      <c r="M2947" s="1095"/>
    </row>
    <row r="2948" spans="1:13" x14ac:dyDescent="0.25">
      <c r="A2948">
        <v>2003734</v>
      </c>
      <c r="B2948" t="s">
        <v>5159</v>
      </c>
      <c r="C2948" t="s">
        <v>2640</v>
      </c>
      <c r="D2948" s="254">
        <v>3167.62</v>
      </c>
      <c r="E2948"/>
      <c r="F2948"/>
      <c r="G2948"/>
      <c r="H2948"/>
      <c r="I2948" s="489"/>
      <c r="J2948" s="1095"/>
      <c r="K2948" s="1095"/>
      <c r="L2948" s="1095"/>
      <c r="M2948" s="1095"/>
    </row>
    <row r="2949" spans="1:13" x14ac:dyDescent="0.25">
      <c r="A2949">
        <v>2003733</v>
      </c>
      <c r="B2949" t="s">
        <v>10222</v>
      </c>
      <c r="C2949" t="s">
        <v>2640</v>
      </c>
      <c r="D2949" s="254">
        <v>2886.71</v>
      </c>
      <c r="E2949"/>
      <c r="F2949"/>
      <c r="G2949"/>
      <c r="H2949"/>
      <c r="I2949" s="489"/>
      <c r="J2949" s="1095"/>
      <c r="K2949" s="1095"/>
      <c r="L2949" s="1095"/>
      <c r="M2949" s="1095"/>
    </row>
    <row r="2950" spans="1:13" x14ac:dyDescent="0.25">
      <c r="A2950">
        <v>2003736</v>
      </c>
      <c r="B2950" t="s">
        <v>10223</v>
      </c>
      <c r="C2950" t="s">
        <v>2640</v>
      </c>
      <c r="D2950" s="254">
        <v>4336.53</v>
      </c>
      <c r="E2950"/>
      <c r="F2950"/>
      <c r="G2950"/>
      <c r="H2950"/>
      <c r="I2950" s="489"/>
      <c r="J2950" s="1095"/>
      <c r="K2950" s="1095"/>
      <c r="L2950" s="1095"/>
      <c r="M2950" s="1095"/>
    </row>
    <row r="2951" spans="1:13" x14ac:dyDescent="0.25">
      <c r="A2951">
        <v>2003735</v>
      </c>
      <c r="B2951" t="s">
        <v>10224</v>
      </c>
      <c r="C2951" t="s">
        <v>2640</v>
      </c>
      <c r="D2951" s="254">
        <v>3933.8</v>
      </c>
      <c r="E2951"/>
      <c r="F2951"/>
      <c r="G2951"/>
      <c r="H2951"/>
      <c r="I2951" s="489"/>
      <c r="J2951" s="1095"/>
      <c r="K2951" s="1095"/>
      <c r="L2951" s="1095"/>
      <c r="M2951" s="1095"/>
    </row>
    <row r="2952" spans="1:13" x14ac:dyDescent="0.25">
      <c r="A2952">
        <v>2003738</v>
      </c>
      <c r="B2952" t="s">
        <v>10225</v>
      </c>
      <c r="C2952" t="s">
        <v>2640</v>
      </c>
      <c r="D2952" s="254">
        <v>4291.57</v>
      </c>
      <c r="E2952"/>
      <c r="F2952"/>
      <c r="G2952"/>
      <c r="H2952"/>
      <c r="I2952" s="489"/>
      <c r="J2952" s="1095"/>
      <c r="K2952" s="1095"/>
      <c r="L2952" s="1095"/>
      <c r="M2952" s="1095"/>
    </row>
    <row r="2953" spans="1:13" x14ac:dyDescent="0.25">
      <c r="A2953">
        <v>2003737</v>
      </c>
      <c r="B2953" t="s">
        <v>10226</v>
      </c>
      <c r="C2953" t="s">
        <v>2640</v>
      </c>
      <c r="D2953" s="254">
        <v>3903.18</v>
      </c>
      <c r="E2953"/>
      <c r="F2953"/>
      <c r="G2953"/>
      <c r="H2953"/>
      <c r="I2953" s="489"/>
      <c r="J2953" s="1095"/>
      <c r="K2953" s="1095"/>
      <c r="L2953" s="1095"/>
      <c r="M2953" s="1095"/>
    </row>
    <row r="2954" spans="1:13" x14ac:dyDescent="0.25">
      <c r="A2954">
        <v>2003740</v>
      </c>
      <c r="B2954" t="s">
        <v>10227</v>
      </c>
      <c r="C2954" t="s">
        <v>2640</v>
      </c>
      <c r="D2954" s="254">
        <v>4251.1099999999997</v>
      </c>
      <c r="E2954"/>
      <c r="F2954"/>
      <c r="G2954"/>
      <c r="H2954"/>
      <c r="I2954" s="489"/>
      <c r="J2954" s="1095"/>
      <c r="K2954" s="1095"/>
      <c r="L2954" s="1095"/>
      <c r="M2954" s="1095"/>
    </row>
    <row r="2955" spans="1:13" x14ac:dyDescent="0.25">
      <c r="A2955">
        <v>2003739</v>
      </c>
      <c r="B2955" t="s">
        <v>10228</v>
      </c>
      <c r="C2955" t="s">
        <v>2640</v>
      </c>
      <c r="D2955" s="254">
        <v>3875.61</v>
      </c>
      <c r="E2955"/>
      <c r="F2955"/>
      <c r="G2955"/>
      <c r="H2955"/>
      <c r="I2955" s="489"/>
      <c r="J2955" s="1095"/>
      <c r="K2955" s="1095"/>
      <c r="L2955" s="1095"/>
      <c r="M2955" s="1095"/>
    </row>
    <row r="2956" spans="1:13" x14ac:dyDescent="0.25">
      <c r="A2956">
        <v>2003742</v>
      </c>
      <c r="B2956" t="s">
        <v>10229</v>
      </c>
      <c r="C2956" t="s">
        <v>2640</v>
      </c>
      <c r="D2956" s="254">
        <v>4381.49</v>
      </c>
      <c r="E2956"/>
      <c r="F2956"/>
      <c r="G2956"/>
      <c r="H2956"/>
      <c r="I2956" s="489"/>
      <c r="J2956" s="1095"/>
      <c r="K2956" s="1095"/>
      <c r="L2956" s="1095"/>
      <c r="M2956" s="1095"/>
    </row>
    <row r="2957" spans="1:13" x14ac:dyDescent="0.25">
      <c r="A2957">
        <v>2003741</v>
      </c>
      <c r="B2957" t="s">
        <v>10230</v>
      </c>
      <c r="C2957" t="s">
        <v>2640</v>
      </c>
      <c r="D2957" s="254">
        <v>3964.43</v>
      </c>
      <c r="E2957"/>
      <c r="F2957"/>
      <c r="G2957"/>
      <c r="H2957"/>
      <c r="I2957" s="489"/>
      <c r="J2957" s="1095"/>
      <c r="K2957" s="1095"/>
      <c r="L2957" s="1095"/>
      <c r="M2957" s="1095"/>
    </row>
    <row r="2958" spans="1:13" x14ac:dyDescent="0.25">
      <c r="A2958">
        <v>2003744</v>
      </c>
      <c r="B2958" t="s">
        <v>10231</v>
      </c>
      <c r="C2958" t="s">
        <v>2640</v>
      </c>
      <c r="D2958" s="254">
        <v>5216.97</v>
      </c>
      <c r="E2958"/>
      <c r="F2958"/>
      <c r="G2958"/>
      <c r="H2958"/>
      <c r="I2958" s="489"/>
      <c r="J2958" s="1095"/>
      <c r="K2958" s="1095"/>
      <c r="L2958" s="1095"/>
      <c r="M2958" s="1095"/>
    </row>
    <row r="2959" spans="1:13" x14ac:dyDescent="0.25">
      <c r="A2959">
        <v>2003743</v>
      </c>
      <c r="B2959" t="s">
        <v>10232</v>
      </c>
      <c r="C2959" t="s">
        <v>2640</v>
      </c>
      <c r="D2959" s="254">
        <v>4735.42</v>
      </c>
      <c r="E2959"/>
      <c r="F2959"/>
      <c r="G2959"/>
      <c r="H2959"/>
      <c r="I2959" s="489"/>
      <c r="J2959" s="1095"/>
      <c r="K2959" s="1095"/>
      <c r="L2959" s="1095"/>
      <c r="M2959" s="1095"/>
    </row>
    <row r="2960" spans="1:13" x14ac:dyDescent="0.25">
      <c r="A2960">
        <v>2003746</v>
      </c>
      <c r="B2960" t="s">
        <v>10233</v>
      </c>
      <c r="C2960" t="s">
        <v>2640</v>
      </c>
      <c r="D2960" s="254">
        <v>5172.0200000000004</v>
      </c>
      <c r="E2960"/>
      <c r="F2960"/>
      <c r="G2960"/>
      <c r="H2960"/>
      <c r="I2960" s="489"/>
      <c r="J2960" s="1095"/>
      <c r="K2960" s="1095"/>
      <c r="L2960" s="1095"/>
      <c r="M2960" s="1095"/>
    </row>
    <row r="2961" spans="1:13" x14ac:dyDescent="0.25">
      <c r="A2961">
        <v>2003745</v>
      </c>
      <c r="B2961" t="s">
        <v>10234</v>
      </c>
      <c r="C2961" t="s">
        <v>2640</v>
      </c>
      <c r="D2961" s="254">
        <v>4704.79</v>
      </c>
      <c r="E2961"/>
      <c r="F2961"/>
      <c r="G2961"/>
      <c r="H2961"/>
      <c r="I2961" s="489"/>
      <c r="J2961" s="1095"/>
      <c r="K2961" s="1095"/>
      <c r="L2961" s="1095"/>
      <c r="M2961" s="1095"/>
    </row>
    <row r="2962" spans="1:13" x14ac:dyDescent="0.25">
      <c r="A2962">
        <v>2003748</v>
      </c>
      <c r="B2962" t="s">
        <v>10235</v>
      </c>
      <c r="C2962" t="s">
        <v>2640</v>
      </c>
      <c r="D2962" s="254">
        <v>5131.55</v>
      </c>
      <c r="E2962"/>
      <c r="F2962"/>
      <c r="G2962"/>
      <c r="H2962"/>
      <c r="I2962" s="489"/>
      <c r="J2962" s="1095"/>
      <c r="K2962" s="1095"/>
      <c r="L2962" s="1095"/>
      <c r="M2962" s="1095"/>
    </row>
    <row r="2963" spans="1:13" x14ac:dyDescent="0.25">
      <c r="A2963">
        <v>2003747</v>
      </c>
      <c r="B2963" t="s">
        <v>10236</v>
      </c>
      <c r="C2963" t="s">
        <v>2640</v>
      </c>
      <c r="D2963" s="254">
        <v>4677.2299999999996</v>
      </c>
      <c r="E2963"/>
      <c r="F2963"/>
      <c r="G2963"/>
      <c r="H2963"/>
      <c r="I2963" s="489"/>
      <c r="J2963" s="1095"/>
      <c r="K2963" s="1095"/>
      <c r="L2963" s="1095"/>
      <c r="M2963" s="1095"/>
    </row>
    <row r="2964" spans="1:13" x14ac:dyDescent="0.25">
      <c r="A2964">
        <v>2003750</v>
      </c>
      <c r="B2964" t="s">
        <v>10237</v>
      </c>
      <c r="C2964" t="s">
        <v>2640</v>
      </c>
      <c r="D2964" s="254">
        <v>5082.1000000000004</v>
      </c>
      <c r="E2964"/>
      <c r="F2964"/>
      <c r="G2964"/>
      <c r="H2964"/>
      <c r="I2964" s="489"/>
      <c r="J2964" s="1095"/>
      <c r="K2964" s="1095"/>
      <c r="L2964" s="1095"/>
      <c r="M2964" s="1095"/>
    </row>
    <row r="2965" spans="1:13" x14ac:dyDescent="0.25">
      <c r="A2965">
        <v>2003749</v>
      </c>
      <c r="B2965" t="s">
        <v>10238</v>
      </c>
      <c r="C2965" t="s">
        <v>2640</v>
      </c>
      <c r="D2965" s="254">
        <v>4643.54</v>
      </c>
      <c r="E2965"/>
      <c r="F2965"/>
      <c r="G2965"/>
      <c r="H2965"/>
      <c r="I2965" s="489"/>
      <c r="J2965" s="1095"/>
      <c r="K2965" s="1095"/>
      <c r="L2965" s="1095"/>
      <c r="M2965" s="1095"/>
    </row>
    <row r="2966" spans="1:13" x14ac:dyDescent="0.25">
      <c r="A2966">
        <v>2003752</v>
      </c>
      <c r="B2966" t="s">
        <v>10239</v>
      </c>
      <c r="C2966" t="s">
        <v>2640</v>
      </c>
      <c r="D2966" s="254">
        <v>6302.22</v>
      </c>
      <c r="E2966"/>
      <c r="F2966"/>
      <c r="G2966"/>
      <c r="H2966"/>
      <c r="I2966" s="489"/>
      <c r="J2966" s="1095"/>
      <c r="K2966" s="1095"/>
      <c r="L2966" s="1095"/>
      <c r="M2966" s="1095"/>
    </row>
    <row r="2967" spans="1:13" x14ac:dyDescent="0.25">
      <c r="A2967">
        <v>2003751</v>
      </c>
      <c r="B2967" t="s">
        <v>10240</v>
      </c>
      <c r="C2967" t="s">
        <v>2640</v>
      </c>
      <c r="D2967" s="254">
        <v>5741.84</v>
      </c>
      <c r="E2967"/>
      <c r="F2967"/>
      <c r="G2967"/>
      <c r="H2967"/>
      <c r="I2967" s="489"/>
      <c r="J2967" s="1095"/>
      <c r="K2967" s="1095"/>
      <c r="L2967" s="1095"/>
      <c r="M2967" s="1095"/>
    </row>
    <row r="2968" spans="1:13" x14ac:dyDescent="0.25">
      <c r="A2968">
        <v>2003754</v>
      </c>
      <c r="B2968" t="s">
        <v>10241</v>
      </c>
      <c r="C2968" t="s">
        <v>2640</v>
      </c>
      <c r="D2968" s="254">
        <v>6257.27</v>
      </c>
      <c r="E2968"/>
      <c r="F2968"/>
      <c r="G2968"/>
      <c r="H2968"/>
      <c r="I2968" s="489"/>
      <c r="J2968" s="1095"/>
      <c r="K2968" s="1095"/>
      <c r="L2968" s="1095"/>
      <c r="M2968" s="1095"/>
    </row>
    <row r="2969" spans="1:13" x14ac:dyDescent="0.25">
      <c r="A2969">
        <v>2003753</v>
      </c>
      <c r="B2969" t="s">
        <v>10242</v>
      </c>
      <c r="C2969" t="s">
        <v>2640</v>
      </c>
      <c r="D2969" s="254">
        <v>5711.22</v>
      </c>
      <c r="E2969"/>
      <c r="F2969"/>
      <c r="G2969"/>
      <c r="H2969"/>
      <c r="I2969" s="489"/>
      <c r="J2969" s="1095"/>
      <c r="K2969" s="1095"/>
      <c r="L2969" s="1095"/>
      <c r="M2969" s="1095"/>
    </row>
    <row r="2970" spans="1:13" x14ac:dyDescent="0.25">
      <c r="A2970">
        <v>2003756</v>
      </c>
      <c r="B2970" t="s">
        <v>10243</v>
      </c>
      <c r="C2970" t="s">
        <v>2640</v>
      </c>
      <c r="D2970" s="254">
        <v>6216.81</v>
      </c>
      <c r="E2970"/>
      <c r="F2970"/>
      <c r="G2970"/>
      <c r="H2970"/>
      <c r="I2970" s="489"/>
      <c r="J2970" s="1095"/>
      <c r="K2970" s="1095"/>
      <c r="L2970" s="1095"/>
      <c r="M2970" s="1095"/>
    </row>
    <row r="2971" spans="1:13" x14ac:dyDescent="0.25">
      <c r="A2971">
        <v>2003755</v>
      </c>
      <c r="B2971" t="s">
        <v>10244</v>
      </c>
      <c r="C2971" t="s">
        <v>2640</v>
      </c>
      <c r="D2971" s="254">
        <v>5683.66</v>
      </c>
      <c r="E2971"/>
      <c r="F2971"/>
      <c r="G2971"/>
      <c r="H2971"/>
      <c r="I2971" s="489"/>
      <c r="J2971" s="1095"/>
      <c r="K2971" s="1095"/>
      <c r="L2971" s="1095"/>
      <c r="M2971" s="1095"/>
    </row>
    <row r="2972" spans="1:13" x14ac:dyDescent="0.25">
      <c r="A2972">
        <v>2003758</v>
      </c>
      <c r="B2972" t="s">
        <v>10245</v>
      </c>
      <c r="C2972" t="s">
        <v>2640</v>
      </c>
      <c r="D2972" s="254">
        <v>6167.35</v>
      </c>
      <c r="E2972"/>
      <c r="F2972"/>
      <c r="G2972"/>
      <c r="H2972"/>
      <c r="I2972" s="489"/>
      <c r="J2972" s="1095"/>
      <c r="K2972" s="1095"/>
      <c r="L2972" s="1095"/>
      <c r="M2972" s="1095"/>
    </row>
    <row r="2973" spans="1:13" x14ac:dyDescent="0.25">
      <c r="A2973">
        <v>2003757</v>
      </c>
      <c r="B2973" t="s">
        <v>10246</v>
      </c>
      <c r="C2973" t="s">
        <v>2640</v>
      </c>
      <c r="D2973" s="254">
        <v>5649.97</v>
      </c>
      <c r="E2973"/>
      <c r="F2973"/>
      <c r="G2973"/>
      <c r="H2973"/>
      <c r="I2973" s="489"/>
      <c r="J2973" s="1095"/>
      <c r="K2973" s="1095"/>
      <c r="L2973" s="1095"/>
      <c r="M2973" s="1095"/>
    </row>
    <row r="2974" spans="1:13" x14ac:dyDescent="0.25">
      <c r="A2974">
        <v>2003760</v>
      </c>
      <c r="B2974" t="s">
        <v>10247</v>
      </c>
      <c r="C2974" t="s">
        <v>2640</v>
      </c>
      <c r="D2974" s="254">
        <v>6234.57</v>
      </c>
      <c r="E2974"/>
      <c r="F2974"/>
      <c r="G2974"/>
      <c r="H2974"/>
      <c r="I2974" s="489"/>
      <c r="J2974" s="1095"/>
      <c r="K2974" s="1095"/>
      <c r="L2974" s="1095"/>
      <c r="M2974" s="1095"/>
    </row>
    <row r="2975" spans="1:13" x14ac:dyDescent="0.25">
      <c r="A2975">
        <v>2003759</v>
      </c>
      <c r="B2975" t="s">
        <v>10248</v>
      </c>
      <c r="C2975" t="s">
        <v>2640</v>
      </c>
      <c r="D2975" s="254">
        <v>5910.67</v>
      </c>
      <c r="E2975"/>
      <c r="F2975"/>
      <c r="G2975"/>
      <c r="H2975"/>
      <c r="I2975" s="489"/>
      <c r="J2975" s="1095"/>
      <c r="K2975" s="1095"/>
      <c r="L2975" s="1095"/>
      <c r="M2975" s="1095"/>
    </row>
    <row r="2976" spans="1:13" x14ac:dyDescent="0.25">
      <c r="A2976">
        <v>2003762</v>
      </c>
      <c r="B2976" t="s">
        <v>10249</v>
      </c>
      <c r="C2976" t="s">
        <v>2640</v>
      </c>
      <c r="D2976" s="254">
        <v>7178.67</v>
      </c>
      <c r="E2976"/>
      <c r="F2976"/>
      <c r="G2976"/>
      <c r="H2976"/>
      <c r="I2976" s="489"/>
      <c r="J2976" s="1095"/>
      <c r="K2976" s="1095"/>
      <c r="L2976" s="1095"/>
      <c r="M2976" s="1095"/>
    </row>
    <row r="2977" spans="1:13" x14ac:dyDescent="0.25">
      <c r="A2977">
        <v>2003761</v>
      </c>
      <c r="B2977" t="s">
        <v>10250</v>
      </c>
      <c r="C2977" t="s">
        <v>2640</v>
      </c>
      <c r="D2977" s="254">
        <v>6553.8</v>
      </c>
      <c r="E2977"/>
      <c r="F2977"/>
      <c r="G2977"/>
      <c r="H2977"/>
      <c r="I2977" s="489"/>
      <c r="J2977" s="1095"/>
      <c r="K2977" s="1095"/>
      <c r="L2977" s="1095"/>
      <c r="M2977" s="1095"/>
    </row>
    <row r="2978" spans="1:13" x14ac:dyDescent="0.25">
      <c r="A2978">
        <v>2003764</v>
      </c>
      <c r="B2978" t="s">
        <v>10251</v>
      </c>
      <c r="C2978" t="s">
        <v>2640</v>
      </c>
      <c r="D2978" s="254">
        <v>7138.21</v>
      </c>
      <c r="E2978"/>
      <c r="F2978"/>
      <c r="G2978"/>
      <c r="H2978"/>
      <c r="I2978" s="489"/>
      <c r="J2978" s="1095"/>
      <c r="K2978" s="1095"/>
      <c r="L2978" s="1095"/>
      <c r="M2978" s="1095"/>
    </row>
    <row r="2979" spans="1:13" x14ac:dyDescent="0.25">
      <c r="A2979">
        <v>2003763</v>
      </c>
      <c r="B2979" t="s">
        <v>10252</v>
      </c>
      <c r="C2979" t="s">
        <v>2640</v>
      </c>
      <c r="D2979" s="254">
        <v>6526.23</v>
      </c>
      <c r="E2979"/>
      <c r="F2979"/>
      <c r="G2979"/>
      <c r="H2979"/>
      <c r="I2979" s="489"/>
      <c r="J2979" s="1095"/>
      <c r="K2979" s="1095"/>
      <c r="L2979" s="1095"/>
      <c r="M2979" s="1095"/>
    </row>
    <row r="2980" spans="1:13" x14ac:dyDescent="0.25">
      <c r="A2980">
        <v>2003766</v>
      </c>
      <c r="B2980" t="s">
        <v>10253</v>
      </c>
      <c r="C2980" t="s">
        <v>2640</v>
      </c>
      <c r="D2980" s="254">
        <v>7088.76</v>
      </c>
      <c r="E2980"/>
      <c r="F2980"/>
      <c r="G2980"/>
      <c r="H2980"/>
      <c r="I2980" s="489"/>
      <c r="J2980" s="1095"/>
      <c r="K2980" s="1095"/>
      <c r="L2980" s="1095"/>
      <c r="M2980" s="1095"/>
    </row>
    <row r="2981" spans="1:13" x14ac:dyDescent="0.25">
      <c r="A2981">
        <v>2003765</v>
      </c>
      <c r="B2981" t="s">
        <v>10254</v>
      </c>
      <c r="C2981" t="s">
        <v>2640</v>
      </c>
      <c r="D2981" s="254">
        <v>6492.55</v>
      </c>
      <c r="E2981"/>
      <c r="F2981"/>
      <c r="G2981"/>
      <c r="H2981"/>
      <c r="I2981" s="489"/>
      <c r="J2981" s="1095"/>
      <c r="K2981" s="1095"/>
      <c r="L2981" s="1095"/>
      <c r="M2981" s="1095"/>
    </row>
    <row r="2982" spans="1:13" x14ac:dyDescent="0.25">
      <c r="A2982">
        <v>2003642</v>
      </c>
      <c r="B2982" t="s">
        <v>10255</v>
      </c>
      <c r="C2982" t="s">
        <v>2640</v>
      </c>
      <c r="D2982" s="254">
        <v>1503.9</v>
      </c>
      <c r="E2982"/>
      <c r="F2982"/>
      <c r="G2982"/>
      <c r="H2982"/>
      <c r="I2982" s="489"/>
      <c r="J2982" s="1095"/>
      <c r="K2982" s="1095"/>
      <c r="L2982" s="1095"/>
      <c r="M2982" s="1095"/>
    </row>
    <row r="2983" spans="1:13" x14ac:dyDescent="0.25">
      <c r="A2983">
        <v>2003641</v>
      </c>
      <c r="B2983" t="s">
        <v>10256</v>
      </c>
      <c r="C2983" t="s">
        <v>2640</v>
      </c>
      <c r="D2983" s="254">
        <v>1301.82</v>
      </c>
      <c r="E2983"/>
      <c r="F2983"/>
      <c r="G2983"/>
      <c r="H2983"/>
      <c r="I2983" s="489"/>
      <c r="J2983" s="1095"/>
      <c r="K2983" s="1095"/>
      <c r="L2983" s="1095"/>
      <c r="M2983" s="1095"/>
    </row>
    <row r="2984" spans="1:13" x14ac:dyDescent="0.25">
      <c r="A2984">
        <v>2003644</v>
      </c>
      <c r="B2984" t="s">
        <v>10257</v>
      </c>
      <c r="C2984" t="s">
        <v>2640</v>
      </c>
      <c r="D2984" s="254">
        <v>1476.92</v>
      </c>
      <c r="E2984"/>
      <c r="F2984"/>
      <c r="G2984"/>
      <c r="H2984"/>
      <c r="I2984" s="489"/>
      <c r="J2984" s="1095"/>
      <c r="K2984" s="1095"/>
      <c r="L2984" s="1095"/>
      <c r="M2984" s="1095"/>
    </row>
    <row r="2985" spans="1:13" x14ac:dyDescent="0.25">
      <c r="A2985">
        <v>2003643</v>
      </c>
      <c r="B2985" t="s">
        <v>10258</v>
      </c>
      <c r="C2985" t="s">
        <v>2640</v>
      </c>
      <c r="D2985" s="254">
        <v>1283.44</v>
      </c>
      <c r="E2985"/>
      <c r="F2985"/>
      <c r="G2985"/>
      <c r="H2985"/>
      <c r="I2985" s="489"/>
      <c r="J2985" s="1095"/>
      <c r="K2985" s="1095"/>
      <c r="L2985" s="1095"/>
      <c r="M2985" s="1095"/>
    </row>
    <row r="2986" spans="1:13" x14ac:dyDescent="0.25">
      <c r="A2986">
        <v>2003646</v>
      </c>
      <c r="B2986" t="s">
        <v>6325</v>
      </c>
      <c r="C2986" t="s">
        <v>2640</v>
      </c>
      <c r="D2986" s="254">
        <v>2027.26</v>
      </c>
      <c r="E2986"/>
      <c r="F2986"/>
      <c r="G2986"/>
      <c r="H2986"/>
      <c r="I2986" s="489"/>
      <c r="J2986" s="1095"/>
      <c r="K2986" s="1095"/>
      <c r="L2986" s="1095"/>
      <c r="M2986" s="1095"/>
    </row>
    <row r="2987" spans="1:13" x14ac:dyDescent="0.25">
      <c r="A2987">
        <v>2003645</v>
      </c>
      <c r="B2987" t="s">
        <v>10259</v>
      </c>
      <c r="C2987" t="s">
        <v>2640</v>
      </c>
      <c r="D2987" s="254">
        <v>1749.22</v>
      </c>
      <c r="E2987"/>
      <c r="F2987"/>
      <c r="G2987"/>
      <c r="H2987"/>
      <c r="I2987" s="489"/>
      <c r="J2987" s="1095"/>
      <c r="K2987" s="1095"/>
      <c r="L2987" s="1095"/>
      <c r="M2987" s="1095"/>
    </row>
    <row r="2988" spans="1:13" x14ac:dyDescent="0.25">
      <c r="A2988">
        <v>2003648</v>
      </c>
      <c r="B2988" t="s">
        <v>6326</v>
      </c>
      <c r="C2988" t="s">
        <v>2640</v>
      </c>
      <c r="D2988" s="254">
        <v>2611.64</v>
      </c>
      <c r="E2988"/>
      <c r="F2988"/>
      <c r="G2988"/>
      <c r="H2988"/>
      <c r="I2988" s="489"/>
      <c r="J2988" s="1095"/>
      <c r="K2988" s="1095"/>
      <c r="L2988" s="1095"/>
      <c r="M2988" s="1095"/>
    </row>
    <row r="2989" spans="1:13" x14ac:dyDescent="0.25">
      <c r="A2989">
        <v>2003647</v>
      </c>
      <c r="B2989" t="s">
        <v>10260</v>
      </c>
      <c r="C2989" t="s">
        <v>2640</v>
      </c>
      <c r="D2989" s="254">
        <v>2261.94</v>
      </c>
      <c r="E2989"/>
      <c r="F2989"/>
      <c r="G2989"/>
      <c r="H2989"/>
      <c r="I2989" s="489"/>
      <c r="J2989" s="1095"/>
      <c r="K2989" s="1095"/>
      <c r="L2989" s="1095"/>
      <c r="M2989" s="1095"/>
    </row>
    <row r="2990" spans="1:13" x14ac:dyDescent="0.25">
      <c r="A2990">
        <v>2003650</v>
      </c>
      <c r="B2990" t="s">
        <v>10261</v>
      </c>
      <c r="C2990" t="s">
        <v>2640</v>
      </c>
      <c r="D2990" s="254">
        <v>3114.52</v>
      </c>
      <c r="E2990"/>
      <c r="F2990"/>
      <c r="G2990"/>
      <c r="H2990"/>
      <c r="I2990" s="489"/>
      <c r="J2990" s="1095"/>
      <c r="K2990" s="1095"/>
      <c r="L2990" s="1095"/>
      <c r="M2990" s="1095"/>
    </row>
    <row r="2991" spans="1:13" x14ac:dyDescent="0.25">
      <c r="A2991">
        <v>2003649</v>
      </c>
      <c r="B2991" t="s">
        <v>10262</v>
      </c>
      <c r="C2991" t="s">
        <v>2640</v>
      </c>
      <c r="D2991" s="254">
        <v>2710.36</v>
      </c>
      <c r="E2991"/>
      <c r="F2991"/>
      <c r="G2991"/>
      <c r="H2991"/>
      <c r="I2991" s="489"/>
      <c r="J2991" s="1095"/>
      <c r="K2991" s="1095"/>
      <c r="L2991" s="1095"/>
      <c r="M2991" s="1095"/>
    </row>
    <row r="2992" spans="1:13" x14ac:dyDescent="0.25">
      <c r="A2992">
        <v>2003652</v>
      </c>
      <c r="B2992" t="s">
        <v>10263</v>
      </c>
      <c r="C2992" t="s">
        <v>2640</v>
      </c>
      <c r="D2992" s="254">
        <v>3995.6</v>
      </c>
      <c r="E2992"/>
      <c r="F2992"/>
      <c r="G2992"/>
      <c r="H2992"/>
      <c r="I2992" s="489"/>
      <c r="J2992" s="1095"/>
      <c r="K2992" s="1095"/>
      <c r="L2992" s="1095"/>
      <c r="M2992" s="1095"/>
    </row>
    <row r="2993" spans="1:13" x14ac:dyDescent="0.25">
      <c r="A2993">
        <v>2003651</v>
      </c>
      <c r="B2993" t="s">
        <v>10264</v>
      </c>
      <c r="C2993" t="s">
        <v>2640</v>
      </c>
      <c r="D2993" s="254">
        <v>3506.88</v>
      </c>
      <c r="E2993"/>
      <c r="F2993"/>
      <c r="G2993"/>
      <c r="H2993"/>
      <c r="I2993" s="489"/>
      <c r="J2993" s="1095"/>
      <c r="K2993" s="1095"/>
      <c r="L2993" s="1095"/>
      <c r="M2993" s="1095"/>
    </row>
    <row r="2994" spans="1:13" x14ac:dyDescent="0.25">
      <c r="A2994">
        <v>2003654</v>
      </c>
      <c r="B2994" t="s">
        <v>10265</v>
      </c>
      <c r="C2994" t="s">
        <v>2640</v>
      </c>
      <c r="D2994" s="254">
        <v>1794.11</v>
      </c>
      <c r="E2994"/>
      <c r="F2994"/>
      <c r="G2994"/>
      <c r="H2994"/>
      <c r="I2994" s="489"/>
      <c r="J2994" s="1095"/>
      <c r="K2994" s="1095"/>
      <c r="L2994" s="1095"/>
      <c r="M2994" s="1095"/>
    </row>
    <row r="2995" spans="1:13" x14ac:dyDescent="0.25">
      <c r="A2995">
        <v>2003653</v>
      </c>
      <c r="B2995" t="s">
        <v>10266</v>
      </c>
      <c r="C2995" t="s">
        <v>2640</v>
      </c>
      <c r="D2995" s="254">
        <v>1553.33</v>
      </c>
      <c r="E2995"/>
      <c r="F2995"/>
      <c r="G2995"/>
      <c r="H2995"/>
      <c r="I2995" s="489"/>
      <c r="J2995" s="1095"/>
      <c r="K2995" s="1095"/>
      <c r="L2995" s="1095"/>
      <c r="M2995" s="1095"/>
    </row>
    <row r="2996" spans="1:13" x14ac:dyDescent="0.25">
      <c r="A2996">
        <v>2003656</v>
      </c>
      <c r="B2996" t="s">
        <v>10267</v>
      </c>
      <c r="C2996" t="s">
        <v>2640</v>
      </c>
      <c r="D2996" s="254">
        <v>1762.64</v>
      </c>
      <c r="E2996"/>
      <c r="F2996"/>
      <c r="G2996"/>
      <c r="H2996"/>
      <c r="I2996" s="489"/>
      <c r="J2996" s="1095"/>
      <c r="K2996" s="1095"/>
      <c r="L2996" s="1095"/>
      <c r="M2996" s="1095"/>
    </row>
    <row r="2997" spans="1:13" x14ac:dyDescent="0.25">
      <c r="A2997">
        <v>2003655</v>
      </c>
      <c r="B2997" t="s">
        <v>10268</v>
      </c>
      <c r="C2997" t="s">
        <v>2640</v>
      </c>
      <c r="D2997" s="254">
        <v>1531.89</v>
      </c>
      <c r="E2997"/>
      <c r="F2997"/>
      <c r="G2997"/>
      <c r="H2997"/>
      <c r="I2997" s="489"/>
      <c r="J2997" s="1095"/>
      <c r="K2997" s="1095"/>
      <c r="L2997" s="1095"/>
      <c r="M2997" s="1095"/>
    </row>
    <row r="2998" spans="1:13" x14ac:dyDescent="0.25">
      <c r="A2998">
        <v>2003658</v>
      </c>
      <c r="B2998" t="s">
        <v>10269</v>
      </c>
      <c r="C2998" t="s">
        <v>2640</v>
      </c>
      <c r="D2998" s="254">
        <v>2361.33</v>
      </c>
      <c r="E2998"/>
      <c r="F2998"/>
      <c r="G2998"/>
      <c r="H2998"/>
      <c r="I2998" s="489"/>
      <c r="J2998" s="1095"/>
      <c r="K2998" s="1095"/>
      <c r="L2998" s="1095"/>
      <c r="M2998" s="1095"/>
    </row>
    <row r="2999" spans="1:13" x14ac:dyDescent="0.25">
      <c r="A2999">
        <v>2003657</v>
      </c>
      <c r="B2999" t="s">
        <v>10270</v>
      </c>
      <c r="C2999" t="s">
        <v>2640</v>
      </c>
      <c r="D2999" s="254">
        <v>2035.99</v>
      </c>
      <c r="E2999"/>
      <c r="F2999"/>
      <c r="G2999"/>
      <c r="H2999"/>
      <c r="I2999" s="489"/>
      <c r="J2999" s="1095"/>
      <c r="K2999" s="1095"/>
      <c r="L2999" s="1095"/>
      <c r="M2999" s="1095"/>
    </row>
    <row r="3000" spans="1:13" x14ac:dyDescent="0.25">
      <c r="A3000">
        <v>2003660</v>
      </c>
      <c r="B3000" t="s">
        <v>10271</v>
      </c>
      <c r="C3000" t="s">
        <v>2640</v>
      </c>
      <c r="D3000" s="254">
        <v>2968.21</v>
      </c>
      <c r="E3000"/>
      <c r="F3000"/>
      <c r="G3000"/>
      <c r="H3000"/>
      <c r="I3000" s="489"/>
      <c r="J3000" s="1095"/>
      <c r="K3000" s="1095"/>
      <c r="L3000" s="1095"/>
      <c r="M3000" s="1095"/>
    </row>
    <row r="3001" spans="1:13" x14ac:dyDescent="0.25">
      <c r="A3001">
        <v>2003659</v>
      </c>
      <c r="B3001" t="s">
        <v>10272</v>
      </c>
      <c r="C3001" t="s">
        <v>2640</v>
      </c>
      <c r="D3001" s="254">
        <v>2568.34</v>
      </c>
      <c r="E3001"/>
      <c r="F3001"/>
      <c r="G3001"/>
      <c r="H3001"/>
      <c r="I3001" s="489"/>
      <c r="J3001" s="1095"/>
      <c r="K3001" s="1095"/>
      <c r="L3001" s="1095"/>
      <c r="M3001" s="1095"/>
    </row>
    <row r="3002" spans="1:13" x14ac:dyDescent="0.25">
      <c r="A3002">
        <v>2003662</v>
      </c>
      <c r="B3002" t="s">
        <v>10273</v>
      </c>
      <c r="C3002" t="s">
        <v>2640</v>
      </c>
      <c r="D3002" s="254">
        <v>3498.08</v>
      </c>
      <c r="E3002"/>
      <c r="F3002"/>
      <c r="G3002"/>
      <c r="H3002"/>
      <c r="I3002" s="489"/>
      <c r="J3002" s="1095"/>
      <c r="K3002" s="1095"/>
      <c r="L3002" s="1095"/>
      <c r="M3002" s="1095"/>
    </row>
    <row r="3003" spans="1:13" x14ac:dyDescent="0.25">
      <c r="A3003">
        <v>2003661</v>
      </c>
      <c r="B3003" t="s">
        <v>10274</v>
      </c>
      <c r="C3003" t="s">
        <v>2640</v>
      </c>
      <c r="D3003" s="254">
        <v>3039.45</v>
      </c>
      <c r="E3003"/>
      <c r="F3003"/>
      <c r="G3003"/>
      <c r="H3003"/>
      <c r="I3003" s="489"/>
      <c r="J3003" s="1095"/>
      <c r="K3003" s="1095"/>
      <c r="L3003" s="1095"/>
      <c r="M3003" s="1095"/>
    </row>
    <row r="3004" spans="1:13" x14ac:dyDescent="0.25">
      <c r="A3004">
        <v>2003664</v>
      </c>
      <c r="B3004" t="s">
        <v>10275</v>
      </c>
      <c r="C3004" t="s">
        <v>2640</v>
      </c>
      <c r="D3004" s="254">
        <v>4323.09</v>
      </c>
      <c r="E3004"/>
      <c r="F3004"/>
      <c r="G3004"/>
      <c r="H3004"/>
      <c r="I3004" s="489"/>
      <c r="J3004" s="1095"/>
      <c r="K3004" s="1095"/>
      <c r="L3004" s="1095"/>
      <c r="M3004" s="1095"/>
    </row>
    <row r="3005" spans="1:13" x14ac:dyDescent="0.25">
      <c r="A3005">
        <v>2003663</v>
      </c>
      <c r="B3005" t="s">
        <v>10276</v>
      </c>
      <c r="C3005" t="s">
        <v>2640</v>
      </c>
      <c r="D3005" s="254">
        <v>3775.61</v>
      </c>
      <c r="E3005"/>
      <c r="F3005"/>
      <c r="G3005"/>
      <c r="H3005"/>
      <c r="I3005" s="489"/>
      <c r="J3005" s="1095"/>
      <c r="K3005" s="1095"/>
      <c r="L3005" s="1095"/>
      <c r="M3005" s="1095"/>
    </row>
    <row r="3006" spans="1:13" x14ac:dyDescent="0.25">
      <c r="A3006">
        <v>2003666</v>
      </c>
      <c r="B3006" t="s">
        <v>10277</v>
      </c>
      <c r="C3006" t="s">
        <v>2640</v>
      </c>
      <c r="D3006" s="254">
        <v>2088.81</v>
      </c>
      <c r="E3006"/>
      <c r="F3006"/>
      <c r="G3006"/>
      <c r="H3006"/>
      <c r="I3006" s="489"/>
      <c r="J3006" s="1095"/>
      <c r="K3006" s="1095"/>
      <c r="L3006" s="1095"/>
      <c r="M3006" s="1095"/>
    </row>
    <row r="3007" spans="1:13" x14ac:dyDescent="0.25">
      <c r="A3007">
        <v>2003665</v>
      </c>
      <c r="B3007" t="s">
        <v>10278</v>
      </c>
      <c r="C3007" t="s">
        <v>2640</v>
      </c>
      <c r="D3007" s="254">
        <v>1807.9</v>
      </c>
      <c r="E3007"/>
      <c r="F3007"/>
      <c r="G3007"/>
      <c r="H3007"/>
      <c r="I3007" s="489"/>
      <c r="J3007" s="1095"/>
      <c r="K3007" s="1095"/>
      <c r="L3007" s="1095"/>
      <c r="M3007" s="1095"/>
    </row>
    <row r="3008" spans="1:13" x14ac:dyDescent="0.25">
      <c r="A3008">
        <v>2003668</v>
      </c>
      <c r="B3008" t="s">
        <v>10279</v>
      </c>
      <c r="C3008" t="s">
        <v>2640</v>
      </c>
      <c r="D3008" s="254">
        <v>2061.84</v>
      </c>
      <c r="E3008"/>
      <c r="F3008"/>
      <c r="G3008"/>
      <c r="H3008"/>
      <c r="I3008" s="489"/>
      <c r="J3008" s="1095"/>
      <c r="K3008" s="1095"/>
      <c r="L3008" s="1095"/>
      <c r="M3008" s="1095"/>
    </row>
    <row r="3009" spans="1:13" x14ac:dyDescent="0.25">
      <c r="A3009">
        <v>2003667</v>
      </c>
      <c r="B3009" t="s">
        <v>10280</v>
      </c>
      <c r="C3009" t="s">
        <v>2640</v>
      </c>
      <c r="D3009" s="254">
        <v>1789.53</v>
      </c>
      <c r="E3009"/>
      <c r="F3009"/>
      <c r="G3009"/>
      <c r="H3009"/>
      <c r="I3009" s="489"/>
      <c r="J3009" s="1095"/>
      <c r="K3009" s="1095"/>
      <c r="L3009" s="1095"/>
      <c r="M3009" s="1095"/>
    </row>
    <row r="3010" spans="1:13" x14ac:dyDescent="0.25">
      <c r="A3010">
        <v>2003670</v>
      </c>
      <c r="B3010" t="s">
        <v>10281</v>
      </c>
      <c r="C3010" t="s">
        <v>2640</v>
      </c>
      <c r="D3010" s="254">
        <v>2708.88</v>
      </c>
      <c r="E3010"/>
      <c r="F3010"/>
      <c r="G3010"/>
      <c r="H3010"/>
      <c r="I3010" s="489"/>
      <c r="J3010" s="1095"/>
      <c r="K3010" s="1095"/>
      <c r="L3010" s="1095"/>
      <c r="M3010" s="1095"/>
    </row>
    <row r="3011" spans="1:13" x14ac:dyDescent="0.25">
      <c r="A3011">
        <v>2003669</v>
      </c>
      <c r="B3011" t="s">
        <v>10282</v>
      </c>
      <c r="C3011" t="s">
        <v>2640</v>
      </c>
      <c r="D3011" s="254">
        <v>2331.9499999999998</v>
      </c>
      <c r="E3011"/>
      <c r="F3011"/>
      <c r="G3011"/>
      <c r="H3011"/>
      <c r="I3011" s="489"/>
      <c r="J3011" s="1095"/>
      <c r="K3011" s="1095"/>
      <c r="L3011" s="1095"/>
      <c r="M3011" s="1095"/>
    </row>
    <row r="3012" spans="1:13" x14ac:dyDescent="0.25">
      <c r="A3012">
        <v>2003672</v>
      </c>
      <c r="B3012" t="s">
        <v>10283</v>
      </c>
      <c r="C3012" t="s">
        <v>2640</v>
      </c>
      <c r="D3012" s="254">
        <v>3347.25</v>
      </c>
      <c r="E3012"/>
      <c r="F3012"/>
      <c r="G3012"/>
      <c r="H3012"/>
      <c r="I3012" s="489"/>
      <c r="J3012" s="1095"/>
      <c r="K3012" s="1095"/>
      <c r="L3012" s="1095"/>
      <c r="M3012" s="1095"/>
    </row>
    <row r="3013" spans="1:13" x14ac:dyDescent="0.25">
      <c r="A3013">
        <v>2003671</v>
      </c>
      <c r="B3013" t="s">
        <v>10284</v>
      </c>
      <c r="C3013" t="s">
        <v>2640</v>
      </c>
      <c r="D3013" s="254">
        <v>2890.06</v>
      </c>
      <c r="E3013"/>
      <c r="F3013"/>
      <c r="G3013"/>
      <c r="H3013"/>
      <c r="I3013" s="489"/>
      <c r="J3013" s="1095"/>
      <c r="K3013" s="1095"/>
      <c r="L3013" s="1095"/>
      <c r="M3013" s="1095"/>
    </row>
    <row r="3014" spans="1:13" x14ac:dyDescent="0.25">
      <c r="A3014">
        <v>2003674</v>
      </c>
      <c r="B3014" t="s">
        <v>10285</v>
      </c>
      <c r="C3014" t="s">
        <v>2640</v>
      </c>
      <c r="D3014" s="254">
        <v>3899.62</v>
      </c>
      <c r="E3014"/>
      <c r="F3014"/>
      <c r="G3014"/>
      <c r="H3014"/>
      <c r="I3014" s="489"/>
      <c r="J3014" s="1095"/>
      <c r="K3014" s="1095"/>
      <c r="L3014" s="1095"/>
      <c r="M3014" s="1095"/>
    </row>
    <row r="3015" spans="1:13" x14ac:dyDescent="0.25">
      <c r="A3015">
        <v>2003673</v>
      </c>
      <c r="B3015" t="s">
        <v>10286</v>
      </c>
      <c r="C3015" t="s">
        <v>2640</v>
      </c>
      <c r="D3015" s="254">
        <v>3380.8</v>
      </c>
      <c r="E3015"/>
      <c r="F3015"/>
      <c r="G3015"/>
      <c r="H3015"/>
      <c r="I3015" s="489"/>
      <c r="J3015" s="1095"/>
      <c r="K3015" s="1095"/>
      <c r="L3015" s="1095"/>
      <c r="M3015" s="1095"/>
    </row>
    <row r="3016" spans="1:13" x14ac:dyDescent="0.25">
      <c r="A3016">
        <v>2003676</v>
      </c>
      <c r="B3016" t="s">
        <v>10287</v>
      </c>
      <c r="C3016" t="s">
        <v>2640</v>
      </c>
      <c r="D3016" s="254">
        <v>4767.37</v>
      </c>
      <c r="E3016"/>
      <c r="F3016"/>
      <c r="G3016"/>
      <c r="H3016"/>
      <c r="I3016" s="489"/>
      <c r="J3016" s="1095"/>
      <c r="K3016" s="1095"/>
      <c r="L3016" s="1095"/>
      <c r="M3016" s="1095"/>
    </row>
    <row r="3017" spans="1:13" x14ac:dyDescent="0.25">
      <c r="A3017">
        <v>2003675</v>
      </c>
      <c r="B3017" t="s">
        <v>10288</v>
      </c>
      <c r="C3017" t="s">
        <v>2640</v>
      </c>
      <c r="D3017" s="254">
        <v>4152.53</v>
      </c>
      <c r="E3017"/>
      <c r="F3017"/>
      <c r="G3017"/>
      <c r="H3017"/>
      <c r="I3017" s="489"/>
      <c r="J3017" s="1095"/>
      <c r="K3017" s="1095"/>
      <c r="L3017" s="1095"/>
      <c r="M3017" s="1095"/>
    </row>
    <row r="3018" spans="1:13" x14ac:dyDescent="0.25">
      <c r="A3018">
        <v>2003854</v>
      </c>
      <c r="B3018" t="s">
        <v>10289</v>
      </c>
      <c r="C3018" t="s">
        <v>2596</v>
      </c>
      <c r="D3018" s="254">
        <v>153.96</v>
      </c>
      <c r="E3018"/>
      <c r="F3018"/>
      <c r="G3018"/>
      <c r="H3018"/>
      <c r="I3018" s="489"/>
      <c r="J3018" s="1095"/>
      <c r="K3018" s="1095"/>
      <c r="L3018" s="1095"/>
      <c r="M3018" s="1095"/>
    </row>
    <row r="3019" spans="1:13" x14ac:dyDescent="0.25">
      <c r="A3019">
        <v>2003855</v>
      </c>
      <c r="B3019" t="s">
        <v>10290</v>
      </c>
      <c r="C3019" t="s">
        <v>2596</v>
      </c>
      <c r="D3019" s="254">
        <v>17.190000000000001</v>
      </c>
      <c r="E3019"/>
      <c r="F3019"/>
      <c r="G3019"/>
      <c r="H3019"/>
      <c r="I3019" s="489"/>
      <c r="J3019" s="1095"/>
      <c r="K3019" s="1095"/>
      <c r="L3019" s="1095"/>
      <c r="M3019" s="1095"/>
    </row>
    <row r="3020" spans="1:13" x14ac:dyDescent="0.25">
      <c r="A3020">
        <v>2003856</v>
      </c>
      <c r="B3020" t="s">
        <v>10291</v>
      </c>
      <c r="C3020" t="s">
        <v>2596</v>
      </c>
      <c r="D3020" s="254">
        <v>140.74</v>
      </c>
      <c r="E3020"/>
      <c r="F3020"/>
      <c r="G3020"/>
      <c r="H3020"/>
      <c r="I3020" s="489"/>
      <c r="J3020" s="1095"/>
      <c r="K3020" s="1095"/>
      <c r="L3020" s="1095"/>
      <c r="M3020" s="1095"/>
    </row>
    <row r="3021" spans="1:13" x14ac:dyDescent="0.25">
      <c r="A3021">
        <v>2003857</v>
      </c>
      <c r="B3021" t="s">
        <v>10292</v>
      </c>
      <c r="C3021" t="s">
        <v>2596</v>
      </c>
      <c r="D3021" s="254">
        <v>67.47</v>
      </c>
      <c r="E3021"/>
      <c r="F3021"/>
      <c r="G3021"/>
      <c r="H3021"/>
      <c r="I3021" s="489"/>
      <c r="J3021" s="1095"/>
      <c r="K3021" s="1095"/>
      <c r="L3021" s="1095"/>
      <c r="M3021" s="1095"/>
    </row>
    <row r="3022" spans="1:13" x14ac:dyDescent="0.25">
      <c r="A3022">
        <v>2019782</v>
      </c>
      <c r="B3022" t="s">
        <v>10293</v>
      </c>
      <c r="C3022" t="s">
        <v>2598</v>
      </c>
      <c r="D3022" s="254">
        <v>854.25</v>
      </c>
      <c r="E3022"/>
      <c r="F3022"/>
      <c r="G3022"/>
      <c r="H3022"/>
      <c r="I3022" s="489"/>
      <c r="J3022" s="1095"/>
      <c r="K3022" s="1095"/>
      <c r="L3022" s="1095"/>
      <c r="M3022" s="1095"/>
    </row>
    <row r="3023" spans="1:13" x14ac:dyDescent="0.25">
      <c r="A3023">
        <v>2019783</v>
      </c>
      <c r="B3023" t="s">
        <v>10294</v>
      </c>
      <c r="C3023" t="s">
        <v>2598</v>
      </c>
      <c r="D3023" s="254">
        <v>1315.75</v>
      </c>
      <c r="E3023"/>
      <c r="F3023"/>
      <c r="G3023"/>
      <c r="H3023"/>
      <c r="I3023" s="489"/>
      <c r="J3023" s="1095"/>
      <c r="K3023" s="1095"/>
      <c r="L3023" s="1095"/>
      <c r="M3023" s="1095"/>
    </row>
    <row r="3024" spans="1:13" x14ac:dyDescent="0.25">
      <c r="A3024">
        <v>2019784</v>
      </c>
      <c r="B3024" t="s">
        <v>10295</v>
      </c>
      <c r="C3024" t="s">
        <v>2598</v>
      </c>
      <c r="D3024" s="254">
        <v>1713.25</v>
      </c>
      <c r="E3024"/>
      <c r="F3024"/>
      <c r="G3024"/>
      <c r="H3024"/>
      <c r="I3024" s="489"/>
      <c r="J3024" s="1095"/>
      <c r="K3024" s="1095"/>
      <c r="L3024" s="1095"/>
      <c r="M3024" s="1095"/>
    </row>
    <row r="3025" spans="1:13" x14ac:dyDescent="0.25">
      <c r="A3025">
        <v>2019785</v>
      </c>
      <c r="B3025" t="s">
        <v>10296</v>
      </c>
      <c r="C3025" t="s">
        <v>2598</v>
      </c>
      <c r="D3025" s="254">
        <v>2287.1999999999998</v>
      </c>
      <c r="E3025"/>
      <c r="F3025"/>
      <c r="G3025"/>
      <c r="H3025"/>
      <c r="I3025" s="489"/>
      <c r="J3025" s="1095"/>
      <c r="K3025" s="1095"/>
      <c r="L3025" s="1095"/>
      <c r="M3025" s="1095"/>
    </row>
    <row r="3026" spans="1:13" x14ac:dyDescent="0.25">
      <c r="A3026">
        <v>2019776</v>
      </c>
      <c r="B3026" t="s">
        <v>10297</v>
      </c>
      <c r="C3026" t="s">
        <v>2598</v>
      </c>
      <c r="D3026" s="254">
        <v>442.61</v>
      </c>
      <c r="E3026"/>
      <c r="F3026"/>
      <c r="G3026"/>
      <c r="H3026"/>
      <c r="I3026" s="489"/>
      <c r="J3026" s="1095"/>
      <c r="K3026" s="1095"/>
      <c r="L3026" s="1095"/>
      <c r="M3026" s="1095"/>
    </row>
    <row r="3027" spans="1:13" x14ac:dyDescent="0.25">
      <c r="A3027">
        <v>2019777</v>
      </c>
      <c r="B3027" t="s">
        <v>10298</v>
      </c>
      <c r="C3027" t="s">
        <v>2598</v>
      </c>
      <c r="D3027" s="254">
        <v>958.82</v>
      </c>
      <c r="E3027"/>
      <c r="F3027"/>
      <c r="G3027"/>
      <c r="H3027"/>
      <c r="I3027" s="489"/>
      <c r="J3027" s="1095"/>
      <c r="K3027" s="1095"/>
      <c r="L3027" s="1095"/>
      <c r="M3027" s="1095"/>
    </row>
    <row r="3028" spans="1:13" x14ac:dyDescent="0.25">
      <c r="A3028">
        <v>2019778</v>
      </c>
      <c r="B3028" t="s">
        <v>10299</v>
      </c>
      <c r="C3028" t="s">
        <v>2598</v>
      </c>
      <c r="D3028" s="254">
        <v>1881.21</v>
      </c>
      <c r="E3028"/>
      <c r="F3028"/>
      <c r="G3028"/>
      <c r="H3028"/>
      <c r="I3028" s="489"/>
      <c r="J3028" s="1095"/>
      <c r="K3028" s="1095"/>
      <c r="L3028" s="1095"/>
      <c r="M3028" s="1095"/>
    </row>
    <row r="3029" spans="1:13" x14ac:dyDescent="0.25">
      <c r="A3029">
        <v>2019779</v>
      </c>
      <c r="B3029" t="s">
        <v>10300</v>
      </c>
      <c r="C3029" t="s">
        <v>2598</v>
      </c>
      <c r="D3029" s="254">
        <v>577.02</v>
      </c>
      <c r="E3029"/>
      <c r="F3029"/>
      <c r="G3029"/>
      <c r="H3029"/>
      <c r="I3029" s="489"/>
      <c r="J3029" s="1095"/>
      <c r="K3029" s="1095"/>
      <c r="L3029" s="1095"/>
      <c r="M3029" s="1095"/>
    </row>
    <row r="3030" spans="1:13" x14ac:dyDescent="0.25">
      <c r="A3030">
        <v>2019780</v>
      </c>
      <c r="B3030" t="s">
        <v>10301</v>
      </c>
      <c r="C3030" t="s">
        <v>2598</v>
      </c>
      <c r="D3030" s="254">
        <v>704.31</v>
      </c>
      <c r="E3030"/>
      <c r="F3030"/>
      <c r="G3030"/>
      <c r="H3030"/>
      <c r="I3030" s="489"/>
      <c r="J3030" s="1095"/>
      <c r="K3030" s="1095"/>
      <c r="L3030" s="1095"/>
      <c r="M3030" s="1095"/>
    </row>
    <row r="3031" spans="1:13" x14ac:dyDescent="0.25">
      <c r="A3031">
        <v>2019781</v>
      </c>
      <c r="B3031" t="s">
        <v>10302</v>
      </c>
      <c r="C3031" t="s">
        <v>2598</v>
      </c>
      <c r="D3031" s="254">
        <v>881.04</v>
      </c>
      <c r="E3031"/>
      <c r="F3031"/>
      <c r="G3031"/>
      <c r="H3031"/>
      <c r="I3031" s="489"/>
      <c r="J3031" s="1095"/>
      <c r="K3031" s="1095"/>
      <c r="L3031" s="1095"/>
      <c r="M3031" s="1095"/>
    </row>
    <row r="3032" spans="1:13" x14ac:dyDescent="0.25">
      <c r="A3032">
        <v>2019773</v>
      </c>
      <c r="B3032" t="s">
        <v>10303</v>
      </c>
      <c r="C3032" t="s">
        <v>2598</v>
      </c>
      <c r="D3032" s="254">
        <v>296.02</v>
      </c>
      <c r="E3032"/>
      <c r="F3032"/>
      <c r="G3032"/>
      <c r="H3032"/>
      <c r="I3032" s="489"/>
      <c r="J3032" s="1095"/>
      <c r="K3032" s="1095"/>
      <c r="L3032" s="1095"/>
      <c r="M3032" s="1095"/>
    </row>
    <row r="3033" spans="1:13" x14ac:dyDescent="0.25">
      <c r="A3033">
        <v>2019774</v>
      </c>
      <c r="B3033" t="s">
        <v>10304</v>
      </c>
      <c r="C3033" t="s">
        <v>2598</v>
      </c>
      <c r="D3033" s="254">
        <v>317.32</v>
      </c>
      <c r="E3033"/>
      <c r="F3033"/>
      <c r="G3033"/>
      <c r="H3033"/>
      <c r="I3033" s="489"/>
      <c r="J3033" s="1095"/>
      <c r="K3033" s="1095"/>
      <c r="L3033" s="1095"/>
      <c r="M3033" s="1095"/>
    </row>
    <row r="3034" spans="1:13" x14ac:dyDescent="0.25">
      <c r="A3034">
        <v>2019775</v>
      </c>
      <c r="B3034" t="s">
        <v>10305</v>
      </c>
      <c r="C3034" t="s">
        <v>2598</v>
      </c>
      <c r="D3034" s="254">
        <v>273.97000000000003</v>
      </c>
      <c r="E3034"/>
      <c r="F3034"/>
      <c r="G3034"/>
      <c r="H3034"/>
      <c r="I3034" s="489"/>
      <c r="J3034" s="1095"/>
      <c r="K3034" s="1095"/>
      <c r="L3034" s="1095"/>
      <c r="M3034" s="1095"/>
    </row>
    <row r="3035" spans="1:13" x14ac:dyDescent="0.25">
      <c r="A3035">
        <v>2019755</v>
      </c>
      <c r="B3035" t="s">
        <v>10306</v>
      </c>
      <c r="C3035" t="s">
        <v>2598</v>
      </c>
      <c r="D3035" s="254">
        <v>383.02</v>
      </c>
      <c r="E3035"/>
      <c r="F3035"/>
      <c r="G3035"/>
      <c r="H3035"/>
      <c r="I3035" s="489"/>
      <c r="J3035" s="1095"/>
      <c r="K3035" s="1095"/>
      <c r="L3035" s="1095"/>
      <c r="M3035" s="1095"/>
    </row>
    <row r="3036" spans="1:13" x14ac:dyDescent="0.25">
      <c r="A3036">
        <v>2019764</v>
      </c>
      <c r="B3036" t="s">
        <v>10307</v>
      </c>
      <c r="C3036" t="s">
        <v>2598</v>
      </c>
      <c r="D3036" s="254">
        <v>406.87</v>
      </c>
      <c r="E3036"/>
      <c r="F3036"/>
      <c r="G3036"/>
      <c r="H3036"/>
      <c r="I3036" s="489"/>
      <c r="J3036" s="1095"/>
      <c r="K3036" s="1095"/>
      <c r="L3036" s="1095"/>
      <c r="M3036" s="1095"/>
    </row>
    <row r="3037" spans="1:13" x14ac:dyDescent="0.25">
      <c r="A3037">
        <v>2019756</v>
      </c>
      <c r="B3037" t="s">
        <v>10308</v>
      </c>
      <c r="C3037" t="s">
        <v>2598</v>
      </c>
      <c r="D3037" s="254">
        <v>625.35</v>
      </c>
      <c r="E3037"/>
      <c r="F3037"/>
      <c r="G3037"/>
      <c r="H3037"/>
      <c r="I3037" s="489"/>
      <c r="J3037" s="1095"/>
      <c r="K3037" s="1095"/>
      <c r="L3037" s="1095"/>
      <c r="M3037" s="1095"/>
    </row>
    <row r="3038" spans="1:13" x14ac:dyDescent="0.25">
      <c r="A3038">
        <v>2019765</v>
      </c>
      <c r="B3038" t="s">
        <v>10309</v>
      </c>
      <c r="C3038" t="s">
        <v>2598</v>
      </c>
      <c r="D3038" s="254">
        <v>649.20000000000005</v>
      </c>
      <c r="E3038"/>
      <c r="F3038"/>
      <c r="G3038"/>
      <c r="H3038"/>
      <c r="I3038" s="489"/>
      <c r="J3038" s="1095"/>
      <c r="K3038" s="1095"/>
      <c r="L3038" s="1095"/>
      <c r="M3038" s="1095"/>
    </row>
    <row r="3039" spans="1:13" x14ac:dyDescent="0.25">
      <c r="A3039">
        <v>2019757</v>
      </c>
      <c r="B3039" t="s">
        <v>10310</v>
      </c>
      <c r="C3039" t="s">
        <v>2598</v>
      </c>
      <c r="D3039" s="254">
        <v>658.63</v>
      </c>
      <c r="E3039"/>
      <c r="F3039"/>
      <c r="G3039"/>
      <c r="H3039"/>
      <c r="I3039" s="489"/>
      <c r="J3039" s="1095"/>
      <c r="K3039" s="1095"/>
      <c r="L3039" s="1095"/>
      <c r="M3039" s="1095"/>
    </row>
    <row r="3040" spans="1:13" x14ac:dyDescent="0.25">
      <c r="A3040">
        <v>2019766</v>
      </c>
      <c r="B3040" t="s">
        <v>10311</v>
      </c>
      <c r="C3040" t="s">
        <v>2598</v>
      </c>
      <c r="D3040" s="254">
        <v>716.98</v>
      </c>
      <c r="E3040"/>
      <c r="F3040"/>
      <c r="G3040"/>
      <c r="H3040"/>
      <c r="I3040" s="489"/>
      <c r="J3040" s="1095"/>
      <c r="K3040" s="1095"/>
      <c r="L3040" s="1095"/>
      <c r="M3040" s="1095"/>
    </row>
    <row r="3041" spans="1:13" x14ac:dyDescent="0.25">
      <c r="A3041">
        <v>2019758</v>
      </c>
      <c r="B3041" t="s">
        <v>10312</v>
      </c>
      <c r="C3041" t="s">
        <v>2598</v>
      </c>
      <c r="D3041" s="254">
        <v>677.51</v>
      </c>
      <c r="E3041"/>
      <c r="F3041"/>
      <c r="G3041"/>
      <c r="H3041"/>
      <c r="I3041" s="489"/>
      <c r="J3041" s="1095"/>
      <c r="K3041" s="1095"/>
      <c r="L3041" s="1095"/>
      <c r="M3041" s="1095"/>
    </row>
    <row r="3042" spans="1:13" x14ac:dyDescent="0.25">
      <c r="A3042">
        <v>2019767</v>
      </c>
      <c r="B3042" t="s">
        <v>10313</v>
      </c>
      <c r="C3042" t="s">
        <v>2598</v>
      </c>
      <c r="D3042" s="254">
        <v>736.33</v>
      </c>
      <c r="E3042"/>
      <c r="F3042"/>
      <c r="G3042"/>
      <c r="H3042"/>
      <c r="I3042" s="489"/>
      <c r="J3042" s="1095"/>
      <c r="K3042" s="1095"/>
      <c r="L3042" s="1095"/>
      <c r="M3042" s="1095"/>
    </row>
    <row r="3043" spans="1:13" x14ac:dyDescent="0.25">
      <c r="A3043">
        <v>2019759</v>
      </c>
      <c r="B3043" t="s">
        <v>10314</v>
      </c>
      <c r="C3043" t="s">
        <v>2598</v>
      </c>
      <c r="D3043" s="254">
        <v>759.52</v>
      </c>
      <c r="E3043"/>
      <c r="F3043"/>
      <c r="G3043"/>
      <c r="H3043"/>
      <c r="I3043" s="489"/>
      <c r="J3043" s="1095"/>
      <c r="K3043" s="1095"/>
      <c r="L3043" s="1095"/>
      <c r="M3043" s="1095"/>
    </row>
    <row r="3044" spans="1:13" x14ac:dyDescent="0.25">
      <c r="A3044">
        <v>2019768</v>
      </c>
      <c r="B3044" t="s">
        <v>10315</v>
      </c>
      <c r="C3044" t="s">
        <v>2598</v>
      </c>
      <c r="D3044" s="254">
        <v>827.71</v>
      </c>
      <c r="E3044"/>
      <c r="F3044"/>
      <c r="G3044"/>
      <c r="H3044"/>
      <c r="I3044" s="489"/>
      <c r="J3044" s="1095"/>
      <c r="K3044" s="1095"/>
      <c r="L3044" s="1095"/>
      <c r="M3044" s="1095"/>
    </row>
    <row r="3045" spans="1:13" x14ac:dyDescent="0.25">
      <c r="A3045">
        <v>2019760</v>
      </c>
      <c r="B3045" t="s">
        <v>10316</v>
      </c>
      <c r="C3045" t="s">
        <v>2598</v>
      </c>
      <c r="D3045" s="254">
        <v>975.24</v>
      </c>
      <c r="E3045"/>
      <c r="F3045"/>
      <c r="G3045"/>
      <c r="H3045"/>
      <c r="I3045" s="489"/>
      <c r="J3045" s="1095"/>
      <c r="K3045" s="1095"/>
      <c r="L3045" s="1095"/>
      <c r="M3045" s="1095"/>
    </row>
    <row r="3046" spans="1:13" x14ac:dyDescent="0.25">
      <c r="A3046">
        <v>2019769</v>
      </c>
      <c r="B3046" t="s">
        <v>10317</v>
      </c>
      <c r="C3046" t="s">
        <v>2598</v>
      </c>
      <c r="D3046" s="254">
        <v>1052.82</v>
      </c>
      <c r="E3046"/>
      <c r="F3046"/>
      <c r="G3046"/>
      <c r="H3046"/>
      <c r="I3046" s="489"/>
      <c r="J3046" s="1095"/>
      <c r="K3046" s="1095"/>
      <c r="L3046" s="1095"/>
      <c r="M3046" s="1095"/>
    </row>
    <row r="3047" spans="1:13" x14ac:dyDescent="0.25">
      <c r="A3047">
        <v>2019761</v>
      </c>
      <c r="B3047" t="s">
        <v>10318</v>
      </c>
      <c r="C3047" t="s">
        <v>2598</v>
      </c>
      <c r="D3047" s="254">
        <v>829.61</v>
      </c>
      <c r="E3047"/>
      <c r="F3047"/>
      <c r="G3047"/>
      <c r="H3047"/>
      <c r="I3047" s="489"/>
      <c r="J3047" s="1095"/>
      <c r="K3047" s="1095"/>
      <c r="L3047" s="1095"/>
      <c r="M3047" s="1095"/>
    </row>
    <row r="3048" spans="1:13" x14ac:dyDescent="0.25">
      <c r="A3048">
        <v>2019770</v>
      </c>
      <c r="B3048" t="s">
        <v>10319</v>
      </c>
      <c r="C3048" t="s">
        <v>2598</v>
      </c>
      <c r="D3048" s="254">
        <v>893.12</v>
      </c>
      <c r="E3048"/>
      <c r="F3048"/>
      <c r="G3048"/>
      <c r="H3048"/>
      <c r="I3048" s="489"/>
      <c r="J3048" s="1095"/>
      <c r="K3048" s="1095"/>
      <c r="L3048" s="1095"/>
      <c r="M3048" s="1095"/>
    </row>
    <row r="3049" spans="1:13" x14ac:dyDescent="0.25">
      <c r="A3049">
        <v>2019762</v>
      </c>
      <c r="B3049" t="s">
        <v>10320</v>
      </c>
      <c r="C3049" t="s">
        <v>2598</v>
      </c>
      <c r="D3049" s="254">
        <v>1080.27</v>
      </c>
      <c r="E3049"/>
      <c r="F3049"/>
      <c r="G3049"/>
      <c r="H3049"/>
      <c r="I3049" s="489"/>
      <c r="J3049" s="1095"/>
      <c r="K3049" s="1095"/>
      <c r="L3049" s="1095"/>
      <c r="M3049" s="1095"/>
    </row>
    <row r="3050" spans="1:13" x14ac:dyDescent="0.25">
      <c r="A3050">
        <v>2019771</v>
      </c>
      <c r="B3050" t="s">
        <v>10321</v>
      </c>
      <c r="C3050" t="s">
        <v>2598</v>
      </c>
      <c r="D3050" s="254">
        <v>1162.54</v>
      </c>
      <c r="E3050"/>
      <c r="F3050"/>
      <c r="G3050"/>
      <c r="H3050"/>
      <c r="I3050" s="489"/>
      <c r="J3050" s="1095"/>
      <c r="K3050" s="1095"/>
      <c r="L3050" s="1095"/>
      <c r="M3050" s="1095"/>
    </row>
    <row r="3051" spans="1:13" x14ac:dyDescent="0.25">
      <c r="A3051">
        <v>2019763</v>
      </c>
      <c r="B3051" t="s">
        <v>10322</v>
      </c>
      <c r="C3051" t="s">
        <v>2598</v>
      </c>
      <c r="D3051" s="254">
        <v>4041.29</v>
      </c>
      <c r="E3051"/>
      <c r="F3051"/>
      <c r="G3051"/>
      <c r="H3051"/>
      <c r="I3051" s="489"/>
      <c r="J3051" s="1095"/>
      <c r="K3051" s="1095"/>
      <c r="L3051" s="1095"/>
      <c r="M3051" s="1095"/>
    </row>
    <row r="3052" spans="1:13" x14ac:dyDescent="0.25">
      <c r="A3052">
        <v>2019772</v>
      </c>
      <c r="B3052" t="s">
        <v>10323</v>
      </c>
      <c r="C3052" t="s">
        <v>2598</v>
      </c>
      <c r="D3052" s="254">
        <v>4122.1499999999996</v>
      </c>
      <c r="E3052"/>
      <c r="F3052"/>
      <c r="G3052"/>
      <c r="H3052"/>
      <c r="I3052" s="489"/>
      <c r="J3052" s="1095"/>
      <c r="K3052" s="1095"/>
      <c r="L3052" s="1095"/>
      <c r="M3052" s="1095"/>
    </row>
    <row r="3053" spans="1:13" x14ac:dyDescent="0.25">
      <c r="A3053">
        <v>2003811</v>
      </c>
      <c r="B3053" t="s">
        <v>10324</v>
      </c>
      <c r="C3053" t="s">
        <v>2598</v>
      </c>
      <c r="D3053" s="254">
        <v>134.91</v>
      </c>
      <c r="E3053"/>
      <c r="F3053"/>
      <c r="G3053"/>
      <c r="H3053"/>
      <c r="I3053" s="489"/>
      <c r="J3053" s="1095"/>
      <c r="K3053" s="1095"/>
      <c r="L3053" s="1095"/>
      <c r="M3053" s="1095"/>
    </row>
    <row r="3054" spans="1:13" x14ac:dyDescent="0.25">
      <c r="A3054">
        <v>2003812</v>
      </c>
      <c r="B3054" t="s">
        <v>10325</v>
      </c>
      <c r="C3054" t="s">
        <v>2598</v>
      </c>
      <c r="D3054" s="254">
        <v>159.38999999999999</v>
      </c>
      <c r="E3054"/>
      <c r="F3054"/>
      <c r="G3054"/>
      <c r="H3054"/>
      <c r="I3054" s="489"/>
      <c r="J3054" s="1095"/>
      <c r="K3054" s="1095"/>
      <c r="L3054" s="1095"/>
      <c r="M3054" s="1095"/>
    </row>
    <row r="3055" spans="1:13" x14ac:dyDescent="0.25">
      <c r="A3055">
        <v>2003813</v>
      </c>
      <c r="B3055" t="s">
        <v>10326</v>
      </c>
      <c r="C3055" t="s">
        <v>2598</v>
      </c>
      <c r="D3055" s="254">
        <v>191.12</v>
      </c>
      <c r="E3055"/>
      <c r="F3055"/>
      <c r="G3055"/>
      <c r="H3055"/>
      <c r="I3055" s="489"/>
      <c r="J3055" s="1095"/>
      <c r="K3055" s="1095"/>
      <c r="L3055" s="1095"/>
      <c r="M3055" s="1095"/>
    </row>
    <row r="3056" spans="1:13" x14ac:dyDescent="0.25">
      <c r="A3056">
        <v>2003814</v>
      </c>
      <c r="B3056" t="s">
        <v>10327</v>
      </c>
      <c r="C3056" t="s">
        <v>2598</v>
      </c>
      <c r="D3056" s="254">
        <v>218.02</v>
      </c>
      <c r="E3056"/>
      <c r="F3056"/>
      <c r="G3056"/>
      <c r="H3056"/>
      <c r="I3056" s="489"/>
      <c r="J3056" s="1095"/>
      <c r="K3056" s="1095"/>
      <c r="L3056" s="1095"/>
      <c r="M3056" s="1095"/>
    </row>
    <row r="3057" spans="1:13" x14ac:dyDescent="0.25">
      <c r="A3057">
        <v>2003815</v>
      </c>
      <c r="B3057" t="s">
        <v>10328</v>
      </c>
      <c r="C3057" t="s">
        <v>2598</v>
      </c>
      <c r="D3057" s="254">
        <v>244.91</v>
      </c>
      <c r="E3057"/>
      <c r="F3057"/>
      <c r="G3057"/>
      <c r="H3057"/>
      <c r="I3057" s="489"/>
      <c r="J3057" s="1095"/>
      <c r="K3057" s="1095"/>
      <c r="L3057" s="1095"/>
      <c r="M3057" s="1095"/>
    </row>
    <row r="3058" spans="1:13" x14ac:dyDescent="0.25">
      <c r="A3058">
        <v>2003816</v>
      </c>
      <c r="B3058" t="s">
        <v>10329</v>
      </c>
      <c r="C3058" t="s">
        <v>2598</v>
      </c>
      <c r="D3058" s="254">
        <v>303.54000000000002</v>
      </c>
      <c r="E3058"/>
      <c r="F3058"/>
      <c r="G3058"/>
      <c r="H3058"/>
      <c r="I3058" s="489"/>
      <c r="J3058" s="1095"/>
      <c r="K3058" s="1095"/>
      <c r="L3058" s="1095"/>
      <c r="M3058" s="1095"/>
    </row>
    <row r="3059" spans="1:13" x14ac:dyDescent="0.25">
      <c r="A3059">
        <v>2003817</v>
      </c>
      <c r="B3059" t="s">
        <v>10330</v>
      </c>
      <c r="C3059" t="s">
        <v>2598</v>
      </c>
      <c r="D3059" s="254">
        <v>354.91</v>
      </c>
      <c r="E3059"/>
      <c r="F3059"/>
      <c r="G3059"/>
      <c r="H3059"/>
      <c r="I3059" s="489"/>
      <c r="J3059" s="1095"/>
      <c r="K3059" s="1095"/>
      <c r="L3059" s="1095"/>
      <c r="M3059" s="1095"/>
    </row>
    <row r="3060" spans="1:13" x14ac:dyDescent="0.25">
      <c r="A3060">
        <v>2003799</v>
      </c>
      <c r="B3060" t="s">
        <v>10331</v>
      </c>
      <c r="C3060" t="s">
        <v>2598</v>
      </c>
      <c r="D3060" s="254">
        <v>54.89</v>
      </c>
      <c r="E3060"/>
      <c r="F3060"/>
      <c r="G3060"/>
      <c r="H3060"/>
      <c r="I3060" s="489"/>
      <c r="J3060" s="1095"/>
      <c r="K3060" s="1095"/>
      <c r="L3060" s="1095"/>
      <c r="M3060" s="1095"/>
    </row>
    <row r="3061" spans="1:13" x14ac:dyDescent="0.25">
      <c r="A3061">
        <v>2003798</v>
      </c>
      <c r="B3061" t="s">
        <v>10332</v>
      </c>
      <c r="C3061" t="s">
        <v>2598</v>
      </c>
      <c r="D3061" s="254">
        <v>44.45</v>
      </c>
      <c r="E3061"/>
      <c r="F3061"/>
      <c r="G3061"/>
      <c r="H3061"/>
      <c r="I3061" s="489"/>
      <c r="J3061" s="1095"/>
      <c r="K3061" s="1095"/>
      <c r="L3061" s="1095"/>
      <c r="M3061" s="1095"/>
    </row>
    <row r="3062" spans="1:13" x14ac:dyDescent="0.25">
      <c r="A3062">
        <v>2003801</v>
      </c>
      <c r="B3062" t="s">
        <v>10333</v>
      </c>
      <c r="C3062" t="s">
        <v>2598</v>
      </c>
      <c r="D3062" s="254">
        <v>70.569999999999993</v>
      </c>
      <c r="E3062"/>
      <c r="F3062"/>
      <c r="G3062"/>
      <c r="H3062"/>
      <c r="I3062" s="489"/>
      <c r="J3062" s="1095"/>
      <c r="K3062" s="1095"/>
      <c r="L3062" s="1095"/>
      <c r="M3062" s="1095"/>
    </row>
    <row r="3063" spans="1:13" x14ac:dyDescent="0.25">
      <c r="A3063">
        <v>2003800</v>
      </c>
      <c r="B3063" t="s">
        <v>10334</v>
      </c>
      <c r="C3063" t="s">
        <v>2598</v>
      </c>
      <c r="D3063" s="254">
        <v>56.05</v>
      </c>
      <c r="E3063"/>
      <c r="F3063"/>
      <c r="G3063"/>
      <c r="H3063"/>
      <c r="I3063" s="489"/>
      <c r="J3063" s="1095"/>
      <c r="K3063" s="1095"/>
      <c r="L3063" s="1095"/>
      <c r="M3063" s="1095"/>
    </row>
    <row r="3064" spans="1:13" x14ac:dyDescent="0.25">
      <c r="A3064">
        <v>2003714</v>
      </c>
      <c r="B3064" t="s">
        <v>6508</v>
      </c>
      <c r="C3064" t="s">
        <v>2640</v>
      </c>
      <c r="D3064" s="254">
        <v>1350.23</v>
      </c>
      <c r="E3064"/>
      <c r="F3064"/>
      <c r="G3064"/>
      <c r="H3064"/>
      <c r="I3064" s="489"/>
      <c r="J3064" s="1095"/>
      <c r="K3064" s="1095"/>
      <c r="L3064" s="1095"/>
      <c r="M3064" s="1095"/>
    </row>
    <row r="3065" spans="1:13" x14ac:dyDescent="0.25">
      <c r="A3065">
        <v>2003713</v>
      </c>
      <c r="B3065" t="s">
        <v>10335</v>
      </c>
      <c r="C3065" t="s">
        <v>2640</v>
      </c>
      <c r="D3065" s="254">
        <v>1304.76</v>
      </c>
      <c r="E3065"/>
      <c r="F3065"/>
      <c r="G3065"/>
      <c r="H3065"/>
      <c r="I3065" s="489"/>
      <c r="J3065" s="1095"/>
      <c r="K3065" s="1095"/>
      <c r="L3065" s="1095"/>
      <c r="M3065" s="1095"/>
    </row>
    <row r="3066" spans="1:13" x14ac:dyDescent="0.25">
      <c r="A3066">
        <v>2003716</v>
      </c>
      <c r="B3066" t="s">
        <v>10336</v>
      </c>
      <c r="C3066" t="s">
        <v>2640</v>
      </c>
      <c r="D3066" s="254">
        <v>1575.05</v>
      </c>
      <c r="E3066"/>
      <c r="F3066"/>
      <c r="G3066"/>
      <c r="H3066"/>
      <c r="I3066" s="489"/>
      <c r="J3066" s="1095"/>
      <c r="K3066" s="1095"/>
      <c r="L3066" s="1095"/>
      <c r="M3066" s="1095"/>
    </row>
    <row r="3067" spans="1:13" x14ac:dyDescent="0.25">
      <c r="A3067">
        <v>2003715</v>
      </c>
      <c r="B3067" t="s">
        <v>10337</v>
      </c>
      <c r="C3067" t="s">
        <v>2640</v>
      </c>
      <c r="D3067" s="254">
        <v>1521.22</v>
      </c>
      <c r="E3067"/>
      <c r="F3067"/>
      <c r="G3067"/>
      <c r="H3067"/>
      <c r="I3067" s="489"/>
      <c r="J3067" s="1095"/>
      <c r="K3067" s="1095"/>
      <c r="L3067" s="1095"/>
      <c r="M3067" s="1095"/>
    </row>
    <row r="3068" spans="1:13" x14ac:dyDescent="0.25">
      <c r="A3068">
        <v>2003718</v>
      </c>
      <c r="B3068" t="s">
        <v>10338</v>
      </c>
      <c r="C3068" t="s">
        <v>2640</v>
      </c>
      <c r="D3068" s="254">
        <v>1793.68</v>
      </c>
      <c r="E3068"/>
      <c r="F3068"/>
      <c r="G3068"/>
      <c r="H3068"/>
      <c r="I3068" s="489"/>
      <c r="J3068" s="1095"/>
      <c r="K3068" s="1095"/>
      <c r="L3068" s="1095"/>
      <c r="M3068" s="1095"/>
    </row>
    <row r="3069" spans="1:13" x14ac:dyDescent="0.25">
      <c r="A3069">
        <v>2003717</v>
      </c>
      <c r="B3069" t="s">
        <v>10339</v>
      </c>
      <c r="C3069" t="s">
        <v>2640</v>
      </c>
      <c r="D3069" s="254">
        <v>1733.02</v>
      </c>
      <c r="E3069"/>
      <c r="F3069"/>
      <c r="G3069"/>
      <c r="H3069"/>
      <c r="I3069" s="489"/>
      <c r="J3069" s="1095"/>
      <c r="K3069" s="1095"/>
      <c r="L3069" s="1095"/>
      <c r="M3069" s="1095"/>
    </row>
    <row r="3070" spans="1:13" x14ac:dyDescent="0.25">
      <c r="A3070">
        <v>2003720</v>
      </c>
      <c r="B3070" t="s">
        <v>10340</v>
      </c>
      <c r="C3070" t="s">
        <v>2640</v>
      </c>
      <c r="D3070" s="254">
        <v>2018.47</v>
      </c>
      <c r="E3070"/>
      <c r="F3070"/>
      <c r="G3070"/>
      <c r="H3070"/>
      <c r="I3070" s="489"/>
      <c r="J3070" s="1095"/>
      <c r="K3070" s="1095"/>
      <c r="L3070" s="1095"/>
      <c r="M3070" s="1095"/>
    </row>
    <row r="3071" spans="1:13" x14ac:dyDescent="0.25">
      <c r="A3071">
        <v>2003719</v>
      </c>
      <c r="B3071" t="s">
        <v>10341</v>
      </c>
      <c r="C3071" t="s">
        <v>2640</v>
      </c>
      <c r="D3071" s="254">
        <v>1949.45</v>
      </c>
      <c r="E3071"/>
      <c r="F3071"/>
      <c r="G3071"/>
      <c r="H3071"/>
      <c r="I3071" s="489"/>
      <c r="J3071" s="1095"/>
      <c r="K3071" s="1095"/>
      <c r="L3071" s="1095"/>
      <c r="M3071" s="1095"/>
    </row>
    <row r="3072" spans="1:13" x14ac:dyDescent="0.25">
      <c r="A3072">
        <v>2003722</v>
      </c>
      <c r="B3072" t="s">
        <v>10342</v>
      </c>
      <c r="C3072" t="s">
        <v>2640</v>
      </c>
      <c r="D3072" s="254">
        <v>2237.1</v>
      </c>
      <c r="E3072"/>
      <c r="F3072"/>
      <c r="G3072"/>
      <c r="H3072"/>
      <c r="I3072" s="489"/>
      <c r="J3072" s="1095"/>
      <c r="K3072" s="1095"/>
      <c r="L3072" s="1095"/>
      <c r="M3072" s="1095"/>
    </row>
    <row r="3073" spans="1:13" x14ac:dyDescent="0.25">
      <c r="A3073">
        <v>2003721</v>
      </c>
      <c r="B3073" t="s">
        <v>10343</v>
      </c>
      <c r="C3073" t="s">
        <v>2640</v>
      </c>
      <c r="D3073" s="254">
        <v>2161.25</v>
      </c>
      <c r="E3073"/>
      <c r="F3073"/>
      <c r="G3073"/>
      <c r="H3073"/>
      <c r="I3073" s="489"/>
      <c r="J3073" s="1095"/>
      <c r="K3073" s="1095"/>
      <c r="L3073" s="1095"/>
      <c r="M3073" s="1095"/>
    </row>
    <row r="3074" spans="1:13" x14ac:dyDescent="0.25">
      <c r="A3074">
        <v>2003724</v>
      </c>
      <c r="B3074" t="s">
        <v>10344</v>
      </c>
      <c r="C3074" t="s">
        <v>2640</v>
      </c>
      <c r="D3074" s="254">
        <v>2461.92</v>
      </c>
      <c r="E3074"/>
      <c r="F3074"/>
      <c r="G3074"/>
      <c r="H3074"/>
      <c r="I3074" s="489"/>
      <c r="J3074" s="1095"/>
      <c r="K3074" s="1095"/>
      <c r="L3074" s="1095"/>
      <c r="M3074" s="1095"/>
    </row>
    <row r="3075" spans="1:13" x14ac:dyDescent="0.25">
      <c r="A3075">
        <v>2003723</v>
      </c>
      <c r="B3075" t="s">
        <v>10345</v>
      </c>
      <c r="C3075" t="s">
        <v>2640</v>
      </c>
      <c r="D3075" s="254">
        <v>2377.71</v>
      </c>
      <c r="E3075"/>
      <c r="F3075"/>
      <c r="G3075"/>
      <c r="H3075"/>
      <c r="I3075" s="489"/>
      <c r="J3075" s="1095"/>
      <c r="K3075" s="1095"/>
      <c r="L3075" s="1095"/>
      <c r="M3075" s="1095"/>
    </row>
    <row r="3076" spans="1:13" x14ac:dyDescent="0.25">
      <c r="A3076">
        <v>2003726</v>
      </c>
      <c r="B3076" t="s">
        <v>10346</v>
      </c>
      <c r="C3076" t="s">
        <v>2640</v>
      </c>
      <c r="D3076" s="254">
        <v>2680.55</v>
      </c>
      <c r="E3076"/>
      <c r="F3076"/>
      <c r="G3076"/>
      <c r="H3076"/>
      <c r="I3076" s="489"/>
      <c r="J3076" s="1095"/>
      <c r="K3076" s="1095"/>
      <c r="L3076" s="1095"/>
      <c r="M3076" s="1095"/>
    </row>
    <row r="3077" spans="1:13" x14ac:dyDescent="0.25">
      <c r="A3077">
        <v>2003725</v>
      </c>
      <c r="B3077" t="s">
        <v>10347</v>
      </c>
      <c r="C3077" t="s">
        <v>2640</v>
      </c>
      <c r="D3077" s="254">
        <v>2589.5100000000002</v>
      </c>
      <c r="E3077"/>
      <c r="F3077"/>
      <c r="G3077"/>
      <c r="H3077"/>
      <c r="I3077" s="489"/>
      <c r="J3077" s="1095"/>
      <c r="K3077" s="1095"/>
      <c r="L3077" s="1095"/>
      <c r="M3077" s="1095"/>
    </row>
    <row r="3078" spans="1:13" x14ac:dyDescent="0.25">
      <c r="A3078">
        <v>2003859</v>
      </c>
      <c r="B3078" t="s">
        <v>10348</v>
      </c>
      <c r="C3078" t="s">
        <v>2596</v>
      </c>
      <c r="D3078" s="254">
        <v>64.34</v>
      </c>
      <c r="E3078"/>
      <c r="F3078"/>
      <c r="G3078"/>
      <c r="H3078"/>
      <c r="I3078" s="489"/>
      <c r="J3078" s="1095"/>
      <c r="K3078" s="1095"/>
      <c r="L3078" s="1095"/>
      <c r="M3078" s="1095"/>
    </row>
    <row r="3079" spans="1:13" x14ac:dyDescent="0.25">
      <c r="A3079">
        <v>2003861</v>
      </c>
      <c r="B3079" t="s">
        <v>10349</v>
      </c>
      <c r="C3079" t="s">
        <v>2598</v>
      </c>
      <c r="D3079" s="254">
        <v>23.98</v>
      </c>
      <c r="E3079"/>
      <c r="F3079"/>
      <c r="G3079"/>
      <c r="H3079"/>
      <c r="I3079" s="489"/>
      <c r="J3079" s="1095"/>
      <c r="K3079" s="1095"/>
      <c r="L3079" s="1095"/>
      <c r="M3079" s="1095"/>
    </row>
    <row r="3080" spans="1:13" x14ac:dyDescent="0.25">
      <c r="A3080">
        <v>2003862</v>
      </c>
      <c r="B3080" t="s">
        <v>10350</v>
      </c>
      <c r="C3080" t="s">
        <v>2598</v>
      </c>
      <c r="D3080" s="254">
        <v>20.07</v>
      </c>
      <c r="E3080"/>
      <c r="F3080"/>
      <c r="G3080"/>
      <c r="H3080"/>
      <c r="I3080" s="489"/>
      <c r="J3080" s="1095"/>
      <c r="K3080" s="1095"/>
      <c r="L3080" s="1095"/>
      <c r="M3080" s="1095"/>
    </row>
    <row r="3081" spans="1:13" x14ac:dyDescent="0.25">
      <c r="A3081">
        <v>2003405</v>
      </c>
      <c r="B3081" t="s">
        <v>10351</v>
      </c>
      <c r="C3081" t="s">
        <v>2598</v>
      </c>
      <c r="D3081" s="254">
        <v>202.25</v>
      </c>
      <c r="E3081"/>
      <c r="F3081"/>
      <c r="G3081"/>
      <c r="H3081"/>
      <c r="I3081" s="489"/>
      <c r="J3081" s="1095"/>
      <c r="K3081" s="1095"/>
      <c r="L3081" s="1095"/>
      <c r="M3081" s="1095"/>
    </row>
    <row r="3082" spans="1:13" x14ac:dyDescent="0.25">
      <c r="A3082">
        <v>2003404</v>
      </c>
      <c r="B3082" t="s">
        <v>10352</v>
      </c>
      <c r="C3082" t="s">
        <v>2598</v>
      </c>
      <c r="D3082" s="254">
        <v>164.98</v>
      </c>
      <c r="E3082"/>
      <c r="F3082"/>
      <c r="G3082"/>
      <c r="H3082"/>
      <c r="I3082" s="489"/>
      <c r="J3082" s="1095"/>
      <c r="K3082" s="1095"/>
      <c r="L3082" s="1095"/>
      <c r="M3082" s="1095"/>
    </row>
    <row r="3083" spans="1:13" x14ac:dyDescent="0.25">
      <c r="A3083">
        <v>2003407</v>
      </c>
      <c r="B3083" t="s">
        <v>6308</v>
      </c>
      <c r="C3083" t="s">
        <v>2598</v>
      </c>
      <c r="D3083" s="254">
        <v>270.07</v>
      </c>
      <c r="E3083"/>
      <c r="F3083"/>
      <c r="G3083"/>
      <c r="H3083"/>
      <c r="I3083" s="489"/>
      <c r="J3083" s="1095"/>
      <c r="K3083" s="1095"/>
      <c r="L3083" s="1095"/>
      <c r="M3083" s="1095"/>
    </row>
    <row r="3084" spans="1:13" x14ac:dyDescent="0.25">
      <c r="A3084">
        <v>2003406</v>
      </c>
      <c r="B3084" t="s">
        <v>10353</v>
      </c>
      <c r="C3084" t="s">
        <v>2598</v>
      </c>
      <c r="D3084" s="254">
        <v>232.81</v>
      </c>
      <c r="E3084"/>
      <c r="F3084"/>
      <c r="G3084"/>
      <c r="H3084"/>
      <c r="I3084" s="489"/>
      <c r="J3084" s="1095"/>
      <c r="K3084" s="1095"/>
      <c r="L3084" s="1095"/>
      <c r="M3084" s="1095"/>
    </row>
    <row r="3085" spans="1:13" x14ac:dyDescent="0.25">
      <c r="A3085">
        <v>2003409</v>
      </c>
      <c r="B3085" t="s">
        <v>10354</v>
      </c>
      <c r="C3085" t="s">
        <v>2598</v>
      </c>
      <c r="D3085" s="254">
        <v>431.59</v>
      </c>
      <c r="E3085"/>
      <c r="F3085"/>
      <c r="G3085"/>
      <c r="H3085"/>
      <c r="I3085" s="489"/>
      <c r="J3085" s="1095"/>
      <c r="K3085" s="1095"/>
      <c r="L3085" s="1095"/>
      <c r="M3085" s="1095"/>
    </row>
    <row r="3086" spans="1:13" x14ac:dyDescent="0.25">
      <c r="A3086">
        <v>2003408</v>
      </c>
      <c r="B3086" t="s">
        <v>10355</v>
      </c>
      <c r="C3086" t="s">
        <v>2598</v>
      </c>
      <c r="D3086" s="254">
        <v>347.04</v>
      </c>
      <c r="E3086"/>
      <c r="F3086"/>
      <c r="G3086"/>
      <c r="H3086"/>
      <c r="I3086" s="489"/>
      <c r="J3086" s="1095"/>
      <c r="K3086" s="1095"/>
      <c r="L3086" s="1095"/>
      <c r="M3086" s="1095"/>
    </row>
    <row r="3087" spans="1:13" x14ac:dyDescent="0.25">
      <c r="A3087">
        <v>2003411</v>
      </c>
      <c r="B3087" t="s">
        <v>6309</v>
      </c>
      <c r="C3087" t="s">
        <v>2598</v>
      </c>
      <c r="D3087" s="254">
        <v>619.37</v>
      </c>
      <c r="E3087"/>
      <c r="F3087"/>
      <c r="G3087"/>
      <c r="H3087"/>
      <c r="I3087" s="489"/>
      <c r="J3087" s="1095"/>
      <c r="K3087" s="1095"/>
      <c r="L3087" s="1095"/>
      <c r="M3087" s="1095"/>
    </row>
    <row r="3088" spans="1:13" x14ac:dyDescent="0.25">
      <c r="A3088">
        <v>2003410</v>
      </c>
      <c r="B3088" t="s">
        <v>10356</v>
      </c>
      <c r="C3088" t="s">
        <v>2598</v>
      </c>
      <c r="D3088" s="254">
        <v>534.80999999999995</v>
      </c>
      <c r="E3088"/>
      <c r="F3088"/>
      <c r="G3088"/>
      <c r="H3088"/>
      <c r="I3088" s="489"/>
      <c r="J3088" s="1095"/>
      <c r="K3088" s="1095"/>
      <c r="L3088" s="1095"/>
      <c r="M3088" s="1095"/>
    </row>
    <row r="3089" spans="1:13" x14ac:dyDescent="0.25">
      <c r="A3089">
        <v>2003413</v>
      </c>
      <c r="B3089" t="s">
        <v>6509</v>
      </c>
      <c r="C3089" t="s">
        <v>2598</v>
      </c>
      <c r="D3089" s="254">
        <v>605.07000000000005</v>
      </c>
      <c r="E3089"/>
      <c r="F3089"/>
      <c r="G3089"/>
      <c r="H3089"/>
      <c r="I3089" s="489"/>
      <c r="J3089" s="1095"/>
      <c r="K3089" s="1095"/>
      <c r="L3089" s="1095"/>
      <c r="M3089" s="1095"/>
    </row>
    <row r="3090" spans="1:13" x14ac:dyDescent="0.25">
      <c r="A3090">
        <v>2003412</v>
      </c>
      <c r="B3090" t="s">
        <v>10357</v>
      </c>
      <c r="C3090" t="s">
        <v>2598</v>
      </c>
      <c r="D3090" s="254">
        <v>487.55</v>
      </c>
      <c r="E3090"/>
      <c r="F3090"/>
      <c r="G3090"/>
      <c r="H3090"/>
      <c r="I3090" s="489"/>
      <c r="J3090" s="1095"/>
      <c r="K3090" s="1095"/>
      <c r="L3090" s="1095"/>
      <c r="M3090" s="1095"/>
    </row>
    <row r="3091" spans="1:13" x14ac:dyDescent="0.25">
      <c r="A3091">
        <v>2003415</v>
      </c>
      <c r="B3091" t="s">
        <v>6310</v>
      </c>
      <c r="C3091" t="s">
        <v>2598</v>
      </c>
      <c r="D3091" s="254">
        <v>830.05</v>
      </c>
      <c r="E3091"/>
      <c r="F3091"/>
      <c r="G3091"/>
      <c r="H3091"/>
      <c r="I3091" s="489"/>
      <c r="J3091" s="1095"/>
      <c r="K3091" s="1095"/>
      <c r="L3091" s="1095"/>
      <c r="M3091" s="1095"/>
    </row>
    <row r="3092" spans="1:13" x14ac:dyDescent="0.25">
      <c r="A3092">
        <v>2003414</v>
      </c>
      <c r="B3092" t="s">
        <v>10358</v>
      </c>
      <c r="C3092" t="s">
        <v>2598</v>
      </c>
      <c r="D3092" s="254">
        <v>712.53</v>
      </c>
      <c r="E3092"/>
      <c r="F3092"/>
      <c r="G3092"/>
      <c r="H3092"/>
      <c r="I3092" s="489"/>
      <c r="J3092" s="1095"/>
      <c r="K3092" s="1095"/>
      <c r="L3092" s="1095"/>
      <c r="M3092" s="1095"/>
    </row>
    <row r="3093" spans="1:13" x14ac:dyDescent="0.25">
      <c r="A3093">
        <v>2003417</v>
      </c>
      <c r="B3093" t="s">
        <v>10359</v>
      </c>
      <c r="C3093" t="s">
        <v>2598</v>
      </c>
      <c r="D3093" s="254">
        <v>788.62</v>
      </c>
      <c r="E3093"/>
      <c r="F3093"/>
      <c r="G3093"/>
      <c r="H3093"/>
      <c r="I3093" s="489"/>
      <c r="J3093" s="1095"/>
      <c r="K3093" s="1095"/>
      <c r="L3093" s="1095"/>
      <c r="M3093" s="1095"/>
    </row>
    <row r="3094" spans="1:13" x14ac:dyDescent="0.25">
      <c r="A3094">
        <v>2003416</v>
      </c>
      <c r="B3094" t="s">
        <v>10360</v>
      </c>
      <c r="C3094" t="s">
        <v>2598</v>
      </c>
      <c r="D3094" s="254">
        <v>635.27</v>
      </c>
      <c r="E3094"/>
      <c r="F3094"/>
      <c r="G3094"/>
      <c r="H3094"/>
      <c r="I3094" s="489"/>
      <c r="J3094" s="1095"/>
      <c r="K3094" s="1095"/>
      <c r="L3094" s="1095"/>
      <c r="M3094" s="1095"/>
    </row>
    <row r="3095" spans="1:13" x14ac:dyDescent="0.25">
      <c r="A3095">
        <v>2003419</v>
      </c>
      <c r="B3095" t="s">
        <v>6311</v>
      </c>
      <c r="C3095" t="s">
        <v>2598</v>
      </c>
      <c r="D3095" s="254">
        <v>1052.22</v>
      </c>
      <c r="E3095"/>
      <c r="F3095"/>
      <c r="G3095"/>
      <c r="H3095"/>
      <c r="I3095" s="489"/>
      <c r="J3095" s="1095"/>
      <c r="K3095" s="1095"/>
      <c r="L3095" s="1095"/>
      <c r="M3095" s="1095"/>
    </row>
    <row r="3096" spans="1:13" x14ac:dyDescent="0.25">
      <c r="A3096">
        <v>2003418</v>
      </c>
      <c r="B3096" t="s">
        <v>10361</v>
      </c>
      <c r="C3096" t="s">
        <v>2598</v>
      </c>
      <c r="D3096" s="254">
        <v>898.87</v>
      </c>
      <c r="E3096"/>
      <c r="F3096"/>
      <c r="G3096"/>
      <c r="H3096"/>
      <c r="I3096" s="489"/>
      <c r="J3096" s="1095"/>
      <c r="K3096" s="1095"/>
      <c r="L3096" s="1095"/>
      <c r="M3096" s="1095"/>
    </row>
    <row r="3097" spans="1:13" x14ac:dyDescent="0.25">
      <c r="A3097">
        <v>2003421</v>
      </c>
      <c r="B3097" t="s">
        <v>10362</v>
      </c>
      <c r="C3097" t="s">
        <v>2598</v>
      </c>
      <c r="D3097" s="254">
        <v>994.99</v>
      </c>
      <c r="E3097"/>
      <c r="F3097"/>
      <c r="G3097"/>
      <c r="H3097"/>
      <c r="I3097" s="489"/>
      <c r="J3097" s="1095"/>
      <c r="K3097" s="1095"/>
      <c r="L3097" s="1095"/>
      <c r="M3097" s="1095"/>
    </row>
    <row r="3098" spans="1:13" x14ac:dyDescent="0.25">
      <c r="A3098">
        <v>2003420</v>
      </c>
      <c r="B3098" t="s">
        <v>10363</v>
      </c>
      <c r="C3098" t="s">
        <v>2598</v>
      </c>
      <c r="D3098" s="254">
        <v>802.95</v>
      </c>
      <c r="E3098"/>
      <c r="F3098"/>
      <c r="G3098"/>
      <c r="H3098"/>
      <c r="I3098" s="489"/>
      <c r="J3098" s="1095"/>
      <c r="K3098" s="1095"/>
      <c r="L3098" s="1095"/>
      <c r="M3098" s="1095"/>
    </row>
    <row r="3099" spans="1:13" x14ac:dyDescent="0.25">
      <c r="A3099">
        <v>2003423</v>
      </c>
      <c r="B3099" t="s">
        <v>6312</v>
      </c>
      <c r="C3099" t="s">
        <v>2598</v>
      </c>
      <c r="D3099" s="254">
        <v>1289.06</v>
      </c>
      <c r="E3099"/>
      <c r="F3099"/>
      <c r="G3099"/>
      <c r="H3099"/>
      <c r="I3099" s="489"/>
      <c r="J3099" s="1095"/>
      <c r="K3099" s="1095"/>
      <c r="L3099" s="1095"/>
      <c r="M3099" s="1095"/>
    </row>
    <row r="3100" spans="1:13" x14ac:dyDescent="0.25">
      <c r="A3100">
        <v>2003422</v>
      </c>
      <c r="B3100" t="s">
        <v>10364</v>
      </c>
      <c r="C3100" t="s">
        <v>2598</v>
      </c>
      <c r="D3100" s="254">
        <v>1097.01</v>
      </c>
      <c r="E3100"/>
      <c r="F3100"/>
      <c r="G3100"/>
      <c r="H3100"/>
      <c r="I3100" s="489"/>
      <c r="J3100" s="1095"/>
      <c r="K3100" s="1095"/>
      <c r="L3100" s="1095"/>
      <c r="M3100" s="1095"/>
    </row>
    <row r="3101" spans="1:13" x14ac:dyDescent="0.25">
      <c r="A3101">
        <v>2003425</v>
      </c>
      <c r="B3101" t="s">
        <v>10365</v>
      </c>
      <c r="C3101" t="s">
        <v>2598</v>
      </c>
      <c r="D3101" s="254">
        <v>1296.3399999999999</v>
      </c>
      <c r="E3101"/>
      <c r="F3101"/>
      <c r="G3101"/>
      <c r="H3101"/>
      <c r="I3101" s="489"/>
      <c r="J3101" s="1095"/>
      <c r="K3101" s="1095"/>
      <c r="L3101" s="1095"/>
      <c r="M3101" s="1095"/>
    </row>
    <row r="3102" spans="1:13" x14ac:dyDescent="0.25">
      <c r="A3102">
        <v>2003424</v>
      </c>
      <c r="B3102" t="s">
        <v>10366</v>
      </c>
      <c r="C3102" t="s">
        <v>2598</v>
      </c>
      <c r="D3102" s="254">
        <v>1046.96</v>
      </c>
      <c r="E3102"/>
      <c r="F3102"/>
      <c r="G3102"/>
      <c r="H3102"/>
      <c r="I3102" s="489"/>
      <c r="J3102" s="1095"/>
      <c r="K3102" s="1095"/>
      <c r="L3102" s="1095"/>
      <c r="M3102" s="1095"/>
    </row>
    <row r="3103" spans="1:13" x14ac:dyDescent="0.25">
      <c r="A3103">
        <v>2003427</v>
      </c>
      <c r="B3103" t="s">
        <v>6313</v>
      </c>
      <c r="C3103" t="s">
        <v>2598</v>
      </c>
      <c r="D3103" s="254">
        <v>1685.38</v>
      </c>
      <c r="E3103"/>
      <c r="F3103"/>
      <c r="G3103"/>
      <c r="H3103"/>
      <c r="I3103" s="489"/>
      <c r="J3103" s="1095"/>
      <c r="K3103" s="1095"/>
      <c r="L3103" s="1095"/>
      <c r="M3103" s="1095"/>
    </row>
    <row r="3104" spans="1:13" x14ac:dyDescent="0.25">
      <c r="A3104">
        <v>2003426</v>
      </c>
      <c r="B3104" t="s">
        <v>10367</v>
      </c>
      <c r="C3104" t="s">
        <v>2598</v>
      </c>
      <c r="D3104" s="254">
        <v>1436.01</v>
      </c>
      <c r="E3104"/>
      <c r="F3104"/>
      <c r="G3104"/>
      <c r="H3104"/>
      <c r="I3104" s="489"/>
      <c r="J3104" s="1095"/>
      <c r="K3104" s="1095"/>
      <c r="L3104" s="1095"/>
      <c r="M3104" s="1095"/>
    </row>
    <row r="3105" spans="1:13" x14ac:dyDescent="0.25">
      <c r="A3105">
        <v>2003429</v>
      </c>
      <c r="B3105" t="s">
        <v>10368</v>
      </c>
      <c r="C3105" t="s">
        <v>2598</v>
      </c>
      <c r="D3105" s="254">
        <v>1637.04</v>
      </c>
      <c r="E3105"/>
      <c r="F3105"/>
      <c r="G3105"/>
      <c r="H3105"/>
      <c r="I3105" s="489"/>
      <c r="J3105" s="1095"/>
      <c r="K3105" s="1095"/>
      <c r="L3105" s="1095"/>
      <c r="M3105" s="1095"/>
    </row>
    <row r="3106" spans="1:13" x14ac:dyDescent="0.25">
      <c r="A3106">
        <v>2003428</v>
      </c>
      <c r="B3106" t="s">
        <v>10369</v>
      </c>
      <c r="C3106" t="s">
        <v>2598</v>
      </c>
      <c r="D3106" s="254">
        <v>1310.27</v>
      </c>
      <c r="E3106"/>
      <c r="F3106"/>
      <c r="G3106"/>
      <c r="H3106"/>
      <c r="I3106" s="489"/>
      <c r="J3106" s="1095"/>
      <c r="K3106" s="1095"/>
      <c r="L3106" s="1095"/>
      <c r="M3106" s="1095"/>
    </row>
    <row r="3107" spans="1:13" x14ac:dyDescent="0.25">
      <c r="A3107">
        <v>2003431</v>
      </c>
      <c r="B3107" t="s">
        <v>6314</v>
      </c>
      <c r="C3107" t="s">
        <v>2598</v>
      </c>
      <c r="D3107" s="254">
        <v>1997.51</v>
      </c>
      <c r="E3107"/>
      <c r="F3107"/>
      <c r="G3107"/>
      <c r="H3107"/>
      <c r="I3107" s="489"/>
      <c r="J3107" s="1095"/>
      <c r="K3107" s="1095"/>
      <c r="L3107" s="1095"/>
      <c r="M3107" s="1095"/>
    </row>
    <row r="3108" spans="1:13" x14ac:dyDescent="0.25">
      <c r="A3108">
        <v>2003430</v>
      </c>
      <c r="B3108" t="s">
        <v>10370</v>
      </c>
      <c r="C3108" t="s">
        <v>2598</v>
      </c>
      <c r="D3108" s="254">
        <v>1670.74</v>
      </c>
      <c r="E3108"/>
      <c r="F3108"/>
      <c r="G3108"/>
      <c r="H3108"/>
      <c r="I3108" s="489"/>
      <c r="J3108" s="1095"/>
      <c r="K3108" s="1095"/>
      <c r="L3108" s="1095"/>
      <c r="M3108" s="1095"/>
    </row>
    <row r="3109" spans="1:13" x14ac:dyDescent="0.25">
      <c r="A3109">
        <v>2003433</v>
      </c>
      <c r="B3109" t="s">
        <v>10371</v>
      </c>
      <c r="C3109" t="s">
        <v>2598</v>
      </c>
      <c r="D3109" s="254">
        <v>2112.71</v>
      </c>
      <c r="E3109"/>
      <c r="F3109"/>
      <c r="G3109"/>
      <c r="H3109"/>
      <c r="I3109" s="489"/>
      <c r="J3109" s="1095"/>
      <c r="K3109" s="1095"/>
      <c r="L3109" s="1095"/>
      <c r="M3109" s="1095"/>
    </row>
    <row r="3110" spans="1:13" x14ac:dyDescent="0.25">
      <c r="A3110">
        <v>2003432</v>
      </c>
      <c r="B3110" t="s">
        <v>10372</v>
      </c>
      <c r="C3110" t="s">
        <v>2598</v>
      </c>
      <c r="D3110" s="254">
        <v>1694.22</v>
      </c>
      <c r="E3110"/>
      <c r="F3110"/>
      <c r="G3110"/>
      <c r="H3110"/>
      <c r="I3110" s="489"/>
      <c r="J3110" s="1095"/>
      <c r="K3110" s="1095"/>
      <c r="L3110" s="1095"/>
      <c r="M3110" s="1095"/>
    </row>
    <row r="3111" spans="1:13" x14ac:dyDescent="0.25">
      <c r="A3111">
        <v>2003435</v>
      </c>
      <c r="B3111" t="s">
        <v>6315</v>
      </c>
      <c r="C3111" t="s">
        <v>2598</v>
      </c>
      <c r="D3111" s="254">
        <v>2534.2600000000002</v>
      </c>
      <c r="E3111"/>
      <c r="F3111"/>
      <c r="G3111"/>
      <c r="H3111"/>
      <c r="I3111" s="489"/>
      <c r="J3111" s="1095"/>
      <c r="K3111" s="1095"/>
      <c r="L3111" s="1095"/>
      <c r="M3111" s="1095"/>
    </row>
    <row r="3112" spans="1:13" x14ac:dyDescent="0.25">
      <c r="A3112">
        <v>2003434</v>
      </c>
      <c r="B3112" t="s">
        <v>10373</v>
      </c>
      <c r="C3112" t="s">
        <v>2598</v>
      </c>
      <c r="D3112" s="254">
        <v>2115.7600000000002</v>
      </c>
      <c r="E3112"/>
      <c r="F3112"/>
      <c r="G3112"/>
      <c r="H3112"/>
      <c r="I3112" s="489"/>
      <c r="J3112" s="1095"/>
      <c r="K3112" s="1095"/>
      <c r="L3112" s="1095"/>
      <c r="M3112" s="1095"/>
    </row>
    <row r="3113" spans="1:13" x14ac:dyDescent="0.25">
      <c r="A3113">
        <v>2003437</v>
      </c>
      <c r="B3113" t="s">
        <v>10374</v>
      </c>
      <c r="C3113" t="s">
        <v>2598</v>
      </c>
      <c r="D3113" s="254">
        <v>2864.92</v>
      </c>
      <c r="E3113"/>
      <c r="F3113"/>
      <c r="G3113"/>
      <c r="H3113"/>
      <c r="I3113" s="489"/>
      <c r="J3113" s="1095"/>
      <c r="K3113" s="1095"/>
      <c r="L3113" s="1095"/>
      <c r="M3113" s="1095"/>
    </row>
    <row r="3114" spans="1:13" x14ac:dyDescent="0.25">
      <c r="A3114">
        <v>2003436</v>
      </c>
      <c r="B3114" t="s">
        <v>10375</v>
      </c>
      <c r="C3114" t="s">
        <v>2598</v>
      </c>
      <c r="D3114" s="254">
        <v>2301.67</v>
      </c>
      <c r="E3114"/>
      <c r="F3114"/>
      <c r="G3114"/>
      <c r="H3114"/>
      <c r="I3114" s="489"/>
      <c r="J3114" s="1095"/>
      <c r="K3114" s="1095"/>
      <c r="L3114" s="1095"/>
      <c r="M3114" s="1095"/>
    </row>
    <row r="3115" spans="1:13" x14ac:dyDescent="0.25">
      <c r="A3115">
        <v>2003439</v>
      </c>
      <c r="B3115" t="s">
        <v>6316</v>
      </c>
      <c r="C3115" t="s">
        <v>2598</v>
      </c>
      <c r="D3115" s="254">
        <v>3392.75</v>
      </c>
      <c r="E3115"/>
      <c r="F3115"/>
      <c r="G3115"/>
      <c r="H3115"/>
      <c r="I3115" s="489"/>
      <c r="J3115" s="1095"/>
      <c r="K3115" s="1095"/>
      <c r="L3115" s="1095"/>
      <c r="M3115" s="1095"/>
    </row>
    <row r="3116" spans="1:13" x14ac:dyDescent="0.25">
      <c r="A3116">
        <v>2003438</v>
      </c>
      <c r="B3116" t="s">
        <v>10376</v>
      </c>
      <c r="C3116" t="s">
        <v>2598</v>
      </c>
      <c r="D3116" s="254">
        <v>2829.5</v>
      </c>
      <c r="E3116"/>
      <c r="F3116"/>
      <c r="G3116"/>
      <c r="H3116"/>
      <c r="I3116" s="489"/>
      <c r="J3116" s="1095"/>
      <c r="K3116" s="1095"/>
      <c r="L3116" s="1095"/>
      <c r="M3116" s="1095"/>
    </row>
    <row r="3117" spans="1:13" x14ac:dyDescent="0.25">
      <c r="A3117">
        <v>2003389</v>
      </c>
      <c r="B3117" t="s">
        <v>10377</v>
      </c>
      <c r="C3117" t="s">
        <v>2598</v>
      </c>
      <c r="D3117" s="254">
        <v>239.64</v>
      </c>
      <c r="E3117"/>
      <c r="F3117"/>
      <c r="G3117"/>
      <c r="H3117"/>
      <c r="I3117" s="489"/>
      <c r="J3117" s="1095"/>
      <c r="K3117" s="1095"/>
      <c r="L3117" s="1095"/>
      <c r="M3117" s="1095"/>
    </row>
    <row r="3118" spans="1:13" x14ac:dyDescent="0.25">
      <c r="A3118">
        <v>2003388</v>
      </c>
      <c r="B3118" t="s">
        <v>10378</v>
      </c>
      <c r="C3118" t="s">
        <v>2598</v>
      </c>
      <c r="D3118" s="254">
        <v>214.56</v>
      </c>
      <c r="E3118"/>
      <c r="F3118"/>
      <c r="G3118"/>
      <c r="H3118"/>
      <c r="I3118" s="489"/>
      <c r="J3118" s="1095"/>
      <c r="K3118" s="1095"/>
      <c r="L3118" s="1095"/>
      <c r="M3118" s="1095"/>
    </row>
    <row r="3119" spans="1:13" x14ac:dyDescent="0.25">
      <c r="A3119">
        <v>2003391</v>
      </c>
      <c r="B3119" t="s">
        <v>6306</v>
      </c>
      <c r="C3119" t="s">
        <v>2598</v>
      </c>
      <c r="D3119" s="254">
        <v>148.97</v>
      </c>
      <c r="E3119"/>
      <c r="F3119"/>
      <c r="G3119"/>
      <c r="H3119"/>
      <c r="I3119" s="489"/>
      <c r="J3119" s="1095"/>
      <c r="K3119" s="1095"/>
      <c r="L3119" s="1095"/>
      <c r="M3119" s="1095"/>
    </row>
    <row r="3120" spans="1:13" x14ac:dyDescent="0.25">
      <c r="A3120">
        <v>2003390</v>
      </c>
      <c r="B3120" t="s">
        <v>10379</v>
      </c>
      <c r="C3120" t="s">
        <v>2598</v>
      </c>
      <c r="D3120" s="254">
        <v>129.33000000000001</v>
      </c>
      <c r="E3120"/>
      <c r="F3120"/>
      <c r="G3120"/>
      <c r="H3120"/>
      <c r="I3120" s="489"/>
      <c r="J3120" s="1095"/>
      <c r="K3120" s="1095"/>
      <c r="L3120" s="1095"/>
      <c r="M3120" s="1095"/>
    </row>
    <row r="3121" spans="1:13" x14ac:dyDescent="0.25">
      <c r="A3121">
        <v>2003393</v>
      </c>
      <c r="B3121" t="s">
        <v>6307</v>
      </c>
      <c r="C3121" t="s">
        <v>2598</v>
      </c>
      <c r="D3121" s="254">
        <v>229.46</v>
      </c>
      <c r="E3121"/>
      <c r="F3121"/>
      <c r="G3121"/>
      <c r="H3121"/>
      <c r="I3121" s="489"/>
      <c r="J3121" s="1095"/>
      <c r="K3121" s="1095"/>
      <c r="L3121" s="1095"/>
      <c r="M3121" s="1095"/>
    </row>
    <row r="3122" spans="1:13" x14ac:dyDescent="0.25">
      <c r="A3122">
        <v>2003392</v>
      </c>
      <c r="B3122" t="s">
        <v>10380</v>
      </c>
      <c r="C3122" t="s">
        <v>2598</v>
      </c>
      <c r="D3122" s="254">
        <v>209.83</v>
      </c>
      <c r="E3122"/>
      <c r="F3122"/>
      <c r="G3122"/>
      <c r="H3122"/>
      <c r="I3122" s="489"/>
      <c r="J3122" s="1095"/>
      <c r="K3122" s="1095"/>
      <c r="L3122" s="1095"/>
      <c r="M3122" s="1095"/>
    </row>
    <row r="3123" spans="1:13" x14ac:dyDescent="0.25">
      <c r="A3123">
        <v>2003395</v>
      </c>
      <c r="B3123" t="s">
        <v>10381</v>
      </c>
      <c r="C3123" t="s">
        <v>2598</v>
      </c>
      <c r="D3123" s="254">
        <v>672.31</v>
      </c>
      <c r="E3123"/>
      <c r="F3123"/>
      <c r="G3123"/>
      <c r="H3123"/>
      <c r="I3123" s="489"/>
      <c r="J3123" s="1095"/>
      <c r="K3123" s="1095"/>
      <c r="L3123" s="1095"/>
      <c r="M3123" s="1095"/>
    </row>
    <row r="3124" spans="1:13" x14ac:dyDescent="0.25">
      <c r="A3124">
        <v>2003394</v>
      </c>
      <c r="B3124" t="s">
        <v>10382</v>
      </c>
      <c r="C3124" t="s">
        <v>2598</v>
      </c>
      <c r="D3124" s="254">
        <v>669.44</v>
      </c>
      <c r="E3124"/>
      <c r="F3124"/>
      <c r="G3124"/>
      <c r="H3124"/>
      <c r="I3124" s="489"/>
      <c r="J3124" s="1095"/>
      <c r="K3124" s="1095"/>
      <c r="L3124" s="1095"/>
      <c r="M3124" s="1095"/>
    </row>
    <row r="3125" spans="1:13" x14ac:dyDescent="0.25">
      <c r="A3125">
        <v>2003397</v>
      </c>
      <c r="B3125" t="s">
        <v>6240</v>
      </c>
      <c r="C3125" t="s">
        <v>2598</v>
      </c>
      <c r="D3125" s="254">
        <v>478.13</v>
      </c>
      <c r="E3125"/>
      <c r="F3125"/>
      <c r="G3125"/>
      <c r="H3125"/>
      <c r="I3125" s="489"/>
      <c r="J3125" s="1095"/>
      <c r="K3125" s="1095"/>
      <c r="L3125" s="1095"/>
      <c r="M3125" s="1095"/>
    </row>
    <row r="3126" spans="1:13" x14ac:dyDescent="0.25">
      <c r="A3126">
        <v>2003396</v>
      </c>
      <c r="B3126" t="s">
        <v>10383</v>
      </c>
      <c r="C3126" t="s">
        <v>2598</v>
      </c>
      <c r="D3126" s="254">
        <v>427.97</v>
      </c>
      <c r="E3126"/>
      <c r="F3126"/>
      <c r="G3126"/>
      <c r="H3126"/>
      <c r="I3126" s="489"/>
      <c r="J3126" s="1095"/>
      <c r="K3126" s="1095"/>
      <c r="L3126" s="1095"/>
      <c r="M3126" s="1095"/>
    </row>
    <row r="3127" spans="1:13" x14ac:dyDescent="0.25">
      <c r="A3127">
        <v>2003399</v>
      </c>
      <c r="B3127" t="s">
        <v>6305</v>
      </c>
      <c r="C3127" t="s">
        <v>2598</v>
      </c>
      <c r="D3127" s="254">
        <v>644.08000000000004</v>
      </c>
      <c r="E3127"/>
      <c r="F3127"/>
      <c r="G3127"/>
      <c r="H3127"/>
      <c r="I3127" s="489"/>
      <c r="J3127" s="1095"/>
      <c r="K3127" s="1095"/>
      <c r="L3127" s="1095"/>
      <c r="M3127" s="1095"/>
    </row>
    <row r="3128" spans="1:13" x14ac:dyDescent="0.25">
      <c r="A3128">
        <v>2003398</v>
      </c>
      <c r="B3128" t="s">
        <v>10384</v>
      </c>
      <c r="C3128" t="s">
        <v>2598</v>
      </c>
      <c r="D3128" s="254">
        <v>593.91999999999996</v>
      </c>
      <c r="E3128"/>
      <c r="F3128"/>
      <c r="G3128"/>
      <c r="H3128"/>
      <c r="I3128" s="489"/>
      <c r="J3128" s="1095"/>
      <c r="K3128" s="1095"/>
      <c r="L3128" s="1095"/>
      <c r="M3128" s="1095"/>
    </row>
    <row r="3129" spans="1:13" x14ac:dyDescent="0.25">
      <c r="A3129">
        <v>2003401</v>
      </c>
      <c r="B3129" t="s">
        <v>10385</v>
      </c>
      <c r="C3129" t="s">
        <v>2598</v>
      </c>
      <c r="D3129" s="254">
        <v>541.65</v>
      </c>
      <c r="E3129"/>
      <c r="F3129"/>
      <c r="G3129"/>
      <c r="H3129"/>
      <c r="I3129" s="489"/>
      <c r="J3129" s="1095"/>
      <c r="K3129" s="1095"/>
      <c r="L3129" s="1095"/>
      <c r="M3129" s="1095"/>
    </row>
    <row r="3130" spans="1:13" x14ac:dyDescent="0.25">
      <c r="A3130">
        <v>2003400</v>
      </c>
      <c r="B3130" t="s">
        <v>10386</v>
      </c>
      <c r="C3130" t="s">
        <v>2598</v>
      </c>
      <c r="D3130" s="254">
        <v>481.45</v>
      </c>
      <c r="E3130"/>
      <c r="F3130"/>
      <c r="G3130"/>
      <c r="H3130"/>
      <c r="I3130" s="489"/>
      <c r="J3130" s="1095"/>
      <c r="K3130" s="1095"/>
      <c r="L3130" s="1095"/>
      <c r="M3130" s="1095"/>
    </row>
    <row r="3131" spans="1:13" x14ac:dyDescent="0.25">
      <c r="A3131">
        <v>2003403</v>
      </c>
      <c r="B3131" t="s">
        <v>10387</v>
      </c>
      <c r="C3131" t="s">
        <v>2598</v>
      </c>
      <c r="D3131" s="254">
        <v>716.54</v>
      </c>
      <c r="E3131"/>
      <c r="F3131"/>
      <c r="G3131"/>
      <c r="H3131"/>
      <c r="I3131" s="489"/>
      <c r="J3131" s="1095"/>
      <c r="K3131" s="1095"/>
      <c r="L3131" s="1095"/>
      <c r="M3131" s="1095"/>
    </row>
    <row r="3132" spans="1:13" x14ac:dyDescent="0.25">
      <c r="A3132">
        <v>2003402</v>
      </c>
      <c r="B3132" t="s">
        <v>10388</v>
      </c>
      <c r="C3132" t="s">
        <v>2598</v>
      </c>
      <c r="D3132" s="254">
        <v>656.35</v>
      </c>
      <c r="E3132"/>
      <c r="F3132"/>
      <c r="G3132"/>
      <c r="H3132"/>
      <c r="I3132" s="489"/>
      <c r="J3132" s="1095"/>
      <c r="K3132" s="1095"/>
      <c r="L3132" s="1095"/>
      <c r="M3132" s="1095"/>
    </row>
    <row r="3133" spans="1:13" x14ac:dyDescent="0.25">
      <c r="A3133">
        <v>2003448</v>
      </c>
      <c r="B3133" t="s">
        <v>10389</v>
      </c>
      <c r="C3133" t="s">
        <v>2640</v>
      </c>
      <c r="D3133" s="254">
        <v>353.67</v>
      </c>
      <c r="E3133"/>
      <c r="F3133"/>
      <c r="G3133"/>
      <c r="H3133"/>
      <c r="I3133" s="489"/>
      <c r="J3133" s="1095"/>
      <c r="K3133" s="1095"/>
      <c r="L3133" s="1095"/>
      <c r="M3133" s="1095"/>
    </row>
    <row r="3134" spans="1:13" x14ac:dyDescent="0.25">
      <c r="A3134">
        <v>2003449</v>
      </c>
      <c r="B3134" t="s">
        <v>6298</v>
      </c>
      <c r="C3134" t="s">
        <v>2640</v>
      </c>
      <c r="D3134" s="254">
        <v>429.42</v>
      </c>
      <c r="E3134"/>
      <c r="F3134"/>
      <c r="G3134"/>
      <c r="H3134"/>
      <c r="I3134" s="489"/>
      <c r="J3134" s="1095"/>
      <c r="K3134" s="1095"/>
      <c r="L3134" s="1095"/>
      <c r="M3134" s="1095"/>
    </row>
    <row r="3135" spans="1:13" x14ac:dyDescent="0.25">
      <c r="A3135">
        <v>2003450</v>
      </c>
      <c r="B3135" t="s">
        <v>10390</v>
      </c>
      <c r="C3135" t="s">
        <v>2640</v>
      </c>
      <c r="D3135" s="254">
        <v>363.12</v>
      </c>
      <c r="E3135"/>
      <c r="F3135"/>
      <c r="G3135"/>
      <c r="H3135"/>
      <c r="I3135" s="489"/>
      <c r="J3135" s="1095"/>
      <c r="K3135" s="1095"/>
      <c r="L3135" s="1095"/>
      <c r="M3135" s="1095"/>
    </row>
    <row r="3136" spans="1:13" x14ac:dyDescent="0.25">
      <c r="A3136">
        <v>2003451</v>
      </c>
      <c r="B3136" t="s">
        <v>6299</v>
      </c>
      <c r="C3136" t="s">
        <v>2640</v>
      </c>
      <c r="D3136" s="254">
        <v>442.48</v>
      </c>
      <c r="E3136"/>
      <c r="F3136"/>
      <c r="G3136"/>
      <c r="H3136"/>
      <c r="I3136" s="489"/>
      <c r="J3136" s="1095"/>
      <c r="K3136" s="1095"/>
      <c r="L3136" s="1095"/>
      <c r="M3136" s="1095"/>
    </row>
    <row r="3137" spans="1:13" x14ac:dyDescent="0.25">
      <c r="A3137">
        <v>2003452</v>
      </c>
      <c r="B3137" t="s">
        <v>10391</v>
      </c>
      <c r="C3137" t="s">
        <v>2640</v>
      </c>
      <c r="D3137" s="254">
        <v>1110.98</v>
      </c>
      <c r="E3137"/>
      <c r="F3137"/>
      <c r="G3137"/>
      <c r="H3137"/>
      <c r="I3137" s="489"/>
      <c r="J3137" s="1095"/>
      <c r="K3137" s="1095"/>
      <c r="L3137" s="1095"/>
      <c r="M3137" s="1095"/>
    </row>
    <row r="3138" spans="1:13" x14ac:dyDescent="0.25">
      <c r="A3138">
        <v>2003453</v>
      </c>
      <c r="B3138" t="s">
        <v>6294</v>
      </c>
      <c r="C3138" t="s">
        <v>2640</v>
      </c>
      <c r="D3138" s="254">
        <v>1347.44</v>
      </c>
      <c r="E3138"/>
      <c r="F3138"/>
      <c r="G3138"/>
      <c r="H3138"/>
      <c r="I3138" s="489"/>
      <c r="J3138" s="1095"/>
      <c r="K3138" s="1095"/>
      <c r="L3138" s="1095"/>
      <c r="M3138" s="1095"/>
    </row>
    <row r="3139" spans="1:13" x14ac:dyDescent="0.25">
      <c r="A3139">
        <v>2003454</v>
      </c>
      <c r="B3139" t="s">
        <v>10392</v>
      </c>
      <c r="C3139" t="s">
        <v>2640</v>
      </c>
      <c r="D3139" s="254">
        <v>1563.09</v>
      </c>
      <c r="E3139"/>
      <c r="F3139"/>
      <c r="G3139"/>
      <c r="H3139"/>
      <c r="I3139" s="489"/>
      <c r="J3139" s="1095"/>
      <c r="K3139" s="1095"/>
      <c r="L3139" s="1095"/>
      <c r="M3139" s="1095"/>
    </row>
    <row r="3140" spans="1:13" x14ac:dyDescent="0.25">
      <c r="A3140">
        <v>2003455</v>
      </c>
      <c r="B3140" t="s">
        <v>6295</v>
      </c>
      <c r="C3140" t="s">
        <v>2640</v>
      </c>
      <c r="D3140" s="254">
        <v>1929.87</v>
      </c>
      <c r="E3140"/>
      <c r="F3140"/>
      <c r="G3140"/>
      <c r="H3140"/>
      <c r="I3140" s="489"/>
      <c r="J3140" s="1095"/>
      <c r="K3140" s="1095"/>
      <c r="L3140" s="1095"/>
      <c r="M3140" s="1095"/>
    </row>
    <row r="3141" spans="1:13" x14ac:dyDescent="0.25">
      <c r="A3141">
        <v>2003456</v>
      </c>
      <c r="B3141" t="s">
        <v>10393</v>
      </c>
      <c r="C3141" t="s">
        <v>2640</v>
      </c>
      <c r="D3141" s="254">
        <v>2083.23</v>
      </c>
      <c r="E3141"/>
      <c r="F3141"/>
      <c r="G3141"/>
      <c r="H3141"/>
      <c r="I3141" s="489"/>
      <c r="J3141" s="1095"/>
      <c r="K3141" s="1095"/>
      <c r="L3141" s="1095"/>
      <c r="M3141" s="1095"/>
    </row>
    <row r="3142" spans="1:13" x14ac:dyDescent="0.25">
      <c r="A3142">
        <v>2003457</v>
      </c>
      <c r="B3142" t="s">
        <v>6296</v>
      </c>
      <c r="C3142" t="s">
        <v>2640</v>
      </c>
      <c r="D3142" s="254">
        <v>2607.84</v>
      </c>
      <c r="E3142"/>
      <c r="F3142"/>
      <c r="G3142"/>
      <c r="H3142"/>
      <c r="I3142" s="489"/>
      <c r="J3142" s="1095"/>
      <c r="K3142" s="1095"/>
      <c r="L3142" s="1095"/>
      <c r="M3142" s="1095"/>
    </row>
    <row r="3143" spans="1:13" x14ac:dyDescent="0.25">
      <c r="A3143">
        <v>2003458</v>
      </c>
      <c r="B3143" t="s">
        <v>10394</v>
      </c>
      <c r="C3143" t="s">
        <v>2640</v>
      </c>
      <c r="D3143" s="254">
        <v>2638.92</v>
      </c>
      <c r="E3143"/>
      <c r="F3143"/>
      <c r="G3143"/>
      <c r="H3143"/>
      <c r="I3143" s="489"/>
      <c r="J3143" s="1095"/>
      <c r="K3143" s="1095"/>
      <c r="L3143" s="1095"/>
      <c r="M3143" s="1095"/>
    </row>
    <row r="3144" spans="1:13" x14ac:dyDescent="0.25">
      <c r="A3144">
        <v>2003459</v>
      </c>
      <c r="B3144" t="s">
        <v>6297</v>
      </c>
      <c r="C3144" t="s">
        <v>2640</v>
      </c>
      <c r="D3144" s="254">
        <v>3338.07</v>
      </c>
      <c r="E3144"/>
      <c r="F3144"/>
      <c r="G3144"/>
      <c r="H3144"/>
      <c r="I3144" s="489"/>
      <c r="J3144" s="1095"/>
      <c r="K3144" s="1095"/>
      <c r="L3144" s="1095"/>
      <c r="M3144" s="1095"/>
    </row>
    <row r="3145" spans="1:13" x14ac:dyDescent="0.25">
      <c r="A3145">
        <v>2003460</v>
      </c>
      <c r="B3145" t="s">
        <v>10395</v>
      </c>
      <c r="C3145" t="s">
        <v>2640</v>
      </c>
      <c r="D3145" s="254">
        <v>3709.84</v>
      </c>
      <c r="E3145"/>
      <c r="F3145"/>
      <c r="G3145"/>
      <c r="H3145"/>
      <c r="I3145" s="489"/>
      <c r="J3145" s="1095"/>
      <c r="K3145" s="1095"/>
      <c r="L3145" s="1095"/>
      <c r="M3145" s="1095"/>
    </row>
    <row r="3146" spans="1:13" x14ac:dyDescent="0.25">
      <c r="A3146">
        <v>2003461</v>
      </c>
      <c r="B3146" t="s">
        <v>10396</v>
      </c>
      <c r="C3146" t="s">
        <v>2640</v>
      </c>
      <c r="D3146" s="254">
        <v>4768.26</v>
      </c>
      <c r="E3146"/>
      <c r="F3146"/>
      <c r="G3146"/>
      <c r="H3146"/>
      <c r="I3146" s="489"/>
      <c r="J3146" s="1095"/>
      <c r="K3146" s="1095"/>
      <c r="L3146" s="1095"/>
      <c r="M3146" s="1095"/>
    </row>
    <row r="3147" spans="1:13" x14ac:dyDescent="0.25">
      <c r="A3147">
        <v>2003462</v>
      </c>
      <c r="B3147" t="s">
        <v>10397</v>
      </c>
      <c r="C3147" t="s">
        <v>2640</v>
      </c>
      <c r="D3147" s="254">
        <v>2671.39</v>
      </c>
      <c r="E3147"/>
      <c r="F3147"/>
      <c r="G3147"/>
      <c r="H3147"/>
      <c r="I3147" s="489"/>
      <c r="J3147" s="1095"/>
      <c r="K3147" s="1095"/>
      <c r="L3147" s="1095"/>
      <c r="M3147" s="1095"/>
    </row>
    <row r="3148" spans="1:13" x14ac:dyDescent="0.25">
      <c r="A3148">
        <v>2003463</v>
      </c>
      <c r="B3148" t="s">
        <v>6685</v>
      </c>
      <c r="C3148" t="s">
        <v>2640</v>
      </c>
      <c r="D3148" s="254">
        <v>3391.59</v>
      </c>
      <c r="E3148"/>
      <c r="F3148"/>
      <c r="G3148"/>
      <c r="H3148"/>
      <c r="I3148" s="489"/>
      <c r="J3148" s="1095"/>
      <c r="K3148" s="1095"/>
      <c r="L3148" s="1095"/>
      <c r="M3148" s="1095"/>
    </row>
    <row r="3149" spans="1:13" x14ac:dyDescent="0.25">
      <c r="A3149">
        <v>2003464</v>
      </c>
      <c r="B3149" t="s">
        <v>10398</v>
      </c>
      <c r="C3149" t="s">
        <v>2640</v>
      </c>
      <c r="D3149" s="254">
        <v>3424.78</v>
      </c>
      <c r="E3149"/>
      <c r="F3149"/>
      <c r="G3149"/>
      <c r="H3149"/>
      <c r="I3149" s="489"/>
      <c r="J3149" s="1095"/>
      <c r="K3149" s="1095"/>
      <c r="L3149" s="1095"/>
      <c r="M3149" s="1095"/>
    </row>
    <row r="3150" spans="1:13" x14ac:dyDescent="0.25">
      <c r="A3150">
        <v>2003465</v>
      </c>
      <c r="B3150" t="s">
        <v>7222</v>
      </c>
      <c r="C3150" t="s">
        <v>2640</v>
      </c>
      <c r="D3150" s="254">
        <v>4394.1400000000003</v>
      </c>
      <c r="E3150"/>
      <c r="F3150"/>
      <c r="G3150"/>
      <c r="H3150"/>
      <c r="I3150" s="489"/>
      <c r="J3150" s="1095"/>
      <c r="K3150" s="1095"/>
      <c r="L3150" s="1095"/>
      <c r="M3150" s="1095"/>
    </row>
    <row r="3151" spans="1:13" x14ac:dyDescent="0.25">
      <c r="A3151">
        <v>2003466</v>
      </c>
      <c r="B3151" t="s">
        <v>10399</v>
      </c>
      <c r="C3151" t="s">
        <v>2640</v>
      </c>
      <c r="D3151" s="254">
        <v>4775.08</v>
      </c>
      <c r="E3151"/>
      <c r="F3151"/>
      <c r="G3151"/>
      <c r="H3151"/>
      <c r="I3151" s="489"/>
      <c r="J3151" s="1095"/>
      <c r="K3151" s="1095"/>
      <c r="L3151" s="1095"/>
      <c r="M3151" s="1095"/>
    </row>
    <row r="3152" spans="1:13" x14ac:dyDescent="0.25">
      <c r="A3152">
        <v>2003467</v>
      </c>
      <c r="B3152" t="s">
        <v>10400</v>
      </c>
      <c r="C3152" t="s">
        <v>2640</v>
      </c>
      <c r="D3152" s="254">
        <v>6209.5</v>
      </c>
      <c r="E3152"/>
      <c r="F3152"/>
      <c r="G3152"/>
      <c r="H3152"/>
      <c r="I3152" s="489"/>
      <c r="J3152" s="1095"/>
      <c r="K3152" s="1095"/>
      <c r="L3152" s="1095"/>
      <c r="M3152" s="1095"/>
    </row>
    <row r="3153" spans="1:13" x14ac:dyDescent="0.25">
      <c r="A3153">
        <v>2003468</v>
      </c>
      <c r="B3153" t="s">
        <v>10401</v>
      </c>
      <c r="C3153" t="s">
        <v>2640</v>
      </c>
      <c r="D3153" s="254">
        <v>3263.31</v>
      </c>
      <c r="E3153"/>
      <c r="F3153"/>
      <c r="G3153"/>
      <c r="H3153"/>
      <c r="I3153" s="489"/>
      <c r="J3153" s="1095"/>
      <c r="K3153" s="1095"/>
      <c r="L3153" s="1095"/>
      <c r="M3153" s="1095"/>
    </row>
    <row r="3154" spans="1:13" x14ac:dyDescent="0.25">
      <c r="A3154">
        <v>2003469</v>
      </c>
      <c r="B3154" t="s">
        <v>10402</v>
      </c>
      <c r="C3154" t="s">
        <v>2640</v>
      </c>
      <c r="D3154" s="254">
        <v>4181.28</v>
      </c>
      <c r="E3154"/>
      <c r="F3154"/>
      <c r="G3154"/>
      <c r="H3154"/>
      <c r="I3154" s="489"/>
      <c r="J3154" s="1095"/>
      <c r="K3154" s="1095"/>
      <c r="L3154" s="1095"/>
      <c r="M3154" s="1095"/>
    </row>
    <row r="3155" spans="1:13" x14ac:dyDescent="0.25">
      <c r="A3155">
        <v>2003470</v>
      </c>
      <c r="B3155" t="s">
        <v>10403</v>
      </c>
      <c r="C3155" t="s">
        <v>2640</v>
      </c>
      <c r="D3155" s="254">
        <v>4210.66</v>
      </c>
      <c r="E3155"/>
      <c r="F3155"/>
      <c r="G3155"/>
      <c r="H3155"/>
      <c r="I3155" s="489"/>
      <c r="J3155" s="1095"/>
      <c r="K3155" s="1095"/>
      <c r="L3155" s="1095"/>
      <c r="M3155" s="1095"/>
    </row>
    <row r="3156" spans="1:13" x14ac:dyDescent="0.25">
      <c r="A3156">
        <v>2003471</v>
      </c>
      <c r="B3156" t="s">
        <v>10404</v>
      </c>
      <c r="C3156" t="s">
        <v>2640</v>
      </c>
      <c r="D3156" s="254">
        <v>5450.98</v>
      </c>
      <c r="E3156"/>
      <c r="F3156"/>
      <c r="G3156"/>
      <c r="H3156"/>
      <c r="I3156" s="489"/>
      <c r="J3156" s="1095"/>
      <c r="K3156" s="1095"/>
      <c r="L3156" s="1095"/>
      <c r="M3156" s="1095"/>
    </row>
    <row r="3157" spans="1:13" x14ac:dyDescent="0.25">
      <c r="A3157">
        <v>2003472</v>
      </c>
      <c r="B3157" t="s">
        <v>10405</v>
      </c>
      <c r="C3157" t="s">
        <v>2640</v>
      </c>
      <c r="D3157" s="254">
        <v>6188.33</v>
      </c>
      <c r="E3157"/>
      <c r="F3157"/>
      <c r="G3157"/>
      <c r="H3157"/>
      <c r="I3157" s="489"/>
      <c r="J3157" s="1095"/>
      <c r="K3157" s="1095"/>
      <c r="L3157" s="1095"/>
      <c r="M3157" s="1095"/>
    </row>
    <row r="3158" spans="1:13" x14ac:dyDescent="0.25">
      <c r="A3158">
        <v>2003473</v>
      </c>
      <c r="B3158" t="s">
        <v>10406</v>
      </c>
      <c r="C3158" t="s">
        <v>2640</v>
      </c>
      <c r="D3158" s="254">
        <v>8121.91</v>
      </c>
      <c r="E3158"/>
      <c r="F3158"/>
      <c r="G3158"/>
      <c r="H3158"/>
      <c r="I3158" s="489"/>
      <c r="J3158" s="1095"/>
      <c r="K3158" s="1095"/>
      <c r="L3158" s="1095"/>
      <c r="M3158" s="1095"/>
    </row>
    <row r="3159" spans="1:13" x14ac:dyDescent="0.25">
      <c r="A3159">
        <v>2003475</v>
      </c>
      <c r="B3159" t="s">
        <v>10407</v>
      </c>
      <c r="C3159" t="s">
        <v>2640</v>
      </c>
      <c r="D3159" s="254">
        <v>499.1</v>
      </c>
      <c r="E3159"/>
      <c r="F3159"/>
      <c r="G3159"/>
      <c r="H3159"/>
      <c r="I3159" s="489"/>
      <c r="J3159" s="1095"/>
      <c r="K3159" s="1095"/>
      <c r="L3159" s="1095"/>
      <c r="M3159" s="1095"/>
    </row>
    <row r="3160" spans="1:13" x14ac:dyDescent="0.25">
      <c r="A3160">
        <v>2003474</v>
      </c>
      <c r="B3160" t="s">
        <v>10408</v>
      </c>
      <c r="C3160" t="s">
        <v>2640</v>
      </c>
      <c r="D3160" s="254">
        <v>446.08</v>
      </c>
      <c r="E3160"/>
      <c r="F3160"/>
      <c r="G3160"/>
      <c r="H3160"/>
      <c r="I3160" s="489"/>
      <c r="J3160" s="1095"/>
      <c r="K3160" s="1095"/>
      <c r="L3160" s="1095"/>
      <c r="M3160" s="1095"/>
    </row>
    <row r="3161" spans="1:13" x14ac:dyDescent="0.25">
      <c r="A3161">
        <v>2003441</v>
      </c>
      <c r="B3161" t="s">
        <v>7223</v>
      </c>
      <c r="C3161" t="s">
        <v>2640</v>
      </c>
      <c r="D3161" s="254">
        <v>209.34</v>
      </c>
      <c r="E3161"/>
      <c r="F3161"/>
      <c r="G3161"/>
      <c r="H3161"/>
      <c r="I3161" s="489"/>
      <c r="J3161" s="1095"/>
      <c r="K3161" s="1095"/>
      <c r="L3161" s="1095"/>
      <c r="M3161" s="1095"/>
    </row>
    <row r="3162" spans="1:13" x14ac:dyDescent="0.25">
      <c r="A3162">
        <v>2003440</v>
      </c>
      <c r="B3162" t="s">
        <v>10409</v>
      </c>
      <c r="C3162" t="s">
        <v>2640</v>
      </c>
      <c r="D3162" s="254">
        <v>143.81</v>
      </c>
      <c r="E3162"/>
      <c r="F3162"/>
      <c r="G3162"/>
      <c r="H3162"/>
      <c r="I3162" s="489"/>
      <c r="J3162" s="1095"/>
      <c r="K3162" s="1095"/>
      <c r="L3162" s="1095"/>
      <c r="M3162" s="1095"/>
    </row>
    <row r="3163" spans="1:13" x14ac:dyDescent="0.25">
      <c r="A3163">
        <v>2003443</v>
      </c>
      <c r="B3163" t="s">
        <v>10410</v>
      </c>
      <c r="C3163" t="s">
        <v>2640</v>
      </c>
      <c r="D3163" s="254">
        <v>248.51</v>
      </c>
      <c r="E3163"/>
      <c r="F3163"/>
      <c r="G3163"/>
      <c r="H3163"/>
      <c r="I3163" s="489"/>
      <c r="J3163" s="1095"/>
      <c r="K3163" s="1095"/>
      <c r="L3163" s="1095"/>
      <c r="M3163" s="1095"/>
    </row>
    <row r="3164" spans="1:13" x14ac:dyDescent="0.25">
      <c r="A3164">
        <v>2003442</v>
      </c>
      <c r="B3164" t="s">
        <v>10411</v>
      </c>
      <c r="C3164" t="s">
        <v>2640</v>
      </c>
      <c r="D3164" s="254">
        <v>170.7</v>
      </c>
      <c r="E3164"/>
      <c r="F3164"/>
      <c r="G3164"/>
      <c r="H3164"/>
      <c r="I3164" s="489"/>
      <c r="J3164" s="1095"/>
      <c r="K3164" s="1095"/>
      <c r="L3164" s="1095"/>
      <c r="M3164" s="1095"/>
    </row>
    <row r="3165" spans="1:13" x14ac:dyDescent="0.25">
      <c r="A3165">
        <v>2003445</v>
      </c>
      <c r="B3165" t="s">
        <v>10412</v>
      </c>
      <c r="C3165" t="s">
        <v>2640</v>
      </c>
      <c r="D3165" s="254">
        <v>296.67</v>
      </c>
      <c r="E3165"/>
      <c r="F3165"/>
      <c r="G3165"/>
      <c r="H3165"/>
      <c r="I3165" s="489"/>
      <c r="J3165" s="1095"/>
      <c r="K3165" s="1095"/>
      <c r="L3165" s="1095"/>
      <c r="M3165" s="1095"/>
    </row>
    <row r="3166" spans="1:13" x14ac:dyDescent="0.25">
      <c r="A3166">
        <v>2003444</v>
      </c>
      <c r="B3166" t="s">
        <v>10413</v>
      </c>
      <c r="C3166" t="s">
        <v>2640</v>
      </c>
      <c r="D3166" s="254">
        <v>203.84</v>
      </c>
      <c r="E3166"/>
      <c r="F3166"/>
      <c r="G3166"/>
      <c r="H3166"/>
      <c r="I3166" s="489"/>
      <c r="J3166" s="1095"/>
      <c r="K3166" s="1095"/>
      <c r="L3166" s="1095"/>
      <c r="M3166" s="1095"/>
    </row>
    <row r="3167" spans="1:13" x14ac:dyDescent="0.25">
      <c r="A3167">
        <v>2003447</v>
      </c>
      <c r="B3167" t="s">
        <v>10414</v>
      </c>
      <c r="C3167" t="s">
        <v>2640</v>
      </c>
      <c r="D3167" s="254">
        <v>366.04</v>
      </c>
      <c r="E3167"/>
      <c r="F3167"/>
      <c r="G3167"/>
      <c r="H3167"/>
      <c r="I3167" s="489"/>
      <c r="J3167" s="1095"/>
      <c r="K3167" s="1095"/>
      <c r="L3167" s="1095"/>
      <c r="M3167" s="1095"/>
    </row>
    <row r="3168" spans="1:13" x14ac:dyDescent="0.25">
      <c r="A3168">
        <v>2003446</v>
      </c>
      <c r="B3168" t="s">
        <v>10415</v>
      </c>
      <c r="C3168" t="s">
        <v>2640</v>
      </c>
      <c r="D3168" s="254">
        <v>251.37</v>
      </c>
      <c r="E3168"/>
      <c r="F3168"/>
      <c r="G3168"/>
      <c r="H3168"/>
      <c r="I3168" s="489"/>
      <c r="J3168" s="1095"/>
      <c r="K3168" s="1095"/>
      <c r="L3168" s="1095"/>
      <c r="M3168" s="1095"/>
    </row>
    <row r="3169" spans="1:13" x14ac:dyDescent="0.25">
      <c r="A3169">
        <v>2004516</v>
      </c>
      <c r="B3169" t="s">
        <v>10416</v>
      </c>
      <c r="C3169" t="s">
        <v>2598</v>
      </c>
      <c r="D3169" s="254">
        <v>30.1</v>
      </c>
      <c r="E3169"/>
      <c r="F3169"/>
      <c r="G3169"/>
      <c r="H3169"/>
      <c r="I3169" s="489"/>
      <c r="J3169" s="1095"/>
      <c r="K3169" s="1095"/>
      <c r="L3169" s="1095"/>
      <c r="M3169" s="1095"/>
    </row>
    <row r="3170" spans="1:13" x14ac:dyDescent="0.25">
      <c r="A3170">
        <v>2004517</v>
      </c>
      <c r="B3170" t="s">
        <v>10417</v>
      </c>
      <c r="C3170" t="s">
        <v>2598</v>
      </c>
      <c r="D3170" s="254">
        <v>60.24</v>
      </c>
      <c r="E3170"/>
      <c r="F3170"/>
      <c r="G3170"/>
      <c r="H3170"/>
      <c r="I3170" s="489"/>
      <c r="J3170" s="1095"/>
      <c r="K3170" s="1095"/>
      <c r="L3170" s="1095"/>
      <c r="M3170" s="1095"/>
    </row>
    <row r="3171" spans="1:13" x14ac:dyDescent="0.25">
      <c r="A3171">
        <v>2007971</v>
      </c>
      <c r="B3171" t="s">
        <v>10418</v>
      </c>
      <c r="C3171" t="s">
        <v>2598</v>
      </c>
      <c r="D3171" s="254">
        <v>90.75</v>
      </c>
      <c r="E3171"/>
      <c r="F3171"/>
      <c r="G3171"/>
      <c r="H3171"/>
      <c r="I3171" s="489"/>
      <c r="J3171" s="1095"/>
      <c r="K3171" s="1095"/>
      <c r="L3171" s="1095"/>
      <c r="M3171" s="1095"/>
    </row>
    <row r="3172" spans="1:13" x14ac:dyDescent="0.25">
      <c r="A3172">
        <v>2008091</v>
      </c>
      <c r="B3172" t="s">
        <v>10419</v>
      </c>
      <c r="C3172" t="s">
        <v>2598</v>
      </c>
      <c r="D3172" s="254">
        <v>102.63</v>
      </c>
      <c r="E3172"/>
      <c r="F3172"/>
      <c r="G3172"/>
      <c r="H3172"/>
      <c r="I3172" s="489"/>
      <c r="J3172" s="1095"/>
      <c r="K3172" s="1095"/>
      <c r="L3172" s="1095"/>
      <c r="M3172" s="1095"/>
    </row>
    <row r="3173" spans="1:13" x14ac:dyDescent="0.25">
      <c r="A3173">
        <v>2006408</v>
      </c>
      <c r="B3173" t="s">
        <v>10420</v>
      </c>
      <c r="C3173" t="s">
        <v>2598</v>
      </c>
      <c r="D3173" s="254">
        <v>71.569999999999993</v>
      </c>
      <c r="E3173"/>
      <c r="F3173"/>
      <c r="G3173"/>
      <c r="H3173"/>
      <c r="I3173" s="489"/>
      <c r="J3173" s="1095"/>
      <c r="K3173" s="1095"/>
      <c r="L3173" s="1095"/>
      <c r="M3173" s="1095"/>
    </row>
    <row r="3174" spans="1:13" x14ac:dyDescent="0.25">
      <c r="A3174">
        <v>2015642</v>
      </c>
      <c r="B3174" t="s">
        <v>10421</v>
      </c>
      <c r="C3174" t="s">
        <v>2598</v>
      </c>
      <c r="D3174" s="254">
        <v>161.08000000000001</v>
      </c>
      <c r="E3174"/>
      <c r="F3174"/>
      <c r="G3174"/>
      <c r="H3174"/>
      <c r="I3174" s="489"/>
      <c r="J3174" s="1095"/>
      <c r="K3174" s="1095"/>
      <c r="L3174" s="1095"/>
      <c r="M3174" s="1095"/>
    </row>
    <row r="3175" spans="1:13" x14ac:dyDescent="0.25">
      <c r="A3175">
        <v>2015641</v>
      </c>
      <c r="B3175" t="s">
        <v>10422</v>
      </c>
      <c r="C3175" t="s">
        <v>2598</v>
      </c>
      <c r="D3175" s="254">
        <v>104.93</v>
      </c>
      <c r="E3175"/>
      <c r="F3175"/>
      <c r="G3175"/>
      <c r="H3175"/>
      <c r="I3175" s="489"/>
      <c r="J3175" s="1095"/>
      <c r="K3175" s="1095"/>
      <c r="L3175" s="1095"/>
      <c r="M3175" s="1095"/>
    </row>
    <row r="3176" spans="1:13" x14ac:dyDescent="0.25">
      <c r="A3176">
        <v>2004509</v>
      </c>
      <c r="B3176" t="s">
        <v>10423</v>
      </c>
      <c r="C3176" t="s">
        <v>2598</v>
      </c>
      <c r="D3176" s="254">
        <v>31.99</v>
      </c>
      <c r="E3176"/>
      <c r="F3176"/>
      <c r="G3176"/>
      <c r="H3176"/>
      <c r="I3176" s="489"/>
      <c r="J3176" s="1095"/>
      <c r="K3176" s="1095"/>
      <c r="L3176" s="1095"/>
      <c r="M3176" s="1095"/>
    </row>
    <row r="3177" spans="1:13" x14ac:dyDescent="0.25">
      <c r="A3177">
        <v>2004510</v>
      </c>
      <c r="B3177" t="s">
        <v>10424</v>
      </c>
      <c r="C3177" t="s">
        <v>2598</v>
      </c>
      <c r="D3177" s="254">
        <v>37.909999999999997</v>
      </c>
      <c r="E3177"/>
      <c r="F3177"/>
      <c r="G3177"/>
      <c r="H3177"/>
      <c r="I3177" s="489"/>
      <c r="J3177" s="1095"/>
      <c r="K3177" s="1095"/>
      <c r="L3177" s="1095"/>
      <c r="M3177" s="1095"/>
    </row>
    <row r="3178" spans="1:13" x14ac:dyDescent="0.25">
      <c r="A3178">
        <v>2004511</v>
      </c>
      <c r="B3178" t="s">
        <v>10425</v>
      </c>
      <c r="C3178" t="s">
        <v>2598</v>
      </c>
      <c r="D3178" s="254">
        <v>49.73</v>
      </c>
      <c r="E3178"/>
      <c r="F3178"/>
      <c r="G3178"/>
      <c r="H3178"/>
      <c r="I3178" s="489"/>
      <c r="J3178" s="1095"/>
      <c r="K3178" s="1095"/>
      <c r="L3178" s="1095"/>
      <c r="M3178" s="1095"/>
    </row>
    <row r="3179" spans="1:13" x14ac:dyDescent="0.25">
      <c r="A3179">
        <v>2004512</v>
      </c>
      <c r="B3179" t="s">
        <v>10426</v>
      </c>
      <c r="C3179" t="s">
        <v>2598</v>
      </c>
      <c r="D3179" s="254">
        <v>64.5</v>
      </c>
      <c r="E3179"/>
      <c r="F3179"/>
      <c r="G3179"/>
      <c r="H3179"/>
      <c r="I3179" s="489"/>
      <c r="J3179" s="1095"/>
      <c r="K3179" s="1095"/>
      <c r="L3179" s="1095"/>
      <c r="M3179" s="1095"/>
    </row>
    <row r="3180" spans="1:13" x14ac:dyDescent="0.25">
      <c r="A3180">
        <v>2003843</v>
      </c>
      <c r="B3180" t="s">
        <v>10427</v>
      </c>
      <c r="C3180" t="s">
        <v>2598</v>
      </c>
      <c r="D3180" s="254">
        <v>299.54000000000002</v>
      </c>
      <c r="E3180"/>
      <c r="F3180"/>
      <c r="G3180"/>
      <c r="H3180"/>
      <c r="I3180" s="489"/>
      <c r="J3180" s="1095"/>
      <c r="K3180" s="1095"/>
      <c r="L3180" s="1095"/>
      <c r="M3180" s="1095"/>
    </row>
    <row r="3181" spans="1:13" x14ac:dyDescent="0.25">
      <c r="A3181">
        <v>2003915</v>
      </c>
      <c r="B3181" t="s">
        <v>10428</v>
      </c>
      <c r="C3181" t="s">
        <v>2598</v>
      </c>
      <c r="D3181" s="254">
        <v>101.42</v>
      </c>
      <c r="E3181"/>
      <c r="F3181"/>
      <c r="G3181"/>
      <c r="H3181"/>
      <c r="I3181" s="489"/>
      <c r="J3181" s="1095"/>
      <c r="K3181" s="1095"/>
      <c r="L3181" s="1095"/>
      <c r="M3181" s="1095"/>
    </row>
    <row r="3182" spans="1:13" x14ac:dyDescent="0.25">
      <c r="A3182">
        <v>2003914</v>
      </c>
      <c r="B3182" t="s">
        <v>10429</v>
      </c>
      <c r="C3182" t="s">
        <v>2598</v>
      </c>
      <c r="D3182" s="254">
        <v>88.97</v>
      </c>
      <c r="E3182"/>
      <c r="F3182"/>
      <c r="G3182"/>
      <c r="H3182"/>
      <c r="I3182" s="489"/>
      <c r="J3182" s="1095"/>
      <c r="K3182" s="1095"/>
      <c r="L3182" s="1095"/>
      <c r="M3182" s="1095"/>
    </row>
    <row r="3183" spans="1:13" x14ac:dyDescent="0.25">
      <c r="A3183">
        <v>2003589</v>
      </c>
      <c r="B3183" t="s">
        <v>10430</v>
      </c>
      <c r="C3183" t="s">
        <v>2598</v>
      </c>
      <c r="D3183" s="254">
        <v>112.62</v>
      </c>
      <c r="E3183"/>
      <c r="F3183"/>
      <c r="G3183"/>
      <c r="H3183"/>
      <c r="I3183" s="489"/>
      <c r="J3183" s="1095"/>
      <c r="K3183" s="1095"/>
      <c r="L3183" s="1095"/>
      <c r="M3183" s="1095"/>
    </row>
    <row r="3184" spans="1:13" x14ac:dyDescent="0.25">
      <c r="A3184">
        <v>2003588</v>
      </c>
      <c r="B3184" t="s">
        <v>10431</v>
      </c>
      <c r="C3184" t="s">
        <v>2598</v>
      </c>
      <c r="D3184" s="254">
        <v>103.43</v>
      </c>
      <c r="E3184"/>
      <c r="F3184"/>
      <c r="G3184"/>
      <c r="H3184"/>
      <c r="I3184" s="489"/>
      <c r="J3184" s="1095"/>
      <c r="K3184" s="1095"/>
      <c r="L3184" s="1095"/>
      <c r="M3184" s="1095"/>
    </row>
    <row r="3185" spans="1:13" x14ac:dyDescent="0.25">
      <c r="A3185">
        <v>2003917</v>
      </c>
      <c r="B3185" t="s">
        <v>10432</v>
      </c>
      <c r="C3185" t="s">
        <v>2598</v>
      </c>
      <c r="D3185" s="254">
        <v>116.3</v>
      </c>
      <c r="E3185"/>
      <c r="F3185"/>
      <c r="G3185"/>
      <c r="H3185"/>
      <c r="I3185" s="489"/>
      <c r="J3185" s="1095"/>
      <c r="K3185" s="1095"/>
      <c r="L3185" s="1095"/>
      <c r="M3185" s="1095"/>
    </row>
    <row r="3186" spans="1:13" x14ac:dyDescent="0.25">
      <c r="A3186">
        <v>2003916</v>
      </c>
      <c r="B3186" t="s">
        <v>10433</v>
      </c>
      <c r="C3186" t="s">
        <v>2598</v>
      </c>
      <c r="D3186" s="254">
        <v>103.85</v>
      </c>
      <c r="E3186"/>
      <c r="F3186"/>
      <c r="G3186"/>
      <c r="H3186"/>
      <c r="I3186" s="489"/>
      <c r="J3186" s="1095"/>
      <c r="K3186" s="1095"/>
      <c r="L3186" s="1095"/>
      <c r="M3186" s="1095"/>
    </row>
    <row r="3187" spans="1:13" x14ac:dyDescent="0.25">
      <c r="A3187">
        <v>2003591</v>
      </c>
      <c r="B3187" t="s">
        <v>10434</v>
      </c>
      <c r="C3187" t="s">
        <v>2598</v>
      </c>
      <c r="D3187" s="254">
        <v>127.5</v>
      </c>
      <c r="E3187"/>
      <c r="F3187"/>
      <c r="G3187"/>
      <c r="H3187"/>
      <c r="I3187" s="489"/>
      <c r="J3187" s="1095"/>
      <c r="K3187" s="1095"/>
      <c r="L3187" s="1095"/>
      <c r="M3187" s="1095"/>
    </row>
    <row r="3188" spans="1:13" x14ac:dyDescent="0.25">
      <c r="A3188">
        <v>2003590</v>
      </c>
      <c r="B3188" t="s">
        <v>10435</v>
      </c>
      <c r="C3188" t="s">
        <v>2598</v>
      </c>
      <c r="D3188" s="254">
        <v>118.31</v>
      </c>
      <c r="E3188"/>
      <c r="F3188"/>
      <c r="G3188"/>
      <c r="H3188"/>
      <c r="I3188" s="489"/>
      <c r="J3188" s="1095"/>
      <c r="K3188" s="1095"/>
      <c r="L3188" s="1095"/>
      <c r="M3188" s="1095"/>
    </row>
    <row r="3189" spans="1:13" x14ac:dyDescent="0.25">
      <c r="A3189">
        <v>2003593</v>
      </c>
      <c r="B3189" t="s">
        <v>10436</v>
      </c>
      <c r="C3189" t="s">
        <v>2598</v>
      </c>
      <c r="D3189" s="254">
        <v>79.97</v>
      </c>
      <c r="E3189"/>
      <c r="F3189"/>
      <c r="G3189"/>
      <c r="H3189"/>
      <c r="I3189" s="489"/>
      <c r="J3189" s="1095"/>
      <c r="K3189" s="1095"/>
      <c r="L3189" s="1095"/>
      <c r="M3189" s="1095"/>
    </row>
    <row r="3190" spans="1:13" x14ac:dyDescent="0.25">
      <c r="A3190">
        <v>2003592</v>
      </c>
      <c r="B3190" t="s">
        <v>10437</v>
      </c>
      <c r="C3190" t="s">
        <v>2598</v>
      </c>
      <c r="D3190" s="254">
        <v>66.84</v>
      </c>
      <c r="E3190"/>
      <c r="F3190"/>
      <c r="G3190"/>
      <c r="H3190"/>
      <c r="I3190" s="489"/>
      <c r="J3190" s="1095"/>
      <c r="K3190" s="1095"/>
      <c r="L3190" s="1095"/>
      <c r="M3190" s="1095"/>
    </row>
    <row r="3191" spans="1:13" x14ac:dyDescent="0.25">
      <c r="A3191">
        <v>2003595</v>
      </c>
      <c r="B3191" t="s">
        <v>5160</v>
      </c>
      <c r="C3191" t="s">
        <v>2598</v>
      </c>
      <c r="D3191" s="254">
        <v>65.099999999999994</v>
      </c>
      <c r="E3191"/>
      <c r="F3191"/>
      <c r="G3191"/>
      <c r="H3191"/>
      <c r="I3191" s="489"/>
      <c r="J3191" s="1095"/>
      <c r="K3191" s="1095"/>
      <c r="L3191" s="1095"/>
      <c r="M3191" s="1095"/>
    </row>
    <row r="3192" spans="1:13" x14ac:dyDescent="0.25">
      <c r="A3192">
        <v>2003594</v>
      </c>
      <c r="B3192" t="s">
        <v>10438</v>
      </c>
      <c r="C3192" t="s">
        <v>2598</v>
      </c>
      <c r="D3192" s="254">
        <v>51.97</v>
      </c>
      <c r="E3192"/>
      <c r="F3192"/>
      <c r="G3192"/>
      <c r="H3192"/>
      <c r="I3192" s="489"/>
      <c r="J3192" s="1095"/>
      <c r="K3192" s="1095"/>
      <c r="L3192" s="1095"/>
      <c r="M3192" s="1095"/>
    </row>
    <row r="3193" spans="1:13" x14ac:dyDescent="0.25">
      <c r="A3193">
        <v>2003597</v>
      </c>
      <c r="B3193" t="s">
        <v>10439</v>
      </c>
      <c r="C3193" t="s">
        <v>2598</v>
      </c>
      <c r="D3193" s="254">
        <v>105.89</v>
      </c>
      <c r="E3193"/>
      <c r="F3193"/>
      <c r="G3193"/>
      <c r="H3193"/>
      <c r="I3193" s="489"/>
      <c r="J3193" s="1095"/>
      <c r="K3193" s="1095"/>
      <c r="L3193" s="1095"/>
      <c r="M3193" s="1095"/>
    </row>
    <row r="3194" spans="1:13" x14ac:dyDescent="0.25">
      <c r="A3194">
        <v>2003596</v>
      </c>
      <c r="B3194" t="s">
        <v>10440</v>
      </c>
      <c r="C3194" t="s">
        <v>2598</v>
      </c>
      <c r="D3194" s="254">
        <v>83.16</v>
      </c>
      <c r="E3194"/>
      <c r="F3194"/>
      <c r="G3194"/>
      <c r="H3194"/>
      <c r="I3194" s="489"/>
      <c r="J3194" s="1095"/>
      <c r="K3194" s="1095"/>
      <c r="L3194" s="1095"/>
      <c r="M3194" s="1095"/>
    </row>
    <row r="3195" spans="1:13" x14ac:dyDescent="0.25">
      <c r="A3195">
        <v>2003572</v>
      </c>
      <c r="B3195" t="s">
        <v>10441</v>
      </c>
      <c r="C3195" t="s">
        <v>2598</v>
      </c>
      <c r="D3195" s="254">
        <v>136.74</v>
      </c>
      <c r="E3195"/>
      <c r="F3195"/>
      <c r="G3195"/>
      <c r="H3195"/>
      <c r="I3195" s="489"/>
      <c r="J3195" s="1095"/>
      <c r="K3195" s="1095"/>
      <c r="L3195" s="1095"/>
      <c r="M3195" s="1095"/>
    </row>
    <row r="3196" spans="1:13" x14ac:dyDescent="0.25">
      <c r="A3196">
        <v>2003580</v>
      </c>
      <c r="B3196" t="s">
        <v>10442</v>
      </c>
      <c r="C3196" t="s">
        <v>2598</v>
      </c>
      <c r="D3196" s="254">
        <v>59.87</v>
      </c>
      <c r="E3196"/>
      <c r="F3196"/>
      <c r="G3196"/>
      <c r="H3196"/>
      <c r="I3196" s="489"/>
      <c r="J3196" s="1095"/>
      <c r="K3196" s="1095"/>
      <c r="L3196" s="1095"/>
      <c r="M3196" s="1095"/>
    </row>
    <row r="3197" spans="1:13" x14ac:dyDescent="0.25">
      <c r="A3197">
        <v>2003573</v>
      </c>
      <c r="B3197" t="s">
        <v>10443</v>
      </c>
      <c r="C3197" t="s">
        <v>2598</v>
      </c>
      <c r="D3197" s="254">
        <v>147.12</v>
      </c>
      <c r="E3197"/>
      <c r="F3197"/>
      <c r="G3197"/>
      <c r="H3197"/>
      <c r="I3197" s="489"/>
      <c r="J3197" s="1095"/>
      <c r="K3197" s="1095"/>
      <c r="L3197" s="1095"/>
      <c r="M3197" s="1095"/>
    </row>
    <row r="3198" spans="1:13" x14ac:dyDescent="0.25">
      <c r="A3198">
        <v>2003581</v>
      </c>
      <c r="B3198" t="s">
        <v>10444</v>
      </c>
      <c r="C3198" t="s">
        <v>2598</v>
      </c>
      <c r="D3198" s="254">
        <v>58.24</v>
      </c>
      <c r="E3198"/>
      <c r="F3198"/>
      <c r="G3198"/>
      <c r="H3198"/>
      <c r="I3198" s="489"/>
      <c r="J3198" s="1095"/>
      <c r="K3198" s="1095"/>
      <c r="L3198" s="1095"/>
      <c r="M3198" s="1095"/>
    </row>
    <row r="3199" spans="1:13" x14ac:dyDescent="0.25">
      <c r="A3199">
        <v>2003561</v>
      </c>
      <c r="B3199" t="s">
        <v>10445</v>
      </c>
      <c r="C3199" t="s">
        <v>2598</v>
      </c>
      <c r="D3199" s="254">
        <v>206.18</v>
      </c>
      <c r="E3199"/>
      <c r="F3199"/>
      <c r="G3199"/>
      <c r="H3199"/>
      <c r="I3199" s="489"/>
      <c r="J3199" s="1095"/>
      <c r="K3199" s="1095"/>
      <c r="L3199" s="1095"/>
      <c r="M3199" s="1095"/>
    </row>
    <row r="3200" spans="1:13" x14ac:dyDescent="0.25">
      <c r="A3200">
        <v>2003560</v>
      </c>
      <c r="B3200" t="s">
        <v>10446</v>
      </c>
      <c r="C3200" t="s">
        <v>2598</v>
      </c>
      <c r="D3200" s="254">
        <v>105.7</v>
      </c>
      <c r="E3200"/>
      <c r="F3200"/>
      <c r="G3200"/>
      <c r="H3200"/>
      <c r="I3200" s="489"/>
      <c r="J3200" s="1095"/>
      <c r="K3200" s="1095"/>
      <c r="L3200" s="1095"/>
      <c r="M3200" s="1095"/>
    </row>
    <row r="3201" spans="1:13" x14ac:dyDescent="0.25">
      <c r="A3201">
        <v>2003574</v>
      </c>
      <c r="B3201" t="s">
        <v>10447</v>
      </c>
      <c r="C3201" t="s">
        <v>2598</v>
      </c>
      <c r="D3201" s="254">
        <v>187.41</v>
      </c>
      <c r="E3201"/>
      <c r="F3201"/>
      <c r="G3201"/>
      <c r="H3201"/>
      <c r="I3201" s="489"/>
      <c r="J3201" s="1095"/>
      <c r="K3201" s="1095"/>
      <c r="L3201" s="1095"/>
      <c r="M3201" s="1095"/>
    </row>
    <row r="3202" spans="1:13" x14ac:dyDescent="0.25">
      <c r="A3202">
        <v>2003582</v>
      </c>
      <c r="B3202" t="s">
        <v>10448</v>
      </c>
      <c r="C3202" t="s">
        <v>2598</v>
      </c>
      <c r="D3202" s="254">
        <v>111.62</v>
      </c>
      <c r="E3202"/>
      <c r="F3202"/>
      <c r="G3202"/>
      <c r="H3202"/>
      <c r="I3202" s="489"/>
      <c r="J3202" s="1095"/>
      <c r="K3202" s="1095"/>
      <c r="L3202" s="1095"/>
      <c r="M3202" s="1095"/>
    </row>
    <row r="3203" spans="1:13" x14ac:dyDescent="0.25">
      <c r="A3203">
        <v>2003563</v>
      </c>
      <c r="B3203" t="s">
        <v>10449</v>
      </c>
      <c r="C3203" t="s">
        <v>2598</v>
      </c>
      <c r="D3203" s="254">
        <v>221.59</v>
      </c>
      <c r="E3203"/>
      <c r="F3203"/>
      <c r="G3203"/>
      <c r="H3203"/>
      <c r="I3203" s="489"/>
      <c r="J3203" s="1095"/>
      <c r="K3203" s="1095"/>
      <c r="L3203" s="1095"/>
      <c r="M3203" s="1095"/>
    </row>
    <row r="3204" spans="1:13" x14ac:dyDescent="0.25">
      <c r="A3204">
        <v>2003562</v>
      </c>
      <c r="B3204" t="s">
        <v>10450</v>
      </c>
      <c r="C3204" t="s">
        <v>2598</v>
      </c>
      <c r="D3204" s="254">
        <v>103.1</v>
      </c>
      <c r="E3204"/>
      <c r="F3204"/>
      <c r="G3204"/>
      <c r="H3204"/>
      <c r="I3204" s="489"/>
      <c r="J3204" s="1095"/>
      <c r="K3204" s="1095"/>
      <c r="L3204" s="1095"/>
      <c r="M3204" s="1095"/>
    </row>
    <row r="3205" spans="1:13" x14ac:dyDescent="0.25">
      <c r="A3205">
        <v>2003575</v>
      </c>
      <c r="B3205" t="s">
        <v>10451</v>
      </c>
      <c r="C3205" t="s">
        <v>2598</v>
      </c>
      <c r="D3205" s="254">
        <v>198.19</v>
      </c>
      <c r="E3205"/>
      <c r="F3205"/>
      <c r="G3205"/>
      <c r="H3205"/>
      <c r="I3205" s="489"/>
      <c r="J3205" s="1095"/>
      <c r="K3205" s="1095"/>
      <c r="L3205" s="1095"/>
      <c r="M3205" s="1095"/>
    </row>
    <row r="3206" spans="1:13" x14ac:dyDescent="0.25">
      <c r="A3206">
        <v>2003583</v>
      </c>
      <c r="B3206" t="s">
        <v>10452</v>
      </c>
      <c r="C3206" t="s">
        <v>2598</v>
      </c>
      <c r="D3206" s="254">
        <v>109.8</v>
      </c>
      <c r="E3206"/>
      <c r="F3206"/>
      <c r="G3206"/>
      <c r="H3206"/>
      <c r="I3206" s="489"/>
      <c r="J3206" s="1095"/>
      <c r="K3206" s="1095"/>
      <c r="L3206" s="1095"/>
      <c r="M3206" s="1095"/>
    </row>
    <row r="3207" spans="1:13" x14ac:dyDescent="0.25">
      <c r="A3207">
        <v>2003565</v>
      </c>
      <c r="B3207" t="s">
        <v>10453</v>
      </c>
      <c r="C3207" t="s">
        <v>2598</v>
      </c>
      <c r="D3207" s="254">
        <v>124.01</v>
      </c>
      <c r="E3207"/>
      <c r="F3207"/>
      <c r="G3207"/>
      <c r="H3207"/>
      <c r="I3207" s="489"/>
      <c r="J3207" s="1095"/>
      <c r="K3207" s="1095"/>
      <c r="L3207" s="1095"/>
      <c r="M3207" s="1095"/>
    </row>
    <row r="3208" spans="1:13" x14ac:dyDescent="0.25">
      <c r="A3208">
        <v>2003564</v>
      </c>
      <c r="B3208" t="s">
        <v>10454</v>
      </c>
      <c r="C3208" t="s">
        <v>2598</v>
      </c>
      <c r="D3208" s="254">
        <v>83.3</v>
      </c>
      <c r="E3208"/>
      <c r="F3208"/>
      <c r="G3208"/>
      <c r="H3208"/>
      <c r="I3208" s="489"/>
      <c r="J3208" s="1095"/>
      <c r="K3208" s="1095"/>
      <c r="L3208" s="1095"/>
      <c r="M3208" s="1095"/>
    </row>
    <row r="3209" spans="1:13" x14ac:dyDescent="0.25">
      <c r="A3209">
        <v>2003567</v>
      </c>
      <c r="B3209" t="s">
        <v>10455</v>
      </c>
      <c r="C3209" t="s">
        <v>2598</v>
      </c>
      <c r="D3209" s="254">
        <v>140.24</v>
      </c>
      <c r="E3209"/>
      <c r="F3209"/>
      <c r="G3209"/>
      <c r="H3209"/>
      <c r="I3209" s="489"/>
      <c r="J3209" s="1095"/>
      <c r="K3209" s="1095"/>
      <c r="L3209" s="1095"/>
      <c r="M3209" s="1095"/>
    </row>
    <row r="3210" spans="1:13" x14ac:dyDescent="0.25">
      <c r="A3210">
        <v>2003566</v>
      </c>
      <c r="B3210" t="s">
        <v>10456</v>
      </c>
      <c r="C3210" t="s">
        <v>2598</v>
      </c>
      <c r="D3210" s="254">
        <v>91</v>
      </c>
      <c r="E3210"/>
      <c r="F3210"/>
      <c r="G3210"/>
      <c r="H3210"/>
      <c r="I3210" s="489"/>
      <c r="J3210" s="1095"/>
      <c r="K3210" s="1095"/>
      <c r="L3210" s="1095"/>
      <c r="M3210" s="1095"/>
    </row>
    <row r="3211" spans="1:13" x14ac:dyDescent="0.25">
      <c r="A3211">
        <v>2003569</v>
      </c>
      <c r="B3211" t="s">
        <v>10457</v>
      </c>
      <c r="C3211" t="s">
        <v>2598</v>
      </c>
      <c r="D3211" s="254">
        <v>160.13999999999999</v>
      </c>
      <c r="E3211"/>
      <c r="F3211"/>
      <c r="G3211"/>
      <c r="H3211"/>
      <c r="I3211" s="489"/>
      <c r="J3211" s="1095"/>
      <c r="K3211" s="1095"/>
      <c r="L3211" s="1095"/>
      <c r="M3211" s="1095"/>
    </row>
    <row r="3212" spans="1:13" x14ac:dyDescent="0.25">
      <c r="A3212">
        <v>2003568</v>
      </c>
      <c r="B3212" t="s">
        <v>10458</v>
      </c>
      <c r="C3212" t="s">
        <v>2598</v>
      </c>
      <c r="D3212" s="254">
        <v>120.11</v>
      </c>
      <c r="E3212"/>
      <c r="F3212"/>
      <c r="G3212"/>
      <c r="H3212"/>
      <c r="I3212" s="489"/>
      <c r="J3212" s="1095"/>
      <c r="K3212" s="1095"/>
      <c r="L3212" s="1095"/>
      <c r="M3212" s="1095"/>
    </row>
    <row r="3213" spans="1:13" x14ac:dyDescent="0.25">
      <c r="A3213">
        <v>2003578</v>
      </c>
      <c r="B3213" t="s">
        <v>10459</v>
      </c>
      <c r="C3213" t="s">
        <v>2598</v>
      </c>
      <c r="D3213" s="254">
        <v>159.38999999999999</v>
      </c>
      <c r="E3213"/>
      <c r="F3213"/>
      <c r="G3213"/>
      <c r="H3213"/>
      <c r="I3213" s="489"/>
      <c r="J3213" s="1095"/>
      <c r="K3213" s="1095"/>
      <c r="L3213" s="1095"/>
      <c r="M3213" s="1095"/>
    </row>
    <row r="3214" spans="1:13" x14ac:dyDescent="0.25">
      <c r="A3214">
        <v>2003586</v>
      </c>
      <c r="B3214" t="s">
        <v>10460</v>
      </c>
      <c r="C3214" t="s">
        <v>2598</v>
      </c>
      <c r="D3214" s="254">
        <v>127.08</v>
      </c>
      <c r="E3214"/>
      <c r="F3214"/>
      <c r="G3214"/>
      <c r="H3214"/>
      <c r="I3214" s="489"/>
      <c r="J3214" s="1095"/>
      <c r="K3214" s="1095"/>
      <c r="L3214" s="1095"/>
      <c r="M3214" s="1095"/>
    </row>
    <row r="3215" spans="1:13" x14ac:dyDescent="0.25">
      <c r="A3215">
        <v>2003571</v>
      </c>
      <c r="B3215" t="s">
        <v>10461</v>
      </c>
      <c r="C3215" t="s">
        <v>2598</v>
      </c>
      <c r="D3215" s="254">
        <v>176.37</v>
      </c>
      <c r="E3215"/>
      <c r="F3215"/>
      <c r="G3215"/>
      <c r="H3215"/>
      <c r="I3215" s="489"/>
      <c r="J3215" s="1095"/>
      <c r="K3215" s="1095"/>
      <c r="L3215" s="1095"/>
      <c r="M3215" s="1095"/>
    </row>
    <row r="3216" spans="1:13" x14ac:dyDescent="0.25">
      <c r="A3216">
        <v>2003570</v>
      </c>
      <c r="B3216" t="s">
        <v>10462</v>
      </c>
      <c r="C3216" t="s">
        <v>2598</v>
      </c>
      <c r="D3216" s="254">
        <v>127.81</v>
      </c>
      <c r="E3216"/>
      <c r="F3216"/>
      <c r="G3216"/>
      <c r="H3216"/>
      <c r="I3216" s="489"/>
      <c r="J3216" s="1095"/>
      <c r="K3216" s="1095"/>
      <c r="L3216" s="1095"/>
      <c r="M3216" s="1095"/>
    </row>
    <row r="3217" spans="1:13" x14ac:dyDescent="0.25">
      <c r="A3217">
        <v>2003579</v>
      </c>
      <c r="B3217" t="s">
        <v>6300</v>
      </c>
      <c r="C3217" t="s">
        <v>2598</v>
      </c>
      <c r="D3217" s="254">
        <v>172.93</v>
      </c>
      <c r="E3217"/>
      <c r="F3217"/>
      <c r="G3217"/>
      <c r="H3217"/>
      <c r="I3217" s="489"/>
      <c r="J3217" s="1095"/>
      <c r="K3217" s="1095"/>
      <c r="L3217" s="1095"/>
      <c r="M3217" s="1095"/>
    </row>
    <row r="3218" spans="1:13" x14ac:dyDescent="0.25">
      <c r="A3218">
        <v>2003587</v>
      </c>
      <c r="B3218" t="s">
        <v>10463</v>
      </c>
      <c r="C3218" t="s">
        <v>2598</v>
      </c>
      <c r="D3218" s="254">
        <v>134.05000000000001</v>
      </c>
      <c r="E3218"/>
      <c r="F3218"/>
      <c r="G3218"/>
      <c r="H3218"/>
      <c r="I3218" s="489"/>
      <c r="J3218" s="1095"/>
      <c r="K3218" s="1095"/>
      <c r="L3218" s="1095"/>
      <c r="M3218" s="1095"/>
    </row>
    <row r="3219" spans="1:13" x14ac:dyDescent="0.25">
      <c r="A3219">
        <v>2004506</v>
      </c>
      <c r="B3219" t="s">
        <v>10464</v>
      </c>
      <c r="C3219" t="s">
        <v>2598</v>
      </c>
      <c r="D3219" s="254">
        <v>56.21</v>
      </c>
      <c r="E3219"/>
      <c r="F3219"/>
      <c r="G3219"/>
      <c r="H3219"/>
      <c r="I3219" s="489"/>
      <c r="J3219" s="1095"/>
      <c r="K3219" s="1095"/>
      <c r="L3219" s="1095"/>
      <c r="M3219" s="1095"/>
    </row>
    <row r="3220" spans="1:13" x14ac:dyDescent="0.25">
      <c r="A3220">
        <v>2004507</v>
      </c>
      <c r="B3220" t="s">
        <v>10465</v>
      </c>
      <c r="C3220" t="s">
        <v>2598</v>
      </c>
      <c r="D3220" s="254">
        <v>74.290000000000006</v>
      </c>
      <c r="E3220"/>
      <c r="F3220"/>
      <c r="G3220"/>
      <c r="H3220"/>
      <c r="I3220" s="489"/>
      <c r="J3220" s="1095"/>
      <c r="K3220" s="1095"/>
      <c r="L3220" s="1095"/>
      <c r="M3220" s="1095"/>
    </row>
    <row r="3221" spans="1:13" x14ac:dyDescent="0.25">
      <c r="A3221">
        <v>2003614</v>
      </c>
      <c r="B3221" t="s">
        <v>10466</v>
      </c>
      <c r="C3221" t="s">
        <v>2598</v>
      </c>
      <c r="D3221" s="254">
        <v>122.94</v>
      </c>
      <c r="E3221"/>
      <c r="F3221"/>
      <c r="G3221"/>
      <c r="H3221"/>
      <c r="I3221" s="489"/>
      <c r="J3221" s="1095"/>
      <c r="K3221" s="1095"/>
      <c r="L3221" s="1095"/>
      <c r="M3221" s="1095"/>
    </row>
    <row r="3222" spans="1:13" x14ac:dyDescent="0.25">
      <c r="A3222">
        <v>2003865</v>
      </c>
      <c r="B3222" t="s">
        <v>10467</v>
      </c>
      <c r="C3222" t="s">
        <v>2598</v>
      </c>
      <c r="D3222" s="254">
        <v>137.99</v>
      </c>
      <c r="E3222"/>
      <c r="F3222"/>
      <c r="G3222"/>
      <c r="H3222"/>
      <c r="I3222" s="489"/>
      <c r="J3222" s="1095"/>
      <c r="K3222" s="1095"/>
      <c r="L3222" s="1095"/>
      <c r="M3222" s="1095"/>
    </row>
    <row r="3223" spans="1:13" x14ac:dyDescent="0.25">
      <c r="A3223">
        <v>2003923</v>
      </c>
      <c r="B3223" t="s">
        <v>10468</v>
      </c>
      <c r="C3223" t="s">
        <v>2598</v>
      </c>
      <c r="D3223" s="254">
        <v>57.83</v>
      </c>
      <c r="E3223"/>
      <c r="F3223"/>
      <c r="G3223"/>
      <c r="H3223"/>
      <c r="I3223" s="489"/>
      <c r="J3223" s="1095"/>
      <c r="K3223" s="1095"/>
      <c r="L3223" s="1095"/>
      <c r="M3223" s="1095"/>
    </row>
    <row r="3224" spans="1:13" x14ac:dyDescent="0.25">
      <c r="A3224">
        <v>2003922</v>
      </c>
      <c r="B3224" t="s">
        <v>10469</v>
      </c>
      <c r="C3224" t="s">
        <v>2598</v>
      </c>
      <c r="D3224" s="254">
        <v>30.55</v>
      </c>
      <c r="E3224"/>
      <c r="F3224"/>
      <c r="G3224"/>
      <c r="H3224"/>
      <c r="I3224" s="489"/>
      <c r="J3224" s="1095"/>
      <c r="K3224" s="1095"/>
      <c r="L3224" s="1095"/>
      <c r="M3224" s="1095"/>
    </row>
    <row r="3225" spans="1:13" x14ac:dyDescent="0.25">
      <c r="A3225">
        <v>2003605</v>
      </c>
      <c r="B3225" t="s">
        <v>10470</v>
      </c>
      <c r="C3225" t="s">
        <v>2598</v>
      </c>
      <c r="D3225" s="254">
        <v>49.13</v>
      </c>
      <c r="E3225"/>
      <c r="F3225"/>
      <c r="G3225"/>
      <c r="H3225"/>
      <c r="I3225" s="489"/>
      <c r="J3225" s="1095"/>
      <c r="K3225" s="1095"/>
      <c r="L3225" s="1095"/>
      <c r="M3225" s="1095"/>
    </row>
    <row r="3226" spans="1:13" x14ac:dyDescent="0.25">
      <c r="A3226">
        <v>2003604</v>
      </c>
      <c r="B3226" t="s">
        <v>10471</v>
      </c>
      <c r="C3226" t="s">
        <v>2598</v>
      </c>
      <c r="D3226" s="254">
        <v>25.11</v>
      </c>
      <c r="E3226"/>
      <c r="F3226"/>
      <c r="G3226"/>
      <c r="H3226"/>
      <c r="I3226" s="489"/>
      <c r="J3226" s="1095"/>
      <c r="K3226" s="1095"/>
      <c r="L3226" s="1095"/>
      <c r="M3226" s="1095"/>
    </row>
    <row r="3227" spans="1:13" x14ac:dyDescent="0.25">
      <c r="A3227">
        <v>2003607</v>
      </c>
      <c r="B3227" t="s">
        <v>10472</v>
      </c>
      <c r="C3227" t="s">
        <v>2598</v>
      </c>
      <c r="D3227" s="254">
        <v>39.06</v>
      </c>
      <c r="E3227"/>
      <c r="F3227"/>
      <c r="G3227"/>
      <c r="H3227"/>
      <c r="I3227" s="489"/>
      <c r="J3227" s="1095"/>
      <c r="K3227" s="1095"/>
      <c r="L3227" s="1095"/>
      <c r="M3227" s="1095"/>
    </row>
    <row r="3228" spans="1:13" x14ac:dyDescent="0.25">
      <c r="A3228">
        <v>2003606</v>
      </c>
      <c r="B3228" t="s">
        <v>10473</v>
      </c>
      <c r="C3228" t="s">
        <v>2598</v>
      </c>
      <c r="D3228" s="254">
        <v>28.55</v>
      </c>
      <c r="E3228"/>
      <c r="F3228"/>
      <c r="G3228"/>
      <c r="H3228"/>
      <c r="I3228" s="489"/>
      <c r="J3228" s="1095"/>
      <c r="K3228" s="1095"/>
      <c r="L3228" s="1095"/>
      <c r="M3228" s="1095"/>
    </row>
    <row r="3229" spans="1:13" x14ac:dyDescent="0.25">
      <c r="A3229">
        <v>2003609</v>
      </c>
      <c r="B3229" t="s">
        <v>10474</v>
      </c>
      <c r="C3229" t="s">
        <v>2598</v>
      </c>
      <c r="D3229" s="254">
        <v>23.07</v>
      </c>
      <c r="E3229"/>
      <c r="F3229"/>
      <c r="G3229"/>
      <c r="H3229"/>
      <c r="I3229" s="489"/>
      <c r="J3229" s="1095"/>
      <c r="K3229" s="1095"/>
      <c r="L3229" s="1095"/>
      <c r="M3229" s="1095"/>
    </row>
    <row r="3230" spans="1:13" x14ac:dyDescent="0.25">
      <c r="A3230">
        <v>2003608</v>
      </c>
      <c r="B3230" t="s">
        <v>10475</v>
      </c>
      <c r="C3230" t="s">
        <v>2598</v>
      </c>
      <c r="D3230" s="254">
        <v>12.56</v>
      </c>
      <c r="E3230"/>
      <c r="F3230"/>
      <c r="G3230"/>
      <c r="H3230"/>
      <c r="I3230" s="489"/>
      <c r="J3230" s="1095"/>
      <c r="K3230" s="1095"/>
      <c r="L3230" s="1095"/>
      <c r="M3230" s="1095"/>
    </row>
    <row r="3231" spans="1:13" x14ac:dyDescent="0.25">
      <c r="A3231">
        <v>2003925</v>
      </c>
      <c r="B3231" t="s">
        <v>10476</v>
      </c>
      <c r="C3231" t="s">
        <v>2598</v>
      </c>
      <c r="D3231" s="254">
        <v>69.599999999999994</v>
      </c>
      <c r="E3231"/>
      <c r="F3231"/>
      <c r="G3231"/>
      <c r="H3231"/>
      <c r="I3231" s="489"/>
      <c r="J3231" s="1095"/>
      <c r="K3231" s="1095"/>
      <c r="L3231" s="1095"/>
      <c r="M3231" s="1095"/>
    </row>
    <row r="3232" spans="1:13" x14ac:dyDescent="0.25">
      <c r="A3232">
        <v>2003924</v>
      </c>
      <c r="B3232" t="s">
        <v>10477</v>
      </c>
      <c r="C3232" t="s">
        <v>2598</v>
      </c>
      <c r="D3232" s="254">
        <v>55.83</v>
      </c>
      <c r="E3232"/>
      <c r="F3232"/>
      <c r="G3232"/>
      <c r="H3232"/>
      <c r="I3232" s="489"/>
      <c r="J3232" s="1095"/>
      <c r="K3232" s="1095"/>
      <c r="L3232" s="1095"/>
      <c r="M3232" s="1095"/>
    </row>
    <row r="3233" spans="1:13" x14ac:dyDescent="0.25">
      <c r="A3233">
        <v>2003611</v>
      </c>
      <c r="B3233" t="s">
        <v>10478</v>
      </c>
      <c r="C3233" t="s">
        <v>2598</v>
      </c>
      <c r="D3233" s="254">
        <v>60.89</v>
      </c>
      <c r="E3233"/>
      <c r="F3233"/>
      <c r="G3233"/>
      <c r="H3233"/>
      <c r="I3233" s="489"/>
      <c r="J3233" s="1095"/>
      <c r="K3233" s="1095"/>
      <c r="L3233" s="1095"/>
      <c r="M3233" s="1095"/>
    </row>
    <row r="3234" spans="1:13" x14ac:dyDescent="0.25">
      <c r="A3234">
        <v>2003610</v>
      </c>
      <c r="B3234" t="s">
        <v>10479</v>
      </c>
      <c r="C3234" t="s">
        <v>2598</v>
      </c>
      <c r="D3234" s="254">
        <v>50.39</v>
      </c>
      <c r="E3234"/>
      <c r="F3234"/>
      <c r="G3234"/>
      <c r="H3234"/>
      <c r="I3234" s="489"/>
      <c r="J3234" s="1095"/>
      <c r="K3234" s="1095"/>
      <c r="L3234" s="1095"/>
      <c r="M3234" s="1095"/>
    </row>
    <row r="3235" spans="1:13" x14ac:dyDescent="0.25">
      <c r="A3235">
        <v>2003820</v>
      </c>
      <c r="B3235" t="s">
        <v>10480</v>
      </c>
      <c r="C3235" t="s">
        <v>2640</v>
      </c>
      <c r="D3235" s="254">
        <v>17.149999999999999</v>
      </c>
      <c r="E3235"/>
      <c r="F3235"/>
      <c r="G3235"/>
      <c r="H3235"/>
      <c r="I3235" s="489"/>
      <c r="J3235" s="1095"/>
      <c r="K3235" s="1095"/>
      <c r="L3235" s="1095"/>
      <c r="M3235" s="1095"/>
    </row>
    <row r="3236" spans="1:13" x14ac:dyDescent="0.25">
      <c r="A3236">
        <v>2003821</v>
      </c>
      <c r="B3236" t="s">
        <v>10481</v>
      </c>
      <c r="C3236" t="s">
        <v>2640</v>
      </c>
      <c r="D3236" s="254">
        <v>14.8</v>
      </c>
      <c r="E3236"/>
      <c r="F3236"/>
      <c r="G3236"/>
      <c r="H3236"/>
      <c r="I3236" s="489"/>
      <c r="J3236" s="1095"/>
      <c r="K3236" s="1095"/>
      <c r="L3236" s="1095"/>
      <c r="M3236" s="1095"/>
    </row>
    <row r="3237" spans="1:13" x14ac:dyDescent="0.25">
      <c r="A3237">
        <v>2003842</v>
      </c>
      <c r="B3237" t="s">
        <v>10482</v>
      </c>
      <c r="C3237" t="s">
        <v>2716</v>
      </c>
      <c r="D3237" s="254">
        <v>59.96</v>
      </c>
      <c r="E3237"/>
      <c r="F3237"/>
      <c r="G3237"/>
      <c r="H3237"/>
      <c r="I3237" s="489"/>
      <c r="J3237" s="1095"/>
      <c r="K3237" s="1095"/>
      <c r="L3237" s="1095"/>
      <c r="M3237" s="1095"/>
    </row>
    <row r="3238" spans="1:13" x14ac:dyDescent="0.25">
      <c r="A3238">
        <v>2003385</v>
      </c>
      <c r="B3238" t="s">
        <v>10483</v>
      </c>
      <c r="C3238" t="s">
        <v>2640</v>
      </c>
      <c r="D3238" s="254">
        <v>56.21</v>
      </c>
      <c r="E3238"/>
      <c r="F3238"/>
      <c r="G3238"/>
      <c r="H3238"/>
      <c r="I3238" s="489"/>
      <c r="J3238" s="1095"/>
      <c r="K3238" s="1095"/>
      <c r="L3238" s="1095"/>
      <c r="M3238" s="1095"/>
    </row>
    <row r="3239" spans="1:13" x14ac:dyDescent="0.25">
      <c r="A3239">
        <v>2003384</v>
      </c>
      <c r="B3239" t="s">
        <v>10484</v>
      </c>
      <c r="C3239" t="s">
        <v>2640</v>
      </c>
      <c r="D3239" s="254">
        <v>40.44</v>
      </c>
      <c r="E3239"/>
      <c r="F3239"/>
      <c r="G3239"/>
      <c r="H3239"/>
      <c r="I3239" s="489"/>
      <c r="J3239" s="1095"/>
      <c r="K3239" s="1095"/>
      <c r="L3239" s="1095"/>
      <c r="M3239" s="1095"/>
    </row>
    <row r="3240" spans="1:13" x14ac:dyDescent="0.25">
      <c r="A3240">
        <v>2003387</v>
      </c>
      <c r="B3240" t="s">
        <v>10485</v>
      </c>
      <c r="C3240" t="s">
        <v>2640</v>
      </c>
      <c r="D3240" s="254">
        <v>69.69</v>
      </c>
      <c r="E3240"/>
      <c r="F3240"/>
      <c r="G3240"/>
      <c r="H3240"/>
      <c r="I3240" s="489"/>
      <c r="J3240" s="1095"/>
      <c r="K3240" s="1095"/>
      <c r="L3240" s="1095"/>
      <c r="M3240" s="1095"/>
    </row>
    <row r="3241" spans="1:13" x14ac:dyDescent="0.25">
      <c r="A3241">
        <v>2003386</v>
      </c>
      <c r="B3241" t="s">
        <v>10486</v>
      </c>
      <c r="C3241" t="s">
        <v>2640</v>
      </c>
      <c r="D3241" s="254">
        <v>49.63</v>
      </c>
      <c r="E3241"/>
      <c r="F3241"/>
      <c r="G3241"/>
      <c r="H3241"/>
      <c r="I3241" s="489"/>
      <c r="J3241" s="1095"/>
      <c r="K3241" s="1095"/>
      <c r="L3241" s="1095"/>
      <c r="M3241" s="1095"/>
    </row>
    <row r="3242" spans="1:13" x14ac:dyDescent="0.25">
      <c r="A3242">
        <v>2003335</v>
      </c>
      <c r="B3242" t="s">
        <v>10487</v>
      </c>
      <c r="C3242" t="s">
        <v>2640</v>
      </c>
      <c r="D3242" s="254">
        <v>1746.27</v>
      </c>
      <c r="E3242"/>
      <c r="F3242"/>
      <c r="G3242"/>
      <c r="H3242"/>
      <c r="I3242" s="489"/>
      <c r="J3242" s="1095"/>
      <c r="K3242" s="1095"/>
      <c r="L3242" s="1095"/>
      <c r="M3242" s="1095"/>
    </row>
    <row r="3243" spans="1:13" x14ac:dyDescent="0.25">
      <c r="A3243">
        <v>2003334</v>
      </c>
      <c r="B3243" t="s">
        <v>10488</v>
      </c>
      <c r="C3243" t="s">
        <v>2640</v>
      </c>
      <c r="D3243" s="254">
        <v>1458.05</v>
      </c>
      <c r="E3243"/>
      <c r="F3243"/>
      <c r="G3243"/>
      <c r="H3243"/>
      <c r="I3243" s="489"/>
      <c r="J3243" s="1095"/>
      <c r="K3243" s="1095"/>
      <c r="L3243" s="1095"/>
      <c r="M3243" s="1095"/>
    </row>
    <row r="3244" spans="1:13" x14ac:dyDescent="0.25">
      <c r="A3244">
        <v>2003336</v>
      </c>
      <c r="B3244" t="s">
        <v>10489</v>
      </c>
      <c r="C3244" t="s">
        <v>2640</v>
      </c>
      <c r="D3244" s="254">
        <v>1493.58</v>
      </c>
      <c r="E3244"/>
      <c r="F3244"/>
      <c r="G3244"/>
      <c r="H3244"/>
      <c r="I3244" s="489"/>
      <c r="J3244" s="1095"/>
      <c r="K3244" s="1095"/>
      <c r="L3244" s="1095"/>
      <c r="M3244" s="1095"/>
    </row>
    <row r="3245" spans="1:13" x14ac:dyDescent="0.25">
      <c r="A3245">
        <v>2003337</v>
      </c>
      <c r="B3245" t="s">
        <v>10490</v>
      </c>
      <c r="C3245" t="s">
        <v>2640</v>
      </c>
      <c r="D3245" s="254">
        <v>1206.94</v>
      </c>
      <c r="E3245"/>
      <c r="F3245"/>
      <c r="G3245"/>
      <c r="H3245"/>
      <c r="I3245" s="489"/>
      <c r="J3245" s="1095"/>
      <c r="K3245" s="1095"/>
      <c r="L3245" s="1095"/>
      <c r="M3245" s="1095"/>
    </row>
    <row r="3246" spans="1:13" x14ac:dyDescent="0.25">
      <c r="A3246">
        <v>2003819</v>
      </c>
      <c r="B3246" t="s">
        <v>10491</v>
      </c>
      <c r="C3246" t="s">
        <v>2598</v>
      </c>
      <c r="D3246" s="254">
        <v>6.06</v>
      </c>
      <c r="E3246"/>
      <c r="F3246"/>
      <c r="G3246"/>
      <c r="H3246"/>
      <c r="I3246" s="489"/>
      <c r="J3246" s="1095"/>
      <c r="K3246" s="1095"/>
      <c r="L3246" s="1095"/>
      <c r="M3246" s="1095"/>
    </row>
    <row r="3247" spans="1:13" x14ac:dyDescent="0.25">
      <c r="A3247">
        <v>2004504</v>
      </c>
      <c r="B3247" t="s">
        <v>10492</v>
      </c>
      <c r="C3247" t="s">
        <v>2596</v>
      </c>
      <c r="D3247" s="254">
        <v>16.329999999999998</v>
      </c>
      <c r="E3247"/>
      <c r="F3247"/>
      <c r="G3247"/>
      <c r="H3247"/>
      <c r="I3247" s="489"/>
      <c r="J3247" s="1095"/>
      <c r="K3247" s="1095"/>
      <c r="L3247" s="1095"/>
      <c r="M3247" s="1095"/>
    </row>
    <row r="3248" spans="1:13" x14ac:dyDescent="0.25">
      <c r="A3248">
        <v>2004519</v>
      </c>
      <c r="B3248" t="s">
        <v>13525</v>
      </c>
      <c r="C3248" t="s">
        <v>2596</v>
      </c>
      <c r="D3248" s="254">
        <v>28.94</v>
      </c>
      <c r="E3248"/>
      <c r="F3248"/>
      <c r="G3248"/>
      <c r="H3248"/>
      <c r="I3248" s="489"/>
      <c r="J3248" s="1095"/>
      <c r="K3248" s="1095"/>
      <c r="L3248" s="1095"/>
      <c r="M3248" s="1095"/>
    </row>
    <row r="3249" spans="1:13" x14ac:dyDescent="0.25">
      <c r="A3249">
        <v>2004520</v>
      </c>
      <c r="B3249" t="s">
        <v>13526</v>
      </c>
      <c r="C3249" t="s">
        <v>2596</v>
      </c>
      <c r="D3249" s="254">
        <v>23.87</v>
      </c>
      <c r="E3249"/>
      <c r="F3249"/>
      <c r="G3249"/>
      <c r="H3249"/>
      <c r="I3249" s="489"/>
      <c r="J3249" s="1095"/>
      <c r="K3249" s="1095"/>
      <c r="L3249" s="1095"/>
      <c r="M3249" s="1095"/>
    </row>
    <row r="3250" spans="1:13" x14ac:dyDescent="0.25">
      <c r="A3250">
        <v>2004521</v>
      </c>
      <c r="B3250" t="s">
        <v>13527</v>
      </c>
      <c r="C3250" t="s">
        <v>2596</v>
      </c>
      <c r="D3250" s="254">
        <v>16.329999999999998</v>
      </c>
      <c r="E3250"/>
      <c r="F3250"/>
      <c r="G3250"/>
      <c r="H3250"/>
      <c r="I3250" s="489"/>
      <c r="J3250" s="1095"/>
      <c r="K3250" s="1095"/>
      <c r="L3250" s="1095"/>
      <c r="M3250" s="1095"/>
    </row>
    <row r="3251" spans="1:13" x14ac:dyDescent="0.25">
      <c r="A3251">
        <v>2004522</v>
      </c>
      <c r="B3251" t="s">
        <v>13528</v>
      </c>
      <c r="C3251" t="s">
        <v>2596</v>
      </c>
      <c r="D3251" s="254">
        <v>11.93</v>
      </c>
      <c r="E3251"/>
      <c r="F3251"/>
      <c r="G3251"/>
      <c r="H3251"/>
      <c r="I3251" s="489"/>
      <c r="J3251" s="1095"/>
      <c r="K3251" s="1095"/>
      <c r="L3251" s="1095"/>
      <c r="M3251" s="1095"/>
    </row>
    <row r="3252" spans="1:13" x14ac:dyDescent="0.25">
      <c r="A3252">
        <v>2004518</v>
      </c>
      <c r="B3252" t="s">
        <v>13529</v>
      </c>
      <c r="C3252" t="s">
        <v>2596</v>
      </c>
      <c r="D3252" s="254">
        <v>50.26</v>
      </c>
      <c r="E3252"/>
      <c r="F3252"/>
      <c r="G3252"/>
      <c r="H3252"/>
      <c r="I3252" s="489"/>
      <c r="J3252" s="1095"/>
      <c r="K3252" s="1095"/>
      <c r="L3252" s="1095"/>
      <c r="M3252" s="1095"/>
    </row>
    <row r="3253" spans="1:13" x14ac:dyDescent="0.25">
      <c r="A3253">
        <v>2003864</v>
      </c>
      <c r="B3253" t="s">
        <v>10493</v>
      </c>
      <c r="C3253" t="s">
        <v>149</v>
      </c>
      <c r="D3253" s="254">
        <v>23.08</v>
      </c>
      <c r="E3253"/>
      <c r="F3253"/>
      <c r="G3253"/>
      <c r="H3253"/>
      <c r="I3253" s="489"/>
      <c r="J3253" s="1095"/>
      <c r="K3253" s="1095"/>
      <c r="L3253" s="1095"/>
      <c r="M3253" s="1095"/>
    </row>
    <row r="3254" spans="1:13" x14ac:dyDescent="0.25">
      <c r="A3254">
        <v>2003863</v>
      </c>
      <c r="B3254" t="s">
        <v>10494</v>
      </c>
      <c r="C3254" t="s">
        <v>149</v>
      </c>
      <c r="D3254" s="254">
        <v>24.33</v>
      </c>
      <c r="E3254"/>
      <c r="F3254"/>
      <c r="G3254"/>
      <c r="H3254"/>
      <c r="I3254" s="489"/>
      <c r="J3254" s="1095"/>
      <c r="K3254" s="1095"/>
      <c r="L3254" s="1095"/>
      <c r="M3254" s="1095"/>
    </row>
    <row r="3255" spans="1:13" x14ac:dyDescent="0.25">
      <c r="A3255">
        <v>2004508</v>
      </c>
      <c r="B3255" t="s">
        <v>10495</v>
      </c>
      <c r="C3255" t="s">
        <v>2598</v>
      </c>
      <c r="D3255" s="254">
        <v>13.89</v>
      </c>
      <c r="E3255"/>
      <c r="F3255"/>
      <c r="G3255"/>
      <c r="H3255"/>
      <c r="I3255" s="489"/>
      <c r="J3255" s="1095"/>
      <c r="K3255" s="1095"/>
      <c r="L3255" s="1095"/>
      <c r="M3255" s="1095"/>
    </row>
    <row r="3256" spans="1:13" x14ac:dyDescent="0.25">
      <c r="A3256">
        <v>2003316</v>
      </c>
      <c r="B3256" t="s">
        <v>10496</v>
      </c>
      <c r="C3256" t="s">
        <v>2640</v>
      </c>
      <c r="D3256" s="254">
        <v>118.35</v>
      </c>
      <c r="E3256"/>
      <c r="F3256"/>
      <c r="G3256"/>
      <c r="H3256"/>
      <c r="I3256" s="489"/>
      <c r="J3256" s="1095"/>
      <c r="K3256" s="1095"/>
      <c r="L3256" s="1095"/>
      <c r="M3256" s="1095"/>
    </row>
    <row r="3257" spans="1:13" x14ac:dyDescent="0.25">
      <c r="A3257">
        <v>2003317</v>
      </c>
      <c r="B3257" t="s">
        <v>10497</v>
      </c>
      <c r="C3257" t="s">
        <v>2640</v>
      </c>
      <c r="D3257" s="254">
        <v>113.13</v>
      </c>
      <c r="E3257"/>
      <c r="F3257"/>
      <c r="G3257"/>
      <c r="H3257"/>
      <c r="I3257" s="489"/>
      <c r="J3257" s="1095"/>
      <c r="K3257" s="1095"/>
      <c r="L3257" s="1095"/>
      <c r="M3257" s="1095"/>
    </row>
    <row r="3258" spans="1:13" x14ac:dyDescent="0.25">
      <c r="A3258">
        <v>2003767</v>
      </c>
      <c r="B3258" t="s">
        <v>10498</v>
      </c>
      <c r="C3258" t="s">
        <v>2596</v>
      </c>
      <c r="D3258" s="254">
        <v>139.32</v>
      </c>
      <c r="E3258"/>
      <c r="F3258"/>
      <c r="G3258"/>
      <c r="H3258"/>
      <c r="I3258" s="489"/>
      <c r="J3258" s="1095"/>
      <c r="K3258" s="1095"/>
      <c r="L3258" s="1095"/>
      <c r="M3258" s="1095"/>
    </row>
    <row r="3259" spans="1:13" x14ac:dyDescent="0.25">
      <c r="A3259">
        <v>2003844</v>
      </c>
      <c r="B3259" t="s">
        <v>10499</v>
      </c>
      <c r="C3259" t="s">
        <v>2596</v>
      </c>
      <c r="D3259" s="254">
        <v>136.63999999999999</v>
      </c>
      <c r="E3259"/>
      <c r="F3259"/>
      <c r="G3259"/>
      <c r="H3259"/>
      <c r="I3259" s="489"/>
      <c r="J3259" s="1095"/>
      <c r="K3259" s="1095"/>
      <c r="L3259" s="1095"/>
      <c r="M3259" s="1095"/>
    </row>
    <row r="3260" spans="1:13" x14ac:dyDescent="0.25">
      <c r="A3260">
        <v>2003576</v>
      </c>
      <c r="B3260" t="s">
        <v>10500</v>
      </c>
      <c r="C3260" t="s">
        <v>2596</v>
      </c>
      <c r="D3260" s="254">
        <v>14.98</v>
      </c>
      <c r="E3260"/>
      <c r="F3260"/>
      <c r="G3260"/>
      <c r="H3260"/>
      <c r="I3260" s="489"/>
      <c r="J3260" s="1095"/>
      <c r="K3260" s="1095"/>
      <c r="L3260" s="1095"/>
      <c r="M3260" s="1095"/>
    </row>
    <row r="3261" spans="1:13" x14ac:dyDescent="0.25">
      <c r="A3261">
        <v>2003858</v>
      </c>
      <c r="B3261" t="s">
        <v>10501</v>
      </c>
      <c r="C3261" t="s">
        <v>2596</v>
      </c>
      <c r="D3261" s="254">
        <v>12.31</v>
      </c>
      <c r="E3261"/>
      <c r="F3261"/>
      <c r="G3261"/>
      <c r="H3261"/>
      <c r="I3261" s="489"/>
      <c r="J3261" s="1095"/>
      <c r="K3261" s="1095"/>
      <c r="L3261" s="1095"/>
      <c r="M3261" s="1095"/>
    </row>
    <row r="3262" spans="1:13" x14ac:dyDescent="0.25">
      <c r="A3262">
        <v>2003850</v>
      </c>
      <c r="B3262" t="s">
        <v>6351</v>
      </c>
      <c r="C3262" t="s">
        <v>2596</v>
      </c>
      <c r="D3262" s="254">
        <v>139.65</v>
      </c>
      <c r="E3262"/>
      <c r="F3262"/>
      <c r="G3262"/>
      <c r="H3262"/>
      <c r="I3262" s="489"/>
      <c r="J3262" s="1095"/>
      <c r="K3262" s="1095"/>
      <c r="L3262" s="1095"/>
      <c r="M3262" s="1095"/>
    </row>
    <row r="3263" spans="1:13" x14ac:dyDescent="0.25">
      <c r="A3263">
        <v>2003849</v>
      </c>
      <c r="B3263" t="s">
        <v>10502</v>
      </c>
      <c r="C3263" t="s">
        <v>2596</v>
      </c>
      <c r="D3263" s="254">
        <v>71.72</v>
      </c>
      <c r="E3263"/>
      <c r="F3263"/>
      <c r="G3263"/>
      <c r="H3263"/>
      <c r="I3263" s="489"/>
      <c r="J3263" s="1095"/>
      <c r="K3263" s="1095"/>
      <c r="L3263" s="1095"/>
      <c r="M3263" s="1095"/>
    </row>
    <row r="3264" spans="1:13" x14ac:dyDescent="0.25">
      <c r="A3264">
        <v>2003868</v>
      </c>
      <c r="B3264" t="s">
        <v>10503</v>
      </c>
      <c r="C3264" t="s">
        <v>2596</v>
      </c>
      <c r="D3264" s="254">
        <v>129.34</v>
      </c>
      <c r="E3264"/>
      <c r="F3264"/>
      <c r="G3264"/>
      <c r="H3264"/>
      <c r="I3264" s="489"/>
      <c r="J3264" s="1095"/>
      <c r="K3264" s="1095"/>
      <c r="L3264" s="1095"/>
      <c r="M3264" s="1095"/>
    </row>
    <row r="3265" spans="1:13" x14ac:dyDescent="0.25">
      <c r="A3265">
        <v>2003369</v>
      </c>
      <c r="B3265" t="s">
        <v>10504</v>
      </c>
      <c r="C3265" t="s">
        <v>2598</v>
      </c>
      <c r="D3265" s="254">
        <v>66.66</v>
      </c>
      <c r="E3265"/>
      <c r="F3265"/>
      <c r="G3265"/>
      <c r="H3265"/>
      <c r="I3265" s="489"/>
      <c r="J3265" s="1095"/>
      <c r="K3265" s="1095"/>
      <c r="L3265" s="1095"/>
      <c r="M3265" s="1095"/>
    </row>
    <row r="3266" spans="1:13" x14ac:dyDescent="0.25">
      <c r="A3266">
        <v>2003368</v>
      </c>
      <c r="B3266" t="s">
        <v>10505</v>
      </c>
      <c r="C3266" t="s">
        <v>2598</v>
      </c>
      <c r="D3266" s="254">
        <v>51.97</v>
      </c>
      <c r="E3266"/>
      <c r="F3266"/>
      <c r="G3266"/>
      <c r="H3266"/>
      <c r="I3266" s="489"/>
      <c r="J3266" s="1095"/>
      <c r="K3266" s="1095"/>
      <c r="L3266" s="1095"/>
      <c r="M3266" s="1095"/>
    </row>
    <row r="3267" spans="1:13" x14ac:dyDescent="0.25">
      <c r="A3267">
        <v>2003939</v>
      </c>
      <c r="B3267" t="s">
        <v>10506</v>
      </c>
      <c r="C3267" t="s">
        <v>2598</v>
      </c>
      <c r="D3267" s="254">
        <v>73.11</v>
      </c>
      <c r="E3267"/>
      <c r="F3267"/>
      <c r="G3267"/>
      <c r="H3267"/>
      <c r="I3267" s="489"/>
      <c r="J3267" s="1095"/>
      <c r="K3267" s="1095"/>
      <c r="L3267" s="1095"/>
      <c r="M3267" s="1095"/>
    </row>
    <row r="3268" spans="1:13" x14ac:dyDescent="0.25">
      <c r="A3268">
        <v>2003940</v>
      </c>
      <c r="B3268" t="s">
        <v>10507</v>
      </c>
      <c r="C3268" t="s">
        <v>2598</v>
      </c>
      <c r="D3268" s="254">
        <v>58.35</v>
      </c>
      <c r="E3268"/>
      <c r="F3268"/>
      <c r="G3268"/>
      <c r="H3268"/>
      <c r="I3268" s="489"/>
      <c r="J3268" s="1095"/>
      <c r="K3268" s="1095"/>
      <c r="L3268" s="1095"/>
      <c r="M3268" s="1095"/>
    </row>
    <row r="3269" spans="1:13" x14ac:dyDescent="0.25">
      <c r="A3269">
        <v>2003371</v>
      </c>
      <c r="B3269" t="s">
        <v>10508</v>
      </c>
      <c r="C3269" t="s">
        <v>2598</v>
      </c>
      <c r="D3269" s="254">
        <v>52.53</v>
      </c>
      <c r="E3269"/>
      <c r="F3269"/>
      <c r="G3269"/>
      <c r="H3269"/>
      <c r="I3269" s="489"/>
      <c r="J3269" s="1095"/>
      <c r="K3269" s="1095"/>
      <c r="L3269" s="1095"/>
      <c r="M3269" s="1095"/>
    </row>
    <row r="3270" spans="1:13" x14ac:dyDescent="0.25">
      <c r="A3270">
        <v>2003370</v>
      </c>
      <c r="B3270" t="s">
        <v>10509</v>
      </c>
      <c r="C3270" t="s">
        <v>2598</v>
      </c>
      <c r="D3270" s="254">
        <v>40.119999999999997</v>
      </c>
      <c r="E3270"/>
      <c r="F3270"/>
      <c r="G3270"/>
      <c r="H3270"/>
      <c r="I3270" s="489"/>
      <c r="J3270" s="1095"/>
      <c r="K3270" s="1095"/>
      <c r="L3270" s="1095"/>
      <c r="M3270" s="1095"/>
    </row>
    <row r="3271" spans="1:13" x14ac:dyDescent="0.25">
      <c r="A3271">
        <v>2003941</v>
      </c>
      <c r="B3271" t="s">
        <v>10510</v>
      </c>
      <c r="C3271" t="s">
        <v>2598</v>
      </c>
      <c r="D3271" s="254">
        <v>62.39</v>
      </c>
      <c r="E3271"/>
      <c r="F3271"/>
      <c r="G3271"/>
      <c r="H3271"/>
      <c r="I3271" s="489"/>
      <c r="J3271" s="1095"/>
      <c r="K3271" s="1095"/>
      <c r="L3271" s="1095"/>
      <c r="M3271" s="1095"/>
    </row>
    <row r="3272" spans="1:13" x14ac:dyDescent="0.25">
      <c r="A3272">
        <v>2003942</v>
      </c>
      <c r="B3272" t="s">
        <v>10511</v>
      </c>
      <c r="C3272" t="s">
        <v>2598</v>
      </c>
      <c r="D3272" s="254">
        <v>49.92</v>
      </c>
      <c r="E3272"/>
      <c r="F3272"/>
      <c r="G3272"/>
      <c r="H3272"/>
      <c r="I3272" s="489"/>
      <c r="J3272" s="1095"/>
      <c r="K3272" s="1095"/>
      <c r="L3272" s="1095"/>
      <c r="M3272" s="1095"/>
    </row>
    <row r="3273" spans="1:13" x14ac:dyDescent="0.25">
      <c r="A3273">
        <v>2003373</v>
      </c>
      <c r="B3273" t="s">
        <v>10512</v>
      </c>
      <c r="C3273" t="s">
        <v>2598</v>
      </c>
      <c r="D3273" s="254">
        <v>29.53</v>
      </c>
      <c r="E3273"/>
      <c r="F3273"/>
      <c r="G3273"/>
      <c r="H3273"/>
      <c r="I3273" s="489"/>
      <c r="J3273" s="1095"/>
      <c r="K3273" s="1095"/>
      <c r="L3273" s="1095"/>
      <c r="M3273" s="1095"/>
    </row>
    <row r="3274" spans="1:13" x14ac:dyDescent="0.25">
      <c r="A3274">
        <v>2003372</v>
      </c>
      <c r="B3274" t="s">
        <v>10513</v>
      </c>
      <c r="C3274" t="s">
        <v>2598</v>
      </c>
      <c r="D3274" s="254">
        <v>23.51</v>
      </c>
      <c r="E3274"/>
      <c r="F3274"/>
      <c r="G3274"/>
      <c r="H3274"/>
      <c r="I3274" s="489"/>
      <c r="J3274" s="1095"/>
      <c r="K3274" s="1095"/>
      <c r="L3274" s="1095"/>
      <c r="M3274" s="1095"/>
    </row>
    <row r="3275" spans="1:13" x14ac:dyDescent="0.25">
      <c r="A3275">
        <v>2003943</v>
      </c>
      <c r="B3275" t="s">
        <v>6302</v>
      </c>
      <c r="C3275" t="s">
        <v>2598</v>
      </c>
      <c r="D3275" s="254">
        <v>29.55</v>
      </c>
      <c r="E3275"/>
      <c r="F3275"/>
      <c r="G3275"/>
      <c r="H3275"/>
      <c r="I3275" s="489"/>
      <c r="J3275" s="1095"/>
      <c r="K3275" s="1095"/>
      <c r="L3275" s="1095"/>
      <c r="M3275" s="1095"/>
    </row>
    <row r="3276" spans="1:13" x14ac:dyDescent="0.25">
      <c r="A3276">
        <v>2003944</v>
      </c>
      <c r="B3276" t="s">
        <v>10514</v>
      </c>
      <c r="C3276" t="s">
        <v>2598</v>
      </c>
      <c r="D3276" s="254">
        <v>23.5</v>
      </c>
      <c r="E3276"/>
      <c r="F3276"/>
      <c r="G3276"/>
      <c r="H3276"/>
      <c r="I3276" s="489"/>
      <c r="J3276" s="1095"/>
      <c r="K3276" s="1095"/>
      <c r="L3276" s="1095"/>
      <c r="M3276" s="1095"/>
    </row>
    <row r="3277" spans="1:13" x14ac:dyDescent="0.25">
      <c r="A3277">
        <v>2003375</v>
      </c>
      <c r="B3277" t="s">
        <v>10515</v>
      </c>
      <c r="C3277" t="s">
        <v>2598</v>
      </c>
      <c r="D3277" s="254">
        <v>19.14</v>
      </c>
      <c r="E3277"/>
      <c r="F3277"/>
      <c r="G3277"/>
      <c r="H3277"/>
      <c r="I3277" s="489"/>
      <c r="J3277" s="1095"/>
      <c r="K3277" s="1095"/>
      <c r="L3277" s="1095"/>
      <c r="M3277" s="1095"/>
    </row>
    <row r="3278" spans="1:13" x14ac:dyDescent="0.25">
      <c r="A3278">
        <v>2003374</v>
      </c>
      <c r="B3278" t="s">
        <v>10516</v>
      </c>
      <c r="C3278" t="s">
        <v>2598</v>
      </c>
      <c r="D3278" s="254">
        <v>14.71</v>
      </c>
      <c r="E3278"/>
      <c r="F3278"/>
      <c r="G3278"/>
      <c r="H3278"/>
      <c r="I3278" s="489"/>
      <c r="J3278" s="1095"/>
      <c r="K3278" s="1095"/>
      <c r="L3278" s="1095"/>
      <c r="M3278" s="1095"/>
    </row>
    <row r="3279" spans="1:13" x14ac:dyDescent="0.25">
      <c r="A3279">
        <v>2003945</v>
      </c>
      <c r="B3279" t="s">
        <v>10517</v>
      </c>
      <c r="C3279" t="s">
        <v>2598</v>
      </c>
      <c r="D3279" s="254">
        <v>22.07</v>
      </c>
      <c r="E3279"/>
      <c r="F3279"/>
      <c r="G3279"/>
      <c r="H3279"/>
      <c r="I3279" s="489"/>
      <c r="J3279" s="1095"/>
      <c r="K3279" s="1095"/>
      <c r="L3279" s="1095"/>
      <c r="M3279" s="1095"/>
    </row>
    <row r="3280" spans="1:13" x14ac:dyDescent="0.25">
      <c r="A3280">
        <v>2003946</v>
      </c>
      <c r="B3280" t="s">
        <v>10518</v>
      </c>
      <c r="C3280" t="s">
        <v>2598</v>
      </c>
      <c r="D3280" s="254">
        <v>17.62</v>
      </c>
      <c r="E3280"/>
      <c r="F3280"/>
      <c r="G3280"/>
      <c r="H3280"/>
      <c r="I3280" s="489"/>
      <c r="J3280" s="1095"/>
      <c r="K3280" s="1095"/>
      <c r="L3280" s="1095"/>
      <c r="M3280" s="1095"/>
    </row>
    <row r="3281" spans="1:13" x14ac:dyDescent="0.25">
      <c r="A3281">
        <v>2003377</v>
      </c>
      <c r="B3281" t="s">
        <v>10519</v>
      </c>
      <c r="C3281" t="s">
        <v>2598</v>
      </c>
      <c r="D3281" s="254">
        <v>25.34</v>
      </c>
      <c r="E3281"/>
      <c r="F3281"/>
      <c r="G3281"/>
      <c r="H3281"/>
      <c r="I3281" s="489"/>
      <c r="J3281" s="1095"/>
      <c r="K3281" s="1095"/>
      <c r="L3281" s="1095"/>
      <c r="M3281" s="1095"/>
    </row>
    <row r="3282" spans="1:13" x14ac:dyDescent="0.25">
      <c r="A3282">
        <v>2003376</v>
      </c>
      <c r="B3282" t="s">
        <v>10520</v>
      </c>
      <c r="C3282" t="s">
        <v>2598</v>
      </c>
      <c r="D3282" s="254">
        <v>20.56</v>
      </c>
      <c r="E3282"/>
      <c r="F3282"/>
      <c r="G3282"/>
      <c r="H3282"/>
      <c r="I3282" s="489"/>
      <c r="J3282" s="1095"/>
      <c r="K3282" s="1095"/>
      <c r="L3282" s="1095"/>
      <c r="M3282" s="1095"/>
    </row>
    <row r="3283" spans="1:13" x14ac:dyDescent="0.25">
      <c r="A3283">
        <v>2003947</v>
      </c>
      <c r="B3283" t="s">
        <v>6303</v>
      </c>
      <c r="C3283" t="s">
        <v>2598</v>
      </c>
      <c r="D3283" s="254">
        <v>23.26</v>
      </c>
      <c r="E3283"/>
      <c r="F3283"/>
      <c r="G3283"/>
      <c r="H3283"/>
      <c r="I3283" s="489"/>
      <c r="J3283" s="1095"/>
      <c r="K3283" s="1095"/>
      <c r="L3283" s="1095"/>
      <c r="M3283" s="1095"/>
    </row>
    <row r="3284" spans="1:13" x14ac:dyDescent="0.25">
      <c r="A3284">
        <v>2003948</v>
      </c>
      <c r="B3284" t="s">
        <v>10521</v>
      </c>
      <c r="C3284" t="s">
        <v>2598</v>
      </c>
      <c r="D3284" s="254">
        <v>18.45</v>
      </c>
      <c r="E3284"/>
      <c r="F3284"/>
      <c r="G3284"/>
      <c r="H3284"/>
      <c r="I3284" s="489"/>
      <c r="J3284" s="1095"/>
      <c r="K3284" s="1095"/>
      <c r="L3284" s="1095"/>
      <c r="M3284" s="1095"/>
    </row>
    <row r="3285" spans="1:13" x14ac:dyDescent="0.25">
      <c r="A3285">
        <v>2003379</v>
      </c>
      <c r="B3285" t="s">
        <v>10522</v>
      </c>
      <c r="C3285" t="s">
        <v>2598</v>
      </c>
      <c r="D3285" s="254">
        <v>14.79</v>
      </c>
      <c r="E3285"/>
      <c r="F3285"/>
      <c r="G3285"/>
      <c r="H3285"/>
      <c r="I3285" s="489"/>
      <c r="J3285" s="1095"/>
      <c r="K3285" s="1095"/>
      <c r="L3285" s="1095"/>
      <c r="M3285" s="1095"/>
    </row>
    <row r="3286" spans="1:13" x14ac:dyDescent="0.25">
      <c r="A3286">
        <v>2003378</v>
      </c>
      <c r="B3286" t="s">
        <v>10523</v>
      </c>
      <c r="C3286" t="s">
        <v>2598</v>
      </c>
      <c r="D3286" s="254">
        <v>11.57</v>
      </c>
      <c r="E3286"/>
      <c r="F3286"/>
      <c r="G3286"/>
      <c r="H3286"/>
      <c r="I3286" s="489"/>
      <c r="J3286" s="1095"/>
      <c r="K3286" s="1095"/>
      <c r="L3286" s="1095"/>
      <c r="M3286" s="1095"/>
    </row>
    <row r="3287" spans="1:13" x14ac:dyDescent="0.25">
      <c r="A3287">
        <v>2003949</v>
      </c>
      <c r="B3287" t="s">
        <v>6357</v>
      </c>
      <c r="C3287" t="s">
        <v>2598</v>
      </c>
      <c r="D3287" s="254">
        <v>15.91</v>
      </c>
      <c r="E3287"/>
      <c r="F3287"/>
      <c r="G3287"/>
      <c r="H3287"/>
      <c r="I3287" s="489"/>
      <c r="J3287" s="1095"/>
      <c r="K3287" s="1095"/>
      <c r="L3287" s="1095"/>
      <c r="M3287" s="1095"/>
    </row>
    <row r="3288" spans="1:13" x14ac:dyDescent="0.25">
      <c r="A3288">
        <v>2003950</v>
      </c>
      <c r="B3288" t="s">
        <v>10524</v>
      </c>
      <c r="C3288" t="s">
        <v>2598</v>
      </c>
      <c r="D3288" s="254">
        <v>12.67</v>
      </c>
      <c r="E3288"/>
      <c r="F3288"/>
      <c r="G3288"/>
      <c r="H3288"/>
      <c r="I3288" s="489"/>
      <c r="J3288" s="1095"/>
      <c r="K3288" s="1095"/>
      <c r="L3288" s="1095"/>
      <c r="M3288" s="1095"/>
    </row>
    <row r="3289" spans="1:13" x14ac:dyDescent="0.25">
      <c r="A3289">
        <v>2003381</v>
      </c>
      <c r="B3289" t="s">
        <v>10525</v>
      </c>
      <c r="C3289" t="s">
        <v>2598</v>
      </c>
      <c r="D3289" s="254">
        <v>28.46</v>
      </c>
      <c r="E3289"/>
      <c r="F3289"/>
      <c r="G3289"/>
      <c r="H3289"/>
      <c r="I3289" s="489"/>
      <c r="J3289" s="1095"/>
      <c r="K3289" s="1095"/>
      <c r="L3289" s="1095"/>
      <c r="M3289" s="1095"/>
    </row>
    <row r="3290" spans="1:13" x14ac:dyDescent="0.25">
      <c r="A3290">
        <v>2003380</v>
      </c>
      <c r="B3290" t="s">
        <v>10526</v>
      </c>
      <c r="C3290" t="s">
        <v>2598</v>
      </c>
      <c r="D3290" s="254">
        <v>22.93</v>
      </c>
      <c r="E3290"/>
      <c r="F3290"/>
      <c r="G3290"/>
      <c r="H3290"/>
      <c r="I3290" s="489"/>
      <c r="J3290" s="1095"/>
      <c r="K3290" s="1095"/>
      <c r="L3290" s="1095"/>
      <c r="M3290" s="1095"/>
    </row>
    <row r="3291" spans="1:13" x14ac:dyDescent="0.25">
      <c r="A3291">
        <v>2003951</v>
      </c>
      <c r="B3291" t="s">
        <v>10527</v>
      </c>
      <c r="C3291" t="s">
        <v>2598</v>
      </c>
      <c r="D3291" s="254">
        <v>27.11</v>
      </c>
      <c r="E3291"/>
      <c r="F3291"/>
      <c r="G3291"/>
      <c r="H3291"/>
      <c r="I3291" s="489"/>
      <c r="J3291" s="1095"/>
      <c r="K3291" s="1095"/>
      <c r="L3291" s="1095"/>
      <c r="M3291" s="1095"/>
    </row>
    <row r="3292" spans="1:13" x14ac:dyDescent="0.25">
      <c r="A3292">
        <v>2003952</v>
      </c>
      <c r="B3292" t="s">
        <v>10528</v>
      </c>
      <c r="C3292" t="s">
        <v>2598</v>
      </c>
      <c r="D3292" s="254">
        <v>21.55</v>
      </c>
      <c r="E3292"/>
      <c r="F3292"/>
      <c r="G3292"/>
      <c r="H3292"/>
      <c r="I3292" s="489"/>
      <c r="J3292" s="1095"/>
      <c r="K3292" s="1095"/>
      <c r="L3292" s="1095"/>
      <c r="M3292" s="1095"/>
    </row>
    <row r="3293" spans="1:13" x14ac:dyDescent="0.25">
      <c r="A3293">
        <v>2003383</v>
      </c>
      <c r="B3293" t="s">
        <v>10529</v>
      </c>
      <c r="C3293" t="s">
        <v>2598</v>
      </c>
      <c r="D3293" s="254">
        <v>53.13</v>
      </c>
      <c r="E3293"/>
      <c r="F3293"/>
      <c r="G3293"/>
      <c r="H3293"/>
      <c r="I3293" s="489"/>
      <c r="J3293" s="1095"/>
      <c r="K3293" s="1095"/>
      <c r="L3293" s="1095"/>
      <c r="M3293" s="1095"/>
    </row>
    <row r="3294" spans="1:13" x14ac:dyDescent="0.25">
      <c r="A3294">
        <v>2003382</v>
      </c>
      <c r="B3294" t="s">
        <v>10530</v>
      </c>
      <c r="C3294" t="s">
        <v>2598</v>
      </c>
      <c r="D3294" s="254">
        <v>42.8</v>
      </c>
      <c r="E3294"/>
      <c r="F3294"/>
      <c r="G3294"/>
      <c r="H3294"/>
      <c r="I3294" s="489"/>
      <c r="J3294" s="1095"/>
      <c r="K3294" s="1095"/>
      <c r="L3294" s="1095"/>
      <c r="M3294" s="1095"/>
    </row>
    <row r="3295" spans="1:13" x14ac:dyDescent="0.25">
      <c r="A3295">
        <v>2003953</v>
      </c>
      <c r="B3295" t="s">
        <v>6304</v>
      </c>
      <c r="C3295" t="s">
        <v>2598</v>
      </c>
      <c r="D3295" s="254">
        <v>49.47</v>
      </c>
      <c r="E3295"/>
      <c r="F3295"/>
      <c r="G3295"/>
      <c r="H3295"/>
      <c r="I3295" s="489"/>
      <c r="J3295" s="1095"/>
      <c r="K3295" s="1095"/>
      <c r="L3295" s="1095"/>
      <c r="M3295" s="1095"/>
    </row>
    <row r="3296" spans="1:13" x14ac:dyDescent="0.25">
      <c r="A3296">
        <v>2003954</v>
      </c>
      <c r="B3296" t="s">
        <v>10531</v>
      </c>
      <c r="C3296" t="s">
        <v>2598</v>
      </c>
      <c r="D3296" s="254">
        <v>39.090000000000003</v>
      </c>
      <c r="E3296"/>
      <c r="F3296"/>
      <c r="G3296"/>
      <c r="H3296"/>
      <c r="I3296" s="489"/>
      <c r="J3296" s="1095"/>
      <c r="K3296" s="1095"/>
      <c r="L3296" s="1095"/>
      <c r="M3296" s="1095"/>
    </row>
    <row r="3297" spans="1:13" x14ac:dyDescent="0.25">
      <c r="A3297">
        <v>2004514</v>
      </c>
      <c r="B3297" t="s">
        <v>10532</v>
      </c>
      <c r="C3297" t="s">
        <v>2598</v>
      </c>
      <c r="D3297" s="254">
        <v>15.34</v>
      </c>
      <c r="E3297"/>
      <c r="F3297"/>
      <c r="G3297"/>
      <c r="H3297"/>
      <c r="I3297" s="489"/>
      <c r="J3297" s="1095"/>
      <c r="K3297" s="1095"/>
      <c r="L3297" s="1095"/>
      <c r="M3297" s="1095"/>
    </row>
    <row r="3298" spans="1:13" x14ac:dyDescent="0.25">
      <c r="A3298">
        <v>2004515</v>
      </c>
      <c r="B3298" t="s">
        <v>10533</v>
      </c>
      <c r="C3298" t="s">
        <v>2598</v>
      </c>
      <c r="D3298" s="254">
        <v>37.61</v>
      </c>
      <c r="E3298"/>
      <c r="F3298"/>
      <c r="G3298"/>
      <c r="H3298"/>
      <c r="I3298" s="489"/>
      <c r="J3298" s="1095"/>
      <c r="K3298" s="1095"/>
      <c r="L3298" s="1095"/>
      <c r="M3298" s="1095"/>
    </row>
    <row r="3299" spans="1:13" x14ac:dyDescent="0.25">
      <c r="A3299">
        <v>2005759</v>
      </c>
      <c r="B3299" t="s">
        <v>10534</v>
      </c>
      <c r="C3299" t="s">
        <v>2598</v>
      </c>
      <c r="D3299" s="254">
        <v>50.02</v>
      </c>
      <c r="E3299"/>
      <c r="F3299"/>
      <c r="G3299"/>
      <c r="H3299"/>
      <c r="I3299" s="489"/>
      <c r="J3299" s="1095"/>
      <c r="K3299" s="1095"/>
      <c r="L3299" s="1095"/>
      <c r="M3299" s="1095"/>
    </row>
    <row r="3300" spans="1:13" x14ac:dyDescent="0.25">
      <c r="A3300">
        <v>2005764</v>
      </c>
      <c r="B3300" t="s">
        <v>10535</v>
      </c>
      <c r="C3300" t="s">
        <v>2598</v>
      </c>
      <c r="D3300" s="254">
        <v>65.069999999999993</v>
      </c>
      <c r="E3300"/>
      <c r="F3300"/>
      <c r="G3300"/>
      <c r="H3300"/>
      <c r="I3300" s="489"/>
      <c r="J3300" s="1095"/>
      <c r="K3300" s="1095"/>
      <c r="L3300" s="1095"/>
      <c r="M3300" s="1095"/>
    </row>
    <row r="3301" spans="1:13" x14ac:dyDescent="0.25">
      <c r="A3301">
        <v>2003678</v>
      </c>
      <c r="B3301" t="s">
        <v>10536</v>
      </c>
      <c r="C3301" t="s">
        <v>2640</v>
      </c>
      <c r="D3301" s="254">
        <v>2065.48</v>
      </c>
      <c r="E3301"/>
      <c r="F3301"/>
      <c r="G3301"/>
      <c r="H3301"/>
      <c r="I3301" s="489"/>
      <c r="J3301" s="1095"/>
      <c r="K3301" s="1095"/>
      <c r="L3301" s="1095"/>
      <c r="M3301" s="1095"/>
    </row>
    <row r="3302" spans="1:13" x14ac:dyDescent="0.25">
      <c r="A3302">
        <v>2003677</v>
      </c>
      <c r="B3302" t="s">
        <v>10537</v>
      </c>
      <c r="C3302" t="s">
        <v>2640</v>
      </c>
      <c r="D3302" s="254">
        <v>1816.1</v>
      </c>
      <c r="E3302"/>
      <c r="F3302"/>
      <c r="G3302"/>
      <c r="H3302"/>
      <c r="I3302" s="489"/>
      <c r="J3302" s="1095"/>
      <c r="K3302" s="1095"/>
      <c r="L3302" s="1095"/>
      <c r="M3302" s="1095"/>
    </row>
    <row r="3303" spans="1:13" x14ac:dyDescent="0.25">
      <c r="A3303">
        <v>2003680</v>
      </c>
      <c r="B3303" t="s">
        <v>10538</v>
      </c>
      <c r="C3303" t="s">
        <v>2640</v>
      </c>
      <c r="D3303" s="254">
        <v>2034.01</v>
      </c>
      <c r="E3303"/>
      <c r="F3303"/>
      <c r="G3303"/>
      <c r="H3303"/>
      <c r="I3303" s="489"/>
      <c r="J3303" s="1095"/>
      <c r="K3303" s="1095"/>
      <c r="L3303" s="1095"/>
      <c r="M3303" s="1095"/>
    </row>
    <row r="3304" spans="1:13" x14ac:dyDescent="0.25">
      <c r="A3304">
        <v>2003679</v>
      </c>
      <c r="B3304" t="s">
        <v>10539</v>
      </c>
      <c r="C3304" t="s">
        <v>2640</v>
      </c>
      <c r="D3304" s="254">
        <v>1794.66</v>
      </c>
      <c r="E3304"/>
      <c r="F3304"/>
      <c r="G3304"/>
      <c r="H3304"/>
      <c r="I3304" s="489"/>
      <c r="J3304" s="1095"/>
      <c r="K3304" s="1095"/>
      <c r="L3304" s="1095"/>
      <c r="M3304" s="1095"/>
    </row>
    <row r="3305" spans="1:13" x14ac:dyDescent="0.25">
      <c r="A3305">
        <v>2003682</v>
      </c>
      <c r="B3305" t="s">
        <v>6327</v>
      </c>
      <c r="C3305" t="s">
        <v>2640</v>
      </c>
      <c r="D3305" s="254">
        <v>2332.88</v>
      </c>
      <c r="E3305"/>
      <c r="F3305"/>
      <c r="G3305"/>
      <c r="H3305"/>
      <c r="I3305" s="489"/>
      <c r="J3305" s="1095"/>
      <c r="K3305" s="1095"/>
      <c r="L3305" s="1095"/>
      <c r="M3305" s="1095"/>
    </row>
    <row r="3306" spans="1:13" x14ac:dyDescent="0.25">
      <c r="A3306">
        <v>2003681</v>
      </c>
      <c r="B3306" t="s">
        <v>10540</v>
      </c>
      <c r="C3306" t="s">
        <v>2640</v>
      </c>
      <c r="D3306" s="254">
        <v>2034.77</v>
      </c>
      <c r="E3306"/>
      <c r="F3306"/>
      <c r="G3306"/>
      <c r="H3306"/>
      <c r="I3306" s="489"/>
      <c r="J3306" s="1095"/>
      <c r="K3306" s="1095"/>
      <c r="L3306" s="1095"/>
      <c r="M3306" s="1095"/>
    </row>
    <row r="3307" spans="1:13" x14ac:dyDescent="0.25">
      <c r="A3307">
        <v>2003684</v>
      </c>
      <c r="B3307" t="s">
        <v>6328</v>
      </c>
      <c r="C3307" t="s">
        <v>2640</v>
      </c>
      <c r="D3307" s="254">
        <v>2800.75</v>
      </c>
      <c r="E3307"/>
      <c r="F3307"/>
      <c r="G3307"/>
      <c r="H3307"/>
      <c r="I3307" s="489"/>
      <c r="J3307" s="1095"/>
      <c r="K3307" s="1095"/>
      <c r="L3307" s="1095"/>
      <c r="M3307" s="1095"/>
    </row>
    <row r="3308" spans="1:13" x14ac:dyDescent="0.25">
      <c r="A3308">
        <v>2003683</v>
      </c>
      <c r="B3308" t="s">
        <v>10541</v>
      </c>
      <c r="C3308" t="s">
        <v>2640</v>
      </c>
      <c r="D3308" s="254">
        <v>2445.3200000000002</v>
      </c>
      <c r="E3308"/>
      <c r="F3308"/>
      <c r="G3308"/>
      <c r="H3308"/>
      <c r="I3308" s="489"/>
      <c r="J3308" s="1095"/>
      <c r="K3308" s="1095"/>
      <c r="L3308" s="1095"/>
      <c r="M3308" s="1095"/>
    </row>
    <row r="3309" spans="1:13" x14ac:dyDescent="0.25">
      <c r="A3309">
        <v>2003686</v>
      </c>
      <c r="B3309" t="s">
        <v>10542</v>
      </c>
      <c r="C3309" t="s">
        <v>2640</v>
      </c>
      <c r="D3309" s="254">
        <v>3297.81</v>
      </c>
      <c r="E3309"/>
      <c r="F3309"/>
      <c r="G3309"/>
      <c r="H3309"/>
      <c r="I3309" s="489"/>
      <c r="J3309" s="1095"/>
      <c r="K3309" s="1095"/>
      <c r="L3309" s="1095"/>
      <c r="M3309" s="1095"/>
    </row>
    <row r="3310" spans="1:13" x14ac:dyDescent="0.25">
      <c r="A3310">
        <v>2003685</v>
      </c>
      <c r="B3310" t="s">
        <v>10543</v>
      </c>
      <c r="C3310" t="s">
        <v>2640</v>
      </c>
      <c r="D3310" s="254">
        <v>2883.61</v>
      </c>
      <c r="E3310"/>
      <c r="F3310"/>
      <c r="G3310"/>
      <c r="H3310"/>
      <c r="I3310" s="489"/>
      <c r="J3310" s="1095"/>
      <c r="K3310" s="1095"/>
      <c r="L3310" s="1095"/>
      <c r="M3310" s="1095"/>
    </row>
    <row r="3311" spans="1:13" x14ac:dyDescent="0.25">
      <c r="A3311">
        <v>2003688</v>
      </c>
      <c r="B3311" t="s">
        <v>10544</v>
      </c>
      <c r="C3311" t="s">
        <v>2640</v>
      </c>
      <c r="D3311" s="254">
        <v>4108.3500000000004</v>
      </c>
      <c r="E3311"/>
      <c r="F3311"/>
      <c r="G3311"/>
      <c r="H3311"/>
      <c r="I3311" s="489"/>
      <c r="J3311" s="1095"/>
      <c r="K3311" s="1095"/>
      <c r="L3311" s="1095"/>
      <c r="M3311" s="1095"/>
    </row>
    <row r="3312" spans="1:13" x14ac:dyDescent="0.25">
      <c r="A3312">
        <v>2003687</v>
      </c>
      <c r="B3312" t="s">
        <v>10545</v>
      </c>
      <c r="C3312" t="s">
        <v>2640</v>
      </c>
      <c r="D3312" s="254">
        <v>3606.73</v>
      </c>
      <c r="E3312"/>
      <c r="F3312"/>
      <c r="G3312"/>
      <c r="H3312"/>
      <c r="I3312" s="489"/>
      <c r="J3312" s="1095"/>
      <c r="K3312" s="1095"/>
      <c r="L3312" s="1095"/>
      <c r="M3312" s="1095"/>
    </row>
    <row r="3313" spans="1:13" x14ac:dyDescent="0.25">
      <c r="A3313">
        <v>2003690</v>
      </c>
      <c r="B3313" t="s">
        <v>10546</v>
      </c>
      <c r="C3313" t="s">
        <v>2640</v>
      </c>
      <c r="D3313" s="254">
        <v>2384.94</v>
      </c>
      <c r="E3313"/>
      <c r="F3313"/>
      <c r="G3313"/>
      <c r="H3313"/>
      <c r="I3313" s="489"/>
      <c r="J3313" s="1095"/>
      <c r="K3313" s="1095"/>
      <c r="L3313" s="1095"/>
      <c r="M3313" s="1095"/>
    </row>
    <row r="3314" spans="1:13" x14ac:dyDescent="0.25">
      <c r="A3314">
        <v>2003689</v>
      </c>
      <c r="B3314" t="s">
        <v>10547</v>
      </c>
      <c r="C3314" t="s">
        <v>2640</v>
      </c>
      <c r="D3314" s="254">
        <v>2094</v>
      </c>
      <c r="E3314"/>
      <c r="F3314"/>
      <c r="G3314"/>
      <c r="H3314"/>
      <c r="I3314" s="489"/>
      <c r="J3314" s="1095"/>
      <c r="K3314" s="1095"/>
      <c r="L3314" s="1095"/>
      <c r="M3314" s="1095"/>
    </row>
    <row r="3315" spans="1:13" x14ac:dyDescent="0.25">
      <c r="A3315">
        <v>2003692</v>
      </c>
      <c r="B3315" t="s">
        <v>10548</v>
      </c>
      <c r="C3315" t="s">
        <v>2640</v>
      </c>
      <c r="D3315" s="254">
        <v>2357.96</v>
      </c>
      <c r="E3315"/>
      <c r="F3315"/>
      <c r="G3315"/>
      <c r="H3315"/>
      <c r="I3315" s="489"/>
      <c r="J3315" s="1095"/>
      <c r="K3315" s="1095"/>
      <c r="L3315" s="1095"/>
      <c r="M3315" s="1095"/>
    </row>
    <row r="3316" spans="1:13" x14ac:dyDescent="0.25">
      <c r="A3316">
        <v>2003691</v>
      </c>
      <c r="B3316" t="s">
        <v>10549</v>
      </c>
      <c r="C3316" t="s">
        <v>2640</v>
      </c>
      <c r="D3316" s="254">
        <v>2075.62</v>
      </c>
      <c r="E3316"/>
      <c r="F3316"/>
      <c r="G3316"/>
      <c r="H3316"/>
      <c r="I3316" s="489"/>
      <c r="J3316" s="1095"/>
      <c r="K3316" s="1095"/>
      <c r="L3316" s="1095"/>
      <c r="M3316" s="1095"/>
    </row>
    <row r="3317" spans="1:13" x14ac:dyDescent="0.25">
      <c r="A3317">
        <v>2003694</v>
      </c>
      <c r="B3317" t="s">
        <v>10550</v>
      </c>
      <c r="C3317" t="s">
        <v>2640</v>
      </c>
      <c r="D3317" s="254">
        <v>2678.19</v>
      </c>
      <c r="E3317"/>
      <c r="F3317"/>
      <c r="G3317"/>
      <c r="H3317"/>
      <c r="I3317" s="489"/>
      <c r="J3317" s="1095"/>
      <c r="K3317" s="1095"/>
      <c r="L3317" s="1095"/>
      <c r="M3317" s="1095"/>
    </row>
    <row r="3318" spans="1:13" x14ac:dyDescent="0.25">
      <c r="A3318">
        <v>2003693</v>
      </c>
      <c r="B3318" t="s">
        <v>10551</v>
      </c>
      <c r="C3318" t="s">
        <v>2640</v>
      </c>
      <c r="D3318" s="254">
        <v>2331.36</v>
      </c>
      <c r="E3318"/>
      <c r="F3318"/>
      <c r="G3318"/>
      <c r="H3318"/>
      <c r="I3318" s="489"/>
      <c r="J3318" s="1095"/>
      <c r="K3318" s="1095"/>
      <c r="L3318" s="1095"/>
      <c r="M3318" s="1095"/>
    </row>
    <row r="3319" spans="1:13" x14ac:dyDescent="0.25">
      <c r="A3319">
        <v>2003696</v>
      </c>
      <c r="B3319" t="s">
        <v>10552</v>
      </c>
      <c r="C3319" t="s">
        <v>2640</v>
      </c>
      <c r="D3319" s="254">
        <v>3025.4</v>
      </c>
      <c r="E3319"/>
      <c r="F3319"/>
      <c r="G3319"/>
      <c r="H3319"/>
      <c r="I3319" s="489"/>
      <c r="J3319" s="1095"/>
      <c r="K3319" s="1095"/>
      <c r="L3319" s="1095"/>
      <c r="M3319" s="1095"/>
    </row>
    <row r="3320" spans="1:13" x14ac:dyDescent="0.25">
      <c r="A3320">
        <v>2003695</v>
      </c>
      <c r="B3320" t="s">
        <v>10553</v>
      </c>
      <c r="C3320" t="s">
        <v>2640</v>
      </c>
      <c r="D3320" s="254">
        <v>2618.37</v>
      </c>
      <c r="E3320"/>
      <c r="F3320"/>
      <c r="G3320"/>
      <c r="H3320"/>
      <c r="I3320" s="489"/>
      <c r="J3320" s="1095"/>
      <c r="K3320" s="1095"/>
      <c r="L3320" s="1095"/>
      <c r="M3320" s="1095"/>
    </row>
    <row r="3321" spans="1:13" x14ac:dyDescent="0.25">
      <c r="A3321">
        <v>2003698</v>
      </c>
      <c r="B3321" t="s">
        <v>10554</v>
      </c>
      <c r="C3321" t="s">
        <v>2640</v>
      </c>
      <c r="D3321" s="254">
        <v>3681.36</v>
      </c>
      <c r="E3321"/>
      <c r="F3321"/>
      <c r="G3321"/>
      <c r="H3321"/>
      <c r="I3321" s="489"/>
      <c r="J3321" s="1095"/>
      <c r="K3321" s="1095"/>
      <c r="L3321" s="1095"/>
      <c r="M3321" s="1095"/>
    </row>
    <row r="3322" spans="1:13" x14ac:dyDescent="0.25">
      <c r="A3322">
        <v>2003697</v>
      </c>
      <c r="B3322" t="s">
        <v>10555</v>
      </c>
      <c r="C3322" t="s">
        <v>2640</v>
      </c>
      <c r="D3322" s="254">
        <v>3212.71</v>
      </c>
      <c r="E3322"/>
      <c r="F3322"/>
      <c r="G3322"/>
      <c r="H3322"/>
      <c r="I3322" s="489"/>
      <c r="J3322" s="1095"/>
      <c r="K3322" s="1095"/>
      <c r="L3322" s="1095"/>
      <c r="M3322" s="1095"/>
    </row>
    <row r="3323" spans="1:13" x14ac:dyDescent="0.25">
      <c r="A3323">
        <v>2003700</v>
      </c>
      <c r="B3323" t="s">
        <v>10556</v>
      </c>
      <c r="C3323" t="s">
        <v>2640</v>
      </c>
      <c r="D3323" s="254">
        <v>4530.1400000000003</v>
      </c>
      <c r="E3323"/>
      <c r="F3323"/>
      <c r="G3323"/>
      <c r="H3323"/>
      <c r="I3323" s="489"/>
      <c r="J3323" s="1095"/>
      <c r="K3323" s="1095"/>
      <c r="L3323" s="1095"/>
      <c r="M3323" s="1095"/>
    </row>
    <row r="3324" spans="1:13" x14ac:dyDescent="0.25">
      <c r="A3324">
        <v>2003699</v>
      </c>
      <c r="B3324" t="s">
        <v>10557</v>
      </c>
      <c r="C3324" t="s">
        <v>2640</v>
      </c>
      <c r="D3324" s="254">
        <v>3968.33</v>
      </c>
      <c r="E3324"/>
      <c r="F3324"/>
      <c r="G3324"/>
      <c r="H3324"/>
      <c r="I3324" s="489"/>
      <c r="J3324" s="1095"/>
      <c r="K3324" s="1095"/>
      <c r="L3324" s="1095"/>
      <c r="M3324" s="1095"/>
    </row>
    <row r="3325" spans="1:13" x14ac:dyDescent="0.25">
      <c r="A3325">
        <v>2003702</v>
      </c>
      <c r="B3325" t="s">
        <v>10558</v>
      </c>
      <c r="C3325" t="s">
        <v>2640</v>
      </c>
      <c r="D3325" s="254">
        <v>2722.38</v>
      </c>
      <c r="E3325"/>
      <c r="F3325"/>
      <c r="G3325"/>
      <c r="H3325"/>
      <c r="I3325" s="489"/>
      <c r="J3325" s="1095"/>
      <c r="K3325" s="1095"/>
      <c r="L3325" s="1095"/>
      <c r="M3325" s="1095"/>
    </row>
    <row r="3326" spans="1:13" x14ac:dyDescent="0.25">
      <c r="A3326">
        <v>2003701</v>
      </c>
      <c r="B3326" t="s">
        <v>10559</v>
      </c>
      <c r="C3326" t="s">
        <v>2640</v>
      </c>
      <c r="D3326" s="254">
        <v>2384.14</v>
      </c>
      <c r="E3326"/>
      <c r="F3326"/>
      <c r="G3326"/>
      <c r="H3326"/>
      <c r="I3326" s="489"/>
      <c r="J3326" s="1095"/>
      <c r="K3326" s="1095"/>
      <c r="L3326" s="1095"/>
      <c r="M3326" s="1095"/>
    </row>
    <row r="3327" spans="1:13" x14ac:dyDescent="0.25">
      <c r="A3327">
        <v>2003704</v>
      </c>
      <c r="B3327" t="s">
        <v>10560</v>
      </c>
      <c r="C3327" t="s">
        <v>2640</v>
      </c>
      <c r="D3327" s="254">
        <v>2695.41</v>
      </c>
      <c r="E3327"/>
      <c r="F3327"/>
      <c r="G3327"/>
      <c r="H3327"/>
      <c r="I3327" s="489"/>
      <c r="J3327" s="1095"/>
      <c r="K3327" s="1095"/>
      <c r="L3327" s="1095"/>
      <c r="M3327" s="1095"/>
    </row>
    <row r="3328" spans="1:13" x14ac:dyDescent="0.25">
      <c r="A3328">
        <v>2003703</v>
      </c>
      <c r="B3328" t="s">
        <v>10561</v>
      </c>
      <c r="C3328" t="s">
        <v>2640</v>
      </c>
      <c r="D3328" s="254">
        <v>2365.77</v>
      </c>
      <c r="E3328"/>
      <c r="F3328"/>
      <c r="G3328"/>
      <c r="H3328"/>
      <c r="I3328" s="489"/>
      <c r="J3328" s="1095"/>
      <c r="K3328" s="1095"/>
      <c r="L3328" s="1095"/>
      <c r="M3328" s="1095"/>
    </row>
    <row r="3329" spans="1:13" x14ac:dyDescent="0.25">
      <c r="A3329">
        <v>2003706</v>
      </c>
      <c r="B3329" t="s">
        <v>10562</v>
      </c>
      <c r="C3329" t="s">
        <v>2640</v>
      </c>
      <c r="D3329" s="254">
        <v>3041.49</v>
      </c>
      <c r="E3329"/>
      <c r="F3329"/>
      <c r="G3329"/>
      <c r="H3329"/>
      <c r="I3329" s="489"/>
      <c r="J3329" s="1095"/>
      <c r="K3329" s="1095"/>
      <c r="L3329" s="1095"/>
      <c r="M3329" s="1095"/>
    </row>
    <row r="3330" spans="1:13" x14ac:dyDescent="0.25">
      <c r="A3330">
        <v>2003705</v>
      </c>
      <c r="B3330" t="s">
        <v>10563</v>
      </c>
      <c r="C3330" t="s">
        <v>2640</v>
      </c>
      <c r="D3330" s="254">
        <v>2640.19</v>
      </c>
      <c r="E3330"/>
      <c r="F3330"/>
      <c r="G3330"/>
      <c r="H3330"/>
      <c r="I3330" s="489"/>
      <c r="J3330" s="1095"/>
      <c r="K3330" s="1095"/>
      <c r="L3330" s="1095"/>
      <c r="M3330" s="1095"/>
    </row>
    <row r="3331" spans="1:13" x14ac:dyDescent="0.25">
      <c r="A3331">
        <v>2003708</v>
      </c>
      <c r="B3331" t="s">
        <v>10564</v>
      </c>
      <c r="C3331" t="s">
        <v>2640</v>
      </c>
      <c r="D3331" s="254">
        <v>3540.85</v>
      </c>
      <c r="E3331"/>
      <c r="F3331"/>
      <c r="G3331"/>
      <c r="H3331"/>
      <c r="I3331" s="489"/>
      <c r="J3331" s="1095"/>
      <c r="K3331" s="1095"/>
      <c r="L3331" s="1095"/>
      <c r="M3331" s="1095"/>
    </row>
    <row r="3332" spans="1:13" x14ac:dyDescent="0.25">
      <c r="A3332">
        <v>2003707</v>
      </c>
      <c r="B3332" t="s">
        <v>10565</v>
      </c>
      <c r="C3332" t="s">
        <v>2640</v>
      </c>
      <c r="D3332" s="254">
        <v>3076.5</v>
      </c>
      <c r="E3332"/>
      <c r="F3332"/>
      <c r="G3332"/>
      <c r="H3332"/>
      <c r="I3332" s="489"/>
      <c r="J3332" s="1095"/>
      <c r="K3332" s="1095"/>
      <c r="L3332" s="1095"/>
      <c r="M3332" s="1095"/>
    </row>
    <row r="3333" spans="1:13" x14ac:dyDescent="0.25">
      <c r="A3333">
        <v>2003710</v>
      </c>
      <c r="B3333" t="s">
        <v>10566</v>
      </c>
      <c r="C3333" t="s">
        <v>2640</v>
      </c>
      <c r="D3333" s="254">
        <v>4082.9</v>
      </c>
      <c r="E3333"/>
      <c r="F3333"/>
      <c r="G3333"/>
      <c r="H3333"/>
      <c r="I3333" s="489"/>
      <c r="J3333" s="1095"/>
      <c r="K3333" s="1095"/>
      <c r="L3333" s="1095"/>
      <c r="M3333" s="1095"/>
    </row>
    <row r="3334" spans="1:13" x14ac:dyDescent="0.25">
      <c r="A3334">
        <v>2003709</v>
      </c>
      <c r="B3334" t="s">
        <v>10567</v>
      </c>
      <c r="C3334" t="s">
        <v>2640</v>
      </c>
      <c r="D3334" s="254">
        <v>3554.05</v>
      </c>
      <c r="E3334"/>
      <c r="F3334"/>
      <c r="G3334"/>
      <c r="H3334"/>
      <c r="I3334" s="489"/>
      <c r="J3334" s="1095"/>
      <c r="K3334" s="1095"/>
      <c r="L3334" s="1095"/>
      <c r="M3334" s="1095"/>
    </row>
    <row r="3335" spans="1:13" x14ac:dyDescent="0.25">
      <c r="A3335">
        <v>2003712</v>
      </c>
      <c r="B3335" t="s">
        <v>10568</v>
      </c>
      <c r="C3335" t="s">
        <v>2640</v>
      </c>
      <c r="D3335" s="254">
        <v>4969.92</v>
      </c>
      <c r="E3335"/>
      <c r="F3335"/>
      <c r="G3335"/>
      <c r="H3335"/>
      <c r="I3335" s="489"/>
      <c r="J3335" s="1095"/>
      <c r="K3335" s="1095"/>
      <c r="L3335" s="1095"/>
      <c r="M3335" s="1095"/>
    </row>
    <row r="3336" spans="1:13" x14ac:dyDescent="0.25">
      <c r="A3336">
        <v>2003711</v>
      </c>
      <c r="B3336" t="s">
        <v>10569</v>
      </c>
      <c r="C3336" t="s">
        <v>2640</v>
      </c>
      <c r="D3336" s="254">
        <v>4342.18</v>
      </c>
      <c r="E3336"/>
      <c r="F3336"/>
      <c r="G3336"/>
      <c r="H3336"/>
      <c r="I3336" s="489"/>
      <c r="J3336" s="1095"/>
      <c r="K3336" s="1095"/>
      <c r="L3336" s="1095"/>
      <c r="M3336" s="1095"/>
    </row>
    <row r="3337" spans="1:13" x14ac:dyDescent="0.25">
      <c r="A3337">
        <v>2004505</v>
      </c>
      <c r="B3337" t="s">
        <v>10570</v>
      </c>
      <c r="C3337" t="s">
        <v>2596</v>
      </c>
      <c r="D3337" s="254">
        <v>17.739999999999998</v>
      </c>
      <c r="E3337"/>
      <c r="F3337"/>
      <c r="G3337"/>
      <c r="H3337"/>
      <c r="I3337" s="489"/>
      <c r="J3337" s="1095"/>
      <c r="K3337" s="1095"/>
      <c r="L3337" s="1095"/>
      <c r="M3337" s="1095"/>
    </row>
    <row r="3338" spans="1:13" x14ac:dyDescent="0.25">
      <c r="A3338">
        <v>2003349</v>
      </c>
      <c r="B3338" t="s">
        <v>10571</v>
      </c>
      <c r="C3338" t="s">
        <v>2598</v>
      </c>
      <c r="D3338" s="254">
        <v>59.15</v>
      </c>
      <c r="E3338"/>
      <c r="F3338"/>
      <c r="G3338"/>
      <c r="H3338"/>
      <c r="I3338" s="489"/>
      <c r="J3338" s="1095"/>
      <c r="K3338" s="1095"/>
      <c r="L3338" s="1095"/>
      <c r="M3338" s="1095"/>
    </row>
    <row r="3339" spans="1:13" x14ac:dyDescent="0.25">
      <c r="A3339">
        <v>2003348</v>
      </c>
      <c r="B3339" t="s">
        <v>10572</v>
      </c>
      <c r="C3339" t="s">
        <v>2598</v>
      </c>
      <c r="D3339" s="254">
        <v>44.05</v>
      </c>
      <c r="E3339"/>
      <c r="F3339"/>
      <c r="G3339"/>
      <c r="H3339"/>
      <c r="I3339" s="489"/>
      <c r="J3339" s="1095"/>
      <c r="K3339" s="1095"/>
      <c r="L3339" s="1095"/>
      <c r="M3339" s="1095"/>
    </row>
    <row r="3340" spans="1:13" x14ac:dyDescent="0.25">
      <c r="A3340">
        <v>2003975</v>
      </c>
      <c r="B3340" t="s">
        <v>10573</v>
      </c>
      <c r="C3340" t="s">
        <v>2598</v>
      </c>
      <c r="D3340" s="254">
        <v>69.28</v>
      </c>
      <c r="E3340"/>
      <c r="F3340"/>
      <c r="G3340"/>
      <c r="H3340"/>
      <c r="I3340" s="489"/>
      <c r="J3340" s="1095"/>
      <c r="K3340" s="1095"/>
      <c r="L3340" s="1095"/>
      <c r="M3340" s="1095"/>
    </row>
    <row r="3341" spans="1:13" x14ac:dyDescent="0.25">
      <c r="A3341">
        <v>2003976</v>
      </c>
      <c r="B3341" t="s">
        <v>10574</v>
      </c>
      <c r="C3341" t="s">
        <v>2598</v>
      </c>
      <c r="D3341" s="254">
        <v>54.11</v>
      </c>
      <c r="E3341"/>
      <c r="F3341"/>
      <c r="G3341"/>
      <c r="H3341"/>
      <c r="I3341" s="489"/>
      <c r="J3341" s="1095"/>
      <c r="K3341" s="1095"/>
      <c r="L3341" s="1095"/>
      <c r="M3341" s="1095"/>
    </row>
    <row r="3342" spans="1:13" x14ac:dyDescent="0.25">
      <c r="A3342">
        <v>2003351</v>
      </c>
      <c r="B3342" t="s">
        <v>10575</v>
      </c>
      <c r="C3342" t="s">
        <v>2598</v>
      </c>
      <c r="D3342" s="254">
        <v>79.12</v>
      </c>
      <c r="E3342"/>
      <c r="F3342"/>
      <c r="G3342"/>
      <c r="H3342"/>
      <c r="I3342" s="489"/>
      <c r="J3342" s="1095"/>
      <c r="K3342" s="1095"/>
      <c r="L3342" s="1095"/>
      <c r="M3342" s="1095"/>
    </row>
    <row r="3343" spans="1:13" x14ac:dyDescent="0.25">
      <c r="A3343">
        <v>2003350</v>
      </c>
      <c r="B3343" t="s">
        <v>10576</v>
      </c>
      <c r="C3343" t="s">
        <v>2598</v>
      </c>
      <c r="D3343" s="254">
        <v>58.88</v>
      </c>
      <c r="E3343"/>
      <c r="F3343"/>
      <c r="G3343"/>
      <c r="H3343"/>
      <c r="I3343" s="489"/>
      <c r="J3343" s="1095"/>
      <c r="K3343" s="1095"/>
      <c r="L3343" s="1095"/>
      <c r="M3343" s="1095"/>
    </row>
    <row r="3344" spans="1:13" x14ac:dyDescent="0.25">
      <c r="A3344">
        <v>2003977</v>
      </c>
      <c r="B3344" t="s">
        <v>10577</v>
      </c>
      <c r="C3344" t="s">
        <v>2598</v>
      </c>
      <c r="D3344" s="254">
        <v>92.81</v>
      </c>
      <c r="E3344"/>
      <c r="F3344"/>
      <c r="G3344"/>
      <c r="H3344"/>
      <c r="I3344" s="489"/>
      <c r="J3344" s="1095"/>
      <c r="K3344" s="1095"/>
      <c r="L3344" s="1095"/>
      <c r="M3344" s="1095"/>
    </row>
    <row r="3345" spans="1:13" x14ac:dyDescent="0.25">
      <c r="A3345">
        <v>2003978</v>
      </c>
      <c r="B3345" t="s">
        <v>10578</v>
      </c>
      <c r="C3345" t="s">
        <v>2598</v>
      </c>
      <c r="D3345" s="254">
        <v>72.48</v>
      </c>
      <c r="E3345"/>
      <c r="F3345"/>
      <c r="G3345"/>
      <c r="H3345"/>
      <c r="I3345" s="489"/>
      <c r="J3345" s="1095"/>
      <c r="K3345" s="1095"/>
      <c r="L3345" s="1095"/>
      <c r="M3345" s="1095"/>
    </row>
    <row r="3346" spans="1:13" x14ac:dyDescent="0.25">
      <c r="A3346">
        <v>2003353</v>
      </c>
      <c r="B3346" t="s">
        <v>10579</v>
      </c>
      <c r="C3346" t="s">
        <v>2598</v>
      </c>
      <c r="D3346" s="254">
        <v>60.67</v>
      </c>
      <c r="E3346"/>
      <c r="F3346"/>
      <c r="G3346"/>
      <c r="H3346"/>
      <c r="I3346" s="489"/>
      <c r="J3346" s="1095"/>
      <c r="K3346" s="1095"/>
      <c r="L3346" s="1095"/>
      <c r="M3346" s="1095"/>
    </row>
    <row r="3347" spans="1:13" x14ac:dyDescent="0.25">
      <c r="A3347">
        <v>2003352</v>
      </c>
      <c r="B3347" t="s">
        <v>10580</v>
      </c>
      <c r="C3347" t="s">
        <v>2598</v>
      </c>
      <c r="D3347" s="254">
        <v>45.15</v>
      </c>
      <c r="E3347"/>
      <c r="F3347"/>
      <c r="G3347"/>
      <c r="H3347"/>
      <c r="I3347" s="489"/>
      <c r="J3347" s="1095"/>
      <c r="K3347" s="1095"/>
      <c r="L3347" s="1095"/>
      <c r="M3347" s="1095"/>
    </row>
    <row r="3348" spans="1:13" x14ac:dyDescent="0.25">
      <c r="A3348">
        <v>2003979</v>
      </c>
      <c r="B3348" t="s">
        <v>10581</v>
      </c>
      <c r="C3348" t="s">
        <v>2598</v>
      </c>
      <c r="D3348" s="254">
        <v>71.19</v>
      </c>
      <c r="E3348"/>
      <c r="F3348"/>
      <c r="G3348"/>
      <c r="H3348"/>
      <c r="I3348" s="489"/>
      <c r="J3348" s="1095"/>
      <c r="K3348" s="1095"/>
      <c r="L3348" s="1095"/>
      <c r="M3348" s="1095"/>
    </row>
    <row r="3349" spans="1:13" x14ac:dyDescent="0.25">
      <c r="A3349">
        <v>2003980</v>
      </c>
      <c r="B3349" t="s">
        <v>10582</v>
      </c>
      <c r="C3349" t="s">
        <v>2598</v>
      </c>
      <c r="D3349" s="254">
        <v>55.59</v>
      </c>
      <c r="E3349"/>
      <c r="F3349"/>
      <c r="G3349"/>
      <c r="H3349"/>
      <c r="I3349" s="489"/>
      <c r="J3349" s="1095"/>
      <c r="K3349" s="1095"/>
      <c r="L3349" s="1095"/>
      <c r="M3349" s="1095"/>
    </row>
    <row r="3350" spans="1:13" x14ac:dyDescent="0.25">
      <c r="A3350">
        <v>2003355</v>
      </c>
      <c r="B3350" t="s">
        <v>10583</v>
      </c>
      <c r="C3350" t="s">
        <v>2598</v>
      </c>
      <c r="D3350" s="254">
        <v>82.2</v>
      </c>
      <c r="E3350"/>
      <c r="F3350"/>
      <c r="G3350"/>
      <c r="H3350"/>
      <c r="I3350" s="489"/>
      <c r="J3350" s="1095"/>
      <c r="K3350" s="1095"/>
      <c r="L3350" s="1095"/>
      <c r="M3350" s="1095"/>
    </row>
    <row r="3351" spans="1:13" x14ac:dyDescent="0.25">
      <c r="A3351">
        <v>2003354</v>
      </c>
      <c r="B3351" t="s">
        <v>10584</v>
      </c>
      <c r="C3351" t="s">
        <v>2598</v>
      </c>
      <c r="D3351" s="254">
        <v>61.14</v>
      </c>
      <c r="E3351"/>
      <c r="F3351"/>
      <c r="G3351"/>
      <c r="H3351"/>
      <c r="I3351" s="489"/>
      <c r="J3351" s="1095"/>
      <c r="K3351" s="1095"/>
      <c r="L3351" s="1095"/>
      <c r="M3351" s="1095"/>
    </row>
    <row r="3352" spans="1:13" x14ac:dyDescent="0.25">
      <c r="A3352">
        <v>2003981</v>
      </c>
      <c r="B3352" t="s">
        <v>10585</v>
      </c>
      <c r="C3352" t="s">
        <v>2598</v>
      </c>
      <c r="D3352" s="254">
        <v>96.56</v>
      </c>
      <c r="E3352"/>
      <c r="F3352"/>
      <c r="G3352"/>
      <c r="H3352"/>
      <c r="I3352" s="489"/>
      <c r="J3352" s="1095"/>
      <c r="K3352" s="1095"/>
      <c r="L3352" s="1095"/>
      <c r="M3352" s="1095"/>
    </row>
    <row r="3353" spans="1:13" x14ac:dyDescent="0.25">
      <c r="A3353">
        <v>2003982</v>
      </c>
      <c r="B3353" t="s">
        <v>10586</v>
      </c>
      <c r="C3353" t="s">
        <v>2598</v>
      </c>
      <c r="D3353" s="254">
        <v>75.41</v>
      </c>
      <c r="E3353"/>
      <c r="F3353"/>
      <c r="G3353"/>
      <c r="H3353"/>
      <c r="I3353" s="489"/>
      <c r="J3353" s="1095"/>
      <c r="K3353" s="1095"/>
      <c r="L3353" s="1095"/>
      <c r="M3353" s="1095"/>
    </row>
    <row r="3354" spans="1:13" x14ac:dyDescent="0.25">
      <c r="A3354">
        <v>2003343</v>
      </c>
      <c r="B3354" t="s">
        <v>13530</v>
      </c>
      <c r="C3354" t="s">
        <v>2598</v>
      </c>
      <c r="D3354" s="254">
        <v>60.05</v>
      </c>
      <c r="E3354"/>
      <c r="F3354"/>
      <c r="G3354"/>
      <c r="H3354"/>
      <c r="I3354" s="489"/>
      <c r="J3354" s="1095"/>
      <c r="K3354" s="1095"/>
      <c r="L3354" s="1095"/>
      <c r="M3354" s="1095"/>
    </row>
    <row r="3355" spans="1:13" x14ac:dyDescent="0.25">
      <c r="A3355">
        <v>2003342</v>
      </c>
      <c r="B3355" t="s">
        <v>13531</v>
      </c>
      <c r="C3355" t="s">
        <v>2598</v>
      </c>
      <c r="D3355" s="254">
        <v>47.37</v>
      </c>
      <c r="E3355"/>
      <c r="F3355"/>
      <c r="G3355"/>
      <c r="H3355"/>
      <c r="I3355" s="489"/>
      <c r="J3355" s="1095"/>
      <c r="K3355" s="1095"/>
      <c r="L3355" s="1095"/>
      <c r="M3355" s="1095"/>
    </row>
    <row r="3356" spans="1:13" x14ac:dyDescent="0.25">
      <c r="A3356">
        <v>2003971</v>
      </c>
      <c r="B3356" t="s">
        <v>13532</v>
      </c>
      <c r="C3356" t="s">
        <v>2598</v>
      </c>
      <c r="D3356" s="254">
        <v>68.61</v>
      </c>
      <c r="E3356"/>
      <c r="F3356"/>
      <c r="G3356"/>
      <c r="H3356"/>
      <c r="I3356" s="489"/>
      <c r="J3356" s="1095"/>
      <c r="K3356" s="1095"/>
      <c r="L3356" s="1095"/>
      <c r="M3356" s="1095"/>
    </row>
    <row r="3357" spans="1:13" x14ac:dyDescent="0.25">
      <c r="A3357">
        <v>2003972</v>
      </c>
      <c r="B3357" t="s">
        <v>13533</v>
      </c>
      <c r="C3357" t="s">
        <v>2598</v>
      </c>
      <c r="D3357" s="254">
        <v>55.87</v>
      </c>
      <c r="E3357"/>
      <c r="F3357"/>
      <c r="G3357"/>
      <c r="H3357"/>
      <c r="I3357" s="489"/>
      <c r="J3357" s="1095"/>
      <c r="K3357" s="1095"/>
      <c r="L3357" s="1095"/>
      <c r="M3357" s="1095"/>
    </row>
    <row r="3358" spans="1:13" x14ac:dyDescent="0.25">
      <c r="A3358">
        <v>2003345</v>
      </c>
      <c r="B3358" t="s">
        <v>13534</v>
      </c>
      <c r="C3358" t="s">
        <v>2598</v>
      </c>
      <c r="D3358" s="254">
        <v>43.17</v>
      </c>
      <c r="E3358"/>
      <c r="F3358"/>
      <c r="G3358"/>
      <c r="H3358"/>
      <c r="I3358" s="489"/>
      <c r="J3358" s="1095"/>
      <c r="K3358" s="1095"/>
      <c r="L3358" s="1095"/>
      <c r="M3358" s="1095"/>
    </row>
    <row r="3359" spans="1:13" x14ac:dyDescent="0.25">
      <c r="A3359">
        <v>2003344</v>
      </c>
      <c r="B3359" t="s">
        <v>13535</v>
      </c>
      <c r="C3359" t="s">
        <v>2598</v>
      </c>
      <c r="D3359" s="254">
        <v>34.32</v>
      </c>
      <c r="E3359"/>
      <c r="F3359"/>
      <c r="G3359"/>
      <c r="H3359"/>
      <c r="I3359" s="489"/>
      <c r="J3359" s="1095"/>
      <c r="K3359" s="1095"/>
      <c r="L3359" s="1095"/>
      <c r="M3359" s="1095"/>
    </row>
    <row r="3360" spans="1:13" x14ac:dyDescent="0.25">
      <c r="A3360">
        <v>2003973</v>
      </c>
      <c r="B3360" t="s">
        <v>13536</v>
      </c>
      <c r="C3360" t="s">
        <v>2598</v>
      </c>
      <c r="D3360" s="254">
        <v>49.08</v>
      </c>
      <c r="E3360"/>
      <c r="F3360"/>
      <c r="G3360"/>
      <c r="H3360"/>
      <c r="I3360" s="489"/>
      <c r="J3360" s="1095"/>
      <c r="K3360" s="1095"/>
      <c r="L3360" s="1095"/>
      <c r="M3360" s="1095"/>
    </row>
    <row r="3361" spans="1:13" x14ac:dyDescent="0.25">
      <c r="A3361">
        <v>2003974</v>
      </c>
      <c r="B3361" t="s">
        <v>13537</v>
      </c>
      <c r="C3361" t="s">
        <v>2598</v>
      </c>
      <c r="D3361" s="254">
        <v>40.18</v>
      </c>
      <c r="E3361"/>
      <c r="F3361"/>
      <c r="G3361"/>
      <c r="H3361"/>
      <c r="I3361" s="489"/>
      <c r="J3361" s="1095"/>
      <c r="K3361" s="1095"/>
      <c r="L3361" s="1095"/>
      <c r="M3361" s="1095"/>
    </row>
    <row r="3362" spans="1:13" x14ac:dyDescent="0.25">
      <c r="A3362">
        <v>2003346</v>
      </c>
      <c r="B3362" t="s">
        <v>13538</v>
      </c>
      <c r="C3362" t="s">
        <v>2598</v>
      </c>
      <c r="D3362" s="254">
        <v>19.809999999999999</v>
      </c>
      <c r="E3362"/>
      <c r="F3362"/>
      <c r="G3362"/>
      <c r="H3362"/>
      <c r="I3362" s="489"/>
      <c r="J3362" s="1095"/>
      <c r="K3362" s="1095"/>
      <c r="L3362" s="1095"/>
      <c r="M3362" s="1095"/>
    </row>
    <row r="3363" spans="1:13" x14ac:dyDescent="0.25">
      <c r="A3363">
        <v>2003347</v>
      </c>
      <c r="B3363" t="s">
        <v>13539</v>
      </c>
      <c r="C3363" t="s">
        <v>2598</v>
      </c>
      <c r="D3363" s="254">
        <v>14.66</v>
      </c>
      <c r="E3363"/>
      <c r="F3363"/>
      <c r="G3363"/>
      <c r="H3363"/>
      <c r="I3363" s="489"/>
      <c r="J3363" s="1095"/>
      <c r="K3363" s="1095"/>
      <c r="L3363" s="1095"/>
      <c r="M3363" s="1095"/>
    </row>
    <row r="3364" spans="1:13" x14ac:dyDescent="0.25">
      <c r="A3364">
        <v>2003932</v>
      </c>
      <c r="B3364" t="s">
        <v>13540</v>
      </c>
      <c r="C3364" t="s">
        <v>2598</v>
      </c>
      <c r="D3364" s="254">
        <v>9.39</v>
      </c>
      <c r="E3364"/>
      <c r="F3364"/>
      <c r="G3364"/>
      <c r="H3364"/>
      <c r="I3364" s="489"/>
      <c r="J3364" s="1095"/>
      <c r="K3364" s="1095"/>
      <c r="L3364" s="1095"/>
      <c r="M3364" s="1095"/>
    </row>
    <row r="3365" spans="1:13" x14ac:dyDescent="0.25">
      <c r="A3365">
        <v>2003933</v>
      </c>
      <c r="B3365" t="s">
        <v>13541</v>
      </c>
      <c r="C3365" t="s">
        <v>2598</v>
      </c>
      <c r="D3365" s="254">
        <v>7.42</v>
      </c>
      <c r="E3365"/>
      <c r="F3365"/>
      <c r="G3365"/>
      <c r="H3365"/>
      <c r="I3365" s="489"/>
      <c r="J3365" s="1095"/>
      <c r="K3365" s="1095"/>
      <c r="L3365" s="1095"/>
      <c r="M3365" s="1095"/>
    </row>
    <row r="3366" spans="1:13" x14ac:dyDescent="0.25">
      <c r="A3366">
        <v>2003319</v>
      </c>
      <c r="B3366" t="s">
        <v>13542</v>
      </c>
      <c r="C3366" t="s">
        <v>2598</v>
      </c>
      <c r="D3366" s="254">
        <v>78.14</v>
      </c>
      <c r="E3366"/>
      <c r="F3366"/>
      <c r="G3366"/>
      <c r="H3366"/>
      <c r="I3366" s="489"/>
      <c r="J3366" s="1095"/>
      <c r="K3366" s="1095"/>
      <c r="L3366" s="1095"/>
      <c r="M3366" s="1095"/>
    </row>
    <row r="3367" spans="1:13" x14ac:dyDescent="0.25">
      <c r="A3367">
        <v>2003318</v>
      </c>
      <c r="B3367" t="s">
        <v>13543</v>
      </c>
      <c r="C3367" t="s">
        <v>2598</v>
      </c>
      <c r="D3367" s="254">
        <v>60.85</v>
      </c>
      <c r="E3367"/>
      <c r="F3367"/>
      <c r="G3367"/>
      <c r="H3367"/>
      <c r="I3367" s="489"/>
      <c r="J3367" s="1095"/>
      <c r="K3367" s="1095"/>
      <c r="L3367" s="1095"/>
      <c r="M3367" s="1095"/>
    </row>
    <row r="3368" spans="1:13" x14ac:dyDescent="0.25">
      <c r="A3368">
        <v>2003955</v>
      </c>
      <c r="B3368" t="s">
        <v>13544</v>
      </c>
      <c r="C3368" t="s">
        <v>2598</v>
      </c>
      <c r="D3368" s="254">
        <v>90.03</v>
      </c>
      <c r="E3368"/>
      <c r="F3368"/>
      <c r="G3368"/>
      <c r="H3368"/>
      <c r="I3368" s="489"/>
      <c r="J3368" s="1095"/>
      <c r="K3368" s="1095"/>
      <c r="L3368" s="1095"/>
      <c r="M3368" s="1095"/>
    </row>
    <row r="3369" spans="1:13" x14ac:dyDescent="0.25">
      <c r="A3369">
        <v>2003956</v>
      </c>
      <c r="B3369" t="s">
        <v>13545</v>
      </c>
      <c r="C3369" t="s">
        <v>2598</v>
      </c>
      <c r="D3369" s="254">
        <v>72.650000000000006</v>
      </c>
      <c r="E3369"/>
      <c r="F3369"/>
      <c r="G3369"/>
      <c r="H3369"/>
      <c r="I3369" s="489"/>
      <c r="J3369" s="1095"/>
      <c r="K3369" s="1095"/>
      <c r="L3369" s="1095"/>
      <c r="M3369" s="1095"/>
    </row>
    <row r="3370" spans="1:13" x14ac:dyDescent="0.25">
      <c r="A3370">
        <v>2003321</v>
      </c>
      <c r="B3370" t="s">
        <v>13546</v>
      </c>
      <c r="C3370" t="s">
        <v>2598</v>
      </c>
      <c r="D3370" s="254">
        <v>66.510000000000005</v>
      </c>
      <c r="E3370"/>
      <c r="F3370"/>
      <c r="G3370"/>
      <c r="H3370"/>
      <c r="I3370" s="489"/>
      <c r="J3370" s="1095"/>
      <c r="K3370" s="1095"/>
      <c r="L3370" s="1095"/>
      <c r="M3370" s="1095"/>
    </row>
    <row r="3371" spans="1:13" x14ac:dyDescent="0.25">
      <c r="A3371">
        <v>2003320</v>
      </c>
      <c r="B3371" t="s">
        <v>13547</v>
      </c>
      <c r="C3371" t="s">
        <v>2598</v>
      </c>
      <c r="D3371" s="254">
        <v>52.04</v>
      </c>
      <c r="E3371"/>
      <c r="F3371"/>
      <c r="G3371"/>
      <c r="H3371"/>
      <c r="I3371" s="489"/>
      <c r="J3371" s="1095"/>
      <c r="K3371" s="1095"/>
      <c r="L3371" s="1095"/>
      <c r="M3371" s="1095"/>
    </row>
    <row r="3372" spans="1:13" x14ac:dyDescent="0.25">
      <c r="A3372">
        <v>2003957</v>
      </c>
      <c r="B3372" t="s">
        <v>13548</v>
      </c>
      <c r="C3372" t="s">
        <v>2598</v>
      </c>
      <c r="D3372" s="254">
        <v>76.430000000000007</v>
      </c>
      <c r="E3372"/>
      <c r="F3372"/>
      <c r="G3372"/>
      <c r="H3372"/>
      <c r="I3372" s="489"/>
      <c r="J3372" s="1095"/>
      <c r="K3372" s="1095"/>
      <c r="L3372" s="1095"/>
      <c r="M3372" s="1095"/>
    </row>
    <row r="3373" spans="1:13" x14ac:dyDescent="0.25">
      <c r="A3373">
        <v>2003958</v>
      </c>
      <c r="B3373" t="s">
        <v>13549</v>
      </c>
      <c r="C3373" t="s">
        <v>2598</v>
      </c>
      <c r="D3373" s="254">
        <v>61.89</v>
      </c>
      <c r="E3373"/>
      <c r="F3373"/>
      <c r="G3373"/>
      <c r="H3373"/>
      <c r="I3373" s="489"/>
      <c r="J3373" s="1095"/>
      <c r="K3373" s="1095"/>
      <c r="L3373" s="1095"/>
      <c r="M3373" s="1095"/>
    </row>
    <row r="3374" spans="1:13" x14ac:dyDescent="0.25">
      <c r="A3374">
        <v>2003323</v>
      </c>
      <c r="B3374" t="s">
        <v>13550</v>
      </c>
      <c r="C3374" t="s">
        <v>2598</v>
      </c>
      <c r="D3374" s="254">
        <v>57.15</v>
      </c>
      <c r="E3374"/>
      <c r="F3374"/>
      <c r="G3374"/>
      <c r="H3374"/>
      <c r="I3374" s="489"/>
      <c r="J3374" s="1095"/>
      <c r="K3374" s="1095"/>
      <c r="L3374" s="1095"/>
      <c r="M3374" s="1095"/>
    </row>
    <row r="3375" spans="1:13" x14ac:dyDescent="0.25">
      <c r="A3375">
        <v>2003322</v>
      </c>
      <c r="B3375" t="s">
        <v>13551</v>
      </c>
      <c r="C3375" t="s">
        <v>2598</v>
      </c>
      <c r="D3375" s="254">
        <v>44.69</v>
      </c>
      <c r="E3375"/>
      <c r="F3375"/>
      <c r="G3375"/>
      <c r="H3375"/>
      <c r="I3375" s="489"/>
      <c r="J3375" s="1095"/>
      <c r="K3375" s="1095"/>
      <c r="L3375" s="1095"/>
      <c r="M3375" s="1095"/>
    </row>
    <row r="3376" spans="1:13" x14ac:dyDescent="0.25">
      <c r="A3376">
        <v>2003959</v>
      </c>
      <c r="B3376" t="s">
        <v>13552</v>
      </c>
      <c r="C3376" t="s">
        <v>2598</v>
      </c>
      <c r="D3376" s="254">
        <v>65.66</v>
      </c>
      <c r="E3376"/>
      <c r="F3376"/>
      <c r="G3376"/>
      <c r="H3376"/>
      <c r="I3376" s="489"/>
      <c r="J3376" s="1095"/>
      <c r="K3376" s="1095"/>
      <c r="L3376" s="1095"/>
      <c r="M3376" s="1095"/>
    </row>
    <row r="3377" spans="1:13" x14ac:dyDescent="0.25">
      <c r="A3377">
        <v>2003960</v>
      </c>
      <c r="B3377" t="s">
        <v>13553</v>
      </c>
      <c r="C3377" t="s">
        <v>2598</v>
      </c>
      <c r="D3377" s="254">
        <v>53.15</v>
      </c>
      <c r="E3377"/>
      <c r="F3377"/>
      <c r="G3377"/>
      <c r="H3377"/>
      <c r="I3377" s="489"/>
      <c r="J3377" s="1095"/>
      <c r="K3377" s="1095"/>
      <c r="L3377" s="1095"/>
      <c r="M3377" s="1095"/>
    </row>
    <row r="3378" spans="1:13" x14ac:dyDescent="0.25">
      <c r="A3378">
        <v>2003325</v>
      </c>
      <c r="B3378" t="s">
        <v>13554</v>
      </c>
      <c r="C3378" t="s">
        <v>2598</v>
      </c>
      <c r="D3378" s="254">
        <v>48.61</v>
      </c>
      <c r="E3378"/>
      <c r="F3378"/>
      <c r="G3378"/>
      <c r="H3378"/>
      <c r="I3378" s="489"/>
      <c r="J3378" s="1095"/>
      <c r="K3378" s="1095"/>
      <c r="L3378" s="1095"/>
      <c r="M3378" s="1095"/>
    </row>
    <row r="3379" spans="1:13" x14ac:dyDescent="0.25">
      <c r="A3379">
        <v>2003324</v>
      </c>
      <c r="B3379" t="s">
        <v>13555</v>
      </c>
      <c r="C3379" t="s">
        <v>2598</v>
      </c>
      <c r="D3379" s="254">
        <v>38.32</v>
      </c>
      <c r="E3379"/>
      <c r="F3379"/>
      <c r="G3379"/>
      <c r="H3379"/>
      <c r="I3379" s="489"/>
      <c r="J3379" s="1095"/>
      <c r="K3379" s="1095"/>
      <c r="L3379" s="1095"/>
      <c r="M3379" s="1095"/>
    </row>
    <row r="3380" spans="1:13" x14ac:dyDescent="0.25">
      <c r="A3380">
        <v>2003961</v>
      </c>
      <c r="B3380" t="s">
        <v>13556</v>
      </c>
      <c r="C3380" t="s">
        <v>2598</v>
      </c>
      <c r="D3380" s="254">
        <v>55.62</v>
      </c>
      <c r="E3380"/>
      <c r="F3380"/>
      <c r="G3380"/>
      <c r="H3380"/>
      <c r="I3380" s="489"/>
      <c r="J3380" s="1095"/>
      <c r="K3380" s="1095"/>
      <c r="L3380" s="1095"/>
      <c r="M3380" s="1095"/>
    </row>
    <row r="3381" spans="1:13" x14ac:dyDescent="0.25">
      <c r="A3381">
        <v>2003962</v>
      </c>
      <c r="B3381" t="s">
        <v>13557</v>
      </c>
      <c r="C3381" t="s">
        <v>2598</v>
      </c>
      <c r="D3381" s="254">
        <v>45.28</v>
      </c>
      <c r="E3381"/>
      <c r="F3381"/>
      <c r="G3381"/>
      <c r="H3381"/>
      <c r="I3381" s="489"/>
      <c r="J3381" s="1095"/>
      <c r="K3381" s="1095"/>
      <c r="L3381" s="1095"/>
      <c r="M3381" s="1095"/>
    </row>
    <row r="3382" spans="1:13" x14ac:dyDescent="0.25">
      <c r="A3382">
        <v>2003327</v>
      </c>
      <c r="B3382" t="s">
        <v>13558</v>
      </c>
      <c r="C3382" t="s">
        <v>2598</v>
      </c>
      <c r="D3382" s="254">
        <v>100.85</v>
      </c>
      <c r="E3382"/>
      <c r="F3382"/>
      <c r="G3382"/>
      <c r="H3382"/>
      <c r="I3382" s="489"/>
      <c r="J3382" s="1095"/>
      <c r="K3382" s="1095"/>
      <c r="L3382" s="1095"/>
      <c r="M3382" s="1095"/>
    </row>
    <row r="3383" spans="1:13" x14ac:dyDescent="0.25">
      <c r="A3383">
        <v>2003326</v>
      </c>
      <c r="B3383" t="s">
        <v>13559</v>
      </c>
      <c r="C3383" t="s">
        <v>2598</v>
      </c>
      <c r="D3383" s="254">
        <v>85.13</v>
      </c>
      <c r="E3383"/>
      <c r="F3383"/>
      <c r="G3383"/>
      <c r="H3383"/>
      <c r="I3383" s="489"/>
      <c r="J3383" s="1095"/>
      <c r="K3383" s="1095"/>
      <c r="L3383" s="1095"/>
      <c r="M3383" s="1095"/>
    </row>
    <row r="3384" spans="1:13" x14ac:dyDescent="0.25">
      <c r="A3384">
        <v>2003963</v>
      </c>
      <c r="B3384" t="s">
        <v>13560</v>
      </c>
      <c r="C3384" t="s">
        <v>2598</v>
      </c>
      <c r="D3384" s="254">
        <v>82.52</v>
      </c>
      <c r="E3384"/>
      <c r="F3384"/>
      <c r="G3384"/>
      <c r="H3384"/>
      <c r="I3384" s="489"/>
      <c r="J3384" s="1095"/>
      <c r="K3384" s="1095"/>
      <c r="L3384" s="1095"/>
      <c r="M3384" s="1095"/>
    </row>
    <row r="3385" spans="1:13" x14ac:dyDescent="0.25">
      <c r="A3385">
        <v>2003964</v>
      </c>
      <c r="B3385" t="s">
        <v>13561</v>
      </c>
      <c r="C3385" t="s">
        <v>2598</v>
      </c>
      <c r="D3385" s="254">
        <v>66.73</v>
      </c>
      <c r="E3385"/>
      <c r="F3385"/>
      <c r="G3385"/>
      <c r="H3385"/>
      <c r="I3385" s="489"/>
      <c r="J3385" s="1095"/>
      <c r="K3385" s="1095"/>
      <c r="L3385" s="1095"/>
      <c r="M3385" s="1095"/>
    </row>
    <row r="3386" spans="1:13" x14ac:dyDescent="0.25">
      <c r="A3386">
        <v>2003329</v>
      </c>
      <c r="B3386" t="s">
        <v>13562</v>
      </c>
      <c r="C3386" t="s">
        <v>2598</v>
      </c>
      <c r="D3386" s="254">
        <v>84.88</v>
      </c>
      <c r="E3386"/>
      <c r="F3386"/>
      <c r="G3386"/>
      <c r="H3386"/>
      <c r="I3386" s="489"/>
      <c r="J3386" s="1095"/>
      <c r="K3386" s="1095"/>
      <c r="L3386" s="1095"/>
      <c r="M3386" s="1095"/>
    </row>
    <row r="3387" spans="1:13" x14ac:dyDescent="0.25">
      <c r="A3387">
        <v>2003328</v>
      </c>
      <c r="B3387" t="s">
        <v>13563</v>
      </c>
      <c r="C3387" t="s">
        <v>2598</v>
      </c>
      <c r="D3387" s="254">
        <v>71.61</v>
      </c>
      <c r="E3387"/>
      <c r="F3387"/>
      <c r="G3387"/>
      <c r="H3387"/>
      <c r="I3387" s="489"/>
      <c r="J3387" s="1095"/>
      <c r="K3387" s="1095"/>
      <c r="L3387" s="1095"/>
      <c r="M3387" s="1095"/>
    </row>
    <row r="3388" spans="1:13" x14ac:dyDescent="0.25">
      <c r="A3388">
        <v>2003965</v>
      </c>
      <c r="B3388" t="s">
        <v>13564</v>
      </c>
      <c r="C3388" t="s">
        <v>2598</v>
      </c>
      <c r="D3388" s="254">
        <v>69.8</v>
      </c>
      <c r="E3388"/>
      <c r="F3388"/>
      <c r="G3388"/>
      <c r="H3388"/>
      <c r="I3388" s="489"/>
      <c r="J3388" s="1095"/>
      <c r="K3388" s="1095"/>
      <c r="L3388" s="1095"/>
      <c r="M3388" s="1095"/>
    </row>
    <row r="3389" spans="1:13" x14ac:dyDescent="0.25">
      <c r="A3389">
        <v>2003966</v>
      </c>
      <c r="B3389" t="s">
        <v>13565</v>
      </c>
      <c r="C3389" t="s">
        <v>2598</v>
      </c>
      <c r="D3389" s="254">
        <v>56.47</v>
      </c>
      <c r="E3389"/>
      <c r="F3389"/>
      <c r="G3389"/>
      <c r="H3389"/>
      <c r="I3389" s="489"/>
      <c r="J3389" s="1095"/>
      <c r="K3389" s="1095"/>
      <c r="L3389" s="1095"/>
      <c r="M3389" s="1095"/>
    </row>
    <row r="3390" spans="1:13" x14ac:dyDescent="0.25">
      <c r="A3390">
        <v>2003331</v>
      </c>
      <c r="B3390" t="s">
        <v>13566</v>
      </c>
      <c r="C3390" t="s">
        <v>2598</v>
      </c>
      <c r="D3390" s="254">
        <v>73.040000000000006</v>
      </c>
      <c r="E3390"/>
      <c r="F3390"/>
      <c r="G3390"/>
      <c r="H3390"/>
      <c r="I3390" s="489"/>
      <c r="J3390" s="1095"/>
      <c r="K3390" s="1095"/>
      <c r="L3390" s="1095"/>
      <c r="M3390" s="1095"/>
    </row>
    <row r="3391" spans="1:13" x14ac:dyDescent="0.25">
      <c r="A3391">
        <v>2003330</v>
      </c>
      <c r="B3391" t="s">
        <v>13567</v>
      </c>
      <c r="C3391" t="s">
        <v>2598</v>
      </c>
      <c r="D3391" s="254">
        <v>61.73</v>
      </c>
      <c r="E3391"/>
      <c r="F3391"/>
      <c r="G3391"/>
      <c r="H3391"/>
      <c r="I3391" s="489"/>
      <c r="J3391" s="1095"/>
      <c r="K3391" s="1095"/>
      <c r="L3391" s="1095"/>
      <c r="M3391" s="1095"/>
    </row>
    <row r="3392" spans="1:13" x14ac:dyDescent="0.25">
      <c r="A3392">
        <v>2003967</v>
      </c>
      <c r="B3392" t="s">
        <v>13568</v>
      </c>
      <c r="C3392" t="s">
        <v>2598</v>
      </c>
      <c r="D3392" s="254">
        <v>60.61</v>
      </c>
      <c r="E3392"/>
      <c r="F3392"/>
      <c r="G3392"/>
      <c r="H3392"/>
      <c r="I3392" s="489"/>
      <c r="J3392" s="1095"/>
      <c r="K3392" s="1095"/>
      <c r="L3392" s="1095"/>
      <c r="M3392" s="1095"/>
    </row>
    <row r="3393" spans="1:13" x14ac:dyDescent="0.25">
      <c r="A3393">
        <v>2003968</v>
      </c>
      <c r="B3393" t="s">
        <v>13569</v>
      </c>
      <c r="C3393" t="s">
        <v>2598</v>
      </c>
      <c r="D3393" s="254">
        <v>49.25</v>
      </c>
      <c r="E3393"/>
      <c r="F3393"/>
      <c r="G3393"/>
      <c r="H3393"/>
      <c r="I3393" s="489"/>
      <c r="J3393" s="1095"/>
      <c r="K3393" s="1095"/>
      <c r="L3393" s="1095"/>
      <c r="M3393" s="1095"/>
    </row>
    <row r="3394" spans="1:13" x14ac:dyDescent="0.25">
      <c r="A3394">
        <v>2003333</v>
      </c>
      <c r="B3394" t="s">
        <v>13570</v>
      </c>
      <c r="C3394" t="s">
        <v>2598</v>
      </c>
      <c r="D3394" s="254">
        <v>61.53</v>
      </c>
      <c r="E3394"/>
      <c r="F3394"/>
      <c r="G3394"/>
      <c r="H3394"/>
      <c r="I3394" s="489"/>
      <c r="J3394" s="1095"/>
      <c r="K3394" s="1095"/>
      <c r="L3394" s="1095"/>
      <c r="M3394" s="1095"/>
    </row>
    <row r="3395" spans="1:13" x14ac:dyDescent="0.25">
      <c r="A3395">
        <v>2003332</v>
      </c>
      <c r="B3395" t="s">
        <v>13571</v>
      </c>
      <c r="C3395" t="s">
        <v>2598</v>
      </c>
      <c r="D3395" s="254">
        <v>52.01</v>
      </c>
      <c r="E3395"/>
      <c r="F3395"/>
      <c r="G3395"/>
      <c r="H3395"/>
      <c r="I3395" s="489"/>
      <c r="J3395" s="1095"/>
      <c r="K3395" s="1095"/>
      <c r="L3395" s="1095"/>
      <c r="M3395" s="1095"/>
    </row>
    <row r="3396" spans="1:13" x14ac:dyDescent="0.25">
      <c r="A3396">
        <v>2003969</v>
      </c>
      <c r="B3396" t="s">
        <v>13572</v>
      </c>
      <c r="C3396" t="s">
        <v>2598</v>
      </c>
      <c r="D3396" s="254">
        <v>51.22</v>
      </c>
      <c r="E3396"/>
      <c r="F3396"/>
      <c r="G3396"/>
      <c r="H3396"/>
      <c r="I3396" s="489"/>
      <c r="J3396" s="1095"/>
      <c r="K3396" s="1095"/>
      <c r="L3396" s="1095"/>
      <c r="M3396" s="1095"/>
    </row>
    <row r="3397" spans="1:13" x14ac:dyDescent="0.25">
      <c r="A3397">
        <v>2003970</v>
      </c>
      <c r="B3397" t="s">
        <v>13573</v>
      </c>
      <c r="C3397" t="s">
        <v>2598</v>
      </c>
      <c r="D3397" s="254">
        <v>41.66</v>
      </c>
      <c r="E3397"/>
      <c r="F3397"/>
      <c r="G3397"/>
      <c r="H3397"/>
      <c r="I3397" s="489"/>
      <c r="J3397" s="1095"/>
      <c r="K3397" s="1095"/>
      <c r="L3397" s="1095"/>
      <c r="M3397" s="1095"/>
    </row>
    <row r="3398" spans="1:13" x14ac:dyDescent="0.25">
      <c r="A3398">
        <v>2003338</v>
      </c>
      <c r="B3398" t="s">
        <v>13574</v>
      </c>
      <c r="C3398" t="s">
        <v>2598</v>
      </c>
      <c r="D3398" s="254">
        <v>22.55</v>
      </c>
      <c r="E3398"/>
      <c r="F3398"/>
      <c r="G3398"/>
      <c r="H3398"/>
      <c r="I3398" s="489"/>
      <c r="J3398" s="1095"/>
      <c r="K3398" s="1095"/>
      <c r="L3398" s="1095"/>
      <c r="M3398" s="1095"/>
    </row>
    <row r="3399" spans="1:13" x14ac:dyDescent="0.25">
      <c r="A3399">
        <v>2003339</v>
      </c>
      <c r="B3399" t="s">
        <v>13575</v>
      </c>
      <c r="C3399" t="s">
        <v>2598</v>
      </c>
      <c r="D3399" s="254">
        <v>19.71</v>
      </c>
      <c r="E3399"/>
      <c r="F3399"/>
      <c r="G3399"/>
      <c r="H3399"/>
      <c r="I3399" s="489"/>
      <c r="J3399" s="1095"/>
      <c r="K3399" s="1095"/>
      <c r="L3399" s="1095"/>
      <c r="M3399" s="1095"/>
    </row>
    <row r="3400" spans="1:13" x14ac:dyDescent="0.25">
      <c r="A3400">
        <v>2003340</v>
      </c>
      <c r="B3400" t="s">
        <v>13576</v>
      </c>
      <c r="C3400" t="s">
        <v>2598</v>
      </c>
      <c r="D3400" s="254">
        <v>17</v>
      </c>
      <c r="E3400"/>
      <c r="F3400"/>
      <c r="G3400"/>
      <c r="H3400"/>
      <c r="I3400" s="489"/>
      <c r="J3400" s="1095"/>
      <c r="K3400" s="1095"/>
      <c r="L3400" s="1095"/>
      <c r="M3400" s="1095"/>
    </row>
    <row r="3401" spans="1:13" x14ac:dyDescent="0.25">
      <c r="A3401">
        <v>2003341</v>
      </c>
      <c r="B3401" t="s">
        <v>13577</v>
      </c>
      <c r="C3401" t="s">
        <v>2598</v>
      </c>
      <c r="D3401" s="254">
        <v>14.86</v>
      </c>
      <c r="E3401"/>
      <c r="F3401"/>
      <c r="G3401"/>
      <c r="H3401"/>
      <c r="I3401" s="489"/>
      <c r="J3401" s="1095"/>
      <c r="K3401" s="1095"/>
      <c r="L3401" s="1095"/>
      <c r="M3401" s="1095"/>
    </row>
    <row r="3402" spans="1:13" x14ac:dyDescent="0.25">
      <c r="A3402">
        <v>2004513</v>
      </c>
      <c r="B3402" t="s">
        <v>10587</v>
      </c>
      <c r="C3402" t="s">
        <v>2598</v>
      </c>
      <c r="D3402" s="254">
        <v>0.12</v>
      </c>
      <c r="E3402"/>
      <c r="F3402"/>
      <c r="G3402"/>
      <c r="H3402"/>
      <c r="I3402" s="489"/>
      <c r="J3402" s="1095"/>
      <c r="K3402" s="1095"/>
      <c r="L3402" s="1095"/>
      <c r="M3402" s="1095"/>
    </row>
    <row r="3403" spans="1:13" x14ac:dyDescent="0.25">
      <c r="A3403">
        <v>2003357</v>
      </c>
      <c r="B3403" t="s">
        <v>5713</v>
      </c>
      <c r="C3403" t="s">
        <v>2598</v>
      </c>
      <c r="D3403" s="254">
        <v>197.14</v>
      </c>
      <c r="E3403"/>
      <c r="F3403"/>
      <c r="G3403"/>
      <c r="H3403"/>
      <c r="I3403" s="489"/>
      <c r="J3403" s="1095"/>
      <c r="K3403" s="1095"/>
      <c r="L3403" s="1095"/>
      <c r="M3403" s="1095"/>
    </row>
    <row r="3404" spans="1:13" x14ac:dyDescent="0.25">
      <c r="A3404">
        <v>2003356</v>
      </c>
      <c r="B3404" t="s">
        <v>10588</v>
      </c>
      <c r="C3404" t="s">
        <v>2598</v>
      </c>
      <c r="D3404" s="254">
        <v>149.38999999999999</v>
      </c>
      <c r="E3404"/>
      <c r="F3404"/>
      <c r="G3404"/>
      <c r="H3404"/>
      <c r="I3404" s="489"/>
      <c r="J3404" s="1095"/>
      <c r="K3404" s="1095"/>
      <c r="L3404" s="1095"/>
      <c r="M3404" s="1095"/>
    </row>
    <row r="3405" spans="1:13" x14ac:dyDescent="0.25">
      <c r="A3405">
        <v>2003359</v>
      </c>
      <c r="B3405" t="s">
        <v>5714</v>
      </c>
      <c r="C3405" t="s">
        <v>2598</v>
      </c>
      <c r="D3405" s="254">
        <v>241.99</v>
      </c>
      <c r="E3405"/>
      <c r="F3405"/>
      <c r="G3405"/>
      <c r="H3405"/>
      <c r="I3405" s="489"/>
      <c r="J3405" s="1095"/>
      <c r="K3405" s="1095"/>
      <c r="L3405" s="1095"/>
      <c r="M3405" s="1095"/>
    </row>
    <row r="3406" spans="1:13" x14ac:dyDescent="0.25">
      <c r="A3406">
        <v>2003358</v>
      </c>
      <c r="B3406" t="s">
        <v>10589</v>
      </c>
      <c r="C3406" t="s">
        <v>2598</v>
      </c>
      <c r="D3406" s="254">
        <v>183.24</v>
      </c>
      <c r="E3406"/>
      <c r="F3406"/>
      <c r="G3406"/>
      <c r="H3406"/>
      <c r="I3406" s="489"/>
      <c r="J3406" s="1095"/>
      <c r="K3406" s="1095"/>
      <c r="L3406" s="1095"/>
      <c r="M3406" s="1095"/>
    </row>
    <row r="3407" spans="1:13" x14ac:dyDescent="0.25">
      <c r="A3407">
        <v>2003361</v>
      </c>
      <c r="B3407" t="s">
        <v>10590</v>
      </c>
      <c r="C3407" t="s">
        <v>2598</v>
      </c>
      <c r="D3407" s="254">
        <v>533.54999999999995</v>
      </c>
      <c r="E3407"/>
      <c r="F3407"/>
      <c r="G3407"/>
      <c r="H3407"/>
      <c r="I3407" s="489"/>
      <c r="J3407" s="1095"/>
      <c r="K3407" s="1095"/>
      <c r="L3407" s="1095"/>
      <c r="M3407" s="1095"/>
    </row>
    <row r="3408" spans="1:13" x14ac:dyDescent="0.25">
      <c r="A3408">
        <v>2003360</v>
      </c>
      <c r="B3408" t="s">
        <v>10591</v>
      </c>
      <c r="C3408" t="s">
        <v>2598</v>
      </c>
      <c r="D3408" s="254">
        <v>486.74</v>
      </c>
      <c r="E3408"/>
      <c r="F3408"/>
      <c r="G3408"/>
      <c r="H3408"/>
      <c r="I3408" s="489"/>
      <c r="J3408" s="1095"/>
      <c r="K3408" s="1095"/>
      <c r="L3408" s="1095"/>
      <c r="M3408" s="1095"/>
    </row>
    <row r="3409" spans="1:13" x14ac:dyDescent="0.25">
      <c r="A3409">
        <v>2003363</v>
      </c>
      <c r="B3409" t="s">
        <v>10592</v>
      </c>
      <c r="C3409" t="s">
        <v>2598</v>
      </c>
      <c r="D3409" s="254">
        <v>458.1</v>
      </c>
      <c r="E3409"/>
      <c r="F3409"/>
      <c r="G3409"/>
      <c r="H3409"/>
      <c r="I3409" s="489"/>
      <c r="J3409" s="1095"/>
      <c r="K3409" s="1095"/>
      <c r="L3409" s="1095"/>
      <c r="M3409" s="1095"/>
    </row>
    <row r="3410" spans="1:13" x14ac:dyDescent="0.25">
      <c r="A3410">
        <v>2003362</v>
      </c>
      <c r="B3410" t="s">
        <v>10593</v>
      </c>
      <c r="C3410" t="s">
        <v>2598</v>
      </c>
      <c r="D3410" s="254">
        <v>415.5</v>
      </c>
      <c r="E3410"/>
      <c r="F3410"/>
      <c r="G3410"/>
      <c r="H3410"/>
      <c r="I3410" s="489"/>
      <c r="J3410" s="1095"/>
      <c r="K3410" s="1095"/>
      <c r="L3410" s="1095"/>
      <c r="M3410" s="1095"/>
    </row>
    <row r="3411" spans="1:13" x14ac:dyDescent="0.25">
      <c r="A3411">
        <v>2003365</v>
      </c>
      <c r="B3411" t="s">
        <v>10594</v>
      </c>
      <c r="C3411" t="s">
        <v>2598</v>
      </c>
      <c r="D3411" s="254">
        <v>407.75</v>
      </c>
      <c r="E3411"/>
      <c r="F3411"/>
      <c r="G3411"/>
      <c r="H3411"/>
      <c r="I3411" s="489"/>
      <c r="J3411" s="1095"/>
      <c r="K3411" s="1095"/>
      <c r="L3411" s="1095"/>
      <c r="M3411" s="1095"/>
    </row>
    <row r="3412" spans="1:13" x14ac:dyDescent="0.25">
      <c r="A3412">
        <v>2003364</v>
      </c>
      <c r="B3412" t="s">
        <v>10595</v>
      </c>
      <c r="C3412" t="s">
        <v>2598</v>
      </c>
      <c r="D3412" s="254">
        <v>367.96</v>
      </c>
      <c r="E3412"/>
      <c r="F3412"/>
      <c r="G3412"/>
      <c r="H3412"/>
      <c r="I3412" s="489"/>
      <c r="J3412" s="1095"/>
      <c r="K3412" s="1095"/>
      <c r="L3412" s="1095"/>
      <c r="M3412" s="1095"/>
    </row>
    <row r="3413" spans="1:13" x14ac:dyDescent="0.25">
      <c r="A3413">
        <v>2003367</v>
      </c>
      <c r="B3413" t="s">
        <v>10596</v>
      </c>
      <c r="C3413" t="s">
        <v>2598</v>
      </c>
      <c r="D3413" s="254">
        <v>382.51</v>
      </c>
      <c r="E3413"/>
      <c r="F3413"/>
      <c r="G3413"/>
      <c r="H3413"/>
      <c r="I3413" s="489"/>
      <c r="J3413" s="1095"/>
      <c r="K3413" s="1095"/>
      <c r="L3413" s="1095"/>
      <c r="M3413" s="1095"/>
    </row>
    <row r="3414" spans="1:13" x14ac:dyDescent="0.25">
      <c r="A3414">
        <v>2003366</v>
      </c>
      <c r="B3414" t="s">
        <v>10597</v>
      </c>
      <c r="C3414" t="s">
        <v>2598</v>
      </c>
      <c r="D3414" s="254">
        <v>344.12</v>
      </c>
      <c r="E3414"/>
      <c r="F3414"/>
      <c r="G3414"/>
      <c r="H3414"/>
      <c r="I3414" s="489"/>
      <c r="J3414" s="1095"/>
      <c r="K3414" s="1095"/>
      <c r="L3414" s="1095"/>
      <c r="M3414" s="1095"/>
    </row>
    <row r="3415" spans="1:13" x14ac:dyDescent="0.25">
      <c r="A3415">
        <v>2003869</v>
      </c>
      <c r="B3415" t="s">
        <v>10598</v>
      </c>
      <c r="C3415" t="s">
        <v>2598</v>
      </c>
      <c r="D3415" s="254">
        <v>163.85</v>
      </c>
      <c r="E3415"/>
      <c r="F3415"/>
      <c r="G3415"/>
      <c r="H3415"/>
      <c r="I3415" s="489"/>
      <c r="J3415" s="1095"/>
      <c r="K3415" s="1095"/>
      <c r="L3415" s="1095"/>
      <c r="M3415" s="1095"/>
    </row>
    <row r="3416" spans="1:13" x14ac:dyDescent="0.25">
      <c r="A3416">
        <v>2003822</v>
      </c>
      <c r="B3416" t="s">
        <v>6317</v>
      </c>
      <c r="C3416" t="s">
        <v>2598</v>
      </c>
      <c r="D3416" s="254">
        <v>243.27</v>
      </c>
      <c r="E3416"/>
      <c r="F3416"/>
      <c r="G3416"/>
      <c r="H3416"/>
      <c r="I3416" s="489"/>
      <c r="J3416" s="1095"/>
      <c r="K3416" s="1095"/>
      <c r="L3416" s="1095"/>
      <c r="M3416" s="1095"/>
    </row>
    <row r="3417" spans="1:13" x14ac:dyDescent="0.25">
      <c r="A3417">
        <v>2003826</v>
      </c>
      <c r="B3417" t="s">
        <v>6318</v>
      </c>
      <c r="C3417" t="s">
        <v>2598</v>
      </c>
      <c r="D3417" s="254">
        <v>331.09</v>
      </c>
      <c r="E3417"/>
      <c r="F3417"/>
      <c r="G3417"/>
      <c r="H3417"/>
      <c r="I3417" s="489"/>
      <c r="J3417" s="1095"/>
      <c r="K3417" s="1095"/>
      <c r="L3417" s="1095"/>
      <c r="M3417" s="1095"/>
    </row>
    <row r="3418" spans="1:13" x14ac:dyDescent="0.25">
      <c r="A3418">
        <v>2003830</v>
      </c>
      <c r="B3418" t="s">
        <v>10599</v>
      </c>
      <c r="C3418" t="s">
        <v>2598</v>
      </c>
      <c r="D3418" s="254">
        <v>539.53</v>
      </c>
      <c r="E3418"/>
      <c r="F3418"/>
      <c r="G3418"/>
      <c r="H3418"/>
      <c r="I3418" s="489"/>
      <c r="J3418" s="1095"/>
      <c r="K3418" s="1095"/>
      <c r="L3418" s="1095"/>
      <c r="M3418" s="1095"/>
    </row>
    <row r="3419" spans="1:13" x14ac:dyDescent="0.25">
      <c r="A3419">
        <v>2003834</v>
      </c>
      <c r="B3419" t="s">
        <v>10600</v>
      </c>
      <c r="C3419" t="s">
        <v>2598</v>
      </c>
      <c r="D3419" s="254">
        <v>642.03</v>
      </c>
      <c r="E3419"/>
      <c r="F3419"/>
      <c r="G3419"/>
      <c r="H3419"/>
      <c r="I3419" s="489"/>
      <c r="J3419" s="1095"/>
      <c r="K3419" s="1095"/>
      <c r="L3419" s="1095"/>
      <c r="M3419" s="1095"/>
    </row>
    <row r="3420" spans="1:13" x14ac:dyDescent="0.25">
      <c r="A3420">
        <v>2003838</v>
      </c>
      <c r="B3420" t="s">
        <v>10601</v>
      </c>
      <c r="C3420" t="s">
        <v>2598</v>
      </c>
      <c r="D3420" s="254">
        <v>984.84</v>
      </c>
      <c r="E3420"/>
      <c r="F3420"/>
      <c r="G3420"/>
      <c r="H3420"/>
      <c r="I3420" s="489"/>
      <c r="J3420" s="1095"/>
      <c r="K3420" s="1095"/>
      <c r="L3420" s="1095"/>
      <c r="M3420" s="1095"/>
    </row>
    <row r="3421" spans="1:13" x14ac:dyDescent="0.25">
      <c r="A3421">
        <v>2003768</v>
      </c>
      <c r="B3421" t="s">
        <v>10602</v>
      </c>
      <c r="C3421" t="s">
        <v>2598</v>
      </c>
      <c r="D3421" s="254">
        <v>187.69</v>
      </c>
      <c r="E3421"/>
      <c r="F3421"/>
      <c r="G3421"/>
      <c r="H3421"/>
      <c r="I3421" s="489"/>
      <c r="J3421" s="1095"/>
      <c r="K3421" s="1095"/>
      <c r="L3421" s="1095"/>
      <c r="M3421" s="1095"/>
    </row>
    <row r="3422" spans="1:13" x14ac:dyDescent="0.25">
      <c r="A3422">
        <v>2003873</v>
      </c>
      <c r="B3422" t="s">
        <v>10603</v>
      </c>
      <c r="C3422" t="s">
        <v>2598</v>
      </c>
      <c r="D3422" s="254">
        <v>167.71</v>
      </c>
      <c r="E3422"/>
      <c r="F3422"/>
      <c r="G3422"/>
      <c r="H3422"/>
      <c r="I3422" s="489"/>
      <c r="J3422" s="1095"/>
      <c r="K3422" s="1095"/>
      <c r="L3422" s="1095"/>
      <c r="M3422" s="1095"/>
    </row>
    <row r="3423" spans="1:13" x14ac:dyDescent="0.25">
      <c r="A3423">
        <v>2003772</v>
      </c>
      <c r="B3423" t="s">
        <v>10604</v>
      </c>
      <c r="C3423" t="s">
        <v>2598</v>
      </c>
      <c r="D3423" s="254">
        <v>275.07</v>
      </c>
      <c r="E3423"/>
      <c r="F3423"/>
      <c r="G3423"/>
      <c r="H3423"/>
      <c r="I3423" s="489"/>
      <c r="J3423" s="1095"/>
      <c r="K3423" s="1095"/>
      <c r="L3423" s="1095"/>
      <c r="M3423" s="1095"/>
    </row>
    <row r="3424" spans="1:13" x14ac:dyDescent="0.25">
      <c r="A3424">
        <v>2003877</v>
      </c>
      <c r="B3424" t="s">
        <v>10605</v>
      </c>
      <c r="C3424" t="s">
        <v>2598</v>
      </c>
      <c r="D3424" s="254">
        <v>243.45</v>
      </c>
      <c r="E3424"/>
      <c r="F3424"/>
      <c r="G3424"/>
      <c r="H3424"/>
      <c r="I3424" s="489"/>
      <c r="J3424" s="1095"/>
      <c r="K3424" s="1095"/>
      <c r="L3424" s="1095"/>
      <c r="M3424" s="1095"/>
    </row>
    <row r="3425" spans="1:13" x14ac:dyDescent="0.25">
      <c r="A3425">
        <v>2003776</v>
      </c>
      <c r="B3425" t="s">
        <v>10606</v>
      </c>
      <c r="C3425" t="s">
        <v>2598</v>
      </c>
      <c r="D3425" s="254">
        <v>458.13</v>
      </c>
      <c r="E3425"/>
      <c r="F3425"/>
      <c r="G3425"/>
      <c r="H3425"/>
      <c r="I3425" s="489"/>
      <c r="J3425" s="1095"/>
      <c r="K3425" s="1095"/>
      <c r="L3425" s="1095"/>
      <c r="M3425" s="1095"/>
    </row>
    <row r="3426" spans="1:13" x14ac:dyDescent="0.25">
      <c r="A3426">
        <v>2003881</v>
      </c>
      <c r="B3426" t="s">
        <v>10607</v>
      </c>
      <c r="C3426" t="s">
        <v>2598</v>
      </c>
      <c r="D3426" s="254">
        <v>414.81</v>
      </c>
      <c r="E3426"/>
      <c r="F3426"/>
      <c r="G3426"/>
      <c r="H3426"/>
      <c r="I3426" s="489"/>
      <c r="J3426" s="1095"/>
      <c r="K3426" s="1095"/>
      <c r="L3426" s="1095"/>
      <c r="M3426" s="1095"/>
    </row>
    <row r="3427" spans="1:13" x14ac:dyDescent="0.25">
      <c r="A3427">
        <v>2003780</v>
      </c>
      <c r="B3427" t="s">
        <v>10608</v>
      </c>
      <c r="C3427" t="s">
        <v>2598</v>
      </c>
      <c r="D3427" s="254">
        <v>606.69000000000005</v>
      </c>
      <c r="E3427"/>
      <c r="F3427"/>
      <c r="G3427"/>
      <c r="H3427"/>
      <c r="I3427" s="489"/>
      <c r="J3427" s="1095"/>
      <c r="K3427" s="1095"/>
      <c r="L3427" s="1095"/>
      <c r="M3427" s="1095"/>
    </row>
    <row r="3428" spans="1:13" x14ac:dyDescent="0.25">
      <c r="A3428">
        <v>2003885</v>
      </c>
      <c r="B3428" t="s">
        <v>10609</v>
      </c>
      <c r="C3428" t="s">
        <v>2598</v>
      </c>
      <c r="D3428" s="254">
        <v>543.32000000000005</v>
      </c>
      <c r="E3428"/>
      <c r="F3428"/>
      <c r="G3428"/>
      <c r="H3428"/>
      <c r="I3428" s="489"/>
      <c r="J3428" s="1095"/>
      <c r="K3428" s="1095"/>
      <c r="L3428" s="1095"/>
      <c r="M3428" s="1095"/>
    </row>
    <row r="3429" spans="1:13" x14ac:dyDescent="0.25">
      <c r="A3429">
        <v>2003784</v>
      </c>
      <c r="B3429" t="s">
        <v>10610</v>
      </c>
      <c r="C3429" t="s">
        <v>2598</v>
      </c>
      <c r="D3429" s="254">
        <v>944.98</v>
      </c>
      <c r="E3429"/>
      <c r="F3429"/>
      <c r="G3429"/>
      <c r="H3429"/>
      <c r="I3429" s="489"/>
      <c r="J3429" s="1095"/>
      <c r="K3429" s="1095"/>
      <c r="L3429" s="1095"/>
      <c r="M3429" s="1095"/>
    </row>
    <row r="3430" spans="1:13" x14ac:dyDescent="0.25">
      <c r="A3430">
        <v>2003889</v>
      </c>
      <c r="B3430" t="s">
        <v>10611</v>
      </c>
      <c r="C3430" t="s">
        <v>2598</v>
      </c>
      <c r="D3430" s="254">
        <v>845.76</v>
      </c>
      <c r="E3430"/>
      <c r="F3430"/>
      <c r="G3430"/>
      <c r="H3430"/>
      <c r="I3430" s="489"/>
      <c r="J3430" s="1095"/>
      <c r="K3430" s="1095"/>
      <c r="L3430" s="1095"/>
      <c r="M3430" s="1095"/>
    </row>
    <row r="3431" spans="1:13" x14ac:dyDescent="0.25">
      <c r="A3431">
        <v>2003870</v>
      </c>
      <c r="B3431" t="s">
        <v>10612</v>
      </c>
      <c r="C3431" t="s">
        <v>2598</v>
      </c>
      <c r="D3431" s="254">
        <v>191.28</v>
      </c>
      <c r="E3431"/>
      <c r="F3431"/>
      <c r="G3431"/>
      <c r="H3431"/>
      <c r="I3431" s="489"/>
      <c r="J3431" s="1095"/>
      <c r="K3431" s="1095"/>
      <c r="L3431" s="1095"/>
      <c r="M3431" s="1095"/>
    </row>
    <row r="3432" spans="1:13" x14ac:dyDescent="0.25">
      <c r="A3432">
        <v>2003823</v>
      </c>
      <c r="B3432" t="s">
        <v>10613</v>
      </c>
      <c r="C3432" t="s">
        <v>2598</v>
      </c>
      <c r="D3432" s="254">
        <v>270.14</v>
      </c>
      <c r="E3432"/>
      <c r="F3432"/>
      <c r="G3432"/>
      <c r="H3432"/>
      <c r="I3432" s="489"/>
      <c r="J3432" s="1095"/>
      <c r="K3432" s="1095"/>
      <c r="L3432" s="1095"/>
      <c r="M3432" s="1095"/>
    </row>
    <row r="3433" spans="1:13" x14ac:dyDescent="0.25">
      <c r="A3433">
        <v>2003827</v>
      </c>
      <c r="B3433" t="s">
        <v>10614</v>
      </c>
      <c r="C3433" t="s">
        <v>2598</v>
      </c>
      <c r="D3433" s="254">
        <v>385.6</v>
      </c>
      <c r="E3433"/>
      <c r="F3433"/>
      <c r="G3433"/>
      <c r="H3433"/>
      <c r="I3433" s="489"/>
      <c r="J3433" s="1095"/>
      <c r="K3433" s="1095"/>
      <c r="L3433" s="1095"/>
      <c r="M3433" s="1095"/>
    </row>
    <row r="3434" spans="1:13" x14ac:dyDescent="0.25">
      <c r="A3434">
        <v>2003831</v>
      </c>
      <c r="B3434" t="s">
        <v>6319</v>
      </c>
      <c r="C3434" t="s">
        <v>2598</v>
      </c>
      <c r="D3434" s="254">
        <v>582.66</v>
      </c>
      <c r="E3434"/>
      <c r="F3434"/>
      <c r="G3434"/>
      <c r="H3434"/>
      <c r="I3434" s="489"/>
      <c r="J3434" s="1095"/>
      <c r="K3434" s="1095"/>
      <c r="L3434" s="1095"/>
      <c r="M3434" s="1095"/>
    </row>
    <row r="3435" spans="1:13" x14ac:dyDescent="0.25">
      <c r="A3435">
        <v>2003835</v>
      </c>
      <c r="B3435" t="s">
        <v>6320</v>
      </c>
      <c r="C3435" t="s">
        <v>2598</v>
      </c>
      <c r="D3435" s="254">
        <v>698.71</v>
      </c>
      <c r="E3435"/>
      <c r="F3435"/>
      <c r="G3435"/>
      <c r="H3435"/>
      <c r="I3435" s="489"/>
      <c r="J3435" s="1095"/>
      <c r="K3435" s="1095"/>
      <c r="L3435" s="1095"/>
      <c r="M3435" s="1095"/>
    </row>
    <row r="3436" spans="1:13" x14ac:dyDescent="0.25">
      <c r="A3436">
        <v>2003839</v>
      </c>
      <c r="B3436" t="s">
        <v>10615</v>
      </c>
      <c r="C3436" t="s">
        <v>2598</v>
      </c>
      <c r="D3436" s="254">
        <v>1277.06</v>
      </c>
      <c r="E3436"/>
      <c r="F3436"/>
      <c r="G3436"/>
      <c r="H3436"/>
      <c r="I3436" s="489"/>
      <c r="J3436" s="1095"/>
      <c r="K3436" s="1095"/>
      <c r="L3436" s="1095"/>
      <c r="M3436" s="1095"/>
    </row>
    <row r="3437" spans="1:13" x14ac:dyDescent="0.25">
      <c r="A3437">
        <v>2003769</v>
      </c>
      <c r="B3437" t="s">
        <v>10616</v>
      </c>
      <c r="C3437" t="s">
        <v>2598</v>
      </c>
      <c r="D3437" s="254">
        <v>203.34</v>
      </c>
      <c r="E3437"/>
      <c r="F3437"/>
      <c r="G3437"/>
      <c r="H3437"/>
      <c r="I3437" s="489"/>
      <c r="J3437" s="1095"/>
      <c r="K3437" s="1095"/>
      <c r="L3437" s="1095"/>
      <c r="M3437" s="1095"/>
    </row>
    <row r="3438" spans="1:13" x14ac:dyDescent="0.25">
      <c r="A3438">
        <v>2003874</v>
      </c>
      <c r="B3438" t="s">
        <v>10617</v>
      </c>
      <c r="C3438" t="s">
        <v>2598</v>
      </c>
      <c r="D3438" s="254">
        <v>183.37</v>
      </c>
      <c r="E3438"/>
      <c r="F3438"/>
      <c r="G3438"/>
      <c r="H3438"/>
      <c r="I3438" s="489"/>
      <c r="J3438" s="1095"/>
      <c r="K3438" s="1095"/>
      <c r="L3438" s="1095"/>
      <c r="M3438" s="1095"/>
    </row>
    <row r="3439" spans="1:13" x14ac:dyDescent="0.25">
      <c r="A3439">
        <v>2003773</v>
      </c>
      <c r="B3439" t="s">
        <v>10618</v>
      </c>
      <c r="C3439" t="s">
        <v>2598</v>
      </c>
      <c r="D3439" s="254">
        <v>337.64</v>
      </c>
      <c r="E3439"/>
      <c r="F3439"/>
      <c r="G3439"/>
      <c r="H3439"/>
      <c r="I3439" s="489"/>
      <c r="J3439" s="1095"/>
      <c r="K3439" s="1095"/>
      <c r="L3439" s="1095"/>
      <c r="M3439" s="1095"/>
    </row>
    <row r="3440" spans="1:13" x14ac:dyDescent="0.25">
      <c r="A3440">
        <v>2003878</v>
      </c>
      <c r="B3440" t="s">
        <v>10619</v>
      </c>
      <c r="C3440" t="s">
        <v>2598</v>
      </c>
      <c r="D3440" s="254">
        <v>306.08999999999997</v>
      </c>
      <c r="E3440"/>
      <c r="F3440"/>
      <c r="G3440"/>
      <c r="H3440"/>
      <c r="I3440" s="489"/>
      <c r="J3440" s="1095"/>
      <c r="K3440" s="1095"/>
      <c r="L3440" s="1095"/>
      <c r="M3440" s="1095"/>
    </row>
    <row r="3441" spans="1:13" x14ac:dyDescent="0.25">
      <c r="A3441">
        <v>2003777</v>
      </c>
      <c r="B3441" t="s">
        <v>10620</v>
      </c>
      <c r="C3441" t="s">
        <v>2598</v>
      </c>
      <c r="D3441" s="254">
        <v>520.70000000000005</v>
      </c>
      <c r="E3441"/>
      <c r="F3441"/>
      <c r="G3441"/>
      <c r="H3441"/>
      <c r="I3441" s="489"/>
      <c r="J3441" s="1095"/>
      <c r="K3441" s="1095"/>
      <c r="L3441" s="1095"/>
      <c r="M3441" s="1095"/>
    </row>
    <row r="3442" spans="1:13" x14ac:dyDescent="0.25">
      <c r="A3442">
        <v>2003882</v>
      </c>
      <c r="B3442" t="s">
        <v>10621</v>
      </c>
      <c r="C3442" t="s">
        <v>2598</v>
      </c>
      <c r="D3442" s="254">
        <v>477.46</v>
      </c>
      <c r="E3442"/>
      <c r="F3442"/>
      <c r="G3442"/>
      <c r="H3442"/>
      <c r="I3442" s="489"/>
      <c r="J3442" s="1095"/>
      <c r="K3442" s="1095"/>
      <c r="L3442" s="1095"/>
      <c r="M3442" s="1095"/>
    </row>
    <row r="3443" spans="1:13" x14ac:dyDescent="0.25">
      <c r="A3443">
        <v>2003781</v>
      </c>
      <c r="B3443" t="s">
        <v>10622</v>
      </c>
      <c r="C3443" t="s">
        <v>2598</v>
      </c>
      <c r="D3443" s="254">
        <v>747.47</v>
      </c>
      <c r="E3443"/>
      <c r="F3443"/>
      <c r="G3443"/>
      <c r="H3443"/>
      <c r="I3443" s="489"/>
      <c r="J3443" s="1095"/>
      <c r="K3443" s="1095"/>
      <c r="L3443" s="1095"/>
      <c r="M3443" s="1095"/>
    </row>
    <row r="3444" spans="1:13" x14ac:dyDescent="0.25">
      <c r="A3444">
        <v>2003886</v>
      </c>
      <c r="B3444" t="s">
        <v>10623</v>
      </c>
      <c r="C3444" t="s">
        <v>2598</v>
      </c>
      <c r="D3444" s="254">
        <v>684.27</v>
      </c>
      <c r="E3444"/>
      <c r="F3444"/>
      <c r="G3444"/>
      <c r="H3444"/>
      <c r="I3444" s="489"/>
      <c r="J3444" s="1095"/>
      <c r="K3444" s="1095"/>
      <c r="L3444" s="1095"/>
      <c r="M3444" s="1095"/>
    </row>
    <row r="3445" spans="1:13" x14ac:dyDescent="0.25">
      <c r="A3445">
        <v>2003785</v>
      </c>
      <c r="B3445" t="s">
        <v>10624</v>
      </c>
      <c r="C3445" t="s">
        <v>2598</v>
      </c>
      <c r="D3445" s="254">
        <v>1163.98</v>
      </c>
      <c r="E3445"/>
      <c r="F3445"/>
      <c r="G3445"/>
      <c r="H3445"/>
      <c r="I3445" s="489"/>
      <c r="J3445" s="1095"/>
      <c r="K3445" s="1095"/>
      <c r="L3445" s="1095"/>
      <c r="M3445" s="1095"/>
    </row>
    <row r="3446" spans="1:13" x14ac:dyDescent="0.25">
      <c r="A3446">
        <v>2003890</v>
      </c>
      <c r="B3446" t="s">
        <v>10625</v>
      </c>
      <c r="C3446" t="s">
        <v>2598</v>
      </c>
      <c r="D3446" s="254">
        <v>1065.02</v>
      </c>
      <c r="E3446"/>
      <c r="F3446"/>
      <c r="G3446"/>
      <c r="H3446"/>
      <c r="I3446" s="489"/>
      <c r="J3446" s="1095"/>
      <c r="K3446" s="1095"/>
      <c r="L3446" s="1095"/>
      <c r="M3446" s="1095"/>
    </row>
    <row r="3447" spans="1:13" x14ac:dyDescent="0.25">
      <c r="A3447">
        <v>2003871</v>
      </c>
      <c r="B3447" t="s">
        <v>10626</v>
      </c>
      <c r="C3447" t="s">
        <v>2598</v>
      </c>
      <c r="D3447" s="254">
        <v>214.51</v>
      </c>
      <c r="E3447"/>
      <c r="F3447"/>
      <c r="G3447"/>
      <c r="H3447"/>
      <c r="I3447" s="489"/>
      <c r="J3447" s="1095"/>
      <c r="K3447" s="1095"/>
      <c r="L3447" s="1095"/>
      <c r="M3447" s="1095"/>
    </row>
    <row r="3448" spans="1:13" x14ac:dyDescent="0.25">
      <c r="A3448">
        <v>2003824</v>
      </c>
      <c r="B3448" t="s">
        <v>10627</v>
      </c>
      <c r="C3448" t="s">
        <v>2598</v>
      </c>
      <c r="D3448" s="254">
        <v>338.09</v>
      </c>
      <c r="E3448"/>
      <c r="F3448"/>
      <c r="G3448"/>
      <c r="H3448"/>
      <c r="I3448" s="489"/>
      <c r="J3448" s="1095"/>
      <c r="K3448" s="1095"/>
      <c r="L3448" s="1095"/>
      <c r="M3448" s="1095"/>
    </row>
    <row r="3449" spans="1:13" x14ac:dyDescent="0.25">
      <c r="A3449">
        <v>2003828</v>
      </c>
      <c r="B3449" t="s">
        <v>10628</v>
      </c>
      <c r="C3449" t="s">
        <v>2598</v>
      </c>
      <c r="D3449" s="254">
        <v>445.51</v>
      </c>
      <c r="E3449"/>
      <c r="F3449"/>
      <c r="G3449"/>
      <c r="H3449"/>
      <c r="I3449" s="489"/>
      <c r="J3449" s="1095"/>
      <c r="K3449" s="1095"/>
      <c r="L3449" s="1095"/>
      <c r="M3449" s="1095"/>
    </row>
    <row r="3450" spans="1:13" x14ac:dyDescent="0.25">
      <c r="A3450">
        <v>2003832</v>
      </c>
      <c r="B3450" t="s">
        <v>10629</v>
      </c>
      <c r="C3450" t="s">
        <v>2598</v>
      </c>
      <c r="D3450" s="254">
        <v>649.41</v>
      </c>
      <c r="E3450"/>
      <c r="F3450"/>
      <c r="G3450"/>
      <c r="H3450"/>
      <c r="I3450" s="489"/>
      <c r="J3450" s="1095"/>
      <c r="K3450" s="1095"/>
      <c r="L3450" s="1095"/>
      <c r="M3450" s="1095"/>
    </row>
    <row r="3451" spans="1:13" x14ac:dyDescent="0.25">
      <c r="A3451">
        <v>2003836</v>
      </c>
      <c r="B3451" t="s">
        <v>10630</v>
      </c>
      <c r="C3451" t="s">
        <v>2598</v>
      </c>
      <c r="D3451" s="254">
        <v>879.65</v>
      </c>
      <c r="E3451"/>
      <c r="F3451"/>
      <c r="G3451"/>
      <c r="H3451"/>
      <c r="I3451" s="489"/>
      <c r="J3451" s="1095"/>
      <c r="K3451" s="1095"/>
      <c r="L3451" s="1095"/>
      <c r="M3451" s="1095"/>
    </row>
    <row r="3452" spans="1:13" x14ac:dyDescent="0.25">
      <c r="A3452">
        <v>2003840</v>
      </c>
      <c r="B3452" t="s">
        <v>10631</v>
      </c>
      <c r="C3452" t="s">
        <v>2598</v>
      </c>
      <c r="D3452" s="254">
        <v>1442.18</v>
      </c>
      <c r="E3452"/>
      <c r="F3452"/>
      <c r="G3452"/>
      <c r="H3452"/>
      <c r="I3452" s="489"/>
      <c r="J3452" s="1095"/>
      <c r="K3452" s="1095"/>
      <c r="L3452" s="1095"/>
      <c r="M3452" s="1095"/>
    </row>
    <row r="3453" spans="1:13" x14ac:dyDescent="0.25">
      <c r="A3453">
        <v>2003770</v>
      </c>
      <c r="B3453" t="s">
        <v>10632</v>
      </c>
      <c r="C3453" t="s">
        <v>2598</v>
      </c>
      <c r="D3453" s="254">
        <v>281.55</v>
      </c>
      <c r="E3453"/>
      <c r="F3453"/>
      <c r="G3453"/>
      <c r="H3453"/>
      <c r="I3453" s="489"/>
      <c r="J3453" s="1095"/>
      <c r="K3453" s="1095"/>
      <c r="L3453" s="1095"/>
      <c r="M3453" s="1095"/>
    </row>
    <row r="3454" spans="1:13" x14ac:dyDescent="0.25">
      <c r="A3454">
        <v>2003875</v>
      </c>
      <c r="B3454" t="s">
        <v>10633</v>
      </c>
      <c r="C3454" t="s">
        <v>2598</v>
      </c>
      <c r="D3454" s="254">
        <v>261.68</v>
      </c>
      <c r="E3454"/>
      <c r="F3454"/>
      <c r="G3454"/>
      <c r="H3454"/>
      <c r="I3454" s="489"/>
      <c r="J3454" s="1095"/>
      <c r="K3454" s="1095"/>
      <c r="L3454" s="1095"/>
      <c r="M3454" s="1095"/>
    </row>
    <row r="3455" spans="1:13" x14ac:dyDescent="0.25">
      <c r="A3455">
        <v>2003774</v>
      </c>
      <c r="B3455" t="s">
        <v>10634</v>
      </c>
      <c r="C3455" t="s">
        <v>2598</v>
      </c>
      <c r="D3455" s="254">
        <v>459.33</v>
      </c>
      <c r="E3455"/>
      <c r="F3455"/>
      <c r="G3455"/>
      <c r="H3455"/>
      <c r="I3455" s="489"/>
      <c r="J3455" s="1095"/>
      <c r="K3455" s="1095"/>
      <c r="L3455" s="1095"/>
      <c r="M3455" s="1095"/>
    </row>
    <row r="3456" spans="1:13" x14ac:dyDescent="0.25">
      <c r="A3456">
        <v>2003879</v>
      </c>
      <c r="B3456" t="s">
        <v>10635</v>
      </c>
      <c r="C3456" t="s">
        <v>2598</v>
      </c>
      <c r="D3456" s="254">
        <v>424.04</v>
      </c>
      <c r="E3456"/>
      <c r="F3456"/>
      <c r="G3456"/>
      <c r="H3456"/>
      <c r="I3456" s="489"/>
      <c r="J3456" s="1095"/>
      <c r="K3456" s="1095"/>
      <c r="L3456" s="1095"/>
      <c r="M3456" s="1095"/>
    </row>
    <row r="3457" spans="1:13" x14ac:dyDescent="0.25">
      <c r="A3457">
        <v>2003778</v>
      </c>
      <c r="B3457" t="s">
        <v>10636</v>
      </c>
      <c r="C3457" t="s">
        <v>2598</v>
      </c>
      <c r="D3457" s="254">
        <v>636.79999999999995</v>
      </c>
      <c r="E3457"/>
      <c r="F3457"/>
      <c r="G3457"/>
      <c r="H3457"/>
      <c r="I3457" s="489"/>
      <c r="J3457" s="1095"/>
      <c r="K3457" s="1095"/>
      <c r="L3457" s="1095"/>
      <c r="M3457" s="1095"/>
    </row>
    <row r="3458" spans="1:13" x14ac:dyDescent="0.25">
      <c r="A3458">
        <v>2003883</v>
      </c>
      <c r="B3458" t="s">
        <v>10637</v>
      </c>
      <c r="C3458" t="s">
        <v>2598</v>
      </c>
      <c r="D3458" s="254">
        <v>581.59</v>
      </c>
      <c r="E3458"/>
      <c r="F3458"/>
      <c r="G3458"/>
      <c r="H3458"/>
      <c r="I3458" s="489"/>
      <c r="J3458" s="1095"/>
      <c r="K3458" s="1095"/>
      <c r="L3458" s="1095"/>
      <c r="M3458" s="1095"/>
    </row>
    <row r="3459" spans="1:13" x14ac:dyDescent="0.25">
      <c r="A3459">
        <v>2003782</v>
      </c>
      <c r="B3459" t="s">
        <v>10638</v>
      </c>
      <c r="C3459" t="s">
        <v>2598</v>
      </c>
      <c r="D3459" s="254">
        <v>955.62</v>
      </c>
      <c r="E3459"/>
      <c r="F3459"/>
      <c r="G3459"/>
      <c r="H3459"/>
      <c r="I3459" s="489"/>
      <c r="J3459" s="1095"/>
      <c r="K3459" s="1095"/>
      <c r="L3459" s="1095"/>
      <c r="M3459" s="1095"/>
    </row>
    <row r="3460" spans="1:13" x14ac:dyDescent="0.25">
      <c r="A3460">
        <v>2003887</v>
      </c>
      <c r="B3460" t="s">
        <v>10639</v>
      </c>
      <c r="C3460" t="s">
        <v>2598</v>
      </c>
      <c r="D3460" s="254">
        <v>871.17</v>
      </c>
      <c r="E3460"/>
      <c r="F3460"/>
      <c r="G3460"/>
      <c r="H3460"/>
      <c r="I3460" s="489"/>
      <c r="J3460" s="1095"/>
      <c r="K3460" s="1095"/>
      <c r="L3460" s="1095"/>
      <c r="M3460" s="1095"/>
    </row>
    <row r="3461" spans="1:13" x14ac:dyDescent="0.25">
      <c r="A3461">
        <v>2003786</v>
      </c>
      <c r="B3461" t="s">
        <v>10640</v>
      </c>
      <c r="C3461" t="s">
        <v>2598</v>
      </c>
      <c r="D3461" s="254">
        <v>1500.94</v>
      </c>
      <c r="E3461"/>
      <c r="F3461"/>
      <c r="G3461"/>
      <c r="H3461"/>
      <c r="I3461" s="489"/>
      <c r="J3461" s="1095"/>
      <c r="K3461" s="1095"/>
      <c r="L3461" s="1095"/>
      <c r="M3461" s="1095"/>
    </row>
    <row r="3462" spans="1:13" x14ac:dyDescent="0.25">
      <c r="A3462">
        <v>2003891</v>
      </c>
      <c r="B3462" t="s">
        <v>10641</v>
      </c>
      <c r="C3462" t="s">
        <v>2598</v>
      </c>
      <c r="D3462" s="254">
        <v>1369.74</v>
      </c>
      <c r="E3462"/>
      <c r="F3462"/>
      <c r="G3462"/>
      <c r="H3462"/>
      <c r="I3462" s="489"/>
      <c r="J3462" s="1095"/>
      <c r="K3462" s="1095"/>
      <c r="L3462" s="1095"/>
      <c r="M3462" s="1095"/>
    </row>
    <row r="3463" spans="1:13" x14ac:dyDescent="0.25">
      <c r="A3463">
        <v>2003872</v>
      </c>
      <c r="B3463" t="s">
        <v>10642</v>
      </c>
      <c r="C3463" t="s">
        <v>2598</v>
      </c>
      <c r="D3463" s="254">
        <v>329.53</v>
      </c>
      <c r="E3463"/>
      <c r="F3463"/>
      <c r="G3463"/>
      <c r="H3463"/>
      <c r="I3463" s="489"/>
      <c r="J3463" s="1095"/>
      <c r="K3463" s="1095"/>
      <c r="L3463" s="1095"/>
      <c r="M3463" s="1095"/>
    </row>
    <row r="3464" spans="1:13" x14ac:dyDescent="0.25">
      <c r="A3464">
        <v>2003825</v>
      </c>
      <c r="B3464" t="s">
        <v>10643</v>
      </c>
      <c r="C3464" t="s">
        <v>2598</v>
      </c>
      <c r="D3464" s="254">
        <v>431.21</v>
      </c>
      <c r="E3464"/>
      <c r="F3464"/>
      <c r="G3464"/>
      <c r="H3464"/>
      <c r="I3464" s="489"/>
      <c r="J3464" s="1095"/>
      <c r="K3464" s="1095"/>
      <c r="L3464" s="1095"/>
      <c r="M3464" s="1095"/>
    </row>
    <row r="3465" spans="1:13" x14ac:dyDescent="0.25">
      <c r="A3465">
        <v>2003829</v>
      </c>
      <c r="B3465" t="s">
        <v>10644</v>
      </c>
      <c r="C3465" t="s">
        <v>2598</v>
      </c>
      <c r="D3465" s="254">
        <v>502.15</v>
      </c>
      <c r="E3465"/>
      <c r="F3465"/>
      <c r="G3465"/>
      <c r="H3465"/>
      <c r="I3465" s="489"/>
      <c r="J3465" s="1095"/>
      <c r="K3465" s="1095"/>
      <c r="L3465" s="1095"/>
      <c r="M3465" s="1095"/>
    </row>
    <row r="3466" spans="1:13" x14ac:dyDescent="0.25">
      <c r="A3466">
        <v>2003833</v>
      </c>
      <c r="B3466" t="s">
        <v>10645</v>
      </c>
      <c r="C3466" t="s">
        <v>2598</v>
      </c>
      <c r="D3466" s="254">
        <v>716.93</v>
      </c>
      <c r="E3466"/>
      <c r="F3466"/>
      <c r="G3466"/>
      <c r="H3466"/>
      <c r="I3466" s="489"/>
      <c r="J3466" s="1095"/>
      <c r="K3466" s="1095"/>
      <c r="L3466" s="1095"/>
      <c r="M3466" s="1095"/>
    </row>
    <row r="3467" spans="1:13" x14ac:dyDescent="0.25">
      <c r="A3467">
        <v>2003837</v>
      </c>
      <c r="B3467" t="s">
        <v>10646</v>
      </c>
      <c r="C3467" t="s">
        <v>2598</v>
      </c>
      <c r="D3467" s="254">
        <v>905.74</v>
      </c>
      <c r="E3467"/>
      <c r="F3467"/>
      <c r="G3467"/>
      <c r="H3467"/>
      <c r="I3467" s="489"/>
      <c r="J3467" s="1095"/>
      <c r="K3467" s="1095"/>
      <c r="L3467" s="1095"/>
      <c r="M3467" s="1095"/>
    </row>
    <row r="3468" spans="1:13" x14ac:dyDescent="0.25">
      <c r="A3468">
        <v>2003841</v>
      </c>
      <c r="B3468" t="s">
        <v>10647</v>
      </c>
      <c r="C3468" t="s">
        <v>2598</v>
      </c>
      <c r="D3468" s="254">
        <v>1498.79</v>
      </c>
      <c r="E3468"/>
      <c r="F3468"/>
      <c r="G3468"/>
      <c r="H3468"/>
      <c r="I3468" s="489"/>
      <c r="J3468" s="1095"/>
      <c r="K3468" s="1095"/>
      <c r="L3468" s="1095"/>
      <c r="M3468" s="1095"/>
    </row>
    <row r="3469" spans="1:13" x14ac:dyDescent="0.25">
      <c r="A3469">
        <v>2003771</v>
      </c>
      <c r="B3469" t="s">
        <v>10648</v>
      </c>
      <c r="C3469" t="s">
        <v>2598</v>
      </c>
      <c r="D3469" s="254">
        <v>340.74</v>
      </c>
      <c r="E3469"/>
      <c r="F3469"/>
      <c r="G3469"/>
      <c r="H3469"/>
      <c r="I3469" s="489"/>
      <c r="J3469" s="1095"/>
      <c r="K3469" s="1095"/>
      <c r="L3469" s="1095"/>
      <c r="M3469" s="1095"/>
    </row>
    <row r="3470" spans="1:13" x14ac:dyDescent="0.25">
      <c r="A3470">
        <v>2003876</v>
      </c>
      <c r="B3470" t="s">
        <v>10649</v>
      </c>
      <c r="C3470" t="s">
        <v>2598</v>
      </c>
      <c r="D3470" s="254">
        <v>317.02999999999997</v>
      </c>
      <c r="E3470"/>
      <c r="F3470"/>
      <c r="G3470"/>
      <c r="H3470"/>
      <c r="I3470" s="489"/>
      <c r="J3470" s="1095"/>
      <c r="K3470" s="1095"/>
      <c r="L3470" s="1095"/>
      <c r="M3470" s="1095"/>
    </row>
    <row r="3471" spans="1:13" x14ac:dyDescent="0.25">
      <c r="A3471">
        <v>2003775</v>
      </c>
      <c r="B3471" t="s">
        <v>10650</v>
      </c>
      <c r="C3471" t="s">
        <v>2598</v>
      </c>
      <c r="D3471" s="254">
        <v>529.83000000000004</v>
      </c>
      <c r="E3471"/>
      <c r="F3471"/>
      <c r="G3471"/>
      <c r="H3471"/>
      <c r="I3471" s="489"/>
      <c r="J3471" s="1095"/>
      <c r="K3471" s="1095"/>
      <c r="L3471" s="1095"/>
      <c r="M3471" s="1095"/>
    </row>
    <row r="3472" spans="1:13" x14ac:dyDescent="0.25">
      <c r="A3472">
        <v>2003880</v>
      </c>
      <c r="B3472" t="s">
        <v>10651</v>
      </c>
      <c r="C3472" t="s">
        <v>2598</v>
      </c>
      <c r="D3472" s="254">
        <v>487.09</v>
      </c>
      <c r="E3472"/>
      <c r="F3472"/>
      <c r="G3472"/>
      <c r="H3472"/>
      <c r="I3472" s="489"/>
      <c r="J3472" s="1095"/>
      <c r="K3472" s="1095"/>
      <c r="L3472" s="1095"/>
      <c r="M3472" s="1095"/>
    </row>
    <row r="3473" spans="1:13" x14ac:dyDescent="0.25">
      <c r="A3473">
        <v>2003779</v>
      </c>
      <c r="B3473" t="s">
        <v>10652</v>
      </c>
      <c r="C3473" t="s">
        <v>2598</v>
      </c>
      <c r="D3473" s="254">
        <v>791.47</v>
      </c>
      <c r="E3473"/>
      <c r="F3473"/>
      <c r="G3473"/>
      <c r="H3473"/>
      <c r="I3473" s="489"/>
      <c r="J3473" s="1095"/>
      <c r="K3473" s="1095"/>
      <c r="L3473" s="1095"/>
      <c r="M3473" s="1095"/>
    </row>
    <row r="3474" spans="1:13" x14ac:dyDescent="0.25">
      <c r="A3474">
        <v>2003884</v>
      </c>
      <c r="B3474" t="s">
        <v>10653</v>
      </c>
      <c r="C3474" t="s">
        <v>2598</v>
      </c>
      <c r="D3474" s="254">
        <v>727.01</v>
      </c>
      <c r="E3474"/>
      <c r="F3474"/>
      <c r="G3474"/>
      <c r="H3474"/>
      <c r="I3474" s="489"/>
      <c r="J3474" s="1095"/>
      <c r="K3474" s="1095"/>
      <c r="L3474" s="1095"/>
      <c r="M3474" s="1095"/>
    </row>
    <row r="3475" spans="1:13" x14ac:dyDescent="0.25">
      <c r="A3475">
        <v>2003783</v>
      </c>
      <c r="B3475" t="s">
        <v>10654</v>
      </c>
      <c r="C3475" t="s">
        <v>2598</v>
      </c>
      <c r="D3475" s="254">
        <v>1132.72</v>
      </c>
      <c r="E3475"/>
      <c r="F3475"/>
      <c r="G3475"/>
      <c r="H3475"/>
      <c r="I3475" s="489"/>
      <c r="J3475" s="1095"/>
      <c r="K3475" s="1095"/>
      <c r="L3475" s="1095"/>
      <c r="M3475" s="1095"/>
    </row>
    <row r="3476" spans="1:13" x14ac:dyDescent="0.25">
      <c r="A3476">
        <v>2003888</v>
      </c>
      <c r="B3476" t="s">
        <v>10655</v>
      </c>
      <c r="C3476" t="s">
        <v>2598</v>
      </c>
      <c r="D3476" s="254">
        <v>1036.8900000000001</v>
      </c>
      <c r="E3476"/>
      <c r="F3476"/>
      <c r="G3476"/>
      <c r="H3476"/>
      <c r="I3476" s="489"/>
      <c r="J3476" s="1095"/>
      <c r="K3476" s="1095"/>
      <c r="L3476" s="1095"/>
      <c r="M3476" s="1095"/>
    </row>
    <row r="3477" spans="1:13" x14ac:dyDescent="0.25">
      <c r="A3477">
        <v>2003787</v>
      </c>
      <c r="B3477" t="s">
        <v>10656</v>
      </c>
      <c r="C3477" t="s">
        <v>2598</v>
      </c>
      <c r="D3477" s="254">
        <v>1781.94</v>
      </c>
      <c r="E3477"/>
      <c r="F3477"/>
      <c r="G3477"/>
      <c r="H3477"/>
      <c r="I3477" s="489"/>
      <c r="J3477" s="1095"/>
      <c r="K3477" s="1095"/>
      <c r="L3477" s="1095"/>
      <c r="M3477" s="1095"/>
    </row>
    <row r="3478" spans="1:13" x14ac:dyDescent="0.25">
      <c r="A3478">
        <v>2003892</v>
      </c>
      <c r="B3478" t="s">
        <v>10657</v>
      </c>
      <c r="C3478" t="s">
        <v>2598</v>
      </c>
      <c r="D3478" s="254">
        <v>1646.27</v>
      </c>
      <c r="E3478"/>
      <c r="F3478"/>
      <c r="G3478"/>
      <c r="H3478"/>
      <c r="I3478" s="489"/>
      <c r="J3478" s="1095"/>
      <c r="K3478" s="1095"/>
      <c r="L3478" s="1095"/>
      <c r="M3478" s="1095"/>
    </row>
    <row r="3479" spans="1:13" x14ac:dyDescent="0.25">
      <c r="A3479">
        <v>2003851</v>
      </c>
      <c r="B3479" t="s">
        <v>10658</v>
      </c>
      <c r="C3479" t="s">
        <v>2598</v>
      </c>
      <c r="D3479" s="254">
        <v>84.63</v>
      </c>
      <c r="E3479"/>
      <c r="F3479"/>
      <c r="G3479"/>
      <c r="H3479"/>
      <c r="I3479" s="489"/>
      <c r="J3479" s="1095"/>
      <c r="K3479" s="1095"/>
      <c r="L3479" s="1095"/>
      <c r="M3479" s="1095"/>
    </row>
    <row r="3480" spans="1:13" x14ac:dyDescent="0.25">
      <c r="A3480">
        <v>2003935</v>
      </c>
      <c r="B3480" t="s">
        <v>10659</v>
      </c>
      <c r="C3480" t="s">
        <v>2598</v>
      </c>
      <c r="D3480" s="254">
        <v>10.27</v>
      </c>
      <c r="E3480"/>
      <c r="F3480"/>
      <c r="G3480"/>
      <c r="H3480"/>
      <c r="I3480" s="489"/>
      <c r="J3480" s="1095"/>
      <c r="K3480" s="1095"/>
      <c r="L3480" s="1095"/>
      <c r="M3480" s="1095"/>
    </row>
    <row r="3481" spans="1:13" x14ac:dyDescent="0.25">
      <c r="A3481">
        <v>2003934</v>
      </c>
      <c r="B3481" t="s">
        <v>10660</v>
      </c>
      <c r="C3481" t="s">
        <v>2598</v>
      </c>
      <c r="D3481" s="254">
        <v>13.69</v>
      </c>
      <c r="E3481"/>
      <c r="F3481"/>
      <c r="G3481"/>
      <c r="H3481"/>
      <c r="I3481" s="489"/>
      <c r="J3481" s="1095"/>
      <c r="K3481" s="1095"/>
      <c r="L3481" s="1095"/>
      <c r="M3481" s="1095"/>
    </row>
    <row r="3482" spans="1:13" x14ac:dyDescent="0.25">
      <c r="A3482">
        <v>2003990</v>
      </c>
      <c r="B3482" t="s">
        <v>10661</v>
      </c>
      <c r="C3482" t="s">
        <v>2598</v>
      </c>
      <c r="D3482" s="254">
        <v>1183.9000000000001</v>
      </c>
      <c r="E3482"/>
      <c r="F3482"/>
      <c r="G3482"/>
      <c r="H3482"/>
      <c r="I3482" s="489"/>
      <c r="J3482" s="1095"/>
      <c r="K3482" s="1095"/>
      <c r="L3482" s="1095"/>
      <c r="M3482" s="1095"/>
    </row>
    <row r="3483" spans="1:13" x14ac:dyDescent="0.25">
      <c r="A3483">
        <v>2003991</v>
      </c>
      <c r="B3483" t="s">
        <v>10662</v>
      </c>
      <c r="C3483" t="s">
        <v>2598</v>
      </c>
      <c r="D3483" s="254">
        <v>1227.31</v>
      </c>
      <c r="E3483"/>
      <c r="F3483"/>
      <c r="G3483"/>
      <c r="H3483"/>
      <c r="I3483" s="489"/>
      <c r="J3483" s="1095"/>
      <c r="K3483" s="1095"/>
      <c r="L3483" s="1095"/>
      <c r="M3483" s="1095"/>
    </row>
    <row r="3484" spans="1:13" x14ac:dyDescent="0.25">
      <c r="A3484">
        <v>2003992</v>
      </c>
      <c r="B3484" t="s">
        <v>10663</v>
      </c>
      <c r="C3484" t="s">
        <v>2598</v>
      </c>
      <c r="D3484" s="254">
        <v>1755.16</v>
      </c>
      <c r="E3484"/>
      <c r="F3484"/>
      <c r="G3484"/>
      <c r="H3484"/>
      <c r="I3484" s="489"/>
      <c r="J3484" s="1095"/>
      <c r="K3484" s="1095"/>
      <c r="L3484" s="1095"/>
      <c r="M3484" s="1095"/>
    </row>
    <row r="3485" spans="1:13" x14ac:dyDescent="0.25">
      <c r="A3485">
        <v>2003993</v>
      </c>
      <c r="B3485" t="s">
        <v>10664</v>
      </c>
      <c r="C3485" t="s">
        <v>2598</v>
      </c>
      <c r="D3485" s="254">
        <v>2331.54</v>
      </c>
      <c r="E3485"/>
      <c r="F3485"/>
      <c r="G3485"/>
      <c r="H3485"/>
      <c r="I3485" s="489"/>
      <c r="J3485" s="1095"/>
      <c r="K3485" s="1095"/>
      <c r="L3485" s="1095"/>
      <c r="M3485" s="1095"/>
    </row>
    <row r="3486" spans="1:13" x14ac:dyDescent="0.25">
      <c r="A3486">
        <v>2003994</v>
      </c>
      <c r="B3486" t="s">
        <v>10665</v>
      </c>
      <c r="C3486" t="s">
        <v>2598</v>
      </c>
      <c r="D3486" s="254">
        <v>7188.26</v>
      </c>
      <c r="E3486"/>
      <c r="F3486"/>
      <c r="G3486"/>
      <c r="H3486"/>
      <c r="I3486" s="489"/>
      <c r="J3486" s="1095"/>
      <c r="K3486" s="1095"/>
      <c r="L3486" s="1095"/>
      <c r="M3486" s="1095"/>
    </row>
    <row r="3487" spans="1:13" x14ac:dyDescent="0.25">
      <c r="A3487">
        <v>2003995</v>
      </c>
      <c r="B3487" t="s">
        <v>10666</v>
      </c>
      <c r="C3487" t="s">
        <v>2598</v>
      </c>
      <c r="D3487" s="254">
        <v>8699.59</v>
      </c>
      <c r="E3487"/>
      <c r="F3487"/>
      <c r="G3487"/>
      <c r="H3487"/>
      <c r="I3487" s="489"/>
      <c r="J3487" s="1095"/>
      <c r="K3487" s="1095"/>
      <c r="L3487" s="1095"/>
      <c r="M3487" s="1095"/>
    </row>
    <row r="3488" spans="1:13" x14ac:dyDescent="0.25">
      <c r="A3488">
        <v>2003996</v>
      </c>
      <c r="B3488" t="s">
        <v>10667</v>
      </c>
      <c r="C3488" t="s">
        <v>2598</v>
      </c>
      <c r="D3488" s="254">
        <v>14566.03</v>
      </c>
      <c r="E3488"/>
      <c r="F3488"/>
      <c r="G3488"/>
      <c r="H3488"/>
      <c r="I3488" s="489"/>
      <c r="J3488" s="1095"/>
      <c r="K3488" s="1095"/>
      <c r="L3488" s="1095"/>
      <c r="M3488" s="1095"/>
    </row>
    <row r="3489" spans="1:13" x14ac:dyDescent="0.25">
      <c r="A3489">
        <v>2003997</v>
      </c>
      <c r="B3489" t="s">
        <v>10668</v>
      </c>
      <c r="C3489" t="s">
        <v>2598</v>
      </c>
      <c r="D3489" s="254">
        <v>20502.12</v>
      </c>
      <c r="E3489"/>
      <c r="F3489"/>
      <c r="G3489"/>
      <c r="H3489"/>
      <c r="I3489" s="489"/>
      <c r="J3489" s="1095"/>
      <c r="K3489" s="1095"/>
      <c r="L3489" s="1095"/>
      <c r="M3489" s="1095"/>
    </row>
    <row r="3490" spans="1:13" x14ac:dyDescent="0.25">
      <c r="A3490">
        <v>2003983</v>
      </c>
      <c r="B3490" t="s">
        <v>10669</v>
      </c>
      <c r="C3490" t="s">
        <v>2598</v>
      </c>
      <c r="D3490" s="254">
        <v>212.44</v>
      </c>
      <c r="E3490"/>
      <c r="F3490"/>
      <c r="G3490"/>
      <c r="H3490"/>
      <c r="I3490" s="489"/>
      <c r="J3490" s="1095"/>
      <c r="K3490" s="1095"/>
      <c r="L3490" s="1095"/>
      <c r="M3490" s="1095"/>
    </row>
    <row r="3491" spans="1:13" x14ac:dyDescent="0.25">
      <c r="A3491">
        <v>2003984</v>
      </c>
      <c r="B3491" t="s">
        <v>10670</v>
      </c>
      <c r="C3491" t="s">
        <v>2598</v>
      </c>
      <c r="D3491" s="254">
        <v>230.44</v>
      </c>
      <c r="E3491"/>
      <c r="F3491"/>
      <c r="G3491"/>
      <c r="H3491"/>
      <c r="I3491" s="489"/>
      <c r="J3491" s="1095"/>
      <c r="K3491" s="1095"/>
      <c r="L3491" s="1095"/>
      <c r="M3491" s="1095"/>
    </row>
    <row r="3492" spans="1:13" x14ac:dyDescent="0.25">
      <c r="A3492">
        <v>2003985</v>
      </c>
      <c r="B3492" t="s">
        <v>10671</v>
      </c>
      <c r="C3492" t="s">
        <v>2598</v>
      </c>
      <c r="D3492" s="254">
        <v>347.52</v>
      </c>
      <c r="E3492"/>
      <c r="F3492"/>
      <c r="G3492"/>
      <c r="H3492"/>
      <c r="I3492" s="489"/>
      <c r="J3492" s="1095"/>
      <c r="K3492" s="1095"/>
      <c r="L3492" s="1095"/>
      <c r="M3492" s="1095"/>
    </row>
    <row r="3493" spans="1:13" x14ac:dyDescent="0.25">
      <c r="A3493">
        <v>2003986</v>
      </c>
      <c r="B3493" t="s">
        <v>10672</v>
      </c>
      <c r="C3493" t="s">
        <v>2598</v>
      </c>
      <c r="D3493" s="254">
        <v>506.58</v>
      </c>
      <c r="E3493"/>
      <c r="F3493"/>
      <c r="G3493"/>
      <c r="H3493"/>
      <c r="I3493" s="489"/>
      <c r="J3493" s="1095"/>
      <c r="K3493" s="1095"/>
      <c r="L3493" s="1095"/>
      <c r="M3493" s="1095"/>
    </row>
    <row r="3494" spans="1:13" x14ac:dyDescent="0.25">
      <c r="A3494">
        <v>2003987</v>
      </c>
      <c r="B3494" t="s">
        <v>10673</v>
      </c>
      <c r="C3494" t="s">
        <v>2598</v>
      </c>
      <c r="D3494" s="254">
        <v>671.85</v>
      </c>
      <c r="E3494"/>
      <c r="F3494"/>
      <c r="G3494"/>
      <c r="H3494"/>
      <c r="I3494" s="489"/>
      <c r="J3494" s="1095"/>
      <c r="K3494" s="1095"/>
      <c r="L3494" s="1095"/>
      <c r="M3494" s="1095"/>
    </row>
    <row r="3495" spans="1:13" x14ac:dyDescent="0.25">
      <c r="A3495">
        <v>2003988</v>
      </c>
      <c r="B3495" t="s">
        <v>10674</v>
      </c>
      <c r="C3495" t="s">
        <v>2598</v>
      </c>
      <c r="D3495" s="254">
        <v>740.65</v>
      </c>
      <c r="E3495"/>
      <c r="F3495"/>
      <c r="G3495"/>
      <c r="H3495"/>
      <c r="I3495" s="489"/>
      <c r="J3495" s="1095"/>
      <c r="K3495" s="1095"/>
      <c r="L3495" s="1095"/>
      <c r="M3495" s="1095"/>
    </row>
    <row r="3496" spans="1:13" x14ac:dyDescent="0.25">
      <c r="A3496">
        <v>2003989</v>
      </c>
      <c r="B3496" t="s">
        <v>10675</v>
      </c>
      <c r="C3496" t="s">
        <v>2598</v>
      </c>
      <c r="D3496" s="254">
        <v>883.11</v>
      </c>
      <c r="E3496"/>
      <c r="F3496"/>
      <c r="G3496"/>
      <c r="H3496"/>
      <c r="I3496" s="489"/>
      <c r="J3496" s="1095"/>
      <c r="K3496" s="1095"/>
      <c r="L3496" s="1095"/>
      <c r="M3496" s="1095"/>
    </row>
    <row r="3497" spans="1:13" x14ac:dyDescent="0.25">
      <c r="A3497">
        <v>2003313</v>
      </c>
      <c r="B3497" t="s">
        <v>13578</v>
      </c>
      <c r="C3497" t="s">
        <v>2598</v>
      </c>
      <c r="D3497" s="254">
        <v>112.39</v>
      </c>
      <c r="E3497"/>
      <c r="F3497"/>
      <c r="G3497"/>
      <c r="H3497"/>
      <c r="I3497" s="489"/>
      <c r="J3497" s="1095"/>
      <c r="K3497" s="1095"/>
      <c r="L3497" s="1095"/>
      <c r="M3497" s="1095"/>
    </row>
    <row r="3498" spans="1:13" x14ac:dyDescent="0.25">
      <c r="A3498">
        <v>2003312</v>
      </c>
      <c r="B3498" t="s">
        <v>13579</v>
      </c>
      <c r="C3498" t="s">
        <v>2598</v>
      </c>
      <c r="D3498" s="254">
        <v>91.25</v>
      </c>
      <c r="E3498"/>
      <c r="F3498"/>
      <c r="G3498"/>
      <c r="H3498"/>
      <c r="I3498" s="489"/>
      <c r="J3498" s="1095"/>
      <c r="K3498" s="1095"/>
      <c r="L3498" s="1095"/>
      <c r="M3498" s="1095"/>
    </row>
    <row r="3499" spans="1:13" x14ac:dyDescent="0.25">
      <c r="A3499">
        <v>2003315</v>
      </c>
      <c r="B3499" t="s">
        <v>13580</v>
      </c>
      <c r="C3499" t="s">
        <v>2598</v>
      </c>
      <c r="D3499" s="254">
        <v>89.29</v>
      </c>
      <c r="E3499"/>
      <c r="F3499"/>
      <c r="G3499"/>
      <c r="H3499"/>
      <c r="I3499" s="489"/>
      <c r="J3499" s="1095"/>
      <c r="K3499" s="1095"/>
      <c r="L3499" s="1095"/>
      <c r="M3499" s="1095"/>
    </row>
    <row r="3500" spans="1:13" x14ac:dyDescent="0.25">
      <c r="A3500">
        <v>2003314</v>
      </c>
      <c r="B3500" t="s">
        <v>13581</v>
      </c>
      <c r="C3500" t="s">
        <v>2598</v>
      </c>
      <c r="D3500" s="254">
        <v>72.739999999999995</v>
      </c>
      <c r="E3500"/>
      <c r="F3500"/>
      <c r="G3500"/>
      <c r="H3500"/>
      <c r="I3500" s="489"/>
      <c r="J3500" s="1095"/>
      <c r="K3500" s="1095"/>
      <c r="L3500" s="1095"/>
      <c r="M3500" s="1095"/>
    </row>
    <row r="3501" spans="1:13" x14ac:dyDescent="0.25">
      <c r="A3501">
        <v>2003310</v>
      </c>
      <c r="B3501" t="s">
        <v>13582</v>
      </c>
      <c r="C3501" t="s">
        <v>2598</v>
      </c>
      <c r="D3501" s="254">
        <v>44.56</v>
      </c>
      <c r="E3501"/>
      <c r="F3501"/>
      <c r="G3501"/>
      <c r="H3501"/>
      <c r="I3501" s="489"/>
      <c r="J3501" s="1095"/>
      <c r="K3501" s="1095"/>
      <c r="L3501" s="1095"/>
      <c r="M3501" s="1095"/>
    </row>
    <row r="3502" spans="1:13" x14ac:dyDescent="0.25">
      <c r="A3502">
        <v>2003311</v>
      </c>
      <c r="B3502" t="s">
        <v>13583</v>
      </c>
      <c r="C3502" t="s">
        <v>2598</v>
      </c>
      <c r="D3502" s="254">
        <v>37.1</v>
      </c>
      <c r="E3502"/>
      <c r="F3502"/>
      <c r="G3502"/>
      <c r="H3502"/>
      <c r="I3502" s="489"/>
      <c r="J3502" s="1095"/>
      <c r="K3502" s="1095"/>
      <c r="L3502" s="1095"/>
      <c r="M3502" s="1095"/>
    </row>
    <row r="3503" spans="1:13" x14ac:dyDescent="0.25">
      <c r="A3503">
        <v>2003307</v>
      </c>
      <c r="B3503" t="s">
        <v>13584</v>
      </c>
      <c r="C3503" t="s">
        <v>2598</v>
      </c>
      <c r="D3503" s="254">
        <v>113.75</v>
      </c>
      <c r="E3503"/>
      <c r="F3503"/>
      <c r="G3503"/>
      <c r="H3503"/>
      <c r="I3503" s="489"/>
      <c r="J3503" s="1095"/>
      <c r="K3503" s="1095"/>
      <c r="L3503" s="1095"/>
      <c r="M3503" s="1095"/>
    </row>
    <row r="3504" spans="1:13" x14ac:dyDescent="0.25">
      <c r="A3504">
        <v>2003306</v>
      </c>
      <c r="B3504" t="s">
        <v>13585</v>
      </c>
      <c r="C3504" t="s">
        <v>2598</v>
      </c>
      <c r="D3504" s="254">
        <v>92.61</v>
      </c>
      <c r="E3504"/>
      <c r="F3504"/>
      <c r="G3504"/>
      <c r="H3504"/>
      <c r="I3504" s="489"/>
      <c r="J3504" s="1095"/>
      <c r="K3504" s="1095"/>
      <c r="L3504" s="1095"/>
      <c r="M3504" s="1095"/>
    </row>
    <row r="3505" spans="1:13" x14ac:dyDescent="0.25">
      <c r="A3505">
        <v>2003309</v>
      </c>
      <c r="B3505" t="s">
        <v>13586</v>
      </c>
      <c r="C3505" t="s">
        <v>2598</v>
      </c>
      <c r="D3505" s="254">
        <v>90.19</v>
      </c>
      <c r="E3505"/>
      <c r="F3505"/>
      <c r="G3505"/>
      <c r="H3505"/>
      <c r="I3505" s="489"/>
      <c r="J3505" s="1095"/>
      <c r="K3505" s="1095"/>
      <c r="L3505" s="1095"/>
      <c r="M3505" s="1095"/>
    </row>
    <row r="3506" spans="1:13" x14ac:dyDescent="0.25">
      <c r="A3506">
        <v>2003308</v>
      </c>
      <c r="B3506" t="s">
        <v>13587</v>
      </c>
      <c r="C3506" t="s">
        <v>2598</v>
      </c>
      <c r="D3506" s="254">
        <v>73.64</v>
      </c>
      <c r="E3506"/>
      <c r="F3506"/>
      <c r="G3506"/>
      <c r="H3506"/>
      <c r="I3506" s="489"/>
      <c r="J3506" s="1095"/>
      <c r="K3506" s="1095"/>
      <c r="L3506" s="1095"/>
      <c r="M3506" s="1095"/>
    </row>
    <row r="3507" spans="1:13" x14ac:dyDescent="0.25">
      <c r="A3507">
        <v>2003304</v>
      </c>
      <c r="B3507" t="s">
        <v>13588</v>
      </c>
      <c r="C3507" t="s">
        <v>2598</v>
      </c>
      <c r="D3507" s="254">
        <v>46.37</v>
      </c>
      <c r="E3507"/>
      <c r="F3507"/>
      <c r="G3507"/>
      <c r="H3507"/>
      <c r="I3507" s="489"/>
      <c r="J3507" s="1095"/>
      <c r="K3507" s="1095"/>
      <c r="L3507" s="1095"/>
      <c r="M3507" s="1095"/>
    </row>
    <row r="3508" spans="1:13" x14ac:dyDescent="0.25">
      <c r="A3508">
        <v>2003305</v>
      </c>
      <c r="B3508" t="s">
        <v>13589</v>
      </c>
      <c r="C3508" t="s">
        <v>2598</v>
      </c>
      <c r="D3508" s="254">
        <v>37.1</v>
      </c>
      <c r="E3508"/>
      <c r="F3508"/>
      <c r="G3508"/>
      <c r="H3508"/>
      <c r="I3508" s="489"/>
      <c r="J3508" s="1095"/>
      <c r="K3508" s="1095"/>
      <c r="L3508" s="1095"/>
      <c r="M3508" s="1095"/>
    </row>
    <row r="3509" spans="1:13" x14ac:dyDescent="0.25">
      <c r="A3509">
        <v>2105846</v>
      </c>
      <c r="B3509" t="s">
        <v>10676</v>
      </c>
      <c r="C3509" t="s">
        <v>2595</v>
      </c>
      <c r="D3509" s="254">
        <v>541.25</v>
      </c>
      <c r="E3509"/>
      <c r="F3509"/>
      <c r="G3509"/>
      <c r="H3509"/>
      <c r="I3509" s="489"/>
      <c r="J3509" s="1095"/>
      <c r="K3509" s="1095"/>
      <c r="L3509" s="1095"/>
      <c r="M3509" s="1095"/>
    </row>
    <row r="3510" spans="1:13" x14ac:dyDescent="0.25">
      <c r="A3510">
        <v>2105929</v>
      </c>
      <c r="B3510" t="s">
        <v>10677</v>
      </c>
      <c r="C3510" t="s">
        <v>2595</v>
      </c>
      <c r="D3510" s="254">
        <v>619.79</v>
      </c>
      <c r="E3510"/>
      <c r="F3510"/>
      <c r="G3510"/>
      <c r="H3510"/>
      <c r="I3510" s="489"/>
      <c r="J3510" s="1095"/>
      <c r="K3510" s="1095"/>
      <c r="L3510" s="1095"/>
      <c r="M3510" s="1095"/>
    </row>
    <row r="3511" spans="1:13" x14ac:dyDescent="0.25">
      <c r="A3511">
        <v>2105933</v>
      </c>
      <c r="B3511" t="s">
        <v>10678</v>
      </c>
      <c r="C3511" t="s">
        <v>2595</v>
      </c>
      <c r="D3511" s="254">
        <v>698.32</v>
      </c>
      <c r="E3511"/>
      <c r="F3511"/>
      <c r="G3511"/>
      <c r="H3511"/>
      <c r="I3511" s="489"/>
      <c r="J3511" s="1095"/>
      <c r="K3511" s="1095"/>
      <c r="L3511" s="1095"/>
      <c r="M3511" s="1095"/>
    </row>
    <row r="3512" spans="1:13" x14ac:dyDescent="0.25">
      <c r="A3512">
        <v>2106293</v>
      </c>
      <c r="B3512" t="s">
        <v>10679</v>
      </c>
      <c r="C3512" t="s">
        <v>2595</v>
      </c>
      <c r="D3512" s="254">
        <v>221.51</v>
      </c>
      <c r="E3512"/>
      <c r="F3512"/>
      <c r="G3512"/>
      <c r="H3512"/>
      <c r="I3512" s="489"/>
      <c r="J3512" s="1095"/>
      <c r="K3512" s="1095"/>
      <c r="L3512" s="1095"/>
      <c r="M3512" s="1095"/>
    </row>
    <row r="3513" spans="1:13" x14ac:dyDescent="0.25">
      <c r="A3513">
        <v>2108165</v>
      </c>
      <c r="B3513" t="s">
        <v>10680</v>
      </c>
      <c r="C3513" t="s">
        <v>2596</v>
      </c>
      <c r="D3513" s="254">
        <v>33.26</v>
      </c>
      <c r="E3513"/>
      <c r="F3513"/>
      <c r="G3513"/>
      <c r="H3513"/>
      <c r="I3513" s="489"/>
      <c r="J3513" s="1095"/>
      <c r="K3513" s="1095"/>
      <c r="L3513" s="1095"/>
      <c r="M3513" s="1095"/>
    </row>
    <row r="3514" spans="1:13" x14ac:dyDescent="0.25">
      <c r="A3514">
        <v>2108166</v>
      </c>
      <c r="B3514" t="s">
        <v>10681</v>
      </c>
      <c r="C3514" t="s">
        <v>2596</v>
      </c>
      <c r="D3514" s="254">
        <v>23.38</v>
      </c>
      <c r="E3514"/>
      <c r="F3514"/>
      <c r="G3514"/>
      <c r="H3514"/>
      <c r="I3514" s="489"/>
      <c r="J3514" s="1095"/>
      <c r="K3514" s="1095"/>
      <c r="L3514" s="1095"/>
      <c r="M3514" s="1095"/>
    </row>
    <row r="3515" spans="1:13" x14ac:dyDescent="0.25">
      <c r="A3515">
        <v>2108167</v>
      </c>
      <c r="B3515" t="s">
        <v>10682</v>
      </c>
      <c r="C3515" t="s">
        <v>2596</v>
      </c>
      <c r="D3515" s="254">
        <v>20.89</v>
      </c>
      <c r="E3515"/>
      <c r="F3515"/>
      <c r="G3515"/>
      <c r="H3515"/>
      <c r="I3515" s="489"/>
      <c r="J3515" s="1095"/>
      <c r="K3515" s="1095"/>
      <c r="L3515" s="1095"/>
      <c r="M3515" s="1095"/>
    </row>
    <row r="3516" spans="1:13" x14ac:dyDescent="0.25">
      <c r="A3516">
        <v>2108168</v>
      </c>
      <c r="B3516" t="s">
        <v>10683</v>
      </c>
      <c r="C3516" t="s">
        <v>2596</v>
      </c>
      <c r="D3516" s="254">
        <v>20.36</v>
      </c>
      <c r="E3516"/>
      <c r="F3516"/>
      <c r="G3516"/>
      <c r="H3516"/>
      <c r="I3516" s="489"/>
      <c r="J3516" s="1095"/>
      <c r="K3516" s="1095"/>
      <c r="L3516" s="1095"/>
      <c r="M3516" s="1095"/>
    </row>
    <row r="3517" spans="1:13" x14ac:dyDescent="0.25">
      <c r="A3517">
        <v>2108169</v>
      </c>
      <c r="B3517" t="s">
        <v>10684</v>
      </c>
      <c r="C3517" t="s">
        <v>2596</v>
      </c>
      <c r="D3517" s="254">
        <v>51.67</v>
      </c>
      <c r="E3517"/>
      <c r="F3517"/>
      <c r="G3517"/>
      <c r="H3517"/>
      <c r="I3517" s="489"/>
      <c r="J3517" s="1095"/>
      <c r="K3517" s="1095"/>
      <c r="L3517" s="1095"/>
      <c r="M3517" s="1095"/>
    </row>
    <row r="3518" spans="1:13" x14ac:dyDescent="0.25">
      <c r="A3518">
        <v>2108170</v>
      </c>
      <c r="B3518" t="s">
        <v>10685</v>
      </c>
      <c r="C3518" t="s">
        <v>2596</v>
      </c>
      <c r="D3518" s="254">
        <v>36.82</v>
      </c>
      <c r="E3518"/>
      <c r="F3518"/>
      <c r="G3518"/>
      <c r="H3518"/>
      <c r="I3518" s="489"/>
      <c r="J3518" s="1095"/>
      <c r="K3518" s="1095"/>
      <c r="L3518" s="1095"/>
      <c r="M3518" s="1095"/>
    </row>
    <row r="3519" spans="1:13" x14ac:dyDescent="0.25">
      <c r="A3519">
        <v>2108171</v>
      </c>
      <c r="B3519" t="s">
        <v>10686</v>
      </c>
      <c r="C3519" t="s">
        <v>2596</v>
      </c>
      <c r="D3519" s="254">
        <v>33.54</v>
      </c>
      <c r="E3519"/>
      <c r="F3519"/>
      <c r="G3519"/>
      <c r="H3519"/>
      <c r="I3519" s="489"/>
      <c r="J3519" s="1095"/>
      <c r="K3519" s="1095"/>
      <c r="L3519" s="1095"/>
      <c r="M3519" s="1095"/>
    </row>
    <row r="3520" spans="1:13" x14ac:dyDescent="0.25">
      <c r="A3520">
        <v>2108172</v>
      </c>
      <c r="B3520" t="s">
        <v>10687</v>
      </c>
      <c r="C3520" t="s">
        <v>2596</v>
      </c>
      <c r="D3520" s="254">
        <v>33.75</v>
      </c>
      <c r="E3520"/>
      <c r="F3520"/>
      <c r="G3520"/>
      <c r="H3520"/>
      <c r="I3520" s="489"/>
      <c r="J3520" s="1095"/>
      <c r="K3520" s="1095"/>
      <c r="L3520" s="1095"/>
      <c r="M3520" s="1095"/>
    </row>
    <row r="3521" spans="1:13" x14ac:dyDescent="0.25">
      <c r="A3521">
        <v>2106292</v>
      </c>
      <c r="B3521" t="s">
        <v>10688</v>
      </c>
      <c r="C3521" t="s">
        <v>2595</v>
      </c>
      <c r="D3521" s="254">
        <v>136.16999999999999</v>
      </c>
      <c r="E3521"/>
      <c r="F3521"/>
      <c r="G3521"/>
      <c r="H3521"/>
      <c r="I3521" s="489"/>
      <c r="J3521" s="1095"/>
      <c r="K3521" s="1095"/>
      <c r="L3521" s="1095"/>
      <c r="M3521" s="1095"/>
    </row>
    <row r="3522" spans="1:13" x14ac:dyDescent="0.25">
      <c r="A3522">
        <v>2106291</v>
      </c>
      <c r="B3522" t="s">
        <v>10689</v>
      </c>
      <c r="C3522" t="s">
        <v>2595</v>
      </c>
      <c r="D3522" s="254">
        <v>188.41</v>
      </c>
      <c r="E3522"/>
      <c r="F3522"/>
      <c r="G3522"/>
      <c r="H3522"/>
      <c r="I3522" s="489"/>
      <c r="J3522" s="1095"/>
      <c r="K3522" s="1095"/>
      <c r="L3522" s="1095"/>
      <c r="M3522" s="1095"/>
    </row>
    <row r="3523" spans="1:13" x14ac:dyDescent="0.25">
      <c r="A3523">
        <v>2106235</v>
      </c>
      <c r="B3523" t="s">
        <v>10690</v>
      </c>
      <c r="C3523" t="s">
        <v>2596</v>
      </c>
      <c r="D3523" s="254">
        <v>2.99</v>
      </c>
      <c r="E3523"/>
      <c r="F3523"/>
      <c r="G3523"/>
      <c r="H3523"/>
      <c r="I3523" s="489"/>
      <c r="J3523" s="1095"/>
      <c r="K3523" s="1095"/>
      <c r="L3523" s="1095"/>
      <c r="M3523" s="1095"/>
    </row>
    <row r="3524" spans="1:13" x14ac:dyDescent="0.25">
      <c r="A3524">
        <v>2106232</v>
      </c>
      <c r="B3524" t="s">
        <v>10691</v>
      </c>
      <c r="C3524" t="s">
        <v>2640</v>
      </c>
      <c r="D3524" s="254">
        <v>13.37</v>
      </c>
      <c r="E3524"/>
      <c r="F3524"/>
      <c r="G3524"/>
      <c r="H3524"/>
      <c r="I3524" s="489"/>
      <c r="J3524" s="1095"/>
      <c r="K3524" s="1095"/>
      <c r="L3524" s="1095"/>
      <c r="M3524" s="1095"/>
    </row>
    <row r="3525" spans="1:13" x14ac:dyDescent="0.25">
      <c r="A3525">
        <v>2106233</v>
      </c>
      <c r="B3525" t="s">
        <v>10692</v>
      </c>
      <c r="C3525" t="s">
        <v>2640</v>
      </c>
      <c r="D3525" s="254">
        <v>9.85</v>
      </c>
      <c r="E3525"/>
      <c r="F3525"/>
      <c r="G3525"/>
      <c r="H3525"/>
      <c r="I3525" s="489"/>
      <c r="J3525" s="1095"/>
      <c r="K3525" s="1095"/>
      <c r="L3525" s="1095"/>
      <c r="M3525" s="1095"/>
    </row>
    <row r="3526" spans="1:13" x14ac:dyDescent="0.25">
      <c r="A3526">
        <v>2105605</v>
      </c>
      <c r="B3526" t="s">
        <v>10693</v>
      </c>
      <c r="C3526" t="s">
        <v>2596</v>
      </c>
      <c r="D3526" s="254">
        <v>54.29</v>
      </c>
      <c r="E3526"/>
      <c r="F3526"/>
      <c r="G3526"/>
      <c r="H3526"/>
      <c r="I3526" s="489"/>
      <c r="J3526" s="1095"/>
      <c r="K3526" s="1095"/>
      <c r="L3526" s="1095"/>
      <c r="M3526" s="1095"/>
    </row>
    <row r="3527" spans="1:13" x14ac:dyDescent="0.25">
      <c r="A3527">
        <v>2106298</v>
      </c>
      <c r="B3527" t="s">
        <v>10694</v>
      </c>
      <c r="C3527" t="s">
        <v>2598</v>
      </c>
      <c r="D3527" s="254">
        <v>36.07</v>
      </c>
      <c r="E3527"/>
      <c r="F3527"/>
      <c r="G3527"/>
      <c r="H3527"/>
      <c r="I3527" s="489"/>
      <c r="J3527" s="1095"/>
      <c r="K3527" s="1095"/>
      <c r="L3527" s="1095"/>
      <c r="M3527" s="1095"/>
    </row>
    <row r="3528" spans="1:13" x14ac:dyDescent="0.25">
      <c r="A3528">
        <v>2106295</v>
      </c>
      <c r="B3528" t="s">
        <v>10695</v>
      </c>
      <c r="C3528" t="s">
        <v>2598</v>
      </c>
      <c r="D3528" s="254">
        <v>18.23</v>
      </c>
      <c r="E3528"/>
      <c r="F3528"/>
      <c r="G3528"/>
      <c r="H3528"/>
      <c r="I3528" s="489"/>
      <c r="J3528" s="1095"/>
      <c r="K3528" s="1095"/>
      <c r="L3528" s="1095"/>
      <c r="M3528" s="1095"/>
    </row>
    <row r="3529" spans="1:13" x14ac:dyDescent="0.25">
      <c r="A3529">
        <v>2106294</v>
      </c>
      <c r="B3529" t="s">
        <v>10696</v>
      </c>
      <c r="C3529" t="s">
        <v>2598</v>
      </c>
      <c r="D3529" s="254">
        <v>24.46</v>
      </c>
      <c r="E3529"/>
      <c r="F3529"/>
      <c r="G3529"/>
      <c r="H3529"/>
      <c r="I3529" s="489"/>
      <c r="J3529" s="1095"/>
      <c r="K3529" s="1095"/>
      <c r="L3529" s="1095"/>
      <c r="M3529" s="1095"/>
    </row>
    <row r="3530" spans="1:13" x14ac:dyDescent="0.25">
      <c r="A3530">
        <v>2106297</v>
      </c>
      <c r="B3530" t="s">
        <v>10697</v>
      </c>
      <c r="C3530" t="s">
        <v>2598</v>
      </c>
      <c r="D3530" s="254">
        <v>27.8</v>
      </c>
      <c r="E3530"/>
      <c r="F3530"/>
      <c r="G3530"/>
      <c r="H3530"/>
      <c r="I3530" s="489"/>
      <c r="J3530" s="1095"/>
      <c r="K3530" s="1095"/>
      <c r="L3530" s="1095"/>
      <c r="M3530" s="1095"/>
    </row>
    <row r="3531" spans="1:13" x14ac:dyDescent="0.25">
      <c r="A3531">
        <v>2106296</v>
      </c>
      <c r="B3531" t="s">
        <v>10698</v>
      </c>
      <c r="C3531" t="s">
        <v>2598</v>
      </c>
      <c r="D3531" s="254">
        <v>44.22</v>
      </c>
      <c r="E3531"/>
      <c r="F3531"/>
      <c r="G3531"/>
      <c r="H3531"/>
      <c r="I3531" s="489"/>
      <c r="J3531" s="1095"/>
      <c r="K3531" s="1095"/>
      <c r="L3531" s="1095"/>
      <c r="M3531" s="1095"/>
    </row>
    <row r="3532" spans="1:13" x14ac:dyDescent="0.25">
      <c r="A3532">
        <v>2306731</v>
      </c>
      <c r="B3532" t="s">
        <v>10699</v>
      </c>
      <c r="C3532" t="s">
        <v>2716</v>
      </c>
      <c r="D3532" s="254">
        <v>0.68</v>
      </c>
      <c r="E3532"/>
      <c r="F3532"/>
      <c r="G3532"/>
      <c r="H3532"/>
      <c r="I3532" s="489"/>
      <c r="J3532" s="1095"/>
      <c r="K3532" s="1095"/>
      <c r="L3532" s="1095"/>
      <c r="M3532" s="1095"/>
    </row>
    <row r="3533" spans="1:13" x14ac:dyDescent="0.25">
      <c r="A3533">
        <v>2306728</v>
      </c>
      <c r="B3533" t="s">
        <v>10700</v>
      </c>
      <c r="C3533" t="s">
        <v>2598</v>
      </c>
      <c r="D3533" s="254">
        <v>1678.95</v>
      </c>
      <c r="E3533"/>
      <c r="F3533"/>
      <c r="G3533"/>
      <c r="H3533"/>
      <c r="I3533" s="489"/>
      <c r="J3533" s="1095"/>
      <c r="K3533" s="1095"/>
      <c r="L3533" s="1095"/>
      <c r="M3533" s="1095"/>
    </row>
    <row r="3534" spans="1:13" x14ac:dyDescent="0.25">
      <c r="A3534">
        <v>2306729</v>
      </c>
      <c r="B3534" t="s">
        <v>10701</v>
      </c>
      <c r="C3534" t="s">
        <v>2598</v>
      </c>
      <c r="D3534" s="254">
        <v>2045.69</v>
      </c>
      <c r="E3534"/>
      <c r="F3534"/>
      <c r="G3534"/>
      <c r="H3534"/>
      <c r="I3534" s="489"/>
      <c r="J3534" s="1095"/>
      <c r="K3534" s="1095"/>
      <c r="L3534" s="1095"/>
      <c r="M3534" s="1095"/>
    </row>
    <row r="3535" spans="1:13" x14ac:dyDescent="0.25">
      <c r="A3535">
        <v>2306727</v>
      </c>
      <c r="B3535" t="s">
        <v>10702</v>
      </c>
      <c r="C3535" t="s">
        <v>2598</v>
      </c>
      <c r="D3535" s="254">
        <v>392.98</v>
      </c>
      <c r="E3535"/>
      <c r="F3535"/>
      <c r="G3535"/>
      <c r="H3535"/>
      <c r="I3535" s="489"/>
      <c r="J3535" s="1095"/>
      <c r="K3535" s="1095"/>
      <c r="L3535" s="1095"/>
      <c r="M3535" s="1095"/>
    </row>
    <row r="3536" spans="1:13" x14ac:dyDescent="0.25">
      <c r="A3536">
        <v>2306730</v>
      </c>
      <c r="B3536" t="s">
        <v>10703</v>
      </c>
      <c r="C3536" t="s">
        <v>2596</v>
      </c>
      <c r="D3536" s="254">
        <v>132.80000000000001</v>
      </c>
      <c r="E3536"/>
      <c r="F3536"/>
      <c r="G3536"/>
      <c r="H3536"/>
      <c r="I3536" s="489"/>
      <c r="J3536" s="1095"/>
      <c r="K3536" s="1095"/>
      <c r="L3536" s="1095"/>
      <c r="M3536" s="1095"/>
    </row>
    <row r="3537" spans="1:13" x14ac:dyDescent="0.25">
      <c r="A3537">
        <v>2306726</v>
      </c>
      <c r="B3537" t="s">
        <v>10704</v>
      </c>
      <c r="C3537" t="s">
        <v>2598</v>
      </c>
      <c r="D3537" s="254">
        <v>256.77</v>
      </c>
      <c r="E3537"/>
      <c r="F3537"/>
      <c r="G3537"/>
      <c r="H3537"/>
      <c r="I3537" s="489"/>
      <c r="J3537" s="1095"/>
      <c r="K3537" s="1095"/>
      <c r="L3537" s="1095"/>
      <c r="M3537" s="1095"/>
    </row>
    <row r="3538" spans="1:13" x14ac:dyDescent="0.25">
      <c r="A3538">
        <v>2306076</v>
      </c>
      <c r="B3538" t="s">
        <v>10705</v>
      </c>
      <c r="C3538" t="s">
        <v>2716</v>
      </c>
      <c r="D3538" s="254">
        <v>13.73</v>
      </c>
      <c r="E3538"/>
      <c r="F3538"/>
      <c r="G3538"/>
      <c r="H3538"/>
      <c r="I3538" s="489"/>
      <c r="J3538" s="1095"/>
      <c r="K3538" s="1095"/>
      <c r="L3538" s="1095"/>
      <c r="M3538" s="1095"/>
    </row>
    <row r="3539" spans="1:13" x14ac:dyDescent="0.25">
      <c r="A3539">
        <v>2306247</v>
      </c>
      <c r="B3539" t="s">
        <v>10706</v>
      </c>
      <c r="C3539" t="s">
        <v>2596</v>
      </c>
      <c r="D3539" s="254">
        <v>202.9</v>
      </c>
      <c r="E3539"/>
      <c r="F3539"/>
      <c r="G3539"/>
      <c r="H3539"/>
      <c r="I3539" s="489"/>
      <c r="J3539" s="1095"/>
      <c r="K3539" s="1095"/>
      <c r="L3539" s="1095"/>
      <c r="M3539" s="1095"/>
    </row>
    <row r="3540" spans="1:13" x14ac:dyDescent="0.25">
      <c r="A3540">
        <v>2306248</v>
      </c>
      <c r="B3540" t="s">
        <v>10707</v>
      </c>
      <c r="C3540" t="s">
        <v>2596</v>
      </c>
      <c r="D3540" s="254">
        <v>489.93</v>
      </c>
      <c r="E3540"/>
      <c r="F3540"/>
      <c r="G3540"/>
      <c r="H3540"/>
      <c r="I3540" s="489"/>
      <c r="J3540" s="1095"/>
      <c r="K3540" s="1095"/>
      <c r="L3540" s="1095"/>
      <c r="M3540" s="1095"/>
    </row>
    <row r="3541" spans="1:13" x14ac:dyDescent="0.25">
      <c r="A3541">
        <v>2306279</v>
      </c>
      <c r="B3541" t="s">
        <v>10708</v>
      </c>
      <c r="C3541" t="s">
        <v>2596</v>
      </c>
      <c r="D3541" s="254">
        <v>89.74</v>
      </c>
      <c r="E3541"/>
      <c r="F3541"/>
      <c r="G3541"/>
      <c r="H3541"/>
      <c r="I3541" s="489"/>
      <c r="J3541" s="1095"/>
      <c r="K3541" s="1095"/>
      <c r="L3541" s="1095"/>
      <c r="M3541" s="1095"/>
    </row>
    <row r="3542" spans="1:13" x14ac:dyDescent="0.25">
      <c r="A3542">
        <v>2306651</v>
      </c>
      <c r="B3542" t="s">
        <v>10709</v>
      </c>
      <c r="C3542" t="s">
        <v>2598</v>
      </c>
      <c r="D3542" s="254">
        <v>9987.49</v>
      </c>
      <c r="E3542"/>
      <c r="F3542"/>
      <c r="G3542"/>
      <c r="H3542"/>
      <c r="I3542" s="489"/>
      <c r="J3542" s="1095"/>
      <c r="K3542" s="1095"/>
      <c r="L3542" s="1095"/>
      <c r="M3542" s="1095"/>
    </row>
    <row r="3543" spans="1:13" x14ac:dyDescent="0.25">
      <c r="A3543">
        <v>2306678</v>
      </c>
      <c r="B3543" t="s">
        <v>10710</v>
      </c>
      <c r="C3543" t="s">
        <v>2598</v>
      </c>
      <c r="D3543" s="254">
        <v>9757.0300000000007</v>
      </c>
      <c r="E3543"/>
      <c r="F3543"/>
      <c r="G3543"/>
      <c r="H3543"/>
      <c r="I3543" s="489"/>
      <c r="J3543" s="1095"/>
      <c r="K3543" s="1095"/>
      <c r="L3543" s="1095"/>
      <c r="M3543" s="1095"/>
    </row>
    <row r="3544" spans="1:13" x14ac:dyDescent="0.25">
      <c r="A3544">
        <v>2306652</v>
      </c>
      <c r="B3544" t="s">
        <v>10711</v>
      </c>
      <c r="C3544" t="s">
        <v>2598</v>
      </c>
      <c r="D3544" s="254">
        <v>10036.459999999999</v>
      </c>
      <c r="E3544"/>
      <c r="F3544"/>
      <c r="G3544"/>
      <c r="H3544"/>
      <c r="I3544" s="489"/>
      <c r="J3544" s="1095"/>
      <c r="K3544" s="1095"/>
      <c r="L3544" s="1095"/>
      <c r="M3544" s="1095"/>
    </row>
    <row r="3545" spans="1:13" x14ac:dyDescent="0.25">
      <c r="A3545">
        <v>2306679</v>
      </c>
      <c r="B3545" t="s">
        <v>10712</v>
      </c>
      <c r="C3545" t="s">
        <v>2598</v>
      </c>
      <c r="D3545" s="254">
        <v>9797.4699999999993</v>
      </c>
      <c r="E3545"/>
      <c r="F3545"/>
      <c r="G3545"/>
      <c r="H3545"/>
      <c r="I3545" s="489"/>
      <c r="J3545" s="1095"/>
      <c r="K3545" s="1095"/>
      <c r="L3545" s="1095"/>
      <c r="M3545" s="1095"/>
    </row>
    <row r="3546" spans="1:13" x14ac:dyDescent="0.25">
      <c r="A3546">
        <v>2306653</v>
      </c>
      <c r="B3546" t="s">
        <v>10713</v>
      </c>
      <c r="C3546" t="s">
        <v>2598</v>
      </c>
      <c r="D3546" s="254">
        <v>10086.15</v>
      </c>
      <c r="E3546"/>
      <c r="F3546"/>
      <c r="G3546"/>
      <c r="H3546"/>
      <c r="I3546" s="489"/>
      <c r="J3546" s="1095"/>
      <c r="K3546" s="1095"/>
      <c r="L3546" s="1095"/>
      <c r="M3546" s="1095"/>
    </row>
    <row r="3547" spans="1:13" x14ac:dyDescent="0.25">
      <c r="A3547">
        <v>2306680</v>
      </c>
      <c r="B3547" t="s">
        <v>10714</v>
      </c>
      <c r="C3547" t="s">
        <v>2598</v>
      </c>
      <c r="D3547" s="254">
        <v>9837.9599999999991</v>
      </c>
      <c r="E3547"/>
      <c r="F3547"/>
      <c r="G3547"/>
      <c r="H3547"/>
      <c r="I3547" s="489"/>
      <c r="J3547" s="1095"/>
      <c r="K3547" s="1095"/>
      <c r="L3547" s="1095"/>
      <c r="M3547" s="1095"/>
    </row>
    <row r="3548" spans="1:13" x14ac:dyDescent="0.25">
      <c r="A3548">
        <v>2306654</v>
      </c>
      <c r="B3548" t="s">
        <v>10715</v>
      </c>
      <c r="C3548" t="s">
        <v>2598</v>
      </c>
      <c r="D3548" s="254">
        <v>10136.58</v>
      </c>
      <c r="E3548"/>
      <c r="F3548"/>
      <c r="G3548"/>
      <c r="H3548"/>
      <c r="I3548" s="489"/>
      <c r="J3548" s="1095"/>
      <c r="K3548" s="1095"/>
      <c r="L3548" s="1095"/>
      <c r="M3548" s="1095"/>
    </row>
    <row r="3549" spans="1:13" x14ac:dyDescent="0.25">
      <c r="A3549">
        <v>2306681</v>
      </c>
      <c r="B3549" t="s">
        <v>10716</v>
      </c>
      <c r="C3549" t="s">
        <v>2598</v>
      </c>
      <c r="D3549" s="254">
        <v>9878.4699999999993</v>
      </c>
      <c r="E3549"/>
      <c r="F3549"/>
      <c r="G3549"/>
      <c r="H3549"/>
      <c r="I3549" s="489"/>
      <c r="J3549" s="1095"/>
      <c r="K3549" s="1095"/>
      <c r="L3549" s="1095"/>
      <c r="M3549" s="1095"/>
    </row>
    <row r="3550" spans="1:13" x14ac:dyDescent="0.25">
      <c r="A3550">
        <v>2306655</v>
      </c>
      <c r="B3550" t="s">
        <v>10717</v>
      </c>
      <c r="C3550" t="s">
        <v>2598</v>
      </c>
      <c r="D3550" s="254">
        <v>10187.98</v>
      </c>
      <c r="E3550"/>
      <c r="F3550"/>
      <c r="G3550"/>
      <c r="H3550"/>
      <c r="I3550" s="489"/>
      <c r="J3550" s="1095"/>
      <c r="K3550" s="1095"/>
      <c r="L3550" s="1095"/>
      <c r="M3550" s="1095"/>
    </row>
    <row r="3551" spans="1:13" x14ac:dyDescent="0.25">
      <c r="A3551">
        <v>2306682</v>
      </c>
      <c r="B3551" t="s">
        <v>10718</v>
      </c>
      <c r="C3551" t="s">
        <v>2598</v>
      </c>
      <c r="D3551" s="254">
        <v>9919.11</v>
      </c>
      <c r="E3551"/>
      <c r="F3551"/>
      <c r="G3551"/>
      <c r="H3551"/>
      <c r="I3551" s="489"/>
      <c r="J3551" s="1095"/>
      <c r="K3551" s="1095"/>
      <c r="L3551" s="1095"/>
      <c r="M3551" s="1095"/>
    </row>
    <row r="3552" spans="1:13" x14ac:dyDescent="0.25">
      <c r="A3552">
        <v>2306656</v>
      </c>
      <c r="B3552" t="s">
        <v>10719</v>
      </c>
      <c r="C3552" t="s">
        <v>2598</v>
      </c>
      <c r="D3552" s="254">
        <v>13466.15</v>
      </c>
      <c r="E3552"/>
      <c r="F3552"/>
      <c r="G3552"/>
      <c r="H3552"/>
      <c r="I3552" s="489"/>
      <c r="J3552" s="1095"/>
      <c r="K3552" s="1095"/>
      <c r="L3552" s="1095"/>
      <c r="M3552" s="1095"/>
    </row>
    <row r="3553" spans="1:13" x14ac:dyDescent="0.25">
      <c r="A3553">
        <v>2306683</v>
      </c>
      <c r="B3553" t="s">
        <v>10720</v>
      </c>
      <c r="C3553" t="s">
        <v>2598</v>
      </c>
      <c r="D3553" s="254">
        <v>13227.16</v>
      </c>
      <c r="E3553"/>
      <c r="F3553"/>
      <c r="G3553"/>
      <c r="H3553"/>
      <c r="I3553" s="489"/>
      <c r="J3553" s="1095"/>
      <c r="K3553" s="1095"/>
      <c r="L3553" s="1095"/>
      <c r="M3553" s="1095"/>
    </row>
    <row r="3554" spans="1:13" x14ac:dyDescent="0.25">
      <c r="A3554">
        <v>2306657</v>
      </c>
      <c r="B3554" t="s">
        <v>10721</v>
      </c>
      <c r="C3554" t="s">
        <v>2598</v>
      </c>
      <c r="D3554" s="254">
        <v>13559.85</v>
      </c>
      <c r="E3554"/>
      <c r="F3554"/>
      <c r="G3554"/>
      <c r="H3554"/>
      <c r="I3554" s="489"/>
      <c r="J3554" s="1095"/>
      <c r="K3554" s="1095"/>
      <c r="L3554" s="1095"/>
      <c r="M3554" s="1095"/>
    </row>
    <row r="3555" spans="1:13" x14ac:dyDescent="0.25">
      <c r="A3555">
        <v>2306684</v>
      </c>
      <c r="B3555" t="s">
        <v>10722</v>
      </c>
      <c r="C3555" t="s">
        <v>2598</v>
      </c>
      <c r="D3555" s="254">
        <v>13311.67</v>
      </c>
      <c r="E3555"/>
      <c r="F3555"/>
      <c r="G3555"/>
      <c r="H3555"/>
      <c r="I3555" s="489"/>
      <c r="J3555" s="1095"/>
      <c r="K3555" s="1095"/>
      <c r="L3555" s="1095"/>
      <c r="M3555" s="1095"/>
    </row>
    <row r="3556" spans="1:13" x14ac:dyDescent="0.25">
      <c r="A3556">
        <v>2306658</v>
      </c>
      <c r="B3556" t="s">
        <v>10723</v>
      </c>
      <c r="C3556" t="s">
        <v>2598</v>
      </c>
      <c r="D3556" s="254">
        <v>13654.3</v>
      </c>
      <c r="E3556"/>
      <c r="F3556"/>
      <c r="G3556"/>
      <c r="H3556"/>
      <c r="I3556" s="489"/>
      <c r="J3556" s="1095"/>
      <c r="K3556" s="1095"/>
      <c r="L3556" s="1095"/>
      <c r="M3556" s="1095"/>
    </row>
    <row r="3557" spans="1:13" x14ac:dyDescent="0.25">
      <c r="A3557">
        <v>2306685</v>
      </c>
      <c r="B3557" t="s">
        <v>10724</v>
      </c>
      <c r="C3557" t="s">
        <v>2598</v>
      </c>
      <c r="D3557" s="254">
        <v>13396.19</v>
      </c>
      <c r="E3557"/>
      <c r="F3557"/>
      <c r="G3557"/>
      <c r="H3557"/>
      <c r="I3557" s="489"/>
      <c r="J3557" s="1095"/>
      <c r="K3557" s="1095"/>
      <c r="L3557" s="1095"/>
      <c r="M3557" s="1095"/>
    </row>
    <row r="3558" spans="1:13" x14ac:dyDescent="0.25">
      <c r="A3558">
        <v>2306659</v>
      </c>
      <c r="B3558" t="s">
        <v>10725</v>
      </c>
      <c r="C3558" t="s">
        <v>2598</v>
      </c>
      <c r="D3558" s="254">
        <v>13749.73</v>
      </c>
      <c r="E3558"/>
      <c r="F3558"/>
      <c r="G3558"/>
      <c r="H3558"/>
      <c r="I3558" s="489"/>
      <c r="J3558" s="1095"/>
      <c r="K3558" s="1095"/>
      <c r="L3558" s="1095"/>
      <c r="M3558" s="1095"/>
    </row>
    <row r="3559" spans="1:13" x14ac:dyDescent="0.25">
      <c r="A3559">
        <v>2306686</v>
      </c>
      <c r="B3559" t="s">
        <v>10726</v>
      </c>
      <c r="C3559" t="s">
        <v>2598</v>
      </c>
      <c r="D3559" s="254">
        <v>13480.86</v>
      </c>
      <c r="E3559"/>
      <c r="F3559"/>
      <c r="G3559"/>
      <c r="H3559"/>
      <c r="I3559" s="489"/>
      <c r="J3559" s="1095"/>
      <c r="K3559" s="1095"/>
      <c r="L3559" s="1095"/>
      <c r="M3559" s="1095"/>
    </row>
    <row r="3560" spans="1:13" x14ac:dyDescent="0.25">
      <c r="A3560">
        <v>2306637</v>
      </c>
      <c r="B3560" t="s">
        <v>10727</v>
      </c>
      <c r="C3560" t="s">
        <v>2598</v>
      </c>
      <c r="D3560" s="254">
        <v>3405.14</v>
      </c>
      <c r="E3560"/>
      <c r="F3560"/>
      <c r="G3560"/>
      <c r="H3560"/>
      <c r="I3560" s="489"/>
      <c r="J3560" s="1095"/>
      <c r="K3560" s="1095"/>
      <c r="L3560" s="1095"/>
      <c r="M3560" s="1095"/>
    </row>
    <row r="3561" spans="1:13" x14ac:dyDescent="0.25">
      <c r="A3561">
        <v>2306664</v>
      </c>
      <c r="B3561" t="s">
        <v>10728</v>
      </c>
      <c r="C3561" t="s">
        <v>2598</v>
      </c>
      <c r="D3561" s="254">
        <v>3203.49</v>
      </c>
      <c r="E3561"/>
      <c r="F3561"/>
      <c r="G3561"/>
      <c r="H3561"/>
      <c r="I3561" s="489"/>
      <c r="J3561" s="1095"/>
      <c r="K3561" s="1095"/>
      <c r="L3561" s="1095"/>
      <c r="M3561" s="1095"/>
    </row>
    <row r="3562" spans="1:13" x14ac:dyDescent="0.25">
      <c r="A3562">
        <v>2306732</v>
      </c>
      <c r="B3562" t="s">
        <v>10729</v>
      </c>
      <c r="C3562" t="s">
        <v>2598</v>
      </c>
      <c r="D3562" s="254">
        <v>1303.54</v>
      </c>
      <c r="E3562"/>
      <c r="F3562"/>
      <c r="G3562"/>
      <c r="H3562"/>
      <c r="I3562" s="489"/>
      <c r="J3562" s="1095"/>
      <c r="K3562" s="1095"/>
      <c r="L3562" s="1095"/>
      <c r="M3562" s="1095"/>
    </row>
    <row r="3563" spans="1:13" x14ac:dyDescent="0.25">
      <c r="A3563">
        <v>2306733</v>
      </c>
      <c r="B3563" t="s">
        <v>10730</v>
      </c>
      <c r="C3563" t="s">
        <v>2598</v>
      </c>
      <c r="D3563" s="254">
        <v>1133.73</v>
      </c>
      <c r="E3563"/>
      <c r="F3563"/>
      <c r="G3563"/>
      <c r="H3563"/>
      <c r="I3563" s="489"/>
      <c r="J3563" s="1095"/>
      <c r="K3563" s="1095"/>
      <c r="L3563" s="1095"/>
      <c r="M3563" s="1095"/>
    </row>
    <row r="3564" spans="1:13" x14ac:dyDescent="0.25">
      <c r="A3564">
        <v>2306734</v>
      </c>
      <c r="B3564" t="s">
        <v>10731</v>
      </c>
      <c r="C3564" t="s">
        <v>2598</v>
      </c>
      <c r="D3564" s="254">
        <v>1605.36</v>
      </c>
      <c r="E3564"/>
      <c r="F3564"/>
      <c r="G3564"/>
      <c r="H3564"/>
      <c r="I3564" s="489"/>
      <c r="J3564" s="1095"/>
      <c r="K3564" s="1095"/>
      <c r="L3564" s="1095"/>
      <c r="M3564" s="1095"/>
    </row>
    <row r="3565" spans="1:13" x14ac:dyDescent="0.25">
      <c r="A3565">
        <v>2306735</v>
      </c>
      <c r="B3565" t="s">
        <v>10732</v>
      </c>
      <c r="C3565" t="s">
        <v>2598</v>
      </c>
      <c r="D3565" s="254">
        <v>1430.96</v>
      </c>
      <c r="E3565"/>
      <c r="F3565"/>
      <c r="G3565"/>
      <c r="H3565"/>
      <c r="I3565" s="489"/>
      <c r="J3565" s="1095"/>
      <c r="K3565" s="1095"/>
      <c r="L3565" s="1095"/>
      <c r="M3565" s="1095"/>
    </row>
    <row r="3566" spans="1:13" x14ac:dyDescent="0.25">
      <c r="A3566">
        <v>2306633</v>
      </c>
      <c r="B3566" t="s">
        <v>10733</v>
      </c>
      <c r="C3566" t="s">
        <v>2598</v>
      </c>
      <c r="D3566" s="254">
        <v>1835.98</v>
      </c>
      <c r="E3566"/>
      <c r="F3566"/>
      <c r="G3566"/>
      <c r="H3566"/>
      <c r="I3566" s="489"/>
      <c r="J3566" s="1095"/>
      <c r="K3566" s="1095"/>
      <c r="L3566" s="1095"/>
      <c r="M3566" s="1095"/>
    </row>
    <row r="3567" spans="1:13" x14ac:dyDescent="0.25">
      <c r="A3567">
        <v>2306660</v>
      </c>
      <c r="B3567" t="s">
        <v>10734</v>
      </c>
      <c r="C3567" t="s">
        <v>2598</v>
      </c>
      <c r="D3567" s="254">
        <v>1656.74</v>
      </c>
      <c r="E3567"/>
      <c r="F3567"/>
      <c r="G3567"/>
      <c r="H3567"/>
      <c r="I3567" s="489"/>
      <c r="J3567" s="1095"/>
      <c r="K3567" s="1095"/>
      <c r="L3567" s="1095"/>
      <c r="M3567" s="1095"/>
    </row>
    <row r="3568" spans="1:13" x14ac:dyDescent="0.25">
      <c r="A3568">
        <v>2306634</v>
      </c>
      <c r="B3568" t="s">
        <v>10735</v>
      </c>
      <c r="C3568" t="s">
        <v>2598</v>
      </c>
      <c r="D3568" s="254">
        <v>2152.63</v>
      </c>
      <c r="E3568"/>
      <c r="F3568"/>
      <c r="G3568"/>
      <c r="H3568"/>
      <c r="I3568" s="489"/>
      <c r="J3568" s="1095"/>
      <c r="K3568" s="1095"/>
      <c r="L3568" s="1095"/>
      <c r="M3568" s="1095"/>
    </row>
    <row r="3569" spans="1:13" x14ac:dyDescent="0.25">
      <c r="A3569">
        <v>2306661</v>
      </c>
      <c r="B3569" t="s">
        <v>10736</v>
      </c>
      <c r="C3569" t="s">
        <v>2598</v>
      </c>
      <c r="D3569" s="254">
        <v>1968.27</v>
      </c>
      <c r="E3569"/>
      <c r="F3569"/>
      <c r="G3569"/>
      <c r="H3569"/>
      <c r="I3569" s="489"/>
      <c r="J3569" s="1095"/>
      <c r="K3569" s="1095"/>
      <c r="L3569" s="1095"/>
      <c r="M3569" s="1095"/>
    </row>
    <row r="3570" spans="1:13" x14ac:dyDescent="0.25">
      <c r="A3570">
        <v>2306635</v>
      </c>
      <c r="B3570" t="s">
        <v>10737</v>
      </c>
      <c r="C3570" t="s">
        <v>2598</v>
      </c>
      <c r="D3570" s="254">
        <v>2619.81</v>
      </c>
      <c r="E3570"/>
      <c r="F3570"/>
      <c r="G3570"/>
      <c r="H3570"/>
      <c r="I3570" s="489"/>
      <c r="J3570" s="1095"/>
      <c r="K3570" s="1095"/>
      <c r="L3570" s="1095"/>
      <c r="M3570" s="1095"/>
    </row>
    <row r="3571" spans="1:13" x14ac:dyDescent="0.25">
      <c r="A3571">
        <v>2306662</v>
      </c>
      <c r="B3571" t="s">
        <v>10738</v>
      </c>
      <c r="C3571" t="s">
        <v>2598</v>
      </c>
      <c r="D3571" s="254">
        <v>2430.02</v>
      </c>
      <c r="E3571"/>
      <c r="F3571"/>
      <c r="G3571"/>
      <c r="H3571"/>
      <c r="I3571" s="489"/>
      <c r="J3571" s="1095"/>
      <c r="K3571" s="1095"/>
      <c r="L3571" s="1095"/>
      <c r="M3571" s="1095"/>
    </row>
    <row r="3572" spans="1:13" x14ac:dyDescent="0.25">
      <c r="A3572">
        <v>2306636</v>
      </c>
      <c r="B3572" t="s">
        <v>10739</v>
      </c>
      <c r="C3572" t="s">
        <v>2598</v>
      </c>
      <c r="D3572" s="254">
        <v>2636.93</v>
      </c>
      <c r="E3572"/>
      <c r="F3572"/>
      <c r="G3572"/>
      <c r="H3572"/>
      <c r="I3572" s="489"/>
      <c r="J3572" s="1095"/>
      <c r="K3572" s="1095"/>
      <c r="L3572" s="1095"/>
      <c r="M3572" s="1095"/>
    </row>
    <row r="3573" spans="1:13" x14ac:dyDescent="0.25">
      <c r="A3573">
        <v>2306663</v>
      </c>
      <c r="B3573" t="s">
        <v>10740</v>
      </c>
      <c r="C3573" t="s">
        <v>2598</v>
      </c>
      <c r="D3573" s="254">
        <v>2441.39</v>
      </c>
      <c r="E3573"/>
      <c r="F3573"/>
      <c r="G3573"/>
      <c r="H3573"/>
      <c r="I3573" s="489"/>
      <c r="J3573" s="1095"/>
      <c r="K3573" s="1095"/>
      <c r="L3573" s="1095"/>
      <c r="M3573" s="1095"/>
    </row>
    <row r="3574" spans="1:13" x14ac:dyDescent="0.25">
      <c r="A3574">
        <v>2306641</v>
      </c>
      <c r="B3574" t="s">
        <v>10741</v>
      </c>
      <c r="C3574" t="s">
        <v>2598</v>
      </c>
      <c r="D3574" s="254">
        <v>4297.1000000000004</v>
      </c>
      <c r="E3574"/>
      <c r="F3574"/>
      <c r="G3574"/>
      <c r="H3574"/>
      <c r="I3574" s="489"/>
      <c r="J3574" s="1095"/>
      <c r="K3574" s="1095"/>
      <c r="L3574" s="1095"/>
      <c r="M3574" s="1095"/>
    </row>
    <row r="3575" spans="1:13" x14ac:dyDescent="0.25">
      <c r="A3575">
        <v>2306668</v>
      </c>
      <c r="B3575" t="s">
        <v>10742</v>
      </c>
      <c r="C3575" t="s">
        <v>2598</v>
      </c>
      <c r="D3575" s="254">
        <v>4095.45</v>
      </c>
      <c r="E3575"/>
      <c r="F3575"/>
      <c r="G3575"/>
      <c r="H3575"/>
      <c r="I3575" s="489"/>
      <c r="J3575" s="1095"/>
      <c r="K3575" s="1095"/>
      <c r="L3575" s="1095"/>
      <c r="M3575" s="1095"/>
    </row>
    <row r="3576" spans="1:13" x14ac:dyDescent="0.25">
      <c r="A3576">
        <v>2306642</v>
      </c>
      <c r="B3576" t="s">
        <v>10743</v>
      </c>
      <c r="C3576" t="s">
        <v>2598</v>
      </c>
      <c r="D3576" s="254">
        <v>4320.24</v>
      </c>
      <c r="E3576"/>
      <c r="F3576"/>
      <c r="G3576"/>
      <c r="H3576"/>
      <c r="I3576" s="489"/>
      <c r="J3576" s="1095"/>
      <c r="K3576" s="1095"/>
      <c r="L3576" s="1095"/>
      <c r="M3576" s="1095"/>
    </row>
    <row r="3577" spans="1:13" x14ac:dyDescent="0.25">
      <c r="A3577">
        <v>2306669</v>
      </c>
      <c r="B3577" t="s">
        <v>10744</v>
      </c>
      <c r="C3577" t="s">
        <v>2598</v>
      </c>
      <c r="D3577" s="254">
        <v>4112.09</v>
      </c>
      <c r="E3577"/>
      <c r="F3577"/>
      <c r="G3577"/>
      <c r="H3577"/>
      <c r="I3577" s="489"/>
      <c r="J3577" s="1095"/>
      <c r="K3577" s="1095"/>
      <c r="L3577" s="1095"/>
      <c r="M3577" s="1095"/>
    </row>
    <row r="3578" spans="1:13" x14ac:dyDescent="0.25">
      <c r="A3578">
        <v>2306643</v>
      </c>
      <c r="B3578" t="s">
        <v>10745</v>
      </c>
      <c r="C3578" t="s">
        <v>2598</v>
      </c>
      <c r="D3578" s="254">
        <v>4343.84</v>
      </c>
      <c r="E3578"/>
      <c r="F3578"/>
      <c r="G3578"/>
      <c r="H3578"/>
      <c r="I3578" s="489"/>
      <c r="J3578" s="1095"/>
      <c r="K3578" s="1095"/>
      <c r="L3578" s="1095"/>
      <c r="M3578" s="1095"/>
    </row>
    <row r="3579" spans="1:13" x14ac:dyDescent="0.25">
      <c r="A3579">
        <v>2306670</v>
      </c>
      <c r="B3579" t="s">
        <v>10746</v>
      </c>
      <c r="C3579" t="s">
        <v>2598</v>
      </c>
      <c r="D3579" s="254">
        <v>4128.75</v>
      </c>
      <c r="E3579"/>
      <c r="F3579"/>
      <c r="G3579"/>
      <c r="H3579"/>
      <c r="I3579" s="489"/>
      <c r="J3579" s="1095"/>
      <c r="K3579" s="1095"/>
      <c r="L3579" s="1095"/>
      <c r="M3579" s="1095"/>
    </row>
    <row r="3580" spans="1:13" x14ac:dyDescent="0.25">
      <c r="A3580">
        <v>2306638</v>
      </c>
      <c r="B3580" t="s">
        <v>10747</v>
      </c>
      <c r="C3580" t="s">
        <v>2598</v>
      </c>
      <c r="D3580" s="254">
        <v>2705.06</v>
      </c>
      <c r="E3580"/>
      <c r="F3580"/>
      <c r="G3580"/>
      <c r="H3580"/>
      <c r="I3580" s="489"/>
      <c r="J3580" s="1095"/>
      <c r="K3580" s="1095"/>
      <c r="L3580" s="1095"/>
      <c r="M3580" s="1095"/>
    </row>
    <row r="3581" spans="1:13" x14ac:dyDescent="0.25">
      <c r="A3581">
        <v>2306665</v>
      </c>
      <c r="B3581" t="s">
        <v>10748</v>
      </c>
      <c r="C3581" t="s">
        <v>2598</v>
      </c>
      <c r="D3581" s="254">
        <v>2520.6999999999998</v>
      </c>
      <c r="E3581"/>
      <c r="F3581"/>
      <c r="G3581"/>
      <c r="H3581"/>
      <c r="I3581" s="489"/>
      <c r="J3581" s="1095"/>
      <c r="K3581" s="1095"/>
      <c r="L3581" s="1095"/>
      <c r="M3581" s="1095"/>
    </row>
    <row r="3582" spans="1:13" x14ac:dyDescent="0.25">
      <c r="A3582">
        <v>2306639</v>
      </c>
      <c r="B3582" t="s">
        <v>10749</v>
      </c>
      <c r="C3582" t="s">
        <v>2598</v>
      </c>
      <c r="D3582" s="254">
        <v>3298.92</v>
      </c>
      <c r="E3582"/>
      <c r="F3582"/>
      <c r="G3582"/>
      <c r="H3582"/>
      <c r="I3582" s="489"/>
      <c r="J3582" s="1095"/>
      <c r="K3582" s="1095"/>
      <c r="L3582" s="1095"/>
      <c r="M3582" s="1095"/>
    </row>
    <row r="3583" spans="1:13" x14ac:dyDescent="0.25">
      <c r="A3583">
        <v>2306666</v>
      </c>
      <c r="B3583" t="s">
        <v>10750</v>
      </c>
      <c r="C3583" t="s">
        <v>2598</v>
      </c>
      <c r="D3583" s="254">
        <v>3109.13</v>
      </c>
      <c r="E3583"/>
      <c r="F3583"/>
      <c r="G3583"/>
      <c r="H3583"/>
      <c r="I3583" s="489"/>
      <c r="J3583" s="1095"/>
      <c r="K3583" s="1095"/>
      <c r="L3583" s="1095"/>
      <c r="M3583" s="1095"/>
    </row>
    <row r="3584" spans="1:13" x14ac:dyDescent="0.25">
      <c r="A3584">
        <v>2306640</v>
      </c>
      <c r="B3584" t="s">
        <v>10751</v>
      </c>
      <c r="C3584" t="s">
        <v>2598</v>
      </c>
      <c r="D3584" s="254">
        <v>3321.22</v>
      </c>
      <c r="E3584"/>
      <c r="F3584"/>
      <c r="G3584"/>
      <c r="H3584"/>
      <c r="I3584" s="489"/>
      <c r="J3584" s="1095"/>
      <c r="K3584" s="1095"/>
      <c r="L3584" s="1095"/>
      <c r="M3584" s="1095"/>
    </row>
    <row r="3585" spans="1:13" x14ac:dyDescent="0.25">
      <c r="A3585">
        <v>2306667</v>
      </c>
      <c r="B3585" t="s">
        <v>10752</v>
      </c>
      <c r="C3585" t="s">
        <v>2598</v>
      </c>
      <c r="D3585" s="254">
        <v>3125.68</v>
      </c>
      <c r="E3585"/>
      <c r="F3585"/>
      <c r="G3585"/>
      <c r="H3585"/>
      <c r="I3585" s="489"/>
      <c r="J3585" s="1095"/>
      <c r="K3585" s="1095"/>
      <c r="L3585" s="1095"/>
      <c r="M3585" s="1095"/>
    </row>
    <row r="3586" spans="1:13" x14ac:dyDescent="0.25">
      <c r="A3586">
        <v>2306645</v>
      </c>
      <c r="B3586" t="s">
        <v>10753</v>
      </c>
      <c r="C3586" t="s">
        <v>2598</v>
      </c>
      <c r="D3586" s="254">
        <v>5115.16</v>
      </c>
      <c r="E3586"/>
      <c r="F3586"/>
      <c r="G3586"/>
      <c r="H3586"/>
      <c r="I3586" s="489"/>
      <c r="J3586" s="1095"/>
      <c r="K3586" s="1095"/>
      <c r="L3586" s="1095"/>
      <c r="M3586" s="1095"/>
    </row>
    <row r="3587" spans="1:13" x14ac:dyDescent="0.25">
      <c r="A3587">
        <v>2306672</v>
      </c>
      <c r="B3587" t="s">
        <v>10754</v>
      </c>
      <c r="C3587" t="s">
        <v>2598</v>
      </c>
      <c r="D3587" s="254">
        <v>4913.51</v>
      </c>
      <c r="E3587"/>
      <c r="F3587"/>
      <c r="G3587"/>
      <c r="H3587"/>
      <c r="I3587" s="489"/>
      <c r="J3587" s="1095"/>
      <c r="K3587" s="1095"/>
      <c r="L3587" s="1095"/>
      <c r="M3587" s="1095"/>
    </row>
    <row r="3588" spans="1:13" x14ac:dyDescent="0.25">
      <c r="A3588">
        <v>2306646</v>
      </c>
      <c r="B3588" t="s">
        <v>10755</v>
      </c>
      <c r="C3588" t="s">
        <v>2598</v>
      </c>
      <c r="D3588" s="254">
        <v>5144.7700000000004</v>
      </c>
      <c r="E3588"/>
      <c r="F3588"/>
      <c r="G3588"/>
      <c r="H3588"/>
      <c r="I3588" s="489"/>
      <c r="J3588" s="1095"/>
      <c r="K3588" s="1095"/>
      <c r="L3588" s="1095"/>
      <c r="M3588" s="1095"/>
    </row>
    <row r="3589" spans="1:13" x14ac:dyDescent="0.25">
      <c r="A3589">
        <v>2306673</v>
      </c>
      <c r="B3589" t="s">
        <v>10756</v>
      </c>
      <c r="C3589" t="s">
        <v>2598</v>
      </c>
      <c r="D3589" s="254">
        <v>4936.62</v>
      </c>
      <c r="E3589"/>
      <c r="F3589"/>
      <c r="G3589"/>
      <c r="H3589"/>
      <c r="I3589" s="489"/>
      <c r="J3589" s="1095"/>
      <c r="K3589" s="1095"/>
      <c r="L3589" s="1095"/>
      <c r="M3589" s="1095"/>
    </row>
    <row r="3590" spans="1:13" x14ac:dyDescent="0.25">
      <c r="A3590">
        <v>2306647</v>
      </c>
      <c r="B3590" t="s">
        <v>10757</v>
      </c>
      <c r="C3590" t="s">
        <v>2598</v>
      </c>
      <c r="D3590" s="254">
        <v>5174.8599999999997</v>
      </c>
      <c r="E3590"/>
      <c r="F3590"/>
      <c r="G3590"/>
      <c r="H3590"/>
      <c r="I3590" s="489"/>
      <c r="J3590" s="1095"/>
      <c r="K3590" s="1095"/>
      <c r="L3590" s="1095"/>
      <c r="M3590" s="1095"/>
    </row>
    <row r="3591" spans="1:13" x14ac:dyDescent="0.25">
      <c r="A3591">
        <v>2306674</v>
      </c>
      <c r="B3591" t="s">
        <v>10758</v>
      </c>
      <c r="C3591" t="s">
        <v>2598</v>
      </c>
      <c r="D3591" s="254">
        <v>4959.7700000000004</v>
      </c>
      <c r="E3591"/>
      <c r="F3591"/>
      <c r="G3591"/>
      <c r="H3591"/>
      <c r="I3591" s="489"/>
      <c r="J3591" s="1095"/>
      <c r="K3591" s="1095"/>
      <c r="L3591" s="1095"/>
      <c r="M3591" s="1095"/>
    </row>
    <row r="3592" spans="1:13" x14ac:dyDescent="0.25">
      <c r="A3592">
        <v>2306648</v>
      </c>
      <c r="B3592" t="s">
        <v>10759</v>
      </c>
      <c r="C3592" t="s">
        <v>2598</v>
      </c>
      <c r="D3592" s="254">
        <v>7469.33</v>
      </c>
      <c r="E3592"/>
      <c r="F3592"/>
      <c r="G3592"/>
      <c r="H3592"/>
      <c r="I3592" s="489"/>
      <c r="J3592" s="1095"/>
      <c r="K3592" s="1095"/>
      <c r="L3592" s="1095"/>
      <c r="M3592" s="1095"/>
    </row>
    <row r="3593" spans="1:13" x14ac:dyDescent="0.25">
      <c r="A3593">
        <v>2306675</v>
      </c>
      <c r="B3593" t="s">
        <v>10760</v>
      </c>
      <c r="C3593" t="s">
        <v>2598</v>
      </c>
      <c r="D3593" s="254">
        <v>7246.82</v>
      </c>
      <c r="E3593"/>
      <c r="F3593"/>
      <c r="G3593"/>
      <c r="H3593"/>
      <c r="I3593" s="489"/>
      <c r="J3593" s="1095"/>
      <c r="K3593" s="1095"/>
      <c r="L3593" s="1095"/>
      <c r="M3593" s="1095"/>
    </row>
    <row r="3594" spans="1:13" x14ac:dyDescent="0.25">
      <c r="A3594">
        <v>2306649</v>
      </c>
      <c r="B3594" t="s">
        <v>10761</v>
      </c>
      <c r="C3594" t="s">
        <v>2598</v>
      </c>
      <c r="D3594" s="254">
        <v>7500.52</v>
      </c>
      <c r="E3594"/>
      <c r="F3594"/>
      <c r="G3594"/>
      <c r="H3594"/>
      <c r="I3594" s="489"/>
      <c r="J3594" s="1095"/>
      <c r="K3594" s="1095"/>
      <c r="L3594" s="1095"/>
      <c r="M3594" s="1095"/>
    </row>
    <row r="3595" spans="1:13" x14ac:dyDescent="0.25">
      <c r="A3595">
        <v>2306676</v>
      </c>
      <c r="B3595" t="s">
        <v>10762</v>
      </c>
      <c r="C3595" t="s">
        <v>2598</v>
      </c>
      <c r="D3595" s="254">
        <v>7270.06</v>
      </c>
      <c r="E3595"/>
      <c r="F3595"/>
      <c r="G3595"/>
      <c r="H3595"/>
      <c r="I3595" s="489"/>
      <c r="J3595" s="1095"/>
      <c r="K3595" s="1095"/>
      <c r="L3595" s="1095"/>
      <c r="M3595" s="1095"/>
    </row>
    <row r="3596" spans="1:13" x14ac:dyDescent="0.25">
      <c r="A3596">
        <v>2306650</v>
      </c>
      <c r="B3596" t="s">
        <v>10763</v>
      </c>
      <c r="C3596" t="s">
        <v>2598</v>
      </c>
      <c r="D3596" s="254">
        <v>7532.35</v>
      </c>
      <c r="E3596"/>
      <c r="F3596"/>
      <c r="G3596"/>
      <c r="H3596"/>
      <c r="I3596" s="489"/>
      <c r="J3596" s="1095"/>
      <c r="K3596" s="1095"/>
      <c r="L3596" s="1095"/>
      <c r="M3596" s="1095"/>
    </row>
    <row r="3597" spans="1:13" x14ac:dyDescent="0.25">
      <c r="A3597">
        <v>2306677</v>
      </c>
      <c r="B3597" t="s">
        <v>10764</v>
      </c>
      <c r="C3597" t="s">
        <v>2598</v>
      </c>
      <c r="D3597" s="254">
        <v>7293.36</v>
      </c>
      <c r="E3597"/>
      <c r="F3597"/>
      <c r="G3597"/>
      <c r="H3597"/>
      <c r="I3597" s="489"/>
      <c r="J3597" s="1095"/>
      <c r="K3597" s="1095"/>
      <c r="L3597" s="1095"/>
      <c r="M3597" s="1095"/>
    </row>
    <row r="3598" spans="1:13" x14ac:dyDescent="0.25">
      <c r="A3598">
        <v>2306644</v>
      </c>
      <c r="B3598" t="s">
        <v>10765</v>
      </c>
      <c r="C3598" t="s">
        <v>2598</v>
      </c>
      <c r="D3598" s="254">
        <v>3954.02</v>
      </c>
      <c r="E3598"/>
      <c r="F3598"/>
      <c r="G3598"/>
      <c r="H3598"/>
      <c r="I3598" s="489"/>
      <c r="J3598" s="1095"/>
      <c r="K3598" s="1095"/>
      <c r="L3598" s="1095"/>
      <c r="M3598" s="1095"/>
    </row>
    <row r="3599" spans="1:13" x14ac:dyDescent="0.25">
      <c r="A3599">
        <v>2306671</v>
      </c>
      <c r="B3599" t="s">
        <v>10766</v>
      </c>
      <c r="C3599" t="s">
        <v>2598</v>
      </c>
      <c r="D3599" s="254">
        <v>3758.48</v>
      </c>
      <c r="E3599"/>
      <c r="F3599"/>
      <c r="G3599"/>
      <c r="H3599"/>
      <c r="I3599" s="489"/>
      <c r="J3599" s="1095"/>
      <c r="K3599" s="1095"/>
      <c r="L3599" s="1095"/>
      <c r="M3599" s="1095"/>
    </row>
    <row r="3600" spans="1:13" x14ac:dyDescent="0.25">
      <c r="A3600">
        <v>2306141</v>
      </c>
      <c r="B3600" t="s">
        <v>10767</v>
      </c>
      <c r="C3600" t="s">
        <v>2598</v>
      </c>
      <c r="D3600" s="254">
        <v>64.849999999999994</v>
      </c>
      <c r="E3600"/>
      <c r="F3600"/>
      <c r="G3600"/>
      <c r="H3600"/>
      <c r="I3600" s="489"/>
      <c r="J3600" s="1095"/>
      <c r="K3600" s="1095"/>
      <c r="L3600" s="1095"/>
      <c r="M3600" s="1095"/>
    </row>
    <row r="3601" spans="1:13" x14ac:dyDescent="0.25">
      <c r="A3601">
        <v>2306145</v>
      </c>
      <c r="B3601" t="s">
        <v>10768</v>
      </c>
      <c r="C3601" t="s">
        <v>2598</v>
      </c>
      <c r="D3601" s="254">
        <v>50.88</v>
      </c>
      <c r="E3601"/>
      <c r="F3601"/>
      <c r="G3601"/>
      <c r="H3601"/>
      <c r="I3601" s="489"/>
      <c r="J3601" s="1095"/>
      <c r="K3601" s="1095"/>
      <c r="L3601" s="1095"/>
      <c r="M3601" s="1095"/>
    </row>
    <row r="3602" spans="1:13" x14ac:dyDescent="0.25">
      <c r="A3602">
        <v>2306142</v>
      </c>
      <c r="B3602" t="s">
        <v>10769</v>
      </c>
      <c r="C3602" t="s">
        <v>2598</v>
      </c>
      <c r="D3602" s="254">
        <v>79.86</v>
      </c>
      <c r="E3602"/>
      <c r="F3602"/>
      <c r="G3602"/>
      <c r="H3602"/>
      <c r="I3602" s="489"/>
      <c r="J3602" s="1095"/>
      <c r="K3602" s="1095"/>
      <c r="L3602" s="1095"/>
      <c r="M3602" s="1095"/>
    </row>
    <row r="3603" spans="1:13" x14ac:dyDescent="0.25">
      <c r="A3603">
        <v>2306146</v>
      </c>
      <c r="B3603" t="s">
        <v>10770</v>
      </c>
      <c r="C3603" t="s">
        <v>2598</v>
      </c>
      <c r="D3603" s="254">
        <v>59.74</v>
      </c>
      <c r="E3603"/>
      <c r="F3603"/>
      <c r="G3603"/>
      <c r="H3603"/>
      <c r="I3603" s="489"/>
      <c r="J3603" s="1095"/>
      <c r="K3603" s="1095"/>
      <c r="L3603" s="1095"/>
      <c r="M3603" s="1095"/>
    </row>
    <row r="3604" spans="1:13" x14ac:dyDescent="0.25">
      <c r="A3604">
        <v>2306143</v>
      </c>
      <c r="B3604" t="s">
        <v>10771</v>
      </c>
      <c r="C3604" t="s">
        <v>2598</v>
      </c>
      <c r="D3604" s="254">
        <v>97.31</v>
      </c>
      <c r="E3604"/>
      <c r="F3604"/>
      <c r="G3604"/>
      <c r="H3604"/>
      <c r="I3604" s="489"/>
      <c r="J3604" s="1095"/>
      <c r="K3604" s="1095"/>
      <c r="L3604" s="1095"/>
      <c r="M3604" s="1095"/>
    </row>
    <row r="3605" spans="1:13" x14ac:dyDescent="0.25">
      <c r="A3605">
        <v>2306147</v>
      </c>
      <c r="B3605" t="s">
        <v>10772</v>
      </c>
      <c r="C3605" t="s">
        <v>2598</v>
      </c>
      <c r="D3605" s="254">
        <v>69.92</v>
      </c>
      <c r="E3605"/>
      <c r="F3605"/>
      <c r="G3605"/>
      <c r="H3605"/>
      <c r="I3605" s="489"/>
      <c r="J3605" s="1095"/>
      <c r="K3605" s="1095"/>
      <c r="L3605" s="1095"/>
      <c r="M3605" s="1095"/>
    </row>
    <row r="3606" spans="1:13" x14ac:dyDescent="0.25">
      <c r="A3606">
        <v>2306144</v>
      </c>
      <c r="B3606" t="s">
        <v>10773</v>
      </c>
      <c r="C3606" t="s">
        <v>2598</v>
      </c>
      <c r="D3606" s="254">
        <v>118.02</v>
      </c>
      <c r="E3606"/>
      <c r="F3606"/>
      <c r="G3606"/>
      <c r="H3606"/>
      <c r="I3606" s="489"/>
      <c r="J3606" s="1095"/>
      <c r="K3606" s="1095"/>
      <c r="L3606" s="1095"/>
      <c r="M3606" s="1095"/>
    </row>
    <row r="3607" spans="1:13" x14ac:dyDescent="0.25">
      <c r="A3607">
        <v>2306148</v>
      </c>
      <c r="B3607" t="s">
        <v>10774</v>
      </c>
      <c r="C3607" t="s">
        <v>2598</v>
      </c>
      <c r="D3607" s="254">
        <v>82.25</v>
      </c>
      <c r="E3607"/>
      <c r="F3607"/>
      <c r="G3607"/>
      <c r="H3607"/>
      <c r="I3607" s="489"/>
      <c r="J3607" s="1095"/>
      <c r="K3607" s="1095"/>
      <c r="L3607" s="1095"/>
      <c r="M3607" s="1095"/>
    </row>
    <row r="3608" spans="1:13" x14ac:dyDescent="0.25">
      <c r="A3608">
        <v>2306624</v>
      </c>
      <c r="B3608" t="s">
        <v>10775</v>
      </c>
      <c r="C3608" t="s">
        <v>2598</v>
      </c>
      <c r="D3608" s="254">
        <v>9719.19</v>
      </c>
      <c r="E3608"/>
      <c r="F3608"/>
      <c r="G3608"/>
      <c r="H3608"/>
      <c r="I3608" s="489"/>
      <c r="J3608" s="1095"/>
      <c r="K3608" s="1095"/>
      <c r="L3608" s="1095"/>
      <c r="M3608" s="1095"/>
    </row>
    <row r="3609" spans="1:13" x14ac:dyDescent="0.25">
      <c r="A3609">
        <v>2306625</v>
      </c>
      <c r="B3609" t="s">
        <v>10776</v>
      </c>
      <c r="C3609" t="s">
        <v>2598</v>
      </c>
      <c r="D3609" s="254">
        <v>9757.69</v>
      </c>
      <c r="E3609"/>
      <c r="F3609"/>
      <c r="G3609"/>
      <c r="H3609"/>
      <c r="I3609" s="489"/>
      <c r="J3609" s="1095"/>
      <c r="K3609" s="1095"/>
      <c r="L3609" s="1095"/>
      <c r="M3609" s="1095"/>
    </row>
    <row r="3610" spans="1:13" x14ac:dyDescent="0.25">
      <c r="A3610">
        <v>2306626</v>
      </c>
      <c r="B3610" t="s">
        <v>10777</v>
      </c>
      <c r="C3610" t="s">
        <v>2598</v>
      </c>
      <c r="D3610" s="254">
        <v>9796.19</v>
      </c>
      <c r="E3610"/>
      <c r="F3610"/>
      <c r="G3610"/>
      <c r="H3610"/>
      <c r="I3610" s="489"/>
      <c r="J3610" s="1095"/>
      <c r="K3610" s="1095"/>
      <c r="L3610" s="1095"/>
      <c r="M3610" s="1095"/>
    </row>
    <row r="3611" spans="1:13" x14ac:dyDescent="0.25">
      <c r="A3611">
        <v>2306627</v>
      </c>
      <c r="B3611" t="s">
        <v>10778</v>
      </c>
      <c r="C3611" t="s">
        <v>2598</v>
      </c>
      <c r="D3611" s="254">
        <v>9834.6299999999992</v>
      </c>
      <c r="E3611"/>
      <c r="F3611"/>
      <c r="G3611"/>
      <c r="H3611"/>
      <c r="I3611" s="489"/>
      <c r="J3611" s="1095"/>
      <c r="K3611" s="1095"/>
      <c r="L3611" s="1095"/>
      <c r="M3611" s="1095"/>
    </row>
    <row r="3612" spans="1:13" x14ac:dyDescent="0.25">
      <c r="A3612">
        <v>2306628</v>
      </c>
      <c r="B3612" t="s">
        <v>10779</v>
      </c>
      <c r="C3612" t="s">
        <v>2598</v>
      </c>
      <c r="D3612" s="254">
        <v>9873.1299999999992</v>
      </c>
      <c r="E3612"/>
      <c r="F3612"/>
      <c r="G3612"/>
      <c r="H3612"/>
      <c r="I3612" s="489"/>
      <c r="J3612" s="1095"/>
      <c r="K3612" s="1095"/>
      <c r="L3612" s="1095"/>
      <c r="M3612" s="1095"/>
    </row>
    <row r="3613" spans="1:13" x14ac:dyDescent="0.25">
      <c r="A3613">
        <v>2306629</v>
      </c>
      <c r="B3613" t="s">
        <v>10780</v>
      </c>
      <c r="C3613" t="s">
        <v>2598</v>
      </c>
      <c r="D3613" s="254">
        <v>13179.71</v>
      </c>
      <c r="E3613"/>
      <c r="F3613"/>
      <c r="G3613"/>
      <c r="H3613"/>
      <c r="I3613" s="489"/>
      <c r="J3613" s="1095"/>
      <c r="K3613" s="1095"/>
      <c r="L3613" s="1095"/>
      <c r="M3613" s="1095"/>
    </row>
    <row r="3614" spans="1:13" x14ac:dyDescent="0.25">
      <c r="A3614">
        <v>2306630</v>
      </c>
      <c r="B3614" t="s">
        <v>10781</v>
      </c>
      <c r="C3614" t="s">
        <v>2598</v>
      </c>
      <c r="D3614" s="254">
        <v>13261.73</v>
      </c>
      <c r="E3614"/>
      <c r="F3614"/>
      <c r="G3614"/>
      <c r="H3614"/>
      <c r="I3614" s="489"/>
      <c r="J3614" s="1095"/>
      <c r="K3614" s="1095"/>
      <c r="L3614" s="1095"/>
      <c r="M3614" s="1095"/>
    </row>
    <row r="3615" spans="1:13" x14ac:dyDescent="0.25">
      <c r="A3615">
        <v>2306631</v>
      </c>
      <c r="B3615" t="s">
        <v>10782</v>
      </c>
      <c r="C3615" t="s">
        <v>2598</v>
      </c>
      <c r="D3615" s="254">
        <v>13343.69</v>
      </c>
      <c r="E3615"/>
      <c r="F3615"/>
      <c r="G3615"/>
      <c r="H3615"/>
      <c r="I3615" s="489"/>
      <c r="J3615" s="1095"/>
      <c r="K3615" s="1095"/>
      <c r="L3615" s="1095"/>
      <c r="M3615" s="1095"/>
    </row>
    <row r="3616" spans="1:13" x14ac:dyDescent="0.25">
      <c r="A3616">
        <v>2306632</v>
      </c>
      <c r="B3616" t="s">
        <v>10783</v>
      </c>
      <c r="C3616" t="s">
        <v>2598</v>
      </c>
      <c r="D3616" s="254">
        <v>13425.72</v>
      </c>
      <c r="E3616"/>
      <c r="F3616"/>
      <c r="G3616"/>
      <c r="H3616"/>
      <c r="I3616" s="489"/>
      <c r="J3616" s="1095"/>
      <c r="K3616" s="1095"/>
      <c r="L3616" s="1095"/>
      <c r="M3616" s="1095"/>
    </row>
    <row r="3617" spans="1:13" x14ac:dyDescent="0.25">
      <c r="A3617">
        <v>2306610</v>
      </c>
      <c r="B3617" t="s">
        <v>10784</v>
      </c>
      <c r="C3617" t="s">
        <v>2598</v>
      </c>
      <c r="D3617" s="254">
        <v>3180.1</v>
      </c>
      <c r="E3617"/>
      <c r="F3617"/>
      <c r="G3617"/>
      <c r="H3617"/>
      <c r="I3617" s="489"/>
      <c r="J3617" s="1095"/>
      <c r="K3617" s="1095"/>
      <c r="L3617" s="1095"/>
      <c r="M3617" s="1095"/>
    </row>
    <row r="3618" spans="1:13" x14ac:dyDescent="0.25">
      <c r="A3618">
        <v>2306604</v>
      </c>
      <c r="B3618" t="s">
        <v>10785</v>
      </c>
      <c r="C3618" t="s">
        <v>2598</v>
      </c>
      <c r="D3618" s="254">
        <v>1115.93</v>
      </c>
      <c r="E3618"/>
      <c r="F3618"/>
      <c r="G3618"/>
      <c r="H3618"/>
      <c r="I3618" s="489"/>
      <c r="J3618" s="1095"/>
      <c r="K3618" s="1095"/>
      <c r="L3618" s="1095"/>
      <c r="M3618" s="1095"/>
    </row>
    <row r="3619" spans="1:13" x14ac:dyDescent="0.25">
      <c r="A3619">
        <v>2306605</v>
      </c>
      <c r="B3619" t="s">
        <v>10786</v>
      </c>
      <c r="C3619" t="s">
        <v>2598</v>
      </c>
      <c r="D3619" s="254">
        <v>1412.3</v>
      </c>
      <c r="E3619"/>
      <c r="F3619"/>
      <c r="G3619"/>
      <c r="H3619"/>
      <c r="I3619" s="489"/>
      <c r="J3619" s="1095"/>
      <c r="K3619" s="1095"/>
      <c r="L3619" s="1095"/>
      <c r="M3619" s="1095"/>
    </row>
    <row r="3620" spans="1:13" x14ac:dyDescent="0.25">
      <c r="A3620">
        <v>2306606</v>
      </c>
      <c r="B3620" t="s">
        <v>10787</v>
      </c>
      <c r="C3620" t="s">
        <v>2598</v>
      </c>
      <c r="D3620" s="254">
        <v>1637.19</v>
      </c>
      <c r="E3620"/>
      <c r="F3620"/>
      <c r="G3620"/>
      <c r="H3620"/>
      <c r="I3620" s="489"/>
      <c r="J3620" s="1095"/>
      <c r="K3620" s="1095"/>
      <c r="L3620" s="1095"/>
      <c r="M3620" s="1095"/>
    </row>
    <row r="3621" spans="1:13" x14ac:dyDescent="0.25">
      <c r="A3621">
        <v>2306607</v>
      </c>
      <c r="B3621" t="s">
        <v>10788</v>
      </c>
      <c r="C3621" t="s">
        <v>2598</v>
      </c>
      <c r="D3621" s="254">
        <v>1947.8</v>
      </c>
      <c r="E3621"/>
      <c r="F3621"/>
      <c r="G3621"/>
      <c r="H3621"/>
      <c r="I3621" s="489"/>
      <c r="J3621" s="1095"/>
      <c r="K3621" s="1095"/>
      <c r="L3621" s="1095"/>
      <c r="M3621" s="1095"/>
    </row>
    <row r="3622" spans="1:13" x14ac:dyDescent="0.25">
      <c r="A3622">
        <v>2306608</v>
      </c>
      <c r="B3622" t="s">
        <v>10789</v>
      </c>
      <c r="C3622" t="s">
        <v>2598</v>
      </c>
      <c r="D3622" s="254">
        <v>2408.61</v>
      </c>
      <c r="E3622"/>
      <c r="F3622"/>
      <c r="G3622"/>
      <c r="H3622"/>
      <c r="I3622" s="489"/>
      <c r="J3622" s="1095"/>
      <c r="K3622" s="1095"/>
      <c r="L3622" s="1095"/>
      <c r="M3622" s="1095"/>
    </row>
    <row r="3623" spans="1:13" x14ac:dyDescent="0.25">
      <c r="A3623">
        <v>2306609</v>
      </c>
      <c r="B3623" t="s">
        <v>10790</v>
      </c>
      <c r="C3623" t="s">
        <v>2598</v>
      </c>
      <c r="D3623" s="254">
        <v>2419.0100000000002</v>
      </c>
      <c r="E3623"/>
      <c r="F3623"/>
      <c r="G3623"/>
      <c r="H3623"/>
      <c r="I3623" s="489"/>
      <c r="J3623" s="1095"/>
      <c r="K3623" s="1095"/>
      <c r="L3623" s="1095"/>
      <c r="M3623" s="1095"/>
    </row>
    <row r="3624" spans="1:13" x14ac:dyDescent="0.25">
      <c r="A3624">
        <v>2306614</v>
      </c>
      <c r="B3624" t="s">
        <v>10791</v>
      </c>
      <c r="C3624" t="s">
        <v>2598</v>
      </c>
      <c r="D3624" s="254">
        <v>4070.33</v>
      </c>
      <c r="E3624"/>
      <c r="F3624"/>
      <c r="G3624"/>
      <c r="H3624"/>
      <c r="I3624" s="489"/>
      <c r="J3624" s="1095"/>
      <c r="K3624" s="1095"/>
      <c r="L3624" s="1095"/>
      <c r="M3624" s="1095"/>
    </row>
    <row r="3625" spans="1:13" x14ac:dyDescent="0.25">
      <c r="A3625">
        <v>2306615</v>
      </c>
      <c r="B3625" t="s">
        <v>10792</v>
      </c>
      <c r="C3625" t="s">
        <v>2598</v>
      </c>
      <c r="D3625" s="254">
        <v>4085.75</v>
      </c>
      <c r="E3625"/>
      <c r="F3625"/>
      <c r="G3625"/>
      <c r="H3625"/>
      <c r="I3625" s="489"/>
      <c r="J3625" s="1095"/>
      <c r="K3625" s="1095"/>
      <c r="L3625" s="1095"/>
      <c r="M3625" s="1095"/>
    </row>
    <row r="3626" spans="1:13" x14ac:dyDescent="0.25">
      <c r="A3626">
        <v>2306616</v>
      </c>
      <c r="B3626" t="s">
        <v>10793</v>
      </c>
      <c r="C3626" t="s">
        <v>2598</v>
      </c>
      <c r="D3626" s="254">
        <v>4101.16</v>
      </c>
      <c r="E3626"/>
      <c r="F3626"/>
      <c r="G3626"/>
      <c r="H3626"/>
      <c r="I3626" s="489"/>
      <c r="J3626" s="1095"/>
      <c r="K3626" s="1095"/>
      <c r="L3626" s="1095"/>
      <c r="M3626" s="1095"/>
    </row>
    <row r="3627" spans="1:13" x14ac:dyDescent="0.25">
      <c r="A3627">
        <v>2306611</v>
      </c>
      <c r="B3627" t="s">
        <v>10794</v>
      </c>
      <c r="C3627" t="s">
        <v>2598</v>
      </c>
      <c r="D3627" s="254">
        <v>2499.0100000000002</v>
      </c>
      <c r="E3627"/>
      <c r="F3627"/>
      <c r="G3627"/>
      <c r="H3627"/>
      <c r="I3627" s="489"/>
      <c r="J3627" s="1095"/>
      <c r="K3627" s="1095"/>
      <c r="L3627" s="1095"/>
      <c r="M3627" s="1095"/>
    </row>
    <row r="3628" spans="1:13" x14ac:dyDescent="0.25">
      <c r="A3628">
        <v>2306612</v>
      </c>
      <c r="B3628" t="s">
        <v>10795</v>
      </c>
      <c r="C3628" t="s">
        <v>2598</v>
      </c>
      <c r="D3628" s="254">
        <v>3086.33</v>
      </c>
      <c r="E3628"/>
      <c r="F3628"/>
      <c r="G3628"/>
      <c r="H3628"/>
      <c r="I3628" s="489"/>
      <c r="J3628" s="1095"/>
      <c r="K3628" s="1095"/>
      <c r="L3628" s="1095"/>
      <c r="M3628" s="1095"/>
    </row>
    <row r="3629" spans="1:13" x14ac:dyDescent="0.25">
      <c r="A3629">
        <v>2306613</v>
      </c>
      <c r="B3629" t="s">
        <v>10796</v>
      </c>
      <c r="C3629" t="s">
        <v>2598</v>
      </c>
      <c r="D3629" s="254">
        <v>3101.74</v>
      </c>
      <c r="E3629"/>
      <c r="F3629"/>
      <c r="G3629"/>
      <c r="H3629"/>
      <c r="I3629" s="489"/>
      <c r="J3629" s="1095"/>
      <c r="K3629" s="1095"/>
      <c r="L3629" s="1095"/>
      <c r="M3629" s="1095"/>
    </row>
    <row r="3630" spans="1:13" x14ac:dyDescent="0.25">
      <c r="A3630">
        <v>2306618</v>
      </c>
      <c r="B3630" t="s">
        <v>10797</v>
      </c>
      <c r="C3630" t="s">
        <v>2598</v>
      </c>
      <c r="D3630" s="254">
        <v>4886.71</v>
      </c>
      <c r="E3630"/>
      <c r="F3630"/>
      <c r="G3630"/>
      <c r="H3630"/>
      <c r="I3630" s="489"/>
      <c r="J3630" s="1095"/>
      <c r="K3630" s="1095"/>
      <c r="L3630" s="1095"/>
      <c r="M3630" s="1095"/>
    </row>
    <row r="3631" spans="1:13" x14ac:dyDescent="0.25">
      <c r="A3631">
        <v>2306619</v>
      </c>
      <c r="B3631" t="s">
        <v>10798</v>
      </c>
      <c r="C3631" t="s">
        <v>2598</v>
      </c>
      <c r="D3631" s="254">
        <v>4908.4399999999996</v>
      </c>
      <c r="E3631"/>
      <c r="F3631"/>
      <c r="G3631"/>
      <c r="H3631"/>
      <c r="I3631" s="489"/>
      <c r="J3631" s="1095"/>
      <c r="K3631" s="1095"/>
      <c r="L3631" s="1095"/>
      <c r="M3631" s="1095"/>
    </row>
    <row r="3632" spans="1:13" x14ac:dyDescent="0.25">
      <c r="A3632">
        <v>2306620</v>
      </c>
      <c r="B3632" t="s">
        <v>10799</v>
      </c>
      <c r="C3632" t="s">
        <v>2598</v>
      </c>
      <c r="D3632" s="254">
        <v>4930.17</v>
      </c>
      <c r="E3632"/>
      <c r="F3632"/>
      <c r="G3632"/>
      <c r="H3632"/>
      <c r="I3632" s="489"/>
      <c r="J3632" s="1095"/>
      <c r="K3632" s="1095"/>
      <c r="L3632" s="1095"/>
      <c r="M3632" s="1095"/>
    </row>
    <row r="3633" spans="1:13" x14ac:dyDescent="0.25">
      <c r="A3633">
        <v>2306621</v>
      </c>
      <c r="B3633" t="s">
        <v>10800</v>
      </c>
      <c r="C3633" t="s">
        <v>2598</v>
      </c>
      <c r="D3633" s="254">
        <v>7215.76</v>
      </c>
      <c r="E3633"/>
      <c r="F3633"/>
      <c r="G3633"/>
      <c r="H3633"/>
      <c r="I3633" s="489"/>
      <c r="J3633" s="1095"/>
      <c r="K3633" s="1095"/>
      <c r="L3633" s="1095"/>
      <c r="M3633" s="1095"/>
    </row>
    <row r="3634" spans="1:13" x14ac:dyDescent="0.25">
      <c r="A3634">
        <v>2306622</v>
      </c>
      <c r="B3634" t="s">
        <v>10801</v>
      </c>
      <c r="C3634" t="s">
        <v>2598</v>
      </c>
      <c r="D3634" s="254">
        <v>7237.49</v>
      </c>
      <c r="E3634"/>
      <c r="F3634"/>
      <c r="G3634"/>
      <c r="H3634"/>
      <c r="I3634" s="489"/>
      <c r="J3634" s="1095"/>
      <c r="K3634" s="1095"/>
      <c r="L3634" s="1095"/>
      <c r="M3634" s="1095"/>
    </row>
    <row r="3635" spans="1:13" x14ac:dyDescent="0.25">
      <c r="A3635">
        <v>2306623</v>
      </c>
      <c r="B3635" t="s">
        <v>10802</v>
      </c>
      <c r="C3635" t="s">
        <v>2598</v>
      </c>
      <c r="D3635" s="254">
        <v>7259.22</v>
      </c>
      <c r="E3635"/>
      <c r="F3635"/>
      <c r="G3635"/>
      <c r="H3635"/>
      <c r="I3635" s="489"/>
      <c r="J3635" s="1095"/>
      <c r="K3635" s="1095"/>
      <c r="L3635" s="1095"/>
      <c r="M3635" s="1095"/>
    </row>
    <row r="3636" spans="1:13" x14ac:dyDescent="0.25">
      <c r="A3636">
        <v>2306617</v>
      </c>
      <c r="B3636" t="s">
        <v>10803</v>
      </c>
      <c r="C3636" t="s">
        <v>2598</v>
      </c>
      <c r="D3636" s="254">
        <v>3733.02</v>
      </c>
      <c r="E3636"/>
      <c r="F3636"/>
      <c r="G3636"/>
      <c r="H3636"/>
      <c r="I3636" s="489"/>
      <c r="J3636" s="1095"/>
      <c r="K3636" s="1095"/>
      <c r="L3636" s="1095"/>
      <c r="M3636" s="1095"/>
    </row>
    <row r="3637" spans="1:13" x14ac:dyDescent="0.25">
      <c r="A3637">
        <v>2306014</v>
      </c>
      <c r="B3637" t="s">
        <v>10804</v>
      </c>
      <c r="C3637" t="s">
        <v>2716</v>
      </c>
      <c r="D3637" s="254">
        <v>14.38</v>
      </c>
      <c r="E3637"/>
      <c r="F3637"/>
      <c r="G3637"/>
      <c r="H3637"/>
      <c r="I3637" s="489"/>
      <c r="J3637" s="1095"/>
      <c r="K3637" s="1095"/>
      <c r="L3637" s="1095"/>
      <c r="M3637" s="1095"/>
    </row>
    <row r="3638" spans="1:13" x14ac:dyDescent="0.25">
      <c r="A3638">
        <v>2306700</v>
      </c>
      <c r="B3638" t="s">
        <v>10805</v>
      </c>
      <c r="C3638" t="s">
        <v>2598</v>
      </c>
      <c r="D3638" s="254">
        <v>2999.34</v>
      </c>
      <c r="E3638"/>
      <c r="F3638"/>
      <c r="G3638"/>
      <c r="H3638"/>
      <c r="I3638" s="489"/>
      <c r="J3638" s="1095"/>
      <c r="K3638" s="1095"/>
      <c r="L3638" s="1095"/>
      <c r="M3638" s="1095"/>
    </row>
    <row r="3639" spans="1:13" x14ac:dyDescent="0.25">
      <c r="A3639">
        <v>2306703</v>
      </c>
      <c r="B3639" t="s">
        <v>10806</v>
      </c>
      <c r="C3639" t="s">
        <v>2598</v>
      </c>
      <c r="D3639" s="254">
        <v>3093.6</v>
      </c>
      <c r="E3639"/>
      <c r="F3639"/>
      <c r="G3639"/>
      <c r="H3639"/>
      <c r="I3639" s="489"/>
      <c r="J3639" s="1095"/>
      <c r="K3639" s="1095"/>
      <c r="L3639" s="1095"/>
      <c r="M3639" s="1095"/>
    </row>
    <row r="3640" spans="1:13" x14ac:dyDescent="0.25">
      <c r="A3640">
        <v>2306706</v>
      </c>
      <c r="B3640" t="s">
        <v>10807</v>
      </c>
      <c r="C3640" t="s">
        <v>2598</v>
      </c>
      <c r="D3640" s="254">
        <v>3264.39</v>
      </c>
      <c r="E3640"/>
      <c r="F3640"/>
      <c r="G3640"/>
      <c r="H3640"/>
      <c r="I3640" s="489"/>
      <c r="J3640" s="1095"/>
      <c r="K3640" s="1095"/>
      <c r="L3640" s="1095"/>
      <c r="M3640" s="1095"/>
    </row>
    <row r="3641" spans="1:13" x14ac:dyDescent="0.25">
      <c r="A3641">
        <v>2306709</v>
      </c>
      <c r="B3641" t="s">
        <v>10808</v>
      </c>
      <c r="C3641" t="s">
        <v>2598</v>
      </c>
      <c r="D3641" s="254">
        <v>3474.01</v>
      </c>
      <c r="E3641"/>
      <c r="F3641"/>
      <c r="G3641"/>
      <c r="H3641"/>
      <c r="I3641" s="489"/>
      <c r="J3641" s="1095"/>
      <c r="K3641" s="1095"/>
      <c r="L3641" s="1095"/>
      <c r="M3641" s="1095"/>
    </row>
    <row r="3642" spans="1:13" x14ac:dyDescent="0.25">
      <c r="A3642">
        <v>2306712</v>
      </c>
      <c r="B3642" t="s">
        <v>10809</v>
      </c>
      <c r="C3642" t="s">
        <v>2598</v>
      </c>
      <c r="D3642" s="254">
        <v>3599.08</v>
      </c>
      <c r="E3642"/>
      <c r="F3642"/>
      <c r="G3642"/>
      <c r="H3642"/>
      <c r="I3642" s="489"/>
      <c r="J3642" s="1095"/>
      <c r="K3642" s="1095"/>
      <c r="L3642" s="1095"/>
      <c r="M3642" s="1095"/>
    </row>
    <row r="3643" spans="1:13" x14ac:dyDescent="0.25">
      <c r="A3643">
        <v>2306715</v>
      </c>
      <c r="B3643" t="s">
        <v>10810</v>
      </c>
      <c r="C3643" t="s">
        <v>2598</v>
      </c>
      <c r="D3643" s="254">
        <v>3737.96</v>
      </c>
      <c r="E3643"/>
      <c r="F3643"/>
      <c r="G3643"/>
      <c r="H3643"/>
      <c r="I3643" s="489"/>
      <c r="J3643" s="1095"/>
      <c r="K3643" s="1095"/>
      <c r="L3643" s="1095"/>
      <c r="M3643" s="1095"/>
    </row>
    <row r="3644" spans="1:13" x14ac:dyDescent="0.25">
      <c r="A3644">
        <v>2306718</v>
      </c>
      <c r="B3644" t="s">
        <v>10811</v>
      </c>
      <c r="C3644" t="s">
        <v>2598</v>
      </c>
      <c r="D3644" s="254">
        <v>3968.64</v>
      </c>
      <c r="E3644"/>
      <c r="F3644"/>
      <c r="G3644"/>
      <c r="H3644"/>
      <c r="I3644" s="489"/>
      <c r="J3644" s="1095"/>
      <c r="K3644" s="1095"/>
      <c r="L3644" s="1095"/>
      <c r="M3644" s="1095"/>
    </row>
    <row r="3645" spans="1:13" x14ac:dyDescent="0.25">
      <c r="A3645">
        <v>2306721</v>
      </c>
      <c r="B3645" t="s">
        <v>10812</v>
      </c>
      <c r="C3645" t="s">
        <v>2598</v>
      </c>
      <c r="D3645" s="254">
        <v>4082.16</v>
      </c>
      <c r="E3645"/>
      <c r="F3645"/>
      <c r="G3645"/>
      <c r="H3645"/>
      <c r="I3645" s="489"/>
      <c r="J3645" s="1095"/>
      <c r="K3645" s="1095"/>
      <c r="L3645" s="1095"/>
      <c r="M3645" s="1095"/>
    </row>
    <row r="3646" spans="1:13" x14ac:dyDescent="0.25">
      <c r="A3646">
        <v>2306724</v>
      </c>
      <c r="B3646" t="s">
        <v>10813</v>
      </c>
      <c r="C3646" t="s">
        <v>2598</v>
      </c>
      <c r="D3646" s="254">
        <v>4288.92</v>
      </c>
      <c r="E3646"/>
      <c r="F3646"/>
      <c r="G3646"/>
      <c r="H3646"/>
      <c r="I3646" s="489"/>
      <c r="J3646" s="1095"/>
      <c r="K3646" s="1095"/>
      <c r="L3646" s="1095"/>
      <c r="M3646" s="1095"/>
    </row>
    <row r="3647" spans="1:13" x14ac:dyDescent="0.25">
      <c r="A3647">
        <v>2306688</v>
      </c>
      <c r="B3647" t="s">
        <v>10814</v>
      </c>
      <c r="C3647" t="s">
        <v>2598</v>
      </c>
      <c r="D3647" s="254">
        <v>2406.5100000000002</v>
      </c>
      <c r="E3647"/>
      <c r="F3647"/>
      <c r="G3647"/>
      <c r="H3647"/>
      <c r="I3647" s="489"/>
      <c r="J3647" s="1095"/>
      <c r="K3647" s="1095"/>
      <c r="L3647" s="1095"/>
      <c r="M3647" s="1095"/>
    </row>
    <row r="3648" spans="1:13" x14ac:dyDescent="0.25">
      <c r="A3648">
        <v>2306691</v>
      </c>
      <c r="B3648" t="s">
        <v>10815</v>
      </c>
      <c r="C3648" t="s">
        <v>2598</v>
      </c>
      <c r="D3648" s="254">
        <v>2525.23</v>
      </c>
      <c r="E3648"/>
      <c r="F3648"/>
      <c r="G3648"/>
      <c r="H3648"/>
      <c r="I3648" s="489"/>
      <c r="J3648" s="1095"/>
      <c r="K3648" s="1095"/>
      <c r="L3648" s="1095"/>
      <c r="M3648" s="1095"/>
    </row>
    <row r="3649" spans="1:13" x14ac:dyDescent="0.25">
      <c r="A3649">
        <v>2306694</v>
      </c>
      <c r="B3649" t="s">
        <v>10816</v>
      </c>
      <c r="C3649" t="s">
        <v>2598</v>
      </c>
      <c r="D3649" s="254">
        <v>2704.73</v>
      </c>
      <c r="E3649"/>
      <c r="F3649"/>
      <c r="G3649"/>
      <c r="H3649"/>
      <c r="I3649" s="489"/>
      <c r="J3649" s="1095"/>
      <c r="K3649" s="1095"/>
      <c r="L3649" s="1095"/>
      <c r="M3649" s="1095"/>
    </row>
    <row r="3650" spans="1:13" x14ac:dyDescent="0.25">
      <c r="A3650">
        <v>2306697</v>
      </c>
      <c r="B3650" t="s">
        <v>10817</v>
      </c>
      <c r="C3650" t="s">
        <v>2598</v>
      </c>
      <c r="D3650" s="254">
        <v>2825.78</v>
      </c>
      <c r="E3650"/>
      <c r="F3650"/>
      <c r="G3650"/>
      <c r="H3650"/>
      <c r="I3650" s="489"/>
      <c r="J3650" s="1095"/>
      <c r="K3650" s="1095"/>
      <c r="L3650" s="1095"/>
      <c r="M3650" s="1095"/>
    </row>
    <row r="3651" spans="1:13" x14ac:dyDescent="0.25">
      <c r="A3651">
        <v>2306701</v>
      </c>
      <c r="B3651" t="s">
        <v>10818</v>
      </c>
      <c r="C3651" t="s">
        <v>2598</v>
      </c>
      <c r="D3651" s="254">
        <v>5052.05</v>
      </c>
      <c r="E3651"/>
      <c r="F3651"/>
      <c r="G3651"/>
      <c r="H3651"/>
      <c r="I3651" s="489"/>
      <c r="J3651" s="1095"/>
      <c r="K3651" s="1095"/>
      <c r="L3651" s="1095"/>
      <c r="M3651" s="1095"/>
    </row>
    <row r="3652" spans="1:13" x14ac:dyDescent="0.25">
      <c r="A3652">
        <v>2306704</v>
      </c>
      <c r="B3652" t="s">
        <v>10819</v>
      </c>
      <c r="C3652" t="s">
        <v>2598</v>
      </c>
      <c r="D3652" s="254">
        <v>5321.36</v>
      </c>
      <c r="E3652"/>
      <c r="F3652"/>
      <c r="G3652"/>
      <c r="H3652"/>
      <c r="I3652" s="489"/>
      <c r="J3652" s="1095"/>
      <c r="K3652" s="1095"/>
      <c r="L3652" s="1095"/>
      <c r="M3652" s="1095"/>
    </row>
    <row r="3653" spans="1:13" x14ac:dyDescent="0.25">
      <c r="A3653">
        <v>2306707</v>
      </c>
      <c r="B3653" t="s">
        <v>10820</v>
      </c>
      <c r="C3653" t="s">
        <v>2598</v>
      </c>
      <c r="D3653" s="254">
        <v>5555.35</v>
      </c>
      <c r="E3653"/>
      <c r="F3653"/>
      <c r="G3653"/>
      <c r="H3653"/>
      <c r="I3653" s="489"/>
      <c r="J3653" s="1095"/>
      <c r="K3653" s="1095"/>
      <c r="L3653" s="1095"/>
      <c r="M3653" s="1095"/>
    </row>
    <row r="3654" spans="1:13" x14ac:dyDescent="0.25">
      <c r="A3654">
        <v>2306710</v>
      </c>
      <c r="B3654" t="s">
        <v>10821</v>
      </c>
      <c r="C3654" t="s">
        <v>2598</v>
      </c>
      <c r="D3654" s="254">
        <v>5807.89</v>
      </c>
      <c r="E3654"/>
      <c r="F3654"/>
      <c r="G3654"/>
      <c r="H3654"/>
      <c r="I3654" s="489"/>
      <c r="J3654" s="1095"/>
      <c r="K3654" s="1095"/>
      <c r="L3654" s="1095"/>
      <c r="M3654" s="1095"/>
    </row>
    <row r="3655" spans="1:13" x14ac:dyDescent="0.25">
      <c r="A3655">
        <v>2306713</v>
      </c>
      <c r="B3655" t="s">
        <v>10822</v>
      </c>
      <c r="C3655" t="s">
        <v>2598</v>
      </c>
      <c r="D3655" s="254">
        <v>5968.82</v>
      </c>
      <c r="E3655"/>
      <c r="F3655"/>
      <c r="G3655"/>
      <c r="H3655"/>
      <c r="I3655" s="489"/>
      <c r="J3655" s="1095"/>
      <c r="K3655" s="1095"/>
      <c r="L3655" s="1095"/>
      <c r="M3655" s="1095"/>
    </row>
    <row r="3656" spans="1:13" x14ac:dyDescent="0.25">
      <c r="A3656">
        <v>2306716</v>
      </c>
      <c r="B3656" t="s">
        <v>10823</v>
      </c>
      <c r="C3656" t="s">
        <v>2598</v>
      </c>
      <c r="D3656" s="254">
        <v>6301.35</v>
      </c>
      <c r="E3656"/>
      <c r="F3656"/>
      <c r="G3656"/>
      <c r="H3656"/>
      <c r="I3656" s="489"/>
      <c r="J3656" s="1095"/>
      <c r="K3656" s="1095"/>
      <c r="L3656" s="1095"/>
      <c r="M3656" s="1095"/>
    </row>
    <row r="3657" spans="1:13" x14ac:dyDescent="0.25">
      <c r="A3657">
        <v>2306719</v>
      </c>
      <c r="B3657" t="s">
        <v>10824</v>
      </c>
      <c r="C3657" t="s">
        <v>2598</v>
      </c>
      <c r="D3657" s="254">
        <v>6771.52</v>
      </c>
      <c r="E3657"/>
      <c r="F3657"/>
      <c r="G3657"/>
      <c r="H3657"/>
      <c r="I3657" s="489"/>
      <c r="J3657" s="1095"/>
      <c r="K3657" s="1095"/>
      <c r="L3657" s="1095"/>
      <c r="M3657" s="1095"/>
    </row>
    <row r="3658" spans="1:13" x14ac:dyDescent="0.25">
      <c r="A3658">
        <v>2306722</v>
      </c>
      <c r="B3658" t="s">
        <v>10825</v>
      </c>
      <c r="C3658" t="s">
        <v>2598</v>
      </c>
      <c r="D3658" s="254">
        <v>7086.11</v>
      </c>
      <c r="E3658"/>
      <c r="F3658"/>
      <c r="G3658"/>
      <c r="H3658"/>
      <c r="I3658" s="489"/>
      <c r="J3658" s="1095"/>
      <c r="K3658" s="1095"/>
      <c r="L3658" s="1095"/>
      <c r="M3658" s="1095"/>
    </row>
    <row r="3659" spans="1:13" x14ac:dyDescent="0.25">
      <c r="A3659">
        <v>2306725</v>
      </c>
      <c r="B3659" t="s">
        <v>10826</v>
      </c>
      <c r="C3659" t="s">
        <v>2598</v>
      </c>
      <c r="D3659" s="254">
        <v>7376.2</v>
      </c>
      <c r="E3659"/>
      <c r="F3659"/>
      <c r="G3659"/>
      <c r="H3659"/>
      <c r="I3659" s="489"/>
      <c r="J3659" s="1095"/>
      <c r="K3659" s="1095"/>
      <c r="L3659" s="1095"/>
      <c r="M3659" s="1095"/>
    </row>
    <row r="3660" spans="1:13" x14ac:dyDescent="0.25">
      <c r="A3660">
        <v>2306689</v>
      </c>
      <c r="B3660" t="s">
        <v>10827</v>
      </c>
      <c r="C3660" t="s">
        <v>2598</v>
      </c>
      <c r="D3660" s="254">
        <v>4057.78</v>
      </c>
      <c r="E3660"/>
      <c r="F3660"/>
      <c r="G3660"/>
      <c r="H3660"/>
      <c r="I3660" s="489"/>
      <c r="J3660" s="1095"/>
      <c r="K3660" s="1095"/>
      <c r="L3660" s="1095"/>
      <c r="M3660" s="1095"/>
    </row>
    <row r="3661" spans="1:13" x14ac:dyDescent="0.25">
      <c r="A3661">
        <v>2306692</v>
      </c>
      <c r="B3661" t="s">
        <v>10828</v>
      </c>
      <c r="C3661" t="s">
        <v>2598</v>
      </c>
      <c r="D3661" s="254">
        <v>4254.2299999999996</v>
      </c>
      <c r="E3661"/>
      <c r="F3661"/>
      <c r="G3661"/>
      <c r="H3661"/>
      <c r="I3661" s="489"/>
      <c r="J3661" s="1095"/>
      <c r="K3661" s="1095"/>
      <c r="L3661" s="1095"/>
      <c r="M3661" s="1095"/>
    </row>
    <row r="3662" spans="1:13" x14ac:dyDescent="0.25">
      <c r="A3662">
        <v>2306695</v>
      </c>
      <c r="B3662" t="s">
        <v>10829</v>
      </c>
      <c r="C3662" t="s">
        <v>2598</v>
      </c>
      <c r="D3662" s="254">
        <v>4458.05</v>
      </c>
      <c r="E3662"/>
      <c r="F3662"/>
      <c r="G3662"/>
      <c r="H3662"/>
      <c r="I3662" s="489"/>
      <c r="J3662" s="1095"/>
      <c r="K3662" s="1095"/>
      <c r="L3662" s="1095"/>
      <c r="M3662" s="1095"/>
    </row>
    <row r="3663" spans="1:13" x14ac:dyDescent="0.25">
      <c r="A3663">
        <v>2306698</v>
      </c>
      <c r="B3663" t="s">
        <v>10830</v>
      </c>
      <c r="C3663" t="s">
        <v>2598</v>
      </c>
      <c r="D3663" s="254">
        <v>4710.3500000000004</v>
      </c>
      <c r="E3663"/>
      <c r="F3663"/>
      <c r="G3663"/>
      <c r="H3663"/>
      <c r="I3663" s="489"/>
      <c r="J3663" s="1095"/>
      <c r="K3663" s="1095"/>
      <c r="L3663" s="1095"/>
      <c r="M3663" s="1095"/>
    </row>
    <row r="3664" spans="1:13" x14ac:dyDescent="0.25">
      <c r="A3664">
        <v>2306699</v>
      </c>
      <c r="B3664" t="s">
        <v>10831</v>
      </c>
      <c r="C3664" t="s">
        <v>2598</v>
      </c>
      <c r="D3664" s="254">
        <v>491.75</v>
      </c>
      <c r="E3664"/>
      <c r="F3664"/>
      <c r="G3664"/>
      <c r="H3664"/>
      <c r="I3664" s="489"/>
      <c r="J3664" s="1095"/>
      <c r="K3664" s="1095"/>
      <c r="L3664" s="1095"/>
      <c r="M3664" s="1095"/>
    </row>
    <row r="3665" spans="1:13" x14ac:dyDescent="0.25">
      <c r="A3665">
        <v>2306702</v>
      </c>
      <c r="B3665" t="s">
        <v>10832</v>
      </c>
      <c r="C3665" t="s">
        <v>2598</v>
      </c>
      <c r="D3665" s="254">
        <v>508.28</v>
      </c>
      <c r="E3665"/>
      <c r="F3665"/>
      <c r="G3665"/>
      <c r="H3665"/>
      <c r="I3665" s="489"/>
      <c r="J3665" s="1095"/>
      <c r="K3665" s="1095"/>
      <c r="L3665" s="1095"/>
      <c r="M3665" s="1095"/>
    </row>
    <row r="3666" spans="1:13" x14ac:dyDescent="0.25">
      <c r="A3666">
        <v>2306705</v>
      </c>
      <c r="B3666" t="s">
        <v>10833</v>
      </c>
      <c r="C3666" t="s">
        <v>2598</v>
      </c>
      <c r="D3666" s="254">
        <v>535.27</v>
      </c>
      <c r="E3666"/>
      <c r="F3666"/>
      <c r="G3666"/>
      <c r="H3666"/>
      <c r="I3666" s="489"/>
      <c r="J3666" s="1095"/>
      <c r="K3666" s="1095"/>
      <c r="L3666" s="1095"/>
      <c r="M3666" s="1095"/>
    </row>
    <row r="3667" spans="1:13" x14ac:dyDescent="0.25">
      <c r="A3667">
        <v>2306708</v>
      </c>
      <c r="B3667" t="s">
        <v>10834</v>
      </c>
      <c r="C3667" t="s">
        <v>2598</v>
      </c>
      <c r="D3667" s="254">
        <v>554.91</v>
      </c>
      <c r="E3667"/>
      <c r="F3667"/>
      <c r="G3667"/>
      <c r="H3667"/>
      <c r="I3667" s="489"/>
      <c r="J3667" s="1095"/>
      <c r="K3667" s="1095"/>
      <c r="L3667" s="1095"/>
      <c r="M3667" s="1095"/>
    </row>
    <row r="3668" spans="1:13" x14ac:dyDescent="0.25">
      <c r="A3668">
        <v>2306711</v>
      </c>
      <c r="B3668" t="s">
        <v>10835</v>
      </c>
      <c r="C3668" t="s">
        <v>2598</v>
      </c>
      <c r="D3668" s="254">
        <v>576.04999999999995</v>
      </c>
      <c r="E3668"/>
      <c r="F3668"/>
      <c r="G3668"/>
      <c r="H3668"/>
      <c r="I3668" s="489"/>
      <c r="J3668" s="1095"/>
      <c r="K3668" s="1095"/>
      <c r="L3668" s="1095"/>
      <c r="M3668" s="1095"/>
    </row>
    <row r="3669" spans="1:13" x14ac:dyDescent="0.25">
      <c r="A3669">
        <v>2306714</v>
      </c>
      <c r="B3669" t="s">
        <v>10836</v>
      </c>
      <c r="C3669" t="s">
        <v>2598</v>
      </c>
      <c r="D3669" s="254">
        <v>598.86</v>
      </c>
      <c r="E3669"/>
      <c r="F3669"/>
      <c r="G3669"/>
      <c r="H3669"/>
      <c r="I3669" s="489"/>
      <c r="J3669" s="1095"/>
      <c r="K3669" s="1095"/>
      <c r="L3669" s="1095"/>
      <c r="M3669" s="1095"/>
    </row>
    <row r="3670" spans="1:13" x14ac:dyDescent="0.25">
      <c r="A3670">
        <v>2306717</v>
      </c>
      <c r="B3670" t="s">
        <v>10837</v>
      </c>
      <c r="C3670" t="s">
        <v>2598</v>
      </c>
      <c r="D3670" s="254">
        <v>625.16999999999996</v>
      </c>
      <c r="E3670"/>
      <c r="F3670"/>
      <c r="G3670"/>
      <c r="H3670"/>
      <c r="I3670" s="489"/>
      <c r="J3670" s="1095"/>
      <c r="K3670" s="1095"/>
      <c r="L3670" s="1095"/>
      <c r="M3670" s="1095"/>
    </row>
    <row r="3671" spans="1:13" x14ac:dyDescent="0.25">
      <c r="A3671">
        <v>2306720</v>
      </c>
      <c r="B3671" t="s">
        <v>10838</v>
      </c>
      <c r="C3671" t="s">
        <v>2598</v>
      </c>
      <c r="D3671" s="254">
        <v>652.13</v>
      </c>
      <c r="E3671"/>
      <c r="F3671"/>
      <c r="G3671"/>
      <c r="H3671"/>
      <c r="I3671" s="489"/>
      <c r="J3671" s="1095"/>
      <c r="K3671" s="1095"/>
      <c r="L3671" s="1095"/>
      <c r="M3671" s="1095"/>
    </row>
    <row r="3672" spans="1:13" x14ac:dyDescent="0.25">
      <c r="A3672">
        <v>2306723</v>
      </c>
      <c r="B3672" t="s">
        <v>10839</v>
      </c>
      <c r="C3672" t="s">
        <v>2598</v>
      </c>
      <c r="D3672" s="254">
        <v>666.5</v>
      </c>
      <c r="E3672"/>
      <c r="F3672"/>
      <c r="G3672"/>
      <c r="H3672"/>
      <c r="I3672" s="489"/>
      <c r="J3672" s="1095"/>
      <c r="K3672" s="1095"/>
      <c r="L3672" s="1095"/>
      <c r="M3672" s="1095"/>
    </row>
    <row r="3673" spans="1:13" x14ac:dyDescent="0.25">
      <c r="A3673">
        <v>2306687</v>
      </c>
      <c r="B3673" t="s">
        <v>10840</v>
      </c>
      <c r="C3673" t="s">
        <v>2598</v>
      </c>
      <c r="D3673" s="254">
        <v>409.37</v>
      </c>
      <c r="E3673"/>
      <c r="F3673"/>
      <c r="G3673"/>
      <c r="H3673"/>
      <c r="I3673" s="489"/>
      <c r="J3673" s="1095"/>
      <c r="K3673" s="1095"/>
      <c r="L3673" s="1095"/>
      <c r="M3673" s="1095"/>
    </row>
    <row r="3674" spans="1:13" x14ac:dyDescent="0.25">
      <c r="A3674">
        <v>2306690</v>
      </c>
      <c r="B3674" t="s">
        <v>10841</v>
      </c>
      <c r="C3674" t="s">
        <v>2598</v>
      </c>
      <c r="D3674" s="254">
        <v>428.21</v>
      </c>
      <c r="E3674"/>
      <c r="F3674"/>
      <c r="G3674"/>
      <c r="H3674"/>
      <c r="I3674" s="489"/>
      <c r="J3674" s="1095"/>
      <c r="K3674" s="1095"/>
      <c r="L3674" s="1095"/>
      <c r="M3674" s="1095"/>
    </row>
    <row r="3675" spans="1:13" x14ac:dyDescent="0.25">
      <c r="A3675">
        <v>2306693</v>
      </c>
      <c r="B3675" t="s">
        <v>10842</v>
      </c>
      <c r="C3675" t="s">
        <v>2598</v>
      </c>
      <c r="D3675" s="254">
        <v>447.21</v>
      </c>
      <c r="E3675"/>
      <c r="F3675"/>
      <c r="G3675"/>
      <c r="H3675"/>
      <c r="I3675" s="489"/>
      <c r="J3675" s="1095"/>
      <c r="K3675" s="1095"/>
      <c r="L3675" s="1095"/>
      <c r="M3675" s="1095"/>
    </row>
    <row r="3676" spans="1:13" x14ac:dyDescent="0.25">
      <c r="A3676">
        <v>2306696</v>
      </c>
      <c r="B3676" t="s">
        <v>10843</v>
      </c>
      <c r="C3676" t="s">
        <v>2598</v>
      </c>
      <c r="D3676" s="254">
        <v>467.97</v>
      </c>
      <c r="E3676"/>
      <c r="F3676"/>
      <c r="G3676"/>
      <c r="H3676"/>
      <c r="I3676" s="489"/>
      <c r="J3676" s="1095"/>
      <c r="K3676" s="1095"/>
      <c r="L3676" s="1095"/>
      <c r="M3676" s="1095"/>
    </row>
    <row r="3677" spans="1:13" x14ac:dyDescent="0.25">
      <c r="A3677">
        <v>2306239</v>
      </c>
      <c r="B3677" t="s">
        <v>10844</v>
      </c>
      <c r="C3677" t="s">
        <v>2596</v>
      </c>
      <c r="D3677" s="254">
        <v>248.75</v>
      </c>
      <c r="E3677"/>
      <c r="F3677"/>
      <c r="G3677"/>
      <c r="H3677"/>
      <c r="I3677" s="489"/>
      <c r="J3677" s="1095"/>
      <c r="K3677" s="1095"/>
      <c r="L3677" s="1095"/>
      <c r="M3677" s="1095"/>
    </row>
    <row r="3678" spans="1:13" x14ac:dyDescent="0.25">
      <c r="A3678">
        <v>2306090</v>
      </c>
      <c r="B3678" t="s">
        <v>6763</v>
      </c>
      <c r="C3678" t="s">
        <v>2598</v>
      </c>
      <c r="D3678" s="254">
        <v>39.31</v>
      </c>
      <c r="E3678"/>
      <c r="F3678"/>
      <c r="G3678"/>
      <c r="H3678"/>
      <c r="I3678" s="489"/>
      <c r="J3678" s="1095"/>
      <c r="K3678" s="1095"/>
      <c r="L3678" s="1095"/>
      <c r="M3678" s="1095"/>
    </row>
    <row r="3679" spans="1:13" x14ac:dyDescent="0.25">
      <c r="A3679">
        <v>2306091</v>
      </c>
      <c r="B3679" t="s">
        <v>10845</v>
      </c>
      <c r="C3679" t="s">
        <v>2598</v>
      </c>
      <c r="D3679" s="254">
        <v>52.41</v>
      </c>
      <c r="E3679"/>
      <c r="F3679"/>
      <c r="G3679"/>
      <c r="H3679"/>
      <c r="I3679" s="489"/>
      <c r="J3679" s="1095"/>
      <c r="K3679" s="1095"/>
      <c r="L3679" s="1095"/>
      <c r="M3679" s="1095"/>
    </row>
    <row r="3680" spans="1:13" x14ac:dyDescent="0.25">
      <c r="A3680">
        <v>2306072</v>
      </c>
      <c r="B3680" t="s">
        <v>10846</v>
      </c>
      <c r="C3680" t="s">
        <v>2596</v>
      </c>
      <c r="D3680" s="254">
        <v>757.34</v>
      </c>
      <c r="E3680"/>
      <c r="F3680"/>
      <c r="G3680"/>
      <c r="H3680"/>
      <c r="I3680" s="489"/>
      <c r="J3680" s="1095"/>
      <c r="K3680" s="1095"/>
      <c r="L3680" s="1095"/>
      <c r="M3680" s="1095"/>
    </row>
    <row r="3681" spans="1:13" x14ac:dyDescent="0.25">
      <c r="A3681">
        <v>2306133</v>
      </c>
      <c r="B3681" t="s">
        <v>10847</v>
      </c>
      <c r="C3681" t="s">
        <v>2598</v>
      </c>
      <c r="D3681" s="254">
        <v>582.95000000000005</v>
      </c>
      <c r="E3681"/>
      <c r="F3681"/>
      <c r="G3681"/>
      <c r="H3681"/>
      <c r="I3681" s="489"/>
      <c r="J3681" s="1095"/>
      <c r="K3681" s="1095"/>
      <c r="L3681" s="1095"/>
      <c r="M3681" s="1095"/>
    </row>
    <row r="3682" spans="1:13" x14ac:dyDescent="0.25">
      <c r="A3682">
        <v>2306114</v>
      </c>
      <c r="B3682" t="s">
        <v>10848</v>
      </c>
      <c r="C3682" t="s">
        <v>2598</v>
      </c>
      <c r="D3682" s="254">
        <v>291.52</v>
      </c>
      <c r="E3682"/>
      <c r="F3682"/>
      <c r="G3682"/>
      <c r="H3682"/>
      <c r="I3682" s="489"/>
      <c r="J3682" s="1095"/>
      <c r="K3682" s="1095"/>
      <c r="L3682" s="1095"/>
      <c r="M3682" s="1095"/>
    </row>
    <row r="3683" spans="1:13" x14ac:dyDescent="0.25">
      <c r="A3683">
        <v>2306115</v>
      </c>
      <c r="B3683" t="s">
        <v>10849</v>
      </c>
      <c r="C3683" t="s">
        <v>2598</v>
      </c>
      <c r="D3683" s="254">
        <v>422.93</v>
      </c>
      <c r="E3683"/>
      <c r="F3683"/>
      <c r="G3683"/>
      <c r="H3683"/>
      <c r="I3683" s="489"/>
      <c r="J3683" s="1095"/>
      <c r="K3683" s="1095"/>
      <c r="L3683" s="1095"/>
      <c r="M3683" s="1095"/>
    </row>
    <row r="3684" spans="1:13" x14ac:dyDescent="0.25">
      <c r="A3684">
        <v>2306116</v>
      </c>
      <c r="B3684" t="s">
        <v>10850</v>
      </c>
      <c r="C3684" t="s">
        <v>2598</v>
      </c>
      <c r="D3684" s="254">
        <v>503.19</v>
      </c>
      <c r="E3684"/>
      <c r="F3684"/>
      <c r="G3684"/>
      <c r="H3684"/>
      <c r="I3684" s="489"/>
      <c r="J3684" s="1095"/>
      <c r="K3684" s="1095"/>
      <c r="L3684" s="1095"/>
      <c r="M3684" s="1095"/>
    </row>
    <row r="3685" spans="1:13" x14ac:dyDescent="0.25">
      <c r="A3685">
        <v>2306118</v>
      </c>
      <c r="B3685" t="s">
        <v>10851</v>
      </c>
      <c r="C3685" t="s">
        <v>2598</v>
      </c>
      <c r="D3685" s="254">
        <v>631.29999999999995</v>
      </c>
      <c r="E3685"/>
      <c r="F3685"/>
      <c r="G3685"/>
      <c r="H3685"/>
      <c r="I3685" s="489"/>
      <c r="J3685" s="1095"/>
      <c r="K3685" s="1095"/>
      <c r="L3685" s="1095"/>
      <c r="M3685" s="1095"/>
    </row>
    <row r="3686" spans="1:13" x14ac:dyDescent="0.25">
      <c r="A3686">
        <v>2306122</v>
      </c>
      <c r="B3686" t="s">
        <v>10852</v>
      </c>
      <c r="C3686" t="s">
        <v>2598</v>
      </c>
      <c r="D3686" s="254">
        <v>747.23</v>
      </c>
      <c r="E3686"/>
      <c r="F3686"/>
      <c r="G3686"/>
      <c r="H3686"/>
      <c r="I3686" s="489"/>
      <c r="J3686" s="1095"/>
      <c r="K3686" s="1095"/>
      <c r="L3686" s="1095"/>
      <c r="M3686" s="1095"/>
    </row>
    <row r="3687" spans="1:13" x14ac:dyDescent="0.25">
      <c r="A3687">
        <v>2306078</v>
      </c>
      <c r="B3687" t="s">
        <v>10853</v>
      </c>
      <c r="C3687" t="s">
        <v>2598</v>
      </c>
      <c r="D3687" s="254">
        <v>138.57</v>
      </c>
      <c r="E3687"/>
      <c r="F3687"/>
      <c r="G3687"/>
      <c r="H3687"/>
      <c r="I3687" s="489"/>
      <c r="J3687" s="1095"/>
      <c r="K3687" s="1095"/>
      <c r="L3687" s="1095"/>
      <c r="M3687" s="1095"/>
    </row>
    <row r="3688" spans="1:13" x14ac:dyDescent="0.25">
      <c r="A3688">
        <v>2306080</v>
      </c>
      <c r="B3688" t="s">
        <v>10854</v>
      </c>
      <c r="C3688" t="s">
        <v>2598</v>
      </c>
      <c r="D3688" s="254">
        <v>151.16999999999999</v>
      </c>
      <c r="E3688"/>
      <c r="F3688"/>
      <c r="G3688"/>
      <c r="H3688"/>
      <c r="I3688" s="489"/>
      <c r="J3688" s="1095"/>
      <c r="K3688" s="1095"/>
      <c r="L3688" s="1095"/>
      <c r="M3688" s="1095"/>
    </row>
    <row r="3689" spans="1:13" x14ac:dyDescent="0.25">
      <c r="A3689">
        <v>2306082</v>
      </c>
      <c r="B3689" t="s">
        <v>10855</v>
      </c>
      <c r="C3689" t="s">
        <v>2598</v>
      </c>
      <c r="D3689" s="254">
        <v>166.28</v>
      </c>
      <c r="E3689"/>
      <c r="F3689"/>
      <c r="G3689"/>
      <c r="H3689"/>
      <c r="I3689" s="489"/>
      <c r="J3689" s="1095"/>
      <c r="K3689" s="1095"/>
      <c r="L3689" s="1095"/>
      <c r="M3689" s="1095"/>
    </row>
    <row r="3690" spans="1:13" x14ac:dyDescent="0.25">
      <c r="A3690">
        <v>2306084</v>
      </c>
      <c r="B3690" t="s">
        <v>10856</v>
      </c>
      <c r="C3690" t="s">
        <v>2598</v>
      </c>
      <c r="D3690" s="254">
        <v>193.35</v>
      </c>
      <c r="E3690"/>
      <c r="F3690"/>
      <c r="G3690"/>
      <c r="H3690"/>
      <c r="I3690" s="489"/>
      <c r="J3690" s="1095"/>
      <c r="K3690" s="1095"/>
      <c r="L3690" s="1095"/>
      <c r="M3690" s="1095"/>
    </row>
    <row r="3691" spans="1:13" x14ac:dyDescent="0.25">
      <c r="A3691">
        <v>2306086</v>
      </c>
      <c r="B3691" t="s">
        <v>10857</v>
      </c>
      <c r="C3691" t="s">
        <v>2598</v>
      </c>
      <c r="D3691" s="254">
        <v>237.55</v>
      </c>
      <c r="E3691"/>
      <c r="F3691"/>
      <c r="G3691"/>
      <c r="H3691"/>
      <c r="I3691" s="489"/>
      <c r="J3691" s="1095"/>
      <c r="K3691" s="1095"/>
      <c r="L3691" s="1095"/>
      <c r="M3691" s="1095"/>
    </row>
    <row r="3692" spans="1:13" x14ac:dyDescent="0.25">
      <c r="A3692">
        <v>2309088</v>
      </c>
      <c r="B3692" t="s">
        <v>10858</v>
      </c>
      <c r="C3692" t="s">
        <v>2598</v>
      </c>
      <c r="D3692" s="254">
        <v>332.56</v>
      </c>
      <c r="E3692"/>
      <c r="F3692"/>
      <c r="G3692"/>
      <c r="H3692"/>
      <c r="I3692" s="489"/>
      <c r="J3692" s="1095"/>
      <c r="K3692" s="1095"/>
      <c r="L3692" s="1095"/>
      <c r="M3692" s="1095"/>
    </row>
    <row r="3693" spans="1:13" x14ac:dyDescent="0.25">
      <c r="A3693">
        <v>2306074</v>
      </c>
      <c r="B3693" t="s">
        <v>10859</v>
      </c>
      <c r="C3693" t="s">
        <v>2596</v>
      </c>
      <c r="D3693" s="254">
        <v>190.64</v>
      </c>
      <c r="E3693"/>
      <c r="F3693"/>
      <c r="G3693"/>
      <c r="H3693"/>
      <c r="I3693" s="489"/>
      <c r="J3693" s="1095"/>
      <c r="K3693" s="1095"/>
      <c r="L3693" s="1095"/>
      <c r="M3693" s="1095"/>
    </row>
    <row r="3694" spans="1:13" x14ac:dyDescent="0.25">
      <c r="A3694">
        <v>2306095</v>
      </c>
      <c r="B3694" t="s">
        <v>10860</v>
      </c>
      <c r="C3694" t="s">
        <v>2596</v>
      </c>
      <c r="D3694" s="254">
        <v>228.59</v>
      </c>
      <c r="E3694"/>
      <c r="F3694"/>
      <c r="G3694"/>
      <c r="H3694"/>
      <c r="I3694" s="489"/>
      <c r="J3694" s="1095"/>
      <c r="K3694" s="1095"/>
      <c r="L3694" s="1095"/>
      <c r="M3694" s="1095"/>
    </row>
    <row r="3695" spans="1:13" x14ac:dyDescent="0.25">
      <c r="A3695">
        <v>2306132</v>
      </c>
      <c r="B3695" t="s">
        <v>10861</v>
      </c>
      <c r="C3695" t="s">
        <v>2598</v>
      </c>
      <c r="D3695" s="254">
        <v>374.69</v>
      </c>
      <c r="E3695"/>
      <c r="F3695"/>
      <c r="G3695"/>
      <c r="H3695"/>
      <c r="I3695" s="489"/>
      <c r="J3695" s="1095"/>
      <c r="K3695" s="1095"/>
      <c r="L3695" s="1095"/>
      <c r="M3695" s="1095"/>
    </row>
    <row r="3696" spans="1:13" x14ac:dyDescent="0.25">
      <c r="A3696">
        <v>2306015</v>
      </c>
      <c r="B3696" t="s">
        <v>10862</v>
      </c>
      <c r="C3696" t="s">
        <v>2716</v>
      </c>
      <c r="D3696" s="254">
        <v>13.22</v>
      </c>
      <c r="E3696"/>
      <c r="F3696"/>
      <c r="G3696"/>
      <c r="H3696"/>
      <c r="I3696" s="489"/>
      <c r="J3696" s="1095"/>
      <c r="K3696" s="1095"/>
      <c r="L3696" s="1095"/>
      <c r="M3696" s="1095"/>
    </row>
    <row r="3697" spans="1:13" x14ac:dyDescent="0.25">
      <c r="A3697">
        <v>2306019</v>
      </c>
      <c r="B3697" t="s">
        <v>10863</v>
      </c>
      <c r="C3697" t="s">
        <v>2716</v>
      </c>
      <c r="D3697" s="254">
        <v>13.85</v>
      </c>
      <c r="E3697"/>
      <c r="F3697"/>
      <c r="G3697"/>
      <c r="H3697"/>
      <c r="I3697" s="489"/>
      <c r="J3697" s="1095"/>
      <c r="K3697" s="1095"/>
      <c r="L3697" s="1095"/>
      <c r="M3697" s="1095"/>
    </row>
    <row r="3698" spans="1:13" x14ac:dyDescent="0.25">
      <c r="A3698">
        <v>2306018</v>
      </c>
      <c r="B3698" t="s">
        <v>10864</v>
      </c>
      <c r="C3698" t="s">
        <v>2716</v>
      </c>
      <c r="D3698" s="254">
        <v>2.64</v>
      </c>
      <c r="E3698"/>
      <c r="F3698"/>
      <c r="G3698"/>
      <c r="H3698"/>
      <c r="I3698" s="489"/>
      <c r="J3698" s="1095"/>
      <c r="K3698" s="1095"/>
      <c r="L3698" s="1095"/>
      <c r="M3698" s="1095"/>
    </row>
    <row r="3699" spans="1:13" x14ac:dyDescent="0.25">
      <c r="A3699">
        <v>2306016</v>
      </c>
      <c r="B3699" t="s">
        <v>10865</v>
      </c>
      <c r="C3699" t="s">
        <v>2716</v>
      </c>
      <c r="D3699" s="254">
        <v>1.68</v>
      </c>
      <c r="E3699"/>
      <c r="F3699"/>
      <c r="G3699"/>
      <c r="H3699"/>
      <c r="I3699" s="489"/>
      <c r="J3699" s="1095"/>
      <c r="K3699" s="1095"/>
      <c r="L3699" s="1095"/>
      <c r="M3699" s="1095"/>
    </row>
    <row r="3700" spans="1:13" x14ac:dyDescent="0.25">
      <c r="A3700">
        <v>2305999</v>
      </c>
      <c r="B3700" t="s">
        <v>10866</v>
      </c>
      <c r="C3700" t="s">
        <v>2598</v>
      </c>
      <c r="D3700" s="254">
        <v>287.81</v>
      </c>
      <c r="E3700"/>
      <c r="F3700"/>
      <c r="G3700"/>
      <c r="H3700"/>
      <c r="I3700" s="489"/>
      <c r="J3700" s="1095"/>
      <c r="K3700" s="1095"/>
      <c r="L3700" s="1095"/>
      <c r="M3700" s="1095"/>
    </row>
    <row r="3701" spans="1:13" x14ac:dyDescent="0.25">
      <c r="A3701">
        <v>2306000</v>
      </c>
      <c r="B3701" t="s">
        <v>10867</v>
      </c>
      <c r="C3701" t="s">
        <v>2598</v>
      </c>
      <c r="D3701" s="254">
        <v>353.81</v>
      </c>
      <c r="E3701"/>
      <c r="F3701"/>
      <c r="G3701"/>
      <c r="H3701"/>
      <c r="I3701" s="489"/>
      <c r="J3701" s="1095"/>
      <c r="K3701" s="1095"/>
      <c r="L3701" s="1095"/>
      <c r="M3701" s="1095"/>
    </row>
    <row r="3702" spans="1:13" x14ac:dyDescent="0.25">
      <c r="A3702">
        <v>2306001</v>
      </c>
      <c r="B3702" t="s">
        <v>10868</v>
      </c>
      <c r="C3702" t="s">
        <v>2598</v>
      </c>
      <c r="D3702" s="254">
        <v>491.74</v>
      </c>
      <c r="E3702"/>
      <c r="F3702"/>
      <c r="G3702"/>
      <c r="H3702"/>
      <c r="I3702" s="489"/>
      <c r="J3702" s="1095"/>
      <c r="K3702" s="1095"/>
      <c r="L3702" s="1095"/>
      <c r="M3702" s="1095"/>
    </row>
    <row r="3703" spans="1:13" x14ac:dyDescent="0.25">
      <c r="A3703">
        <v>2306002</v>
      </c>
      <c r="B3703" t="s">
        <v>10869</v>
      </c>
      <c r="C3703" t="s">
        <v>2598</v>
      </c>
      <c r="D3703" s="254">
        <v>584.23</v>
      </c>
      <c r="E3703"/>
      <c r="F3703"/>
      <c r="G3703"/>
      <c r="H3703"/>
      <c r="I3703" s="489"/>
      <c r="J3703" s="1095"/>
      <c r="K3703" s="1095"/>
      <c r="L3703" s="1095"/>
      <c r="M3703" s="1095"/>
    </row>
    <row r="3704" spans="1:13" x14ac:dyDescent="0.25">
      <c r="A3704">
        <v>2306003</v>
      </c>
      <c r="B3704" t="s">
        <v>10870</v>
      </c>
      <c r="C3704" t="s">
        <v>2598</v>
      </c>
      <c r="D3704" s="254">
        <v>806.37</v>
      </c>
      <c r="E3704"/>
      <c r="F3704"/>
      <c r="G3704"/>
      <c r="H3704"/>
      <c r="I3704" s="489"/>
      <c r="J3704" s="1095"/>
      <c r="K3704" s="1095"/>
      <c r="L3704" s="1095"/>
      <c r="M3704" s="1095"/>
    </row>
    <row r="3705" spans="1:13" x14ac:dyDescent="0.25">
      <c r="A3705">
        <v>2305997</v>
      </c>
      <c r="B3705" t="s">
        <v>10871</v>
      </c>
      <c r="C3705" t="s">
        <v>2598</v>
      </c>
      <c r="D3705" s="254">
        <v>197.26</v>
      </c>
      <c r="E3705"/>
      <c r="F3705"/>
      <c r="G3705"/>
      <c r="H3705"/>
      <c r="I3705" s="489"/>
      <c r="J3705" s="1095"/>
      <c r="K3705" s="1095"/>
      <c r="L3705" s="1095"/>
      <c r="M3705" s="1095"/>
    </row>
    <row r="3706" spans="1:13" x14ac:dyDescent="0.25">
      <c r="A3706">
        <v>2305998</v>
      </c>
      <c r="B3706" t="s">
        <v>10872</v>
      </c>
      <c r="C3706" t="s">
        <v>2598</v>
      </c>
      <c r="D3706" s="254">
        <v>279.19</v>
      </c>
      <c r="E3706"/>
      <c r="F3706"/>
      <c r="G3706"/>
      <c r="H3706"/>
      <c r="I3706" s="489"/>
      <c r="J3706" s="1095"/>
      <c r="K3706" s="1095"/>
      <c r="L3706" s="1095"/>
      <c r="M3706" s="1095"/>
    </row>
    <row r="3707" spans="1:13" x14ac:dyDescent="0.25">
      <c r="A3707">
        <v>2306101</v>
      </c>
      <c r="B3707" t="s">
        <v>10873</v>
      </c>
      <c r="C3707" t="s">
        <v>2598</v>
      </c>
      <c r="D3707" s="254">
        <v>83.23</v>
      </c>
      <c r="E3707"/>
      <c r="F3707"/>
      <c r="G3707"/>
      <c r="H3707"/>
      <c r="I3707" s="489"/>
      <c r="J3707" s="1095"/>
      <c r="K3707" s="1095"/>
      <c r="L3707" s="1095"/>
      <c r="M3707" s="1095"/>
    </row>
    <row r="3708" spans="1:13" x14ac:dyDescent="0.25">
      <c r="A3708">
        <v>2306102</v>
      </c>
      <c r="B3708" t="s">
        <v>10874</v>
      </c>
      <c r="C3708" t="s">
        <v>2598</v>
      </c>
      <c r="D3708" s="254">
        <v>88.34</v>
      </c>
      <c r="E3708"/>
      <c r="F3708"/>
      <c r="G3708"/>
      <c r="H3708"/>
      <c r="I3708" s="489"/>
      <c r="J3708" s="1095"/>
      <c r="K3708" s="1095"/>
      <c r="L3708" s="1095"/>
      <c r="M3708" s="1095"/>
    </row>
    <row r="3709" spans="1:13" x14ac:dyDescent="0.25">
      <c r="A3709">
        <v>2306103</v>
      </c>
      <c r="B3709" t="s">
        <v>10875</v>
      </c>
      <c r="C3709" t="s">
        <v>2598</v>
      </c>
      <c r="D3709" s="254">
        <v>99.98</v>
      </c>
      <c r="E3709"/>
      <c r="F3709"/>
      <c r="G3709"/>
      <c r="H3709"/>
      <c r="I3709" s="489"/>
      <c r="J3709" s="1095"/>
      <c r="K3709" s="1095"/>
      <c r="L3709" s="1095"/>
      <c r="M3709" s="1095"/>
    </row>
    <row r="3710" spans="1:13" x14ac:dyDescent="0.25">
      <c r="A3710">
        <v>2306104</v>
      </c>
      <c r="B3710" t="s">
        <v>10876</v>
      </c>
      <c r="C3710" t="s">
        <v>2598</v>
      </c>
      <c r="D3710" s="254">
        <v>106.91</v>
      </c>
      <c r="E3710"/>
      <c r="F3710"/>
      <c r="G3710"/>
      <c r="H3710"/>
      <c r="I3710" s="489"/>
      <c r="J3710" s="1095"/>
      <c r="K3710" s="1095"/>
      <c r="L3710" s="1095"/>
      <c r="M3710" s="1095"/>
    </row>
    <row r="3711" spans="1:13" x14ac:dyDescent="0.25">
      <c r="A3711">
        <v>2306105</v>
      </c>
      <c r="B3711" t="s">
        <v>10877</v>
      </c>
      <c r="C3711" t="s">
        <v>2598</v>
      </c>
      <c r="D3711" s="254">
        <v>113.47</v>
      </c>
      <c r="E3711"/>
      <c r="F3711"/>
      <c r="G3711"/>
      <c r="H3711"/>
      <c r="I3711" s="489"/>
      <c r="J3711" s="1095"/>
      <c r="K3711" s="1095"/>
      <c r="L3711" s="1095"/>
      <c r="M3711" s="1095"/>
    </row>
    <row r="3712" spans="1:13" x14ac:dyDescent="0.25">
      <c r="A3712">
        <v>2306106</v>
      </c>
      <c r="B3712" t="s">
        <v>10878</v>
      </c>
      <c r="C3712" t="s">
        <v>2598</v>
      </c>
      <c r="D3712" s="254">
        <v>123.57</v>
      </c>
      <c r="E3712"/>
      <c r="F3712"/>
      <c r="G3712"/>
      <c r="H3712"/>
      <c r="I3712" s="489"/>
      <c r="J3712" s="1095"/>
      <c r="K3712" s="1095"/>
      <c r="L3712" s="1095"/>
      <c r="M3712" s="1095"/>
    </row>
    <row r="3713" spans="1:13" x14ac:dyDescent="0.25">
      <c r="A3713">
        <v>2306107</v>
      </c>
      <c r="B3713" t="s">
        <v>10879</v>
      </c>
      <c r="C3713" t="s">
        <v>2598</v>
      </c>
      <c r="D3713" s="254">
        <v>127.14</v>
      </c>
      <c r="E3713"/>
      <c r="F3713"/>
      <c r="G3713"/>
      <c r="H3713"/>
      <c r="I3713" s="489"/>
      <c r="J3713" s="1095"/>
      <c r="K3713" s="1095"/>
      <c r="L3713" s="1095"/>
      <c r="M3713" s="1095"/>
    </row>
    <row r="3714" spans="1:13" x14ac:dyDescent="0.25">
      <c r="A3714">
        <v>2306269</v>
      </c>
      <c r="B3714" t="s">
        <v>10880</v>
      </c>
      <c r="C3714" t="s">
        <v>2598</v>
      </c>
      <c r="D3714" s="254">
        <v>143.29</v>
      </c>
      <c r="E3714"/>
      <c r="F3714"/>
      <c r="G3714"/>
      <c r="H3714"/>
      <c r="I3714" s="489"/>
      <c r="J3714" s="1095"/>
      <c r="K3714" s="1095"/>
      <c r="L3714" s="1095"/>
      <c r="M3714" s="1095"/>
    </row>
    <row r="3715" spans="1:13" x14ac:dyDescent="0.25">
      <c r="A3715">
        <v>2306270</v>
      </c>
      <c r="B3715" t="s">
        <v>10881</v>
      </c>
      <c r="C3715" t="s">
        <v>2598</v>
      </c>
      <c r="D3715" s="254">
        <v>161.47</v>
      </c>
      <c r="E3715"/>
      <c r="F3715"/>
      <c r="G3715"/>
      <c r="H3715"/>
      <c r="I3715" s="489"/>
      <c r="J3715" s="1095"/>
      <c r="K3715" s="1095"/>
      <c r="L3715" s="1095"/>
      <c r="M3715" s="1095"/>
    </row>
    <row r="3716" spans="1:13" x14ac:dyDescent="0.25">
      <c r="A3716">
        <v>2306271</v>
      </c>
      <c r="B3716" t="s">
        <v>10882</v>
      </c>
      <c r="C3716" t="s">
        <v>2598</v>
      </c>
      <c r="D3716" s="254">
        <v>177.28</v>
      </c>
      <c r="E3716"/>
      <c r="F3716"/>
      <c r="G3716"/>
      <c r="H3716"/>
      <c r="I3716" s="489"/>
      <c r="J3716" s="1095"/>
      <c r="K3716" s="1095"/>
      <c r="L3716" s="1095"/>
      <c r="M3716" s="1095"/>
    </row>
    <row r="3717" spans="1:13" x14ac:dyDescent="0.25">
      <c r="A3717">
        <v>2306272</v>
      </c>
      <c r="B3717" t="s">
        <v>10883</v>
      </c>
      <c r="C3717" t="s">
        <v>2598</v>
      </c>
      <c r="D3717" s="254">
        <v>187.6</v>
      </c>
      <c r="E3717"/>
      <c r="F3717"/>
      <c r="G3717"/>
      <c r="H3717"/>
      <c r="I3717" s="489"/>
      <c r="J3717" s="1095"/>
      <c r="K3717" s="1095"/>
      <c r="L3717" s="1095"/>
      <c r="M3717" s="1095"/>
    </row>
    <row r="3718" spans="1:13" x14ac:dyDescent="0.25">
      <c r="A3718">
        <v>2306273</v>
      </c>
      <c r="B3718" t="s">
        <v>10884</v>
      </c>
      <c r="C3718" t="s">
        <v>2598</v>
      </c>
      <c r="D3718" s="254">
        <v>209.7</v>
      </c>
      <c r="E3718"/>
      <c r="F3718"/>
      <c r="G3718"/>
      <c r="H3718"/>
      <c r="I3718" s="489"/>
      <c r="J3718" s="1095"/>
      <c r="K3718" s="1095"/>
      <c r="L3718" s="1095"/>
      <c r="M3718" s="1095"/>
    </row>
    <row r="3719" spans="1:13" x14ac:dyDescent="0.25">
      <c r="A3719">
        <v>2306274</v>
      </c>
      <c r="B3719" t="s">
        <v>10885</v>
      </c>
      <c r="C3719" t="s">
        <v>2598</v>
      </c>
      <c r="D3719" s="254">
        <v>226.03</v>
      </c>
      <c r="E3719"/>
      <c r="F3719"/>
      <c r="G3719"/>
      <c r="H3719"/>
      <c r="I3719" s="489"/>
      <c r="J3719" s="1095"/>
      <c r="K3719" s="1095"/>
      <c r="L3719" s="1095"/>
      <c r="M3719" s="1095"/>
    </row>
    <row r="3720" spans="1:13" x14ac:dyDescent="0.25">
      <c r="A3720">
        <v>2306275</v>
      </c>
      <c r="B3720" t="s">
        <v>10886</v>
      </c>
      <c r="C3720" t="s">
        <v>2598</v>
      </c>
      <c r="D3720" s="254">
        <v>261.13</v>
      </c>
      <c r="E3720"/>
      <c r="F3720"/>
      <c r="G3720"/>
      <c r="H3720"/>
      <c r="I3720" s="489"/>
      <c r="J3720" s="1095"/>
      <c r="K3720" s="1095"/>
      <c r="L3720" s="1095"/>
      <c r="M3720" s="1095"/>
    </row>
    <row r="3721" spans="1:13" x14ac:dyDescent="0.25">
      <c r="A3721">
        <v>2306100</v>
      </c>
      <c r="B3721" t="s">
        <v>10887</v>
      </c>
      <c r="C3721" t="s">
        <v>2598</v>
      </c>
      <c r="D3721" s="254">
        <v>270.36</v>
      </c>
      <c r="E3721"/>
      <c r="F3721"/>
      <c r="G3721"/>
      <c r="H3721"/>
      <c r="I3721" s="489"/>
      <c r="J3721" s="1095"/>
      <c r="K3721" s="1095"/>
      <c r="L3721" s="1095"/>
      <c r="M3721" s="1095"/>
    </row>
    <row r="3722" spans="1:13" x14ac:dyDescent="0.25">
      <c r="A3722">
        <v>2306004</v>
      </c>
      <c r="B3722" t="s">
        <v>10888</v>
      </c>
      <c r="C3722" t="s">
        <v>2598</v>
      </c>
      <c r="D3722" s="254">
        <v>113.02</v>
      </c>
      <c r="E3722"/>
      <c r="F3722"/>
      <c r="G3722"/>
      <c r="H3722"/>
      <c r="I3722" s="489"/>
      <c r="J3722" s="1095"/>
      <c r="K3722" s="1095"/>
      <c r="L3722" s="1095"/>
      <c r="M3722" s="1095"/>
    </row>
    <row r="3723" spans="1:13" x14ac:dyDescent="0.25">
      <c r="A3723">
        <v>2306097</v>
      </c>
      <c r="B3723" t="s">
        <v>10889</v>
      </c>
      <c r="C3723" t="s">
        <v>2598</v>
      </c>
      <c r="D3723" s="254">
        <v>143.22999999999999</v>
      </c>
      <c r="E3723"/>
      <c r="F3723"/>
      <c r="G3723"/>
      <c r="H3723"/>
      <c r="I3723" s="489"/>
      <c r="J3723" s="1095"/>
      <c r="K3723" s="1095"/>
      <c r="L3723" s="1095"/>
      <c r="M3723" s="1095"/>
    </row>
    <row r="3724" spans="1:13" x14ac:dyDescent="0.25">
      <c r="A3724">
        <v>2306098</v>
      </c>
      <c r="B3724" t="s">
        <v>10890</v>
      </c>
      <c r="C3724" t="s">
        <v>2598</v>
      </c>
      <c r="D3724" s="254">
        <v>159.44999999999999</v>
      </c>
      <c r="E3724"/>
      <c r="F3724"/>
      <c r="G3724"/>
      <c r="H3724"/>
      <c r="I3724" s="489"/>
      <c r="J3724" s="1095"/>
      <c r="K3724" s="1095"/>
      <c r="L3724" s="1095"/>
      <c r="M3724" s="1095"/>
    </row>
    <row r="3725" spans="1:13" x14ac:dyDescent="0.25">
      <c r="A3725">
        <v>2306007</v>
      </c>
      <c r="B3725" t="s">
        <v>10891</v>
      </c>
      <c r="C3725" t="s">
        <v>2598</v>
      </c>
      <c r="D3725" s="254">
        <v>232.09</v>
      </c>
      <c r="E3725"/>
      <c r="F3725"/>
      <c r="G3725"/>
      <c r="H3725"/>
      <c r="I3725" s="489"/>
      <c r="J3725" s="1095"/>
      <c r="K3725" s="1095"/>
      <c r="L3725" s="1095"/>
      <c r="M3725" s="1095"/>
    </row>
    <row r="3726" spans="1:13" x14ac:dyDescent="0.25">
      <c r="A3726">
        <v>2306067</v>
      </c>
      <c r="B3726" t="s">
        <v>10892</v>
      </c>
      <c r="C3726" t="s">
        <v>2598</v>
      </c>
      <c r="D3726" s="254">
        <v>479.69</v>
      </c>
      <c r="E3726"/>
      <c r="F3726"/>
      <c r="G3726"/>
      <c r="H3726"/>
      <c r="I3726" s="489"/>
      <c r="J3726" s="1095"/>
      <c r="K3726" s="1095"/>
      <c r="L3726" s="1095"/>
      <c r="M3726" s="1095"/>
    </row>
    <row r="3727" spans="1:13" x14ac:dyDescent="0.25">
      <c r="A3727">
        <v>2306068</v>
      </c>
      <c r="B3727" t="s">
        <v>10893</v>
      </c>
      <c r="C3727" t="s">
        <v>2598</v>
      </c>
      <c r="D3727" s="254">
        <v>607.29</v>
      </c>
      <c r="E3727"/>
      <c r="F3727"/>
      <c r="G3727"/>
      <c r="H3727"/>
      <c r="I3727" s="489"/>
      <c r="J3727" s="1095"/>
      <c r="K3727" s="1095"/>
      <c r="L3727" s="1095"/>
      <c r="M3727" s="1095"/>
    </row>
    <row r="3728" spans="1:13" x14ac:dyDescent="0.25">
      <c r="A3728">
        <v>2306069</v>
      </c>
      <c r="B3728" t="s">
        <v>10894</v>
      </c>
      <c r="C3728" t="s">
        <v>2598</v>
      </c>
      <c r="D3728" s="254">
        <v>823.12</v>
      </c>
      <c r="E3728"/>
      <c r="F3728"/>
      <c r="G3728"/>
      <c r="H3728"/>
      <c r="I3728" s="489"/>
      <c r="J3728" s="1095"/>
      <c r="K3728" s="1095"/>
      <c r="L3728" s="1095"/>
      <c r="M3728" s="1095"/>
    </row>
    <row r="3729" spans="1:13" x14ac:dyDescent="0.25">
      <c r="A3729">
        <v>2306070</v>
      </c>
      <c r="B3729" t="s">
        <v>10895</v>
      </c>
      <c r="C3729" t="s">
        <v>2598</v>
      </c>
      <c r="D3729" s="254">
        <v>1332.84</v>
      </c>
      <c r="E3729"/>
      <c r="F3729"/>
      <c r="G3729"/>
      <c r="H3729"/>
      <c r="I3729" s="489"/>
      <c r="J3729" s="1095"/>
      <c r="K3729" s="1095"/>
      <c r="L3729" s="1095"/>
      <c r="M3729" s="1095"/>
    </row>
    <row r="3730" spans="1:13" x14ac:dyDescent="0.25">
      <c r="A3730">
        <v>2306071</v>
      </c>
      <c r="B3730" t="s">
        <v>10896</v>
      </c>
      <c r="C3730" t="s">
        <v>2598</v>
      </c>
      <c r="D3730" s="254">
        <v>2006.65</v>
      </c>
      <c r="E3730"/>
      <c r="F3730"/>
      <c r="G3730"/>
      <c r="H3730"/>
      <c r="I3730" s="489"/>
      <c r="J3730" s="1095"/>
      <c r="K3730" s="1095"/>
      <c r="L3730" s="1095"/>
      <c r="M3730" s="1095"/>
    </row>
    <row r="3731" spans="1:13" x14ac:dyDescent="0.25">
      <c r="A3731">
        <v>2306181</v>
      </c>
      <c r="B3731" t="s">
        <v>10897</v>
      </c>
      <c r="C3731" t="s">
        <v>2598</v>
      </c>
      <c r="D3731" s="254">
        <v>2010.51</v>
      </c>
      <c r="E3731"/>
      <c r="F3731"/>
      <c r="G3731"/>
      <c r="H3731"/>
      <c r="I3731" s="489"/>
      <c r="J3731" s="1095"/>
      <c r="K3731" s="1095"/>
      <c r="L3731" s="1095"/>
      <c r="M3731" s="1095"/>
    </row>
    <row r="3732" spans="1:13" x14ac:dyDescent="0.25">
      <c r="A3732">
        <v>2306062</v>
      </c>
      <c r="B3732" t="s">
        <v>10898</v>
      </c>
      <c r="C3732" t="s">
        <v>2598</v>
      </c>
      <c r="D3732" s="254">
        <v>80.12</v>
      </c>
      <c r="E3732"/>
      <c r="F3732"/>
      <c r="G3732"/>
      <c r="H3732"/>
      <c r="I3732" s="489"/>
      <c r="J3732" s="1095"/>
      <c r="K3732" s="1095"/>
      <c r="L3732" s="1095"/>
      <c r="M3732" s="1095"/>
    </row>
    <row r="3733" spans="1:13" x14ac:dyDescent="0.25">
      <c r="A3733">
        <v>2306063</v>
      </c>
      <c r="B3733" t="s">
        <v>10899</v>
      </c>
      <c r="C3733" t="s">
        <v>2598</v>
      </c>
      <c r="D3733" s="254">
        <v>97.86</v>
      </c>
      <c r="E3733"/>
      <c r="F3733"/>
      <c r="G3733"/>
      <c r="H3733"/>
      <c r="I3733" s="489"/>
      <c r="J3733" s="1095"/>
      <c r="K3733" s="1095"/>
      <c r="L3733" s="1095"/>
      <c r="M3733" s="1095"/>
    </row>
    <row r="3734" spans="1:13" x14ac:dyDescent="0.25">
      <c r="A3734">
        <v>2306064</v>
      </c>
      <c r="B3734" t="s">
        <v>10900</v>
      </c>
      <c r="C3734" t="s">
        <v>2598</v>
      </c>
      <c r="D3734" s="254">
        <v>122.02</v>
      </c>
      <c r="E3734"/>
      <c r="F3734"/>
      <c r="G3734"/>
      <c r="H3734"/>
      <c r="I3734" s="489"/>
      <c r="J3734" s="1095"/>
      <c r="K3734" s="1095"/>
      <c r="L3734" s="1095"/>
      <c r="M3734" s="1095"/>
    </row>
    <row r="3735" spans="1:13" x14ac:dyDescent="0.25">
      <c r="A3735">
        <v>2306065</v>
      </c>
      <c r="B3735" t="s">
        <v>10901</v>
      </c>
      <c r="C3735" t="s">
        <v>2598</v>
      </c>
      <c r="D3735" s="254">
        <v>159.63</v>
      </c>
      <c r="E3735"/>
      <c r="F3735"/>
      <c r="G3735"/>
      <c r="H3735"/>
      <c r="I3735" s="489"/>
      <c r="J3735" s="1095"/>
      <c r="K3735" s="1095"/>
      <c r="L3735" s="1095"/>
      <c r="M3735" s="1095"/>
    </row>
    <row r="3736" spans="1:13" x14ac:dyDescent="0.25">
      <c r="A3736">
        <v>2306066</v>
      </c>
      <c r="B3736" t="s">
        <v>10902</v>
      </c>
      <c r="C3736" t="s">
        <v>2598</v>
      </c>
      <c r="D3736" s="254">
        <v>227.48</v>
      </c>
      <c r="E3736"/>
      <c r="F3736"/>
      <c r="G3736"/>
      <c r="H3736"/>
      <c r="I3736" s="489"/>
      <c r="J3736" s="1095"/>
      <c r="K3736" s="1095"/>
      <c r="L3736" s="1095"/>
      <c r="M3736" s="1095"/>
    </row>
    <row r="3737" spans="1:13" x14ac:dyDescent="0.25">
      <c r="A3737">
        <v>2306180</v>
      </c>
      <c r="B3737" t="s">
        <v>10903</v>
      </c>
      <c r="C3737" t="s">
        <v>2598</v>
      </c>
      <c r="D3737" s="254">
        <v>259.22000000000003</v>
      </c>
      <c r="E3737"/>
      <c r="F3737"/>
      <c r="G3737"/>
      <c r="H3737"/>
      <c r="I3737" s="489"/>
      <c r="J3737" s="1095"/>
      <c r="K3737" s="1095"/>
      <c r="L3737" s="1095"/>
      <c r="M3737" s="1095"/>
    </row>
    <row r="3738" spans="1:13" x14ac:dyDescent="0.25">
      <c r="A3738">
        <v>2306009</v>
      </c>
      <c r="B3738" t="s">
        <v>10904</v>
      </c>
      <c r="C3738" t="s">
        <v>2598</v>
      </c>
      <c r="D3738" s="254">
        <v>15.68</v>
      </c>
      <c r="E3738"/>
      <c r="F3738"/>
      <c r="G3738"/>
      <c r="H3738"/>
      <c r="I3738" s="489"/>
      <c r="J3738" s="1095"/>
      <c r="K3738" s="1095"/>
      <c r="L3738" s="1095"/>
      <c r="M3738" s="1095"/>
    </row>
    <row r="3739" spans="1:13" x14ac:dyDescent="0.25">
      <c r="A3739">
        <v>2306010</v>
      </c>
      <c r="B3739" t="s">
        <v>10905</v>
      </c>
      <c r="C3739" t="s">
        <v>2598</v>
      </c>
      <c r="D3739" s="254">
        <v>19.54</v>
      </c>
      <c r="E3739"/>
      <c r="F3739"/>
      <c r="G3739"/>
      <c r="H3739"/>
      <c r="I3739" s="489"/>
      <c r="J3739" s="1095"/>
      <c r="K3739" s="1095"/>
      <c r="L3739" s="1095"/>
      <c r="M3739" s="1095"/>
    </row>
    <row r="3740" spans="1:13" x14ac:dyDescent="0.25">
      <c r="A3740">
        <v>2306011</v>
      </c>
      <c r="B3740" t="s">
        <v>10906</v>
      </c>
      <c r="C3740" t="s">
        <v>2598</v>
      </c>
      <c r="D3740" s="254">
        <v>22.26</v>
      </c>
      <c r="E3740"/>
      <c r="F3740"/>
      <c r="G3740"/>
      <c r="H3740"/>
      <c r="I3740" s="489"/>
      <c r="J3740" s="1095"/>
      <c r="K3740" s="1095"/>
      <c r="L3740" s="1095"/>
      <c r="M3740" s="1095"/>
    </row>
    <row r="3741" spans="1:13" x14ac:dyDescent="0.25">
      <c r="A3741">
        <v>2306012</v>
      </c>
      <c r="B3741" t="s">
        <v>10907</v>
      </c>
      <c r="C3741" t="s">
        <v>2598</v>
      </c>
      <c r="D3741" s="254">
        <v>26.06</v>
      </c>
      <c r="E3741"/>
      <c r="F3741"/>
      <c r="G3741"/>
      <c r="H3741"/>
      <c r="I3741" s="489"/>
      <c r="J3741" s="1095"/>
      <c r="K3741" s="1095"/>
      <c r="L3741" s="1095"/>
      <c r="M3741" s="1095"/>
    </row>
    <row r="3742" spans="1:13" x14ac:dyDescent="0.25">
      <c r="A3742">
        <v>2306108</v>
      </c>
      <c r="B3742" t="s">
        <v>10908</v>
      </c>
      <c r="C3742" t="s">
        <v>2598</v>
      </c>
      <c r="D3742" s="254">
        <v>157.19999999999999</v>
      </c>
      <c r="E3742"/>
      <c r="F3742"/>
      <c r="G3742"/>
      <c r="H3742"/>
      <c r="I3742" s="489"/>
      <c r="J3742" s="1095"/>
      <c r="K3742" s="1095"/>
      <c r="L3742" s="1095"/>
      <c r="M3742" s="1095"/>
    </row>
    <row r="3743" spans="1:13" x14ac:dyDescent="0.25">
      <c r="A3743">
        <v>2306110</v>
      </c>
      <c r="B3743" t="s">
        <v>10909</v>
      </c>
      <c r="C3743" t="s">
        <v>2598</v>
      </c>
      <c r="D3743" s="254">
        <v>223.21</v>
      </c>
      <c r="E3743"/>
      <c r="F3743"/>
      <c r="G3743"/>
      <c r="H3743"/>
      <c r="I3743" s="489"/>
      <c r="J3743" s="1095"/>
      <c r="K3743" s="1095"/>
      <c r="L3743" s="1095"/>
      <c r="M3743" s="1095"/>
    </row>
    <row r="3744" spans="1:13" x14ac:dyDescent="0.25">
      <c r="A3744">
        <v>2306111</v>
      </c>
      <c r="B3744" t="s">
        <v>10910</v>
      </c>
      <c r="C3744" t="s">
        <v>2598</v>
      </c>
      <c r="D3744" s="254">
        <v>263.01</v>
      </c>
      <c r="E3744"/>
      <c r="F3744"/>
      <c r="G3744"/>
      <c r="H3744"/>
      <c r="I3744" s="489"/>
      <c r="J3744" s="1095"/>
      <c r="K3744" s="1095"/>
      <c r="L3744" s="1095"/>
      <c r="M3744" s="1095"/>
    </row>
    <row r="3745" spans="1:13" x14ac:dyDescent="0.25">
      <c r="A3745">
        <v>2306112</v>
      </c>
      <c r="B3745" t="s">
        <v>10911</v>
      </c>
      <c r="C3745" t="s">
        <v>2598</v>
      </c>
      <c r="D3745" s="254">
        <v>326.93</v>
      </c>
      <c r="E3745"/>
      <c r="F3745"/>
      <c r="G3745"/>
      <c r="H3745"/>
      <c r="I3745" s="489"/>
      <c r="J3745" s="1095"/>
      <c r="K3745" s="1095"/>
      <c r="L3745" s="1095"/>
      <c r="M3745" s="1095"/>
    </row>
    <row r="3746" spans="1:13" x14ac:dyDescent="0.25">
      <c r="A3746">
        <v>2306113</v>
      </c>
      <c r="B3746" t="s">
        <v>10912</v>
      </c>
      <c r="C3746" t="s">
        <v>2598</v>
      </c>
      <c r="D3746" s="254">
        <v>384.84</v>
      </c>
      <c r="E3746"/>
      <c r="F3746"/>
      <c r="G3746"/>
      <c r="H3746"/>
      <c r="I3746" s="489"/>
      <c r="J3746" s="1095"/>
      <c r="K3746" s="1095"/>
      <c r="L3746" s="1095"/>
      <c r="M3746" s="1095"/>
    </row>
    <row r="3747" spans="1:13" x14ac:dyDescent="0.25">
      <c r="A3747">
        <v>2306123</v>
      </c>
      <c r="B3747" t="s">
        <v>10913</v>
      </c>
      <c r="C3747" t="s">
        <v>2598</v>
      </c>
      <c r="D3747" s="254">
        <v>424.58</v>
      </c>
      <c r="E3747"/>
      <c r="F3747"/>
      <c r="G3747"/>
      <c r="H3747"/>
      <c r="I3747" s="489"/>
      <c r="J3747" s="1095"/>
      <c r="K3747" s="1095"/>
      <c r="L3747" s="1095"/>
      <c r="M3747" s="1095"/>
    </row>
    <row r="3748" spans="1:13" x14ac:dyDescent="0.25">
      <c r="A3748">
        <v>2306124</v>
      </c>
      <c r="B3748" t="s">
        <v>10914</v>
      </c>
      <c r="C3748" t="s">
        <v>2598</v>
      </c>
      <c r="D3748" s="254">
        <v>621.04</v>
      </c>
      <c r="E3748"/>
      <c r="F3748"/>
      <c r="G3748"/>
      <c r="H3748"/>
      <c r="I3748" s="489"/>
      <c r="J3748" s="1095"/>
      <c r="K3748" s="1095"/>
      <c r="L3748" s="1095"/>
      <c r="M3748" s="1095"/>
    </row>
    <row r="3749" spans="1:13" x14ac:dyDescent="0.25">
      <c r="A3749">
        <v>2306125</v>
      </c>
      <c r="B3749" t="s">
        <v>10915</v>
      </c>
      <c r="C3749" t="s">
        <v>2598</v>
      </c>
      <c r="D3749" s="254">
        <v>740.93</v>
      </c>
      <c r="E3749"/>
      <c r="F3749"/>
      <c r="G3749"/>
      <c r="H3749"/>
      <c r="I3749" s="489"/>
      <c r="J3749" s="1095"/>
      <c r="K3749" s="1095"/>
      <c r="L3749" s="1095"/>
      <c r="M3749" s="1095"/>
    </row>
    <row r="3750" spans="1:13" x14ac:dyDescent="0.25">
      <c r="A3750">
        <v>2306126</v>
      </c>
      <c r="B3750" t="s">
        <v>10916</v>
      </c>
      <c r="C3750" t="s">
        <v>2598</v>
      </c>
      <c r="D3750" s="254">
        <v>932.44</v>
      </c>
      <c r="E3750"/>
      <c r="F3750"/>
      <c r="G3750"/>
      <c r="H3750"/>
      <c r="I3750" s="489"/>
      <c r="J3750" s="1095"/>
      <c r="K3750" s="1095"/>
      <c r="L3750" s="1095"/>
      <c r="M3750" s="1095"/>
    </row>
    <row r="3751" spans="1:13" x14ac:dyDescent="0.25">
      <c r="A3751">
        <v>2306127</v>
      </c>
      <c r="B3751" t="s">
        <v>10917</v>
      </c>
      <c r="C3751" t="s">
        <v>2598</v>
      </c>
      <c r="D3751" s="254">
        <v>1105.6199999999999</v>
      </c>
      <c r="E3751"/>
      <c r="F3751"/>
      <c r="G3751"/>
      <c r="H3751"/>
      <c r="I3751" s="489"/>
      <c r="J3751" s="1095"/>
      <c r="K3751" s="1095"/>
      <c r="L3751" s="1095"/>
      <c r="M3751" s="1095"/>
    </row>
    <row r="3752" spans="1:13" x14ac:dyDescent="0.25">
      <c r="A3752">
        <v>2306300</v>
      </c>
      <c r="B3752" t="s">
        <v>10918</v>
      </c>
      <c r="C3752" t="s">
        <v>2598</v>
      </c>
      <c r="D3752" s="254">
        <v>40.58</v>
      </c>
      <c r="E3752"/>
      <c r="F3752"/>
      <c r="G3752"/>
      <c r="H3752"/>
      <c r="I3752" s="489"/>
      <c r="J3752" s="1095"/>
      <c r="K3752" s="1095"/>
      <c r="L3752" s="1095"/>
      <c r="M3752" s="1095"/>
    </row>
    <row r="3753" spans="1:13" x14ac:dyDescent="0.25">
      <c r="A3753">
        <v>2306301</v>
      </c>
      <c r="B3753" t="s">
        <v>10919</v>
      </c>
      <c r="C3753" t="s">
        <v>2598</v>
      </c>
      <c r="D3753" s="254">
        <v>43.54</v>
      </c>
      <c r="E3753"/>
      <c r="F3753"/>
      <c r="G3753"/>
      <c r="H3753"/>
      <c r="I3753" s="489"/>
      <c r="J3753" s="1095"/>
      <c r="K3753" s="1095"/>
      <c r="L3753" s="1095"/>
      <c r="M3753" s="1095"/>
    </row>
    <row r="3754" spans="1:13" x14ac:dyDescent="0.25">
      <c r="A3754">
        <v>2306302</v>
      </c>
      <c r="B3754" t="s">
        <v>10920</v>
      </c>
      <c r="C3754" t="s">
        <v>2598</v>
      </c>
      <c r="D3754" s="254">
        <v>52.53</v>
      </c>
      <c r="E3754"/>
      <c r="F3754"/>
      <c r="G3754"/>
      <c r="H3754"/>
      <c r="I3754" s="489"/>
      <c r="J3754" s="1095"/>
      <c r="K3754" s="1095"/>
      <c r="L3754" s="1095"/>
      <c r="M3754" s="1095"/>
    </row>
    <row r="3755" spans="1:13" x14ac:dyDescent="0.25">
      <c r="A3755">
        <v>2306303</v>
      </c>
      <c r="B3755" t="s">
        <v>10921</v>
      </c>
      <c r="C3755" t="s">
        <v>2598</v>
      </c>
      <c r="D3755" s="254">
        <v>57.6</v>
      </c>
      <c r="E3755"/>
      <c r="F3755"/>
      <c r="G3755"/>
      <c r="H3755"/>
      <c r="I3755" s="489"/>
      <c r="J3755" s="1095"/>
      <c r="K3755" s="1095"/>
      <c r="L3755" s="1095"/>
      <c r="M3755" s="1095"/>
    </row>
    <row r="3756" spans="1:13" x14ac:dyDescent="0.25">
      <c r="A3756">
        <v>2306304</v>
      </c>
      <c r="B3756" t="s">
        <v>10922</v>
      </c>
      <c r="C3756" t="s">
        <v>2598</v>
      </c>
      <c r="D3756" s="254">
        <v>61.46</v>
      </c>
      <c r="E3756"/>
      <c r="F3756"/>
      <c r="G3756"/>
      <c r="H3756"/>
      <c r="I3756" s="489"/>
      <c r="J3756" s="1095"/>
      <c r="K3756" s="1095"/>
      <c r="L3756" s="1095"/>
      <c r="M3756" s="1095"/>
    </row>
    <row r="3757" spans="1:13" x14ac:dyDescent="0.25">
      <c r="A3757">
        <v>2306305</v>
      </c>
      <c r="B3757" t="s">
        <v>10923</v>
      </c>
      <c r="C3757" t="s">
        <v>2598</v>
      </c>
      <c r="D3757" s="254">
        <v>68.94</v>
      </c>
      <c r="E3757"/>
      <c r="F3757"/>
      <c r="G3757"/>
      <c r="H3757"/>
      <c r="I3757" s="489"/>
      <c r="J3757" s="1095"/>
      <c r="K3757" s="1095"/>
      <c r="L3757" s="1095"/>
      <c r="M3757" s="1095"/>
    </row>
    <row r="3758" spans="1:13" x14ac:dyDescent="0.25">
      <c r="A3758">
        <v>2306306</v>
      </c>
      <c r="B3758" t="s">
        <v>10924</v>
      </c>
      <c r="C3758" t="s">
        <v>2598</v>
      </c>
      <c r="D3758" s="254">
        <v>70.69</v>
      </c>
      <c r="E3758"/>
      <c r="F3758"/>
      <c r="G3758"/>
      <c r="H3758"/>
      <c r="I3758" s="489"/>
      <c r="J3758" s="1095"/>
      <c r="K3758" s="1095"/>
      <c r="L3758" s="1095"/>
      <c r="M3758" s="1095"/>
    </row>
    <row r="3759" spans="1:13" x14ac:dyDescent="0.25">
      <c r="A3759">
        <v>2306307</v>
      </c>
      <c r="B3759" t="s">
        <v>10925</v>
      </c>
      <c r="C3759" t="s">
        <v>2598</v>
      </c>
      <c r="D3759" s="254">
        <v>82.1</v>
      </c>
      <c r="E3759"/>
      <c r="F3759"/>
      <c r="G3759"/>
      <c r="H3759"/>
      <c r="I3759" s="489"/>
      <c r="J3759" s="1095"/>
      <c r="K3759" s="1095"/>
      <c r="L3759" s="1095"/>
      <c r="M3759" s="1095"/>
    </row>
    <row r="3760" spans="1:13" x14ac:dyDescent="0.25">
      <c r="A3760">
        <v>2306308</v>
      </c>
      <c r="B3760" t="s">
        <v>10926</v>
      </c>
      <c r="C3760" t="s">
        <v>2598</v>
      </c>
      <c r="D3760" s="254">
        <v>93.82</v>
      </c>
      <c r="E3760"/>
      <c r="F3760"/>
      <c r="G3760"/>
      <c r="H3760"/>
      <c r="I3760" s="489"/>
      <c r="J3760" s="1095"/>
      <c r="K3760" s="1095"/>
      <c r="L3760" s="1095"/>
      <c r="M3760" s="1095"/>
    </row>
    <row r="3761" spans="1:13" x14ac:dyDescent="0.25">
      <c r="A3761">
        <v>2306309</v>
      </c>
      <c r="B3761" t="s">
        <v>10927</v>
      </c>
      <c r="C3761" t="s">
        <v>2598</v>
      </c>
      <c r="D3761" s="254">
        <v>105.73</v>
      </c>
      <c r="E3761"/>
      <c r="F3761"/>
      <c r="G3761"/>
      <c r="H3761"/>
      <c r="I3761" s="489"/>
      <c r="J3761" s="1095"/>
      <c r="K3761" s="1095"/>
      <c r="L3761" s="1095"/>
      <c r="M3761" s="1095"/>
    </row>
    <row r="3762" spans="1:13" x14ac:dyDescent="0.25">
      <c r="A3762">
        <v>2306310</v>
      </c>
      <c r="B3762" t="s">
        <v>10928</v>
      </c>
      <c r="C3762" t="s">
        <v>2598</v>
      </c>
      <c r="D3762" s="254">
        <v>112.03</v>
      </c>
      <c r="E3762"/>
      <c r="F3762"/>
      <c r="G3762"/>
      <c r="H3762"/>
      <c r="I3762" s="489"/>
      <c r="J3762" s="1095"/>
      <c r="K3762" s="1095"/>
      <c r="L3762" s="1095"/>
      <c r="M3762" s="1095"/>
    </row>
    <row r="3763" spans="1:13" x14ac:dyDescent="0.25">
      <c r="A3763">
        <v>2306311</v>
      </c>
      <c r="B3763" t="s">
        <v>10929</v>
      </c>
      <c r="C3763" t="s">
        <v>2598</v>
      </c>
      <c r="D3763" s="254">
        <v>128.26</v>
      </c>
      <c r="E3763"/>
      <c r="F3763"/>
      <c r="G3763"/>
      <c r="H3763"/>
      <c r="I3763" s="489"/>
      <c r="J3763" s="1095"/>
      <c r="K3763" s="1095"/>
      <c r="L3763" s="1095"/>
      <c r="M3763" s="1095"/>
    </row>
    <row r="3764" spans="1:13" x14ac:dyDescent="0.25">
      <c r="A3764">
        <v>2306312</v>
      </c>
      <c r="B3764" t="s">
        <v>10930</v>
      </c>
      <c r="C3764" t="s">
        <v>2598</v>
      </c>
      <c r="D3764" s="254">
        <v>139.97999999999999</v>
      </c>
      <c r="E3764"/>
      <c r="F3764"/>
      <c r="G3764"/>
      <c r="H3764"/>
      <c r="I3764" s="489"/>
      <c r="J3764" s="1095"/>
      <c r="K3764" s="1095"/>
      <c r="L3764" s="1095"/>
      <c r="M3764" s="1095"/>
    </row>
    <row r="3765" spans="1:13" x14ac:dyDescent="0.25">
      <c r="A3765">
        <v>2306313</v>
      </c>
      <c r="B3765" t="s">
        <v>10931</v>
      </c>
      <c r="C3765" t="s">
        <v>2598</v>
      </c>
      <c r="D3765" s="254">
        <v>168.01</v>
      </c>
      <c r="E3765"/>
      <c r="F3765"/>
      <c r="G3765"/>
      <c r="H3765"/>
      <c r="I3765" s="489"/>
      <c r="J3765" s="1095"/>
      <c r="K3765" s="1095"/>
      <c r="L3765" s="1095"/>
      <c r="M3765" s="1095"/>
    </row>
    <row r="3766" spans="1:13" x14ac:dyDescent="0.25">
      <c r="A3766">
        <v>2306013</v>
      </c>
      <c r="B3766" t="s">
        <v>10932</v>
      </c>
      <c r="C3766" t="s">
        <v>2716</v>
      </c>
      <c r="D3766" s="254">
        <v>14.29</v>
      </c>
      <c r="E3766"/>
      <c r="F3766"/>
      <c r="G3766"/>
      <c r="H3766"/>
      <c r="I3766" s="489"/>
      <c r="J3766" s="1095"/>
      <c r="K3766" s="1095"/>
      <c r="L3766" s="1095"/>
      <c r="M3766" s="1095"/>
    </row>
    <row r="3767" spans="1:13" x14ac:dyDescent="0.25">
      <c r="A3767">
        <v>2306243</v>
      </c>
      <c r="B3767" t="s">
        <v>10933</v>
      </c>
      <c r="C3767" t="s">
        <v>2598</v>
      </c>
      <c r="D3767" s="254">
        <v>571.05999999999995</v>
      </c>
      <c r="E3767"/>
      <c r="F3767"/>
      <c r="G3767"/>
      <c r="H3767"/>
      <c r="I3767" s="489"/>
      <c r="J3767" s="1095"/>
      <c r="K3767" s="1095"/>
      <c r="L3767" s="1095"/>
      <c r="M3767" s="1095"/>
    </row>
    <row r="3768" spans="1:13" x14ac:dyDescent="0.25">
      <c r="A3768">
        <v>2408149</v>
      </c>
      <c r="B3768" t="s">
        <v>10934</v>
      </c>
      <c r="C3768" t="s">
        <v>2716</v>
      </c>
      <c r="D3768" s="254">
        <v>17.850000000000001</v>
      </c>
      <c r="E3768"/>
      <c r="F3768"/>
      <c r="G3768"/>
      <c r="H3768"/>
      <c r="I3768" s="489"/>
      <c r="J3768" s="1095"/>
      <c r="K3768" s="1095"/>
      <c r="L3768" s="1095"/>
      <c r="M3768" s="1095"/>
    </row>
    <row r="3769" spans="1:13" x14ac:dyDescent="0.25">
      <c r="A3769">
        <v>2407972</v>
      </c>
      <c r="B3769" t="s">
        <v>10935</v>
      </c>
      <c r="C3769" t="s">
        <v>2716</v>
      </c>
      <c r="D3769" s="254">
        <v>64.709999999999994</v>
      </c>
      <c r="E3769"/>
      <c r="F3769"/>
      <c r="G3769"/>
      <c r="H3769"/>
      <c r="I3769" s="489"/>
      <c r="J3769" s="1095"/>
      <c r="K3769" s="1095"/>
      <c r="L3769" s="1095"/>
      <c r="M3769" s="1095"/>
    </row>
    <row r="3770" spans="1:13" x14ac:dyDescent="0.25">
      <c r="A3770">
        <v>2408075</v>
      </c>
      <c r="B3770" t="s">
        <v>10936</v>
      </c>
      <c r="C3770" t="s">
        <v>2595</v>
      </c>
      <c r="D3770" s="254">
        <v>4.1500000000000004</v>
      </c>
      <c r="E3770"/>
      <c r="F3770"/>
      <c r="G3770"/>
      <c r="H3770"/>
      <c r="I3770" s="489"/>
      <c r="J3770" s="1095"/>
      <c r="K3770" s="1095"/>
      <c r="L3770" s="1095"/>
      <c r="M3770" s="1095"/>
    </row>
    <row r="3771" spans="1:13" x14ac:dyDescent="0.25">
      <c r="A3771">
        <v>2408069</v>
      </c>
      <c r="B3771" t="s">
        <v>10937</v>
      </c>
      <c r="C3771" t="s">
        <v>2595</v>
      </c>
      <c r="D3771" s="254">
        <v>5.81</v>
      </c>
      <c r="E3771"/>
      <c r="F3771"/>
      <c r="G3771"/>
      <c r="H3771"/>
      <c r="I3771" s="489"/>
      <c r="J3771" s="1095"/>
      <c r="K3771" s="1095"/>
      <c r="L3771" s="1095"/>
      <c r="M3771" s="1095"/>
    </row>
    <row r="3772" spans="1:13" x14ac:dyDescent="0.25">
      <c r="A3772">
        <v>2419790</v>
      </c>
      <c r="B3772" t="s">
        <v>10938</v>
      </c>
      <c r="C3772" t="s">
        <v>2595</v>
      </c>
      <c r="D3772" s="254">
        <v>10.49</v>
      </c>
      <c r="E3772"/>
      <c r="F3772"/>
      <c r="G3772"/>
      <c r="H3772"/>
      <c r="I3772" s="489"/>
      <c r="J3772" s="1095"/>
      <c r="K3772" s="1095"/>
      <c r="L3772" s="1095"/>
      <c r="M3772" s="1095"/>
    </row>
    <row r="3773" spans="1:13" x14ac:dyDescent="0.25">
      <c r="A3773">
        <v>2408068</v>
      </c>
      <c r="B3773" t="s">
        <v>10939</v>
      </c>
      <c r="C3773" t="s">
        <v>2595</v>
      </c>
      <c r="D3773" s="254">
        <v>16.34</v>
      </c>
      <c r="E3773"/>
      <c r="F3773"/>
      <c r="G3773"/>
      <c r="H3773"/>
      <c r="I3773" s="489"/>
      <c r="J3773" s="1095"/>
      <c r="K3773" s="1095"/>
      <c r="L3773" s="1095"/>
      <c r="M3773" s="1095"/>
    </row>
    <row r="3774" spans="1:13" x14ac:dyDescent="0.25">
      <c r="A3774">
        <v>2419705</v>
      </c>
      <c r="B3774" t="s">
        <v>10940</v>
      </c>
      <c r="C3774" t="s">
        <v>2595</v>
      </c>
      <c r="D3774" s="254">
        <v>9.2100000000000009</v>
      </c>
      <c r="E3774"/>
      <c r="F3774"/>
      <c r="G3774"/>
      <c r="H3774"/>
      <c r="I3774" s="489"/>
      <c r="J3774" s="1095"/>
      <c r="K3774" s="1095"/>
      <c r="L3774" s="1095"/>
      <c r="M3774" s="1095"/>
    </row>
    <row r="3775" spans="1:13" x14ac:dyDescent="0.25">
      <c r="A3775">
        <v>2419704</v>
      </c>
      <c r="B3775" t="s">
        <v>10941</v>
      </c>
      <c r="C3775" t="s">
        <v>2595</v>
      </c>
      <c r="D3775" s="254">
        <v>11.58</v>
      </c>
      <c r="E3775"/>
      <c r="F3775"/>
      <c r="G3775"/>
      <c r="H3775"/>
      <c r="I3775" s="489"/>
      <c r="J3775" s="1095"/>
      <c r="K3775" s="1095"/>
      <c r="L3775" s="1095"/>
      <c r="M3775" s="1095"/>
    </row>
    <row r="3776" spans="1:13" x14ac:dyDescent="0.25">
      <c r="A3776">
        <v>2419703</v>
      </c>
      <c r="B3776" t="s">
        <v>10942</v>
      </c>
      <c r="C3776" t="s">
        <v>2595</v>
      </c>
      <c r="D3776" s="254">
        <v>13.36</v>
      </c>
      <c r="E3776"/>
      <c r="F3776"/>
      <c r="G3776"/>
      <c r="H3776"/>
      <c r="I3776" s="489"/>
      <c r="J3776" s="1095"/>
      <c r="K3776" s="1095"/>
      <c r="L3776" s="1095"/>
      <c r="M3776" s="1095"/>
    </row>
    <row r="3777" spans="1:13" x14ac:dyDescent="0.25">
      <c r="A3777">
        <v>2408080</v>
      </c>
      <c r="B3777" t="s">
        <v>10943</v>
      </c>
      <c r="C3777" t="s">
        <v>2595</v>
      </c>
      <c r="D3777" s="254">
        <v>6.79</v>
      </c>
      <c r="E3777"/>
      <c r="F3777"/>
      <c r="G3777"/>
      <c r="H3777"/>
      <c r="I3777" s="489"/>
      <c r="J3777" s="1095"/>
      <c r="K3777" s="1095"/>
      <c r="L3777" s="1095"/>
      <c r="M3777" s="1095"/>
    </row>
    <row r="3778" spans="1:13" x14ac:dyDescent="0.25">
      <c r="A3778">
        <v>2408078</v>
      </c>
      <c r="B3778" t="s">
        <v>10944</v>
      </c>
      <c r="C3778" t="s">
        <v>2595</v>
      </c>
      <c r="D3778" s="254">
        <v>2.77</v>
      </c>
      <c r="E3778"/>
      <c r="F3778"/>
      <c r="G3778"/>
      <c r="H3778"/>
      <c r="I3778" s="489"/>
      <c r="J3778" s="1095"/>
      <c r="K3778" s="1095"/>
      <c r="L3778" s="1095"/>
      <c r="M3778" s="1095"/>
    </row>
    <row r="3779" spans="1:13" x14ac:dyDescent="0.25">
      <c r="A3779">
        <v>2408077</v>
      </c>
      <c r="B3779" t="s">
        <v>10945</v>
      </c>
      <c r="C3779" t="s">
        <v>2595</v>
      </c>
      <c r="D3779" s="254">
        <v>4.9800000000000004</v>
      </c>
      <c r="E3779"/>
      <c r="F3779"/>
      <c r="G3779"/>
      <c r="H3779"/>
      <c r="I3779" s="489"/>
      <c r="J3779" s="1095"/>
      <c r="K3779" s="1095"/>
      <c r="L3779" s="1095"/>
      <c r="M3779" s="1095"/>
    </row>
    <row r="3780" spans="1:13" x14ac:dyDescent="0.25">
      <c r="A3780">
        <v>2408079</v>
      </c>
      <c r="B3780" t="s">
        <v>10946</v>
      </c>
      <c r="C3780" t="s">
        <v>2595</v>
      </c>
      <c r="D3780" s="254">
        <v>33.18</v>
      </c>
      <c r="E3780"/>
      <c r="F3780"/>
      <c r="G3780"/>
      <c r="H3780"/>
      <c r="I3780" s="489"/>
      <c r="J3780" s="1095"/>
      <c r="K3780" s="1095"/>
      <c r="L3780" s="1095"/>
      <c r="M3780" s="1095"/>
    </row>
    <row r="3781" spans="1:13" x14ac:dyDescent="0.25">
      <c r="A3781">
        <v>2408076</v>
      </c>
      <c r="B3781" t="s">
        <v>10947</v>
      </c>
      <c r="C3781" t="s">
        <v>2595</v>
      </c>
      <c r="D3781" s="254">
        <v>8.8800000000000008</v>
      </c>
      <c r="E3781"/>
      <c r="F3781"/>
      <c r="G3781"/>
      <c r="H3781"/>
      <c r="I3781" s="489"/>
      <c r="J3781" s="1095"/>
      <c r="K3781" s="1095"/>
      <c r="L3781" s="1095"/>
      <c r="M3781" s="1095"/>
    </row>
    <row r="3782" spans="1:13" x14ac:dyDescent="0.25">
      <c r="A3782">
        <v>2408057</v>
      </c>
      <c r="B3782" t="s">
        <v>10948</v>
      </c>
      <c r="C3782" t="s">
        <v>2716</v>
      </c>
      <c r="D3782" s="254">
        <v>102.39</v>
      </c>
      <c r="E3782"/>
      <c r="F3782"/>
      <c r="G3782"/>
      <c r="H3782"/>
      <c r="I3782" s="489"/>
      <c r="J3782" s="1095"/>
      <c r="K3782" s="1095"/>
      <c r="L3782" s="1095"/>
      <c r="M3782" s="1095"/>
    </row>
    <row r="3783" spans="1:13" x14ac:dyDescent="0.25">
      <c r="A3783">
        <v>2408058</v>
      </c>
      <c r="B3783" t="s">
        <v>10949</v>
      </c>
      <c r="C3783" t="s">
        <v>2716</v>
      </c>
      <c r="D3783" s="254">
        <v>63.41</v>
      </c>
      <c r="E3783"/>
      <c r="F3783"/>
      <c r="G3783"/>
      <c r="H3783"/>
      <c r="I3783" s="489"/>
      <c r="J3783" s="1095"/>
      <c r="K3783" s="1095"/>
      <c r="L3783" s="1095"/>
      <c r="M3783" s="1095"/>
    </row>
    <row r="3784" spans="1:13" x14ac:dyDescent="0.25">
      <c r="A3784">
        <v>2419789</v>
      </c>
      <c r="B3784" t="s">
        <v>10950</v>
      </c>
      <c r="C3784" t="s">
        <v>2595</v>
      </c>
      <c r="D3784" s="254">
        <v>7.62</v>
      </c>
      <c r="E3784"/>
      <c r="F3784"/>
      <c r="G3784"/>
      <c r="H3784"/>
      <c r="I3784" s="489"/>
      <c r="J3784" s="1095"/>
      <c r="K3784" s="1095"/>
      <c r="L3784" s="1095"/>
      <c r="M3784" s="1095"/>
    </row>
    <row r="3785" spans="1:13" x14ac:dyDescent="0.25">
      <c r="A3785">
        <v>2607183</v>
      </c>
      <c r="B3785" t="s">
        <v>10951</v>
      </c>
      <c r="C3785" t="s">
        <v>2640</v>
      </c>
      <c r="D3785" s="254">
        <v>296.83999999999997</v>
      </c>
      <c r="E3785"/>
      <c r="F3785"/>
      <c r="G3785"/>
      <c r="H3785"/>
      <c r="I3785" s="489"/>
      <c r="J3785" s="1095"/>
      <c r="K3785" s="1095"/>
      <c r="L3785" s="1095"/>
      <c r="M3785" s="1095"/>
    </row>
    <row r="3786" spans="1:13" x14ac:dyDescent="0.25">
      <c r="A3786">
        <v>2607226</v>
      </c>
      <c r="B3786" t="s">
        <v>10952</v>
      </c>
      <c r="C3786" t="s">
        <v>2640</v>
      </c>
      <c r="D3786" s="254">
        <v>140568.95999999999</v>
      </c>
      <c r="E3786"/>
      <c r="F3786"/>
      <c r="G3786"/>
      <c r="H3786"/>
      <c r="I3786" s="489"/>
      <c r="J3786" s="1095"/>
      <c r="K3786" s="1095"/>
      <c r="L3786" s="1095"/>
      <c r="M3786" s="1095"/>
    </row>
    <row r="3787" spans="1:13" x14ac:dyDescent="0.25">
      <c r="A3787">
        <v>2607209</v>
      </c>
      <c r="B3787" t="s">
        <v>10953</v>
      </c>
      <c r="C3787" t="s">
        <v>2640</v>
      </c>
      <c r="D3787" s="254">
        <v>122548.17</v>
      </c>
      <c r="E3787"/>
      <c r="F3787"/>
      <c r="G3787"/>
      <c r="H3787"/>
      <c r="I3787" s="489"/>
      <c r="J3787" s="1095"/>
      <c r="K3787" s="1095"/>
      <c r="L3787" s="1095"/>
      <c r="M3787" s="1095"/>
    </row>
    <row r="3788" spans="1:13" x14ac:dyDescent="0.25">
      <c r="A3788">
        <v>2607161</v>
      </c>
      <c r="B3788" t="s">
        <v>10954</v>
      </c>
      <c r="C3788" t="s">
        <v>2640</v>
      </c>
      <c r="D3788" s="254">
        <v>168510.24</v>
      </c>
      <c r="E3788"/>
      <c r="F3788"/>
      <c r="G3788"/>
      <c r="H3788"/>
      <c r="I3788" s="489"/>
      <c r="J3788" s="1095"/>
      <c r="K3788" s="1095"/>
      <c r="L3788" s="1095"/>
      <c r="M3788" s="1095"/>
    </row>
    <row r="3789" spans="1:13" x14ac:dyDescent="0.25">
      <c r="A3789">
        <v>2607148</v>
      </c>
      <c r="B3789" t="s">
        <v>10955</v>
      </c>
      <c r="C3789" t="s">
        <v>2640</v>
      </c>
      <c r="D3789" s="254">
        <v>177302.57</v>
      </c>
      <c r="E3789"/>
      <c r="F3789"/>
      <c r="G3789"/>
      <c r="H3789"/>
      <c r="I3789" s="489"/>
      <c r="J3789" s="1095"/>
      <c r="K3789" s="1095"/>
      <c r="L3789" s="1095"/>
      <c r="M3789" s="1095"/>
    </row>
    <row r="3790" spans="1:13" x14ac:dyDescent="0.25">
      <c r="A3790">
        <v>2607213</v>
      </c>
      <c r="B3790" t="s">
        <v>10956</v>
      </c>
      <c r="C3790" t="s">
        <v>2640</v>
      </c>
      <c r="D3790" s="254">
        <v>154450.63</v>
      </c>
      <c r="E3790"/>
      <c r="F3790"/>
      <c r="G3790"/>
      <c r="H3790"/>
      <c r="I3790" s="489"/>
      <c r="J3790" s="1095"/>
      <c r="K3790" s="1095"/>
      <c r="L3790" s="1095"/>
      <c r="M3790" s="1095"/>
    </row>
    <row r="3791" spans="1:13" x14ac:dyDescent="0.25">
      <c r="A3791">
        <v>2607165</v>
      </c>
      <c r="B3791" t="s">
        <v>10957</v>
      </c>
      <c r="C3791" t="s">
        <v>2640</v>
      </c>
      <c r="D3791" s="254">
        <v>214176.06</v>
      </c>
      <c r="E3791"/>
      <c r="F3791"/>
      <c r="G3791"/>
      <c r="H3791"/>
      <c r="I3791" s="489"/>
      <c r="J3791" s="1095"/>
      <c r="K3791" s="1095"/>
      <c r="L3791" s="1095"/>
      <c r="M3791" s="1095"/>
    </row>
    <row r="3792" spans="1:13" x14ac:dyDescent="0.25">
      <c r="A3792">
        <v>2607152</v>
      </c>
      <c r="B3792" t="s">
        <v>10958</v>
      </c>
      <c r="C3792" t="s">
        <v>2640</v>
      </c>
      <c r="D3792" s="254">
        <v>211803.07</v>
      </c>
      <c r="E3792"/>
      <c r="F3792"/>
      <c r="G3792"/>
      <c r="H3792"/>
      <c r="I3792" s="489"/>
      <c r="J3792" s="1095"/>
      <c r="K3792" s="1095"/>
      <c r="L3792" s="1095"/>
      <c r="M3792" s="1095"/>
    </row>
    <row r="3793" spans="1:13" x14ac:dyDescent="0.25">
      <c r="A3793">
        <v>2607217</v>
      </c>
      <c r="B3793" t="s">
        <v>10959</v>
      </c>
      <c r="C3793" t="s">
        <v>2640</v>
      </c>
      <c r="D3793" s="254">
        <v>183628.92</v>
      </c>
      <c r="E3793"/>
      <c r="F3793"/>
      <c r="G3793"/>
      <c r="H3793"/>
      <c r="I3793" s="489"/>
      <c r="J3793" s="1095"/>
      <c r="K3793" s="1095"/>
      <c r="L3793" s="1095"/>
      <c r="M3793" s="1095"/>
    </row>
    <row r="3794" spans="1:13" x14ac:dyDescent="0.25">
      <c r="A3794">
        <v>2607169</v>
      </c>
      <c r="B3794" t="s">
        <v>10960</v>
      </c>
      <c r="C3794" t="s">
        <v>2640</v>
      </c>
      <c r="D3794" s="254">
        <v>254488.08</v>
      </c>
      <c r="E3794"/>
      <c r="F3794"/>
      <c r="G3794"/>
      <c r="H3794"/>
      <c r="I3794" s="489"/>
      <c r="J3794" s="1095"/>
      <c r="K3794" s="1095"/>
      <c r="L3794" s="1095"/>
      <c r="M3794" s="1095"/>
    </row>
    <row r="3795" spans="1:13" x14ac:dyDescent="0.25">
      <c r="A3795">
        <v>2607156</v>
      </c>
      <c r="B3795" t="s">
        <v>10961</v>
      </c>
      <c r="C3795" t="s">
        <v>2640</v>
      </c>
      <c r="D3795" s="254">
        <v>186583.92</v>
      </c>
      <c r="E3795"/>
      <c r="F3795"/>
      <c r="G3795"/>
      <c r="H3795"/>
      <c r="I3795" s="489"/>
      <c r="J3795" s="1095"/>
      <c r="K3795" s="1095"/>
      <c r="L3795" s="1095"/>
      <c r="M3795" s="1095"/>
    </row>
    <row r="3796" spans="1:13" x14ac:dyDescent="0.25">
      <c r="A3796">
        <v>2607221</v>
      </c>
      <c r="B3796" t="s">
        <v>10962</v>
      </c>
      <c r="C3796" t="s">
        <v>2640</v>
      </c>
      <c r="D3796" s="254">
        <v>162447.31</v>
      </c>
      <c r="E3796"/>
      <c r="F3796"/>
      <c r="G3796"/>
      <c r="H3796"/>
      <c r="I3796" s="489"/>
      <c r="J3796" s="1095"/>
      <c r="K3796" s="1095"/>
      <c r="L3796" s="1095"/>
      <c r="M3796" s="1095"/>
    </row>
    <row r="3797" spans="1:13" x14ac:dyDescent="0.25">
      <c r="A3797">
        <v>2607173</v>
      </c>
      <c r="B3797" t="s">
        <v>10963</v>
      </c>
      <c r="C3797" t="s">
        <v>2640</v>
      </c>
      <c r="D3797" s="254">
        <v>225234.71</v>
      </c>
      <c r="E3797"/>
      <c r="F3797"/>
      <c r="G3797"/>
      <c r="H3797"/>
      <c r="I3797" s="489"/>
      <c r="J3797" s="1095"/>
      <c r="K3797" s="1095"/>
      <c r="L3797" s="1095"/>
      <c r="M3797" s="1095"/>
    </row>
    <row r="3798" spans="1:13" x14ac:dyDescent="0.25">
      <c r="A3798">
        <v>2607227</v>
      </c>
      <c r="B3798" t="s">
        <v>10964</v>
      </c>
      <c r="C3798" t="s">
        <v>2640</v>
      </c>
      <c r="D3798" s="254">
        <v>154474.88</v>
      </c>
      <c r="E3798"/>
      <c r="F3798"/>
      <c r="G3798"/>
      <c r="H3798"/>
      <c r="I3798" s="489"/>
      <c r="J3798" s="1095"/>
      <c r="K3798" s="1095"/>
      <c r="L3798" s="1095"/>
      <c r="M3798" s="1095"/>
    </row>
    <row r="3799" spans="1:13" x14ac:dyDescent="0.25">
      <c r="A3799">
        <v>2607210</v>
      </c>
      <c r="B3799" t="s">
        <v>10965</v>
      </c>
      <c r="C3799" t="s">
        <v>2640</v>
      </c>
      <c r="D3799" s="254">
        <v>134619.51</v>
      </c>
      <c r="E3799"/>
      <c r="F3799"/>
      <c r="G3799"/>
      <c r="H3799"/>
      <c r="I3799" s="489"/>
      <c r="J3799" s="1095"/>
      <c r="K3799" s="1095"/>
      <c r="L3799" s="1095"/>
      <c r="M3799" s="1095"/>
    </row>
    <row r="3800" spans="1:13" x14ac:dyDescent="0.25">
      <c r="A3800">
        <v>2607162</v>
      </c>
      <c r="B3800" t="s">
        <v>10966</v>
      </c>
      <c r="C3800" t="s">
        <v>2640</v>
      </c>
      <c r="D3800" s="254">
        <v>185290.1</v>
      </c>
      <c r="E3800"/>
      <c r="F3800"/>
      <c r="G3800"/>
      <c r="H3800"/>
      <c r="I3800" s="489"/>
      <c r="J3800" s="1095"/>
      <c r="K3800" s="1095"/>
      <c r="L3800" s="1095"/>
      <c r="M3800" s="1095"/>
    </row>
    <row r="3801" spans="1:13" x14ac:dyDescent="0.25">
      <c r="A3801">
        <v>2607149</v>
      </c>
      <c r="B3801" t="s">
        <v>10967</v>
      </c>
      <c r="C3801" t="s">
        <v>2640</v>
      </c>
      <c r="D3801" s="254">
        <v>194916.06</v>
      </c>
      <c r="E3801"/>
      <c r="F3801"/>
      <c r="G3801"/>
      <c r="H3801"/>
      <c r="I3801" s="489"/>
      <c r="J3801" s="1095"/>
      <c r="K3801" s="1095"/>
      <c r="L3801" s="1095"/>
      <c r="M3801" s="1095"/>
    </row>
    <row r="3802" spans="1:13" x14ac:dyDescent="0.25">
      <c r="A3802">
        <v>2607214</v>
      </c>
      <c r="B3802" t="s">
        <v>10968</v>
      </c>
      <c r="C3802" t="s">
        <v>2640</v>
      </c>
      <c r="D3802" s="254">
        <v>169737.82</v>
      </c>
      <c r="E3802"/>
      <c r="F3802"/>
      <c r="G3802"/>
      <c r="H3802"/>
      <c r="I3802" s="489"/>
      <c r="J3802" s="1095"/>
      <c r="K3802" s="1095"/>
      <c r="L3802" s="1095"/>
      <c r="M3802" s="1095"/>
    </row>
    <row r="3803" spans="1:13" x14ac:dyDescent="0.25">
      <c r="A3803">
        <v>2607166</v>
      </c>
      <c r="B3803" t="s">
        <v>10969</v>
      </c>
      <c r="C3803" t="s">
        <v>2640</v>
      </c>
      <c r="D3803" s="254">
        <v>235438.27</v>
      </c>
      <c r="E3803"/>
      <c r="F3803"/>
      <c r="G3803"/>
      <c r="H3803"/>
      <c r="I3803" s="489"/>
      <c r="J3803" s="1095"/>
      <c r="K3803" s="1095"/>
      <c r="L3803" s="1095"/>
      <c r="M3803" s="1095"/>
    </row>
    <row r="3804" spans="1:13" x14ac:dyDescent="0.25">
      <c r="A3804">
        <v>2607153</v>
      </c>
      <c r="B3804" t="s">
        <v>10970</v>
      </c>
      <c r="C3804" t="s">
        <v>2640</v>
      </c>
      <c r="D3804" s="254">
        <v>232699.63</v>
      </c>
      <c r="E3804"/>
      <c r="F3804"/>
      <c r="G3804"/>
      <c r="H3804"/>
      <c r="I3804" s="489"/>
      <c r="J3804" s="1095"/>
      <c r="K3804" s="1095"/>
      <c r="L3804" s="1095"/>
      <c r="M3804" s="1095"/>
    </row>
    <row r="3805" spans="1:13" x14ac:dyDescent="0.25">
      <c r="A3805">
        <v>2607218</v>
      </c>
      <c r="B3805" t="s">
        <v>10971</v>
      </c>
      <c r="C3805" t="s">
        <v>2640</v>
      </c>
      <c r="D3805" s="254">
        <v>203247.34</v>
      </c>
      <c r="E3805"/>
      <c r="F3805"/>
      <c r="G3805"/>
      <c r="H3805"/>
      <c r="I3805" s="489"/>
      <c r="J3805" s="1095"/>
      <c r="K3805" s="1095"/>
      <c r="L3805" s="1095"/>
      <c r="M3805" s="1095"/>
    </row>
    <row r="3806" spans="1:13" x14ac:dyDescent="0.25">
      <c r="A3806">
        <v>2607170</v>
      </c>
      <c r="B3806" t="s">
        <v>10972</v>
      </c>
      <c r="C3806" t="s">
        <v>2640</v>
      </c>
      <c r="D3806" s="254">
        <v>279810.84999999998</v>
      </c>
      <c r="E3806"/>
      <c r="F3806"/>
      <c r="G3806"/>
      <c r="H3806"/>
      <c r="I3806" s="489"/>
      <c r="J3806" s="1095"/>
      <c r="K3806" s="1095"/>
      <c r="L3806" s="1095"/>
      <c r="M3806" s="1095"/>
    </row>
    <row r="3807" spans="1:13" x14ac:dyDescent="0.25">
      <c r="A3807">
        <v>2607157</v>
      </c>
      <c r="B3807" t="s">
        <v>10973</v>
      </c>
      <c r="C3807" t="s">
        <v>2640</v>
      </c>
      <c r="D3807" s="254">
        <v>206542.56</v>
      </c>
      <c r="E3807"/>
      <c r="F3807"/>
      <c r="G3807"/>
      <c r="H3807"/>
      <c r="I3807" s="489"/>
      <c r="J3807" s="1095"/>
      <c r="K3807" s="1095"/>
      <c r="L3807" s="1095"/>
      <c r="M3807" s="1095"/>
    </row>
    <row r="3808" spans="1:13" x14ac:dyDescent="0.25">
      <c r="A3808">
        <v>2607222</v>
      </c>
      <c r="B3808" t="s">
        <v>10974</v>
      </c>
      <c r="C3808" t="s">
        <v>2640</v>
      </c>
      <c r="D3808" s="254">
        <v>178540.86</v>
      </c>
      <c r="E3808"/>
      <c r="F3808"/>
      <c r="G3808"/>
      <c r="H3808"/>
      <c r="I3808" s="489"/>
      <c r="J3808" s="1095"/>
      <c r="K3808" s="1095"/>
      <c r="L3808" s="1095"/>
      <c r="M3808" s="1095"/>
    </row>
    <row r="3809" spans="1:13" x14ac:dyDescent="0.25">
      <c r="A3809">
        <v>2607174</v>
      </c>
      <c r="B3809" t="s">
        <v>10975</v>
      </c>
      <c r="C3809" t="s">
        <v>2640</v>
      </c>
      <c r="D3809" s="254">
        <v>247616.37</v>
      </c>
      <c r="E3809"/>
      <c r="F3809"/>
      <c r="G3809"/>
      <c r="H3809"/>
      <c r="I3809" s="489"/>
      <c r="J3809" s="1095"/>
      <c r="K3809" s="1095"/>
      <c r="L3809" s="1095"/>
      <c r="M3809" s="1095"/>
    </row>
    <row r="3810" spans="1:13" x14ac:dyDescent="0.25">
      <c r="A3810">
        <v>2607228</v>
      </c>
      <c r="B3810" t="s">
        <v>10976</v>
      </c>
      <c r="C3810" t="s">
        <v>2640</v>
      </c>
      <c r="D3810" s="254">
        <v>169745.49</v>
      </c>
      <c r="E3810"/>
      <c r="F3810"/>
      <c r="G3810"/>
      <c r="H3810"/>
      <c r="I3810" s="489"/>
      <c r="J3810" s="1095"/>
      <c r="K3810" s="1095"/>
      <c r="L3810" s="1095"/>
      <c r="M3810" s="1095"/>
    </row>
    <row r="3811" spans="1:13" x14ac:dyDescent="0.25">
      <c r="A3811">
        <v>2607211</v>
      </c>
      <c r="B3811" t="s">
        <v>10977</v>
      </c>
      <c r="C3811" t="s">
        <v>2640</v>
      </c>
      <c r="D3811" s="254">
        <v>147878.54999999999</v>
      </c>
      <c r="E3811"/>
      <c r="F3811"/>
      <c r="G3811"/>
      <c r="H3811"/>
      <c r="I3811" s="489"/>
      <c r="J3811" s="1095"/>
      <c r="K3811" s="1095"/>
      <c r="L3811" s="1095"/>
      <c r="M3811" s="1095"/>
    </row>
    <row r="3812" spans="1:13" x14ac:dyDescent="0.25">
      <c r="A3812">
        <v>2607163</v>
      </c>
      <c r="B3812" t="s">
        <v>10978</v>
      </c>
      <c r="C3812" t="s">
        <v>2640</v>
      </c>
      <c r="D3812" s="254">
        <v>205105.26</v>
      </c>
      <c r="E3812"/>
      <c r="F3812"/>
      <c r="G3812"/>
      <c r="H3812"/>
      <c r="I3812" s="489"/>
      <c r="J3812" s="1095"/>
      <c r="K3812" s="1095"/>
      <c r="L3812" s="1095"/>
      <c r="M3812" s="1095"/>
    </row>
    <row r="3813" spans="1:13" x14ac:dyDescent="0.25">
      <c r="A3813">
        <v>2607150</v>
      </c>
      <c r="B3813" t="s">
        <v>10979</v>
      </c>
      <c r="C3813" t="s">
        <v>2640</v>
      </c>
      <c r="D3813" s="254">
        <v>215720.34</v>
      </c>
      <c r="E3813"/>
      <c r="F3813"/>
      <c r="G3813"/>
      <c r="H3813"/>
      <c r="I3813" s="489"/>
      <c r="J3813" s="1095"/>
      <c r="K3813" s="1095"/>
      <c r="L3813" s="1095"/>
      <c r="M3813" s="1095"/>
    </row>
    <row r="3814" spans="1:13" x14ac:dyDescent="0.25">
      <c r="A3814">
        <v>2607215</v>
      </c>
      <c r="B3814" t="s">
        <v>10980</v>
      </c>
      <c r="C3814" t="s">
        <v>2640</v>
      </c>
      <c r="D3814" s="254">
        <v>186529.28</v>
      </c>
      <c r="E3814"/>
      <c r="F3814"/>
      <c r="G3814"/>
      <c r="H3814"/>
      <c r="I3814" s="489"/>
      <c r="J3814" s="1095"/>
      <c r="K3814" s="1095"/>
      <c r="L3814" s="1095"/>
      <c r="M3814" s="1095"/>
    </row>
    <row r="3815" spans="1:13" x14ac:dyDescent="0.25">
      <c r="A3815">
        <v>2607167</v>
      </c>
      <c r="B3815" t="s">
        <v>10981</v>
      </c>
      <c r="C3815" t="s">
        <v>2640</v>
      </c>
      <c r="D3815" s="254">
        <v>258773.63</v>
      </c>
      <c r="E3815"/>
      <c r="F3815"/>
      <c r="G3815"/>
      <c r="H3815"/>
      <c r="I3815" s="489"/>
      <c r="J3815" s="1095"/>
      <c r="K3815" s="1095"/>
      <c r="L3815" s="1095"/>
      <c r="M3815" s="1095"/>
    </row>
    <row r="3816" spans="1:13" x14ac:dyDescent="0.25">
      <c r="A3816">
        <v>2607154</v>
      </c>
      <c r="B3816" t="s">
        <v>10982</v>
      </c>
      <c r="C3816" t="s">
        <v>2640</v>
      </c>
      <c r="D3816" s="254">
        <v>255658.65</v>
      </c>
      <c r="E3816"/>
      <c r="F3816"/>
      <c r="G3816"/>
      <c r="H3816"/>
      <c r="I3816" s="489"/>
      <c r="J3816" s="1095"/>
      <c r="K3816" s="1095"/>
      <c r="L3816" s="1095"/>
      <c r="M3816" s="1095"/>
    </row>
    <row r="3817" spans="1:13" x14ac:dyDescent="0.25">
      <c r="A3817">
        <v>2607219</v>
      </c>
      <c r="B3817" t="s">
        <v>10983</v>
      </c>
      <c r="C3817" t="s">
        <v>2640</v>
      </c>
      <c r="D3817" s="254">
        <v>223261.15</v>
      </c>
      <c r="E3817"/>
      <c r="F3817"/>
      <c r="G3817"/>
      <c r="H3817"/>
      <c r="I3817" s="489"/>
      <c r="J3817" s="1095"/>
      <c r="K3817" s="1095"/>
      <c r="L3817" s="1095"/>
      <c r="M3817" s="1095"/>
    </row>
    <row r="3818" spans="1:13" x14ac:dyDescent="0.25">
      <c r="A3818">
        <v>2607171</v>
      </c>
      <c r="B3818" t="s">
        <v>10984</v>
      </c>
      <c r="C3818" t="s">
        <v>2640</v>
      </c>
      <c r="D3818" s="254">
        <v>311804.82</v>
      </c>
      <c r="E3818"/>
      <c r="F3818"/>
      <c r="G3818"/>
      <c r="H3818"/>
      <c r="I3818" s="489"/>
      <c r="J3818" s="1095"/>
      <c r="K3818" s="1095"/>
      <c r="L3818" s="1095"/>
      <c r="M3818" s="1095"/>
    </row>
    <row r="3819" spans="1:13" x14ac:dyDescent="0.25">
      <c r="A3819">
        <v>2607158</v>
      </c>
      <c r="B3819" t="s">
        <v>10985</v>
      </c>
      <c r="C3819" t="s">
        <v>2640</v>
      </c>
      <c r="D3819" s="254">
        <v>226921.83</v>
      </c>
      <c r="E3819"/>
      <c r="F3819"/>
      <c r="G3819"/>
      <c r="H3819"/>
      <c r="I3819" s="489"/>
      <c r="J3819" s="1095"/>
      <c r="K3819" s="1095"/>
      <c r="L3819" s="1095"/>
      <c r="M3819" s="1095"/>
    </row>
    <row r="3820" spans="1:13" x14ac:dyDescent="0.25">
      <c r="A3820">
        <v>2607223</v>
      </c>
      <c r="B3820" t="s">
        <v>10986</v>
      </c>
      <c r="C3820" t="s">
        <v>2640</v>
      </c>
      <c r="D3820" s="254">
        <v>196218.07</v>
      </c>
      <c r="E3820"/>
      <c r="F3820"/>
      <c r="G3820"/>
      <c r="H3820"/>
      <c r="I3820" s="489"/>
      <c r="J3820" s="1095"/>
      <c r="K3820" s="1095"/>
      <c r="L3820" s="1095"/>
      <c r="M3820" s="1095"/>
    </row>
    <row r="3821" spans="1:13" x14ac:dyDescent="0.25">
      <c r="A3821">
        <v>2607175</v>
      </c>
      <c r="B3821" t="s">
        <v>10987</v>
      </c>
      <c r="C3821" t="s">
        <v>2640</v>
      </c>
      <c r="D3821" s="254">
        <v>272180.99</v>
      </c>
      <c r="E3821"/>
      <c r="F3821"/>
      <c r="G3821"/>
      <c r="H3821"/>
      <c r="I3821" s="489"/>
      <c r="J3821" s="1095"/>
      <c r="K3821" s="1095"/>
      <c r="L3821" s="1095"/>
      <c r="M3821" s="1095"/>
    </row>
    <row r="3822" spans="1:13" x14ac:dyDescent="0.25">
      <c r="A3822">
        <v>2607151</v>
      </c>
      <c r="B3822" t="s">
        <v>10988</v>
      </c>
      <c r="C3822" t="s">
        <v>2640</v>
      </c>
      <c r="D3822" s="254">
        <v>258471.46</v>
      </c>
      <c r="E3822"/>
      <c r="F3822"/>
      <c r="G3822"/>
      <c r="H3822"/>
      <c r="I3822" s="489"/>
      <c r="J3822" s="1095"/>
      <c r="K3822" s="1095"/>
      <c r="L3822" s="1095"/>
      <c r="M3822" s="1095"/>
    </row>
    <row r="3823" spans="1:13" x14ac:dyDescent="0.25">
      <c r="A3823">
        <v>2607216</v>
      </c>
      <c r="B3823" t="s">
        <v>10989</v>
      </c>
      <c r="C3823" t="s">
        <v>2640</v>
      </c>
      <c r="D3823" s="254">
        <v>225064.8</v>
      </c>
      <c r="E3823"/>
      <c r="F3823"/>
      <c r="G3823"/>
      <c r="H3823"/>
      <c r="I3823" s="489"/>
      <c r="J3823" s="1095"/>
      <c r="K3823" s="1095"/>
      <c r="L3823" s="1095"/>
      <c r="M3823" s="1095"/>
    </row>
    <row r="3824" spans="1:13" x14ac:dyDescent="0.25">
      <c r="A3824">
        <v>2607168</v>
      </c>
      <c r="B3824" t="s">
        <v>10990</v>
      </c>
      <c r="C3824" t="s">
        <v>2640</v>
      </c>
      <c r="D3824" s="254">
        <v>314732.14</v>
      </c>
      <c r="E3824"/>
      <c r="F3824"/>
      <c r="G3824"/>
      <c r="H3824"/>
      <c r="I3824" s="489"/>
      <c r="J3824" s="1095"/>
      <c r="K3824" s="1095"/>
      <c r="L3824" s="1095"/>
      <c r="M3824" s="1095"/>
    </row>
    <row r="3825" spans="1:13" x14ac:dyDescent="0.25">
      <c r="A3825">
        <v>2607155</v>
      </c>
      <c r="B3825" t="s">
        <v>10991</v>
      </c>
      <c r="C3825" t="s">
        <v>2640</v>
      </c>
      <c r="D3825" s="254">
        <v>310583.67</v>
      </c>
      <c r="E3825"/>
      <c r="F3825"/>
      <c r="G3825"/>
      <c r="H3825"/>
      <c r="I3825" s="489"/>
      <c r="J3825" s="1095"/>
      <c r="K3825" s="1095"/>
      <c r="L3825" s="1095"/>
      <c r="M3825" s="1095"/>
    </row>
    <row r="3826" spans="1:13" x14ac:dyDescent="0.25">
      <c r="A3826">
        <v>2607220</v>
      </c>
      <c r="B3826" t="s">
        <v>10992</v>
      </c>
      <c r="C3826" t="s">
        <v>2640</v>
      </c>
      <c r="D3826" s="254">
        <v>267509.28999999998</v>
      </c>
      <c r="E3826"/>
      <c r="F3826"/>
      <c r="G3826"/>
      <c r="H3826"/>
      <c r="I3826" s="489"/>
      <c r="J3826" s="1095"/>
      <c r="K3826" s="1095"/>
      <c r="L3826" s="1095"/>
      <c r="M3826" s="1095"/>
    </row>
    <row r="3827" spans="1:13" x14ac:dyDescent="0.25">
      <c r="A3827">
        <v>2607172</v>
      </c>
      <c r="B3827" t="s">
        <v>10993</v>
      </c>
      <c r="C3827" t="s">
        <v>2640</v>
      </c>
      <c r="D3827" s="254">
        <v>373427.05</v>
      </c>
      <c r="E3827"/>
      <c r="F3827"/>
      <c r="G3827"/>
      <c r="H3827"/>
      <c r="I3827" s="489"/>
      <c r="J3827" s="1095"/>
      <c r="K3827" s="1095"/>
      <c r="L3827" s="1095"/>
      <c r="M3827" s="1095"/>
    </row>
    <row r="3828" spans="1:13" x14ac:dyDescent="0.25">
      <c r="A3828">
        <v>2607159</v>
      </c>
      <c r="B3828" t="s">
        <v>10994</v>
      </c>
      <c r="C3828" t="s">
        <v>2640</v>
      </c>
      <c r="D3828" s="254">
        <v>272045.25</v>
      </c>
      <c r="E3828"/>
      <c r="F3828"/>
      <c r="G3828"/>
      <c r="H3828"/>
      <c r="I3828" s="489"/>
      <c r="J3828" s="1095"/>
      <c r="K3828" s="1095"/>
      <c r="L3828" s="1095"/>
      <c r="M3828" s="1095"/>
    </row>
    <row r="3829" spans="1:13" x14ac:dyDescent="0.25">
      <c r="A3829">
        <v>2607224</v>
      </c>
      <c r="B3829" t="s">
        <v>10995</v>
      </c>
      <c r="C3829" t="s">
        <v>2640</v>
      </c>
      <c r="D3829" s="254">
        <v>236713.19</v>
      </c>
      <c r="E3829"/>
      <c r="F3829"/>
      <c r="G3829"/>
      <c r="H3829"/>
      <c r="I3829" s="489"/>
      <c r="J3829" s="1095"/>
      <c r="K3829" s="1095"/>
      <c r="L3829" s="1095"/>
      <c r="M3829" s="1095"/>
    </row>
    <row r="3830" spans="1:13" x14ac:dyDescent="0.25">
      <c r="A3830">
        <v>2607176</v>
      </c>
      <c r="B3830" t="s">
        <v>10996</v>
      </c>
      <c r="C3830" t="s">
        <v>2640</v>
      </c>
      <c r="D3830" s="254">
        <v>330865.17</v>
      </c>
      <c r="E3830"/>
      <c r="F3830"/>
      <c r="G3830"/>
      <c r="H3830"/>
      <c r="I3830" s="489"/>
      <c r="J3830" s="1095"/>
      <c r="K3830" s="1095"/>
      <c r="L3830" s="1095"/>
      <c r="M3830" s="1095"/>
    </row>
    <row r="3831" spans="1:13" x14ac:dyDescent="0.25">
      <c r="A3831">
        <v>2607225</v>
      </c>
      <c r="B3831" t="s">
        <v>10997</v>
      </c>
      <c r="C3831" t="s">
        <v>2640</v>
      </c>
      <c r="D3831" s="254">
        <v>127903.93</v>
      </c>
      <c r="E3831"/>
      <c r="F3831"/>
      <c r="G3831"/>
      <c r="H3831"/>
      <c r="I3831" s="489"/>
      <c r="J3831" s="1095"/>
      <c r="K3831" s="1095"/>
      <c r="L3831" s="1095"/>
      <c r="M3831" s="1095"/>
    </row>
    <row r="3832" spans="1:13" x14ac:dyDescent="0.25">
      <c r="A3832">
        <v>2607208</v>
      </c>
      <c r="B3832" t="s">
        <v>10998</v>
      </c>
      <c r="C3832" t="s">
        <v>2640</v>
      </c>
      <c r="D3832" s="254">
        <v>111556.94</v>
      </c>
      <c r="E3832"/>
      <c r="F3832"/>
      <c r="G3832"/>
      <c r="H3832"/>
      <c r="I3832" s="489"/>
      <c r="J3832" s="1095"/>
      <c r="K3832" s="1095"/>
      <c r="L3832" s="1095"/>
      <c r="M3832" s="1095"/>
    </row>
    <row r="3833" spans="1:13" x14ac:dyDescent="0.25">
      <c r="A3833">
        <v>2607160</v>
      </c>
      <c r="B3833" t="s">
        <v>10999</v>
      </c>
      <c r="C3833" t="s">
        <v>2640</v>
      </c>
      <c r="D3833" s="254">
        <v>153217.92000000001</v>
      </c>
      <c r="E3833"/>
      <c r="F3833"/>
      <c r="G3833"/>
      <c r="H3833"/>
      <c r="I3833" s="489"/>
      <c r="J3833" s="1095"/>
      <c r="K3833" s="1095"/>
      <c r="L3833" s="1095"/>
      <c r="M3833" s="1095"/>
    </row>
    <row r="3834" spans="1:13" x14ac:dyDescent="0.25">
      <c r="A3834">
        <v>2607229</v>
      </c>
      <c r="B3834" t="s">
        <v>11000</v>
      </c>
      <c r="C3834" t="s">
        <v>2640</v>
      </c>
      <c r="D3834" s="254">
        <v>161249.44</v>
      </c>
      <c r="E3834"/>
      <c r="F3834"/>
      <c r="G3834"/>
      <c r="H3834"/>
      <c r="I3834" s="489"/>
      <c r="J3834" s="1095"/>
      <c r="K3834" s="1095"/>
      <c r="L3834" s="1095"/>
      <c r="M3834" s="1095"/>
    </row>
    <row r="3835" spans="1:13" x14ac:dyDescent="0.25">
      <c r="A3835">
        <v>2607212</v>
      </c>
      <c r="B3835" t="s">
        <v>11001</v>
      </c>
      <c r="C3835" t="s">
        <v>2640</v>
      </c>
      <c r="D3835" s="254">
        <v>140531.17000000001</v>
      </c>
      <c r="E3835"/>
      <c r="F3835"/>
      <c r="G3835"/>
      <c r="H3835"/>
      <c r="I3835" s="489"/>
      <c r="J3835" s="1095"/>
      <c r="K3835" s="1095"/>
      <c r="L3835" s="1095"/>
      <c r="M3835" s="1095"/>
    </row>
    <row r="3836" spans="1:13" x14ac:dyDescent="0.25">
      <c r="A3836">
        <v>2607164</v>
      </c>
      <c r="B3836" t="s">
        <v>11002</v>
      </c>
      <c r="C3836" t="s">
        <v>2640</v>
      </c>
      <c r="D3836" s="254">
        <v>193399.72</v>
      </c>
      <c r="E3836"/>
      <c r="F3836"/>
      <c r="G3836"/>
      <c r="H3836"/>
      <c r="I3836" s="489"/>
      <c r="J3836" s="1095"/>
      <c r="K3836" s="1095"/>
      <c r="L3836" s="1095"/>
      <c r="M3836" s="1095"/>
    </row>
    <row r="3837" spans="1:13" x14ac:dyDescent="0.25">
      <c r="A3837">
        <v>2607207</v>
      </c>
      <c r="B3837" t="s">
        <v>11003</v>
      </c>
      <c r="C3837" t="s">
        <v>2596</v>
      </c>
      <c r="D3837" s="254">
        <v>148.68</v>
      </c>
      <c r="E3837"/>
      <c r="F3837"/>
      <c r="G3837"/>
      <c r="H3837"/>
      <c r="I3837" s="489"/>
      <c r="J3837" s="1095"/>
      <c r="K3837" s="1095"/>
      <c r="L3837" s="1095"/>
      <c r="M3837" s="1095"/>
    </row>
    <row r="3838" spans="1:13" x14ac:dyDescent="0.25">
      <c r="A3838">
        <v>2607206</v>
      </c>
      <c r="B3838" t="s">
        <v>11004</v>
      </c>
      <c r="C3838" t="s">
        <v>2596</v>
      </c>
      <c r="D3838" s="254">
        <v>144.37</v>
      </c>
      <c r="E3838"/>
      <c r="F3838"/>
      <c r="G3838"/>
      <c r="H3838"/>
      <c r="I3838" s="489"/>
      <c r="J3838" s="1095"/>
      <c r="K3838" s="1095"/>
      <c r="L3838" s="1095"/>
      <c r="M3838" s="1095"/>
    </row>
    <row r="3839" spans="1:13" x14ac:dyDescent="0.25">
      <c r="A3839">
        <v>2607344</v>
      </c>
      <c r="B3839" t="s">
        <v>11005</v>
      </c>
      <c r="C3839" t="s">
        <v>2640</v>
      </c>
      <c r="D3839" s="254">
        <v>213.83</v>
      </c>
      <c r="E3839"/>
      <c r="F3839"/>
      <c r="G3839"/>
      <c r="H3839"/>
      <c r="I3839" s="489"/>
      <c r="J3839" s="1095"/>
      <c r="K3839" s="1095"/>
      <c r="L3839" s="1095"/>
      <c r="M3839" s="1095"/>
    </row>
    <row r="3840" spans="1:13" x14ac:dyDescent="0.25">
      <c r="A3840">
        <v>2607339</v>
      </c>
      <c r="B3840" t="s">
        <v>11006</v>
      </c>
      <c r="C3840" t="s">
        <v>2640</v>
      </c>
      <c r="D3840" s="254">
        <v>146.9</v>
      </c>
      <c r="E3840"/>
      <c r="F3840"/>
      <c r="G3840"/>
      <c r="H3840"/>
      <c r="I3840" s="489"/>
      <c r="J3840" s="1095"/>
      <c r="K3840" s="1095"/>
      <c r="L3840" s="1095"/>
      <c r="M3840" s="1095"/>
    </row>
    <row r="3841" spans="1:13" x14ac:dyDescent="0.25">
      <c r="A3841">
        <v>2607349</v>
      </c>
      <c r="B3841" t="s">
        <v>11007</v>
      </c>
      <c r="C3841" t="s">
        <v>2640</v>
      </c>
      <c r="D3841" s="254">
        <v>326.45</v>
      </c>
      <c r="E3841"/>
      <c r="F3841"/>
      <c r="G3841"/>
      <c r="H3841"/>
      <c r="I3841" s="489"/>
      <c r="J3841" s="1095"/>
      <c r="K3841" s="1095"/>
      <c r="L3841" s="1095"/>
      <c r="M3841" s="1095"/>
    </row>
    <row r="3842" spans="1:13" x14ac:dyDescent="0.25">
      <c r="A3842">
        <v>2607345</v>
      </c>
      <c r="B3842" t="s">
        <v>11008</v>
      </c>
      <c r="C3842" t="s">
        <v>2640</v>
      </c>
      <c r="D3842" s="254">
        <v>244</v>
      </c>
      <c r="E3842"/>
      <c r="F3842"/>
      <c r="G3842"/>
      <c r="H3842"/>
      <c r="I3842" s="489"/>
      <c r="J3842" s="1095"/>
      <c r="K3842" s="1095"/>
      <c r="L3842" s="1095"/>
      <c r="M3842" s="1095"/>
    </row>
    <row r="3843" spans="1:13" x14ac:dyDescent="0.25">
      <c r="A3843">
        <v>2607340</v>
      </c>
      <c r="B3843" t="s">
        <v>11009</v>
      </c>
      <c r="C3843" t="s">
        <v>2640</v>
      </c>
      <c r="D3843" s="254">
        <v>167.72</v>
      </c>
      <c r="E3843"/>
      <c r="F3843"/>
      <c r="G3843"/>
      <c r="H3843"/>
      <c r="I3843" s="489"/>
      <c r="J3843" s="1095"/>
      <c r="K3843" s="1095"/>
      <c r="L3843" s="1095"/>
      <c r="M3843" s="1095"/>
    </row>
    <row r="3844" spans="1:13" x14ac:dyDescent="0.25">
      <c r="A3844">
        <v>2607350</v>
      </c>
      <c r="B3844" t="s">
        <v>11010</v>
      </c>
      <c r="C3844" t="s">
        <v>2640</v>
      </c>
      <c r="D3844" s="254">
        <v>372.89</v>
      </c>
      <c r="E3844"/>
      <c r="F3844"/>
      <c r="G3844"/>
      <c r="H3844"/>
      <c r="I3844" s="489"/>
      <c r="J3844" s="1095"/>
      <c r="K3844" s="1095"/>
      <c r="L3844" s="1095"/>
      <c r="M3844" s="1095"/>
    </row>
    <row r="3845" spans="1:13" x14ac:dyDescent="0.25">
      <c r="A3845">
        <v>2607346</v>
      </c>
      <c r="B3845" t="s">
        <v>11011</v>
      </c>
      <c r="C3845" t="s">
        <v>2640</v>
      </c>
      <c r="D3845" s="254">
        <v>283.39999999999998</v>
      </c>
      <c r="E3845"/>
      <c r="F3845"/>
      <c r="G3845"/>
      <c r="H3845"/>
      <c r="I3845" s="489"/>
      <c r="J3845" s="1095"/>
      <c r="K3845" s="1095"/>
      <c r="L3845" s="1095"/>
      <c r="M3845" s="1095"/>
    </row>
    <row r="3846" spans="1:13" x14ac:dyDescent="0.25">
      <c r="A3846">
        <v>2607341</v>
      </c>
      <c r="B3846" t="s">
        <v>11012</v>
      </c>
      <c r="C3846" t="s">
        <v>2640</v>
      </c>
      <c r="D3846" s="254">
        <v>197.86</v>
      </c>
      <c r="E3846"/>
      <c r="F3846"/>
      <c r="G3846"/>
      <c r="H3846"/>
      <c r="I3846" s="489"/>
      <c r="J3846" s="1095"/>
      <c r="K3846" s="1095"/>
      <c r="L3846" s="1095"/>
      <c r="M3846" s="1095"/>
    </row>
    <row r="3847" spans="1:13" x14ac:dyDescent="0.25">
      <c r="A3847">
        <v>2607351</v>
      </c>
      <c r="B3847" t="s">
        <v>11013</v>
      </c>
      <c r="C3847" t="s">
        <v>2640</v>
      </c>
      <c r="D3847" s="254">
        <v>433.15</v>
      </c>
      <c r="E3847"/>
      <c r="F3847"/>
      <c r="G3847"/>
      <c r="H3847"/>
      <c r="I3847" s="489"/>
      <c r="J3847" s="1095"/>
      <c r="K3847" s="1095"/>
      <c r="L3847" s="1095"/>
      <c r="M3847" s="1095"/>
    </row>
    <row r="3848" spans="1:13" x14ac:dyDescent="0.25">
      <c r="A3848">
        <v>2607347</v>
      </c>
      <c r="B3848" t="s">
        <v>11014</v>
      </c>
      <c r="C3848" t="s">
        <v>2640</v>
      </c>
      <c r="D3848" s="254">
        <v>373.91</v>
      </c>
      <c r="E3848"/>
      <c r="F3848"/>
      <c r="G3848"/>
      <c r="H3848"/>
      <c r="I3848" s="489"/>
      <c r="J3848" s="1095"/>
      <c r="K3848" s="1095"/>
      <c r="L3848" s="1095"/>
      <c r="M3848" s="1095"/>
    </row>
    <row r="3849" spans="1:13" x14ac:dyDescent="0.25">
      <c r="A3849">
        <v>2607342</v>
      </c>
      <c r="B3849" t="s">
        <v>11015</v>
      </c>
      <c r="C3849" t="s">
        <v>2640</v>
      </c>
      <c r="D3849" s="254">
        <v>244</v>
      </c>
      <c r="E3849"/>
      <c r="F3849"/>
      <c r="G3849"/>
      <c r="H3849"/>
      <c r="I3849" s="489"/>
      <c r="J3849" s="1095"/>
      <c r="K3849" s="1095"/>
      <c r="L3849" s="1095"/>
      <c r="M3849" s="1095"/>
    </row>
    <row r="3850" spans="1:13" x14ac:dyDescent="0.25">
      <c r="A3850">
        <v>2607352</v>
      </c>
      <c r="B3850" t="s">
        <v>11016</v>
      </c>
      <c r="C3850" t="s">
        <v>2640</v>
      </c>
      <c r="D3850" s="254">
        <v>569.91999999999996</v>
      </c>
      <c r="E3850"/>
      <c r="F3850"/>
      <c r="G3850"/>
      <c r="H3850"/>
      <c r="I3850" s="489"/>
      <c r="J3850" s="1095"/>
      <c r="K3850" s="1095"/>
      <c r="L3850" s="1095"/>
      <c r="M3850" s="1095"/>
    </row>
    <row r="3851" spans="1:13" x14ac:dyDescent="0.25">
      <c r="A3851">
        <v>2607343</v>
      </c>
      <c r="B3851" t="s">
        <v>11017</v>
      </c>
      <c r="C3851" t="s">
        <v>2640</v>
      </c>
      <c r="D3851" s="254">
        <v>171.67</v>
      </c>
      <c r="E3851"/>
      <c r="F3851"/>
      <c r="G3851"/>
      <c r="H3851"/>
      <c r="I3851" s="489"/>
      <c r="J3851" s="1095"/>
      <c r="K3851" s="1095"/>
      <c r="L3851" s="1095"/>
      <c r="M3851" s="1095"/>
    </row>
    <row r="3852" spans="1:13" x14ac:dyDescent="0.25">
      <c r="A3852">
        <v>2607338</v>
      </c>
      <c r="B3852" t="s">
        <v>11018</v>
      </c>
      <c r="C3852" t="s">
        <v>2640</v>
      </c>
      <c r="D3852" s="254">
        <v>125.61</v>
      </c>
      <c r="E3852"/>
      <c r="F3852"/>
      <c r="G3852"/>
      <c r="H3852"/>
      <c r="I3852" s="489"/>
      <c r="J3852" s="1095"/>
      <c r="K3852" s="1095"/>
      <c r="L3852" s="1095"/>
      <c r="M3852" s="1095"/>
    </row>
    <row r="3853" spans="1:13" x14ac:dyDescent="0.25">
      <c r="A3853">
        <v>2607348</v>
      </c>
      <c r="B3853" t="s">
        <v>11019</v>
      </c>
      <c r="C3853" t="s">
        <v>2640</v>
      </c>
      <c r="D3853" s="254">
        <v>262.27</v>
      </c>
      <c r="E3853"/>
      <c r="F3853"/>
      <c r="G3853"/>
      <c r="H3853"/>
      <c r="I3853" s="489"/>
      <c r="J3853" s="1095"/>
      <c r="K3853" s="1095"/>
      <c r="L3853" s="1095"/>
      <c r="M3853" s="1095"/>
    </row>
    <row r="3854" spans="1:13" x14ac:dyDescent="0.25">
      <c r="A3854">
        <v>2607329</v>
      </c>
      <c r="B3854" t="s">
        <v>11020</v>
      </c>
      <c r="C3854" t="s">
        <v>2640</v>
      </c>
      <c r="D3854" s="254">
        <v>493.55</v>
      </c>
      <c r="E3854"/>
      <c r="F3854"/>
      <c r="G3854"/>
      <c r="H3854"/>
      <c r="I3854" s="489"/>
      <c r="J3854" s="1095"/>
      <c r="K3854" s="1095"/>
      <c r="L3854" s="1095"/>
      <c r="M3854" s="1095"/>
    </row>
    <row r="3855" spans="1:13" x14ac:dyDescent="0.25">
      <c r="A3855">
        <v>2607324</v>
      </c>
      <c r="B3855" t="s">
        <v>11021</v>
      </c>
      <c r="C3855" t="s">
        <v>2640</v>
      </c>
      <c r="D3855" s="254">
        <v>336.96</v>
      </c>
      <c r="E3855"/>
      <c r="F3855"/>
      <c r="G3855"/>
      <c r="H3855"/>
      <c r="I3855" s="489"/>
      <c r="J3855" s="1095"/>
      <c r="K3855" s="1095"/>
      <c r="L3855" s="1095"/>
      <c r="M3855" s="1095"/>
    </row>
    <row r="3856" spans="1:13" x14ac:dyDescent="0.25">
      <c r="A3856">
        <v>2607334</v>
      </c>
      <c r="B3856" t="s">
        <v>11022</v>
      </c>
      <c r="C3856" t="s">
        <v>2640</v>
      </c>
      <c r="D3856" s="254">
        <v>715.58</v>
      </c>
      <c r="E3856"/>
      <c r="F3856"/>
      <c r="G3856"/>
      <c r="H3856"/>
      <c r="I3856" s="489"/>
      <c r="J3856" s="1095"/>
      <c r="K3856" s="1095"/>
      <c r="L3856" s="1095"/>
      <c r="M3856" s="1095"/>
    </row>
    <row r="3857" spans="1:13" x14ac:dyDescent="0.25">
      <c r="A3857">
        <v>2607330</v>
      </c>
      <c r="B3857" t="s">
        <v>11023</v>
      </c>
      <c r="C3857" t="s">
        <v>2640</v>
      </c>
      <c r="D3857" s="254">
        <v>564.36</v>
      </c>
      <c r="E3857"/>
      <c r="F3857"/>
      <c r="G3857"/>
      <c r="H3857"/>
      <c r="I3857" s="489"/>
      <c r="J3857" s="1095"/>
      <c r="K3857" s="1095"/>
      <c r="L3857" s="1095"/>
      <c r="M3857" s="1095"/>
    </row>
    <row r="3858" spans="1:13" x14ac:dyDescent="0.25">
      <c r="A3858">
        <v>2607325</v>
      </c>
      <c r="B3858" t="s">
        <v>11024</v>
      </c>
      <c r="C3858" t="s">
        <v>2640</v>
      </c>
      <c r="D3858" s="254">
        <v>386.97</v>
      </c>
      <c r="E3858"/>
      <c r="F3858"/>
      <c r="G3858"/>
      <c r="H3858"/>
      <c r="I3858" s="489"/>
      <c r="J3858" s="1095"/>
      <c r="K3858" s="1095"/>
      <c r="L3858" s="1095"/>
      <c r="M3858" s="1095"/>
    </row>
    <row r="3859" spans="1:13" x14ac:dyDescent="0.25">
      <c r="A3859">
        <v>2607335</v>
      </c>
      <c r="B3859" t="s">
        <v>11025</v>
      </c>
      <c r="C3859" t="s">
        <v>2640</v>
      </c>
      <c r="D3859" s="254">
        <v>817.68</v>
      </c>
      <c r="E3859"/>
      <c r="F3859"/>
      <c r="G3859"/>
      <c r="H3859"/>
      <c r="I3859" s="489"/>
      <c r="J3859" s="1095"/>
      <c r="K3859" s="1095"/>
      <c r="L3859" s="1095"/>
      <c r="M3859" s="1095"/>
    </row>
    <row r="3860" spans="1:13" x14ac:dyDescent="0.25">
      <c r="A3860">
        <v>2607331</v>
      </c>
      <c r="B3860" t="s">
        <v>11026</v>
      </c>
      <c r="C3860" t="s">
        <v>2640</v>
      </c>
      <c r="D3860" s="254">
        <v>656.1</v>
      </c>
      <c r="E3860"/>
      <c r="F3860"/>
      <c r="G3860"/>
      <c r="H3860"/>
      <c r="I3860" s="489"/>
      <c r="J3860" s="1095"/>
      <c r="K3860" s="1095"/>
      <c r="L3860" s="1095"/>
      <c r="M3860" s="1095"/>
    </row>
    <row r="3861" spans="1:13" x14ac:dyDescent="0.25">
      <c r="A3861">
        <v>2607326</v>
      </c>
      <c r="B3861" t="s">
        <v>11027</v>
      </c>
      <c r="C3861" t="s">
        <v>2640</v>
      </c>
      <c r="D3861" s="254">
        <v>457.78</v>
      </c>
      <c r="E3861"/>
      <c r="F3861"/>
      <c r="G3861"/>
      <c r="H3861"/>
      <c r="I3861" s="489"/>
      <c r="J3861" s="1095"/>
      <c r="K3861" s="1095"/>
      <c r="L3861" s="1095"/>
      <c r="M3861" s="1095"/>
    </row>
    <row r="3862" spans="1:13" x14ac:dyDescent="0.25">
      <c r="A3862">
        <v>2607336</v>
      </c>
      <c r="B3862" t="s">
        <v>11028</v>
      </c>
      <c r="C3862" t="s">
        <v>2640</v>
      </c>
      <c r="D3862" s="254">
        <v>951.15</v>
      </c>
      <c r="E3862"/>
      <c r="F3862"/>
      <c r="G3862"/>
      <c r="H3862"/>
      <c r="I3862" s="489"/>
      <c r="J3862" s="1095"/>
      <c r="K3862" s="1095"/>
      <c r="L3862" s="1095"/>
      <c r="M3862" s="1095"/>
    </row>
    <row r="3863" spans="1:13" x14ac:dyDescent="0.25">
      <c r="A3863">
        <v>2607332</v>
      </c>
      <c r="B3863" t="s">
        <v>11029</v>
      </c>
      <c r="C3863" t="s">
        <v>2640</v>
      </c>
      <c r="D3863" s="254">
        <v>868.6</v>
      </c>
      <c r="E3863"/>
      <c r="F3863"/>
      <c r="G3863"/>
      <c r="H3863"/>
      <c r="I3863" s="489"/>
      <c r="J3863" s="1095"/>
      <c r="K3863" s="1095"/>
      <c r="L3863" s="1095"/>
      <c r="M3863" s="1095"/>
    </row>
    <row r="3864" spans="1:13" x14ac:dyDescent="0.25">
      <c r="A3864">
        <v>2607327</v>
      </c>
      <c r="B3864" t="s">
        <v>11030</v>
      </c>
      <c r="C3864" t="s">
        <v>2640</v>
      </c>
      <c r="D3864" s="254">
        <v>564.36</v>
      </c>
      <c r="E3864"/>
      <c r="F3864"/>
      <c r="G3864"/>
      <c r="H3864"/>
      <c r="I3864" s="489"/>
      <c r="J3864" s="1095"/>
      <c r="K3864" s="1095"/>
      <c r="L3864" s="1095"/>
      <c r="M3864" s="1095"/>
    </row>
    <row r="3865" spans="1:13" x14ac:dyDescent="0.25">
      <c r="A3865">
        <v>2607337</v>
      </c>
      <c r="B3865" t="s">
        <v>11031</v>
      </c>
      <c r="C3865" t="s">
        <v>2640</v>
      </c>
      <c r="D3865" s="254">
        <v>1257.55</v>
      </c>
      <c r="E3865"/>
      <c r="F3865"/>
      <c r="G3865"/>
      <c r="H3865"/>
      <c r="I3865" s="489"/>
      <c r="J3865" s="1095"/>
      <c r="K3865" s="1095"/>
      <c r="L3865" s="1095"/>
      <c r="M3865" s="1095"/>
    </row>
    <row r="3866" spans="1:13" x14ac:dyDescent="0.25">
      <c r="A3866">
        <v>2607328</v>
      </c>
      <c r="B3866" t="s">
        <v>11032</v>
      </c>
      <c r="C3866" t="s">
        <v>2640</v>
      </c>
      <c r="D3866" s="254">
        <v>395.91</v>
      </c>
      <c r="E3866"/>
      <c r="F3866"/>
      <c r="G3866"/>
      <c r="H3866"/>
      <c r="I3866" s="489"/>
      <c r="J3866" s="1095"/>
      <c r="K3866" s="1095"/>
      <c r="L3866" s="1095"/>
      <c r="M3866" s="1095"/>
    </row>
    <row r="3867" spans="1:13" x14ac:dyDescent="0.25">
      <c r="A3867">
        <v>2607323</v>
      </c>
      <c r="B3867" t="s">
        <v>11033</v>
      </c>
      <c r="C3867" t="s">
        <v>2640</v>
      </c>
      <c r="D3867" s="254">
        <v>289.27</v>
      </c>
      <c r="E3867"/>
      <c r="F3867"/>
      <c r="G3867"/>
      <c r="H3867"/>
      <c r="I3867" s="489"/>
      <c r="J3867" s="1095"/>
      <c r="K3867" s="1095"/>
      <c r="L3867" s="1095"/>
      <c r="M3867" s="1095"/>
    </row>
    <row r="3868" spans="1:13" x14ac:dyDescent="0.25">
      <c r="A3868">
        <v>2607333</v>
      </c>
      <c r="B3868" t="s">
        <v>11034</v>
      </c>
      <c r="C3868" t="s">
        <v>2640</v>
      </c>
      <c r="D3868" s="254">
        <v>573.25</v>
      </c>
      <c r="E3868"/>
      <c r="F3868"/>
      <c r="G3868"/>
      <c r="H3868"/>
      <c r="I3868" s="489"/>
      <c r="J3868" s="1095"/>
      <c r="K3868" s="1095"/>
      <c r="L3868" s="1095"/>
      <c r="M3868" s="1095"/>
    </row>
    <row r="3869" spans="1:13" x14ac:dyDescent="0.25">
      <c r="A3869">
        <v>2607106</v>
      </c>
      <c r="B3869" t="s">
        <v>11035</v>
      </c>
      <c r="C3869" t="s">
        <v>11036</v>
      </c>
      <c r="D3869" s="254">
        <v>96285.63</v>
      </c>
      <c r="E3869"/>
      <c r="F3869"/>
      <c r="G3869"/>
      <c r="H3869"/>
      <c r="I3869" s="489"/>
      <c r="J3869" s="1095"/>
      <c r="K3869" s="1095"/>
      <c r="L3869" s="1095"/>
      <c r="M3869" s="1095"/>
    </row>
    <row r="3870" spans="1:13" x14ac:dyDescent="0.25">
      <c r="A3870">
        <v>2607102</v>
      </c>
      <c r="B3870" t="s">
        <v>11037</v>
      </c>
      <c r="C3870" t="s">
        <v>11036</v>
      </c>
      <c r="D3870" s="254">
        <v>47401.84</v>
      </c>
      <c r="E3870"/>
      <c r="F3870"/>
      <c r="G3870"/>
      <c r="H3870"/>
      <c r="I3870" s="489"/>
      <c r="J3870" s="1095"/>
      <c r="K3870" s="1095"/>
      <c r="L3870" s="1095"/>
      <c r="M3870" s="1095"/>
    </row>
    <row r="3871" spans="1:13" x14ac:dyDescent="0.25">
      <c r="A3871">
        <v>2607261</v>
      </c>
      <c r="B3871" t="s">
        <v>11038</v>
      </c>
      <c r="C3871" t="s">
        <v>11036</v>
      </c>
      <c r="D3871" s="254">
        <v>96285.63</v>
      </c>
      <c r="E3871"/>
      <c r="F3871"/>
      <c r="G3871"/>
      <c r="H3871"/>
      <c r="I3871" s="489"/>
      <c r="J3871" s="1095"/>
      <c r="K3871" s="1095"/>
      <c r="L3871" s="1095"/>
      <c r="M3871" s="1095"/>
    </row>
    <row r="3872" spans="1:13" x14ac:dyDescent="0.25">
      <c r="A3872">
        <v>2607107</v>
      </c>
      <c r="B3872" t="s">
        <v>11039</v>
      </c>
      <c r="C3872" t="s">
        <v>11036</v>
      </c>
      <c r="D3872" s="254">
        <v>109893.31</v>
      </c>
      <c r="E3872"/>
      <c r="F3872"/>
      <c r="G3872"/>
      <c r="H3872"/>
      <c r="I3872" s="489"/>
      <c r="J3872" s="1095"/>
      <c r="K3872" s="1095"/>
      <c r="L3872" s="1095"/>
      <c r="M3872" s="1095"/>
    </row>
    <row r="3873" spans="1:13" x14ac:dyDescent="0.25">
      <c r="A3873">
        <v>2607103</v>
      </c>
      <c r="B3873" t="s">
        <v>11040</v>
      </c>
      <c r="C3873" t="s">
        <v>11036</v>
      </c>
      <c r="D3873" s="254">
        <v>53948.33</v>
      </c>
      <c r="E3873"/>
      <c r="F3873"/>
      <c r="G3873"/>
      <c r="H3873"/>
      <c r="I3873" s="489"/>
      <c r="J3873" s="1095"/>
      <c r="K3873" s="1095"/>
      <c r="L3873" s="1095"/>
      <c r="M3873" s="1095"/>
    </row>
    <row r="3874" spans="1:13" x14ac:dyDescent="0.25">
      <c r="A3874">
        <v>2607262</v>
      </c>
      <c r="B3874" t="s">
        <v>11041</v>
      </c>
      <c r="C3874" t="s">
        <v>11036</v>
      </c>
      <c r="D3874" s="254">
        <v>109893.31</v>
      </c>
      <c r="E3874"/>
      <c r="F3874"/>
      <c r="G3874"/>
      <c r="H3874"/>
      <c r="I3874" s="489"/>
      <c r="J3874" s="1095"/>
      <c r="K3874" s="1095"/>
      <c r="L3874" s="1095"/>
      <c r="M3874" s="1095"/>
    </row>
    <row r="3875" spans="1:13" x14ac:dyDescent="0.25">
      <c r="A3875">
        <v>2607108</v>
      </c>
      <c r="B3875" t="s">
        <v>11042</v>
      </c>
      <c r="C3875" t="s">
        <v>11036</v>
      </c>
      <c r="D3875" s="254">
        <v>128012.86</v>
      </c>
      <c r="E3875"/>
      <c r="F3875"/>
      <c r="G3875"/>
      <c r="H3875"/>
      <c r="I3875" s="489"/>
      <c r="J3875" s="1095"/>
      <c r="K3875" s="1095"/>
      <c r="L3875" s="1095"/>
      <c r="M3875" s="1095"/>
    </row>
    <row r="3876" spans="1:13" x14ac:dyDescent="0.25">
      <c r="A3876">
        <v>2607104</v>
      </c>
      <c r="B3876" t="s">
        <v>11043</v>
      </c>
      <c r="C3876" t="s">
        <v>11036</v>
      </c>
      <c r="D3876" s="254">
        <v>63743.93</v>
      </c>
      <c r="E3876"/>
      <c r="F3876"/>
      <c r="G3876"/>
      <c r="H3876"/>
      <c r="I3876" s="489"/>
      <c r="J3876" s="1095"/>
      <c r="K3876" s="1095"/>
      <c r="L3876" s="1095"/>
      <c r="M3876" s="1095"/>
    </row>
    <row r="3877" spans="1:13" x14ac:dyDescent="0.25">
      <c r="A3877">
        <v>2607263</v>
      </c>
      <c r="B3877" t="s">
        <v>11044</v>
      </c>
      <c r="C3877" t="s">
        <v>11036</v>
      </c>
      <c r="D3877" s="254">
        <v>128012.86</v>
      </c>
      <c r="E3877"/>
      <c r="F3877"/>
      <c r="G3877"/>
      <c r="H3877"/>
      <c r="I3877" s="489"/>
      <c r="J3877" s="1095"/>
      <c r="K3877" s="1095"/>
      <c r="L3877" s="1095"/>
      <c r="M3877" s="1095"/>
    </row>
    <row r="3878" spans="1:13" x14ac:dyDescent="0.25">
      <c r="A3878">
        <v>2607109</v>
      </c>
      <c r="B3878" t="s">
        <v>11045</v>
      </c>
      <c r="C3878" t="s">
        <v>11036</v>
      </c>
      <c r="D3878" s="254">
        <v>168787.82</v>
      </c>
      <c r="E3878"/>
      <c r="F3878"/>
      <c r="G3878"/>
      <c r="H3878"/>
      <c r="I3878" s="489"/>
      <c r="J3878" s="1095"/>
      <c r="K3878" s="1095"/>
      <c r="L3878" s="1095"/>
      <c r="M3878" s="1095"/>
    </row>
    <row r="3879" spans="1:13" x14ac:dyDescent="0.25">
      <c r="A3879">
        <v>2607105</v>
      </c>
      <c r="B3879" t="s">
        <v>11046</v>
      </c>
      <c r="C3879" t="s">
        <v>11036</v>
      </c>
      <c r="D3879" s="254">
        <v>79273.75</v>
      </c>
      <c r="E3879"/>
      <c r="F3879"/>
      <c r="G3879"/>
      <c r="H3879"/>
      <c r="I3879" s="489"/>
      <c r="J3879" s="1095"/>
      <c r="K3879" s="1095"/>
      <c r="L3879" s="1095"/>
      <c r="M3879" s="1095"/>
    </row>
    <row r="3880" spans="1:13" x14ac:dyDescent="0.25">
      <c r="A3880">
        <v>2607264</v>
      </c>
      <c r="B3880" t="s">
        <v>11047</v>
      </c>
      <c r="C3880" t="s">
        <v>11036</v>
      </c>
      <c r="D3880" s="254">
        <v>168787.82</v>
      </c>
      <c r="E3880"/>
      <c r="F3880"/>
      <c r="G3880"/>
      <c r="H3880"/>
      <c r="I3880" s="489"/>
      <c r="J3880" s="1095"/>
      <c r="K3880" s="1095"/>
      <c r="L3880" s="1095"/>
      <c r="M3880" s="1095"/>
    </row>
    <row r="3881" spans="1:13" x14ac:dyDescent="0.25">
      <c r="A3881">
        <v>2607093</v>
      </c>
      <c r="B3881" t="s">
        <v>11048</v>
      </c>
      <c r="C3881" t="s">
        <v>11036</v>
      </c>
      <c r="D3881" s="254">
        <v>36369.980000000003</v>
      </c>
      <c r="E3881"/>
      <c r="F3881"/>
      <c r="G3881"/>
      <c r="H3881"/>
      <c r="I3881" s="489"/>
      <c r="J3881" s="1095"/>
      <c r="K3881" s="1095"/>
      <c r="L3881" s="1095"/>
      <c r="M3881" s="1095"/>
    </row>
    <row r="3882" spans="1:13" x14ac:dyDescent="0.25">
      <c r="A3882">
        <v>2607088</v>
      </c>
      <c r="B3882" t="s">
        <v>11049</v>
      </c>
      <c r="C3882" t="s">
        <v>11036</v>
      </c>
      <c r="D3882" s="254">
        <v>15085.01</v>
      </c>
      <c r="E3882"/>
      <c r="F3882"/>
      <c r="G3882"/>
      <c r="H3882"/>
      <c r="I3882" s="489"/>
      <c r="J3882" s="1095"/>
      <c r="K3882" s="1095"/>
      <c r="L3882" s="1095"/>
      <c r="M3882" s="1095"/>
    </row>
    <row r="3883" spans="1:13" x14ac:dyDescent="0.25">
      <c r="A3883">
        <v>2607098</v>
      </c>
      <c r="B3883" t="s">
        <v>11050</v>
      </c>
      <c r="C3883" t="s">
        <v>11036</v>
      </c>
      <c r="D3883" s="254">
        <v>36687.050000000003</v>
      </c>
      <c r="E3883"/>
      <c r="F3883"/>
      <c r="G3883"/>
      <c r="H3883"/>
      <c r="I3883" s="489"/>
      <c r="J3883" s="1095"/>
      <c r="K3883" s="1095"/>
      <c r="L3883" s="1095"/>
      <c r="M3883" s="1095"/>
    </row>
    <row r="3884" spans="1:13" x14ac:dyDescent="0.25">
      <c r="A3884">
        <v>2607094</v>
      </c>
      <c r="B3884" t="s">
        <v>11051</v>
      </c>
      <c r="C3884" t="s">
        <v>11036</v>
      </c>
      <c r="D3884" s="254">
        <v>40996.03</v>
      </c>
      <c r="E3884"/>
      <c r="F3884"/>
      <c r="G3884"/>
      <c r="H3884"/>
      <c r="I3884" s="489"/>
      <c r="J3884" s="1095"/>
      <c r="K3884" s="1095"/>
      <c r="L3884" s="1095"/>
      <c r="M3884" s="1095"/>
    </row>
    <row r="3885" spans="1:13" x14ac:dyDescent="0.25">
      <c r="A3885">
        <v>2607089</v>
      </c>
      <c r="B3885" t="s">
        <v>11052</v>
      </c>
      <c r="C3885" t="s">
        <v>11036</v>
      </c>
      <c r="D3885" s="254">
        <v>17269.96</v>
      </c>
      <c r="E3885"/>
      <c r="F3885"/>
      <c r="G3885"/>
      <c r="H3885"/>
      <c r="I3885" s="489"/>
      <c r="J3885" s="1095"/>
      <c r="K3885" s="1095"/>
      <c r="L3885" s="1095"/>
      <c r="M3885" s="1095"/>
    </row>
    <row r="3886" spans="1:13" x14ac:dyDescent="0.25">
      <c r="A3886">
        <v>2607099</v>
      </c>
      <c r="B3886" t="s">
        <v>11053</v>
      </c>
      <c r="C3886" t="s">
        <v>11036</v>
      </c>
      <c r="D3886" s="254">
        <v>41357.25</v>
      </c>
      <c r="E3886"/>
      <c r="F3886"/>
      <c r="G3886"/>
      <c r="H3886"/>
      <c r="I3886" s="489"/>
      <c r="J3886" s="1095"/>
      <c r="K3886" s="1095"/>
      <c r="L3886" s="1095"/>
      <c r="M3886" s="1095"/>
    </row>
    <row r="3887" spans="1:13" x14ac:dyDescent="0.25">
      <c r="A3887">
        <v>2607095</v>
      </c>
      <c r="B3887" t="s">
        <v>11054</v>
      </c>
      <c r="C3887" t="s">
        <v>11036</v>
      </c>
      <c r="D3887" s="254">
        <v>48156.17</v>
      </c>
      <c r="E3887"/>
      <c r="F3887"/>
      <c r="G3887"/>
      <c r="H3887"/>
      <c r="I3887" s="489"/>
      <c r="J3887" s="1095"/>
      <c r="K3887" s="1095"/>
      <c r="L3887" s="1095"/>
      <c r="M3887" s="1095"/>
    </row>
    <row r="3888" spans="1:13" x14ac:dyDescent="0.25">
      <c r="A3888">
        <v>2607090</v>
      </c>
      <c r="B3888" t="s">
        <v>11055</v>
      </c>
      <c r="C3888" t="s">
        <v>11036</v>
      </c>
      <c r="D3888" s="254">
        <v>21026.18</v>
      </c>
      <c r="E3888"/>
      <c r="F3888"/>
      <c r="G3888"/>
      <c r="H3888"/>
      <c r="I3888" s="489"/>
      <c r="J3888" s="1095"/>
      <c r="K3888" s="1095"/>
      <c r="L3888" s="1095"/>
      <c r="M3888" s="1095"/>
    </row>
    <row r="3889" spans="1:13" x14ac:dyDescent="0.25">
      <c r="A3889">
        <v>2607260</v>
      </c>
      <c r="B3889" t="s">
        <v>11056</v>
      </c>
      <c r="C3889" t="s">
        <v>11036</v>
      </c>
      <c r="D3889" s="254">
        <v>48575.69</v>
      </c>
      <c r="E3889"/>
      <c r="F3889"/>
      <c r="G3889"/>
      <c r="H3889"/>
      <c r="I3889" s="489"/>
      <c r="J3889" s="1095"/>
      <c r="K3889" s="1095"/>
      <c r="L3889" s="1095"/>
      <c r="M3889" s="1095"/>
    </row>
    <row r="3890" spans="1:13" x14ac:dyDescent="0.25">
      <c r="A3890">
        <v>2607096</v>
      </c>
      <c r="B3890" t="s">
        <v>11057</v>
      </c>
      <c r="C3890" t="s">
        <v>11036</v>
      </c>
      <c r="D3890" s="254">
        <v>63482.55</v>
      </c>
      <c r="E3890"/>
      <c r="F3890"/>
      <c r="G3890"/>
      <c r="H3890"/>
      <c r="I3890" s="489"/>
      <c r="J3890" s="1095"/>
      <c r="K3890" s="1095"/>
      <c r="L3890" s="1095"/>
      <c r="M3890" s="1095"/>
    </row>
    <row r="3891" spans="1:13" x14ac:dyDescent="0.25">
      <c r="A3891">
        <v>2607091</v>
      </c>
      <c r="B3891" t="s">
        <v>11058</v>
      </c>
      <c r="C3891" t="s">
        <v>11036</v>
      </c>
      <c r="D3891" s="254">
        <v>26414.73</v>
      </c>
      <c r="E3891"/>
      <c r="F3891"/>
      <c r="G3891"/>
      <c r="H3891"/>
      <c r="I3891" s="489"/>
      <c r="J3891" s="1095"/>
      <c r="K3891" s="1095"/>
      <c r="L3891" s="1095"/>
      <c r="M3891" s="1095"/>
    </row>
    <row r="3892" spans="1:13" x14ac:dyDescent="0.25">
      <c r="A3892">
        <v>2607101</v>
      </c>
      <c r="B3892" t="s">
        <v>11059</v>
      </c>
      <c r="C3892" t="s">
        <v>11036</v>
      </c>
      <c r="D3892" s="254">
        <v>64035.48</v>
      </c>
      <c r="E3892"/>
      <c r="F3892"/>
      <c r="G3892"/>
      <c r="H3892"/>
      <c r="I3892" s="489"/>
      <c r="J3892" s="1095"/>
      <c r="K3892" s="1095"/>
      <c r="L3892" s="1095"/>
      <c r="M3892" s="1095"/>
    </row>
    <row r="3893" spans="1:13" x14ac:dyDescent="0.25">
      <c r="A3893">
        <v>2607092</v>
      </c>
      <c r="B3893" t="s">
        <v>11060</v>
      </c>
      <c r="C3893" t="s">
        <v>11036</v>
      </c>
      <c r="D3893" s="254">
        <v>28941.31</v>
      </c>
      <c r="E3893"/>
      <c r="F3893"/>
      <c r="G3893"/>
      <c r="H3893"/>
      <c r="I3893" s="489"/>
      <c r="J3893" s="1095"/>
      <c r="K3893" s="1095"/>
      <c r="L3893" s="1095"/>
      <c r="M3893" s="1095"/>
    </row>
    <row r="3894" spans="1:13" x14ac:dyDescent="0.25">
      <c r="A3894">
        <v>2607087</v>
      </c>
      <c r="B3894" t="s">
        <v>11061</v>
      </c>
      <c r="C3894" t="s">
        <v>11036</v>
      </c>
      <c r="D3894" s="254">
        <v>12592.09</v>
      </c>
      <c r="E3894"/>
      <c r="F3894"/>
      <c r="G3894"/>
      <c r="H3894"/>
      <c r="I3894" s="489"/>
      <c r="J3894" s="1095"/>
      <c r="K3894" s="1095"/>
      <c r="L3894" s="1095"/>
      <c r="M3894" s="1095"/>
    </row>
    <row r="3895" spans="1:13" x14ac:dyDescent="0.25">
      <c r="A3895">
        <v>2607097</v>
      </c>
      <c r="B3895" t="s">
        <v>11062</v>
      </c>
      <c r="C3895" t="s">
        <v>11036</v>
      </c>
      <c r="D3895" s="254">
        <v>29195.16</v>
      </c>
      <c r="E3895"/>
      <c r="F3895"/>
      <c r="G3895"/>
      <c r="H3895"/>
      <c r="I3895" s="489"/>
      <c r="J3895" s="1095"/>
      <c r="K3895" s="1095"/>
      <c r="L3895" s="1095"/>
      <c r="M3895" s="1095"/>
    </row>
    <row r="3896" spans="1:13" x14ac:dyDescent="0.25">
      <c r="A3896">
        <v>2607198</v>
      </c>
      <c r="B3896" t="s">
        <v>11063</v>
      </c>
      <c r="C3896" t="s">
        <v>2640</v>
      </c>
      <c r="D3896" s="254">
        <v>300.75</v>
      </c>
      <c r="E3896"/>
      <c r="F3896"/>
      <c r="G3896"/>
      <c r="H3896"/>
      <c r="I3896" s="489"/>
      <c r="J3896" s="1095"/>
      <c r="K3896" s="1095"/>
      <c r="L3896" s="1095"/>
      <c r="M3896" s="1095"/>
    </row>
    <row r="3897" spans="1:13" x14ac:dyDescent="0.25">
      <c r="A3897">
        <v>2809170</v>
      </c>
      <c r="B3897" t="s">
        <v>11064</v>
      </c>
      <c r="C3897" t="s">
        <v>2640</v>
      </c>
      <c r="D3897" s="254">
        <v>2064.92</v>
      </c>
      <c r="E3897"/>
      <c r="F3897"/>
      <c r="G3897"/>
      <c r="H3897"/>
      <c r="I3897" s="489"/>
      <c r="J3897" s="1095"/>
      <c r="K3897" s="1095"/>
      <c r="L3897" s="1095"/>
      <c r="M3897" s="1095"/>
    </row>
    <row r="3898" spans="1:13" x14ac:dyDescent="0.25">
      <c r="A3898">
        <v>2809183</v>
      </c>
      <c r="B3898" t="s">
        <v>11065</v>
      </c>
      <c r="C3898" t="s">
        <v>2640</v>
      </c>
      <c r="D3898" s="254">
        <v>2985.89</v>
      </c>
      <c r="E3898"/>
      <c r="F3898"/>
      <c r="G3898"/>
      <c r="H3898"/>
      <c r="I3898" s="489"/>
      <c r="J3898" s="1095"/>
      <c r="K3898" s="1095"/>
      <c r="L3898" s="1095"/>
      <c r="M3898" s="1095"/>
    </row>
    <row r="3899" spans="1:13" x14ac:dyDescent="0.25">
      <c r="A3899">
        <v>2809174</v>
      </c>
      <c r="B3899" t="s">
        <v>11066</v>
      </c>
      <c r="C3899" t="s">
        <v>2640</v>
      </c>
      <c r="D3899" s="254">
        <v>2179.81</v>
      </c>
      <c r="E3899"/>
      <c r="F3899"/>
      <c r="G3899"/>
      <c r="H3899"/>
      <c r="I3899" s="489"/>
      <c r="J3899" s="1095"/>
      <c r="K3899" s="1095"/>
      <c r="L3899" s="1095"/>
      <c r="M3899" s="1095"/>
    </row>
    <row r="3900" spans="1:13" x14ac:dyDescent="0.25">
      <c r="A3900">
        <v>2809196</v>
      </c>
      <c r="B3900" t="s">
        <v>11067</v>
      </c>
      <c r="C3900" t="s">
        <v>2640</v>
      </c>
      <c r="D3900" s="254">
        <v>3141.38</v>
      </c>
      <c r="E3900"/>
      <c r="F3900"/>
      <c r="G3900"/>
      <c r="H3900"/>
      <c r="I3900" s="489"/>
      <c r="J3900" s="1095"/>
      <c r="K3900" s="1095"/>
      <c r="L3900" s="1095"/>
      <c r="M3900" s="1095"/>
    </row>
    <row r="3901" spans="1:13" x14ac:dyDescent="0.25">
      <c r="A3901">
        <v>2809187</v>
      </c>
      <c r="B3901" t="s">
        <v>11068</v>
      </c>
      <c r="C3901" t="s">
        <v>2640</v>
      </c>
      <c r="D3901" s="254">
        <v>3158.27</v>
      </c>
      <c r="E3901"/>
      <c r="F3901"/>
      <c r="G3901"/>
      <c r="H3901"/>
      <c r="I3901" s="489"/>
      <c r="J3901" s="1095"/>
      <c r="K3901" s="1095"/>
      <c r="L3901" s="1095"/>
      <c r="M3901" s="1095"/>
    </row>
    <row r="3902" spans="1:13" x14ac:dyDescent="0.25">
      <c r="A3902">
        <v>2809178</v>
      </c>
      <c r="B3902" t="s">
        <v>11069</v>
      </c>
      <c r="C3902" t="s">
        <v>2640</v>
      </c>
      <c r="D3902" s="254">
        <v>2351.9699999999998</v>
      </c>
      <c r="E3902"/>
      <c r="F3902"/>
      <c r="G3902"/>
      <c r="H3902"/>
      <c r="I3902" s="489"/>
      <c r="J3902" s="1095"/>
      <c r="K3902" s="1095"/>
      <c r="L3902" s="1095"/>
      <c r="M3902" s="1095"/>
    </row>
    <row r="3903" spans="1:13" x14ac:dyDescent="0.25">
      <c r="A3903">
        <v>2809200</v>
      </c>
      <c r="B3903" t="s">
        <v>11070</v>
      </c>
      <c r="C3903" t="s">
        <v>2640</v>
      </c>
      <c r="D3903" s="254">
        <v>3320.91</v>
      </c>
      <c r="E3903"/>
      <c r="F3903"/>
      <c r="G3903"/>
      <c r="H3903"/>
      <c r="I3903" s="489"/>
      <c r="J3903" s="1095"/>
      <c r="K3903" s="1095"/>
      <c r="L3903" s="1095"/>
      <c r="M3903" s="1095"/>
    </row>
    <row r="3904" spans="1:13" x14ac:dyDescent="0.25">
      <c r="A3904">
        <v>2809191</v>
      </c>
      <c r="B3904" t="s">
        <v>11071</v>
      </c>
      <c r="C3904" t="s">
        <v>2640</v>
      </c>
      <c r="D3904" s="254">
        <v>3316.35</v>
      </c>
      <c r="E3904"/>
      <c r="F3904"/>
      <c r="G3904"/>
      <c r="H3904"/>
      <c r="I3904" s="489"/>
      <c r="J3904" s="1095"/>
      <c r="K3904" s="1095"/>
      <c r="L3904" s="1095"/>
      <c r="M3904" s="1095"/>
    </row>
    <row r="3905" spans="1:13" x14ac:dyDescent="0.25">
      <c r="A3905">
        <v>2809204</v>
      </c>
      <c r="B3905" t="s">
        <v>11072</v>
      </c>
      <c r="C3905" t="s">
        <v>2640</v>
      </c>
      <c r="D3905" s="254">
        <v>3485.27</v>
      </c>
      <c r="E3905"/>
      <c r="F3905"/>
      <c r="G3905"/>
      <c r="H3905"/>
      <c r="I3905" s="489"/>
      <c r="J3905" s="1095"/>
      <c r="K3905" s="1095"/>
      <c r="L3905" s="1095"/>
      <c r="M3905" s="1095"/>
    </row>
    <row r="3906" spans="1:13" x14ac:dyDescent="0.25">
      <c r="A3906">
        <v>2809171</v>
      </c>
      <c r="B3906" t="s">
        <v>11073</v>
      </c>
      <c r="C3906" t="s">
        <v>2640</v>
      </c>
      <c r="D3906" s="254">
        <v>2328.77</v>
      </c>
      <c r="E3906"/>
      <c r="F3906"/>
      <c r="G3906"/>
      <c r="H3906"/>
      <c r="I3906" s="489"/>
      <c r="J3906" s="1095"/>
      <c r="K3906" s="1095"/>
      <c r="L3906" s="1095"/>
      <c r="M3906" s="1095"/>
    </row>
    <row r="3907" spans="1:13" x14ac:dyDescent="0.25">
      <c r="A3907">
        <v>2809184</v>
      </c>
      <c r="B3907" t="s">
        <v>11074</v>
      </c>
      <c r="C3907" t="s">
        <v>2640</v>
      </c>
      <c r="D3907" s="254">
        <v>3363.85</v>
      </c>
      <c r="E3907"/>
      <c r="F3907"/>
      <c r="G3907"/>
      <c r="H3907"/>
      <c r="I3907" s="489"/>
      <c r="J3907" s="1095"/>
      <c r="K3907" s="1095"/>
      <c r="L3907" s="1095"/>
      <c r="M3907" s="1095"/>
    </row>
    <row r="3908" spans="1:13" x14ac:dyDescent="0.25">
      <c r="A3908">
        <v>2809175</v>
      </c>
      <c r="B3908" t="s">
        <v>11075</v>
      </c>
      <c r="C3908" t="s">
        <v>2640</v>
      </c>
      <c r="D3908" s="254">
        <v>2455.14</v>
      </c>
      <c r="E3908"/>
      <c r="F3908"/>
      <c r="G3908"/>
      <c r="H3908"/>
      <c r="I3908" s="489"/>
      <c r="J3908" s="1095"/>
      <c r="K3908" s="1095"/>
      <c r="L3908" s="1095"/>
      <c r="M3908" s="1095"/>
    </row>
    <row r="3909" spans="1:13" x14ac:dyDescent="0.25">
      <c r="A3909">
        <v>2809197</v>
      </c>
      <c r="B3909" t="s">
        <v>11076</v>
      </c>
      <c r="C3909" t="s">
        <v>2640</v>
      </c>
      <c r="D3909" s="254">
        <v>3535.23</v>
      </c>
      <c r="E3909"/>
      <c r="F3909"/>
      <c r="G3909"/>
      <c r="H3909"/>
      <c r="I3909" s="489"/>
      <c r="J3909" s="1095"/>
      <c r="K3909" s="1095"/>
      <c r="L3909" s="1095"/>
      <c r="M3909" s="1095"/>
    </row>
    <row r="3910" spans="1:13" x14ac:dyDescent="0.25">
      <c r="A3910">
        <v>2809188</v>
      </c>
      <c r="B3910" t="s">
        <v>11077</v>
      </c>
      <c r="C3910" t="s">
        <v>2640</v>
      </c>
      <c r="D3910" s="254">
        <v>3553.47</v>
      </c>
      <c r="E3910"/>
      <c r="F3910"/>
      <c r="G3910"/>
      <c r="H3910"/>
      <c r="I3910" s="489"/>
      <c r="J3910" s="1095"/>
      <c r="K3910" s="1095"/>
      <c r="L3910" s="1095"/>
      <c r="M3910" s="1095"/>
    </row>
    <row r="3911" spans="1:13" x14ac:dyDescent="0.25">
      <c r="A3911">
        <v>2809179</v>
      </c>
      <c r="B3911" t="s">
        <v>11078</v>
      </c>
      <c r="C3911" t="s">
        <v>2640</v>
      </c>
      <c r="D3911" s="254">
        <v>2644.52</v>
      </c>
      <c r="E3911"/>
      <c r="F3911"/>
      <c r="G3911"/>
      <c r="H3911"/>
      <c r="I3911" s="489"/>
      <c r="J3911" s="1095"/>
      <c r="K3911" s="1095"/>
      <c r="L3911" s="1095"/>
      <c r="M3911" s="1095"/>
    </row>
    <row r="3912" spans="1:13" x14ac:dyDescent="0.25">
      <c r="A3912">
        <v>2809201</v>
      </c>
      <c r="B3912" t="s">
        <v>11079</v>
      </c>
      <c r="C3912" t="s">
        <v>2640</v>
      </c>
      <c r="D3912" s="254">
        <v>3732.72</v>
      </c>
      <c r="E3912"/>
      <c r="F3912"/>
      <c r="G3912"/>
      <c r="H3912"/>
      <c r="I3912" s="489"/>
      <c r="J3912" s="1095"/>
      <c r="K3912" s="1095"/>
      <c r="L3912" s="1095"/>
      <c r="M3912" s="1095"/>
    </row>
    <row r="3913" spans="1:13" x14ac:dyDescent="0.25">
      <c r="A3913">
        <v>2809192</v>
      </c>
      <c r="B3913" t="s">
        <v>11080</v>
      </c>
      <c r="C3913" t="s">
        <v>2640</v>
      </c>
      <c r="D3913" s="254">
        <v>3727.36</v>
      </c>
      <c r="E3913"/>
      <c r="F3913"/>
      <c r="G3913"/>
      <c r="H3913"/>
      <c r="I3913" s="489"/>
      <c r="J3913" s="1095"/>
      <c r="K3913" s="1095"/>
      <c r="L3913" s="1095"/>
      <c r="M3913" s="1095"/>
    </row>
    <row r="3914" spans="1:13" x14ac:dyDescent="0.25">
      <c r="A3914">
        <v>2809205</v>
      </c>
      <c r="B3914" t="s">
        <v>11081</v>
      </c>
      <c r="C3914" t="s">
        <v>2640</v>
      </c>
      <c r="D3914" s="254">
        <v>3913.51</v>
      </c>
      <c r="E3914"/>
      <c r="F3914"/>
      <c r="G3914"/>
      <c r="H3914"/>
      <c r="I3914" s="489"/>
      <c r="J3914" s="1095"/>
      <c r="K3914" s="1095"/>
      <c r="L3914" s="1095"/>
      <c r="M3914" s="1095"/>
    </row>
    <row r="3915" spans="1:13" x14ac:dyDescent="0.25">
      <c r="A3915">
        <v>2809172</v>
      </c>
      <c r="B3915" t="s">
        <v>11082</v>
      </c>
      <c r="C3915" t="s">
        <v>2640</v>
      </c>
      <c r="D3915" s="254">
        <v>2718.71</v>
      </c>
      <c r="E3915"/>
      <c r="F3915"/>
      <c r="G3915"/>
      <c r="H3915"/>
      <c r="I3915" s="489"/>
      <c r="J3915" s="1095"/>
      <c r="K3915" s="1095"/>
      <c r="L3915" s="1095"/>
      <c r="M3915" s="1095"/>
    </row>
    <row r="3916" spans="1:13" x14ac:dyDescent="0.25">
      <c r="A3916">
        <v>2809185</v>
      </c>
      <c r="B3916" t="s">
        <v>11083</v>
      </c>
      <c r="C3916" t="s">
        <v>2640</v>
      </c>
      <c r="D3916" s="254">
        <v>3867.94</v>
      </c>
      <c r="E3916"/>
      <c r="F3916"/>
      <c r="G3916"/>
      <c r="H3916"/>
      <c r="I3916" s="489"/>
      <c r="J3916" s="1095"/>
      <c r="K3916" s="1095"/>
      <c r="L3916" s="1095"/>
      <c r="M3916" s="1095"/>
    </row>
    <row r="3917" spans="1:13" x14ac:dyDescent="0.25">
      <c r="A3917">
        <v>2809176</v>
      </c>
      <c r="B3917" t="s">
        <v>11084</v>
      </c>
      <c r="C3917" t="s">
        <v>2640</v>
      </c>
      <c r="D3917" s="254">
        <v>2857.72</v>
      </c>
      <c r="E3917"/>
      <c r="F3917"/>
      <c r="G3917"/>
      <c r="H3917"/>
      <c r="I3917" s="489"/>
      <c r="J3917" s="1095"/>
      <c r="K3917" s="1095"/>
      <c r="L3917" s="1095"/>
      <c r="M3917" s="1095"/>
    </row>
    <row r="3918" spans="1:13" x14ac:dyDescent="0.25">
      <c r="A3918">
        <v>2809198</v>
      </c>
      <c r="B3918" t="s">
        <v>11085</v>
      </c>
      <c r="C3918" t="s">
        <v>2640</v>
      </c>
      <c r="D3918" s="254">
        <v>4059.32</v>
      </c>
      <c r="E3918"/>
      <c r="F3918"/>
      <c r="G3918"/>
      <c r="H3918"/>
      <c r="I3918" s="489"/>
      <c r="J3918" s="1095"/>
      <c r="K3918" s="1095"/>
      <c r="L3918" s="1095"/>
      <c r="M3918" s="1095"/>
    </row>
    <row r="3919" spans="1:13" x14ac:dyDescent="0.25">
      <c r="A3919">
        <v>2809189</v>
      </c>
      <c r="B3919" t="s">
        <v>11086</v>
      </c>
      <c r="C3919" t="s">
        <v>2640</v>
      </c>
      <c r="D3919" s="254">
        <v>4076.51</v>
      </c>
      <c r="E3919"/>
      <c r="F3919"/>
      <c r="G3919"/>
      <c r="H3919"/>
      <c r="I3919" s="489"/>
      <c r="J3919" s="1095"/>
      <c r="K3919" s="1095"/>
      <c r="L3919" s="1095"/>
      <c r="M3919" s="1095"/>
    </row>
    <row r="3920" spans="1:13" x14ac:dyDescent="0.25">
      <c r="A3920">
        <v>2809180</v>
      </c>
      <c r="B3920" t="s">
        <v>11087</v>
      </c>
      <c r="C3920" t="s">
        <v>2640</v>
      </c>
      <c r="D3920" s="254">
        <v>3066.04</v>
      </c>
      <c r="E3920"/>
      <c r="F3920"/>
      <c r="G3920"/>
      <c r="H3920"/>
      <c r="I3920" s="489"/>
      <c r="J3920" s="1095"/>
      <c r="K3920" s="1095"/>
      <c r="L3920" s="1095"/>
      <c r="M3920" s="1095"/>
    </row>
    <row r="3921" spans="1:13" x14ac:dyDescent="0.25">
      <c r="A3921">
        <v>2809202</v>
      </c>
      <c r="B3921" t="s">
        <v>11088</v>
      </c>
      <c r="C3921" t="s">
        <v>2640</v>
      </c>
      <c r="D3921" s="254">
        <v>4276.5600000000004</v>
      </c>
      <c r="E3921"/>
      <c r="F3921"/>
      <c r="G3921"/>
      <c r="H3921"/>
      <c r="I3921" s="489"/>
      <c r="J3921" s="1095"/>
      <c r="K3921" s="1095"/>
      <c r="L3921" s="1095"/>
      <c r="M3921" s="1095"/>
    </row>
    <row r="3922" spans="1:13" x14ac:dyDescent="0.25">
      <c r="A3922">
        <v>2809193</v>
      </c>
      <c r="B3922" t="s">
        <v>11089</v>
      </c>
      <c r="C3922" t="s">
        <v>2640</v>
      </c>
      <c r="D3922" s="254">
        <v>4267.79</v>
      </c>
      <c r="E3922"/>
      <c r="F3922"/>
      <c r="G3922"/>
      <c r="H3922"/>
      <c r="I3922" s="489"/>
      <c r="J3922" s="1095"/>
      <c r="K3922" s="1095"/>
      <c r="L3922" s="1095"/>
      <c r="M3922" s="1095"/>
    </row>
    <row r="3923" spans="1:13" x14ac:dyDescent="0.25">
      <c r="A3923">
        <v>2809206</v>
      </c>
      <c r="B3923" t="s">
        <v>11090</v>
      </c>
      <c r="C3923" t="s">
        <v>2640</v>
      </c>
      <c r="D3923" s="254">
        <v>4475.43</v>
      </c>
      <c r="E3923"/>
      <c r="F3923"/>
      <c r="G3923"/>
      <c r="H3923"/>
      <c r="I3923" s="489"/>
      <c r="J3923" s="1095"/>
      <c r="K3923" s="1095"/>
      <c r="L3923" s="1095"/>
      <c r="M3923" s="1095"/>
    </row>
    <row r="3924" spans="1:13" x14ac:dyDescent="0.25">
      <c r="A3924">
        <v>2809190</v>
      </c>
      <c r="B3924" t="s">
        <v>11091</v>
      </c>
      <c r="C3924" t="s">
        <v>2640</v>
      </c>
      <c r="D3924" s="254">
        <v>5266.38</v>
      </c>
      <c r="E3924"/>
      <c r="F3924"/>
      <c r="G3924"/>
      <c r="H3924"/>
      <c r="I3924" s="489"/>
      <c r="J3924" s="1095"/>
      <c r="K3924" s="1095"/>
      <c r="L3924" s="1095"/>
      <c r="M3924" s="1095"/>
    </row>
    <row r="3925" spans="1:13" x14ac:dyDescent="0.25">
      <c r="A3925">
        <v>2809181</v>
      </c>
      <c r="B3925" t="s">
        <v>11092</v>
      </c>
      <c r="C3925" t="s">
        <v>2640</v>
      </c>
      <c r="D3925" s="254">
        <v>3764.95</v>
      </c>
      <c r="E3925"/>
      <c r="F3925"/>
      <c r="G3925"/>
      <c r="H3925"/>
      <c r="I3925" s="489"/>
      <c r="J3925" s="1095"/>
      <c r="K3925" s="1095"/>
      <c r="L3925" s="1095"/>
      <c r="M3925" s="1095"/>
    </row>
    <row r="3926" spans="1:13" x14ac:dyDescent="0.25">
      <c r="A3926">
        <v>2809203</v>
      </c>
      <c r="B3926" t="s">
        <v>11093</v>
      </c>
      <c r="C3926" t="s">
        <v>2640</v>
      </c>
      <c r="D3926" s="254">
        <v>5508.09</v>
      </c>
      <c r="E3926"/>
      <c r="F3926"/>
      <c r="G3926"/>
      <c r="H3926"/>
      <c r="I3926" s="489"/>
      <c r="J3926" s="1095"/>
      <c r="K3926" s="1095"/>
      <c r="L3926" s="1095"/>
      <c r="M3926" s="1095"/>
    </row>
    <row r="3927" spans="1:13" x14ac:dyDescent="0.25">
      <c r="A3927">
        <v>2809194</v>
      </c>
      <c r="B3927" t="s">
        <v>11094</v>
      </c>
      <c r="C3927" t="s">
        <v>2640</v>
      </c>
      <c r="D3927" s="254">
        <v>5495.92</v>
      </c>
      <c r="E3927"/>
      <c r="F3927"/>
      <c r="G3927"/>
      <c r="H3927"/>
      <c r="I3927" s="489"/>
      <c r="J3927" s="1095"/>
      <c r="K3927" s="1095"/>
      <c r="L3927" s="1095"/>
      <c r="M3927" s="1095"/>
    </row>
    <row r="3928" spans="1:13" x14ac:dyDescent="0.25">
      <c r="A3928">
        <v>2809207</v>
      </c>
      <c r="B3928" t="s">
        <v>11095</v>
      </c>
      <c r="C3928" t="s">
        <v>2640</v>
      </c>
      <c r="D3928" s="254">
        <v>5746.73</v>
      </c>
      <c r="E3928"/>
      <c r="F3928"/>
      <c r="G3928"/>
      <c r="H3928"/>
      <c r="I3928" s="489"/>
      <c r="J3928" s="1095"/>
      <c r="K3928" s="1095"/>
      <c r="L3928" s="1095"/>
      <c r="M3928" s="1095"/>
    </row>
    <row r="3929" spans="1:13" x14ac:dyDescent="0.25">
      <c r="A3929">
        <v>2809169</v>
      </c>
      <c r="B3929" t="s">
        <v>11096</v>
      </c>
      <c r="C3929" t="s">
        <v>2640</v>
      </c>
      <c r="D3929" s="254">
        <v>1779.36</v>
      </c>
      <c r="E3929"/>
      <c r="F3929"/>
      <c r="G3929"/>
      <c r="H3929"/>
      <c r="I3929" s="489"/>
      <c r="J3929" s="1095"/>
      <c r="K3929" s="1095"/>
      <c r="L3929" s="1095"/>
      <c r="M3929" s="1095"/>
    </row>
    <row r="3930" spans="1:13" x14ac:dyDescent="0.25">
      <c r="A3930">
        <v>2809182</v>
      </c>
      <c r="B3930" t="s">
        <v>11097</v>
      </c>
      <c r="C3930" t="s">
        <v>2640</v>
      </c>
      <c r="D3930" s="254">
        <v>2467.35</v>
      </c>
      <c r="E3930"/>
      <c r="F3930"/>
      <c r="G3930"/>
      <c r="H3930"/>
      <c r="I3930" s="489"/>
      <c r="J3930" s="1095"/>
      <c r="K3930" s="1095"/>
      <c r="L3930" s="1095"/>
      <c r="M3930" s="1095"/>
    </row>
    <row r="3931" spans="1:13" x14ac:dyDescent="0.25">
      <c r="A3931">
        <v>2809173</v>
      </c>
      <c r="B3931" t="s">
        <v>11098</v>
      </c>
      <c r="C3931" t="s">
        <v>2640</v>
      </c>
      <c r="D3931" s="254">
        <v>1883.8</v>
      </c>
      <c r="E3931"/>
      <c r="F3931"/>
      <c r="G3931"/>
      <c r="H3931"/>
      <c r="I3931" s="489"/>
      <c r="J3931" s="1095"/>
      <c r="K3931" s="1095"/>
      <c r="L3931" s="1095"/>
      <c r="M3931" s="1095"/>
    </row>
    <row r="3932" spans="1:13" x14ac:dyDescent="0.25">
      <c r="A3932">
        <v>2809195</v>
      </c>
      <c r="B3932" t="s">
        <v>11099</v>
      </c>
      <c r="C3932" t="s">
        <v>2640</v>
      </c>
      <c r="D3932" s="254">
        <v>2583.8000000000002</v>
      </c>
      <c r="E3932"/>
      <c r="F3932"/>
      <c r="G3932"/>
      <c r="H3932"/>
      <c r="I3932" s="489"/>
      <c r="J3932" s="1095"/>
      <c r="K3932" s="1095"/>
      <c r="L3932" s="1095"/>
      <c r="M3932" s="1095"/>
    </row>
    <row r="3933" spans="1:13" x14ac:dyDescent="0.25">
      <c r="A3933">
        <v>2809186</v>
      </c>
      <c r="B3933" t="s">
        <v>11100</v>
      </c>
      <c r="C3933" t="s">
        <v>2640</v>
      </c>
      <c r="D3933" s="254">
        <v>2624.06</v>
      </c>
      <c r="E3933"/>
      <c r="F3933"/>
      <c r="G3933"/>
      <c r="H3933"/>
      <c r="I3933" s="489"/>
      <c r="J3933" s="1095"/>
      <c r="K3933" s="1095"/>
      <c r="L3933" s="1095"/>
      <c r="M3933" s="1095"/>
    </row>
    <row r="3934" spans="1:13" x14ac:dyDescent="0.25">
      <c r="A3934">
        <v>2809177</v>
      </c>
      <c r="B3934" t="s">
        <v>11101</v>
      </c>
      <c r="C3934" t="s">
        <v>2640</v>
      </c>
      <c r="D3934" s="254">
        <v>2040.31</v>
      </c>
      <c r="E3934"/>
      <c r="F3934"/>
      <c r="G3934"/>
      <c r="H3934"/>
      <c r="I3934" s="489"/>
      <c r="J3934" s="1095"/>
      <c r="K3934" s="1095"/>
      <c r="L3934" s="1095"/>
      <c r="M3934" s="1095"/>
    </row>
    <row r="3935" spans="1:13" x14ac:dyDescent="0.25">
      <c r="A3935">
        <v>2809199</v>
      </c>
      <c r="B3935" t="s">
        <v>11102</v>
      </c>
      <c r="C3935" t="s">
        <v>2640</v>
      </c>
      <c r="D3935" s="254">
        <v>2747.01</v>
      </c>
      <c r="E3935"/>
      <c r="F3935"/>
      <c r="G3935"/>
      <c r="H3935"/>
      <c r="I3935" s="489"/>
      <c r="J3935" s="1095"/>
      <c r="K3935" s="1095"/>
      <c r="L3935" s="1095"/>
      <c r="M3935" s="1095"/>
    </row>
    <row r="3936" spans="1:13" x14ac:dyDescent="0.25">
      <c r="A3936">
        <v>2809219</v>
      </c>
      <c r="B3936" t="s">
        <v>11103</v>
      </c>
      <c r="C3936" t="s">
        <v>9248</v>
      </c>
      <c r="D3936" s="254">
        <v>23463.73</v>
      </c>
      <c r="E3936"/>
      <c r="F3936"/>
      <c r="G3936"/>
      <c r="H3936"/>
      <c r="I3936" s="489"/>
      <c r="J3936" s="1095"/>
      <c r="K3936" s="1095"/>
      <c r="L3936" s="1095"/>
      <c r="M3936" s="1095"/>
    </row>
    <row r="3937" spans="1:13" x14ac:dyDescent="0.25">
      <c r="A3937">
        <v>2809220</v>
      </c>
      <c r="B3937" t="s">
        <v>11104</v>
      </c>
      <c r="C3937" t="s">
        <v>9248</v>
      </c>
      <c r="D3937" s="254">
        <v>25128.85</v>
      </c>
      <c r="E3937"/>
      <c r="F3937"/>
      <c r="G3937"/>
      <c r="H3937"/>
      <c r="I3937" s="489"/>
      <c r="J3937" s="1095"/>
      <c r="K3937" s="1095"/>
      <c r="L3937" s="1095"/>
      <c r="M3937" s="1095"/>
    </row>
    <row r="3938" spans="1:13" x14ac:dyDescent="0.25">
      <c r="A3938">
        <v>2809221</v>
      </c>
      <c r="B3938" t="s">
        <v>11105</v>
      </c>
      <c r="C3938" t="s">
        <v>9248</v>
      </c>
      <c r="D3938" s="254">
        <v>25978.61</v>
      </c>
      <c r="E3938"/>
      <c r="F3938"/>
      <c r="G3938"/>
      <c r="H3938"/>
      <c r="I3938" s="489"/>
      <c r="J3938" s="1095"/>
      <c r="K3938" s="1095"/>
      <c r="L3938" s="1095"/>
      <c r="M3938" s="1095"/>
    </row>
    <row r="3939" spans="1:13" x14ac:dyDescent="0.25">
      <c r="A3939">
        <v>2809163</v>
      </c>
      <c r="B3939" t="s">
        <v>11106</v>
      </c>
      <c r="C3939" t="s">
        <v>9248</v>
      </c>
      <c r="D3939" s="254">
        <v>24485.19</v>
      </c>
      <c r="E3939"/>
      <c r="F3939"/>
      <c r="G3939"/>
      <c r="H3939"/>
      <c r="I3939" s="489"/>
      <c r="J3939" s="1095"/>
      <c r="K3939" s="1095"/>
      <c r="L3939" s="1095"/>
      <c r="M3939" s="1095"/>
    </row>
    <row r="3940" spans="1:13" x14ac:dyDescent="0.25">
      <c r="A3940">
        <v>2809164</v>
      </c>
      <c r="B3940" t="s">
        <v>11107</v>
      </c>
      <c r="C3940" t="s">
        <v>9248</v>
      </c>
      <c r="D3940" s="254">
        <v>26211.14</v>
      </c>
      <c r="E3940"/>
      <c r="F3940"/>
      <c r="G3940"/>
      <c r="H3940"/>
      <c r="I3940" s="489"/>
      <c r="J3940" s="1095"/>
      <c r="K3940" s="1095"/>
      <c r="L3940" s="1095"/>
      <c r="M3940" s="1095"/>
    </row>
    <row r="3941" spans="1:13" x14ac:dyDescent="0.25">
      <c r="A3941">
        <v>2809165</v>
      </c>
      <c r="B3941" t="s">
        <v>11108</v>
      </c>
      <c r="C3941" t="s">
        <v>9248</v>
      </c>
      <c r="D3941" s="254">
        <v>27085.37</v>
      </c>
      <c r="E3941"/>
      <c r="F3941"/>
      <c r="G3941"/>
      <c r="H3941"/>
      <c r="I3941" s="489"/>
      <c r="J3941" s="1095"/>
      <c r="K3941" s="1095"/>
      <c r="L3941" s="1095"/>
      <c r="M3941" s="1095"/>
    </row>
    <row r="3942" spans="1:13" x14ac:dyDescent="0.25">
      <c r="A3942">
        <v>2809216</v>
      </c>
      <c r="B3942" t="s">
        <v>11109</v>
      </c>
      <c r="C3942" t="s">
        <v>9248</v>
      </c>
      <c r="D3942" s="254">
        <v>21672.73</v>
      </c>
      <c r="E3942"/>
      <c r="F3942"/>
      <c r="G3942"/>
      <c r="H3942"/>
      <c r="I3942" s="489"/>
      <c r="J3942" s="1095"/>
      <c r="K3942" s="1095"/>
      <c r="L3942" s="1095"/>
      <c r="M3942" s="1095"/>
    </row>
    <row r="3943" spans="1:13" x14ac:dyDescent="0.25">
      <c r="A3943">
        <v>2809217</v>
      </c>
      <c r="B3943" t="s">
        <v>11110</v>
      </c>
      <c r="C3943" t="s">
        <v>9248</v>
      </c>
      <c r="D3943" s="254">
        <v>22120.41</v>
      </c>
      <c r="E3943"/>
      <c r="F3943"/>
      <c r="G3943"/>
      <c r="H3943"/>
      <c r="I3943" s="489"/>
      <c r="J3943" s="1095"/>
      <c r="K3943" s="1095"/>
      <c r="L3943" s="1095"/>
      <c r="M3943" s="1095"/>
    </row>
    <row r="3944" spans="1:13" x14ac:dyDescent="0.25">
      <c r="A3944">
        <v>2809218</v>
      </c>
      <c r="B3944" t="s">
        <v>11111</v>
      </c>
      <c r="C3944" t="s">
        <v>9248</v>
      </c>
      <c r="D3944" s="254">
        <v>23778.89</v>
      </c>
      <c r="E3944"/>
      <c r="F3944"/>
      <c r="G3944"/>
      <c r="H3944"/>
      <c r="I3944" s="489"/>
      <c r="J3944" s="1095"/>
      <c r="K3944" s="1095"/>
      <c r="L3944" s="1095"/>
      <c r="M3944" s="1095"/>
    </row>
    <row r="3945" spans="1:13" x14ac:dyDescent="0.25">
      <c r="A3945">
        <v>2809160</v>
      </c>
      <c r="B3945" t="s">
        <v>11112</v>
      </c>
      <c r="C3945" t="s">
        <v>9248</v>
      </c>
      <c r="D3945" s="254">
        <v>22624.5</v>
      </c>
      <c r="E3945"/>
      <c r="F3945"/>
      <c r="G3945"/>
      <c r="H3945"/>
      <c r="I3945" s="489"/>
      <c r="J3945" s="1095"/>
      <c r="K3945" s="1095"/>
      <c r="L3945" s="1095"/>
      <c r="M3945" s="1095"/>
    </row>
    <row r="3946" spans="1:13" x14ac:dyDescent="0.25">
      <c r="A3946">
        <v>2809161</v>
      </c>
      <c r="B3946" t="s">
        <v>11113</v>
      </c>
      <c r="C3946" t="s">
        <v>9248</v>
      </c>
      <c r="D3946" s="254">
        <v>23075.48</v>
      </c>
      <c r="E3946"/>
      <c r="F3946"/>
      <c r="G3946"/>
      <c r="H3946"/>
      <c r="I3946" s="489"/>
      <c r="J3946" s="1095"/>
      <c r="K3946" s="1095"/>
      <c r="L3946" s="1095"/>
      <c r="M3946" s="1095"/>
    </row>
    <row r="3947" spans="1:13" x14ac:dyDescent="0.25">
      <c r="A3947">
        <v>2809162</v>
      </c>
      <c r="B3947" t="s">
        <v>11114</v>
      </c>
      <c r="C3947" t="s">
        <v>9248</v>
      </c>
      <c r="D3947" s="254">
        <v>24794.58</v>
      </c>
      <c r="E3947"/>
      <c r="F3947"/>
      <c r="G3947"/>
      <c r="H3947"/>
      <c r="I3947" s="489"/>
      <c r="J3947" s="1095"/>
      <c r="K3947" s="1095"/>
      <c r="L3947" s="1095"/>
      <c r="M3947" s="1095"/>
    </row>
    <row r="3948" spans="1:13" x14ac:dyDescent="0.25">
      <c r="A3948">
        <v>2809222</v>
      </c>
      <c r="B3948" t="s">
        <v>11115</v>
      </c>
      <c r="C3948" t="s">
        <v>9248</v>
      </c>
      <c r="D3948" s="254">
        <v>21802.65</v>
      </c>
      <c r="E3948"/>
      <c r="F3948"/>
      <c r="G3948"/>
      <c r="H3948"/>
      <c r="I3948" s="489"/>
      <c r="J3948" s="1095"/>
      <c r="K3948" s="1095"/>
      <c r="L3948" s="1095"/>
      <c r="M3948" s="1095"/>
    </row>
    <row r="3949" spans="1:13" x14ac:dyDescent="0.25">
      <c r="A3949">
        <v>2809223</v>
      </c>
      <c r="B3949" t="s">
        <v>11116</v>
      </c>
      <c r="C3949" t="s">
        <v>9248</v>
      </c>
      <c r="D3949" s="254">
        <v>27809.51</v>
      </c>
      <c r="E3949"/>
      <c r="F3949"/>
      <c r="G3949"/>
      <c r="H3949"/>
      <c r="I3949" s="489"/>
      <c r="J3949" s="1095"/>
      <c r="K3949" s="1095"/>
      <c r="L3949" s="1095"/>
      <c r="M3949" s="1095"/>
    </row>
    <row r="3950" spans="1:13" x14ac:dyDescent="0.25">
      <c r="A3950">
        <v>2809224</v>
      </c>
      <c r="B3950" t="s">
        <v>11117</v>
      </c>
      <c r="C3950" t="s">
        <v>9248</v>
      </c>
      <c r="D3950" s="254">
        <v>29084.16</v>
      </c>
      <c r="E3950"/>
      <c r="F3950"/>
      <c r="G3950"/>
      <c r="H3950"/>
      <c r="I3950" s="489"/>
      <c r="J3950" s="1095"/>
      <c r="K3950" s="1095"/>
      <c r="L3950" s="1095"/>
      <c r="M3950" s="1095"/>
    </row>
    <row r="3951" spans="1:13" x14ac:dyDescent="0.25">
      <c r="A3951">
        <v>2809166</v>
      </c>
      <c r="B3951" t="s">
        <v>11118</v>
      </c>
      <c r="C3951" t="s">
        <v>9248</v>
      </c>
      <c r="D3951" s="254">
        <v>22670.43</v>
      </c>
      <c r="E3951"/>
      <c r="F3951"/>
      <c r="G3951"/>
      <c r="H3951"/>
      <c r="I3951" s="489"/>
      <c r="J3951" s="1095"/>
      <c r="K3951" s="1095"/>
      <c r="L3951" s="1095"/>
      <c r="M3951" s="1095"/>
    </row>
    <row r="3952" spans="1:13" x14ac:dyDescent="0.25">
      <c r="A3952">
        <v>2809167</v>
      </c>
      <c r="B3952" t="s">
        <v>11119</v>
      </c>
      <c r="C3952" t="s">
        <v>9248</v>
      </c>
      <c r="D3952" s="254">
        <v>28970.52</v>
      </c>
      <c r="E3952"/>
      <c r="F3952"/>
      <c r="G3952"/>
      <c r="H3952"/>
      <c r="I3952" s="489"/>
      <c r="J3952" s="1095"/>
      <c r="K3952" s="1095"/>
      <c r="L3952" s="1095"/>
      <c r="M3952" s="1095"/>
    </row>
    <row r="3953" spans="1:13" x14ac:dyDescent="0.25">
      <c r="A3953">
        <v>2809168</v>
      </c>
      <c r="B3953" t="s">
        <v>11120</v>
      </c>
      <c r="C3953" t="s">
        <v>9248</v>
      </c>
      <c r="D3953" s="254">
        <v>30281.86</v>
      </c>
      <c r="E3953"/>
      <c r="F3953"/>
      <c r="G3953"/>
      <c r="H3953"/>
      <c r="I3953" s="489"/>
      <c r="J3953" s="1095"/>
      <c r="K3953" s="1095"/>
      <c r="L3953" s="1095"/>
      <c r="M3953" s="1095"/>
    </row>
    <row r="3954" spans="1:13" x14ac:dyDescent="0.25">
      <c r="A3954">
        <v>2909152</v>
      </c>
      <c r="B3954" t="s">
        <v>11121</v>
      </c>
      <c r="C3954" t="s">
        <v>9248</v>
      </c>
      <c r="D3954" s="254">
        <v>119.07</v>
      </c>
      <c r="E3954"/>
      <c r="F3954"/>
      <c r="G3954"/>
      <c r="H3954"/>
      <c r="I3954" s="489"/>
      <c r="J3954" s="1095"/>
      <c r="K3954" s="1095"/>
      <c r="L3954" s="1095"/>
      <c r="M3954" s="1095"/>
    </row>
    <row r="3955" spans="1:13" x14ac:dyDescent="0.25">
      <c r="A3955">
        <v>2909153</v>
      </c>
      <c r="B3955" t="s">
        <v>11122</v>
      </c>
      <c r="C3955" t="s">
        <v>9248</v>
      </c>
      <c r="D3955" s="254">
        <v>150.09</v>
      </c>
      <c r="E3955"/>
      <c r="F3955"/>
      <c r="G3955"/>
      <c r="H3955"/>
      <c r="I3955" s="489"/>
      <c r="J3955" s="1095"/>
      <c r="K3955" s="1095"/>
      <c r="L3955" s="1095"/>
      <c r="M3955" s="1095"/>
    </row>
    <row r="3956" spans="1:13" x14ac:dyDescent="0.25">
      <c r="A3956">
        <v>2909151</v>
      </c>
      <c r="B3956" t="s">
        <v>11123</v>
      </c>
      <c r="C3956" t="s">
        <v>9248</v>
      </c>
      <c r="D3956" s="254">
        <v>64.55</v>
      </c>
      <c r="E3956"/>
      <c r="F3956"/>
      <c r="G3956"/>
      <c r="H3956"/>
      <c r="I3956" s="489"/>
      <c r="J3956" s="1095"/>
      <c r="K3956" s="1095"/>
      <c r="L3956" s="1095"/>
      <c r="M3956" s="1095"/>
    </row>
    <row r="3957" spans="1:13" x14ac:dyDescent="0.25">
      <c r="A3957">
        <v>2909145</v>
      </c>
      <c r="B3957" t="s">
        <v>11124</v>
      </c>
      <c r="C3957" t="s">
        <v>2640</v>
      </c>
      <c r="D3957" s="254">
        <v>9.89</v>
      </c>
      <c r="E3957"/>
      <c r="F3957"/>
      <c r="G3957"/>
      <c r="H3957"/>
      <c r="I3957" s="489"/>
      <c r="J3957" s="1095"/>
      <c r="K3957" s="1095"/>
      <c r="L3957" s="1095"/>
      <c r="M3957" s="1095"/>
    </row>
    <row r="3958" spans="1:13" x14ac:dyDescent="0.25">
      <c r="A3958">
        <v>2909379</v>
      </c>
      <c r="B3958" t="s">
        <v>11125</v>
      </c>
      <c r="C3958" t="s">
        <v>9248</v>
      </c>
      <c r="D3958" s="254">
        <v>5499.67</v>
      </c>
      <c r="E3958"/>
      <c r="F3958"/>
      <c r="G3958"/>
      <c r="H3958"/>
      <c r="I3958" s="489"/>
      <c r="J3958" s="1095"/>
      <c r="K3958" s="1095"/>
      <c r="L3958" s="1095"/>
      <c r="M3958" s="1095"/>
    </row>
    <row r="3959" spans="1:13" x14ac:dyDescent="0.25">
      <c r="A3959">
        <v>2909381</v>
      </c>
      <c r="B3959" t="s">
        <v>11126</v>
      </c>
      <c r="C3959" t="s">
        <v>9248</v>
      </c>
      <c r="D3959" s="254">
        <v>5754.9</v>
      </c>
      <c r="E3959"/>
      <c r="F3959"/>
      <c r="G3959"/>
      <c r="H3959"/>
      <c r="I3959" s="489"/>
      <c r="J3959" s="1095"/>
      <c r="K3959" s="1095"/>
      <c r="L3959" s="1095"/>
      <c r="M3959" s="1095"/>
    </row>
    <row r="3960" spans="1:13" x14ac:dyDescent="0.25">
      <c r="A3960">
        <v>2909380</v>
      </c>
      <c r="B3960" t="s">
        <v>11127</v>
      </c>
      <c r="C3960" t="s">
        <v>9248</v>
      </c>
      <c r="D3960" s="254">
        <v>8061.24</v>
      </c>
      <c r="E3960"/>
      <c r="F3960"/>
      <c r="G3960"/>
      <c r="H3960"/>
      <c r="I3960" s="489"/>
      <c r="J3960" s="1095"/>
      <c r="K3960" s="1095"/>
      <c r="L3960" s="1095"/>
      <c r="M3960" s="1095"/>
    </row>
    <row r="3961" spans="1:13" x14ac:dyDescent="0.25">
      <c r="A3961">
        <v>2909382</v>
      </c>
      <c r="B3961" t="s">
        <v>11128</v>
      </c>
      <c r="C3961" t="s">
        <v>9248</v>
      </c>
      <c r="D3961" s="254">
        <v>8443.24</v>
      </c>
      <c r="E3961"/>
      <c r="F3961"/>
      <c r="G3961"/>
      <c r="H3961"/>
      <c r="I3961" s="489"/>
      <c r="J3961" s="1095"/>
      <c r="K3961" s="1095"/>
      <c r="L3961" s="1095"/>
      <c r="M3961" s="1095"/>
    </row>
    <row r="3962" spans="1:13" x14ac:dyDescent="0.25">
      <c r="A3962">
        <v>2909375</v>
      </c>
      <c r="B3962" t="s">
        <v>11129</v>
      </c>
      <c r="C3962" t="s">
        <v>9248</v>
      </c>
      <c r="D3962" s="254">
        <v>8829.39</v>
      </c>
      <c r="E3962"/>
      <c r="F3962"/>
      <c r="G3962"/>
      <c r="H3962"/>
      <c r="I3962" s="489"/>
      <c r="J3962" s="1095"/>
      <c r="K3962" s="1095"/>
      <c r="L3962" s="1095"/>
      <c r="M3962" s="1095"/>
    </row>
    <row r="3963" spans="1:13" x14ac:dyDescent="0.25">
      <c r="A3963">
        <v>2909377</v>
      </c>
      <c r="B3963" t="s">
        <v>11130</v>
      </c>
      <c r="C3963" t="s">
        <v>9248</v>
      </c>
      <c r="D3963" s="254">
        <v>9241.7199999999993</v>
      </c>
      <c r="E3963"/>
      <c r="F3963"/>
      <c r="G3963"/>
      <c r="H3963"/>
      <c r="I3963" s="489"/>
      <c r="J3963" s="1095"/>
      <c r="K3963" s="1095"/>
      <c r="L3963" s="1095"/>
      <c r="M3963" s="1095"/>
    </row>
    <row r="3964" spans="1:13" x14ac:dyDescent="0.25">
      <c r="A3964">
        <v>2909376</v>
      </c>
      <c r="B3964" t="s">
        <v>11131</v>
      </c>
      <c r="C3964" t="s">
        <v>9248</v>
      </c>
      <c r="D3964" s="254">
        <v>12968.28</v>
      </c>
      <c r="E3964"/>
      <c r="F3964"/>
      <c r="G3964"/>
      <c r="H3964"/>
      <c r="I3964" s="489"/>
      <c r="J3964" s="1095"/>
      <c r="K3964" s="1095"/>
      <c r="L3964" s="1095"/>
      <c r="M3964" s="1095"/>
    </row>
    <row r="3965" spans="1:13" x14ac:dyDescent="0.25">
      <c r="A3965">
        <v>2909378</v>
      </c>
      <c r="B3965" t="s">
        <v>11132</v>
      </c>
      <c r="C3965" t="s">
        <v>9248</v>
      </c>
      <c r="D3965" s="254">
        <v>13591.76</v>
      </c>
      <c r="E3965"/>
      <c r="F3965"/>
      <c r="G3965"/>
      <c r="H3965"/>
      <c r="I3965" s="489"/>
      <c r="J3965" s="1095"/>
      <c r="K3965" s="1095"/>
      <c r="L3965" s="1095"/>
      <c r="M3965" s="1095"/>
    </row>
    <row r="3966" spans="1:13" x14ac:dyDescent="0.25">
      <c r="A3966">
        <v>2909383</v>
      </c>
      <c r="B3966" t="s">
        <v>11133</v>
      </c>
      <c r="C3966" t="s">
        <v>9248</v>
      </c>
      <c r="D3966" s="254">
        <v>5634.38</v>
      </c>
      <c r="E3966"/>
      <c r="F3966"/>
      <c r="G3966"/>
      <c r="H3966"/>
      <c r="I3966" s="489"/>
      <c r="J3966" s="1095"/>
      <c r="K3966" s="1095"/>
      <c r="L3966" s="1095"/>
      <c r="M3966" s="1095"/>
    </row>
    <row r="3967" spans="1:13" x14ac:dyDescent="0.25">
      <c r="A3967">
        <v>2909384</v>
      </c>
      <c r="B3967" t="s">
        <v>11134</v>
      </c>
      <c r="C3967" t="s">
        <v>9248</v>
      </c>
      <c r="D3967" s="254">
        <v>5914.94</v>
      </c>
      <c r="E3967"/>
      <c r="F3967"/>
      <c r="G3967"/>
      <c r="H3967"/>
      <c r="I3967" s="489"/>
      <c r="J3967" s="1095"/>
      <c r="K3967" s="1095"/>
      <c r="L3967" s="1095"/>
      <c r="M3967" s="1095"/>
    </row>
    <row r="3968" spans="1:13" x14ac:dyDescent="0.25">
      <c r="A3968">
        <v>2909148</v>
      </c>
      <c r="B3968" t="s">
        <v>11135</v>
      </c>
      <c r="C3968" t="s">
        <v>9248</v>
      </c>
      <c r="D3968" s="254">
        <v>438.68</v>
      </c>
      <c r="E3968"/>
      <c r="F3968"/>
      <c r="G3968"/>
      <c r="H3968"/>
      <c r="I3968" s="489"/>
      <c r="J3968" s="1095"/>
      <c r="K3968" s="1095"/>
      <c r="L3968" s="1095"/>
      <c r="M3968" s="1095"/>
    </row>
    <row r="3969" spans="1:13" x14ac:dyDescent="0.25">
      <c r="A3969">
        <v>3009336</v>
      </c>
      <c r="B3969" t="s">
        <v>11136</v>
      </c>
      <c r="C3969" t="s">
        <v>2640</v>
      </c>
      <c r="D3969" s="254">
        <v>89.62</v>
      </c>
      <c r="E3969"/>
      <c r="F3969"/>
      <c r="G3969"/>
      <c r="H3969"/>
      <c r="I3969" s="489"/>
      <c r="J3969" s="1095"/>
      <c r="K3969" s="1095"/>
      <c r="L3969" s="1095"/>
      <c r="M3969" s="1095"/>
    </row>
    <row r="3970" spans="1:13" x14ac:dyDescent="0.25">
      <c r="A3970">
        <v>3009337</v>
      </c>
      <c r="B3970" t="s">
        <v>11137</v>
      </c>
      <c r="C3970" t="s">
        <v>2640</v>
      </c>
      <c r="D3970" s="254">
        <v>91.99</v>
      </c>
      <c r="E3970"/>
      <c r="F3970"/>
      <c r="G3970"/>
      <c r="H3970"/>
      <c r="I3970" s="489"/>
      <c r="J3970" s="1095"/>
      <c r="K3970" s="1095"/>
      <c r="L3970" s="1095"/>
      <c r="M3970" s="1095"/>
    </row>
    <row r="3971" spans="1:13" x14ac:dyDescent="0.25">
      <c r="A3971">
        <v>3009340</v>
      </c>
      <c r="B3971" t="s">
        <v>11138</v>
      </c>
      <c r="C3971" t="s">
        <v>2640</v>
      </c>
      <c r="D3971" s="254">
        <v>171.33</v>
      </c>
      <c r="E3971"/>
      <c r="F3971"/>
      <c r="G3971"/>
      <c r="H3971"/>
      <c r="I3971" s="489"/>
      <c r="J3971" s="1095"/>
      <c r="K3971" s="1095"/>
      <c r="L3971" s="1095"/>
      <c r="M3971" s="1095"/>
    </row>
    <row r="3972" spans="1:13" x14ac:dyDescent="0.25">
      <c r="A3972">
        <v>3009341</v>
      </c>
      <c r="B3972" t="s">
        <v>11139</v>
      </c>
      <c r="C3972" t="s">
        <v>2640</v>
      </c>
      <c r="D3972" s="254">
        <v>176.08</v>
      </c>
      <c r="E3972"/>
      <c r="F3972"/>
      <c r="G3972"/>
      <c r="H3972"/>
      <c r="I3972" s="489"/>
      <c r="J3972" s="1095"/>
      <c r="K3972" s="1095"/>
      <c r="L3972" s="1095"/>
      <c r="M3972" s="1095"/>
    </row>
    <row r="3973" spans="1:13" x14ac:dyDescent="0.25">
      <c r="A3973">
        <v>3009344</v>
      </c>
      <c r="B3973" t="s">
        <v>11140</v>
      </c>
      <c r="C3973" t="s">
        <v>2640</v>
      </c>
      <c r="D3973" s="254">
        <v>90.04</v>
      </c>
      <c r="E3973"/>
      <c r="F3973"/>
      <c r="G3973"/>
      <c r="H3973"/>
      <c r="I3973" s="489"/>
      <c r="J3973" s="1095"/>
      <c r="K3973" s="1095"/>
      <c r="L3973" s="1095"/>
      <c r="M3973" s="1095"/>
    </row>
    <row r="3974" spans="1:13" x14ac:dyDescent="0.25">
      <c r="A3974">
        <v>3009345</v>
      </c>
      <c r="B3974" t="s">
        <v>11141</v>
      </c>
      <c r="C3974" t="s">
        <v>2640</v>
      </c>
      <c r="D3974" s="254">
        <v>92.41</v>
      </c>
      <c r="E3974"/>
      <c r="F3974"/>
      <c r="G3974"/>
      <c r="H3974"/>
      <c r="I3974" s="489"/>
      <c r="J3974" s="1095"/>
      <c r="K3974" s="1095"/>
      <c r="L3974" s="1095"/>
      <c r="M3974" s="1095"/>
    </row>
    <row r="3975" spans="1:13" x14ac:dyDescent="0.25">
      <c r="A3975">
        <v>3009348</v>
      </c>
      <c r="B3975" t="s">
        <v>11142</v>
      </c>
      <c r="C3975" t="s">
        <v>2640</v>
      </c>
      <c r="D3975" s="254">
        <v>171.38</v>
      </c>
      <c r="E3975"/>
      <c r="F3975"/>
      <c r="G3975"/>
      <c r="H3975"/>
      <c r="I3975" s="489"/>
      <c r="J3975" s="1095"/>
      <c r="K3975" s="1095"/>
      <c r="L3975" s="1095"/>
      <c r="M3975" s="1095"/>
    </row>
    <row r="3976" spans="1:13" x14ac:dyDescent="0.25">
      <c r="A3976">
        <v>3009349</v>
      </c>
      <c r="B3976" t="s">
        <v>11143</v>
      </c>
      <c r="C3976" t="s">
        <v>2640</v>
      </c>
      <c r="D3976" s="254">
        <v>176.13</v>
      </c>
      <c r="E3976"/>
      <c r="F3976"/>
      <c r="G3976"/>
      <c r="H3976"/>
      <c r="I3976" s="489"/>
      <c r="J3976" s="1095"/>
      <c r="K3976" s="1095"/>
      <c r="L3976" s="1095"/>
      <c r="M3976" s="1095"/>
    </row>
    <row r="3977" spans="1:13" x14ac:dyDescent="0.25">
      <c r="A3977">
        <v>3009338</v>
      </c>
      <c r="B3977" t="s">
        <v>11144</v>
      </c>
      <c r="C3977" t="s">
        <v>2640</v>
      </c>
      <c r="D3977" s="254">
        <v>89.62</v>
      </c>
      <c r="E3977"/>
      <c r="F3977"/>
      <c r="G3977"/>
      <c r="H3977"/>
      <c r="I3977" s="489"/>
      <c r="J3977" s="1095"/>
      <c r="K3977" s="1095"/>
      <c r="L3977" s="1095"/>
      <c r="M3977" s="1095"/>
    </row>
    <row r="3978" spans="1:13" x14ac:dyDescent="0.25">
      <c r="A3978">
        <v>3009339</v>
      </c>
      <c r="B3978" t="s">
        <v>11145</v>
      </c>
      <c r="C3978" t="s">
        <v>2640</v>
      </c>
      <c r="D3978" s="254">
        <v>91.99</v>
      </c>
      <c r="E3978"/>
      <c r="F3978"/>
      <c r="G3978"/>
      <c r="H3978"/>
      <c r="I3978" s="489"/>
      <c r="J3978" s="1095"/>
      <c r="K3978" s="1095"/>
      <c r="L3978" s="1095"/>
      <c r="M3978" s="1095"/>
    </row>
    <row r="3979" spans="1:13" x14ac:dyDescent="0.25">
      <c r="A3979">
        <v>3009342</v>
      </c>
      <c r="B3979" t="s">
        <v>11146</v>
      </c>
      <c r="C3979" t="s">
        <v>2640</v>
      </c>
      <c r="D3979" s="254">
        <v>171.33</v>
      </c>
      <c r="E3979"/>
      <c r="F3979"/>
      <c r="G3979"/>
      <c r="H3979"/>
      <c r="I3979" s="489"/>
      <c r="J3979" s="1095"/>
      <c r="K3979" s="1095"/>
      <c r="L3979" s="1095"/>
      <c r="M3979" s="1095"/>
    </row>
    <row r="3980" spans="1:13" x14ac:dyDescent="0.25">
      <c r="A3980">
        <v>3009343</v>
      </c>
      <c r="B3980" t="s">
        <v>11147</v>
      </c>
      <c r="C3980" t="s">
        <v>2640</v>
      </c>
      <c r="D3980" s="254">
        <v>176.08</v>
      </c>
      <c r="E3980"/>
      <c r="F3980"/>
      <c r="G3980"/>
      <c r="H3980"/>
      <c r="I3980" s="489"/>
      <c r="J3980" s="1095"/>
      <c r="K3980" s="1095"/>
      <c r="L3980" s="1095"/>
      <c r="M3980" s="1095"/>
    </row>
    <row r="3981" spans="1:13" x14ac:dyDescent="0.25">
      <c r="A3981">
        <v>3009346</v>
      </c>
      <c r="B3981" t="s">
        <v>11148</v>
      </c>
      <c r="C3981" t="s">
        <v>2640</v>
      </c>
      <c r="D3981" s="254">
        <v>90.04</v>
      </c>
      <c r="E3981"/>
      <c r="F3981"/>
      <c r="G3981"/>
      <c r="H3981"/>
      <c r="I3981" s="489"/>
      <c r="J3981" s="1095"/>
      <c r="K3981" s="1095"/>
      <c r="L3981" s="1095"/>
      <c r="M3981" s="1095"/>
    </row>
    <row r="3982" spans="1:13" x14ac:dyDescent="0.25">
      <c r="A3982">
        <v>3009347</v>
      </c>
      <c r="B3982" t="s">
        <v>11149</v>
      </c>
      <c r="C3982" t="s">
        <v>2640</v>
      </c>
      <c r="D3982" s="254">
        <v>92.41</v>
      </c>
      <c r="E3982"/>
      <c r="F3982"/>
      <c r="G3982"/>
      <c r="H3982"/>
      <c r="I3982" s="489"/>
      <c r="J3982" s="1095"/>
      <c r="K3982" s="1095"/>
      <c r="L3982" s="1095"/>
      <c r="M3982" s="1095"/>
    </row>
    <row r="3983" spans="1:13" x14ac:dyDescent="0.25">
      <c r="A3983">
        <v>3009350</v>
      </c>
      <c r="B3983" t="s">
        <v>11150</v>
      </c>
      <c r="C3983" t="s">
        <v>2640</v>
      </c>
      <c r="D3983" s="254">
        <v>171.38</v>
      </c>
      <c r="E3983"/>
      <c r="F3983"/>
      <c r="G3983"/>
      <c r="H3983"/>
      <c r="I3983" s="489"/>
      <c r="J3983" s="1095"/>
      <c r="K3983" s="1095"/>
      <c r="L3983" s="1095"/>
      <c r="M3983" s="1095"/>
    </row>
    <row r="3984" spans="1:13" x14ac:dyDescent="0.25">
      <c r="A3984">
        <v>3009351</v>
      </c>
      <c r="B3984" t="s">
        <v>11151</v>
      </c>
      <c r="C3984" t="s">
        <v>2640</v>
      </c>
      <c r="D3984" s="254">
        <v>176.13</v>
      </c>
      <c r="E3984"/>
      <c r="F3984"/>
      <c r="G3984"/>
      <c r="H3984"/>
      <c r="I3984" s="489"/>
      <c r="J3984" s="1095"/>
      <c r="K3984" s="1095"/>
      <c r="L3984" s="1095"/>
      <c r="M3984" s="1095"/>
    </row>
    <row r="3985" spans="1:13" x14ac:dyDescent="0.25">
      <c r="A3985">
        <v>3009080</v>
      </c>
      <c r="B3985" t="s">
        <v>11152</v>
      </c>
      <c r="C3985" t="s">
        <v>2640</v>
      </c>
      <c r="D3985" s="254">
        <v>0.13</v>
      </c>
      <c r="E3985"/>
      <c r="F3985"/>
      <c r="G3985"/>
      <c r="H3985"/>
      <c r="I3985" s="489"/>
      <c r="J3985" s="1095"/>
      <c r="K3985" s="1095"/>
      <c r="L3985" s="1095"/>
      <c r="M3985" s="1095"/>
    </row>
    <row r="3986" spans="1:13" x14ac:dyDescent="0.25">
      <c r="A3986">
        <v>3009075</v>
      </c>
      <c r="B3986" t="s">
        <v>11153</v>
      </c>
      <c r="C3986" t="s">
        <v>2640</v>
      </c>
      <c r="D3986" s="254">
        <v>30.67</v>
      </c>
      <c r="E3986"/>
      <c r="F3986"/>
      <c r="G3986"/>
      <c r="H3986"/>
      <c r="I3986" s="489"/>
      <c r="J3986" s="1095"/>
      <c r="K3986" s="1095"/>
      <c r="L3986" s="1095"/>
      <c r="M3986" s="1095"/>
    </row>
    <row r="3987" spans="1:13" x14ac:dyDescent="0.25">
      <c r="A3987">
        <v>3009076</v>
      </c>
      <c r="B3987" t="s">
        <v>11154</v>
      </c>
      <c r="C3987" t="s">
        <v>2640</v>
      </c>
      <c r="D3987" s="254">
        <v>31.79</v>
      </c>
      <c r="E3987"/>
      <c r="F3987"/>
      <c r="G3987"/>
      <c r="H3987"/>
      <c r="I3987" s="489"/>
      <c r="J3987" s="1095"/>
      <c r="K3987" s="1095"/>
      <c r="L3987" s="1095"/>
      <c r="M3987" s="1095"/>
    </row>
    <row r="3988" spans="1:13" x14ac:dyDescent="0.25">
      <c r="A3988">
        <v>3009077</v>
      </c>
      <c r="B3988" t="s">
        <v>11155</v>
      </c>
      <c r="C3988" t="s">
        <v>2640</v>
      </c>
      <c r="D3988" s="254">
        <v>31.81</v>
      </c>
      <c r="E3988"/>
      <c r="F3988"/>
      <c r="G3988"/>
      <c r="H3988"/>
      <c r="I3988" s="489"/>
      <c r="J3988" s="1095"/>
      <c r="K3988" s="1095"/>
      <c r="L3988" s="1095"/>
      <c r="M3988" s="1095"/>
    </row>
    <row r="3989" spans="1:13" x14ac:dyDescent="0.25">
      <c r="A3989">
        <v>3009078</v>
      </c>
      <c r="B3989" t="s">
        <v>11156</v>
      </c>
      <c r="C3989" t="s">
        <v>2640</v>
      </c>
      <c r="D3989" s="254">
        <v>32.380000000000003</v>
      </c>
      <c r="E3989"/>
      <c r="F3989"/>
      <c r="G3989"/>
      <c r="H3989"/>
      <c r="I3989" s="489"/>
      <c r="J3989" s="1095"/>
      <c r="K3989" s="1095"/>
      <c r="L3989" s="1095"/>
      <c r="M3989" s="1095"/>
    </row>
    <row r="3990" spans="1:13" x14ac:dyDescent="0.25">
      <c r="A3990">
        <v>3009087</v>
      </c>
      <c r="B3990" t="s">
        <v>11157</v>
      </c>
      <c r="C3990" t="s">
        <v>2640</v>
      </c>
      <c r="D3990" s="254">
        <v>0.09</v>
      </c>
      <c r="E3990"/>
      <c r="F3990"/>
      <c r="G3990"/>
      <c r="H3990"/>
      <c r="I3990" s="489"/>
      <c r="J3990" s="1095"/>
      <c r="K3990" s="1095"/>
      <c r="L3990" s="1095"/>
      <c r="M3990" s="1095"/>
    </row>
    <row r="3991" spans="1:13" x14ac:dyDescent="0.25">
      <c r="A3991">
        <v>3009085</v>
      </c>
      <c r="B3991" t="s">
        <v>11158</v>
      </c>
      <c r="C3991" t="s">
        <v>2598</v>
      </c>
      <c r="D3991" s="254">
        <v>1303.17</v>
      </c>
      <c r="E3991"/>
      <c r="F3991"/>
      <c r="G3991"/>
      <c r="H3991"/>
      <c r="I3991" s="489"/>
      <c r="J3991" s="1095"/>
      <c r="K3991" s="1095"/>
      <c r="L3991" s="1095"/>
      <c r="M3991" s="1095"/>
    </row>
    <row r="3992" spans="1:13" x14ac:dyDescent="0.25">
      <c r="A3992">
        <v>3009086</v>
      </c>
      <c r="B3992" t="s">
        <v>11159</v>
      </c>
      <c r="C3992" t="s">
        <v>2598</v>
      </c>
      <c r="D3992" s="254">
        <v>1606.41</v>
      </c>
      <c r="E3992"/>
      <c r="F3992"/>
      <c r="G3992"/>
      <c r="H3992"/>
      <c r="I3992" s="489"/>
      <c r="J3992" s="1095"/>
      <c r="K3992" s="1095"/>
      <c r="L3992" s="1095"/>
      <c r="M3992" s="1095"/>
    </row>
    <row r="3993" spans="1:13" x14ac:dyDescent="0.25">
      <c r="A3993">
        <v>3009089</v>
      </c>
      <c r="B3993" t="s">
        <v>11160</v>
      </c>
      <c r="C3993" t="s">
        <v>2598</v>
      </c>
      <c r="D3993" s="254">
        <v>1923.24</v>
      </c>
      <c r="E3993"/>
      <c r="F3993"/>
      <c r="G3993"/>
      <c r="H3993"/>
      <c r="I3993" s="489"/>
      <c r="J3993" s="1095"/>
      <c r="K3993" s="1095"/>
      <c r="L3993" s="1095"/>
      <c r="M3993" s="1095"/>
    </row>
    <row r="3994" spans="1:13" x14ac:dyDescent="0.25">
      <c r="A3994">
        <v>3009090</v>
      </c>
      <c r="B3994" t="s">
        <v>11161</v>
      </c>
      <c r="C3994" t="s">
        <v>2598</v>
      </c>
      <c r="D3994" s="254">
        <v>2041.37</v>
      </c>
      <c r="E3994"/>
      <c r="F3994"/>
      <c r="G3994"/>
      <c r="H3994"/>
      <c r="I3994" s="489"/>
      <c r="J3994" s="1095"/>
      <c r="K3994" s="1095"/>
      <c r="L3994" s="1095"/>
      <c r="M3994" s="1095"/>
    </row>
    <row r="3995" spans="1:13" x14ac:dyDescent="0.25">
      <c r="A3995">
        <v>3009004</v>
      </c>
      <c r="B3995" t="s">
        <v>11162</v>
      </c>
      <c r="C3995" t="s">
        <v>2640</v>
      </c>
      <c r="D3995" s="254">
        <v>422.12</v>
      </c>
      <c r="E3995"/>
      <c r="F3995"/>
      <c r="G3995"/>
      <c r="H3995"/>
      <c r="I3995" s="489"/>
      <c r="J3995" s="1095"/>
      <c r="K3995" s="1095"/>
      <c r="L3995" s="1095"/>
      <c r="M3995" s="1095"/>
    </row>
    <row r="3996" spans="1:13" x14ac:dyDescent="0.25">
      <c r="A3996">
        <v>3009002</v>
      </c>
      <c r="B3996" t="s">
        <v>11163</v>
      </c>
      <c r="C3996" t="s">
        <v>2640</v>
      </c>
      <c r="D3996" s="254">
        <v>318.41000000000003</v>
      </c>
      <c r="E3996"/>
      <c r="F3996"/>
      <c r="G3996"/>
      <c r="H3996"/>
      <c r="I3996" s="489"/>
      <c r="J3996" s="1095"/>
      <c r="K3996" s="1095"/>
      <c r="L3996" s="1095"/>
      <c r="M3996" s="1095"/>
    </row>
    <row r="3997" spans="1:13" x14ac:dyDescent="0.25">
      <c r="A3997">
        <v>3009006</v>
      </c>
      <c r="B3997" t="s">
        <v>11164</v>
      </c>
      <c r="C3997" t="s">
        <v>2640</v>
      </c>
      <c r="D3997" s="254">
        <v>591.78</v>
      </c>
      <c r="E3997"/>
      <c r="F3997"/>
      <c r="G3997"/>
      <c r="H3997"/>
      <c r="I3997" s="489"/>
      <c r="J3997" s="1095"/>
      <c r="K3997" s="1095"/>
      <c r="L3997" s="1095"/>
      <c r="M3997" s="1095"/>
    </row>
    <row r="3998" spans="1:13" x14ac:dyDescent="0.25">
      <c r="A3998">
        <v>3009335</v>
      </c>
      <c r="B3998" t="s">
        <v>11165</v>
      </c>
      <c r="C3998" t="s">
        <v>2640</v>
      </c>
      <c r="D3998" s="254">
        <v>1104.55</v>
      </c>
      <c r="E3998"/>
      <c r="F3998"/>
      <c r="G3998"/>
      <c r="H3998"/>
      <c r="I3998" s="489"/>
      <c r="J3998" s="1095"/>
      <c r="K3998" s="1095"/>
      <c r="L3998" s="1095"/>
      <c r="M3998" s="1095"/>
    </row>
    <row r="3999" spans="1:13" x14ac:dyDescent="0.25">
      <c r="A3999">
        <v>3009334</v>
      </c>
      <c r="B3999" t="s">
        <v>11166</v>
      </c>
      <c r="C3999" t="s">
        <v>2640</v>
      </c>
      <c r="D3999" s="254">
        <v>786.77</v>
      </c>
      <c r="E3999"/>
      <c r="F3999"/>
      <c r="G3999"/>
      <c r="H3999"/>
      <c r="I3999" s="489"/>
      <c r="J3999" s="1095"/>
      <c r="K3999" s="1095"/>
      <c r="L3999" s="1095"/>
      <c r="M3999" s="1095"/>
    </row>
    <row r="4000" spans="1:13" x14ac:dyDescent="0.25">
      <c r="A4000">
        <v>3009280</v>
      </c>
      <c r="B4000" t="s">
        <v>11167</v>
      </c>
      <c r="C4000" t="s">
        <v>9248</v>
      </c>
      <c r="D4000" s="254">
        <v>727442.9</v>
      </c>
      <c r="E4000"/>
      <c r="F4000"/>
      <c r="G4000"/>
      <c r="H4000"/>
      <c r="I4000" s="489"/>
      <c r="J4000" s="1095"/>
      <c r="K4000" s="1095"/>
      <c r="L4000" s="1095"/>
      <c r="M4000" s="1095"/>
    </row>
    <row r="4001" spans="1:13" x14ac:dyDescent="0.25">
      <c r="A4001">
        <v>3009281</v>
      </c>
      <c r="B4001" t="s">
        <v>11168</v>
      </c>
      <c r="C4001" t="s">
        <v>9248</v>
      </c>
      <c r="D4001" s="254">
        <v>718625.66</v>
      </c>
      <c r="E4001"/>
      <c r="F4001"/>
      <c r="G4001"/>
      <c r="H4001"/>
      <c r="I4001" s="489"/>
      <c r="J4001" s="1095"/>
      <c r="K4001" s="1095"/>
      <c r="L4001" s="1095"/>
      <c r="M4001" s="1095"/>
    </row>
    <row r="4002" spans="1:13" x14ac:dyDescent="0.25">
      <c r="A4002">
        <v>3009061</v>
      </c>
      <c r="B4002" t="s">
        <v>11169</v>
      </c>
      <c r="C4002" t="s">
        <v>9248</v>
      </c>
      <c r="D4002" s="254">
        <v>763663.23</v>
      </c>
      <c r="E4002"/>
      <c r="F4002"/>
      <c r="G4002"/>
      <c r="H4002"/>
      <c r="I4002" s="489"/>
      <c r="J4002" s="1095"/>
      <c r="K4002" s="1095"/>
      <c r="L4002" s="1095"/>
      <c r="M4002" s="1095"/>
    </row>
    <row r="4003" spans="1:13" x14ac:dyDescent="0.25">
      <c r="A4003">
        <v>3009062</v>
      </c>
      <c r="B4003" t="s">
        <v>11170</v>
      </c>
      <c r="C4003" t="s">
        <v>9248</v>
      </c>
      <c r="D4003" s="254">
        <v>754406.01</v>
      </c>
      <c r="E4003"/>
      <c r="F4003"/>
      <c r="G4003"/>
      <c r="H4003"/>
      <c r="I4003" s="489"/>
      <c r="J4003" s="1095"/>
      <c r="K4003" s="1095"/>
      <c r="L4003" s="1095"/>
      <c r="M4003" s="1095"/>
    </row>
    <row r="4004" spans="1:13" x14ac:dyDescent="0.25">
      <c r="A4004">
        <v>3009278</v>
      </c>
      <c r="B4004" t="s">
        <v>11171</v>
      </c>
      <c r="C4004" t="s">
        <v>9248</v>
      </c>
      <c r="D4004" s="254">
        <v>549270.1</v>
      </c>
      <c r="E4004"/>
      <c r="F4004"/>
      <c r="G4004"/>
      <c r="H4004"/>
      <c r="I4004" s="489"/>
      <c r="J4004" s="1095"/>
      <c r="K4004" s="1095"/>
      <c r="L4004" s="1095"/>
      <c r="M4004" s="1095"/>
    </row>
    <row r="4005" spans="1:13" x14ac:dyDescent="0.25">
      <c r="A4005">
        <v>3009279</v>
      </c>
      <c r="B4005" t="s">
        <v>11172</v>
      </c>
      <c r="C4005" t="s">
        <v>9248</v>
      </c>
      <c r="D4005" s="254">
        <v>542993.81999999995</v>
      </c>
      <c r="E4005"/>
      <c r="F4005"/>
      <c r="G4005"/>
      <c r="H4005"/>
      <c r="I4005" s="489"/>
      <c r="J4005" s="1095"/>
      <c r="K4005" s="1095"/>
      <c r="L4005" s="1095"/>
      <c r="M4005" s="1095"/>
    </row>
    <row r="4006" spans="1:13" x14ac:dyDescent="0.25">
      <c r="A4006">
        <v>3009059</v>
      </c>
      <c r="B4006" t="s">
        <v>11173</v>
      </c>
      <c r="C4006" t="s">
        <v>9248</v>
      </c>
      <c r="D4006" s="254">
        <v>576619.19999999995</v>
      </c>
      <c r="E4006"/>
      <c r="F4006"/>
      <c r="G4006"/>
      <c r="H4006"/>
      <c r="I4006" s="489"/>
      <c r="J4006" s="1095"/>
      <c r="K4006" s="1095"/>
      <c r="L4006" s="1095"/>
      <c r="M4006" s="1095"/>
    </row>
    <row r="4007" spans="1:13" x14ac:dyDescent="0.25">
      <c r="A4007">
        <v>3009060</v>
      </c>
      <c r="B4007" t="s">
        <v>11174</v>
      </c>
      <c r="C4007" t="s">
        <v>9248</v>
      </c>
      <c r="D4007" s="254">
        <v>570029.46</v>
      </c>
      <c r="E4007"/>
      <c r="F4007"/>
      <c r="G4007"/>
      <c r="H4007"/>
      <c r="I4007" s="489"/>
      <c r="J4007" s="1095"/>
      <c r="K4007" s="1095"/>
      <c r="L4007" s="1095"/>
      <c r="M4007" s="1095"/>
    </row>
    <row r="4008" spans="1:13" x14ac:dyDescent="0.25">
      <c r="A4008">
        <v>3009282</v>
      </c>
      <c r="B4008" t="s">
        <v>11175</v>
      </c>
      <c r="C4008" t="s">
        <v>9248</v>
      </c>
      <c r="D4008" s="254">
        <v>1010262.28</v>
      </c>
      <c r="E4008"/>
      <c r="F4008"/>
      <c r="G4008"/>
      <c r="H4008"/>
      <c r="I4008" s="489"/>
      <c r="J4008" s="1095"/>
      <c r="K4008" s="1095"/>
      <c r="L4008" s="1095"/>
      <c r="M4008" s="1095"/>
    </row>
    <row r="4009" spans="1:13" x14ac:dyDescent="0.25">
      <c r="A4009">
        <v>3009283</v>
      </c>
      <c r="B4009" t="s">
        <v>11176</v>
      </c>
      <c r="C4009" t="s">
        <v>9248</v>
      </c>
      <c r="D4009" s="254">
        <v>1001450.21</v>
      </c>
      <c r="E4009"/>
      <c r="F4009"/>
      <c r="G4009"/>
      <c r="H4009"/>
      <c r="I4009" s="489"/>
      <c r="J4009" s="1095"/>
      <c r="K4009" s="1095"/>
      <c r="L4009" s="1095"/>
      <c r="M4009" s="1095"/>
    </row>
    <row r="4010" spans="1:13" x14ac:dyDescent="0.25">
      <c r="A4010">
        <v>3009063</v>
      </c>
      <c r="B4010" t="s">
        <v>11177</v>
      </c>
      <c r="C4010" t="s">
        <v>9248</v>
      </c>
      <c r="D4010" s="254">
        <v>1060564.2</v>
      </c>
      <c r="E4010"/>
      <c r="F4010"/>
      <c r="G4010"/>
      <c r="H4010"/>
      <c r="I4010" s="489"/>
      <c r="J4010" s="1095"/>
      <c r="K4010" s="1095"/>
      <c r="L4010" s="1095"/>
      <c r="M4010" s="1095"/>
    </row>
    <row r="4011" spans="1:13" x14ac:dyDescent="0.25">
      <c r="A4011">
        <v>3009064</v>
      </c>
      <c r="B4011" t="s">
        <v>11178</v>
      </c>
      <c r="C4011" t="s">
        <v>9248</v>
      </c>
      <c r="D4011" s="254">
        <v>1051312.4099999999</v>
      </c>
      <c r="E4011"/>
      <c r="F4011"/>
      <c r="G4011"/>
      <c r="H4011"/>
      <c r="I4011" s="489"/>
      <c r="J4011" s="1095"/>
      <c r="K4011" s="1095"/>
      <c r="L4011" s="1095"/>
      <c r="M4011" s="1095"/>
    </row>
    <row r="4012" spans="1:13" x14ac:dyDescent="0.25">
      <c r="A4012">
        <v>3009081</v>
      </c>
      <c r="B4012" t="s">
        <v>11179</v>
      </c>
      <c r="C4012" t="s">
        <v>2640</v>
      </c>
      <c r="D4012" s="254">
        <v>602.22</v>
      </c>
      <c r="E4012"/>
      <c r="F4012"/>
      <c r="G4012"/>
      <c r="H4012"/>
      <c r="I4012" s="489"/>
      <c r="J4012" s="1095"/>
      <c r="K4012" s="1095"/>
      <c r="L4012" s="1095"/>
      <c r="M4012" s="1095"/>
    </row>
    <row r="4013" spans="1:13" x14ac:dyDescent="0.25">
      <c r="A4013">
        <v>3009082</v>
      </c>
      <c r="B4013" t="s">
        <v>11180</v>
      </c>
      <c r="C4013" t="s">
        <v>2640</v>
      </c>
      <c r="D4013" s="254">
        <v>734.76</v>
      </c>
      <c r="E4013"/>
      <c r="F4013"/>
      <c r="G4013"/>
      <c r="H4013"/>
      <c r="I4013" s="489"/>
      <c r="J4013" s="1095"/>
      <c r="K4013" s="1095"/>
      <c r="L4013" s="1095"/>
      <c r="M4013" s="1095"/>
    </row>
    <row r="4014" spans="1:13" x14ac:dyDescent="0.25">
      <c r="A4014">
        <v>3009083</v>
      </c>
      <c r="B4014" t="s">
        <v>11181</v>
      </c>
      <c r="C4014" t="s">
        <v>2640</v>
      </c>
      <c r="D4014" s="254">
        <v>751.25</v>
      </c>
      <c r="E4014"/>
      <c r="F4014"/>
      <c r="G4014"/>
      <c r="H4014"/>
      <c r="I4014" s="489"/>
      <c r="J4014" s="1095"/>
      <c r="K4014" s="1095"/>
      <c r="L4014" s="1095"/>
      <c r="M4014" s="1095"/>
    </row>
    <row r="4015" spans="1:13" x14ac:dyDescent="0.25">
      <c r="A4015">
        <v>3009084</v>
      </c>
      <c r="B4015" t="s">
        <v>11182</v>
      </c>
      <c r="C4015" t="s">
        <v>2640</v>
      </c>
      <c r="D4015" s="254">
        <v>755.89</v>
      </c>
      <c r="E4015"/>
      <c r="F4015"/>
      <c r="G4015"/>
      <c r="H4015"/>
      <c r="I4015" s="489"/>
      <c r="J4015" s="1095"/>
      <c r="K4015" s="1095"/>
      <c r="L4015" s="1095"/>
      <c r="M4015" s="1095"/>
    </row>
    <row r="4016" spans="1:13" x14ac:dyDescent="0.25">
      <c r="A4016">
        <v>3009070</v>
      </c>
      <c r="B4016" t="s">
        <v>11183</v>
      </c>
      <c r="C4016" t="s">
        <v>2640</v>
      </c>
      <c r="D4016" s="254">
        <v>316.97000000000003</v>
      </c>
      <c r="E4016"/>
      <c r="F4016"/>
      <c r="G4016"/>
      <c r="H4016"/>
      <c r="I4016" s="489"/>
      <c r="J4016" s="1095"/>
      <c r="K4016" s="1095"/>
      <c r="L4016" s="1095"/>
      <c r="M4016" s="1095"/>
    </row>
    <row r="4017" spans="1:13" x14ac:dyDescent="0.25">
      <c r="A4017">
        <v>3009285</v>
      </c>
      <c r="B4017" t="s">
        <v>11184</v>
      </c>
      <c r="C4017" t="s">
        <v>9248</v>
      </c>
      <c r="D4017" s="254">
        <v>510076.65</v>
      </c>
      <c r="E4017"/>
      <c r="F4017"/>
      <c r="G4017"/>
      <c r="H4017"/>
      <c r="I4017" s="489"/>
      <c r="J4017" s="1095"/>
      <c r="K4017" s="1095"/>
      <c r="L4017" s="1095"/>
      <c r="M4017" s="1095"/>
    </row>
    <row r="4018" spans="1:13" x14ac:dyDescent="0.25">
      <c r="A4018">
        <v>3009072</v>
      </c>
      <c r="B4018" t="s">
        <v>11185</v>
      </c>
      <c r="C4018" t="s">
        <v>9248</v>
      </c>
      <c r="D4018" s="254">
        <v>535474.31000000006</v>
      </c>
      <c r="E4018"/>
      <c r="F4018"/>
      <c r="G4018"/>
      <c r="H4018"/>
      <c r="I4018" s="489"/>
      <c r="J4018" s="1095"/>
      <c r="K4018" s="1095"/>
      <c r="L4018" s="1095"/>
      <c r="M4018" s="1095"/>
    </row>
    <row r="4019" spans="1:13" x14ac:dyDescent="0.25">
      <c r="A4019">
        <v>3009069</v>
      </c>
      <c r="B4019" t="s">
        <v>11186</v>
      </c>
      <c r="C4019" t="s">
        <v>2640</v>
      </c>
      <c r="D4019" s="254">
        <v>220.13</v>
      </c>
      <c r="E4019"/>
      <c r="F4019"/>
      <c r="G4019"/>
      <c r="H4019"/>
      <c r="I4019" s="489"/>
      <c r="J4019" s="1095"/>
      <c r="K4019" s="1095"/>
      <c r="L4019" s="1095"/>
      <c r="M4019" s="1095"/>
    </row>
    <row r="4020" spans="1:13" x14ac:dyDescent="0.25">
      <c r="A4020">
        <v>3009284</v>
      </c>
      <c r="B4020" t="s">
        <v>11187</v>
      </c>
      <c r="C4020" t="s">
        <v>9248</v>
      </c>
      <c r="D4020" s="254">
        <v>353045.69</v>
      </c>
      <c r="E4020"/>
      <c r="F4020"/>
      <c r="G4020"/>
      <c r="H4020"/>
      <c r="I4020" s="489"/>
      <c r="J4020" s="1095"/>
      <c r="K4020" s="1095"/>
      <c r="L4020" s="1095"/>
      <c r="M4020" s="1095"/>
    </row>
    <row r="4021" spans="1:13" x14ac:dyDescent="0.25">
      <c r="A4021">
        <v>3009071</v>
      </c>
      <c r="B4021" t="s">
        <v>11188</v>
      </c>
      <c r="C4021" t="s">
        <v>9248</v>
      </c>
      <c r="D4021" s="254">
        <v>370624.76</v>
      </c>
      <c r="E4021"/>
      <c r="F4021"/>
      <c r="G4021"/>
      <c r="H4021"/>
      <c r="I4021" s="489"/>
      <c r="J4021" s="1095"/>
      <c r="K4021" s="1095"/>
      <c r="L4021" s="1095"/>
      <c r="M4021" s="1095"/>
    </row>
    <row r="4022" spans="1:13" x14ac:dyDescent="0.25">
      <c r="A4022">
        <v>3009091</v>
      </c>
      <c r="B4022" t="s">
        <v>11189</v>
      </c>
      <c r="C4022" t="s">
        <v>2596</v>
      </c>
      <c r="D4022" s="254">
        <v>159.25</v>
      </c>
      <c r="E4022"/>
      <c r="F4022"/>
      <c r="G4022"/>
      <c r="H4022"/>
      <c r="I4022" s="489"/>
      <c r="J4022" s="1095"/>
      <c r="K4022" s="1095"/>
      <c r="L4022" s="1095"/>
      <c r="M4022" s="1095"/>
    </row>
    <row r="4023" spans="1:13" x14ac:dyDescent="0.25">
      <c r="A4023">
        <v>3009058</v>
      </c>
      <c r="B4023" t="s">
        <v>11190</v>
      </c>
      <c r="C4023" t="s">
        <v>2640</v>
      </c>
      <c r="D4023" s="254">
        <v>90183.3</v>
      </c>
      <c r="E4023"/>
      <c r="F4023"/>
      <c r="G4023"/>
      <c r="H4023"/>
      <c r="I4023" s="489"/>
      <c r="J4023" s="1095"/>
      <c r="K4023" s="1095"/>
      <c r="L4023" s="1095"/>
      <c r="M4023" s="1095"/>
    </row>
    <row r="4024" spans="1:13" x14ac:dyDescent="0.25">
      <c r="A4024">
        <v>3009229</v>
      </c>
      <c r="B4024" t="s">
        <v>11191</v>
      </c>
      <c r="C4024" t="s">
        <v>9248</v>
      </c>
      <c r="D4024" s="254">
        <v>168.05</v>
      </c>
      <c r="E4024"/>
      <c r="F4024"/>
      <c r="G4024"/>
      <c r="H4024"/>
      <c r="I4024" s="489"/>
      <c r="J4024" s="1095"/>
      <c r="K4024" s="1095"/>
      <c r="L4024" s="1095"/>
      <c r="M4024" s="1095"/>
    </row>
    <row r="4025" spans="1:13" x14ac:dyDescent="0.25">
      <c r="A4025">
        <v>3009132</v>
      </c>
      <c r="B4025" t="s">
        <v>11192</v>
      </c>
      <c r="C4025" t="s">
        <v>9248</v>
      </c>
      <c r="D4025" s="254">
        <v>1187.3800000000001</v>
      </c>
      <c r="E4025"/>
      <c r="F4025"/>
      <c r="G4025"/>
      <c r="H4025"/>
      <c r="I4025" s="489"/>
      <c r="J4025" s="1095"/>
      <c r="K4025" s="1095"/>
      <c r="L4025" s="1095"/>
      <c r="M4025" s="1095"/>
    </row>
    <row r="4026" spans="1:13" x14ac:dyDescent="0.25">
      <c r="A4026">
        <v>3009133</v>
      </c>
      <c r="B4026" t="s">
        <v>11193</v>
      </c>
      <c r="C4026" t="s">
        <v>9248</v>
      </c>
      <c r="D4026" s="254">
        <v>1455.32</v>
      </c>
      <c r="E4026"/>
      <c r="F4026"/>
      <c r="G4026"/>
      <c r="H4026"/>
      <c r="I4026" s="489"/>
      <c r="J4026" s="1095"/>
      <c r="K4026" s="1095"/>
      <c r="L4026" s="1095"/>
      <c r="M4026" s="1095"/>
    </row>
    <row r="4027" spans="1:13" x14ac:dyDescent="0.25">
      <c r="A4027">
        <v>3009321</v>
      </c>
      <c r="B4027" t="s">
        <v>11194</v>
      </c>
      <c r="C4027" t="s">
        <v>2640</v>
      </c>
      <c r="D4027" s="254">
        <v>1433.42</v>
      </c>
      <c r="E4027"/>
      <c r="F4027"/>
      <c r="G4027"/>
      <c r="H4027"/>
      <c r="I4027" s="489"/>
      <c r="J4027" s="1095"/>
      <c r="K4027" s="1095"/>
      <c r="L4027" s="1095"/>
      <c r="M4027" s="1095"/>
    </row>
    <row r="4028" spans="1:13" x14ac:dyDescent="0.25">
      <c r="A4028">
        <v>3009322</v>
      </c>
      <c r="B4028" t="s">
        <v>11195</v>
      </c>
      <c r="C4028" t="s">
        <v>2640</v>
      </c>
      <c r="D4028" s="254">
        <v>1443.79</v>
      </c>
      <c r="E4028"/>
      <c r="F4028"/>
      <c r="G4028"/>
      <c r="H4028"/>
      <c r="I4028" s="489"/>
      <c r="J4028" s="1095"/>
      <c r="K4028" s="1095"/>
      <c r="L4028" s="1095"/>
      <c r="M4028" s="1095"/>
    </row>
    <row r="4029" spans="1:13" x14ac:dyDescent="0.25">
      <c r="A4029">
        <v>3009323</v>
      </c>
      <c r="B4029" t="s">
        <v>11196</v>
      </c>
      <c r="C4029" t="s">
        <v>2640</v>
      </c>
      <c r="D4029" s="254">
        <v>1525.28</v>
      </c>
      <c r="E4029"/>
      <c r="F4029"/>
      <c r="G4029"/>
      <c r="H4029"/>
      <c r="I4029" s="489"/>
      <c r="J4029" s="1095"/>
      <c r="K4029" s="1095"/>
      <c r="L4029" s="1095"/>
      <c r="M4029" s="1095"/>
    </row>
    <row r="4030" spans="1:13" x14ac:dyDescent="0.25">
      <c r="A4030">
        <v>3009324</v>
      </c>
      <c r="B4030" t="s">
        <v>11197</v>
      </c>
      <c r="C4030" t="s">
        <v>2640</v>
      </c>
      <c r="D4030" s="254">
        <v>1459.36</v>
      </c>
      <c r="E4030"/>
      <c r="F4030"/>
      <c r="G4030"/>
      <c r="H4030"/>
      <c r="I4030" s="489"/>
      <c r="J4030" s="1095"/>
      <c r="K4030" s="1095"/>
      <c r="L4030" s="1095"/>
      <c r="M4030" s="1095"/>
    </row>
    <row r="4031" spans="1:13" x14ac:dyDescent="0.25">
      <c r="A4031">
        <v>3009096</v>
      </c>
      <c r="B4031" t="s">
        <v>11198</v>
      </c>
      <c r="C4031" t="s">
        <v>2640</v>
      </c>
      <c r="D4031" s="254">
        <v>256.52</v>
      </c>
      <c r="E4031"/>
      <c r="F4031"/>
      <c r="G4031"/>
      <c r="H4031"/>
      <c r="I4031" s="489"/>
      <c r="J4031" s="1095"/>
      <c r="K4031" s="1095"/>
      <c r="L4031" s="1095"/>
      <c r="M4031" s="1095"/>
    </row>
    <row r="4032" spans="1:13" x14ac:dyDescent="0.25">
      <c r="A4032">
        <v>3009330</v>
      </c>
      <c r="B4032" t="s">
        <v>11199</v>
      </c>
      <c r="C4032" t="s">
        <v>2640</v>
      </c>
      <c r="D4032" s="254">
        <v>221.63</v>
      </c>
      <c r="E4032"/>
      <c r="F4032"/>
      <c r="G4032"/>
      <c r="H4032"/>
      <c r="I4032" s="489"/>
      <c r="J4032" s="1095"/>
      <c r="K4032" s="1095"/>
      <c r="L4032" s="1095"/>
      <c r="M4032" s="1095"/>
    </row>
    <row r="4033" spans="1:13" x14ac:dyDescent="0.25">
      <c r="A4033">
        <v>3009326</v>
      </c>
      <c r="B4033" t="s">
        <v>11200</v>
      </c>
      <c r="C4033" t="s">
        <v>2640</v>
      </c>
      <c r="D4033" s="254">
        <v>227.61</v>
      </c>
      <c r="E4033"/>
      <c r="F4033"/>
      <c r="G4033"/>
      <c r="H4033"/>
      <c r="I4033" s="489"/>
      <c r="J4033" s="1095"/>
      <c r="K4033" s="1095"/>
      <c r="L4033" s="1095"/>
      <c r="M4033" s="1095"/>
    </row>
    <row r="4034" spans="1:13" x14ac:dyDescent="0.25">
      <c r="A4034">
        <v>3009234</v>
      </c>
      <c r="B4034" t="s">
        <v>11201</v>
      </c>
      <c r="C4034" t="s">
        <v>9248</v>
      </c>
      <c r="D4034" s="254">
        <v>1398490.67</v>
      </c>
      <c r="E4034"/>
      <c r="F4034"/>
      <c r="G4034"/>
      <c r="H4034"/>
      <c r="I4034" s="489"/>
      <c r="J4034" s="1095"/>
      <c r="K4034" s="1095"/>
      <c r="L4034" s="1095"/>
      <c r="M4034" s="1095"/>
    </row>
    <row r="4035" spans="1:13" x14ac:dyDescent="0.25">
      <c r="A4035">
        <v>3009022</v>
      </c>
      <c r="B4035" t="s">
        <v>11202</v>
      </c>
      <c r="C4035" t="s">
        <v>9248</v>
      </c>
      <c r="D4035" s="254">
        <v>1405907.31</v>
      </c>
      <c r="E4035"/>
      <c r="F4035"/>
      <c r="G4035"/>
      <c r="H4035"/>
      <c r="I4035" s="489"/>
      <c r="J4035" s="1095"/>
      <c r="K4035" s="1095"/>
      <c r="L4035" s="1095"/>
      <c r="M4035" s="1095"/>
    </row>
    <row r="4036" spans="1:13" x14ac:dyDescent="0.25">
      <c r="A4036">
        <v>3009230</v>
      </c>
      <c r="B4036" t="s">
        <v>11203</v>
      </c>
      <c r="C4036" t="s">
        <v>9248</v>
      </c>
      <c r="D4036" s="254">
        <v>2097884.54</v>
      </c>
      <c r="E4036"/>
      <c r="F4036"/>
      <c r="G4036"/>
      <c r="H4036"/>
      <c r="I4036" s="489"/>
      <c r="J4036" s="1095"/>
      <c r="K4036" s="1095"/>
      <c r="L4036" s="1095"/>
      <c r="M4036" s="1095"/>
    </row>
    <row r="4037" spans="1:13" x14ac:dyDescent="0.25">
      <c r="A4037">
        <v>3009018</v>
      </c>
      <c r="B4037" t="s">
        <v>11204</v>
      </c>
      <c r="C4037" t="s">
        <v>9248</v>
      </c>
      <c r="D4037" s="254">
        <v>2109009.5</v>
      </c>
      <c r="E4037"/>
      <c r="F4037"/>
      <c r="G4037"/>
      <c r="H4037"/>
      <c r="I4037" s="489"/>
      <c r="J4037" s="1095"/>
      <c r="K4037" s="1095"/>
      <c r="L4037" s="1095"/>
      <c r="M4037" s="1095"/>
    </row>
    <row r="4038" spans="1:13" x14ac:dyDescent="0.25">
      <c r="A4038">
        <v>3009288</v>
      </c>
      <c r="B4038" t="s">
        <v>11205</v>
      </c>
      <c r="C4038" t="s">
        <v>9248</v>
      </c>
      <c r="D4038" s="254">
        <v>1643874.18</v>
      </c>
      <c r="E4038"/>
      <c r="F4038"/>
      <c r="G4038"/>
      <c r="H4038"/>
      <c r="I4038" s="489"/>
      <c r="J4038" s="1095"/>
      <c r="K4038" s="1095"/>
      <c r="L4038" s="1095"/>
      <c r="M4038" s="1095"/>
    </row>
    <row r="4039" spans="1:13" x14ac:dyDescent="0.25">
      <c r="A4039">
        <v>3009013</v>
      </c>
      <c r="B4039" t="s">
        <v>11206</v>
      </c>
      <c r="C4039" t="s">
        <v>9248</v>
      </c>
      <c r="D4039" s="254">
        <v>1663312.55</v>
      </c>
      <c r="E4039"/>
      <c r="F4039"/>
      <c r="G4039"/>
      <c r="H4039"/>
      <c r="I4039" s="489"/>
      <c r="J4039" s="1095"/>
      <c r="K4039" s="1095"/>
      <c r="L4039" s="1095"/>
      <c r="M4039" s="1095"/>
    </row>
    <row r="4040" spans="1:13" x14ac:dyDescent="0.25">
      <c r="A4040">
        <v>3009292</v>
      </c>
      <c r="B4040" t="s">
        <v>11207</v>
      </c>
      <c r="C4040" t="s">
        <v>9248</v>
      </c>
      <c r="D4040" s="254">
        <v>2465813.77</v>
      </c>
      <c r="E4040"/>
      <c r="F4040"/>
      <c r="G4040"/>
      <c r="H4040"/>
      <c r="I4040" s="489"/>
      <c r="J4040" s="1095"/>
      <c r="K4040" s="1095"/>
      <c r="L4040" s="1095"/>
      <c r="M4040" s="1095"/>
    </row>
    <row r="4041" spans="1:13" x14ac:dyDescent="0.25">
      <c r="A4041">
        <v>3009225</v>
      </c>
      <c r="B4041" t="s">
        <v>11208</v>
      </c>
      <c r="C4041" t="s">
        <v>9248</v>
      </c>
      <c r="D4041" s="254">
        <v>2494971.4900000002</v>
      </c>
      <c r="E4041"/>
      <c r="F4041"/>
      <c r="G4041"/>
      <c r="H4041"/>
      <c r="I4041" s="489"/>
      <c r="J4041" s="1095"/>
      <c r="K4041" s="1095"/>
      <c r="L4041" s="1095"/>
      <c r="M4041" s="1095"/>
    </row>
    <row r="4042" spans="1:13" x14ac:dyDescent="0.25">
      <c r="A4042">
        <v>3009100</v>
      </c>
      <c r="B4042" t="s">
        <v>11209</v>
      </c>
      <c r="C4042" t="s">
        <v>2640</v>
      </c>
      <c r="D4042" s="254">
        <v>68121.2</v>
      </c>
      <c r="E4042"/>
      <c r="F4042"/>
      <c r="G4042"/>
      <c r="H4042"/>
      <c r="I4042" s="489"/>
      <c r="J4042" s="1095"/>
      <c r="K4042" s="1095"/>
      <c r="L4042" s="1095"/>
      <c r="M4042" s="1095"/>
    </row>
    <row r="4043" spans="1:13" x14ac:dyDescent="0.25">
      <c r="A4043">
        <v>3009238</v>
      </c>
      <c r="B4043" t="s">
        <v>11210</v>
      </c>
      <c r="C4043" t="s">
        <v>9248</v>
      </c>
      <c r="D4043" s="254">
        <v>1303211</v>
      </c>
      <c r="E4043"/>
      <c r="F4043"/>
      <c r="G4043"/>
      <c r="H4043"/>
      <c r="I4043" s="489"/>
      <c r="J4043" s="1095"/>
      <c r="K4043" s="1095"/>
      <c r="L4043" s="1095"/>
      <c r="M4043" s="1095"/>
    </row>
    <row r="4044" spans="1:13" x14ac:dyDescent="0.25">
      <c r="A4044">
        <v>3009304</v>
      </c>
      <c r="B4044" t="s">
        <v>11211</v>
      </c>
      <c r="C4044" t="s">
        <v>9248</v>
      </c>
      <c r="D4044" s="254">
        <v>1954732.21</v>
      </c>
      <c r="E4044"/>
      <c r="F4044"/>
      <c r="G4044"/>
      <c r="H4044"/>
      <c r="I4044" s="489"/>
      <c r="J4044" s="1095"/>
      <c r="K4044" s="1095"/>
      <c r="L4044" s="1095"/>
      <c r="M4044" s="1095"/>
    </row>
    <row r="4045" spans="1:13" x14ac:dyDescent="0.25">
      <c r="A4045">
        <v>3009030</v>
      </c>
      <c r="B4045" t="s">
        <v>11212</v>
      </c>
      <c r="C4045" t="s">
        <v>9248</v>
      </c>
      <c r="D4045" s="254">
        <v>1965849.91</v>
      </c>
      <c r="E4045"/>
      <c r="F4045"/>
      <c r="G4045"/>
      <c r="H4045"/>
      <c r="I4045" s="489"/>
      <c r="J4045" s="1095"/>
      <c r="K4045" s="1095"/>
      <c r="L4045" s="1095"/>
      <c r="M4045" s="1095"/>
    </row>
    <row r="4046" spans="1:13" x14ac:dyDescent="0.25">
      <c r="A4046">
        <v>3009254</v>
      </c>
      <c r="B4046" t="s">
        <v>11213</v>
      </c>
      <c r="C4046" t="s">
        <v>9248</v>
      </c>
      <c r="D4046" s="254">
        <v>1693132.75</v>
      </c>
      <c r="E4046"/>
      <c r="F4046"/>
      <c r="G4046"/>
      <c r="H4046"/>
      <c r="I4046" s="489"/>
      <c r="J4046" s="1095"/>
      <c r="K4046" s="1095"/>
      <c r="L4046" s="1095"/>
      <c r="M4046" s="1095"/>
    </row>
    <row r="4047" spans="1:13" x14ac:dyDescent="0.25">
      <c r="A4047">
        <v>3009262</v>
      </c>
      <c r="B4047" t="s">
        <v>11214</v>
      </c>
      <c r="C4047" t="s">
        <v>9248</v>
      </c>
      <c r="D4047" s="254">
        <v>1547246.46</v>
      </c>
      <c r="E4047"/>
      <c r="F4047"/>
      <c r="G4047"/>
      <c r="H4047"/>
      <c r="I4047" s="489"/>
      <c r="J4047" s="1095"/>
      <c r="K4047" s="1095"/>
      <c r="L4047" s="1095"/>
      <c r="M4047" s="1095"/>
    </row>
    <row r="4048" spans="1:13" x14ac:dyDescent="0.25">
      <c r="A4048">
        <v>3009034</v>
      </c>
      <c r="B4048" t="s">
        <v>11215</v>
      </c>
      <c r="C4048" t="s">
        <v>9248</v>
      </c>
      <c r="D4048" s="254">
        <v>1720216.26</v>
      </c>
      <c r="E4048"/>
      <c r="F4048"/>
      <c r="G4048"/>
      <c r="H4048"/>
      <c r="I4048" s="489"/>
      <c r="J4048" s="1095"/>
      <c r="K4048" s="1095"/>
      <c r="L4048" s="1095"/>
      <c r="M4048" s="1095"/>
    </row>
    <row r="4049" spans="1:13" x14ac:dyDescent="0.25">
      <c r="A4049">
        <v>3009042</v>
      </c>
      <c r="B4049" t="s">
        <v>11216</v>
      </c>
      <c r="C4049" t="s">
        <v>9248</v>
      </c>
      <c r="D4049" s="254">
        <v>1567066.13</v>
      </c>
      <c r="E4049"/>
      <c r="F4049"/>
      <c r="G4049"/>
      <c r="H4049"/>
      <c r="I4049" s="489"/>
      <c r="J4049" s="1095"/>
      <c r="K4049" s="1095"/>
      <c r="L4049" s="1095"/>
      <c r="M4049" s="1095"/>
    </row>
    <row r="4050" spans="1:13" x14ac:dyDescent="0.25">
      <c r="A4050">
        <v>3009270</v>
      </c>
      <c r="B4050" t="s">
        <v>11217</v>
      </c>
      <c r="C4050" t="s">
        <v>9248</v>
      </c>
      <c r="D4050" s="254">
        <v>2540332.0299999998</v>
      </c>
      <c r="E4050"/>
      <c r="F4050"/>
      <c r="G4050"/>
      <c r="H4050"/>
      <c r="I4050" s="489"/>
      <c r="J4050" s="1095"/>
      <c r="K4050" s="1095"/>
      <c r="L4050" s="1095"/>
      <c r="M4050" s="1095"/>
    </row>
    <row r="4051" spans="1:13" x14ac:dyDescent="0.25">
      <c r="A4051">
        <v>3009050</v>
      </c>
      <c r="B4051" t="s">
        <v>11218</v>
      </c>
      <c r="C4051" t="s">
        <v>9248</v>
      </c>
      <c r="D4051" s="254">
        <v>2580993.42</v>
      </c>
      <c r="E4051"/>
      <c r="F4051"/>
      <c r="G4051"/>
      <c r="H4051"/>
      <c r="I4051" s="489"/>
      <c r="J4051" s="1095"/>
      <c r="K4051" s="1095"/>
      <c r="L4051" s="1095"/>
      <c r="M4051" s="1095"/>
    </row>
    <row r="4052" spans="1:13" x14ac:dyDescent="0.25">
      <c r="A4052">
        <v>3009101</v>
      </c>
      <c r="B4052" t="s">
        <v>11219</v>
      </c>
      <c r="C4052" t="s">
        <v>2640</v>
      </c>
      <c r="D4052" s="254">
        <v>136498.92000000001</v>
      </c>
      <c r="E4052"/>
      <c r="F4052"/>
      <c r="G4052"/>
      <c r="H4052"/>
      <c r="I4052" s="489"/>
      <c r="J4052" s="1095"/>
      <c r="K4052" s="1095"/>
      <c r="L4052" s="1095"/>
      <c r="M4052" s="1095"/>
    </row>
    <row r="4053" spans="1:13" x14ac:dyDescent="0.25">
      <c r="A4053">
        <v>3009246</v>
      </c>
      <c r="B4053" t="s">
        <v>11220</v>
      </c>
      <c r="C4053" t="s">
        <v>9248</v>
      </c>
      <c r="D4053" s="254">
        <v>1298181.82</v>
      </c>
      <c r="E4053"/>
      <c r="F4053"/>
      <c r="G4053"/>
      <c r="H4053"/>
      <c r="I4053" s="489"/>
      <c r="J4053" s="1095"/>
      <c r="K4053" s="1095"/>
      <c r="L4053" s="1095"/>
      <c r="M4053" s="1095"/>
    </row>
    <row r="4054" spans="1:13" x14ac:dyDescent="0.25">
      <c r="A4054">
        <v>3009208</v>
      </c>
      <c r="B4054" t="s">
        <v>11221</v>
      </c>
      <c r="C4054" t="s">
        <v>9248</v>
      </c>
      <c r="D4054" s="254">
        <v>1305593.81</v>
      </c>
      <c r="E4054"/>
      <c r="F4054"/>
      <c r="G4054"/>
      <c r="H4054"/>
      <c r="I4054" s="489"/>
      <c r="J4054" s="1095"/>
      <c r="K4054" s="1095"/>
      <c r="L4054" s="1095"/>
      <c r="M4054" s="1095"/>
    </row>
    <row r="4055" spans="1:13" x14ac:dyDescent="0.25">
      <c r="A4055">
        <v>3009308</v>
      </c>
      <c r="B4055" t="s">
        <v>11222</v>
      </c>
      <c r="C4055" t="s">
        <v>9248</v>
      </c>
      <c r="D4055" s="254">
        <v>1947189.4</v>
      </c>
      <c r="E4055"/>
      <c r="F4055"/>
      <c r="G4055"/>
      <c r="H4055"/>
      <c r="I4055" s="489"/>
      <c r="J4055" s="1095"/>
      <c r="K4055" s="1095"/>
      <c r="L4055" s="1095"/>
      <c r="M4055" s="1095"/>
    </row>
    <row r="4056" spans="1:13" x14ac:dyDescent="0.25">
      <c r="A4056">
        <v>3009212</v>
      </c>
      <c r="B4056" t="s">
        <v>11223</v>
      </c>
      <c r="C4056" t="s">
        <v>9248</v>
      </c>
      <c r="D4056" s="254">
        <v>1958307.38</v>
      </c>
      <c r="E4056"/>
      <c r="F4056"/>
      <c r="G4056"/>
      <c r="H4056"/>
      <c r="I4056" s="489"/>
      <c r="J4056" s="1095"/>
      <c r="K4056" s="1095"/>
      <c r="L4056" s="1095"/>
      <c r="M4056" s="1095"/>
    </row>
    <row r="4057" spans="1:13" x14ac:dyDescent="0.25">
      <c r="A4057">
        <v>3009258</v>
      </c>
      <c r="B4057" t="s">
        <v>11224</v>
      </c>
      <c r="C4057" t="s">
        <v>9248</v>
      </c>
      <c r="D4057" s="254">
        <v>1688158.02</v>
      </c>
      <c r="E4057"/>
      <c r="F4057"/>
      <c r="G4057"/>
      <c r="H4057"/>
      <c r="I4057" s="489"/>
      <c r="J4057" s="1095"/>
      <c r="K4057" s="1095"/>
      <c r="L4057" s="1095"/>
      <c r="M4057" s="1095"/>
    </row>
    <row r="4058" spans="1:13" x14ac:dyDescent="0.25">
      <c r="A4058">
        <v>3009266</v>
      </c>
      <c r="B4058" t="s">
        <v>11225</v>
      </c>
      <c r="C4058" t="s">
        <v>9248</v>
      </c>
      <c r="D4058" s="254">
        <v>1542271.73</v>
      </c>
      <c r="E4058"/>
      <c r="F4058"/>
      <c r="G4058"/>
      <c r="H4058"/>
      <c r="I4058" s="489"/>
      <c r="J4058" s="1095"/>
      <c r="K4058" s="1095"/>
      <c r="L4058" s="1095"/>
      <c r="M4058" s="1095"/>
    </row>
    <row r="4059" spans="1:13" x14ac:dyDescent="0.25">
      <c r="A4059">
        <v>3009038</v>
      </c>
      <c r="B4059" t="s">
        <v>11226</v>
      </c>
      <c r="C4059" t="s">
        <v>9248</v>
      </c>
      <c r="D4059" s="254">
        <v>1715241.52</v>
      </c>
      <c r="E4059"/>
      <c r="F4059"/>
      <c r="G4059"/>
      <c r="H4059"/>
      <c r="I4059" s="489"/>
      <c r="J4059" s="1095"/>
      <c r="K4059" s="1095"/>
      <c r="L4059" s="1095"/>
      <c r="M4059" s="1095"/>
    </row>
    <row r="4060" spans="1:13" x14ac:dyDescent="0.25">
      <c r="A4060">
        <v>3009046</v>
      </c>
      <c r="B4060" t="s">
        <v>11227</v>
      </c>
      <c r="C4060" t="s">
        <v>9248</v>
      </c>
      <c r="D4060" s="254">
        <v>1562091.4</v>
      </c>
      <c r="E4060"/>
      <c r="F4060"/>
      <c r="G4060"/>
      <c r="H4060"/>
      <c r="I4060" s="489"/>
      <c r="J4060" s="1095"/>
      <c r="K4060" s="1095"/>
      <c r="L4060" s="1095"/>
      <c r="M4060" s="1095"/>
    </row>
    <row r="4061" spans="1:13" x14ac:dyDescent="0.25">
      <c r="A4061">
        <v>3009274</v>
      </c>
      <c r="B4061" t="s">
        <v>11228</v>
      </c>
      <c r="C4061" t="s">
        <v>9248</v>
      </c>
      <c r="D4061" s="254">
        <v>2532870.9700000002</v>
      </c>
      <c r="E4061"/>
      <c r="F4061"/>
      <c r="G4061"/>
      <c r="H4061"/>
      <c r="I4061" s="489"/>
      <c r="J4061" s="1095"/>
      <c r="K4061" s="1095"/>
      <c r="L4061" s="1095"/>
      <c r="M4061" s="1095"/>
    </row>
    <row r="4062" spans="1:13" x14ac:dyDescent="0.25">
      <c r="A4062">
        <v>3009054</v>
      </c>
      <c r="B4062" t="s">
        <v>11229</v>
      </c>
      <c r="C4062" t="s">
        <v>9248</v>
      </c>
      <c r="D4062" s="254">
        <v>2573532.35</v>
      </c>
      <c r="E4062"/>
      <c r="F4062"/>
      <c r="G4062"/>
      <c r="H4062"/>
      <c r="I4062" s="489"/>
      <c r="J4062" s="1095"/>
      <c r="K4062" s="1095"/>
      <c r="L4062" s="1095"/>
      <c r="M4062" s="1095"/>
    </row>
    <row r="4063" spans="1:13" x14ac:dyDescent="0.25">
      <c r="A4063">
        <v>3009235</v>
      </c>
      <c r="B4063" t="s">
        <v>11230</v>
      </c>
      <c r="C4063" t="s">
        <v>9248</v>
      </c>
      <c r="D4063" s="254">
        <v>1702228.75</v>
      </c>
      <c r="E4063"/>
      <c r="F4063"/>
      <c r="G4063"/>
      <c r="H4063"/>
      <c r="I4063" s="489"/>
      <c r="J4063" s="1095"/>
      <c r="K4063" s="1095"/>
      <c r="L4063" s="1095"/>
      <c r="M4063" s="1095"/>
    </row>
    <row r="4064" spans="1:13" x14ac:dyDescent="0.25">
      <c r="A4064">
        <v>3009023</v>
      </c>
      <c r="B4064" t="s">
        <v>11231</v>
      </c>
      <c r="C4064" t="s">
        <v>9248</v>
      </c>
      <c r="D4064" s="254">
        <v>1709447.49</v>
      </c>
      <c r="E4064"/>
      <c r="F4064"/>
      <c r="G4064"/>
      <c r="H4064"/>
      <c r="I4064" s="489"/>
      <c r="J4064" s="1095"/>
      <c r="K4064" s="1095"/>
      <c r="L4064" s="1095"/>
      <c r="M4064" s="1095"/>
    </row>
    <row r="4065" spans="1:13" x14ac:dyDescent="0.25">
      <c r="A4065">
        <v>3009231</v>
      </c>
      <c r="B4065" t="s">
        <v>11232</v>
      </c>
      <c r="C4065" t="s">
        <v>9248</v>
      </c>
      <c r="D4065" s="254">
        <v>2551675.84</v>
      </c>
      <c r="E4065"/>
      <c r="F4065"/>
      <c r="G4065"/>
      <c r="H4065"/>
      <c r="I4065" s="489"/>
      <c r="J4065" s="1095"/>
      <c r="K4065" s="1095"/>
      <c r="L4065" s="1095"/>
      <c r="M4065" s="1095"/>
    </row>
    <row r="4066" spans="1:13" x14ac:dyDescent="0.25">
      <c r="A4066">
        <v>3009019</v>
      </c>
      <c r="B4066" t="s">
        <v>11233</v>
      </c>
      <c r="C4066" t="s">
        <v>9248</v>
      </c>
      <c r="D4066" s="254">
        <v>2564765.0699999998</v>
      </c>
      <c r="E4066"/>
      <c r="F4066"/>
      <c r="G4066"/>
      <c r="H4066"/>
      <c r="I4066" s="489"/>
      <c r="J4066" s="1095"/>
      <c r="K4066" s="1095"/>
      <c r="L4066" s="1095"/>
      <c r="M4066" s="1095"/>
    </row>
    <row r="4067" spans="1:13" x14ac:dyDescent="0.25">
      <c r="A4067">
        <v>3009289</v>
      </c>
      <c r="B4067" t="s">
        <v>11234</v>
      </c>
      <c r="C4067" t="s">
        <v>9248</v>
      </c>
      <c r="D4067" s="254">
        <v>2168296.21</v>
      </c>
      <c r="E4067"/>
      <c r="F4067"/>
      <c r="G4067"/>
      <c r="H4067"/>
      <c r="I4067" s="489"/>
      <c r="J4067" s="1095"/>
      <c r="K4067" s="1095"/>
      <c r="L4067" s="1095"/>
      <c r="M4067" s="1095"/>
    </row>
    <row r="4068" spans="1:13" x14ac:dyDescent="0.25">
      <c r="A4068">
        <v>3009014</v>
      </c>
      <c r="B4068" t="s">
        <v>11235</v>
      </c>
      <c r="C4068" t="s">
        <v>9248</v>
      </c>
      <c r="D4068" s="254">
        <v>2198997.5299999998</v>
      </c>
      <c r="E4068"/>
      <c r="F4068"/>
      <c r="G4068"/>
      <c r="H4068"/>
      <c r="I4068" s="489"/>
      <c r="J4068" s="1095"/>
      <c r="K4068" s="1095"/>
      <c r="L4068" s="1095"/>
      <c r="M4068" s="1095"/>
    </row>
    <row r="4069" spans="1:13" x14ac:dyDescent="0.25">
      <c r="A4069">
        <v>3009293</v>
      </c>
      <c r="B4069" t="s">
        <v>11236</v>
      </c>
      <c r="C4069" t="s">
        <v>9248</v>
      </c>
      <c r="D4069" s="254">
        <v>3252446.9</v>
      </c>
      <c r="E4069"/>
      <c r="F4069"/>
      <c r="G4069"/>
      <c r="H4069"/>
      <c r="I4069" s="489"/>
      <c r="J4069" s="1095"/>
      <c r="K4069" s="1095"/>
      <c r="L4069" s="1095"/>
      <c r="M4069" s="1095"/>
    </row>
    <row r="4070" spans="1:13" x14ac:dyDescent="0.25">
      <c r="A4070">
        <v>3009226</v>
      </c>
      <c r="B4070" t="s">
        <v>11237</v>
      </c>
      <c r="C4070" t="s">
        <v>9248</v>
      </c>
      <c r="D4070" s="254">
        <v>3298499.15</v>
      </c>
      <c r="E4070"/>
      <c r="F4070"/>
      <c r="G4070"/>
      <c r="H4070"/>
      <c r="I4070" s="489"/>
      <c r="J4070" s="1095"/>
      <c r="K4070" s="1095"/>
      <c r="L4070" s="1095"/>
      <c r="M4070" s="1095"/>
    </row>
    <row r="4071" spans="1:13" x14ac:dyDescent="0.25">
      <c r="A4071">
        <v>3009102</v>
      </c>
      <c r="B4071" t="s">
        <v>11238</v>
      </c>
      <c r="C4071" t="s">
        <v>2640</v>
      </c>
      <c r="D4071" s="254">
        <v>86334.88</v>
      </c>
      <c r="E4071"/>
      <c r="F4071"/>
      <c r="G4071"/>
      <c r="H4071"/>
      <c r="I4071" s="489"/>
      <c r="J4071" s="1095"/>
      <c r="K4071" s="1095"/>
      <c r="L4071" s="1095"/>
      <c r="M4071" s="1095"/>
    </row>
    <row r="4072" spans="1:13" x14ac:dyDescent="0.25">
      <c r="A4072">
        <v>3009297</v>
      </c>
      <c r="B4072" t="s">
        <v>11239</v>
      </c>
      <c r="C4072" t="s">
        <v>9248</v>
      </c>
      <c r="D4072" s="254">
        <v>1606742.31</v>
      </c>
      <c r="E4072"/>
      <c r="F4072"/>
      <c r="G4072"/>
      <c r="H4072"/>
      <c r="I4072" s="489"/>
      <c r="J4072" s="1095"/>
      <c r="K4072" s="1095"/>
      <c r="L4072" s="1095"/>
      <c r="M4072" s="1095"/>
    </row>
    <row r="4073" spans="1:13" x14ac:dyDescent="0.25">
      <c r="A4073">
        <v>3009027</v>
      </c>
      <c r="B4073" t="s">
        <v>11240</v>
      </c>
      <c r="C4073" t="s">
        <v>9248</v>
      </c>
      <c r="D4073" s="254">
        <v>1614154.22</v>
      </c>
      <c r="E4073"/>
      <c r="F4073"/>
      <c r="G4073"/>
      <c r="H4073"/>
      <c r="I4073" s="489"/>
      <c r="J4073" s="1095"/>
      <c r="K4073" s="1095"/>
      <c r="L4073" s="1095"/>
      <c r="M4073" s="1095"/>
    </row>
    <row r="4074" spans="1:13" x14ac:dyDescent="0.25">
      <c r="A4074">
        <v>3009305</v>
      </c>
      <c r="B4074" t="s">
        <v>11241</v>
      </c>
      <c r="C4074" t="s">
        <v>9248</v>
      </c>
      <c r="D4074" s="254">
        <v>2410029.09</v>
      </c>
      <c r="E4074"/>
      <c r="F4074"/>
      <c r="G4074"/>
      <c r="H4074"/>
      <c r="I4074" s="489"/>
      <c r="J4074" s="1095"/>
      <c r="K4074" s="1095"/>
      <c r="L4074" s="1095"/>
      <c r="M4074" s="1095"/>
    </row>
    <row r="4075" spans="1:13" x14ac:dyDescent="0.25">
      <c r="A4075">
        <v>3009031</v>
      </c>
      <c r="B4075" t="s">
        <v>11242</v>
      </c>
      <c r="C4075" t="s">
        <v>9248</v>
      </c>
      <c r="D4075" s="254">
        <v>2421146.79</v>
      </c>
      <c r="E4075"/>
      <c r="F4075"/>
      <c r="G4075"/>
      <c r="H4075"/>
      <c r="I4075" s="489"/>
      <c r="J4075" s="1095"/>
      <c r="K4075" s="1095"/>
      <c r="L4075" s="1095"/>
      <c r="M4075" s="1095"/>
    </row>
    <row r="4076" spans="1:13" x14ac:dyDescent="0.25">
      <c r="A4076">
        <v>3009255</v>
      </c>
      <c r="B4076" t="s">
        <v>11243</v>
      </c>
      <c r="C4076" t="s">
        <v>9248</v>
      </c>
      <c r="D4076" s="254">
        <v>2051326.57</v>
      </c>
      <c r="E4076"/>
      <c r="F4076"/>
      <c r="G4076"/>
      <c r="H4076"/>
      <c r="I4076" s="489"/>
      <c r="J4076" s="1095"/>
      <c r="K4076" s="1095"/>
      <c r="L4076" s="1095"/>
      <c r="M4076" s="1095"/>
    </row>
    <row r="4077" spans="1:13" x14ac:dyDescent="0.25">
      <c r="A4077">
        <v>3009263</v>
      </c>
      <c r="B4077" t="s">
        <v>11244</v>
      </c>
      <c r="C4077" t="s">
        <v>9248</v>
      </c>
      <c r="D4077" s="254">
        <v>2071718.04</v>
      </c>
      <c r="E4077"/>
      <c r="F4077"/>
      <c r="G4077"/>
      <c r="H4077"/>
      <c r="I4077" s="489"/>
      <c r="J4077" s="1095"/>
      <c r="K4077" s="1095"/>
      <c r="L4077" s="1095"/>
      <c r="M4077" s="1095"/>
    </row>
    <row r="4078" spans="1:13" x14ac:dyDescent="0.25">
      <c r="A4078">
        <v>3009035</v>
      </c>
      <c r="B4078" t="s">
        <v>11245</v>
      </c>
      <c r="C4078" t="s">
        <v>9248</v>
      </c>
      <c r="D4078" s="254">
        <v>2081131.72</v>
      </c>
      <c r="E4078"/>
      <c r="F4078"/>
      <c r="G4078"/>
      <c r="H4078"/>
      <c r="I4078" s="489"/>
      <c r="J4078" s="1095"/>
      <c r="K4078" s="1095"/>
      <c r="L4078" s="1095"/>
      <c r="M4078" s="1095"/>
    </row>
    <row r="4079" spans="1:13" x14ac:dyDescent="0.25">
      <c r="A4079">
        <v>3009043</v>
      </c>
      <c r="B4079" t="s">
        <v>11246</v>
      </c>
      <c r="C4079" t="s">
        <v>9248</v>
      </c>
      <c r="D4079" s="254">
        <v>2102538.33</v>
      </c>
      <c r="E4079"/>
      <c r="F4079"/>
      <c r="G4079"/>
      <c r="H4079"/>
      <c r="I4079" s="489"/>
      <c r="J4079" s="1095"/>
      <c r="K4079" s="1095"/>
      <c r="L4079" s="1095"/>
      <c r="M4079" s="1095"/>
    </row>
    <row r="4080" spans="1:13" x14ac:dyDescent="0.25">
      <c r="A4080">
        <v>3009271</v>
      </c>
      <c r="B4080" t="s">
        <v>11247</v>
      </c>
      <c r="C4080" t="s">
        <v>9248</v>
      </c>
      <c r="D4080" s="254">
        <v>3077622.67</v>
      </c>
      <c r="E4080"/>
      <c r="F4080"/>
      <c r="G4080"/>
      <c r="H4080"/>
      <c r="I4080" s="489"/>
      <c r="J4080" s="1095"/>
      <c r="K4080" s="1095"/>
      <c r="L4080" s="1095"/>
      <c r="M4080" s="1095"/>
    </row>
    <row r="4081" spans="1:13" x14ac:dyDescent="0.25">
      <c r="A4081">
        <v>3009051</v>
      </c>
      <c r="B4081" t="s">
        <v>11248</v>
      </c>
      <c r="C4081" t="s">
        <v>9248</v>
      </c>
      <c r="D4081" s="254">
        <v>3122366.53</v>
      </c>
      <c r="E4081"/>
      <c r="F4081"/>
      <c r="G4081"/>
      <c r="H4081"/>
      <c r="I4081" s="489"/>
      <c r="J4081" s="1095"/>
      <c r="K4081" s="1095"/>
      <c r="L4081" s="1095"/>
      <c r="M4081" s="1095"/>
    </row>
    <row r="4082" spans="1:13" x14ac:dyDescent="0.25">
      <c r="A4082">
        <v>3009103</v>
      </c>
      <c r="B4082" t="s">
        <v>11249</v>
      </c>
      <c r="C4082" t="s">
        <v>2640</v>
      </c>
      <c r="D4082" s="254">
        <v>172926.27</v>
      </c>
      <c r="E4082"/>
      <c r="F4082"/>
      <c r="G4082"/>
      <c r="H4082"/>
      <c r="I4082" s="489"/>
      <c r="J4082" s="1095"/>
      <c r="K4082" s="1095"/>
      <c r="L4082" s="1095"/>
      <c r="M4082" s="1095"/>
    </row>
    <row r="4083" spans="1:13" x14ac:dyDescent="0.25">
      <c r="A4083">
        <v>3009247</v>
      </c>
      <c r="B4083" t="s">
        <v>11250</v>
      </c>
      <c r="C4083" t="s">
        <v>9248</v>
      </c>
      <c r="D4083" s="254">
        <v>1601728.16</v>
      </c>
      <c r="E4083"/>
      <c r="F4083"/>
      <c r="G4083"/>
      <c r="H4083"/>
      <c r="I4083" s="489"/>
      <c r="J4083" s="1095"/>
      <c r="K4083" s="1095"/>
      <c r="L4083" s="1095"/>
      <c r="M4083" s="1095"/>
    </row>
    <row r="4084" spans="1:13" x14ac:dyDescent="0.25">
      <c r="A4084">
        <v>3009209</v>
      </c>
      <c r="B4084" t="s">
        <v>11251</v>
      </c>
      <c r="C4084" t="s">
        <v>9248</v>
      </c>
      <c r="D4084" s="254">
        <v>1609140.15</v>
      </c>
      <c r="E4084"/>
      <c r="F4084"/>
      <c r="G4084"/>
      <c r="H4084"/>
      <c r="I4084" s="489"/>
      <c r="J4084" s="1095"/>
      <c r="K4084" s="1095"/>
      <c r="L4084" s="1095"/>
      <c r="M4084" s="1095"/>
    </row>
    <row r="4085" spans="1:13" x14ac:dyDescent="0.25">
      <c r="A4085">
        <v>3009309</v>
      </c>
      <c r="B4085" t="s">
        <v>11252</v>
      </c>
      <c r="C4085" t="s">
        <v>9248</v>
      </c>
      <c r="D4085" s="254">
        <v>2402509.08</v>
      </c>
      <c r="E4085"/>
      <c r="F4085"/>
      <c r="G4085"/>
      <c r="H4085"/>
      <c r="I4085" s="489"/>
      <c r="J4085" s="1095"/>
      <c r="K4085" s="1095"/>
      <c r="L4085" s="1095"/>
      <c r="M4085" s="1095"/>
    </row>
    <row r="4086" spans="1:13" x14ac:dyDescent="0.25">
      <c r="A4086">
        <v>3009213</v>
      </c>
      <c r="B4086" t="s">
        <v>11253</v>
      </c>
      <c r="C4086" t="s">
        <v>9248</v>
      </c>
      <c r="D4086" s="254">
        <v>2413627.0699999998</v>
      </c>
      <c r="E4086"/>
      <c r="F4086"/>
      <c r="G4086"/>
      <c r="H4086"/>
      <c r="I4086" s="489"/>
      <c r="J4086" s="1095"/>
      <c r="K4086" s="1095"/>
      <c r="L4086" s="1095"/>
      <c r="M4086" s="1095"/>
    </row>
    <row r="4087" spans="1:13" x14ac:dyDescent="0.25">
      <c r="A4087">
        <v>3009259</v>
      </c>
      <c r="B4087" t="s">
        <v>11254</v>
      </c>
      <c r="C4087" t="s">
        <v>9248</v>
      </c>
      <c r="D4087" s="254">
        <v>2046366.86</v>
      </c>
      <c r="E4087"/>
      <c r="F4087"/>
      <c r="G4087"/>
      <c r="H4087"/>
      <c r="I4087" s="489"/>
      <c r="J4087" s="1095"/>
      <c r="K4087" s="1095"/>
      <c r="L4087" s="1095"/>
      <c r="M4087" s="1095"/>
    </row>
    <row r="4088" spans="1:13" x14ac:dyDescent="0.25">
      <c r="A4088">
        <v>3009267</v>
      </c>
      <c r="B4088" t="s">
        <v>11255</v>
      </c>
      <c r="C4088" t="s">
        <v>9248</v>
      </c>
      <c r="D4088" s="254">
        <v>2066758.33</v>
      </c>
      <c r="E4088"/>
      <c r="F4088"/>
      <c r="G4088"/>
      <c r="H4088"/>
      <c r="I4088" s="489"/>
      <c r="J4088" s="1095"/>
      <c r="K4088" s="1095"/>
      <c r="L4088" s="1095"/>
      <c r="M4088" s="1095"/>
    </row>
    <row r="4089" spans="1:13" x14ac:dyDescent="0.25">
      <c r="A4089">
        <v>3009039</v>
      </c>
      <c r="B4089" t="s">
        <v>11256</v>
      </c>
      <c r="C4089" t="s">
        <v>9248</v>
      </c>
      <c r="D4089" s="254">
        <v>2076172.01</v>
      </c>
      <c r="E4089"/>
      <c r="F4089"/>
      <c r="G4089"/>
      <c r="H4089"/>
      <c r="I4089" s="489"/>
      <c r="J4089" s="1095"/>
      <c r="K4089" s="1095"/>
      <c r="L4089" s="1095"/>
      <c r="M4089" s="1095"/>
    </row>
    <row r="4090" spans="1:13" x14ac:dyDescent="0.25">
      <c r="A4090">
        <v>3009047</v>
      </c>
      <c r="B4090" t="s">
        <v>11257</v>
      </c>
      <c r="C4090" t="s">
        <v>9248</v>
      </c>
      <c r="D4090" s="254">
        <v>2097578.62</v>
      </c>
      <c r="E4090"/>
      <c r="F4090"/>
      <c r="G4090"/>
      <c r="H4090"/>
      <c r="I4090" s="489"/>
      <c r="J4090" s="1095"/>
      <c r="K4090" s="1095"/>
      <c r="L4090" s="1095"/>
      <c r="M4090" s="1095"/>
    </row>
    <row r="4091" spans="1:13" x14ac:dyDescent="0.25">
      <c r="A4091">
        <v>3009275</v>
      </c>
      <c r="B4091" t="s">
        <v>11258</v>
      </c>
      <c r="C4091" t="s">
        <v>9248</v>
      </c>
      <c r="D4091" s="254">
        <v>3070184.41</v>
      </c>
      <c r="E4091"/>
      <c r="F4091"/>
      <c r="G4091"/>
      <c r="H4091"/>
      <c r="I4091" s="489"/>
      <c r="J4091" s="1095"/>
      <c r="K4091" s="1095"/>
      <c r="L4091" s="1095"/>
      <c r="M4091" s="1095"/>
    </row>
    <row r="4092" spans="1:13" x14ac:dyDescent="0.25">
      <c r="A4092">
        <v>3009055</v>
      </c>
      <c r="B4092" t="s">
        <v>11259</v>
      </c>
      <c r="C4092" t="s">
        <v>9248</v>
      </c>
      <c r="D4092" s="254">
        <v>3114928.27</v>
      </c>
      <c r="E4092"/>
      <c r="F4092"/>
      <c r="G4092"/>
      <c r="H4092"/>
      <c r="I4092" s="489"/>
      <c r="J4092" s="1095"/>
      <c r="K4092" s="1095"/>
      <c r="L4092" s="1095"/>
      <c r="M4092" s="1095"/>
    </row>
    <row r="4093" spans="1:13" x14ac:dyDescent="0.25">
      <c r="A4093">
        <v>3009236</v>
      </c>
      <c r="B4093" t="s">
        <v>11260</v>
      </c>
      <c r="C4093" t="s">
        <v>9248</v>
      </c>
      <c r="D4093" s="254">
        <v>2020318.04</v>
      </c>
      <c r="E4093"/>
      <c r="F4093"/>
      <c r="G4093"/>
      <c r="H4093"/>
      <c r="I4093" s="489"/>
      <c r="J4093" s="1095"/>
      <c r="K4093" s="1095"/>
      <c r="L4093" s="1095"/>
      <c r="M4093" s="1095"/>
    </row>
    <row r="4094" spans="1:13" x14ac:dyDescent="0.25">
      <c r="A4094">
        <v>3009024</v>
      </c>
      <c r="B4094" t="s">
        <v>11261</v>
      </c>
      <c r="C4094" t="s">
        <v>9248</v>
      </c>
      <c r="D4094" s="254">
        <v>2026067.27</v>
      </c>
      <c r="E4094"/>
      <c r="F4094"/>
      <c r="G4094"/>
      <c r="H4094"/>
      <c r="I4094" s="489"/>
      <c r="J4094" s="1095"/>
      <c r="K4094" s="1095"/>
      <c r="L4094" s="1095"/>
      <c r="M4094" s="1095"/>
    </row>
    <row r="4095" spans="1:13" x14ac:dyDescent="0.25">
      <c r="A4095">
        <v>3009232</v>
      </c>
      <c r="B4095" t="s">
        <v>11262</v>
      </c>
      <c r="C4095" t="s">
        <v>9248</v>
      </c>
      <c r="D4095" s="254">
        <v>3026803.41</v>
      </c>
      <c r="E4095"/>
      <c r="F4095"/>
      <c r="G4095"/>
      <c r="H4095"/>
      <c r="I4095" s="489"/>
      <c r="J4095" s="1095"/>
      <c r="K4095" s="1095"/>
      <c r="L4095" s="1095"/>
      <c r="M4095" s="1095"/>
    </row>
    <row r="4096" spans="1:13" x14ac:dyDescent="0.25">
      <c r="A4096">
        <v>3009020</v>
      </c>
      <c r="B4096" t="s">
        <v>11263</v>
      </c>
      <c r="C4096" t="s">
        <v>9248</v>
      </c>
      <c r="D4096" s="254">
        <v>3037582.05</v>
      </c>
      <c r="E4096"/>
      <c r="F4096"/>
      <c r="G4096"/>
      <c r="H4096"/>
      <c r="I4096" s="489"/>
      <c r="J4096" s="1095"/>
      <c r="K4096" s="1095"/>
      <c r="L4096" s="1095"/>
      <c r="M4096" s="1095"/>
    </row>
    <row r="4097" spans="1:13" x14ac:dyDescent="0.25">
      <c r="A4097">
        <v>3009290</v>
      </c>
      <c r="B4097" t="s">
        <v>11264</v>
      </c>
      <c r="C4097" t="s">
        <v>9248</v>
      </c>
      <c r="D4097" s="254">
        <v>2512409.48</v>
      </c>
      <c r="E4097"/>
      <c r="F4097"/>
      <c r="G4097"/>
      <c r="H4097"/>
      <c r="I4097" s="489"/>
      <c r="J4097" s="1095"/>
      <c r="K4097" s="1095"/>
      <c r="L4097" s="1095"/>
      <c r="M4097" s="1095"/>
    </row>
    <row r="4098" spans="1:13" x14ac:dyDescent="0.25">
      <c r="A4098">
        <v>3009015</v>
      </c>
      <c r="B4098" t="s">
        <v>11265</v>
      </c>
      <c r="C4098" t="s">
        <v>9248</v>
      </c>
      <c r="D4098" s="254">
        <v>2544479.71</v>
      </c>
      <c r="E4098"/>
      <c r="F4098"/>
      <c r="G4098"/>
      <c r="H4098"/>
      <c r="I4098" s="489"/>
      <c r="J4098" s="1095"/>
      <c r="K4098" s="1095"/>
      <c r="L4098" s="1095"/>
      <c r="M4098" s="1095"/>
    </row>
    <row r="4099" spans="1:13" x14ac:dyDescent="0.25">
      <c r="A4099">
        <v>3009294</v>
      </c>
      <c r="B4099" t="s">
        <v>11266</v>
      </c>
      <c r="C4099" t="s">
        <v>9248</v>
      </c>
      <c r="D4099" s="254">
        <v>3768616.81</v>
      </c>
      <c r="E4099"/>
      <c r="F4099"/>
      <c r="G4099"/>
      <c r="H4099"/>
      <c r="I4099" s="489"/>
      <c r="J4099" s="1095"/>
      <c r="K4099" s="1095"/>
      <c r="L4099" s="1095"/>
      <c r="M4099" s="1095"/>
    </row>
    <row r="4100" spans="1:13" x14ac:dyDescent="0.25">
      <c r="A4100">
        <v>3009227</v>
      </c>
      <c r="B4100" t="s">
        <v>11267</v>
      </c>
      <c r="C4100" t="s">
        <v>9248</v>
      </c>
      <c r="D4100" s="254">
        <v>3816722.41</v>
      </c>
      <c r="E4100"/>
      <c r="F4100"/>
      <c r="G4100"/>
      <c r="H4100"/>
      <c r="I4100" s="489"/>
      <c r="J4100" s="1095"/>
      <c r="K4100" s="1095"/>
      <c r="L4100" s="1095"/>
      <c r="M4100" s="1095"/>
    </row>
    <row r="4101" spans="1:13" x14ac:dyDescent="0.25">
      <c r="A4101">
        <v>3009104</v>
      </c>
      <c r="B4101" t="s">
        <v>11268</v>
      </c>
      <c r="C4101" t="s">
        <v>2640</v>
      </c>
      <c r="D4101" s="254">
        <v>102254.8</v>
      </c>
      <c r="E4101"/>
      <c r="F4101"/>
      <c r="G4101"/>
      <c r="H4101"/>
      <c r="I4101" s="489"/>
      <c r="J4101" s="1095"/>
      <c r="K4101" s="1095"/>
      <c r="L4101" s="1095"/>
      <c r="M4101" s="1095"/>
    </row>
    <row r="4102" spans="1:13" x14ac:dyDescent="0.25">
      <c r="A4102">
        <v>3009240</v>
      </c>
      <c r="B4102" t="s">
        <v>11269</v>
      </c>
      <c r="C4102" t="s">
        <v>9248</v>
      </c>
      <c r="D4102" s="254">
        <v>1877027.39</v>
      </c>
      <c r="E4102"/>
      <c r="F4102"/>
      <c r="G4102"/>
      <c r="H4102"/>
      <c r="I4102" s="489"/>
      <c r="J4102" s="1095"/>
      <c r="K4102" s="1095"/>
      <c r="L4102" s="1095"/>
      <c r="M4102" s="1095"/>
    </row>
    <row r="4103" spans="1:13" x14ac:dyDescent="0.25">
      <c r="A4103">
        <v>3009028</v>
      </c>
      <c r="B4103" t="s">
        <v>11270</v>
      </c>
      <c r="C4103" t="s">
        <v>9248</v>
      </c>
      <c r="D4103" s="254">
        <v>1884439.3</v>
      </c>
      <c r="E4103"/>
      <c r="F4103"/>
      <c r="G4103"/>
      <c r="H4103"/>
      <c r="I4103" s="489"/>
      <c r="J4103" s="1095"/>
      <c r="K4103" s="1095"/>
      <c r="L4103" s="1095"/>
      <c r="M4103" s="1095"/>
    </row>
    <row r="4104" spans="1:13" x14ac:dyDescent="0.25">
      <c r="A4104">
        <v>3009306</v>
      </c>
      <c r="B4104" t="s">
        <v>11271</v>
      </c>
      <c r="C4104" t="s">
        <v>9248</v>
      </c>
      <c r="D4104" s="254">
        <v>2815456.63</v>
      </c>
      <c r="E4104"/>
      <c r="F4104"/>
      <c r="G4104"/>
      <c r="H4104"/>
      <c r="I4104" s="489"/>
      <c r="J4104" s="1095"/>
      <c r="K4104" s="1095"/>
      <c r="L4104" s="1095"/>
      <c r="M4104" s="1095"/>
    </row>
    <row r="4105" spans="1:13" x14ac:dyDescent="0.25">
      <c r="A4105">
        <v>3009032</v>
      </c>
      <c r="B4105" t="s">
        <v>11272</v>
      </c>
      <c r="C4105" t="s">
        <v>9248</v>
      </c>
      <c r="D4105" s="254">
        <v>2826574.33</v>
      </c>
      <c r="E4105"/>
      <c r="F4105"/>
      <c r="G4105"/>
      <c r="H4105"/>
      <c r="I4105" s="489"/>
      <c r="J4105" s="1095"/>
      <c r="K4105" s="1095"/>
      <c r="L4105" s="1095"/>
      <c r="M4105" s="1095"/>
    </row>
    <row r="4106" spans="1:13" x14ac:dyDescent="0.25">
      <c r="A4106">
        <v>3009256</v>
      </c>
      <c r="B4106" t="s">
        <v>11273</v>
      </c>
      <c r="C4106" t="s">
        <v>9248</v>
      </c>
      <c r="D4106" s="254">
        <v>2492368.54</v>
      </c>
      <c r="E4106"/>
      <c r="F4106"/>
      <c r="G4106"/>
      <c r="H4106"/>
      <c r="I4106" s="489"/>
      <c r="J4106" s="1095"/>
      <c r="K4106" s="1095"/>
      <c r="L4106" s="1095"/>
      <c r="M4106" s="1095"/>
    </row>
    <row r="4107" spans="1:13" x14ac:dyDescent="0.25">
      <c r="A4107">
        <v>3009264</v>
      </c>
      <c r="B4107" t="s">
        <v>11274</v>
      </c>
      <c r="C4107" t="s">
        <v>9248</v>
      </c>
      <c r="D4107" s="254">
        <v>2369496.61</v>
      </c>
      <c r="E4107"/>
      <c r="F4107"/>
      <c r="G4107"/>
      <c r="H4107"/>
      <c r="I4107" s="489"/>
      <c r="J4107" s="1095"/>
      <c r="K4107" s="1095"/>
      <c r="L4107" s="1095"/>
      <c r="M4107" s="1095"/>
    </row>
    <row r="4108" spans="1:13" x14ac:dyDescent="0.25">
      <c r="A4108">
        <v>3009036</v>
      </c>
      <c r="B4108" t="s">
        <v>11275</v>
      </c>
      <c r="C4108" t="s">
        <v>9248</v>
      </c>
      <c r="D4108" s="254">
        <v>2530675.6800000002</v>
      </c>
      <c r="E4108"/>
      <c r="F4108"/>
      <c r="G4108"/>
      <c r="H4108"/>
      <c r="I4108" s="489"/>
      <c r="J4108" s="1095"/>
      <c r="K4108" s="1095"/>
      <c r="L4108" s="1095"/>
      <c r="M4108" s="1095"/>
    </row>
    <row r="4109" spans="1:13" x14ac:dyDescent="0.25">
      <c r="A4109">
        <v>3009044</v>
      </c>
      <c r="B4109" t="s">
        <v>11276</v>
      </c>
      <c r="C4109" t="s">
        <v>9248</v>
      </c>
      <c r="D4109" s="254">
        <v>2401685.81</v>
      </c>
      <c r="E4109"/>
      <c r="F4109"/>
      <c r="G4109"/>
      <c r="H4109"/>
      <c r="I4109" s="489"/>
      <c r="J4109" s="1095"/>
      <c r="K4109" s="1095"/>
      <c r="L4109" s="1095"/>
      <c r="M4109" s="1095"/>
    </row>
    <row r="4110" spans="1:13" x14ac:dyDescent="0.25">
      <c r="A4110">
        <v>3009272</v>
      </c>
      <c r="B4110" t="s">
        <v>11277</v>
      </c>
      <c r="C4110" t="s">
        <v>9248</v>
      </c>
      <c r="D4110" s="254">
        <v>3739185.54</v>
      </c>
      <c r="E4110"/>
      <c r="F4110"/>
      <c r="G4110"/>
      <c r="H4110"/>
      <c r="I4110" s="489"/>
      <c r="J4110" s="1095"/>
      <c r="K4110" s="1095"/>
      <c r="L4110" s="1095"/>
      <c r="M4110" s="1095"/>
    </row>
    <row r="4111" spans="1:13" x14ac:dyDescent="0.25">
      <c r="A4111">
        <v>3009052</v>
      </c>
      <c r="B4111" t="s">
        <v>11278</v>
      </c>
      <c r="C4111" t="s">
        <v>9248</v>
      </c>
      <c r="D4111" s="254">
        <v>3796682.39</v>
      </c>
      <c r="E4111"/>
      <c r="F4111"/>
      <c r="G4111"/>
      <c r="H4111"/>
      <c r="I4111" s="489"/>
      <c r="J4111" s="1095"/>
      <c r="K4111" s="1095"/>
      <c r="L4111" s="1095"/>
      <c r="M4111" s="1095"/>
    </row>
    <row r="4112" spans="1:13" x14ac:dyDescent="0.25">
      <c r="A4112">
        <v>3009105</v>
      </c>
      <c r="B4112" t="s">
        <v>11279</v>
      </c>
      <c r="C4112" t="s">
        <v>2640</v>
      </c>
      <c r="D4112" s="254">
        <v>204766.13</v>
      </c>
      <c r="E4112"/>
      <c r="F4112"/>
      <c r="G4112"/>
      <c r="H4112"/>
      <c r="I4112" s="489"/>
      <c r="J4112" s="1095"/>
      <c r="K4112" s="1095"/>
      <c r="L4112" s="1095"/>
      <c r="M4112" s="1095"/>
    </row>
    <row r="4113" spans="1:13" x14ac:dyDescent="0.25">
      <c r="A4113">
        <v>3009248</v>
      </c>
      <c r="B4113" t="s">
        <v>11280</v>
      </c>
      <c r="C4113" t="s">
        <v>9248</v>
      </c>
      <c r="D4113" s="254">
        <v>1869541.53</v>
      </c>
      <c r="E4113"/>
      <c r="F4113"/>
      <c r="G4113"/>
      <c r="H4113"/>
      <c r="I4113" s="489"/>
      <c r="J4113" s="1095"/>
      <c r="K4113" s="1095"/>
      <c r="L4113" s="1095"/>
      <c r="M4113" s="1095"/>
    </row>
    <row r="4114" spans="1:13" x14ac:dyDescent="0.25">
      <c r="A4114">
        <v>3009210</v>
      </c>
      <c r="B4114" t="s">
        <v>11281</v>
      </c>
      <c r="C4114" t="s">
        <v>9248</v>
      </c>
      <c r="D4114" s="254">
        <v>1876953.52</v>
      </c>
      <c r="E4114"/>
      <c r="F4114"/>
      <c r="G4114"/>
      <c r="H4114"/>
      <c r="I4114" s="489"/>
      <c r="J4114" s="1095"/>
      <c r="K4114" s="1095"/>
      <c r="L4114" s="1095"/>
      <c r="M4114" s="1095"/>
    </row>
    <row r="4115" spans="1:13" x14ac:dyDescent="0.25">
      <c r="A4115">
        <v>3009310</v>
      </c>
      <c r="B4115" t="s">
        <v>11282</v>
      </c>
      <c r="C4115" t="s">
        <v>9248</v>
      </c>
      <c r="D4115" s="254">
        <v>2804229.29</v>
      </c>
      <c r="E4115"/>
      <c r="F4115"/>
      <c r="G4115"/>
      <c r="H4115"/>
      <c r="I4115" s="489"/>
      <c r="J4115" s="1095"/>
      <c r="K4115" s="1095"/>
      <c r="L4115" s="1095"/>
      <c r="M4115" s="1095"/>
    </row>
    <row r="4116" spans="1:13" x14ac:dyDescent="0.25">
      <c r="A4116">
        <v>3009214</v>
      </c>
      <c r="B4116" t="s">
        <v>11283</v>
      </c>
      <c r="C4116" t="s">
        <v>9248</v>
      </c>
      <c r="D4116" s="254">
        <v>2815347.28</v>
      </c>
      <c r="E4116"/>
      <c r="F4116"/>
      <c r="G4116"/>
      <c r="H4116"/>
      <c r="I4116" s="489"/>
      <c r="J4116" s="1095"/>
      <c r="K4116" s="1095"/>
      <c r="L4116" s="1095"/>
      <c r="M4116" s="1095"/>
    </row>
    <row r="4117" spans="1:13" x14ac:dyDescent="0.25">
      <c r="A4117">
        <v>3009260</v>
      </c>
      <c r="B4117" t="s">
        <v>11284</v>
      </c>
      <c r="C4117" t="s">
        <v>9248</v>
      </c>
      <c r="D4117" s="254">
        <v>2484937.12</v>
      </c>
      <c r="E4117"/>
      <c r="F4117"/>
      <c r="G4117"/>
      <c r="H4117"/>
      <c r="I4117" s="489"/>
      <c r="J4117" s="1095"/>
      <c r="K4117" s="1095"/>
      <c r="L4117" s="1095"/>
      <c r="M4117" s="1095"/>
    </row>
    <row r="4118" spans="1:13" x14ac:dyDescent="0.25">
      <c r="A4118">
        <v>3009268</v>
      </c>
      <c r="B4118" t="s">
        <v>11285</v>
      </c>
      <c r="C4118" t="s">
        <v>9248</v>
      </c>
      <c r="D4118" s="254">
        <v>2362065.2000000002</v>
      </c>
      <c r="E4118"/>
      <c r="F4118"/>
      <c r="G4118"/>
      <c r="H4118"/>
      <c r="I4118" s="489"/>
      <c r="J4118" s="1095"/>
      <c r="K4118" s="1095"/>
      <c r="L4118" s="1095"/>
      <c r="M4118" s="1095"/>
    </row>
    <row r="4119" spans="1:13" x14ac:dyDescent="0.25">
      <c r="A4119">
        <v>3009040</v>
      </c>
      <c r="B4119" t="s">
        <v>11286</v>
      </c>
      <c r="C4119" t="s">
        <v>9248</v>
      </c>
      <c r="D4119" s="254">
        <v>2523244.27</v>
      </c>
      <c r="E4119"/>
      <c r="F4119"/>
      <c r="G4119"/>
      <c r="H4119"/>
      <c r="I4119" s="489"/>
      <c r="J4119" s="1095"/>
      <c r="K4119" s="1095"/>
      <c r="L4119" s="1095"/>
      <c r="M4119" s="1095"/>
    </row>
    <row r="4120" spans="1:13" x14ac:dyDescent="0.25">
      <c r="A4120">
        <v>3009048</v>
      </c>
      <c r="B4120" t="s">
        <v>11287</v>
      </c>
      <c r="C4120" t="s">
        <v>9248</v>
      </c>
      <c r="D4120" s="254">
        <v>2394254.39</v>
      </c>
      <c r="E4120"/>
      <c r="F4120"/>
      <c r="G4120"/>
      <c r="H4120"/>
      <c r="I4120" s="489"/>
      <c r="J4120" s="1095"/>
      <c r="K4120" s="1095"/>
      <c r="L4120" s="1095"/>
      <c r="M4120" s="1095"/>
    </row>
    <row r="4121" spans="1:13" x14ac:dyDescent="0.25">
      <c r="A4121">
        <v>3009276</v>
      </c>
      <c r="B4121" t="s">
        <v>11288</v>
      </c>
      <c r="C4121" t="s">
        <v>9248</v>
      </c>
      <c r="D4121" s="254">
        <v>3728039.96</v>
      </c>
      <c r="E4121"/>
      <c r="F4121"/>
      <c r="G4121"/>
      <c r="H4121"/>
      <c r="I4121" s="489"/>
      <c r="J4121" s="1095"/>
      <c r="K4121" s="1095"/>
      <c r="L4121" s="1095"/>
      <c r="M4121" s="1095"/>
    </row>
    <row r="4122" spans="1:13" x14ac:dyDescent="0.25">
      <c r="A4122">
        <v>3009056</v>
      </c>
      <c r="B4122" t="s">
        <v>11289</v>
      </c>
      <c r="C4122" t="s">
        <v>9248</v>
      </c>
      <c r="D4122" s="254">
        <v>3785536.81</v>
      </c>
      <c r="E4122"/>
      <c r="F4122"/>
      <c r="G4122"/>
      <c r="H4122"/>
      <c r="I4122" s="489"/>
      <c r="J4122" s="1095"/>
      <c r="K4122" s="1095"/>
      <c r="L4122" s="1095"/>
      <c r="M4122" s="1095"/>
    </row>
    <row r="4123" spans="1:13" x14ac:dyDescent="0.25">
      <c r="A4123">
        <v>3009237</v>
      </c>
      <c r="B4123" t="s">
        <v>11290</v>
      </c>
      <c r="C4123" t="s">
        <v>9248</v>
      </c>
      <c r="D4123" s="254">
        <v>2138609.37</v>
      </c>
      <c r="E4123"/>
      <c r="F4123"/>
      <c r="G4123"/>
      <c r="H4123"/>
      <c r="I4123" s="489"/>
      <c r="J4123" s="1095"/>
      <c r="K4123" s="1095"/>
      <c r="L4123" s="1095"/>
      <c r="M4123" s="1095"/>
    </row>
    <row r="4124" spans="1:13" x14ac:dyDescent="0.25">
      <c r="A4124">
        <v>3009025</v>
      </c>
      <c r="B4124" t="s">
        <v>11291</v>
      </c>
      <c r="C4124" t="s">
        <v>9248</v>
      </c>
      <c r="D4124" s="254">
        <v>2144457.56</v>
      </c>
      <c r="E4124"/>
      <c r="F4124"/>
      <c r="G4124"/>
      <c r="H4124"/>
      <c r="I4124" s="489"/>
      <c r="J4124" s="1095"/>
      <c r="K4124" s="1095"/>
      <c r="L4124" s="1095"/>
      <c r="M4124" s="1095"/>
    </row>
    <row r="4125" spans="1:13" x14ac:dyDescent="0.25">
      <c r="A4125">
        <v>3009319</v>
      </c>
      <c r="B4125" t="s">
        <v>11292</v>
      </c>
      <c r="C4125" t="s">
        <v>9248</v>
      </c>
      <c r="D4125" s="254">
        <v>3206155.21</v>
      </c>
      <c r="E4125"/>
      <c r="F4125"/>
      <c r="G4125"/>
      <c r="H4125"/>
      <c r="I4125" s="489"/>
      <c r="J4125" s="1095"/>
      <c r="K4125" s="1095"/>
      <c r="L4125" s="1095"/>
      <c r="M4125" s="1095"/>
    </row>
    <row r="4126" spans="1:13" x14ac:dyDescent="0.25">
      <c r="A4126">
        <v>3009021</v>
      </c>
      <c r="B4126" t="s">
        <v>11293</v>
      </c>
      <c r="C4126" t="s">
        <v>9248</v>
      </c>
      <c r="D4126" s="254">
        <v>3215216.95</v>
      </c>
      <c r="E4126"/>
      <c r="F4126"/>
      <c r="G4126"/>
      <c r="H4126"/>
      <c r="I4126" s="489"/>
      <c r="J4126" s="1095"/>
      <c r="K4126" s="1095"/>
      <c r="L4126" s="1095"/>
      <c r="M4126" s="1095"/>
    </row>
    <row r="4127" spans="1:13" x14ac:dyDescent="0.25">
      <c r="A4127">
        <v>3009291</v>
      </c>
      <c r="B4127" t="s">
        <v>11294</v>
      </c>
      <c r="C4127" t="s">
        <v>9248</v>
      </c>
      <c r="D4127" s="254">
        <v>2638431.98</v>
      </c>
      <c r="E4127"/>
      <c r="F4127"/>
      <c r="G4127"/>
      <c r="H4127"/>
      <c r="I4127" s="489"/>
      <c r="J4127" s="1095"/>
      <c r="K4127" s="1095"/>
      <c r="L4127" s="1095"/>
      <c r="M4127" s="1095"/>
    </row>
    <row r="4128" spans="1:13" x14ac:dyDescent="0.25">
      <c r="A4128">
        <v>3009016</v>
      </c>
      <c r="B4128" t="s">
        <v>11295</v>
      </c>
      <c r="C4128" t="s">
        <v>9248</v>
      </c>
      <c r="D4128" s="254">
        <v>2670887.14</v>
      </c>
      <c r="E4128"/>
      <c r="F4128"/>
      <c r="G4128"/>
      <c r="H4128"/>
      <c r="I4128" s="489"/>
      <c r="J4128" s="1095"/>
      <c r="K4128" s="1095"/>
      <c r="L4128" s="1095"/>
      <c r="M4128" s="1095"/>
    </row>
    <row r="4129" spans="1:13" x14ac:dyDescent="0.25">
      <c r="A4129">
        <v>3009295</v>
      </c>
      <c r="B4129" t="s">
        <v>11296</v>
      </c>
      <c r="C4129" t="s">
        <v>9248</v>
      </c>
      <c r="D4129" s="254">
        <v>3957650.56</v>
      </c>
      <c r="E4129"/>
      <c r="F4129"/>
      <c r="G4129"/>
      <c r="H4129"/>
      <c r="I4129" s="489"/>
      <c r="J4129" s="1095"/>
      <c r="K4129" s="1095"/>
      <c r="L4129" s="1095"/>
      <c r="M4129" s="1095"/>
    </row>
    <row r="4130" spans="1:13" x14ac:dyDescent="0.25">
      <c r="A4130">
        <v>3009228</v>
      </c>
      <c r="B4130" t="s">
        <v>11297</v>
      </c>
      <c r="C4130" t="s">
        <v>9248</v>
      </c>
      <c r="D4130" s="254">
        <v>4006333.56</v>
      </c>
      <c r="E4130"/>
      <c r="F4130"/>
      <c r="G4130"/>
      <c r="H4130"/>
      <c r="I4130" s="489"/>
      <c r="J4130" s="1095"/>
      <c r="K4130" s="1095"/>
      <c r="L4130" s="1095"/>
      <c r="M4130" s="1095"/>
    </row>
    <row r="4131" spans="1:13" x14ac:dyDescent="0.25">
      <c r="A4131">
        <v>3009106</v>
      </c>
      <c r="B4131" t="s">
        <v>11298</v>
      </c>
      <c r="C4131" t="s">
        <v>2640</v>
      </c>
      <c r="D4131" s="254">
        <v>111797.54</v>
      </c>
      <c r="E4131"/>
      <c r="F4131"/>
      <c r="G4131"/>
      <c r="H4131"/>
      <c r="I4131" s="489"/>
      <c r="J4131" s="1095"/>
      <c r="K4131" s="1095"/>
      <c r="L4131" s="1095"/>
      <c r="M4131" s="1095"/>
    </row>
    <row r="4132" spans="1:13" x14ac:dyDescent="0.25">
      <c r="A4132">
        <v>3009299</v>
      </c>
      <c r="B4132" t="s">
        <v>11299</v>
      </c>
      <c r="C4132" t="s">
        <v>9248</v>
      </c>
      <c r="D4132" s="254">
        <v>2032144.55</v>
      </c>
      <c r="E4132"/>
      <c r="F4132"/>
      <c r="G4132"/>
      <c r="H4132"/>
      <c r="I4132" s="489"/>
      <c r="J4132" s="1095"/>
      <c r="K4132" s="1095"/>
      <c r="L4132" s="1095"/>
      <c r="M4132" s="1095"/>
    </row>
    <row r="4133" spans="1:13" x14ac:dyDescent="0.25">
      <c r="A4133">
        <v>3009029</v>
      </c>
      <c r="B4133" t="s">
        <v>11300</v>
      </c>
      <c r="C4133" t="s">
        <v>9248</v>
      </c>
      <c r="D4133" s="254">
        <v>2039556.46</v>
      </c>
      <c r="E4133"/>
      <c r="F4133"/>
      <c r="G4133"/>
      <c r="H4133"/>
      <c r="I4133" s="489"/>
      <c r="J4133" s="1095"/>
      <c r="K4133" s="1095"/>
      <c r="L4133" s="1095"/>
      <c r="M4133" s="1095"/>
    </row>
    <row r="4134" spans="1:13" x14ac:dyDescent="0.25">
      <c r="A4134">
        <v>3009245</v>
      </c>
      <c r="B4134" t="s">
        <v>11301</v>
      </c>
      <c r="C4134" t="s">
        <v>9248</v>
      </c>
      <c r="D4134" s="254">
        <v>3048132.32</v>
      </c>
      <c r="E4134"/>
      <c r="F4134"/>
      <c r="G4134"/>
      <c r="H4134"/>
      <c r="I4134" s="489"/>
      <c r="J4134" s="1095"/>
      <c r="K4134" s="1095"/>
      <c r="L4134" s="1095"/>
      <c r="M4134" s="1095"/>
    </row>
    <row r="4135" spans="1:13" x14ac:dyDescent="0.25">
      <c r="A4135">
        <v>3009033</v>
      </c>
      <c r="B4135" t="s">
        <v>11302</v>
      </c>
      <c r="C4135" t="s">
        <v>9248</v>
      </c>
      <c r="D4135" s="254">
        <v>3059250.02</v>
      </c>
      <c r="E4135"/>
      <c r="F4135"/>
      <c r="G4135"/>
      <c r="H4135"/>
      <c r="I4135" s="489"/>
      <c r="J4135" s="1095"/>
      <c r="K4135" s="1095"/>
      <c r="L4135" s="1095"/>
      <c r="M4135" s="1095"/>
    </row>
    <row r="4136" spans="1:13" x14ac:dyDescent="0.25">
      <c r="A4136">
        <v>3009257</v>
      </c>
      <c r="B4136" t="s">
        <v>11303</v>
      </c>
      <c r="C4136" t="s">
        <v>9248</v>
      </c>
      <c r="D4136" s="254">
        <v>2566920.2599999998</v>
      </c>
      <c r="E4136"/>
      <c r="F4136"/>
      <c r="G4136"/>
      <c r="H4136"/>
      <c r="I4136" s="489"/>
      <c r="J4136" s="1095"/>
      <c r="K4136" s="1095"/>
      <c r="L4136" s="1095"/>
      <c r="M4136" s="1095"/>
    </row>
    <row r="4137" spans="1:13" x14ac:dyDescent="0.25">
      <c r="A4137">
        <v>3009265</v>
      </c>
      <c r="B4137" t="s">
        <v>11304</v>
      </c>
      <c r="C4137" t="s">
        <v>9248</v>
      </c>
      <c r="D4137" s="254">
        <v>2532344.9300000002</v>
      </c>
      <c r="E4137"/>
      <c r="F4137"/>
      <c r="G4137"/>
      <c r="H4137"/>
      <c r="I4137" s="489"/>
      <c r="J4137" s="1095"/>
      <c r="K4137" s="1095"/>
      <c r="L4137" s="1095"/>
      <c r="M4137" s="1095"/>
    </row>
    <row r="4138" spans="1:13" x14ac:dyDescent="0.25">
      <c r="A4138">
        <v>3009037</v>
      </c>
      <c r="B4138" t="s">
        <v>11305</v>
      </c>
      <c r="C4138" t="s">
        <v>9248</v>
      </c>
      <c r="D4138" s="254">
        <v>2601216.04</v>
      </c>
      <c r="E4138"/>
      <c r="F4138"/>
      <c r="G4138"/>
      <c r="H4138"/>
      <c r="I4138" s="489"/>
      <c r="J4138" s="1095"/>
      <c r="K4138" s="1095"/>
      <c r="L4138" s="1095"/>
      <c r="M4138" s="1095"/>
    </row>
    <row r="4139" spans="1:13" x14ac:dyDescent="0.25">
      <c r="A4139">
        <v>3009045</v>
      </c>
      <c r="B4139" t="s">
        <v>11306</v>
      </c>
      <c r="C4139" t="s">
        <v>9248</v>
      </c>
      <c r="D4139" s="254">
        <v>2564919.06</v>
      </c>
      <c r="E4139"/>
      <c r="F4139"/>
      <c r="G4139"/>
      <c r="H4139"/>
      <c r="I4139" s="489"/>
      <c r="J4139" s="1095"/>
      <c r="K4139" s="1095"/>
      <c r="L4139" s="1095"/>
      <c r="M4139" s="1095"/>
    </row>
    <row r="4140" spans="1:13" x14ac:dyDescent="0.25">
      <c r="A4140">
        <v>3009273</v>
      </c>
      <c r="B4140" t="s">
        <v>11307</v>
      </c>
      <c r="C4140" t="s">
        <v>9248</v>
      </c>
      <c r="D4140" s="254">
        <v>3851013.07</v>
      </c>
      <c r="E4140"/>
      <c r="F4140"/>
      <c r="G4140"/>
      <c r="H4140"/>
      <c r="I4140" s="489"/>
      <c r="J4140" s="1095"/>
      <c r="K4140" s="1095"/>
      <c r="L4140" s="1095"/>
      <c r="M4140" s="1095"/>
    </row>
    <row r="4141" spans="1:13" x14ac:dyDescent="0.25">
      <c r="A4141">
        <v>3009053</v>
      </c>
      <c r="B4141" t="s">
        <v>11308</v>
      </c>
      <c r="C4141" t="s">
        <v>9248</v>
      </c>
      <c r="D4141" s="254">
        <v>3902492.89</v>
      </c>
      <c r="E4141"/>
      <c r="F4141"/>
      <c r="G4141"/>
      <c r="H4141"/>
      <c r="I4141" s="489"/>
      <c r="J4141" s="1095"/>
      <c r="K4141" s="1095"/>
      <c r="L4141" s="1095"/>
      <c r="M4141" s="1095"/>
    </row>
    <row r="4142" spans="1:13" x14ac:dyDescent="0.25">
      <c r="A4142">
        <v>3009107</v>
      </c>
      <c r="B4142" t="s">
        <v>11309</v>
      </c>
      <c r="C4142" t="s">
        <v>2640</v>
      </c>
      <c r="D4142" s="254">
        <v>223851.59</v>
      </c>
      <c r="E4142"/>
      <c r="F4142"/>
      <c r="G4142"/>
      <c r="H4142"/>
      <c r="I4142" s="489"/>
      <c r="J4142" s="1095"/>
      <c r="K4142" s="1095"/>
      <c r="L4142" s="1095"/>
      <c r="M4142" s="1095"/>
    </row>
    <row r="4143" spans="1:13" x14ac:dyDescent="0.25">
      <c r="A4143">
        <v>3009249</v>
      </c>
      <c r="B4143" t="s">
        <v>11310</v>
      </c>
      <c r="C4143" t="s">
        <v>9248</v>
      </c>
      <c r="D4143" s="254">
        <v>2026623.41</v>
      </c>
      <c r="E4143"/>
      <c r="F4143"/>
      <c r="G4143"/>
      <c r="H4143"/>
      <c r="I4143" s="489"/>
      <c r="J4143" s="1095"/>
      <c r="K4143" s="1095"/>
      <c r="L4143" s="1095"/>
      <c r="M4143" s="1095"/>
    </row>
    <row r="4144" spans="1:13" x14ac:dyDescent="0.25">
      <c r="A4144">
        <v>3009211</v>
      </c>
      <c r="B4144" t="s">
        <v>11311</v>
      </c>
      <c r="C4144" t="s">
        <v>9248</v>
      </c>
      <c r="D4144" s="254">
        <v>2034035.4</v>
      </c>
      <c r="E4144"/>
      <c r="F4144"/>
      <c r="G4144"/>
      <c r="H4144"/>
      <c r="I4144" s="489"/>
      <c r="J4144" s="1095"/>
      <c r="K4144" s="1095"/>
      <c r="L4144" s="1095"/>
      <c r="M4144" s="1095"/>
    </row>
    <row r="4145" spans="1:13" x14ac:dyDescent="0.25">
      <c r="A4145">
        <v>3009253</v>
      </c>
      <c r="B4145" t="s">
        <v>11312</v>
      </c>
      <c r="C4145" t="s">
        <v>9248</v>
      </c>
      <c r="D4145" s="254">
        <v>3039852.22</v>
      </c>
      <c r="E4145"/>
      <c r="F4145"/>
      <c r="G4145"/>
      <c r="H4145"/>
      <c r="I4145" s="489"/>
      <c r="J4145" s="1095"/>
      <c r="K4145" s="1095"/>
      <c r="L4145" s="1095"/>
      <c r="M4145" s="1095"/>
    </row>
    <row r="4146" spans="1:13" x14ac:dyDescent="0.25">
      <c r="A4146">
        <v>3009215</v>
      </c>
      <c r="B4146" t="s">
        <v>11313</v>
      </c>
      <c r="C4146" t="s">
        <v>9248</v>
      </c>
      <c r="D4146" s="254">
        <v>3050970.2</v>
      </c>
      <c r="E4146"/>
      <c r="F4146"/>
      <c r="G4146"/>
      <c r="H4146"/>
      <c r="I4146" s="489"/>
      <c r="J4146" s="1095"/>
      <c r="K4146" s="1095"/>
      <c r="L4146" s="1095"/>
      <c r="M4146" s="1095"/>
    </row>
    <row r="4147" spans="1:13" x14ac:dyDescent="0.25">
      <c r="A4147">
        <v>3009261</v>
      </c>
      <c r="B4147" t="s">
        <v>11314</v>
      </c>
      <c r="C4147" t="s">
        <v>9248</v>
      </c>
      <c r="D4147" s="254">
        <v>2561453.56</v>
      </c>
      <c r="E4147"/>
      <c r="F4147"/>
      <c r="G4147"/>
      <c r="H4147"/>
      <c r="I4147" s="489"/>
      <c r="J4147" s="1095"/>
      <c r="K4147" s="1095"/>
      <c r="L4147" s="1095"/>
      <c r="M4147" s="1095"/>
    </row>
    <row r="4148" spans="1:13" x14ac:dyDescent="0.25">
      <c r="A4148">
        <v>3009269</v>
      </c>
      <c r="B4148" t="s">
        <v>11315</v>
      </c>
      <c r="C4148" t="s">
        <v>9248</v>
      </c>
      <c r="D4148" s="254">
        <v>2526878.2400000002</v>
      </c>
      <c r="E4148"/>
      <c r="F4148"/>
      <c r="G4148"/>
      <c r="H4148"/>
      <c r="I4148" s="489"/>
      <c r="J4148" s="1095"/>
      <c r="K4148" s="1095"/>
      <c r="L4148" s="1095"/>
      <c r="M4148" s="1095"/>
    </row>
    <row r="4149" spans="1:13" x14ac:dyDescent="0.25">
      <c r="A4149">
        <v>3009041</v>
      </c>
      <c r="B4149" t="s">
        <v>11316</v>
      </c>
      <c r="C4149" t="s">
        <v>9248</v>
      </c>
      <c r="D4149" s="254">
        <v>2595749.35</v>
      </c>
      <c r="E4149"/>
      <c r="F4149"/>
      <c r="G4149"/>
      <c r="H4149"/>
      <c r="I4149" s="489"/>
      <c r="J4149" s="1095"/>
      <c r="K4149" s="1095"/>
      <c r="L4149" s="1095"/>
      <c r="M4149" s="1095"/>
    </row>
    <row r="4150" spans="1:13" x14ac:dyDescent="0.25">
      <c r="A4150">
        <v>3009049</v>
      </c>
      <c r="B4150" t="s">
        <v>11317</v>
      </c>
      <c r="C4150" t="s">
        <v>9248</v>
      </c>
      <c r="D4150" s="254">
        <v>2559452.37</v>
      </c>
      <c r="E4150"/>
      <c r="F4150"/>
      <c r="G4150"/>
      <c r="H4150"/>
      <c r="I4150" s="489"/>
      <c r="J4150" s="1095"/>
      <c r="K4150" s="1095"/>
      <c r="L4150" s="1095"/>
      <c r="M4150" s="1095"/>
    </row>
    <row r="4151" spans="1:13" x14ac:dyDescent="0.25">
      <c r="A4151">
        <v>3009277</v>
      </c>
      <c r="B4151" t="s">
        <v>11318</v>
      </c>
      <c r="C4151" t="s">
        <v>9248</v>
      </c>
      <c r="D4151" s="254">
        <v>3842814.71</v>
      </c>
      <c r="E4151"/>
      <c r="F4151"/>
      <c r="G4151"/>
      <c r="H4151"/>
      <c r="I4151" s="489"/>
      <c r="J4151" s="1095"/>
      <c r="K4151" s="1095"/>
      <c r="L4151" s="1095"/>
      <c r="M4151" s="1095"/>
    </row>
    <row r="4152" spans="1:13" x14ac:dyDescent="0.25">
      <c r="A4152">
        <v>3009057</v>
      </c>
      <c r="B4152" t="s">
        <v>11319</v>
      </c>
      <c r="C4152" t="s">
        <v>9248</v>
      </c>
      <c r="D4152" s="254">
        <v>3894294.53</v>
      </c>
      <c r="E4152"/>
      <c r="F4152"/>
      <c r="G4152"/>
      <c r="H4152"/>
      <c r="I4152" s="489"/>
      <c r="J4152" s="1095"/>
      <c r="K4152" s="1095"/>
      <c r="L4152" s="1095"/>
      <c r="M4152" s="1095"/>
    </row>
    <row r="4153" spans="1:13" x14ac:dyDescent="0.25">
      <c r="A4153">
        <v>3108073</v>
      </c>
      <c r="B4153" t="s">
        <v>11320</v>
      </c>
      <c r="C4153" t="s">
        <v>2595</v>
      </c>
      <c r="D4153" s="254">
        <v>548.55999999999995</v>
      </c>
      <c r="E4153"/>
      <c r="F4153"/>
      <c r="G4153"/>
      <c r="H4153"/>
      <c r="I4153" s="489"/>
      <c r="J4153" s="1095"/>
      <c r="K4153" s="1095"/>
      <c r="L4153" s="1095"/>
      <c r="M4153" s="1095"/>
    </row>
    <row r="4154" spans="1:13" x14ac:dyDescent="0.25">
      <c r="A4154">
        <v>3107965</v>
      </c>
      <c r="B4154" t="s">
        <v>11321</v>
      </c>
      <c r="C4154" t="s">
        <v>2595</v>
      </c>
      <c r="D4154" s="254">
        <v>875.42</v>
      </c>
      <c r="E4154"/>
      <c r="F4154"/>
      <c r="G4154"/>
      <c r="H4154"/>
      <c r="I4154" s="489"/>
      <c r="J4154" s="1095"/>
      <c r="K4154" s="1095"/>
      <c r="L4154" s="1095"/>
      <c r="M4154" s="1095"/>
    </row>
    <row r="4155" spans="1:13" x14ac:dyDescent="0.25">
      <c r="A4155">
        <v>3105941</v>
      </c>
      <c r="B4155" t="s">
        <v>11322</v>
      </c>
      <c r="C4155" t="s">
        <v>2595</v>
      </c>
      <c r="D4155" s="254">
        <v>31.33</v>
      </c>
      <c r="E4155"/>
      <c r="F4155"/>
      <c r="G4155"/>
      <c r="H4155"/>
      <c r="I4155" s="489"/>
      <c r="J4155" s="1095"/>
      <c r="K4155" s="1095"/>
      <c r="L4155" s="1095"/>
      <c r="M4155" s="1095"/>
    </row>
    <row r="4156" spans="1:13" x14ac:dyDescent="0.25">
      <c r="A4156">
        <v>3108150</v>
      </c>
      <c r="B4156" t="s">
        <v>11323</v>
      </c>
      <c r="C4156" t="s">
        <v>2595</v>
      </c>
      <c r="D4156" s="254">
        <v>19.850000000000001</v>
      </c>
      <c r="E4156"/>
      <c r="F4156"/>
      <c r="G4156"/>
      <c r="H4156"/>
      <c r="I4156" s="489"/>
      <c r="J4156" s="1095"/>
      <c r="K4156" s="1095"/>
      <c r="L4156" s="1095"/>
      <c r="M4156" s="1095"/>
    </row>
    <row r="4157" spans="1:13" x14ac:dyDescent="0.25">
      <c r="A4157">
        <v>3108071</v>
      </c>
      <c r="B4157" t="s">
        <v>11324</v>
      </c>
      <c r="C4157" t="s">
        <v>2595</v>
      </c>
      <c r="D4157" s="254">
        <v>17.239999999999998</v>
      </c>
      <c r="E4157"/>
      <c r="F4157"/>
      <c r="G4157"/>
      <c r="H4157"/>
      <c r="I4157" s="489"/>
      <c r="J4157" s="1095"/>
      <c r="K4157" s="1095"/>
      <c r="L4157" s="1095"/>
      <c r="M4157" s="1095"/>
    </row>
    <row r="4158" spans="1:13" x14ac:dyDescent="0.25">
      <c r="A4158">
        <v>3107967</v>
      </c>
      <c r="B4158" t="s">
        <v>11325</v>
      </c>
      <c r="C4158" t="s">
        <v>2595</v>
      </c>
      <c r="D4158" s="254">
        <v>11.24</v>
      </c>
      <c r="E4158"/>
      <c r="F4158"/>
      <c r="G4158"/>
      <c r="H4158"/>
      <c r="I4158" s="489"/>
      <c r="J4158" s="1095"/>
      <c r="K4158" s="1095"/>
      <c r="L4158" s="1095"/>
      <c r="M4158" s="1095"/>
    </row>
    <row r="4159" spans="1:13" x14ac:dyDescent="0.25">
      <c r="A4159">
        <v>3107966</v>
      </c>
      <c r="B4159" t="s">
        <v>11326</v>
      </c>
      <c r="C4159" t="s">
        <v>2595</v>
      </c>
      <c r="D4159" s="254">
        <v>33.58</v>
      </c>
      <c r="E4159"/>
      <c r="F4159"/>
      <c r="G4159"/>
      <c r="H4159"/>
      <c r="I4159" s="489"/>
      <c r="J4159" s="1095"/>
      <c r="K4159" s="1095"/>
      <c r="L4159" s="1095"/>
      <c r="M4159" s="1095"/>
    </row>
    <row r="4160" spans="1:13" x14ac:dyDescent="0.25">
      <c r="A4160">
        <v>3108072</v>
      </c>
      <c r="B4160" t="s">
        <v>11327</v>
      </c>
      <c r="C4160" t="s">
        <v>2595</v>
      </c>
      <c r="D4160" s="254">
        <v>16.940000000000001</v>
      </c>
      <c r="E4160"/>
      <c r="F4160"/>
      <c r="G4160"/>
      <c r="H4160"/>
      <c r="I4160" s="489"/>
      <c r="J4160" s="1095"/>
      <c r="K4160" s="1095"/>
      <c r="L4160" s="1095"/>
      <c r="M4160" s="1095"/>
    </row>
    <row r="4161" spans="1:13" x14ac:dyDescent="0.25">
      <c r="A4161">
        <v>3117750</v>
      </c>
      <c r="B4161" t="s">
        <v>11328</v>
      </c>
      <c r="C4161" t="s">
        <v>2595</v>
      </c>
      <c r="D4161" s="254">
        <v>22.26</v>
      </c>
      <c r="E4161"/>
      <c r="F4161"/>
      <c r="G4161"/>
      <c r="H4161"/>
      <c r="I4161" s="489"/>
      <c r="J4161" s="1095"/>
      <c r="K4161" s="1095"/>
      <c r="L4161" s="1095"/>
      <c r="M4161" s="1095"/>
    </row>
    <row r="4162" spans="1:13" x14ac:dyDescent="0.25">
      <c r="A4162">
        <v>3117749</v>
      </c>
      <c r="B4162" t="s">
        <v>11329</v>
      </c>
      <c r="C4162" t="s">
        <v>2595</v>
      </c>
      <c r="D4162" s="254">
        <v>17.059999999999999</v>
      </c>
      <c r="E4162"/>
      <c r="F4162"/>
      <c r="G4162"/>
      <c r="H4162"/>
      <c r="I4162" s="489"/>
      <c r="J4162" s="1095"/>
      <c r="K4162" s="1095"/>
      <c r="L4162" s="1095"/>
      <c r="M4162" s="1095"/>
    </row>
    <row r="4163" spans="1:13" x14ac:dyDescent="0.25">
      <c r="A4163">
        <v>3106551</v>
      </c>
      <c r="B4163" t="s">
        <v>11330</v>
      </c>
      <c r="C4163" t="s">
        <v>2595</v>
      </c>
      <c r="D4163" s="254">
        <v>12.27</v>
      </c>
      <c r="E4163"/>
      <c r="F4163"/>
      <c r="G4163"/>
      <c r="H4163"/>
      <c r="I4163" s="489"/>
      <c r="J4163" s="1095"/>
      <c r="K4163" s="1095"/>
      <c r="L4163" s="1095"/>
      <c r="M4163" s="1095"/>
    </row>
    <row r="4164" spans="1:13" x14ac:dyDescent="0.25">
      <c r="A4164">
        <v>3106427</v>
      </c>
      <c r="B4164" t="s">
        <v>11331</v>
      </c>
      <c r="C4164" t="s">
        <v>2595</v>
      </c>
      <c r="D4164" s="254">
        <v>52.85</v>
      </c>
      <c r="E4164"/>
      <c r="F4164"/>
      <c r="G4164"/>
      <c r="H4164"/>
      <c r="I4164" s="489"/>
      <c r="J4164" s="1095"/>
      <c r="K4164" s="1095"/>
      <c r="L4164" s="1095"/>
      <c r="M4164" s="1095"/>
    </row>
    <row r="4165" spans="1:13" x14ac:dyDescent="0.25">
      <c r="A4165">
        <v>3106552</v>
      </c>
      <c r="B4165" t="s">
        <v>11332</v>
      </c>
      <c r="C4165" t="s">
        <v>2595</v>
      </c>
      <c r="D4165" s="254">
        <v>11.51</v>
      </c>
      <c r="E4165"/>
      <c r="F4165"/>
      <c r="G4165"/>
      <c r="H4165"/>
      <c r="I4165" s="489"/>
      <c r="J4165" s="1095"/>
      <c r="K4165" s="1095"/>
      <c r="L4165" s="1095"/>
      <c r="M4165" s="1095"/>
    </row>
    <row r="4166" spans="1:13" x14ac:dyDescent="0.25">
      <c r="A4166">
        <v>3107969</v>
      </c>
      <c r="B4166" t="s">
        <v>11333</v>
      </c>
      <c r="C4166" t="s">
        <v>2595</v>
      </c>
      <c r="D4166" s="254">
        <v>113.25</v>
      </c>
      <c r="E4166"/>
      <c r="F4166"/>
      <c r="G4166"/>
      <c r="H4166"/>
      <c r="I4166" s="489"/>
      <c r="J4166" s="1095"/>
      <c r="K4166" s="1095"/>
      <c r="L4166" s="1095"/>
      <c r="M4166" s="1095"/>
    </row>
    <row r="4167" spans="1:13" x14ac:dyDescent="0.25">
      <c r="A4167">
        <v>3107970</v>
      </c>
      <c r="B4167" t="s">
        <v>11334</v>
      </c>
      <c r="C4167" t="s">
        <v>2595</v>
      </c>
      <c r="D4167" s="254">
        <v>107.1</v>
      </c>
      <c r="E4167"/>
      <c r="F4167"/>
      <c r="G4167"/>
      <c r="H4167"/>
      <c r="I4167" s="489"/>
      <c r="J4167" s="1095"/>
      <c r="K4167" s="1095"/>
      <c r="L4167" s="1095"/>
      <c r="M4167" s="1095"/>
    </row>
    <row r="4168" spans="1:13" x14ac:dyDescent="0.25">
      <c r="A4168">
        <v>3108007</v>
      </c>
      <c r="B4168" t="s">
        <v>11335</v>
      </c>
      <c r="C4168" t="s">
        <v>2595</v>
      </c>
      <c r="D4168" s="254">
        <v>129.88999999999999</v>
      </c>
      <c r="E4168"/>
      <c r="F4168"/>
      <c r="G4168"/>
      <c r="H4168"/>
      <c r="I4168" s="489"/>
      <c r="J4168" s="1095"/>
      <c r="K4168" s="1095"/>
      <c r="L4168" s="1095"/>
      <c r="M4168" s="1095"/>
    </row>
    <row r="4169" spans="1:13" x14ac:dyDescent="0.25">
      <c r="A4169">
        <v>3108008</v>
      </c>
      <c r="B4169" t="s">
        <v>11336</v>
      </c>
      <c r="C4169" t="s">
        <v>2595</v>
      </c>
      <c r="D4169" s="254">
        <v>86.06</v>
      </c>
      <c r="E4169"/>
      <c r="F4169"/>
      <c r="G4169"/>
      <c r="H4169"/>
      <c r="I4169" s="489"/>
      <c r="J4169" s="1095"/>
      <c r="K4169" s="1095"/>
      <c r="L4169" s="1095"/>
      <c r="M4169" s="1095"/>
    </row>
    <row r="4170" spans="1:13" x14ac:dyDescent="0.25">
      <c r="A4170">
        <v>3108009</v>
      </c>
      <c r="B4170" t="s">
        <v>11337</v>
      </c>
      <c r="C4170" t="s">
        <v>2595</v>
      </c>
      <c r="D4170" s="254">
        <v>72.819999999999993</v>
      </c>
      <c r="E4170"/>
      <c r="F4170"/>
      <c r="G4170"/>
      <c r="H4170"/>
      <c r="I4170" s="489"/>
      <c r="J4170" s="1095"/>
      <c r="K4170" s="1095"/>
      <c r="L4170" s="1095"/>
      <c r="M4170" s="1095"/>
    </row>
    <row r="4171" spans="1:13" x14ac:dyDescent="0.25">
      <c r="A4171">
        <v>3108011</v>
      </c>
      <c r="B4171" t="s">
        <v>11338</v>
      </c>
      <c r="C4171" t="s">
        <v>2595</v>
      </c>
      <c r="D4171" s="254">
        <v>143.01</v>
      </c>
      <c r="E4171"/>
      <c r="F4171"/>
      <c r="G4171"/>
      <c r="H4171"/>
      <c r="I4171" s="489"/>
      <c r="J4171" s="1095"/>
      <c r="K4171" s="1095"/>
      <c r="L4171" s="1095"/>
      <c r="M4171" s="1095"/>
    </row>
    <row r="4172" spans="1:13" x14ac:dyDescent="0.25">
      <c r="A4172">
        <v>3108012</v>
      </c>
      <c r="B4172" t="s">
        <v>11339</v>
      </c>
      <c r="C4172" t="s">
        <v>2595</v>
      </c>
      <c r="D4172" s="254">
        <v>92.94</v>
      </c>
      <c r="E4172"/>
      <c r="F4172"/>
      <c r="G4172"/>
      <c r="H4172"/>
      <c r="I4172" s="489"/>
      <c r="J4172" s="1095"/>
      <c r="K4172" s="1095"/>
      <c r="L4172" s="1095"/>
      <c r="M4172" s="1095"/>
    </row>
    <row r="4173" spans="1:13" x14ac:dyDescent="0.25">
      <c r="A4173">
        <v>3108013</v>
      </c>
      <c r="B4173" t="s">
        <v>11340</v>
      </c>
      <c r="C4173" t="s">
        <v>2595</v>
      </c>
      <c r="D4173" s="254">
        <v>77.64</v>
      </c>
      <c r="E4173"/>
      <c r="F4173"/>
      <c r="G4173"/>
      <c r="H4173"/>
      <c r="I4173" s="489"/>
      <c r="J4173" s="1095"/>
      <c r="K4173" s="1095"/>
      <c r="L4173" s="1095"/>
      <c r="M4173" s="1095"/>
    </row>
    <row r="4174" spans="1:13" x14ac:dyDescent="0.25">
      <c r="A4174">
        <v>3108015</v>
      </c>
      <c r="B4174" t="s">
        <v>11341</v>
      </c>
      <c r="C4174" t="s">
        <v>2595</v>
      </c>
      <c r="D4174" s="254">
        <v>151.11000000000001</v>
      </c>
      <c r="E4174"/>
      <c r="F4174"/>
      <c r="G4174"/>
      <c r="H4174"/>
      <c r="I4174" s="489"/>
      <c r="J4174" s="1095"/>
      <c r="K4174" s="1095"/>
      <c r="L4174" s="1095"/>
      <c r="M4174" s="1095"/>
    </row>
    <row r="4175" spans="1:13" x14ac:dyDescent="0.25">
      <c r="A4175">
        <v>3108016</v>
      </c>
      <c r="B4175" t="s">
        <v>11342</v>
      </c>
      <c r="C4175" t="s">
        <v>2595</v>
      </c>
      <c r="D4175" s="254">
        <v>97.2</v>
      </c>
      <c r="E4175"/>
      <c r="F4175"/>
      <c r="G4175"/>
      <c r="H4175"/>
      <c r="I4175" s="489"/>
      <c r="J4175" s="1095"/>
      <c r="K4175" s="1095"/>
      <c r="L4175" s="1095"/>
      <c r="M4175" s="1095"/>
    </row>
    <row r="4176" spans="1:13" x14ac:dyDescent="0.25">
      <c r="A4176">
        <v>3108017</v>
      </c>
      <c r="B4176" t="s">
        <v>7512</v>
      </c>
      <c r="C4176" t="s">
        <v>2595</v>
      </c>
      <c r="D4176" s="254">
        <v>80.62</v>
      </c>
      <c r="E4176"/>
      <c r="F4176"/>
      <c r="G4176"/>
      <c r="H4176"/>
      <c r="I4176" s="489"/>
      <c r="J4176" s="1095"/>
      <c r="K4176" s="1095"/>
      <c r="L4176" s="1095"/>
      <c r="M4176" s="1095"/>
    </row>
    <row r="4177" spans="1:13" x14ac:dyDescent="0.25">
      <c r="A4177">
        <v>3107995</v>
      </c>
      <c r="B4177" t="s">
        <v>11343</v>
      </c>
      <c r="C4177" t="s">
        <v>2595</v>
      </c>
      <c r="D4177" s="254">
        <v>119.09</v>
      </c>
      <c r="E4177"/>
      <c r="F4177"/>
      <c r="G4177"/>
      <c r="H4177"/>
      <c r="I4177" s="489"/>
      <c r="J4177" s="1095"/>
      <c r="K4177" s="1095"/>
      <c r="L4177" s="1095"/>
      <c r="M4177" s="1095"/>
    </row>
    <row r="4178" spans="1:13" x14ac:dyDescent="0.25">
      <c r="A4178">
        <v>3107996</v>
      </c>
      <c r="B4178" t="s">
        <v>11344</v>
      </c>
      <c r="C4178" t="s">
        <v>2595</v>
      </c>
      <c r="D4178" s="254">
        <v>80.430000000000007</v>
      </c>
      <c r="E4178"/>
      <c r="F4178"/>
      <c r="G4178"/>
      <c r="H4178"/>
      <c r="I4178" s="489"/>
      <c r="J4178" s="1095"/>
      <c r="K4178" s="1095"/>
      <c r="L4178" s="1095"/>
      <c r="M4178" s="1095"/>
    </row>
    <row r="4179" spans="1:13" x14ac:dyDescent="0.25">
      <c r="A4179">
        <v>3107997</v>
      </c>
      <c r="B4179" t="s">
        <v>11345</v>
      </c>
      <c r="C4179" t="s">
        <v>2595</v>
      </c>
      <c r="D4179" s="254">
        <v>68.91</v>
      </c>
      <c r="E4179"/>
      <c r="F4179"/>
      <c r="G4179"/>
      <c r="H4179"/>
      <c r="I4179" s="489"/>
      <c r="J4179" s="1095"/>
      <c r="K4179" s="1095"/>
      <c r="L4179" s="1095"/>
      <c r="M4179" s="1095"/>
    </row>
    <row r="4180" spans="1:13" x14ac:dyDescent="0.25">
      <c r="A4180">
        <v>3107999</v>
      </c>
      <c r="B4180" t="s">
        <v>11346</v>
      </c>
      <c r="C4180" t="s">
        <v>2595</v>
      </c>
      <c r="D4180" s="254">
        <v>125.1</v>
      </c>
      <c r="E4180"/>
      <c r="F4180"/>
      <c r="G4180"/>
      <c r="H4180"/>
      <c r="I4180" s="489"/>
      <c r="J4180" s="1095"/>
      <c r="K4180" s="1095"/>
      <c r="L4180" s="1095"/>
      <c r="M4180" s="1095"/>
    </row>
    <row r="4181" spans="1:13" x14ac:dyDescent="0.25">
      <c r="A4181">
        <v>3108000</v>
      </c>
      <c r="B4181" t="s">
        <v>11347</v>
      </c>
      <c r="C4181" t="s">
        <v>2595</v>
      </c>
      <c r="D4181" s="254">
        <v>83.59</v>
      </c>
      <c r="E4181"/>
      <c r="F4181"/>
      <c r="G4181"/>
      <c r="H4181"/>
      <c r="I4181" s="489"/>
      <c r="J4181" s="1095"/>
      <c r="K4181" s="1095"/>
      <c r="L4181" s="1095"/>
      <c r="M4181" s="1095"/>
    </row>
    <row r="4182" spans="1:13" x14ac:dyDescent="0.25">
      <c r="A4182">
        <v>3108001</v>
      </c>
      <c r="B4182" t="s">
        <v>11348</v>
      </c>
      <c r="C4182" t="s">
        <v>2595</v>
      </c>
      <c r="D4182" s="254">
        <v>71.12</v>
      </c>
      <c r="E4182"/>
      <c r="F4182"/>
      <c r="G4182"/>
      <c r="H4182"/>
      <c r="I4182" s="489"/>
      <c r="J4182" s="1095"/>
      <c r="K4182" s="1095"/>
      <c r="L4182" s="1095"/>
      <c r="M4182" s="1095"/>
    </row>
    <row r="4183" spans="1:13" x14ac:dyDescent="0.25">
      <c r="A4183">
        <v>3108003</v>
      </c>
      <c r="B4183" t="s">
        <v>11349</v>
      </c>
      <c r="C4183" t="s">
        <v>2595</v>
      </c>
      <c r="D4183" s="254">
        <v>131.36000000000001</v>
      </c>
      <c r="E4183"/>
      <c r="F4183"/>
      <c r="G4183"/>
      <c r="H4183"/>
      <c r="I4183" s="489"/>
      <c r="J4183" s="1095"/>
      <c r="K4183" s="1095"/>
      <c r="L4183" s="1095"/>
      <c r="M4183" s="1095"/>
    </row>
    <row r="4184" spans="1:13" x14ac:dyDescent="0.25">
      <c r="A4184">
        <v>3108004</v>
      </c>
      <c r="B4184" t="s">
        <v>11350</v>
      </c>
      <c r="C4184" t="s">
        <v>2595</v>
      </c>
      <c r="D4184" s="254">
        <v>86.87</v>
      </c>
      <c r="E4184"/>
      <c r="F4184"/>
      <c r="G4184"/>
      <c r="H4184"/>
      <c r="I4184" s="489"/>
      <c r="J4184" s="1095"/>
      <c r="K4184" s="1095"/>
      <c r="L4184" s="1095"/>
      <c r="M4184" s="1095"/>
    </row>
    <row r="4185" spans="1:13" x14ac:dyDescent="0.25">
      <c r="A4185">
        <v>3108005</v>
      </c>
      <c r="B4185" t="s">
        <v>11351</v>
      </c>
      <c r="C4185" t="s">
        <v>2595</v>
      </c>
      <c r="D4185" s="254">
        <v>73.42</v>
      </c>
      <c r="E4185"/>
      <c r="F4185"/>
      <c r="G4185"/>
      <c r="H4185"/>
      <c r="I4185" s="489"/>
      <c r="J4185" s="1095"/>
      <c r="K4185" s="1095"/>
      <c r="L4185" s="1095"/>
      <c r="M4185" s="1095"/>
    </row>
    <row r="4186" spans="1:13" x14ac:dyDescent="0.25">
      <c r="A4186">
        <v>3106119</v>
      </c>
      <c r="B4186" t="s">
        <v>11352</v>
      </c>
      <c r="C4186" t="s">
        <v>2595</v>
      </c>
      <c r="D4186" s="254">
        <v>144.69999999999999</v>
      </c>
      <c r="E4186"/>
      <c r="F4186"/>
      <c r="G4186"/>
      <c r="H4186"/>
      <c r="I4186" s="489"/>
      <c r="J4186" s="1095"/>
      <c r="K4186" s="1095"/>
      <c r="L4186" s="1095"/>
      <c r="M4186" s="1095"/>
    </row>
    <row r="4187" spans="1:13" x14ac:dyDescent="0.25">
      <c r="A4187">
        <v>3106120</v>
      </c>
      <c r="B4187" t="s">
        <v>11353</v>
      </c>
      <c r="C4187" t="s">
        <v>2595</v>
      </c>
      <c r="D4187" s="254">
        <v>101.17</v>
      </c>
      <c r="E4187"/>
      <c r="F4187"/>
      <c r="G4187"/>
      <c r="H4187"/>
      <c r="I4187" s="489"/>
      <c r="J4187" s="1095"/>
      <c r="K4187" s="1095"/>
      <c r="L4187" s="1095"/>
      <c r="M4187" s="1095"/>
    </row>
    <row r="4188" spans="1:13" x14ac:dyDescent="0.25">
      <c r="A4188">
        <v>3106121</v>
      </c>
      <c r="B4188" t="s">
        <v>11354</v>
      </c>
      <c r="C4188" t="s">
        <v>2595</v>
      </c>
      <c r="D4188" s="254">
        <v>88.33</v>
      </c>
      <c r="E4188"/>
      <c r="F4188"/>
      <c r="G4188"/>
      <c r="H4188"/>
      <c r="I4188" s="489"/>
      <c r="J4188" s="1095"/>
      <c r="K4188" s="1095"/>
      <c r="L4188" s="1095"/>
      <c r="M4188" s="1095"/>
    </row>
    <row r="4189" spans="1:13" x14ac:dyDescent="0.25">
      <c r="A4189">
        <v>3103302</v>
      </c>
      <c r="B4189" t="s">
        <v>6440</v>
      </c>
      <c r="C4189" t="s">
        <v>2595</v>
      </c>
      <c r="D4189" s="254">
        <v>67.53</v>
      </c>
      <c r="E4189"/>
      <c r="F4189"/>
      <c r="G4189"/>
      <c r="H4189"/>
      <c r="I4189" s="489"/>
      <c r="J4189" s="1095"/>
      <c r="K4189" s="1095"/>
      <c r="L4189" s="1095"/>
      <c r="M4189" s="1095"/>
    </row>
    <row r="4190" spans="1:13" x14ac:dyDescent="0.25">
      <c r="A4190">
        <v>3103303</v>
      </c>
      <c r="B4190" t="s">
        <v>11355</v>
      </c>
      <c r="C4190" t="s">
        <v>2595</v>
      </c>
      <c r="D4190" s="254">
        <v>35.44</v>
      </c>
      <c r="E4190"/>
      <c r="F4190"/>
      <c r="G4190"/>
      <c r="H4190"/>
      <c r="I4190" s="489"/>
      <c r="J4190" s="1095"/>
      <c r="K4190" s="1095"/>
      <c r="L4190" s="1095"/>
      <c r="M4190" s="1095"/>
    </row>
    <row r="4191" spans="1:13" x14ac:dyDescent="0.25">
      <c r="A4191">
        <v>3106759</v>
      </c>
      <c r="B4191" t="s">
        <v>11356</v>
      </c>
      <c r="C4191" t="s">
        <v>2595</v>
      </c>
      <c r="D4191" s="254">
        <v>109.42</v>
      </c>
      <c r="E4191"/>
      <c r="F4191"/>
      <c r="G4191"/>
      <c r="H4191"/>
      <c r="I4191" s="489"/>
      <c r="J4191" s="1095"/>
      <c r="K4191" s="1095"/>
      <c r="L4191" s="1095"/>
      <c r="M4191" s="1095"/>
    </row>
    <row r="4192" spans="1:13" x14ac:dyDescent="0.25">
      <c r="A4192">
        <v>3108023</v>
      </c>
      <c r="B4192" t="s">
        <v>11357</v>
      </c>
      <c r="C4192" t="s">
        <v>2598</v>
      </c>
      <c r="D4192" s="254">
        <v>4.5199999999999996</v>
      </c>
      <c r="E4192"/>
      <c r="F4192"/>
      <c r="G4192"/>
      <c r="H4192"/>
      <c r="I4192" s="489"/>
      <c r="J4192" s="1095"/>
      <c r="K4192" s="1095"/>
      <c r="L4192" s="1095"/>
      <c r="M4192" s="1095"/>
    </row>
    <row r="4193" spans="1:13" x14ac:dyDescent="0.25">
      <c r="A4193">
        <v>3108018</v>
      </c>
      <c r="B4193" t="s">
        <v>11358</v>
      </c>
      <c r="C4193" t="s">
        <v>2598</v>
      </c>
      <c r="D4193" s="254">
        <v>3.31</v>
      </c>
      <c r="E4193"/>
      <c r="F4193"/>
      <c r="G4193"/>
      <c r="H4193"/>
      <c r="I4193" s="489"/>
      <c r="J4193" s="1095"/>
      <c r="K4193" s="1095"/>
      <c r="L4193" s="1095"/>
      <c r="M4193" s="1095"/>
    </row>
    <row r="4194" spans="1:13" x14ac:dyDescent="0.25">
      <c r="A4194">
        <v>3108022</v>
      </c>
      <c r="B4194" t="s">
        <v>11359</v>
      </c>
      <c r="C4194" t="s">
        <v>2598</v>
      </c>
      <c r="D4194" s="254">
        <v>3.71</v>
      </c>
      <c r="E4194"/>
      <c r="F4194"/>
      <c r="G4194"/>
      <c r="H4194"/>
      <c r="I4194" s="489"/>
      <c r="J4194" s="1095"/>
      <c r="K4194" s="1095"/>
      <c r="L4194" s="1095"/>
      <c r="M4194" s="1095"/>
    </row>
    <row r="4195" spans="1:13" x14ac:dyDescent="0.25">
      <c r="A4195">
        <v>3205864</v>
      </c>
      <c r="B4195" t="s">
        <v>11360</v>
      </c>
      <c r="C4195" t="s">
        <v>2596</v>
      </c>
      <c r="D4195" s="254">
        <v>884.68</v>
      </c>
      <c r="E4195"/>
      <c r="F4195"/>
      <c r="G4195"/>
      <c r="H4195"/>
      <c r="I4195" s="489"/>
      <c r="J4195" s="1095"/>
      <c r="K4195" s="1095"/>
      <c r="L4195" s="1095"/>
      <c r="M4195" s="1095"/>
    </row>
    <row r="4196" spans="1:13" x14ac:dyDescent="0.25">
      <c r="A4196">
        <v>3205863</v>
      </c>
      <c r="B4196" t="s">
        <v>11361</v>
      </c>
      <c r="C4196" t="s">
        <v>2596</v>
      </c>
      <c r="D4196" s="254">
        <v>799.45</v>
      </c>
      <c r="E4196"/>
      <c r="F4196"/>
      <c r="G4196"/>
      <c r="H4196"/>
      <c r="I4196" s="489"/>
      <c r="J4196" s="1095"/>
      <c r="K4196" s="1095"/>
      <c r="L4196" s="1095"/>
      <c r="M4196" s="1095"/>
    </row>
    <row r="4197" spans="1:13" x14ac:dyDescent="0.25">
      <c r="A4197">
        <v>3205868</v>
      </c>
      <c r="B4197" t="s">
        <v>11362</v>
      </c>
      <c r="C4197" t="s">
        <v>2596</v>
      </c>
      <c r="D4197" s="254">
        <v>753.79</v>
      </c>
      <c r="E4197"/>
      <c r="F4197"/>
      <c r="G4197"/>
      <c r="H4197"/>
      <c r="I4197" s="489"/>
      <c r="J4197" s="1095"/>
      <c r="K4197" s="1095"/>
      <c r="L4197" s="1095"/>
      <c r="M4197" s="1095"/>
    </row>
    <row r="4198" spans="1:13" x14ac:dyDescent="0.25">
      <c r="A4198">
        <v>3205867</v>
      </c>
      <c r="B4198" t="s">
        <v>11363</v>
      </c>
      <c r="C4198" t="s">
        <v>2596</v>
      </c>
      <c r="D4198" s="254">
        <v>668.55</v>
      </c>
      <c r="E4198"/>
      <c r="F4198"/>
      <c r="G4198"/>
      <c r="H4198"/>
      <c r="I4198" s="489"/>
      <c r="J4198" s="1095"/>
      <c r="K4198" s="1095"/>
      <c r="L4198" s="1095"/>
      <c r="M4198" s="1095"/>
    </row>
    <row r="4199" spans="1:13" x14ac:dyDescent="0.25">
      <c r="A4199">
        <v>3205866</v>
      </c>
      <c r="B4199" t="s">
        <v>11364</v>
      </c>
      <c r="C4199" t="s">
        <v>2596</v>
      </c>
      <c r="D4199" s="254">
        <v>682.82</v>
      </c>
      <c r="E4199"/>
      <c r="F4199"/>
      <c r="G4199"/>
      <c r="H4199"/>
      <c r="I4199" s="489"/>
      <c r="J4199" s="1095"/>
      <c r="K4199" s="1095"/>
      <c r="L4199" s="1095"/>
      <c r="M4199" s="1095"/>
    </row>
    <row r="4200" spans="1:13" x14ac:dyDescent="0.25">
      <c r="A4200">
        <v>3205865</v>
      </c>
      <c r="B4200" t="s">
        <v>11365</v>
      </c>
      <c r="C4200" t="s">
        <v>2596</v>
      </c>
      <c r="D4200" s="254">
        <v>597.59</v>
      </c>
      <c r="E4200"/>
      <c r="F4200"/>
      <c r="G4200"/>
      <c r="H4200"/>
      <c r="I4200" s="489"/>
      <c r="J4200" s="1095"/>
      <c r="K4200" s="1095"/>
      <c r="L4200" s="1095"/>
      <c r="M4200" s="1095"/>
    </row>
    <row r="4201" spans="1:13" x14ac:dyDescent="0.25">
      <c r="A4201">
        <v>3205870</v>
      </c>
      <c r="B4201" t="s">
        <v>11366</v>
      </c>
      <c r="C4201" t="s">
        <v>2596</v>
      </c>
      <c r="D4201" s="254">
        <v>738.96</v>
      </c>
      <c r="E4201"/>
      <c r="F4201"/>
      <c r="G4201"/>
      <c r="H4201"/>
      <c r="I4201" s="489"/>
      <c r="J4201" s="1095"/>
      <c r="K4201" s="1095"/>
      <c r="L4201" s="1095"/>
      <c r="M4201" s="1095"/>
    </row>
    <row r="4202" spans="1:13" x14ac:dyDescent="0.25">
      <c r="A4202">
        <v>3205869</v>
      </c>
      <c r="B4202" t="s">
        <v>11367</v>
      </c>
      <c r="C4202" t="s">
        <v>2596</v>
      </c>
      <c r="D4202" s="254">
        <v>653.73</v>
      </c>
      <c r="E4202"/>
      <c r="F4202"/>
      <c r="G4202"/>
      <c r="H4202"/>
      <c r="I4202" s="489"/>
      <c r="J4202" s="1095"/>
      <c r="K4202" s="1095"/>
      <c r="L4202" s="1095"/>
      <c r="M4202" s="1095"/>
    </row>
    <row r="4203" spans="1:13" x14ac:dyDescent="0.25">
      <c r="A4203">
        <v>3205872</v>
      </c>
      <c r="B4203" t="s">
        <v>11368</v>
      </c>
      <c r="C4203" t="s">
        <v>2595</v>
      </c>
      <c r="D4203" s="254">
        <v>252.21</v>
      </c>
      <c r="E4203"/>
      <c r="F4203"/>
      <c r="G4203"/>
      <c r="H4203"/>
      <c r="I4203" s="489"/>
      <c r="J4203" s="1095"/>
      <c r="K4203" s="1095"/>
      <c r="L4203" s="1095"/>
      <c r="M4203" s="1095"/>
    </row>
    <row r="4204" spans="1:13" x14ac:dyDescent="0.25">
      <c r="A4204">
        <v>3205871</v>
      </c>
      <c r="B4204" t="s">
        <v>11369</v>
      </c>
      <c r="C4204" t="s">
        <v>2595</v>
      </c>
      <c r="D4204" s="254">
        <v>237.72</v>
      </c>
      <c r="E4204"/>
      <c r="F4204"/>
      <c r="G4204"/>
      <c r="H4204"/>
      <c r="I4204" s="489"/>
      <c r="J4204" s="1095"/>
      <c r="K4204" s="1095"/>
      <c r="L4204" s="1095"/>
      <c r="M4204" s="1095"/>
    </row>
    <row r="4205" spans="1:13" x14ac:dyDescent="0.25">
      <c r="A4205">
        <v>3205874</v>
      </c>
      <c r="B4205" t="s">
        <v>11370</v>
      </c>
      <c r="C4205" t="s">
        <v>2595</v>
      </c>
      <c r="D4205" s="254">
        <v>281.04000000000002</v>
      </c>
      <c r="E4205"/>
      <c r="F4205"/>
      <c r="G4205"/>
      <c r="H4205"/>
      <c r="I4205" s="489"/>
      <c r="J4205" s="1095"/>
      <c r="K4205" s="1095"/>
      <c r="L4205" s="1095"/>
      <c r="M4205" s="1095"/>
    </row>
    <row r="4206" spans="1:13" x14ac:dyDescent="0.25">
      <c r="A4206">
        <v>3205873</v>
      </c>
      <c r="B4206" t="s">
        <v>11371</v>
      </c>
      <c r="C4206" t="s">
        <v>2595</v>
      </c>
      <c r="D4206" s="254">
        <v>261.44</v>
      </c>
      <c r="E4206"/>
      <c r="F4206"/>
      <c r="G4206"/>
      <c r="H4206"/>
      <c r="I4206" s="489"/>
      <c r="J4206" s="1095"/>
      <c r="K4206" s="1095"/>
      <c r="L4206" s="1095"/>
      <c r="M4206" s="1095"/>
    </row>
    <row r="4207" spans="1:13" x14ac:dyDescent="0.25">
      <c r="A4207">
        <v>3205876</v>
      </c>
      <c r="B4207" t="s">
        <v>11372</v>
      </c>
      <c r="C4207" t="s">
        <v>2595</v>
      </c>
      <c r="D4207" s="254">
        <v>315.82</v>
      </c>
      <c r="E4207"/>
      <c r="F4207"/>
      <c r="G4207"/>
      <c r="H4207"/>
      <c r="I4207" s="489"/>
      <c r="J4207" s="1095"/>
      <c r="K4207" s="1095"/>
      <c r="L4207" s="1095"/>
      <c r="M4207" s="1095"/>
    </row>
    <row r="4208" spans="1:13" x14ac:dyDescent="0.25">
      <c r="A4208">
        <v>3205875</v>
      </c>
      <c r="B4208" t="s">
        <v>11373</v>
      </c>
      <c r="C4208" t="s">
        <v>2595</v>
      </c>
      <c r="D4208" s="254">
        <v>290.26</v>
      </c>
      <c r="E4208"/>
      <c r="F4208"/>
      <c r="G4208"/>
      <c r="H4208"/>
      <c r="I4208" s="489"/>
      <c r="J4208" s="1095"/>
      <c r="K4208" s="1095"/>
      <c r="L4208" s="1095"/>
      <c r="M4208" s="1095"/>
    </row>
    <row r="4209" spans="1:13" x14ac:dyDescent="0.25">
      <c r="A4209">
        <v>3205862</v>
      </c>
      <c r="B4209" t="s">
        <v>11374</v>
      </c>
      <c r="C4209" t="s">
        <v>2596</v>
      </c>
      <c r="D4209" s="254">
        <v>789.68</v>
      </c>
      <c r="E4209"/>
      <c r="F4209"/>
      <c r="G4209"/>
      <c r="H4209"/>
      <c r="I4209" s="489"/>
      <c r="J4209" s="1095"/>
      <c r="K4209" s="1095"/>
      <c r="L4209" s="1095"/>
      <c r="M4209" s="1095"/>
    </row>
    <row r="4210" spans="1:13" x14ac:dyDescent="0.25">
      <c r="A4210">
        <v>3205861</v>
      </c>
      <c r="B4210" t="s">
        <v>11375</v>
      </c>
      <c r="C4210" t="s">
        <v>2596</v>
      </c>
      <c r="D4210" s="254">
        <v>704.45</v>
      </c>
      <c r="E4210"/>
      <c r="F4210"/>
      <c r="G4210"/>
      <c r="H4210"/>
      <c r="I4210" s="489"/>
      <c r="J4210" s="1095"/>
      <c r="K4210" s="1095"/>
      <c r="L4210" s="1095"/>
      <c r="M4210" s="1095"/>
    </row>
    <row r="4211" spans="1:13" x14ac:dyDescent="0.25">
      <c r="A4211">
        <v>3606579</v>
      </c>
      <c r="B4211" t="s">
        <v>11376</v>
      </c>
      <c r="C4211" t="s">
        <v>2596</v>
      </c>
      <c r="D4211" s="254">
        <v>22.09</v>
      </c>
      <c r="E4211"/>
      <c r="F4211"/>
      <c r="G4211"/>
      <c r="H4211"/>
      <c r="I4211" s="489"/>
      <c r="J4211" s="1095"/>
      <c r="K4211" s="1095"/>
      <c r="L4211" s="1095"/>
      <c r="M4211" s="1095"/>
    </row>
    <row r="4212" spans="1:13" x14ac:dyDescent="0.25">
      <c r="A4212">
        <v>3606583</v>
      </c>
      <c r="B4212" t="s">
        <v>11377</v>
      </c>
      <c r="C4212" t="s">
        <v>2596</v>
      </c>
      <c r="D4212" s="254">
        <v>22.91</v>
      </c>
      <c r="E4212"/>
      <c r="F4212"/>
      <c r="G4212"/>
      <c r="H4212"/>
      <c r="I4212" s="489"/>
      <c r="J4212" s="1095"/>
      <c r="K4212" s="1095"/>
      <c r="L4212" s="1095"/>
      <c r="M4212" s="1095"/>
    </row>
    <row r="4213" spans="1:13" x14ac:dyDescent="0.25">
      <c r="A4213">
        <v>3606584</v>
      </c>
      <c r="B4213" t="s">
        <v>11378</v>
      </c>
      <c r="C4213" t="s">
        <v>2596</v>
      </c>
      <c r="D4213" s="254">
        <v>23.03</v>
      </c>
      <c r="E4213"/>
      <c r="F4213"/>
      <c r="G4213"/>
      <c r="H4213"/>
      <c r="I4213" s="489"/>
      <c r="J4213" s="1095"/>
      <c r="K4213" s="1095"/>
      <c r="L4213" s="1095"/>
      <c r="M4213" s="1095"/>
    </row>
    <row r="4214" spans="1:13" x14ac:dyDescent="0.25">
      <c r="A4214">
        <v>3606585</v>
      </c>
      <c r="B4214" t="s">
        <v>11379</v>
      </c>
      <c r="C4214" t="s">
        <v>2596</v>
      </c>
      <c r="D4214" s="254">
        <v>23.15</v>
      </c>
      <c r="E4214"/>
      <c r="F4214"/>
      <c r="G4214"/>
      <c r="H4214"/>
      <c r="I4214" s="489"/>
      <c r="J4214" s="1095"/>
      <c r="K4214" s="1095"/>
      <c r="L4214" s="1095"/>
      <c r="M4214" s="1095"/>
    </row>
    <row r="4215" spans="1:13" x14ac:dyDescent="0.25">
      <c r="A4215">
        <v>3606586</v>
      </c>
      <c r="B4215" t="s">
        <v>11380</v>
      </c>
      <c r="C4215" t="s">
        <v>2596</v>
      </c>
      <c r="D4215" s="254">
        <v>23.38</v>
      </c>
      <c r="E4215"/>
      <c r="F4215"/>
      <c r="G4215"/>
      <c r="H4215"/>
      <c r="I4215" s="489"/>
      <c r="J4215" s="1095"/>
      <c r="K4215" s="1095"/>
      <c r="L4215" s="1095"/>
      <c r="M4215" s="1095"/>
    </row>
    <row r="4216" spans="1:13" x14ac:dyDescent="0.25">
      <c r="A4216">
        <v>3606587</v>
      </c>
      <c r="B4216" t="s">
        <v>11381</v>
      </c>
      <c r="C4216" t="s">
        <v>2596</v>
      </c>
      <c r="D4216" s="254">
        <v>23.62</v>
      </c>
      <c r="E4216"/>
      <c r="F4216"/>
      <c r="G4216"/>
      <c r="H4216"/>
      <c r="I4216" s="489"/>
      <c r="J4216" s="1095"/>
      <c r="K4216" s="1095"/>
      <c r="L4216" s="1095"/>
      <c r="M4216" s="1095"/>
    </row>
    <row r="4217" spans="1:13" x14ac:dyDescent="0.25">
      <c r="A4217">
        <v>3606588</v>
      </c>
      <c r="B4217" t="s">
        <v>11382</v>
      </c>
      <c r="C4217" t="s">
        <v>2596</v>
      </c>
      <c r="D4217" s="254">
        <v>23.74</v>
      </c>
      <c r="E4217"/>
      <c r="F4217"/>
      <c r="G4217"/>
      <c r="H4217"/>
      <c r="I4217" s="489"/>
      <c r="J4217" s="1095"/>
      <c r="K4217" s="1095"/>
      <c r="L4217" s="1095"/>
      <c r="M4217" s="1095"/>
    </row>
    <row r="4218" spans="1:13" x14ac:dyDescent="0.25">
      <c r="A4218">
        <v>3606589</v>
      </c>
      <c r="B4218" t="s">
        <v>11383</v>
      </c>
      <c r="C4218" t="s">
        <v>2596</v>
      </c>
      <c r="D4218" s="254">
        <v>23.86</v>
      </c>
      <c r="E4218"/>
      <c r="F4218"/>
      <c r="G4218"/>
      <c r="H4218"/>
      <c r="I4218" s="489"/>
      <c r="J4218" s="1095"/>
      <c r="K4218" s="1095"/>
      <c r="L4218" s="1095"/>
      <c r="M4218" s="1095"/>
    </row>
    <row r="4219" spans="1:13" x14ac:dyDescent="0.25">
      <c r="A4219">
        <v>3606580</v>
      </c>
      <c r="B4219" t="s">
        <v>11384</v>
      </c>
      <c r="C4219" t="s">
        <v>2596</v>
      </c>
      <c r="D4219" s="254">
        <v>22.32</v>
      </c>
      <c r="E4219"/>
      <c r="F4219"/>
      <c r="G4219"/>
      <c r="H4219"/>
      <c r="I4219" s="489"/>
      <c r="J4219" s="1095"/>
      <c r="K4219" s="1095"/>
      <c r="L4219" s="1095"/>
      <c r="M4219" s="1095"/>
    </row>
    <row r="4220" spans="1:13" x14ac:dyDescent="0.25">
      <c r="A4220">
        <v>3606581</v>
      </c>
      <c r="B4220" t="s">
        <v>11385</v>
      </c>
      <c r="C4220" t="s">
        <v>2596</v>
      </c>
      <c r="D4220" s="254">
        <v>22.56</v>
      </c>
      <c r="E4220"/>
      <c r="F4220"/>
      <c r="G4220"/>
      <c r="H4220"/>
      <c r="I4220" s="489"/>
      <c r="J4220" s="1095"/>
      <c r="K4220" s="1095"/>
      <c r="L4220" s="1095"/>
      <c r="M4220" s="1095"/>
    </row>
    <row r="4221" spans="1:13" x14ac:dyDescent="0.25">
      <c r="A4221">
        <v>3606582</v>
      </c>
      <c r="B4221" t="s">
        <v>11386</v>
      </c>
      <c r="C4221" t="s">
        <v>2596</v>
      </c>
      <c r="D4221" s="254">
        <v>22.68</v>
      </c>
      <c r="E4221"/>
      <c r="F4221"/>
      <c r="G4221"/>
      <c r="H4221"/>
      <c r="I4221" s="489"/>
      <c r="J4221" s="1095"/>
      <c r="K4221" s="1095"/>
      <c r="L4221" s="1095"/>
      <c r="M4221" s="1095"/>
    </row>
    <row r="4222" spans="1:13" x14ac:dyDescent="0.25">
      <c r="A4222">
        <v>3606527</v>
      </c>
      <c r="B4222" t="s">
        <v>13786</v>
      </c>
      <c r="C4222" t="s">
        <v>2596</v>
      </c>
      <c r="D4222" s="254">
        <v>53.48</v>
      </c>
      <c r="E4222"/>
      <c r="F4222"/>
      <c r="G4222"/>
      <c r="H4222"/>
      <c r="I4222" s="489"/>
      <c r="J4222" s="1095"/>
      <c r="K4222" s="1095"/>
      <c r="L4222" s="1095"/>
      <c r="M4222" s="1095"/>
    </row>
    <row r="4223" spans="1:13" x14ac:dyDescent="0.25">
      <c r="A4223">
        <v>3606528</v>
      </c>
      <c r="B4223" t="s">
        <v>13787</v>
      </c>
      <c r="C4223" t="s">
        <v>2596</v>
      </c>
      <c r="D4223" s="254">
        <v>54.42</v>
      </c>
      <c r="E4223"/>
      <c r="F4223"/>
      <c r="G4223"/>
      <c r="H4223"/>
      <c r="I4223" s="489"/>
      <c r="J4223" s="1095"/>
      <c r="K4223" s="1095"/>
      <c r="L4223" s="1095"/>
      <c r="M4223" s="1095"/>
    </row>
    <row r="4224" spans="1:13" x14ac:dyDescent="0.25">
      <c r="A4224">
        <v>3606529</v>
      </c>
      <c r="B4224" t="s">
        <v>13788</v>
      </c>
      <c r="C4224" t="s">
        <v>2596</v>
      </c>
      <c r="D4224" s="254">
        <v>55.18</v>
      </c>
      <c r="E4224"/>
      <c r="F4224"/>
      <c r="G4224"/>
      <c r="H4224"/>
      <c r="I4224" s="489"/>
      <c r="J4224" s="1095"/>
      <c r="K4224" s="1095"/>
      <c r="L4224" s="1095"/>
      <c r="M4224" s="1095"/>
    </row>
    <row r="4225" spans="1:13" x14ac:dyDescent="0.25">
      <c r="A4225">
        <v>3606530</v>
      </c>
      <c r="B4225" t="s">
        <v>13789</v>
      </c>
      <c r="C4225" t="s">
        <v>2596</v>
      </c>
      <c r="D4225" s="254">
        <v>56.13</v>
      </c>
      <c r="E4225"/>
      <c r="F4225"/>
      <c r="G4225"/>
      <c r="H4225"/>
      <c r="I4225" s="489"/>
      <c r="J4225" s="1095"/>
      <c r="K4225" s="1095"/>
      <c r="L4225" s="1095"/>
      <c r="M4225" s="1095"/>
    </row>
    <row r="4226" spans="1:13" x14ac:dyDescent="0.25">
      <c r="A4226">
        <v>3606531</v>
      </c>
      <c r="B4226" t="s">
        <v>13790</v>
      </c>
      <c r="C4226" t="s">
        <v>2596</v>
      </c>
      <c r="D4226" s="254">
        <v>57.08</v>
      </c>
      <c r="E4226"/>
      <c r="F4226"/>
      <c r="G4226"/>
      <c r="H4226"/>
      <c r="I4226" s="489"/>
      <c r="J4226" s="1095"/>
      <c r="K4226" s="1095"/>
      <c r="L4226" s="1095"/>
      <c r="M4226" s="1095"/>
    </row>
    <row r="4227" spans="1:13" x14ac:dyDescent="0.25">
      <c r="A4227">
        <v>3606532</v>
      </c>
      <c r="B4227" t="s">
        <v>13791</v>
      </c>
      <c r="C4227" t="s">
        <v>2596</v>
      </c>
      <c r="D4227" s="254">
        <v>58.59</v>
      </c>
      <c r="E4227"/>
      <c r="F4227"/>
      <c r="G4227"/>
      <c r="H4227"/>
      <c r="I4227" s="489"/>
      <c r="J4227" s="1095"/>
      <c r="K4227" s="1095"/>
      <c r="L4227" s="1095"/>
      <c r="M4227" s="1095"/>
    </row>
    <row r="4228" spans="1:13" x14ac:dyDescent="0.25">
      <c r="A4228">
        <v>3606533</v>
      </c>
      <c r="B4228" t="s">
        <v>13792</v>
      </c>
      <c r="C4228" t="s">
        <v>2596</v>
      </c>
      <c r="D4228" s="254">
        <v>63.07</v>
      </c>
      <c r="E4228"/>
      <c r="F4228"/>
      <c r="G4228"/>
      <c r="H4228"/>
      <c r="I4228" s="489"/>
      <c r="J4228" s="1095"/>
      <c r="K4228" s="1095"/>
      <c r="L4228" s="1095"/>
      <c r="M4228" s="1095"/>
    </row>
    <row r="4229" spans="1:13" x14ac:dyDescent="0.25">
      <c r="A4229">
        <v>3606534</v>
      </c>
      <c r="B4229" t="s">
        <v>13793</v>
      </c>
      <c r="C4229" t="s">
        <v>2596</v>
      </c>
      <c r="D4229" s="254">
        <v>64.34</v>
      </c>
      <c r="E4229"/>
      <c r="F4229"/>
      <c r="G4229"/>
      <c r="H4229"/>
      <c r="I4229" s="489"/>
      <c r="J4229" s="1095"/>
      <c r="K4229" s="1095"/>
      <c r="L4229" s="1095"/>
      <c r="M4229" s="1095"/>
    </row>
    <row r="4230" spans="1:13" x14ac:dyDescent="0.25">
      <c r="A4230">
        <v>3606535</v>
      </c>
      <c r="B4230" t="s">
        <v>13794</v>
      </c>
      <c r="C4230" t="s">
        <v>2596</v>
      </c>
      <c r="D4230" s="254">
        <v>48.68</v>
      </c>
      <c r="E4230"/>
      <c r="F4230"/>
      <c r="G4230"/>
      <c r="H4230"/>
      <c r="I4230" s="489"/>
      <c r="J4230" s="1095"/>
      <c r="K4230" s="1095"/>
      <c r="L4230" s="1095"/>
      <c r="M4230" s="1095"/>
    </row>
    <row r="4231" spans="1:13" x14ac:dyDescent="0.25">
      <c r="A4231">
        <v>3606536</v>
      </c>
      <c r="B4231" t="s">
        <v>13795</v>
      </c>
      <c r="C4231" t="s">
        <v>2596</v>
      </c>
      <c r="D4231" s="254">
        <v>49.19</v>
      </c>
      <c r="E4231"/>
      <c r="F4231"/>
      <c r="G4231"/>
      <c r="H4231"/>
      <c r="I4231" s="489"/>
      <c r="J4231" s="1095"/>
      <c r="K4231" s="1095"/>
      <c r="L4231" s="1095"/>
      <c r="M4231" s="1095"/>
    </row>
    <row r="4232" spans="1:13" x14ac:dyDescent="0.25">
      <c r="A4232">
        <v>3606537</v>
      </c>
      <c r="B4232" t="s">
        <v>13796</v>
      </c>
      <c r="C4232" t="s">
        <v>2596</v>
      </c>
      <c r="D4232" s="254">
        <v>49.82</v>
      </c>
      <c r="E4232"/>
      <c r="F4232"/>
      <c r="G4232"/>
      <c r="H4232"/>
      <c r="I4232" s="489"/>
      <c r="J4232" s="1095"/>
      <c r="K4232" s="1095"/>
      <c r="L4232" s="1095"/>
      <c r="M4232" s="1095"/>
    </row>
    <row r="4233" spans="1:13" x14ac:dyDescent="0.25">
      <c r="A4233">
        <v>3606538</v>
      </c>
      <c r="B4233" t="s">
        <v>13797</v>
      </c>
      <c r="C4233" t="s">
        <v>2596</v>
      </c>
      <c r="D4233" s="254">
        <v>50.33</v>
      </c>
      <c r="E4233"/>
      <c r="F4233"/>
      <c r="G4233"/>
      <c r="H4233"/>
      <c r="I4233" s="489"/>
      <c r="J4233" s="1095"/>
      <c r="K4233" s="1095"/>
      <c r="L4233" s="1095"/>
      <c r="M4233" s="1095"/>
    </row>
    <row r="4234" spans="1:13" x14ac:dyDescent="0.25">
      <c r="A4234">
        <v>3606539</v>
      </c>
      <c r="B4234" t="s">
        <v>13798</v>
      </c>
      <c r="C4234" t="s">
        <v>2596</v>
      </c>
      <c r="D4234" s="254">
        <v>50.96</v>
      </c>
      <c r="E4234"/>
      <c r="F4234"/>
      <c r="G4234"/>
      <c r="H4234"/>
      <c r="I4234" s="489"/>
      <c r="J4234" s="1095"/>
      <c r="K4234" s="1095"/>
      <c r="L4234" s="1095"/>
      <c r="M4234" s="1095"/>
    </row>
    <row r="4235" spans="1:13" x14ac:dyDescent="0.25">
      <c r="A4235">
        <v>3606540</v>
      </c>
      <c r="B4235" t="s">
        <v>13799</v>
      </c>
      <c r="C4235" t="s">
        <v>2596</v>
      </c>
      <c r="D4235" s="254">
        <v>53.86</v>
      </c>
      <c r="E4235"/>
      <c r="F4235"/>
      <c r="G4235"/>
      <c r="H4235"/>
      <c r="I4235" s="489"/>
      <c r="J4235" s="1095"/>
      <c r="K4235" s="1095"/>
      <c r="L4235" s="1095"/>
      <c r="M4235" s="1095"/>
    </row>
    <row r="4236" spans="1:13" x14ac:dyDescent="0.25">
      <c r="A4236">
        <v>3606541</v>
      </c>
      <c r="B4236" t="s">
        <v>13800</v>
      </c>
      <c r="C4236" t="s">
        <v>2596</v>
      </c>
      <c r="D4236" s="254">
        <v>55.56</v>
      </c>
      <c r="E4236"/>
      <c r="F4236"/>
      <c r="G4236"/>
      <c r="H4236"/>
      <c r="I4236" s="489"/>
      <c r="J4236" s="1095"/>
      <c r="K4236" s="1095"/>
      <c r="L4236" s="1095"/>
      <c r="M4236" s="1095"/>
    </row>
    <row r="4237" spans="1:13" x14ac:dyDescent="0.25">
      <c r="A4237">
        <v>3606542</v>
      </c>
      <c r="B4237" t="s">
        <v>13801</v>
      </c>
      <c r="C4237" t="s">
        <v>2596</v>
      </c>
      <c r="D4237" s="254">
        <v>56.32</v>
      </c>
      <c r="E4237"/>
      <c r="F4237"/>
      <c r="G4237"/>
      <c r="H4237"/>
      <c r="I4237" s="489"/>
      <c r="J4237" s="1095"/>
      <c r="K4237" s="1095"/>
      <c r="L4237" s="1095"/>
      <c r="M4237" s="1095"/>
    </row>
    <row r="4238" spans="1:13" x14ac:dyDescent="0.25">
      <c r="A4238">
        <v>3606543</v>
      </c>
      <c r="B4238" t="s">
        <v>13802</v>
      </c>
      <c r="C4238" t="s">
        <v>2596</v>
      </c>
      <c r="D4238" s="254">
        <v>47.8</v>
      </c>
      <c r="E4238"/>
      <c r="F4238"/>
      <c r="G4238"/>
      <c r="H4238"/>
      <c r="I4238" s="489"/>
      <c r="J4238" s="1095"/>
      <c r="K4238" s="1095"/>
      <c r="L4238" s="1095"/>
      <c r="M4238" s="1095"/>
    </row>
    <row r="4239" spans="1:13" x14ac:dyDescent="0.25">
      <c r="A4239">
        <v>3606544</v>
      </c>
      <c r="B4239" t="s">
        <v>13803</v>
      </c>
      <c r="C4239" t="s">
        <v>2596</v>
      </c>
      <c r="D4239" s="254">
        <v>48.18</v>
      </c>
      <c r="E4239"/>
      <c r="F4239"/>
      <c r="G4239"/>
      <c r="H4239"/>
      <c r="I4239" s="489"/>
      <c r="J4239" s="1095"/>
      <c r="K4239" s="1095"/>
      <c r="L4239" s="1095"/>
      <c r="M4239" s="1095"/>
    </row>
    <row r="4240" spans="1:13" x14ac:dyDescent="0.25">
      <c r="A4240">
        <v>3606545</v>
      </c>
      <c r="B4240" t="s">
        <v>13804</v>
      </c>
      <c r="C4240" t="s">
        <v>2596</v>
      </c>
      <c r="D4240" s="254">
        <v>48.68</v>
      </c>
      <c r="E4240"/>
      <c r="F4240"/>
      <c r="G4240"/>
      <c r="H4240"/>
      <c r="I4240" s="489"/>
      <c r="J4240" s="1095"/>
      <c r="K4240" s="1095"/>
      <c r="L4240" s="1095"/>
      <c r="M4240" s="1095"/>
    </row>
    <row r="4241" spans="1:13" x14ac:dyDescent="0.25">
      <c r="A4241">
        <v>3606546</v>
      </c>
      <c r="B4241" t="s">
        <v>13805</v>
      </c>
      <c r="C4241" t="s">
        <v>2596</v>
      </c>
      <c r="D4241" s="254">
        <v>49.19</v>
      </c>
      <c r="E4241"/>
      <c r="F4241"/>
      <c r="G4241"/>
      <c r="H4241"/>
      <c r="I4241" s="489"/>
      <c r="J4241" s="1095"/>
      <c r="K4241" s="1095"/>
      <c r="L4241" s="1095"/>
      <c r="M4241" s="1095"/>
    </row>
    <row r="4242" spans="1:13" x14ac:dyDescent="0.25">
      <c r="A4242">
        <v>3606547</v>
      </c>
      <c r="B4242" t="s">
        <v>13806</v>
      </c>
      <c r="C4242" t="s">
        <v>2596</v>
      </c>
      <c r="D4242" s="254">
        <v>49.57</v>
      </c>
      <c r="E4242"/>
      <c r="F4242"/>
      <c r="G4242"/>
      <c r="H4242"/>
      <c r="I4242" s="489"/>
      <c r="J4242" s="1095"/>
      <c r="K4242" s="1095"/>
      <c r="L4242" s="1095"/>
      <c r="M4242" s="1095"/>
    </row>
    <row r="4243" spans="1:13" x14ac:dyDescent="0.25">
      <c r="A4243">
        <v>3606548</v>
      </c>
      <c r="B4243" t="s">
        <v>13807</v>
      </c>
      <c r="C4243" t="s">
        <v>2596</v>
      </c>
      <c r="D4243" s="254">
        <v>50.45</v>
      </c>
      <c r="E4243"/>
      <c r="F4243"/>
      <c r="G4243"/>
      <c r="H4243"/>
      <c r="I4243" s="489"/>
      <c r="J4243" s="1095"/>
      <c r="K4243" s="1095"/>
      <c r="L4243" s="1095"/>
      <c r="M4243" s="1095"/>
    </row>
    <row r="4244" spans="1:13" x14ac:dyDescent="0.25">
      <c r="A4244">
        <v>3606549</v>
      </c>
      <c r="B4244" t="s">
        <v>13808</v>
      </c>
      <c r="C4244" t="s">
        <v>2596</v>
      </c>
      <c r="D4244" s="254">
        <v>53.67</v>
      </c>
      <c r="E4244"/>
      <c r="F4244"/>
      <c r="G4244"/>
      <c r="H4244"/>
      <c r="I4244" s="489"/>
      <c r="J4244" s="1095"/>
      <c r="K4244" s="1095"/>
      <c r="L4244" s="1095"/>
      <c r="M4244" s="1095"/>
    </row>
    <row r="4245" spans="1:13" x14ac:dyDescent="0.25">
      <c r="A4245">
        <v>3606550</v>
      </c>
      <c r="B4245" t="s">
        <v>13809</v>
      </c>
      <c r="C4245" t="s">
        <v>2596</v>
      </c>
      <c r="D4245" s="254">
        <v>54.42</v>
      </c>
      <c r="E4245"/>
      <c r="F4245"/>
      <c r="G4245"/>
      <c r="H4245"/>
      <c r="I4245" s="489"/>
      <c r="J4245" s="1095"/>
      <c r="K4245" s="1095"/>
      <c r="L4245" s="1095"/>
      <c r="M4245" s="1095"/>
    </row>
    <row r="4246" spans="1:13" x14ac:dyDescent="0.25">
      <c r="A4246">
        <v>3606500</v>
      </c>
      <c r="B4246" t="s">
        <v>11387</v>
      </c>
      <c r="C4246" t="s">
        <v>2596</v>
      </c>
      <c r="D4246" s="254">
        <v>51.08</v>
      </c>
      <c r="E4246"/>
      <c r="F4246"/>
      <c r="G4246"/>
      <c r="H4246"/>
      <c r="I4246" s="489"/>
      <c r="J4246" s="1095"/>
      <c r="K4246" s="1095"/>
      <c r="L4246" s="1095"/>
      <c r="M4246" s="1095"/>
    </row>
    <row r="4247" spans="1:13" x14ac:dyDescent="0.25">
      <c r="A4247">
        <v>3606501</v>
      </c>
      <c r="B4247" t="s">
        <v>11388</v>
      </c>
      <c r="C4247" t="s">
        <v>2596</v>
      </c>
      <c r="D4247" s="254">
        <v>52.03</v>
      </c>
      <c r="E4247"/>
      <c r="F4247"/>
      <c r="G4247"/>
      <c r="H4247"/>
      <c r="I4247" s="489"/>
      <c r="J4247" s="1095"/>
      <c r="K4247" s="1095"/>
      <c r="L4247" s="1095"/>
      <c r="M4247" s="1095"/>
    </row>
    <row r="4248" spans="1:13" x14ac:dyDescent="0.25">
      <c r="A4248">
        <v>3606502</v>
      </c>
      <c r="B4248" t="s">
        <v>11389</v>
      </c>
      <c r="C4248" t="s">
        <v>2596</v>
      </c>
      <c r="D4248" s="254">
        <v>52.79</v>
      </c>
      <c r="E4248"/>
      <c r="F4248"/>
      <c r="G4248"/>
      <c r="H4248"/>
      <c r="I4248" s="489"/>
      <c r="J4248" s="1095"/>
      <c r="K4248" s="1095"/>
      <c r="L4248" s="1095"/>
      <c r="M4248" s="1095"/>
    </row>
    <row r="4249" spans="1:13" x14ac:dyDescent="0.25">
      <c r="A4249">
        <v>3606503</v>
      </c>
      <c r="B4249" t="s">
        <v>11390</v>
      </c>
      <c r="C4249" t="s">
        <v>2596</v>
      </c>
      <c r="D4249" s="254">
        <v>53.73</v>
      </c>
      <c r="E4249"/>
      <c r="F4249"/>
      <c r="G4249"/>
      <c r="H4249"/>
      <c r="I4249" s="489"/>
      <c r="J4249" s="1095"/>
      <c r="K4249" s="1095"/>
      <c r="L4249" s="1095"/>
      <c r="M4249" s="1095"/>
    </row>
    <row r="4250" spans="1:13" x14ac:dyDescent="0.25">
      <c r="A4250">
        <v>3606504</v>
      </c>
      <c r="B4250" t="s">
        <v>11391</v>
      </c>
      <c r="C4250" t="s">
        <v>2596</v>
      </c>
      <c r="D4250" s="254">
        <v>54.68</v>
      </c>
      <c r="E4250"/>
      <c r="F4250"/>
      <c r="G4250"/>
      <c r="H4250"/>
      <c r="I4250" s="489"/>
      <c r="J4250" s="1095"/>
      <c r="K4250" s="1095"/>
      <c r="L4250" s="1095"/>
      <c r="M4250" s="1095"/>
    </row>
    <row r="4251" spans="1:13" x14ac:dyDescent="0.25">
      <c r="A4251">
        <v>3606505</v>
      </c>
      <c r="B4251" t="s">
        <v>11392</v>
      </c>
      <c r="C4251" t="s">
        <v>2596</v>
      </c>
      <c r="D4251" s="254">
        <v>56.2</v>
      </c>
      <c r="E4251"/>
      <c r="F4251"/>
      <c r="G4251"/>
      <c r="H4251"/>
      <c r="I4251" s="489"/>
      <c r="J4251" s="1095"/>
      <c r="K4251" s="1095"/>
      <c r="L4251" s="1095"/>
      <c r="M4251" s="1095"/>
    </row>
    <row r="4252" spans="1:13" x14ac:dyDescent="0.25">
      <c r="A4252">
        <v>3606506</v>
      </c>
      <c r="B4252" t="s">
        <v>11393</v>
      </c>
      <c r="C4252" t="s">
        <v>2596</v>
      </c>
      <c r="D4252" s="254">
        <v>60.55</v>
      </c>
      <c r="E4252"/>
      <c r="F4252"/>
      <c r="G4252"/>
      <c r="H4252"/>
      <c r="I4252" s="489"/>
      <c r="J4252" s="1095"/>
      <c r="K4252" s="1095"/>
      <c r="L4252" s="1095"/>
      <c r="M4252" s="1095"/>
    </row>
    <row r="4253" spans="1:13" x14ac:dyDescent="0.25">
      <c r="A4253">
        <v>3606507</v>
      </c>
      <c r="B4253" t="s">
        <v>11394</v>
      </c>
      <c r="C4253" t="s">
        <v>2596</v>
      </c>
      <c r="D4253" s="254">
        <v>62.07</v>
      </c>
      <c r="E4253"/>
      <c r="F4253"/>
      <c r="G4253"/>
      <c r="H4253"/>
      <c r="I4253" s="489"/>
      <c r="J4253" s="1095"/>
      <c r="K4253" s="1095"/>
      <c r="L4253" s="1095"/>
      <c r="M4253" s="1095"/>
    </row>
    <row r="4254" spans="1:13" x14ac:dyDescent="0.25">
      <c r="A4254">
        <v>3606509</v>
      </c>
      <c r="B4254" t="s">
        <v>11395</v>
      </c>
      <c r="C4254" t="s">
        <v>2596</v>
      </c>
      <c r="D4254" s="254">
        <v>46.29</v>
      </c>
      <c r="E4254"/>
      <c r="F4254"/>
      <c r="G4254"/>
      <c r="H4254"/>
      <c r="I4254" s="489"/>
      <c r="J4254" s="1095"/>
      <c r="K4254" s="1095"/>
      <c r="L4254" s="1095"/>
      <c r="M4254" s="1095"/>
    </row>
    <row r="4255" spans="1:13" x14ac:dyDescent="0.25">
      <c r="A4255">
        <v>3606510</v>
      </c>
      <c r="B4255" t="s">
        <v>11396</v>
      </c>
      <c r="C4255" t="s">
        <v>2596</v>
      </c>
      <c r="D4255" s="254">
        <v>46.92</v>
      </c>
      <c r="E4255"/>
      <c r="F4255"/>
      <c r="G4255"/>
      <c r="H4255"/>
      <c r="I4255" s="489"/>
      <c r="J4255" s="1095"/>
      <c r="K4255" s="1095"/>
      <c r="L4255" s="1095"/>
      <c r="M4255" s="1095"/>
    </row>
    <row r="4256" spans="1:13" x14ac:dyDescent="0.25">
      <c r="A4256">
        <v>3606511</v>
      </c>
      <c r="B4256" t="s">
        <v>11397</v>
      </c>
      <c r="C4256" t="s">
        <v>2596</v>
      </c>
      <c r="D4256" s="254">
        <v>47.42</v>
      </c>
      <c r="E4256"/>
      <c r="F4256"/>
      <c r="G4256"/>
      <c r="H4256"/>
      <c r="I4256" s="489"/>
      <c r="J4256" s="1095"/>
      <c r="K4256" s="1095"/>
      <c r="L4256" s="1095"/>
      <c r="M4256" s="1095"/>
    </row>
    <row r="4257" spans="1:13" x14ac:dyDescent="0.25">
      <c r="A4257">
        <v>3606512</v>
      </c>
      <c r="B4257" t="s">
        <v>11398</v>
      </c>
      <c r="C4257" t="s">
        <v>2596</v>
      </c>
      <c r="D4257" s="254">
        <v>47.93</v>
      </c>
      <c r="E4257"/>
      <c r="F4257"/>
      <c r="G4257"/>
      <c r="H4257"/>
      <c r="I4257" s="489"/>
      <c r="J4257" s="1095"/>
      <c r="K4257" s="1095"/>
      <c r="L4257" s="1095"/>
      <c r="M4257" s="1095"/>
    </row>
    <row r="4258" spans="1:13" x14ac:dyDescent="0.25">
      <c r="A4258">
        <v>3606513</v>
      </c>
      <c r="B4258" t="s">
        <v>11399</v>
      </c>
      <c r="C4258" t="s">
        <v>2596</v>
      </c>
      <c r="D4258" s="254">
        <v>50.51</v>
      </c>
      <c r="E4258"/>
      <c r="F4258"/>
      <c r="G4258"/>
      <c r="H4258"/>
      <c r="I4258" s="489"/>
      <c r="J4258" s="1095"/>
      <c r="K4258" s="1095"/>
      <c r="L4258" s="1095"/>
      <c r="M4258" s="1095"/>
    </row>
    <row r="4259" spans="1:13" x14ac:dyDescent="0.25">
      <c r="A4259">
        <v>3606514</v>
      </c>
      <c r="B4259" t="s">
        <v>11400</v>
      </c>
      <c r="C4259" t="s">
        <v>2596</v>
      </c>
      <c r="D4259" s="254">
        <v>51.65</v>
      </c>
      <c r="E4259"/>
      <c r="F4259"/>
      <c r="G4259"/>
      <c r="H4259"/>
      <c r="I4259" s="489"/>
      <c r="J4259" s="1095"/>
      <c r="K4259" s="1095"/>
      <c r="L4259" s="1095"/>
      <c r="M4259" s="1095"/>
    </row>
    <row r="4260" spans="1:13" x14ac:dyDescent="0.25">
      <c r="A4260">
        <v>3606515</v>
      </c>
      <c r="B4260" t="s">
        <v>11401</v>
      </c>
      <c r="C4260" t="s">
        <v>2596</v>
      </c>
      <c r="D4260" s="254">
        <v>53.16</v>
      </c>
      <c r="E4260"/>
      <c r="F4260"/>
      <c r="G4260"/>
      <c r="H4260"/>
      <c r="I4260" s="489"/>
      <c r="J4260" s="1095"/>
      <c r="K4260" s="1095"/>
      <c r="L4260" s="1095"/>
      <c r="M4260" s="1095"/>
    </row>
    <row r="4261" spans="1:13" x14ac:dyDescent="0.25">
      <c r="A4261">
        <v>3606516</v>
      </c>
      <c r="B4261" t="s">
        <v>11402</v>
      </c>
      <c r="C4261" t="s">
        <v>2596</v>
      </c>
      <c r="D4261" s="254">
        <v>53.92</v>
      </c>
      <c r="E4261"/>
      <c r="F4261"/>
      <c r="G4261"/>
      <c r="H4261"/>
      <c r="I4261" s="489"/>
      <c r="J4261" s="1095"/>
      <c r="K4261" s="1095"/>
      <c r="L4261" s="1095"/>
      <c r="M4261" s="1095"/>
    </row>
    <row r="4262" spans="1:13" x14ac:dyDescent="0.25">
      <c r="A4262">
        <v>3606518</v>
      </c>
      <c r="B4262" t="s">
        <v>11403</v>
      </c>
      <c r="C4262" t="s">
        <v>2596</v>
      </c>
      <c r="D4262" s="254">
        <v>45.4</v>
      </c>
      <c r="E4262"/>
      <c r="F4262"/>
      <c r="G4262"/>
      <c r="H4262"/>
      <c r="I4262" s="489"/>
      <c r="J4262" s="1095"/>
      <c r="K4262" s="1095"/>
      <c r="L4262" s="1095"/>
      <c r="M4262" s="1095"/>
    </row>
    <row r="4263" spans="1:13" x14ac:dyDescent="0.25">
      <c r="A4263">
        <v>3606519</v>
      </c>
      <c r="B4263" t="s">
        <v>11404</v>
      </c>
      <c r="C4263" t="s">
        <v>2596</v>
      </c>
      <c r="D4263" s="254">
        <v>45.91</v>
      </c>
      <c r="E4263"/>
      <c r="F4263"/>
      <c r="G4263"/>
      <c r="H4263"/>
      <c r="I4263" s="489"/>
      <c r="J4263" s="1095"/>
      <c r="K4263" s="1095"/>
      <c r="L4263" s="1095"/>
      <c r="M4263" s="1095"/>
    </row>
    <row r="4264" spans="1:13" x14ac:dyDescent="0.25">
      <c r="A4264">
        <v>3606520</v>
      </c>
      <c r="B4264" t="s">
        <v>11405</v>
      </c>
      <c r="C4264" t="s">
        <v>2596</v>
      </c>
      <c r="D4264" s="254">
        <v>46.29</v>
      </c>
      <c r="E4264"/>
      <c r="F4264"/>
      <c r="G4264"/>
      <c r="H4264"/>
      <c r="I4264" s="489"/>
      <c r="J4264" s="1095"/>
      <c r="K4264" s="1095"/>
      <c r="L4264" s="1095"/>
      <c r="M4264" s="1095"/>
    </row>
    <row r="4265" spans="1:13" x14ac:dyDescent="0.25">
      <c r="A4265">
        <v>3606521</v>
      </c>
      <c r="B4265" t="s">
        <v>11406</v>
      </c>
      <c r="C4265" t="s">
        <v>2596</v>
      </c>
      <c r="D4265" s="254">
        <v>46.79</v>
      </c>
      <c r="E4265"/>
      <c r="F4265"/>
      <c r="G4265"/>
      <c r="H4265"/>
      <c r="I4265" s="489"/>
      <c r="J4265" s="1095"/>
      <c r="K4265" s="1095"/>
      <c r="L4265" s="1095"/>
      <c r="M4265" s="1095"/>
    </row>
    <row r="4266" spans="1:13" x14ac:dyDescent="0.25">
      <c r="A4266">
        <v>3606522</v>
      </c>
      <c r="B4266" t="s">
        <v>11407</v>
      </c>
      <c r="C4266" t="s">
        <v>2596</v>
      </c>
      <c r="D4266" s="254">
        <v>47.17</v>
      </c>
      <c r="E4266"/>
      <c r="F4266"/>
      <c r="G4266"/>
      <c r="H4266"/>
      <c r="I4266" s="489"/>
      <c r="J4266" s="1095"/>
      <c r="K4266" s="1095"/>
      <c r="L4266" s="1095"/>
      <c r="M4266" s="1095"/>
    </row>
    <row r="4267" spans="1:13" x14ac:dyDescent="0.25">
      <c r="A4267">
        <v>3606523</v>
      </c>
      <c r="B4267" t="s">
        <v>11408</v>
      </c>
      <c r="C4267" t="s">
        <v>2596</v>
      </c>
      <c r="D4267" s="254">
        <v>48.05</v>
      </c>
      <c r="E4267"/>
      <c r="F4267"/>
      <c r="G4267"/>
      <c r="H4267"/>
      <c r="I4267" s="489"/>
      <c r="J4267" s="1095"/>
      <c r="K4267" s="1095"/>
      <c r="L4267" s="1095"/>
      <c r="M4267" s="1095"/>
    </row>
    <row r="4268" spans="1:13" x14ac:dyDescent="0.25">
      <c r="A4268">
        <v>3606524</v>
      </c>
      <c r="B4268" t="s">
        <v>11409</v>
      </c>
      <c r="C4268" t="s">
        <v>2596</v>
      </c>
      <c r="D4268" s="254">
        <v>51.46</v>
      </c>
      <c r="E4268"/>
      <c r="F4268"/>
      <c r="G4268"/>
      <c r="H4268"/>
      <c r="I4268" s="489"/>
      <c r="J4268" s="1095"/>
      <c r="K4268" s="1095"/>
      <c r="L4268" s="1095"/>
      <c r="M4268" s="1095"/>
    </row>
    <row r="4269" spans="1:13" x14ac:dyDescent="0.25">
      <c r="A4269">
        <v>3606525</v>
      </c>
      <c r="B4269" t="s">
        <v>11410</v>
      </c>
      <c r="C4269" t="s">
        <v>2596</v>
      </c>
      <c r="D4269" s="254">
        <v>52.03</v>
      </c>
      <c r="E4269"/>
      <c r="F4269"/>
      <c r="G4269"/>
      <c r="H4269"/>
      <c r="I4269" s="489"/>
      <c r="J4269" s="1095"/>
      <c r="K4269" s="1095"/>
      <c r="L4269" s="1095"/>
      <c r="M4269" s="1095"/>
    </row>
    <row r="4270" spans="1:13" x14ac:dyDescent="0.25">
      <c r="A4270">
        <v>3606561</v>
      </c>
      <c r="B4270" t="s">
        <v>11411</v>
      </c>
      <c r="C4270" t="s">
        <v>2640</v>
      </c>
      <c r="D4270" s="254">
        <v>2167.35</v>
      </c>
      <c r="E4270"/>
      <c r="F4270"/>
      <c r="G4270"/>
      <c r="H4270"/>
      <c r="I4270" s="489"/>
      <c r="J4270" s="1095"/>
      <c r="K4270" s="1095"/>
      <c r="L4270" s="1095"/>
      <c r="M4270" s="1095"/>
    </row>
    <row r="4271" spans="1:13" x14ac:dyDescent="0.25">
      <c r="A4271">
        <v>3606556</v>
      </c>
      <c r="B4271" t="s">
        <v>11412</v>
      </c>
      <c r="C4271" t="s">
        <v>2640</v>
      </c>
      <c r="D4271" s="254">
        <v>1567.51</v>
      </c>
      <c r="E4271"/>
      <c r="F4271"/>
      <c r="G4271"/>
      <c r="H4271"/>
      <c r="I4271" s="489"/>
      <c r="J4271" s="1095"/>
      <c r="K4271" s="1095"/>
      <c r="L4271" s="1095"/>
      <c r="M4271" s="1095"/>
    </row>
    <row r="4272" spans="1:13" x14ac:dyDescent="0.25">
      <c r="A4272">
        <v>3606562</v>
      </c>
      <c r="B4272" t="s">
        <v>11413</v>
      </c>
      <c r="C4272" t="s">
        <v>2640</v>
      </c>
      <c r="D4272" s="254">
        <v>2368.9</v>
      </c>
      <c r="E4272"/>
      <c r="F4272"/>
      <c r="G4272"/>
      <c r="H4272"/>
      <c r="I4272" s="489"/>
      <c r="J4272" s="1095"/>
      <c r="K4272" s="1095"/>
      <c r="L4272" s="1095"/>
      <c r="M4272" s="1095"/>
    </row>
    <row r="4273" spans="1:13" x14ac:dyDescent="0.25">
      <c r="A4273">
        <v>3606557</v>
      </c>
      <c r="B4273" t="s">
        <v>11414</v>
      </c>
      <c r="C4273" t="s">
        <v>2640</v>
      </c>
      <c r="D4273" s="254">
        <v>1709.08</v>
      </c>
      <c r="E4273"/>
      <c r="F4273"/>
      <c r="G4273"/>
      <c r="H4273"/>
      <c r="I4273" s="489"/>
      <c r="J4273" s="1095"/>
      <c r="K4273" s="1095"/>
      <c r="L4273" s="1095"/>
      <c r="M4273" s="1095"/>
    </row>
    <row r="4274" spans="1:13" x14ac:dyDescent="0.25">
      <c r="A4274">
        <v>3606563</v>
      </c>
      <c r="B4274" t="s">
        <v>11415</v>
      </c>
      <c r="C4274" t="s">
        <v>2640</v>
      </c>
      <c r="D4274" s="254">
        <v>2580.1999999999998</v>
      </c>
      <c r="E4274"/>
      <c r="F4274"/>
      <c r="G4274"/>
      <c r="H4274"/>
      <c r="I4274" s="489"/>
      <c r="J4274" s="1095"/>
      <c r="K4274" s="1095"/>
      <c r="L4274" s="1095"/>
      <c r="M4274" s="1095"/>
    </row>
    <row r="4275" spans="1:13" x14ac:dyDescent="0.25">
      <c r="A4275">
        <v>3606558</v>
      </c>
      <c r="B4275" t="s">
        <v>11416</v>
      </c>
      <c r="C4275" t="s">
        <v>2640</v>
      </c>
      <c r="D4275" s="254">
        <v>1860.4</v>
      </c>
      <c r="E4275"/>
      <c r="F4275"/>
      <c r="G4275"/>
      <c r="H4275"/>
      <c r="I4275" s="489"/>
      <c r="J4275" s="1095"/>
      <c r="K4275" s="1095"/>
      <c r="L4275" s="1095"/>
      <c r="M4275" s="1095"/>
    </row>
    <row r="4276" spans="1:13" x14ac:dyDescent="0.25">
      <c r="A4276">
        <v>3606559</v>
      </c>
      <c r="B4276" t="s">
        <v>11417</v>
      </c>
      <c r="C4276" t="s">
        <v>2640</v>
      </c>
      <c r="D4276" s="254">
        <v>1734.38</v>
      </c>
      <c r="E4276"/>
      <c r="F4276"/>
      <c r="G4276"/>
      <c r="H4276"/>
      <c r="I4276" s="489"/>
      <c r="J4276" s="1095"/>
      <c r="K4276" s="1095"/>
      <c r="L4276" s="1095"/>
      <c r="M4276" s="1095"/>
    </row>
    <row r="4277" spans="1:13" x14ac:dyDescent="0.25">
      <c r="A4277">
        <v>3606554</v>
      </c>
      <c r="B4277" t="s">
        <v>11418</v>
      </c>
      <c r="C4277" t="s">
        <v>2640</v>
      </c>
      <c r="D4277" s="254">
        <v>1254.52</v>
      </c>
      <c r="E4277"/>
      <c r="F4277"/>
      <c r="G4277"/>
      <c r="H4277"/>
      <c r="I4277" s="489"/>
      <c r="J4277" s="1095"/>
      <c r="K4277" s="1095"/>
      <c r="L4277" s="1095"/>
      <c r="M4277" s="1095"/>
    </row>
    <row r="4278" spans="1:13" x14ac:dyDescent="0.25">
      <c r="A4278">
        <v>3606560</v>
      </c>
      <c r="B4278" t="s">
        <v>11419</v>
      </c>
      <c r="C4278" t="s">
        <v>2640</v>
      </c>
      <c r="D4278" s="254">
        <v>1936.87</v>
      </c>
      <c r="E4278"/>
      <c r="F4278"/>
      <c r="G4278"/>
      <c r="H4278"/>
      <c r="I4278" s="489"/>
      <c r="J4278" s="1095"/>
      <c r="K4278" s="1095"/>
      <c r="L4278" s="1095"/>
      <c r="M4278" s="1095"/>
    </row>
    <row r="4279" spans="1:13" x14ac:dyDescent="0.25">
      <c r="A4279">
        <v>3606555</v>
      </c>
      <c r="B4279" t="s">
        <v>11420</v>
      </c>
      <c r="C4279" t="s">
        <v>2640</v>
      </c>
      <c r="D4279" s="254">
        <v>1397.02</v>
      </c>
      <c r="E4279"/>
      <c r="F4279"/>
      <c r="G4279"/>
      <c r="H4279"/>
      <c r="I4279" s="489"/>
      <c r="J4279" s="1095"/>
      <c r="K4279" s="1095"/>
      <c r="L4279" s="1095"/>
      <c r="M4279" s="1095"/>
    </row>
    <row r="4280" spans="1:13" x14ac:dyDescent="0.25">
      <c r="A4280">
        <v>3606571</v>
      </c>
      <c r="B4280" t="s">
        <v>11421</v>
      </c>
      <c r="C4280" t="s">
        <v>2640</v>
      </c>
      <c r="D4280" s="254">
        <v>2131.19</v>
      </c>
      <c r="E4280"/>
      <c r="F4280"/>
      <c r="G4280"/>
      <c r="H4280"/>
      <c r="I4280" s="489"/>
      <c r="J4280" s="1095"/>
      <c r="K4280" s="1095"/>
      <c r="L4280" s="1095"/>
      <c r="M4280" s="1095"/>
    </row>
    <row r="4281" spans="1:13" x14ac:dyDescent="0.25">
      <c r="A4281">
        <v>3606566</v>
      </c>
      <c r="B4281" t="s">
        <v>11422</v>
      </c>
      <c r="C4281" t="s">
        <v>2640</v>
      </c>
      <c r="D4281" s="254">
        <v>1531.36</v>
      </c>
      <c r="E4281"/>
      <c r="F4281"/>
      <c r="G4281"/>
      <c r="H4281"/>
      <c r="I4281" s="489"/>
      <c r="J4281" s="1095"/>
      <c r="K4281" s="1095"/>
      <c r="L4281" s="1095"/>
      <c r="M4281" s="1095"/>
    </row>
    <row r="4282" spans="1:13" x14ac:dyDescent="0.25">
      <c r="A4282">
        <v>3606572</v>
      </c>
      <c r="B4282" t="s">
        <v>11423</v>
      </c>
      <c r="C4282" t="s">
        <v>2640</v>
      </c>
      <c r="D4282" s="254">
        <v>2335.91</v>
      </c>
      <c r="E4282"/>
      <c r="F4282"/>
      <c r="G4282"/>
      <c r="H4282"/>
      <c r="I4282" s="489"/>
      <c r="J4282" s="1095"/>
      <c r="K4282" s="1095"/>
      <c r="L4282" s="1095"/>
      <c r="M4282" s="1095"/>
    </row>
    <row r="4283" spans="1:13" x14ac:dyDescent="0.25">
      <c r="A4283">
        <v>3606567</v>
      </c>
      <c r="B4283" t="s">
        <v>11424</v>
      </c>
      <c r="C4283" t="s">
        <v>2640</v>
      </c>
      <c r="D4283" s="254">
        <v>1676.1</v>
      </c>
      <c r="E4283"/>
      <c r="F4283"/>
      <c r="G4283"/>
      <c r="H4283"/>
      <c r="I4283" s="489"/>
      <c r="J4283" s="1095"/>
      <c r="K4283" s="1095"/>
      <c r="L4283" s="1095"/>
      <c r="M4283" s="1095"/>
    </row>
    <row r="4284" spans="1:13" x14ac:dyDescent="0.25">
      <c r="A4284">
        <v>3606573</v>
      </c>
      <c r="B4284" t="s">
        <v>11425</v>
      </c>
      <c r="C4284" t="s">
        <v>2640</v>
      </c>
      <c r="D4284" s="254">
        <v>2540.16</v>
      </c>
      <c r="E4284"/>
      <c r="F4284"/>
      <c r="G4284"/>
      <c r="H4284"/>
      <c r="I4284" s="489"/>
      <c r="J4284" s="1095"/>
      <c r="K4284" s="1095"/>
      <c r="L4284" s="1095"/>
      <c r="M4284" s="1095"/>
    </row>
    <row r="4285" spans="1:13" x14ac:dyDescent="0.25">
      <c r="A4285">
        <v>3606568</v>
      </c>
      <c r="B4285" t="s">
        <v>11426</v>
      </c>
      <c r="C4285" t="s">
        <v>2640</v>
      </c>
      <c r="D4285" s="254">
        <v>1820.36</v>
      </c>
      <c r="E4285"/>
      <c r="F4285"/>
      <c r="G4285"/>
      <c r="H4285"/>
      <c r="I4285" s="489"/>
      <c r="J4285" s="1095"/>
      <c r="K4285" s="1095"/>
      <c r="L4285" s="1095"/>
      <c r="M4285" s="1095"/>
    </row>
    <row r="4286" spans="1:13" x14ac:dyDescent="0.25">
      <c r="A4286">
        <v>3606569</v>
      </c>
      <c r="B4286" t="s">
        <v>11427</v>
      </c>
      <c r="C4286" t="s">
        <v>2640</v>
      </c>
      <c r="D4286" s="254">
        <v>1720.03</v>
      </c>
      <c r="E4286"/>
      <c r="F4286"/>
      <c r="G4286"/>
      <c r="H4286"/>
      <c r="I4286" s="489"/>
      <c r="J4286" s="1095"/>
      <c r="K4286" s="1095"/>
      <c r="L4286" s="1095"/>
      <c r="M4286" s="1095"/>
    </row>
    <row r="4287" spans="1:13" x14ac:dyDescent="0.25">
      <c r="A4287">
        <v>3606564</v>
      </c>
      <c r="B4287" t="s">
        <v>11428</v>
      </c>
      <c r="C4287" t="s">
        <v>2640</v>
      </c>
      <c r="D4287" s="254">
        <v>1240.1600000000001</v>
      </c>
      <c r="E4287"/>
      <c r="F4287"/>
      <c r="G4287"/>
      <c r="H4287"/>
      <c r="I4287" s="489"/>
      <c r="J4287" s="1095"/>
      <c r="K4287" s="1095"/>
      <c r="L4287" s="1095"/>
      <c r="M4287" s="1095"/>
    </row>
    <row r="4288" spans="1:13" x14ac:dyDescent="0.25">
      <c r="A4288">
        <v>3606570</v>
      </c>
      <c r="B4288" t="s">
        <v>11429</v>
      </c>
      <c r="C4288" t="s">
        <v>2640</v>
      </c>
      <c r="D4288" s="254">
        <v>1925.92</v>
      </c>
      <c r="E4288"/>
      <c r="F4288"/>
      <c r="G4288"/>
      <c r="H4288"/>
      <c r="I4288" s="489"/>
      <c r="J4288" s="1095"/>
      <c r="K4288" s="1095"/>
      <c r="L4288" s="1095"/>
      <c r="M4288" s="1095"/>
    </row>
    <row r="4289" spans="1:13" x14ac:dyDescent="0.25">
      <c r="A4289">
        <v>3606565</v>
      </c>
      <c r="B4289" t="s">
        <v>11430</v>
      </c>
      <c r="C4289" t="s">
        <v>2640</v>
      </c>
      <c r="D4289" s="254">
        <v>1386.07</v>
      </c>
      <c r="E4289"/>
      <c r="F4289"/>
      <c r="G4289"/>
      <c r="H4289"/>
      <c r="I4289" s="489"/>
      <c r="J4289" s="1095"/>
      <c r="K4289" s="1095"/>
      <c r="L4289" s="1095"/>
      <c r="M4289" s="1095"/>
    </row>
    <row r="4290" spans="1:13" x14ac:dyDescent="0.25">
      <c r="A4290">
        <v>3606578</v>
      </c>
      <c r="B4290" t="s">
        <v>11431</v>
      </c>
      <c r="C4290" t="s">
        <v>2640</v>
      </c>
      <c r="D4290" s="254">
        <v>107.05</v>
      </c>
      <c r="E4290"/>
      <c r="F4290"/>
      <c r="G4290"/>
      <c r="H4290"/>
      <c r="I4290" s="489"/>
      <c r="J4290" s="1095"/>
      <c r="K4290" s="1095"/>
      <c r="L4290" s="1095"/>
      <c r="M4290" s="1095"/>
    </row>
    <row r="4291" spans="1:13" x14ac:dyDescent="0.25">
      <c r="A4291">
        <v>3606577</v>
      </c>
      <c r="B4291" t="s">
        <v>11432</v>
      </c>
      <c r="C4291" t="s">
        <v>2596</v>
      </c>
      <c r="D4291" s="254">
        <v>11.95</v>
      </c>
      <c r="E4291"/>
      <c r="F4291"/>
      <c r="G4291"/>
      <c r="H4291"/>
      <c r="I4291" s="489"/>
      <c r="J4291" s="1095"/>
      <c r="K4291" s="1095"/>
      <c r="L4291" s="1095"/>
      <c r="M4291" s="1095"/>
    </row>
    <row r="4292" spans="1:13" x14ac:dyDescent="0.25">
      <c r="A4292">
        <v>3606576</v>
      </c>
      <c r="B4292" t="s">
        <v>13810</v>
      </c>
      <c r="C4292" t="s">
        <v>2596</v>
      </c>
      <c r="D4292" s="254">
        <v>5.0199999999999996</v>
      </c>
      <c r="E4292"/>
      <c r="F4292"/>
      <c r="G4292"/>
      <c r="H4292"/>
      <c r="I4292" s="489"/>
      <c r="J4292" s="1095"/>
      <c r="K4292" s="1095"/>
      <c r="L4292" s="1095"/>
      <c r="M4292" s="1095"/>
    </row>
    <row r="4293" spans="1:13" x14ac:dyDescent="0.25">
      <c r="A4293">
        <v>3606575</v>
      </c>
      <c r="B4293" t="s">
        <v>13811</v>
      </c>
      <c r="C4293" t="s">
        <v>2596</v>
      </c>
      <c r="D4293" s="254">
        <v>1.66</v>
      </c>
      <c r="E4293"/>
      <c r="F4293"/>
      <c r="G4293"/>
      <c r="H4293"/>
      <c r="I4293" s="489"/>
      <c r="J4293" s="1095"/>
      <c r="K4293" s="1095"/>
      <c r="L4293" s="1095"/>
      <c r="M4293" s="1095"/>
    </row>
    <row r="4294" spans="1:13" x14ac:dyDescent="0.25">
      <c r="A4294">
        <v>3606574</v>
      </c>
      <c r="B4294" t="s">
        <v>11433</v>
      </c>
      <c r="C4294" t="s">
        <v>2596</v>
      </c>
      <c r="D4294" s="254">
        <v>0.83</v>
      </c>
      <c r="E4294"/>
      <c r="F4294"/>
      <c r="G4294"/>
      <c r="H4294"/>
      <c r="I4294" s="489"/>
      <c r="J4294" s="1095"/>
      <c r="K4294" s="1095"/>
      <c r="L4294" s="1095"/>
      <c r="M4294" s="1095"/>
    </row>
    <row r="4295" spans="1:13" x14ac:dyDescent="0.25">
      <c r="A4295">
        <v>3713603</v>
      </c>
      <c r="B4295" t="s">
        <v>11434</v>
      </c>
      <c r="C4295" t="s">
        <v>2598</v>
      </c>
      <c r="D4295" s="254">
        <v>1023.12</v>
      </c>
      <c r="E4295"/>
      <c r="F4295"/>
      <c r="G4295"/>
      <c r="H4295"/>
      <c r="I4295" s="489"/>
      <c r="J4295" s="1095"/>
      <c r="K4295" s="1095"/>
      <c r="L4295" s="1095"/>
      <c r="M4295" s="1095"/>
    </row>
    <row r="4296" spans="1:13" x14ac:dyDescent="0.25">
      <c r="A4296">
        <v>3713601</v>
      </c>
      <c r="B4296" t="s">
        <v>11435</v>
      </c>
      <c r="C4296" t="s">
        <v>2598</v>
      </c>
      <c r="D4296" s="254">
        <v>826.04</v>
      </c>
      <c r="E4296"/>
      <c r="F4296"/>
      <c r="G4296"/>
      <c r="H4296"/>
      <c r="I4296" s="489"/>
      <c r="J4296" s="1095"/>
      <c r="K4296" s="1095"/>
      <c r="L4296" s="1095"/>
      <c r="M4296" s="1095"/>
    </row>
    <row r="4297" spans="1:13" x14ac:dyDescent="0.25">
      <c r="A4297">
        <v>3713607</v>
      </c>
      <c r="B4297" t="s">
        <v>11436</v>
      </c>
      <c r="C4297" t="s">
        <v>2598</v>
      </c>
      <c r="D4297" s="254">
        <v>773.85</v>
      </c>
      <c r="E4297"/>
      <c r="F4297"/>
      <c r="G4297"/>
      <c r="H4297"/>
      <c r="I4297" s="489"/>
      <c r="J4297" s="1095"/>
      <c r="K4297" s="1095"/>
      <c r="L4297" s="1095"/>
      <c r="M4297" s="1095"/>
    </row>
    <row r="4298" spans="1:13" x14ac:dyDescent="0.25">
      <c r="A4298">
        <v>3713605</v>
      </c>
      <c r="B4298" t="s">
        <v>11437</v>
      </c>
      <c r="C4298" t="s">
        <v>2598</v>
      </c>
      <c r="D4298" s="254">
        <v>552.78</v>
      </c>
      <c r="E4298"/>
      <c r="F4298"/>
      <c r="G4298"/>
      <c r="H4298"/>
      <c r="I4298" s="489"/>
      <c r="J4298" s="1095"/>
      <c r="K4298" s="1095"/>
      <c r="L4298" s="1095"/>
      <c r="M4298" s="1095"/>
    </row>
    <row r="4299" spans="1:13" x14ac:dyDescent="0.25">
      <c r="A4299">
        <v>3719530</v>
      </c>
      <c r="B4299" t="s">
        <v>11438</v>
      </c>
      <c r="C4299" t="s">
        <v>2598</v>
      </c>
      <c r="D4299" s="254">
        <v>354.05</v>
      </c>
      <c r="E4299"/>
      <c r="F4299"/>
      <c r="G4299"/>
      <c r="H4299"/>
      <c r="I4299" s="489"/>
      <c r="J4299" s="1095"/>
      <c r="K4299" s="1095"/>
      <c r="L4299" s="1095"/>
      <c r="M4299" s="1095"/>
    </row>
    <row r="4300" spans="1:13" x14ac:dyDescent="0.25">
      <c r="A4300">
        <v>3713828</v>
      </c>
      <c r="B4300" t="s">
        <v>11439</v>
      </c>
      <c r="C4300" t="s">
        <v>2598</v>
      </c>
      <c r="D4300" s="254">
        <v>263.82</v>
      </c>
      <c r="E4300"/>
      <c r="F4300"/>
      <c r="G4300"/>
      <c r="H4300"/>
      <c r="I4300" s="489"/>
      <c r="J4300" s="1095"/>
      <c r="K4300" s="1095"/>
      <c r="L4300" s="1095"/>
      <c r="M4300" s="1095"/>
    </row>
    <row r="4301" spans="1:13" x14ac:dyDescent="0.25">
      <c r="A4301">
        <v>3713875</v>
      </c>
      <c r="B4301" t="s">
        <v>11440</v>
      </c>
      <c r="C4301" t="s">
        <v>2598</v>
      </c>
      <c r="D4301" s="254">
        <v>75.84</v>
      </c>
      <c r="E4301"/>
      <c r="F4301"/>
      <c r="G4301"/>
      <c r="H4301"/>
      <c r="I4301" s="489"/>
      <c r="J4301" s="1095"/>
      <c r="K4301" s="1095"/>
      <c r="L4301" s="1095"/>
      <c r="M4301" s="1095"/>
    </row>
    <row r="4302" spans="1:13" x14ac:dyDescent="0.25">
      <c r="A4302">
        <v>3713619</v>
      </c>
      <c r="B4302" t="s">
        <v>11441</v>
      </c>
      <c r="C4302" t="s">
        <v>2598</v>
      </c>
      <c r="D4302" s="254">
        <v>76.31</v>
      </c>
      <c r="E4302"/>
      <c r="F4302"/>
      <c r="G4302"/>
      <c r="H4302"/>
      <c r="I4302" s="489"/>
      <c r="J4302" s="1095"/>
      <c r="K4302" s="1095"/>
      <c r="L4302" s="1095"/>
      <c r="M4302" s="1095"/>
    </row>
    <row r="4303" spans="1:13" x14ac:dyDescent="0.25">
      <c r="A4303">
        <v>3713876</v>
      </c>
      <c r="B4303" t="s">
        <v>11442</v>
      </c>
      <c r="C4303" t="s">
        <v>2598</v>
      </c>
      <c r="D4303" s="254">
        <v>93.85</v>
      </c>
      <c r="E4303"/>
      <c r="F4303"/>
      <c r="G4303"/>
      <c r="H4303"/>
      <c r="I4303" s="489"/>
      <c r="J4303" s="1095"/>
      <c r="K4303" s="1095"/>
      <c r="L4303" s="1095"/>
      <c r="M4303" s="1095"/>
    </row>
    <row r="4304" spans="1:13" x14ac:dyDescent="0.25">
      <c r="A4304">
        <v>3713827</v>
      </c>
      <c r="B4304" t="s">
        <v>11443</v>
      </c>
      <c r="C4304" t="s">
        <v>2598</v>
      </c>
      <c r="D4304" s="254">
        <v>92.43</v>
      </c>
      <c r="E4304"/>
      <c r="F4304"/>
      <c r="G4304"/>
      <c r="H4304"/>
      <c r="I4304" s="489"/>
      <c r="J4304" s="1095"/>
      <c r="K4304" s="1095"/>
      <c r="L4304" s="1095"/>
      <c r="M4304" s="1095"/>
    </row>
    <row r="4305" spans="1:13" x14ac:dyDescent="0.25">
      <c r="A4305">
        <v>3713904</v>
      </c>
      <c r="B4305" t="s">
        <v>11444</v>
      </c>
      <c r="C4305" t="s">
        <v>2598</v>
      </c>
      <c r="D4305" s="254">
        <v>305.82</v>
      </c>
      <c r="E4305"/>
      <c r="F4305"/>
      <c r="G4305"/>
      <c r="H4305"/>
      <c r="I4305" s="489"/>
      <c r="J4305" s="1095"/>
      <c r="K4305" s="1095"/>
      <c r="L4305" s="1095"/>
      <c r="M4305" s="1095"/>
    </row>
    <row r="4306" spans="1:13" x14ac:dyDescent="0.25">
      <c r="A4306">
        <v>3719529</v>
      </c>
      <c r="B4306" t="s">
        <v>11445</v>
      </c>
      <c r="C4306" t="s">
        <v>2598</v>
      </c>
      <c r="D4306" s="254">
        <v>222.65</v>
      </c>
      <c r="E4306"/>
      <c r="F4306"/>
      <c r="G4306"/>
      <c r="H4306"/>
      <c r="I4306" s="489"/>
      <c r="J4306" s="1095"/>
      <c r="K4306" s="1095"/>
      <c r="L4306" s="1095"/>
      <c r="M4306" s="1095"/>
    </row>
    <row r="4307" spans="1:13" x14ac:dyDescent="0.25">
      <c r="A4307">
        <v>3713878</v>
      </c>
      <c r="B4307" t="s">
        <v>11446</v>
      </c>
      <c r="C4307" t="s">
        <v>2598</v>
      </c>
      <c r="D4307" s="254">
        <v>75.41</v>
      </c>
      <c r="E4307"/>
      <c r="F4307"/>
      <c r="G4307"/>
      <c r="H4307"/>
      <c r="I4307" s="489"/>
      <c r="J4307" s="1095"/>
      <c r="K4307" s="1095"/>
      <c r="L4307" s="1095"/>
      <c r="M4307" s="1095"/>
    </row>
    <row r="4308" spans="1:13" x14ac:dyDescent="0.25">
      <c r="A4308">
        <v>3713617</v>
      </c>
      <c r="B4308" t="s">
        <v>7266</v>
      </c>
      <c r="C4308" t="s">
        <v>2598</v>
      </c>
      <c r="D4308" s="254">
        <v>75.650000000000006</v>
      </c>
      <c r="E4308"/>
      <c r="F4308"/>
      <c r="G4308"/>
      <c r="H4308"/>
      <c r="I4308" s="489"/>
      <c r="J4308" s="1095"/>
      <c r="K4308" s="1095"/>
      <c r="L4308" s="1095"/>
      <c r="M4308" s="1095"/>
    </row>
    <row r="4309" spans="1:13" x14ac:dyDescent="0.25">
      <c r="A4309">
        <v>3713879</v>
      </c>
      <c r="B4309" t="s">
        <v>11447</v>
      </c>
      <c r="C4309" t="s">
        <v>2598</v>
      </c>
      <c r="D4309" s="254">
        <v>85.23</v>
      </c>
      <c r="E4309"/>
      <c r="F4309"/>
      <c r="G4309"/>
      <c r="H4309"/>
      <c r="I4309" s="489"/>
      <c r="J4309" s="1095"/>
      <c r="K4309" s="1095"/>
      <c r="L4309" s="1095"/>
      <c r="M4309" s="1095"/>
    </row>
    <row r="4310" spans="1:13" x14ac:dyDescent="0.25">
      <c r="A4310">
        <v>3713826</v>
      </c>
      <c r="B4310" t="s">
        <v>11448</v>
      </c>
      <c r="C4310" t="s">
        <v>2598</v>
      </c>
      <c r="D4310" s="254">
        <v>81.760000000000005</v>
      </c>
      <c r="E4310"/>
      <c r="F4310"/>
      <c r="G4310"/>
      <c r="H4310"/>
      <c r="I4310" s="489"/>
      <c r="J4310" s="1095"/>
      <c r="K4310" s="1095"/>
      <c r="L4310" s="1095"/>
      <c r="M4310" s="1095"/>
    </row>
    <row r="4311" spans="1:13" x14ac:dyDescent="0.25">
      <c r="A4311">
        <v>3713610</v>
      </c>
      <c r="B4311" t="s">
        <v>5188</v>
      </c>
      <c r="C4311" t="s">
        <v>2598</v>
      </c>
      <c r="D4311" s="254">
        <v>33.76</v>
      </c>
      <c r="E4311"/>
      <c r="F4311"/>
      <c r="G4311"/>
      <c r="H4311"/>
      <c r="I4311" s="489"/>
      <c r="J4311" s="1095"/>
      <c r="K4311" s="1095"/>
      <c r="L4311" s="1095"/>
      <c r="M4311" s="1095"/>
    </row>
    <row r="4312" spans="1:13" x14ac:dyDescent="0.25">
      <c r="A4312">
        <v>3713609</v>
      </c>
      <c r="B4312" t="s">
        <v>11449</v>
      </c>
      <c r="C4312" t="s">
        <v>2598</v>
      </c>
      <c r="D4312" s="254">
        <v>32.21</v>
      </c>
      <c r="E4312"/>
      <c r="F4312"/>
      <c r="G4312"/>
      <c r="H4312"/>
      <c r="I4312" s="489"/>
      <c r="J4312" s="1095"/>
      <c r="K4312" s="1095"/>
      <c r="L4312" s="1095"/>
      <c r="M4312" s="1095"/>
    </row>
    <row r="4313" spans="1:13" x14ac:dyDescent="0.25">
      <c r="A4313">
        <v>3713612</v>
      </c>
      <c r="B4313" t="s">
        <v>11450</v>
      </c>
      <c r="C4313" t="s">
        <v>2598</v>
      </c>
      <c r="D4313" s="254">
        <v>27.31</v>
      </c>
      <c r="E4313"/>
      <c r="F4313"/>
      <c r="G4313"/>
      <c r="H4313"/>
      <c r="I4313" s="489"/>
      <c r="J4313" s="1095"/>
      <c r="K4313" s="1095"/>
      <c r="L4313" s="1095"/>
      <c r="M4313" s="1095"/>
    </row>
    <row r="4314" spans="1:13" x14ac:dyDescent="0.25">
      <c r="A4314">
        <v>3713611</v>
      </c>
      <c r="B4314" t="s">
        <v>11451</v>
      </c>
      <c r="C4314" t="s">
        <v>2598</v>
      </c>
      <c r="D4314" s="254">
        <v>26.63</v>
      </c>
      <c r="E4314"/>
      <c r="F4314"/>
      <c r="G4314"/>
      <c r="H4314"/>
      <c r="I4314" s="489"/>
      <c r="J4314" s="1095"/>
      <c r="K4314" s="1095"/>
      <c r="L4314" s="1095"/>
      <c r="M4314" s="1095"/>
    </row>
    <row r="4315" spans="1:13" x14ac:dyDescent="0.25">
      <c r="A4315">
        <v>3713608</v>
      </c>
      <c r="B4315" t="s">
        <v>6378</v>
      </c>
      <c r="C4315" t="s">
        <v>2598</v>
      </c>
      <c r="D4315" s="254">
        <v>21.34</v>
      </c>
      <c r="E4315"/>
      <c r="F4315"/>
      <c r="G4315"/>
      <c r="H4315"/>
      <c r="I4315" s="489"/>
      <c r="J4315" s="1095"/>
      <c r="K4315" s="1095"/>
      <c r="L4315" s="1095"/>
      <c r="M4315" s="1095"/>
    </row>
    <row r="4316" spans="1:13" x14ac:dyDescent="0.25">
      <c r="A4316">
        <v>3713613</v>
      </c>
      <c r="B4316" t="s">
        <v>6379</v>
      </c>
      <c r="C4316" t="s">
        <v>2598</v>
      </c>
      <c r="D4316" s="254">
        <v>19.5</v>
      </c>
      <c r="E4316"/>
      <c r="F4316"/>
      <c r="G4316"/>
      <c r="H4316"/>
      <c r="I4316" s="489"/>
      <c r="J4316" s="1095"/>
      <c r="K4316" s="1095"/>
      <c r="L4316" s="1095"/>
      <c r="M4316" s="1095"/>
    </row>
    <row r="4317" spans="1:13" x14ac:dyDescent="0.25">
      <c r="A4317">
        <v>3713822</v>
      </c>
      <c r="B4317" t="s">
        <v>11452</v>
      </c>
      <c r="C4317" t="s">
        <v>2598</v>
      </c>
      <c r="D4317" s="254">
        <v>346.56</v>
      </c>
      <c r="E4317"/>
      <c r="F4317"/>
      <c r="G4317"/>
      <c r="H4317"/>
      <c r="I4317" s="489"/>
      <c r="J4317" s="1095"/>
      <c r="K4317" s="1095"/>
      <c r="L4317" s="1095"/>
      <c r="M4317" s="1095"/>
    </row>
    <row r="4318" spans="1:13" x14ac:dyDescent="0.25">
      <c r="A4318">
        <v>3713824</v>
      </c>
      <c r="B4318" t="s">
        <v>11453</v>
      </c>
      <c r="C4318" t="s">
        <v>2598</v>
      </c>
      <c r="D4318" s="254">
        <v>256.33</v>
      </c>
      <c r="E4318"/>
      <c r="F4318"/>
      <c r="G4318"/>
      <c r="H4318"/>
      <c r="I4318" s="489"/>
      <c r="J4318" s="1095"/>
      <c r="K4318" s="1095"/>
      <c r="L4318" s="1095"/>
      <c r="M4318" s="1095"/>
    </row>
    <row r="4319" spans="1:13" x14ac:dyDescent="0.25">
      <c r="A4319">
        <v>3713825</v>
      </c>
      <c r="B4319" t="s">
        <v>11454</v>
      </c>
      <c r="C4319" t="s">
        <v>2598</v>
      </c>
      <c r="D4319" s="254">
        <v>298.33</v>
      </c>
      <c r="E4319"/>
      <c r="F4319"/>
      <c r="G4319"/>
      <c r="H4319"/>
      <c r="I4319" s="489"/>
      <c r="J4319" s="1095"/>
      <c r="K4319" s="1095"/>
      <c r="L4319" s="1095"/>
      <c r="M4319" s="1095"/>
    </row>
    <row r="4320" spans="1:13" x14ac:dyDescent="0.25">
      <c r="A4320">
        <v>3713823</v>
      </c>
      <c r="B4320" t="s">
        <v>11455</v>
      </c>
      <c r="C4320" t="s">
        <v>2598</v>
      </c>
      <c r="D4320" s="254">
        <v>215.16</v>
      </c>
      <c r="E4320"/>
      <c r="F4320"/>
      <c r="G4320"/>
      <c r="H4320"/>
      <c r="I4320" s="489"/>
      <c r="J4320" s="1095"/>
      <c r="K4320" s="1095"/>
      <c r="L4320" s="1095"/>
      <c r="M4320" s="1095"/>
    </row>
    <row r="4321" spans="1:13" x14ac:dyDescent="0.25">
      <c r="A4321">
        <v>3713602</v>
      </c>
      <c r="B4321" t="s">
        <v>11456</v>
      </c>
      <c r="C4321" t="s">
        <v>2598</v>
      </c>
      <c r="D4321" s="254">
        <v>939.96</v>
      </c>
      <c r="E4321"/>
      <c r="F4321"/>
      <c r="G4321"/>
      <c r="H4321"/>
      <c r="I4321" s="489"/>
      <c r="J4321" s="1095"/>
      <c r="K4321" s="1095"/>
      <c r="L4321" s="1095"/>
      <c r="M4321" s="1095"/>
    </row>
    <row r="4322" spans="1:13" x14ac:dyDescent="0.25">
      <c r="A4322">
        <v>3713600</v>
      </c>
      <c r="B4322" t="s">
        <v>11457</v>
      </c>
      <c r="C4322" t="s">
        <v>2598</v>
      </c>
      <c r="D4322" s="254">
        <v>757.21</v>
      </c>
      <c r="E4322"/>
      <c r="F4322"/>
      <c r="G4322"/>
      <c r="H4322"/>
      <c r="I4322" s="489"/>
      <c r="J4322" s="1095"/>
      <c r="K4322" s="1095"/>
      <c r="L4322" s="1095"/>
      <c r="M4322" s="1095"/>
    </row>
    <row r="4323" spans="1:13" x14ac:dyDescent="0.25">
      <c r="A4323">
        <v>3713606</v>
      </c>
      <c r="B4323" t="s">
        <v>11458</v>
      </c>
      <c r="C4323" t="s">
        <v>2598</v>
      </c>
      <c r="D4323" s="254">
        <v>690.69</v>
      </c>
      <c r="E4323"/>
      <c r="F4323"/>
      <c r="G4323"/>
      <c r="H4323"/>
      <c r="I4323" s="489"/>
      <c r="J4323" s="1095"/>
      <c r="K4323" s="1095"/>
      <c r="L4323" s="1095"/>
      <c r="M4323" s="1095"/>
    </row>
    <row r="4324" spans="1:13" x14ac:dyDescent="0.25">
      <c r="A4324">
        <v>3713604</v>
      </c>
      <c r="B4324" t="s">
        <v>6380</v>
      </c>
      <c r="C4324" t="s">
        <v>2598</v>
      </c>
      <c r="D4324" s="254">
        <v>495.82</v>
      </c>
      <c r="E4324"/>
      <c r="F4324"/>
      <c r="G4324"/>
      <c r="H4324"/>
      <c r="I4324" s="489"/>
      <c r="J4324" s="1095"/>
      <c r="K4324" s="1095"/>
      <c r="L4324" s="1095"/>
      <c r="M4324" s="1095"/>
    </row>
    <row r="4325" spans="1:13" x14ac:dyDescent="0.25">
      <c r="A4325">
        <v>3716129</v>
      </c>
      <c r="B4325" t="s">
        <v>11459</v>
      </c>
      <c r="C4325" t="s">
        <v>2640</v>
      </c>
      <c r="D4325" s="254">
        <v>54.51</v>
      </c>
      <c r="E4325"/>
      <c r="F4325"/>
      <c r="G4325"/>
      <c r="H4325"/>
      <c r="I4325" s="489"/>
      <c r="J4325" s="1095"/>
      <c r="K4325" s="1095"/>
      <c r="L4325" s="1095"/>
      <c r="M4325" s="1095"/>
    </row>
    <row r="4326" spans="1:13" x14ac:dyDescent="0.25">
      <c r="A4326">
        <v>3716128</v>
      </c>
      <c r="B4326" t="s">
        <v>11460</v>
      </c>
      <c r="C4326" t="s">
        <v>2640</v>
      </c>
      <c r="D4326" s="254">
        <v>47.92</v>
      </c>
      <c r="E4326"/>
      <c r="F4326"/>
      <c r="G4326"/>
      <c r="H4326"/>
      <c r="I4326" s="489"/>
      <c r="J4326" s="1095"/>
      <c r="K4326" s="1095"/>
      <c r="L4326" s="1095"/>
      <c r="M4326" s="1095"/>
    </row>
    <row r="4327" spans="1:13" x14ac:dyDescent="0.25">
      <c r="A4327">
        <v>3716133</v>
      </c>
      <c r="B4327" t="s">
        <v>11461</v>
      </c>
      <c r="C4327" t="s">
        <v>2640</v>
      </c>
      <c r="D4327" s="254">
        <v>32.9</v>
      </c>
      <c r="E4327"/>
      <c r="F4327"/>
      <c r="G4327"/>
      <c r="H4327"/>
      <c r="I4327" s="489"/>
      <c r="J4327" s="1095"/>
      <c r="K4327" s="1095"/>
      <c r="L4327" s="1095"/>
      <c r="M4327" s="1095"/>
    </row>
    <row r="4328" spans="1:13" x14ac:dyDescent="0.25">
      <c r="A4328">
        <v>3716132</v>
      </c>
      <c r="B4328" t="s">
        <v>11462</v>
      </c>
      <c r="C4328" t="s">
        <v>2640</v>
      </c>
      <c r="D4328" s="254">
        <v>30.05</v>
      </c>
      <c r="E4328"/>
      <c r="F4328"/>
      <c r="G4328"/>
      <c r="H4328"/>
      <c r="I4328" s="489"/>
      <c r="J4328" s="1095"/>
      <c r="K4328" s="1095"/>
      <c r="L4328" s="1095"/>
      <c r="M4328" s="1095"/>
    </row>
    <row r="4329" spans="1:13" x14ac:dyDescent="0.25">
      <c r="A4329">
        <v>3716131</v>
      </c>
      <c r="B4329" t="s">
        <v>11463</v>
      </c>
      <c r="C4329" t="s">
        <v>2640</v>
      </c>
      <c r="D4329" s="254">
        <v>36.090000000000003</v>
      </c>
      <c r="E4329"/>
      <c r="F4329"/>
      <c r="G4329"/>
      <c r="H4329"/>
      <c r="I4329" s="489"/>
      <c r="J4329" s="1095"/>
      <c r="K4329" s="1095"/>
      <c r="L4329" s="1095"/>
      <c r="M4329" s="1095"/>
    </row>
    <row r="4330" spans="1:13" x14ac:dyDescent="0.25">
      <c r="A4330">
        <v>3716130</v>
      </c>
      <c r="B4330" t="s">
        <v>11464</v>
      </c>
      <c r="C4330" t="s">
        <v>2640</v>
      </c>
      <c r="D4330" s="254">
        <v>32.700000000000003</v>
      </c>
      <c r="E4330"/>
      <c r="F4330"/>
      <c r="G4330"/>
      <c r="H4330"/>
      <c r="I4330" s="489"/>
      <c r="J4330" s="1095"/>
      <c r="K4330" s="1095"/>
      <c r="L4330" s="1095"/>
      <c r="M4330" s="1095"/>
    </row>
    <row r="4331" spans="1:13" x14ac:dyDescent="0.25">
      <c r="A4331">
        <v>3716135</v>
      </c>
      <c r="B4331" t="s">
        <v>11465</v>
      </c>
      <c r="C4331" t="s">
        <v>2640</v>
      </c>
      <c r="D4331" s="254">
        <v>23.1</v>
      </c>
      <c r="E4331"/>
      <c r="F4331"/>
      <c r="G4331"/>
      <c r="H4331"/>
      <c r="I4331" s="489"/>
      <c r="J4331" s="1095"/>
      <c r="K4331" s="1095"/>
      <c r="L4331" s="1095"/>
      <c r="M4331" s="1095"/>
    </row>
    <row r="4332" spans="1:13" x14ac:dyDescent="0.25">
      <c r="A4332">
        <v>3716134</v>
      </c>
      <c r="B4332" t="s">
        <v>11466</v>
      </c>
      <c r="C4332" t="s">
        <v>2640</v>
      </c>
      <c r="D4332" s="254">
        <v>21.63</v>
      </c>
      <c r="E4332"/>
      <c r="F4332"/>
      <c r="G4332"/>
      <c r="H4332"/>
      <c r="I4332" s="489"/>
      <c r="J4332" s="1095"/>
      <c r="K4332" s="1095"/>
      <c r="L4332" s="1095"/>
      <c r="M4332" s="1095"/>
    </row>
    <row r="4333" spans="1:13" x14ac:dyDescent="0.25">
      <c r="A4333">
        <v>3713698</v>
      </c>
      <c r="B4333" t="s">
        <v>11467</v>
      </c>
      <c r="C4333" t="s">
        <v>2640</v>
      </c>
      <c r="D4333" s="254">
        <v>251163.17</v>
      </c>
      <c r="E4333"/>
      <c r="F4333"/>
      <c r="G4333"/>
      <c r="H4333"/>
      <c r="I4333" s="489"/>
      <c r="J4333" s="1095"/>
      <c r="K4333" s="1095"/>
      <c r="L4333" s="1095"/>
      <c r="M4333" s="1095"/>
    </row>
    <row r="4334" spans="1:13" x14ac:dyDescent="0.25">
      <c r="A4334">
        <v>3713699</v>
      </c>
      <c r="B4334" t="s">
        <v>11468</v>
      </c>
      <c r="C4334" t="s">
        <v>2640</v>
      </c>
      <c r="D4334" s="254">
        <v>257856.19</v>
      </c>
      <c r="E4334"/>
      <c r="F4334"/>
      <c r="G4334"/>
      <c r="H4334"/>
      <c r="I4334" s="489"/>
      <c r="J4334" s="1095"/>
      <c r="K4334" s="1095"/>
      <c r="L4334" s="1095"/>
      <c r="M4334" s="1095"/>
    </row>
    <row r="4335" spans="1:13" x14ac:dyDescent="0.25">
      <c r="A4335">
        <v>3713700</v>
      </c>
      <c r="B4335" t="s">
        <v>11469</v>
      </c>
      <c r="C4335" t="s">
        <v>2640</v>
      </c>
      <c r="D4335" s="254">
        <v>259573.17</v>
      </c>
      <c r="E4335"/>
      <c r="F4335"/>
      <c r="G4335"/>
      <c r="H4335"/>
      <c r="I4335" s="489"/>
      <c r="J4335" s="1095"/>
      <c r="K4335" s="1095"/>
      <c r="L4335" s="1095"/>
      <c r="M4335" s="1095"/>
    </row>
    <row r="4336" spans="1:13" x14ac:dyDescent="0.25">
      <c r="A4336">
        <v>3713701</v>
      </c>
      <c r="B4336" t="s">
        <v>11470</v>
      </c>
      <c r="C4336" t="s">
        <v>2640</v>
      </c>
      <c r="D4336" s="254">
        <v>268335.21999999997</v>
      </c>
      <c r="E4336"/>
      <c r="F4336"/>
      <c r="G4336"/>
      <c r="H4336"/>
      <c r="I4336" s="489"/>
      <c r="J4336" s="1095"/>
      <c r="K4336" s="1095"/>
      <c r="L4336" s="1095"/>
      <c r="M4336" s="1095"/>
    </row>
    <row r="4337" spans="1:13" x14ac:dyDescent="0.25">
      <c r="A4337">
        <v>3713702</v>
      </c>
      <c r="B4337" t="s">
        <v>11471</v>
      </c>
      <c r="C4337" t="s">
        <v>2640</v>
      </c>
      <c r="D4337" s="254">
        <v>276397.67</v>
      </c>
      <c r="E4337"/>
      <c r="F4337"/>
      <c r="G4337"/>
      <c r="H4337"/>
      <c r="I4337" s="489"/>
      <c r="J4337" s="1095"/>
      <c r="K4337" s="1095"/>
      <c r="L4337" s="1095"/>
      <c r="M4337" s="1095"/>
    </row>
    <row r="4338" spans="1:13" x14ac:dyDescent="0.25">
      <c r="A4338">
        <v>3713693</v>
      </c>
      <c r="B4338" t="s">
        <v>11472</v>
      </c>
      <c r="C4338" t="s">
        <v>2640</v>
      </c>
      <c r="D4338" s="254">
        <v>211192.8</v>
      </c>
      <c r="E4338"/>
      <c r="F4338"/>
      <c r="G4338"/>
      <c r="H4338"/>
      <c r="I4338" s="489"/>
      <c r="J4338" s="1095"/>
      <c r="K4338" s="1095"/>
      <c r="L4338" s="1095"/>
      <c r="M4338" s="1095"/>
    </row>
    <row r="4339" spans="1:13" x14ac:dyDescent="0.25">
      <c r="A4339">
        <v>3713694</v>
      </c>
      <c r="B4339" t="s">
        <v>11473</v>
      </c>
      <c r="C4339" t="s">
        <v>2640</v>
      </c>
      <c r="D4339" s="254">
        <v>216384.95</v>
      </c>
      <c r="E4339"/>
      <c r="F4339"/>
      <c r="G4339"/>
      <c r="H4339"/>
      <c r="I4339" s="489"/>
      <c r="J4339" s="1095"/>
      <c r="K4339" s="1095"/>
      <c r="L4339" s="1095"/>
      <c r="M4339" s="1095"/>
    </row>
    <row r="4340" spans="1:13" x14ac:dyDescent="0.25">
      <c r="A4340">
        <v>3713695</v>
      </c>
      <c r="B4340" t="s">
        <v>11474</v>
      </c>
      <c r="C4340" t="s">
        <v>2640</v>
      </c>
      <c r="D4340" s="254">
        <v>225934.75</v>
      </c>
      <c r="E4340"/>
      <c r="F4340"/>
      <c r="G4340"/>
      <c r="H4340"/>
      <c r="I4340" s="489"/>
      <c r="J4340" s="1095"/>
      <c r="K4340" s="1095"/>
      <c r="L4340" s="1095"/>
      <c r="M4340" s="1095"/>
    </row>
    <row r="4341" spans="1:13" x14ac:dyDescent="0.25">
      <c r="A4341">
        <v>3713696</v>
      </c>
      <c r="B4341" t="s">
        <v>11475</v>
      </c>
      <c r="C4341" t="s">
        <v>2640</v>
      </c>
      <c r="D4341" s="254">
        <v>244604.86</v>
      </c>
      <c r="E4341"/>
      <c r="F4341"/>
      <c r="G4341"/>
      <c r="H4341"/>
      <c r="I4341" s="489"/>
      <c r="J4341" s="1095"/>
      <c r="K4341" s="1095"/>
      <c r="L4341" s="1095"/>
      <c r="M4341" s="1095"/>
    </row>
    <row r="4342" spans="1:13" x14ac:dyDescent="0.25">
      <c r="A4342">
        <v>3713697</v>
      </c>
      <c r="B4342" t="s">
        <v>11476</v>
      </c>
      <c r="C4342" t="s">
        <v>2640</v>
      </c>
      <c r="D4342" s="254">
        <v>235528.56</v>
      </c>
      <c r="E4342"/>
      <c r="F4342"/>
      <c r="G4342"/>
      <c r="H4342"/>
      <c r="I4342" s="489"/>
      <c r="J4342" s="1095"/>
      <c r="K4342" s="1095"/>
      <c r="L4342" s="1095"/>
      <c r="M4342" s="1095"/>
    </row>
    <row r="4343" spans="1:13" x14ac:dyDescent="0.25">
      <c r="A4343">
        <v>3713692</v>
      </c>
      <c r="B4343" t="s">
        <v>11477</v>
      </c>
      <c r="C4343" t="s">
        <v>2640</v>
      </c>
      <c r="D4343" s="254">
        <v>199249.04</v>
      </c>
      <c r="E4343"/>
      <c r="F4343"/>
      <c r="G4343"/>
      <c r="H4343"/>
      <c r="I4343" s="489"/>
      <c r="J4343" s="1095"/>
      <c r="K4343" s="1095"/>
      <c r="L4343" s="1095"/>
      <c r="M4343" s="1095"/>
    </row>
    <row r="4344" spans="1:13" x14ac:dyDescent="0.25">
      <c r="A4344">
        <v>3713691</v>
      </c>
      <c r="B4344" t="s">
        <v>11478</v>
      </c>
      <c r="C4344" t="s">
        <v>2640</v>
      </c>
      <c r="D4344" s="254">
        <v>165562.60999999999</v>
      </c>
      <c r="E4344"/>
      <c r="F4344"/>
      <c r="G4344"/>
      <c r="H4344"/>
      <c r="I4344" s="489"/>
      <c r="J4344" s="1095"/>
      <c r="K4344" s="1095"/>
      <c r="L4344" s="1095"/>
      <c r="M4344" s="1095"/>
    </row>
    <row r="4345" spans="1:13" x14ac:dyDescent="0.25">
      <c r="A4345">
        <v>3713873</v>
      </c>
      <c r="B4345" t="s">
        <v>11479</v>
      </c>
      <c r="C4345" t="s">
        <v>2640</v>
      </c>
      <c r="D4345" s="254">
        <v>6818.05</v>
      </c>
      <c r="E4345"/>
      <c r="F4345"/>
      <c r="G4345"/>
      <c r="H4345"/>
      <c r="I4345" s="489"/>
      <c r="J4345" s="1095"/>
      <c r="K4345" s="1095"/>
      <c r="L4345" s="1095"/>
      <c r="M4345" s="1095"/>
    </row>
    <row r="4346" spans="1:13" x14ac:dyDescent="0.25">
      <c r="A4346">
        <v>3713705</v>
      </c>
      <c r="B4346" t="s">
        <v>6376</v>
      </c>
      <c r="C4346" t="s">
        <v>2598</v>
      </c>
      <c r="D4346" s="254">
        <v>22.8</v>
      </c>
      <c r="E4346"/>
      <c r="F4346"/>
      <c r="G4346"/>
      <c r="H4346"/>
      <c r="I4346" s="489"/>
      <c r="J4346" s="1095"/>
      <c r="K4346" s="1095"/>
      <c r="L4346" s="1095"/>
      <c r="M4346" s="1095"/>
    </row>
    <row r="4347" spans="1:13" x14ac:dyDescent="0.25">
      <c r="A4347">
        <v>3713902</v>
      </c>
      <c r="B4347" t="s">
        <v>11480</v>
      </c>
      <c r="C4347" t="s">
        <v>2640</v>
      </c>
      <c r="D4347" s="254">
        <v>21972.92</v>
      </c>
      <c r="E4347"/>
      <c r="F4347"/>
      <c r="G4347"/>
      <c r="H4347"/>
      <c r="I4347" s="489"/>
      <c r="J4347" s="1095"/>
      <c r="K4347" s="1095"/>
      <c r="L4347" s="1095"/>
      <c r="M4347" s="1095"/>
    </row>
    <row r="4348" spans="1:13" x14ac:dyDescent="0.25">
      <c r="A4348">
        <v>3713903</v>
      </c>
      <c r="B4348" t="s">
        <v>11481</v>
      </c>
      <c r="C4348" t="s">
        <v>2640</v>
      </c>
      <c r="D4348" s="254">
        <v>47622.93</v>
      </c>
      <c r="E4348"/>
      <c r="F4348"/>
      <c r="G4348"/>
      <c r="H4348"/>
      <c r="I4348" s="489"/>
      <c r="J4348" s="1095"/>
      <c r="K4348" s="1095"/>
      <c r="L4348" s="1095"/>
      <c r="M4348" s="1095"/>
    </row>
    <row r="4349" spans="1:13" x14ac:dyDescent="0.25">
      <c r="A4349">
        <v>3713689</v>
      </c>
      <c r="B4349" t="s">
        <v>11482</v>
      </c>
      <c r="C4349" t="s">
        <v>2640</v>
      </c>
      <c r="D4349" s="254">
        <v>423.83</v>
      </c>
      <c r="E4349"/>
      <c r="F4349"/>
      <c r="G4349"/>
      <c r="H4349"/>
      <c r="I4349" s="489"/>
      <c r="J4349" s="1095"/>
      <c r="K4349" s="1095"/>
      <c r="L4349" s="1095"/>
      <c r="M4349" s="1095"/>
    </row>
    <row r="4350" spans="1:13" x14ac:dyDescent="0.25">
      <c r="A4350">
        <v>3713690</v>
      </c>
      <c r="B4350" t="s">
        <v>11483</v>
      </c>
      <c r="C4350" t="s">
        <v>2640</v>
      </c>
      <c r="D4350" s="254">
        <v>601.23</v>
      </c>
      <c r="E4350"/>
      <c r="F4350"/>
      <c r="G4350"/>
      <c r="H4350"/>
      <c r="I4350" s="489"/>
      <c r="J4350" s="1095"/>
      <c r="K4350" s="1095"/>
      <c r="L4350" s="1095"/>
      <c r="M4350" s="1095"/>
    </row>
    <row r="4351" spans="1:13" x14ac:dyDescent="0.25">
      <c r="A4351">
        <v>3713897</v>
      </c>
      <c r="B4351" t="s">
        <v>11484</v>
      </c>
      <c r="C4351" t="s">
        <v>2598</v>
      </c>
      <c r="D4351" s="254">
        <v>321.05</v>
      </c>
      <c r="E4351"/>
      <c r="F4351"/>
      <c r="G4351"/>
      <c r="H4351"/>
      <c r="I4351" s="489"/>
      <c r="J4351" s="1095"/>
      <c r="K4351" s="1095"/>
      <c r="L4351" s="1095"/>
      <c r="M4351" s="1095"/>
    </row>
    <row r="4352" spans="1:13" x14ac:dyDescent="0.25">
      <c r="A4352">
        <v>3713893</v>
      </c>
      <c r="B4352" t="s">
        <v>11485</v>
      </c>
      <c r="C4352" t="s">
        <v>2598</v>
      </c>
      <c r="D4352" s="254">
        <v>324.86</v>
      </c>
      <c r="E4352"/>
      <c r="F4352"/>
      <c r="G4352"/>
      <c r="H4352"/>
      <c r="I4352" s="489"/>
      <c r="J4352" s="1095"/>
      <c r="K4352" s="1095"/>
      <c r="L4352" s="1095"/>
      <c r="M4352" s="1095"/>
    </row>
    <row r="4353" spans="1:13" x14ac:dyDescent="0.25">
      <c r="A4353">
        <v>3713898</v>
      </c>
      <c r="B4353" t="s">
        <v>11486</v>
      </c>
      <c r="C4353" t="s">
        <v>2598</v>
      </c>
      <c r="D4353" s="254">
        <v>334.4</v>
      </c>
      <c r="E4353"/>
      <c r="F4353"/>
      <c r="G4353"/>
      <c r="H4353"/>
      <c r="I4353" s="489"/>
      <c r="J4353" s="1095"/>
      <c r="K4353" s="1095"/>
      <c r="L4353" s="1095"/>
      <c r="M4353" s="1095"/>
    </row>
    <row r="4354" spans="1:13" x14ac:dyDescent="0.25">
      <c r="A4354">
        <v>3713894</v>
      </c>
      <c r="B4354" t="s">
        <v>11487</v>
      </c>
      <c r="C4354" t="s">
        <v>2598</v>
      </c>
      <c r="D4354" s="254">
        <v>335.82</v>
      </c>
      <c r="E4354"/>
      <c r="F4354"/>
      <c r="G4354"/>
      <c r="H4354"/>
      <c r="I4354" s="489"/>
      <c r="J4354" s="1095"/>
      <c r="K4354" s="1095"/>
      <c r="L4354" s="1095"/>
      <c r="M4354" s="1095"/>
    </row>
    <row r="4355" spans="1:13" x14ac:dyDescent="0.25">
      <c r="A4355">
        <v>3713895</v>
      </c>
      <c r="B4355" t="s">
        <v>11488</v>
      </c>
      <c r="C4355" t="s">
        <v>2598</v>
      </c>
      <c r="D4355" s="254">
        <v>300.94</v>
      </c>
      <c r="E4355"/>
      <c r="F4355"/>
      <c r="G4355"/>
      <c r="H4355"/>
      <c r="I4355" s="489"/>
      <c r="J4355" s="1095"/>
      <c r="K4355" s="1095"/>
      <c r="L4355" s="1095"/>
      <c r="M4355" s="1095"/>
    </row>
    <row r="4356" spans="1:13" x14ac:dyDescent="0.25">
      <c r="A4356">
        <v>3713891</v>
      </c>
      <c r="B4356" t="s">
        <v>11489</v>
      </c>
      <c r="C4356" t="s">
        <v>2598</v>
      </c>
      <c r="D4356" s="254">
        <v>299.64</v>
      </c>
      <c r="E4356"/>
      <c r="F4356"/>
      <c r="G4356"/>
      <c r="H4356"/>
      <c r="I4356" s="489"/>
      <c r="J4356" s="1095"/>
      <c r="K4356" s="1095"/>
      <c r="L4356" s="1095"/>
      <c r="M4356" s="1095"/>
    </row>
    <row r="4357" spans="1:13" x14ac:dyDescent="0.25">
      <c r="A4357">
        <v>3713896</v>
      </c>
      <c r="B4357" t="s">
        <v>11490</v>
      </c>
      <c r="C4357" t="s">
        <v>2598</v>
      </c>
      <c r="D4357" s="254">
        <v>308.33999999999997</v>
      </c>
      <c r="E4357"/>
      <c r="F4357"/>
      <c r="G4357"/>
      <c r="H4357"/>
      <c r="I4357" s="489"/>
      <c r="J4357" s="1095"/>
      <c r="K4357" s="1095"/>
      <c r="L4357" s="1095"/>
      <c r="M4357" s="1095"/>
    </row>
    <row r="4358" spans="1:13" x14ac:dyDescent="0.25">
      <c r="A4358">
        <v>3713892</v>
      </c>
      <c r="B4358" t="s">
        <v>11491</v>
      </c>
      <c r="C4358" t="s">
        <v>2598</v>
      </c>
      <c r="D4358" s="254">
        <v>303.39</v>
      </c>
      <c r="E4358"/>
      <c r="F4358"/>
      <c r="G4358"/>
      <c r="H4358"/>
      <c r="I4358" s="489"/>
      <c r="J4358" s="1095"/>
      <c r="K4358" s="1095"/>
      <c r="L4358" s="1095"/>
      <c r="M4358" s="1095"/>
    </row>
    <row r="4359" spans="1:13" x14ac:dyDescent="0.25">
      <c r="A4359">
        <v>3806412</v>
      </c>
      <c r="B4359" t="s">
        <v>11492</v>
      </c>
      <c r="C4359" t="s">
        <v>2640</v>
      </c>
      <c r="D4359" s="254">
        <v>58.2</v>
      </c>
      <c r="E4359"/>
      <c r="F4359"/>
      <c r="G4359"/>
      <c r="H4359"/>
      <c r="I4359" s="489"/>
      <c r="J4359" s="1095"/>
      <c r="K4359" s="1095"/>
      <c r="L4359" s="1095"/>
      <c r="M4359" s="1095"/>
    </row>
    <row r="4360" spans="1:13" x14ac:dyDescent="0.25">
      <c r="A4360">
        <v>3806413</v>
      </c>
      <c r="B4360" t="s">
        <v>11493</v>
      </c>
      <c r="C4360" t="s">
        <v>2595</v>
      </c>
      <c r="D4360" s="254">
        <v>16.489999999999998</v>
      </c>
      <c r="E4360"/>
      <c r="F4360"/>
      <c r="G4360"/>
      <c r="H4360"/>
      <c r="I4360" s="489"/>
      <c r="J4360" s="1095"/>
      <c r="K4360" s="1095"/>
      <c r="L4360" s="1095"/>
      <c r="M4360" s="1095"/>
    </row>
    <row r="4361" spans="1:13" x14ac:dyDescent="0.25">
      <c r="A4361">
        <v>3807863</v>
      </c>
      <c r="B4361" t="s">
        <v>11494</v>
      </c>
      <c r="C4361" t="s">
        <v>2640</v>
      </c>
      <c r="D4361" s="254">
        <v>13.31</v>
      </c>
      <c r="E4361"/>
      <c r="F4361"/>
      <c r="G4361"/>
      <c r="H4361"/>
      <c r="I4361" s="489"/>
      <c r="J4361" s="1095"/>
      <c r="K4361" s="1095"/>
      <c r="L4361" s="1095"/>
      <c r="M4361" s="1095"/>
    </row>
    <row r="4362" spans="1:13" x14ac:dyDescent="0.25">
      <c r="A4362">
        <v>3807864</v>
      </c>
      <c r="B4362" t="s">
        <v>11495</v>
      </c>
      <c r="C4362" t="s">
        <v>2640</v>
      </c>
      <c r="D4362" s="254">
        <v>19.55</v>
      </c>
      <c r="E4362"/>
      <c r="F4362"/>
      <c r="G4362"/>
      <c r="H4362"/>
      <c r="I4362" s="489"/>
      <c r="J4362" s="1095"/>
      <c r="K4362" s="1095"/>
      <c r="L4362" s="1095"/>
      <c r="M4362" s="1095"/>
    </row>
    <row r="4363" spans="1:13" x14ac:dyDescent="0.25">
      <c r="A4363">
        <v>3807865</v>
      </c>
      <c r="B4363" t="s">
        <v>11496</v>
      </c>
      <c r="C4363" t="s">
        <v>2640</v>
      </c>
      <c r="D4363" s="254">
        <v>35.479999999999997</v>
      </c>
      <c r="E4363"/>
      <c r="F4363"/>
      <c r="G4363"/>
      <c r="H4363"/>
      <c r="I4363" s="489"/>
      <c r="J4363" s="1095"/>
      <c r="K4363" s="1095"/>
      <c r="L4363" s="1095"/>
      <c r="M4363" s="1095"/>
    </row>
    <row r="4364" spans="1:13" x14ac:dyDescent="0.25">
      <c r="A4364">
        <v>3807861</v>
      </c>
      <c r="B4364" t="s">
        <v>11497</v>
      </c>
      <c r="C4364" t="s">
        <v>2640</v>
      </c>
      <c r="D4364" s="254">
        <v>3.88</v>
      </c>
      <c r="E4364"/>
      <c r="F4364"/>
      <c r="G4364"/>
      <c r="H4364"/>
      <c r="I4364" s="489"/>
      <c r="J4364" s="1095"/>
      <c r="K4364" s="1095"/>
      <c r="L4364" s="1095"/>
      <c r="M4364" s="1095"/>
    </row>
    <row r="4365" spans="1:13" x14ac:dyDescent="0.25">
      <c r="A4365">
        <v>3807862</v>
      </c>
      <c r="B4365" t="s">
        <v>11498</v>
      </c>
      <c r="C4365" t="s">
        <v>2640</v>
      </c>
      <c r="D4365" s="254">
        <v>4.88</v>
      </c>
      <c r="E4365"/>
      <c r="F4365"/>
      <c r="G4365"/>
      <c r="H4365"/>
      <c r="I4365" s="489"/>
      <c r="J4365" s="1095"/>
      <c r="K4365" s="1095"/>
      <c r="L4365" s="1095"/>
      <c r="M4365" s="1095"/>
    </row>
    <row r="4366" spans="1:13" x14ac:dyDescent="0.25">
      <c r="A4366">
        <v>3806415</v>
      </c>
      <c r="B4366" t="s">
        <v>11499</v>
      </c>
      <c r="C4366" t="s">
        <v>2596</v>
      </c>
      <c r="D4366" s="254">
        <v>558.47</v>
      </c>
      <c r="E4366"/>
      <c r="F4366"/>
      <c r="G4366"/>
      <c r="H4366"/>
      <c r="I4366" s="489"/>
      <c r="J4366" s="1095"/>
      <c r="K4366" s="1095"/>
      <c r="L4366" s="1095"/>
      <c r="M4366" s="1095"/>
    </row>
    <row r="4367" spans="1:13" x14ac:dyDescent="0.25">
      <c r="A4367">
        <v>3806416</v>
      </c>
      <c r="B4367" t="s">
        <v>11500</v>
      </c>
      <c r="C4367" t="s">
        <v>2640</v>
      </c>
      <c r="D4367" s="254">
        <v>74.989999999999995</v>
      </c>
      <c r="E4367"/>
      <c r="F4367"/>
      <c r="G4367"/>
      <c r="H4367"/>
      <c r="I4367" s="489"/>
      <c r="J4367" s="1095"/>
      <c r="K4367" s="1095"/>
      <c r="L4367" s="1095"/>
      <c r="M4367" s="1095"/>
    </row>
    <row r="4368" spans="1:13" x14ac:dyDescent="0.25">
      <c r="A4368">
        <v>3806419</v>
      </c>
      <c r="B4368" t="s">
        <v>11501</v>
      </c>
      <c r="C4368" t="s">
        <v>2640</v>
      </c>
      <c r="D4368" s="254">
        <v>100.22</v>
      </c>
      <c r="E4368"/>
      <c r="F4368"/>
      <c r="G4368"/>
      <c r="H4368"/>
      <c r="I4368" s="489"/>
      <c r="J4368" s="1095"/>
      <c r="K4368" s="1095"/>
      <c r="L4368" s="1095"/>
      <c r="M4368" s="1095"/>
    </row>
    <row r="4369" spans="1:13" x14ac:dyDescent="0.25">
      <c r="A4369">
        <v>3806417</v>
      </c>
      <c r="B4369" t="s">
        <v>11502</v>
      </c>
      <c r="C4369" t="s">
        <v>2640</v>
      </c>
      <c r="D4369" s="254">
        <v>84.18</v>
      </c>
      <c r="E4369"/>
      <c r="F4369"/>
      <c r="G4369"/>
      <c r="H4369"/>
      <c r="I4369" s="489"/>
      <c r="J4369" s="1095"/>
      <c r="K4369" s="1095"/>
      <c r="L4369" s="1095"/>
      <c r="M4369" s="1095"/>
    </row>
    <row r="4370" spans="1:13" x14ac:dyDescent="0.25">
      <c r="A4370">
        <v>3806418</v>
      </c>
      <c r="B4370" t="s">
        <v>11503</v>
      </c>
      <c r="C4370" t="s">
        <v>2640</v>
      </c>
      <c r="D4370" s="254">
        <v>99.04</v>
      </c>
      <c r="E4370"/>
      <c r="F4370"/>
      <c r="G4370"/>
      <c r="H4370"/>
      <c r="I4370" s="489"/>
      <c r="J4370" s="1095"/>
      <c r="K4370" s="1095"/>
      <c r="L4370" s="1095"/>
      <c r="M4370" s="1095"/>
    </row>
    <row r="4371" spans="1:13" x14ac:dyDescent="0.25">
      <c r="A4371">
        <v>3808207</v>
      </c>
      <c r="B4371" t="s">
        <v>11504</v>
      </c>
      <c r="C4371" t="s">
        <v>2598</v>
      </c>
      <c r="D4371" s="254">
        <v>171.38</v>
      </c>
      <c r="E4371"/>
      <c r="F4371"/>
      <c r="G4371"/>
      <c r="H4371"/>
      <c r="I4371" s="489"/>
      <c r="J4371" s="1095"/>
      <c r="K4371" s="1095"/>
      <c r="L4371" s="1095"/>
      <c r="M4371" s="1095"/>
    </row>
    <row r="4372" spans="1:13" x14ac:dyDescent="0.25">
      <c r="A4372">
        <v>3806400</v>
      </c>
      <c r="B4372" t="s">
        <v>11505</v>
      </c>
      <c r="C4372" t="s">
        <v>2640</v>
      </c>
      <c r="D4372" s="254">
        <v>178118.33</v>
      </c>
      <c r="E4372"/>
      <c r="F4372"/>
      <c r="G4372"/>
      <c r="H4372"/>
      <c r="I4372" s="489"/>
      <c r="J4372" s="1095"/>
      <c r="K4372" s="1095"/>
      <c r="L4372" s="1095"/>
      <c r="M4372" s="1095"/>
    </row>
    <row r="4373" spans="1:13" x14ac:dyDescent="0.25">
      <c r="A4373">
        <v>3806399</v>
      </c>
      <c r="B4373" t="s">
        <v>11506</v>
      </c>
      <c r="C4373" t="s">
        <v>2640</v>
      </c>
      <c r="D4373" s="254">
        <v>253049.07</v>
      </c>
      <c r="E4373"/>
      <c r="F4373"/>
      <c r="G4373"/>
      <c r="H4373"/>
      <c r="I4373" s="489"/>
      <c r="J4373" s="1095"/>
      <c r="K4373" s="1095"/>
      <c r="L4373" s="1095"/>
      <c r="M4373" s="1095"/>
    </row>
    <row r="4374" spans="1:13" x14ac:dyDescent="0.25">
      <c r="A4374">
        <v>3806387</v>
      </c>
      <c r="B4374" t="s">
        <v>11507</v>
      </c>
      <c r="C4374" t="s">
        <v>2640</v>
      </c>
      <c r="D4374" s="254">
        <v>316561.86</v>
      </c>
      <c r="E4374"/>
      <c r="F4374"/>
      <c r="G4374"/>
      <c r="H4374"/>
      <c r="I4374" s="489"/>
      <c r="J4374" s="1095"/>
      <c r="K4374" s="1095"/>
      <c r="L4374" s="1095"/>
      <c r="M4374" s="1095"/>
    </row>
    <row r="4375" spans="1:13" x14ac:dyDescent="0.25">
      <c r="A4375">
        <v>3806397</v>
      </c>
      <c r="B4375" t="s">
        <v>11508</v>
      </c>
      <c r="C4375" t="s">
        <v>2640</v>
      </c>
      <c r="D4375" s="254">
        <v>424491.58</v>
      </c>
      <c r="E4375"/>
      <c r="F4375"/>
      <c r="G4375"/>
      <c r="H4375"/>
      <c r="I4375" s="489"/>
      <c r="J4375" s="1095"/>
      <c r="K4375" s="1095"/>
      <c r="L4375" s="1095"/>
      <c r="M4375" s="1095"/>
    </row>
    <row r="4376" spans="1:13" x14ac:dyDescent="0.25">
      <c r="A4376">
        <v>3806396</v>
      </c>
      <c r="B4376" t="s">
        <v>11509</v>
      </c>
      <c r="C4376" t="s">
        <v>2640</v>
      </c>
      <c r="D4376" s="254">
        <v>489453.3</v>
      </c>
      <c r="E4376"/>
      <c r="F4376"/>
      <c r="G4376"/>
      <c r="H4376"/>
      <c r="I4376" s="489"/>
      <c r="J4376" s="1095"/>
      <c r="K4376" s="1095"/>
      <c r="L4376" s="1095"/>
      <c r="M4376" s="1095"/>
    </row>
    <row r="4377" spans="1:13" x14ac:dyDescent="0.25">
      <c r="A4377">
        <v>3816118</v>
      </c>
      <c r="B4377" t="s">
        <v>11510</v>
      </c>
      <c r="C4377" t="s">
        <v>2598</v>
      </c>
      <c r="D4377" s="254">
        <v>107.16</v>
      </c>
      <c r="E4377"/>
      <c r="F4377"/>
      <c r="G4377"/>
      <c r="H4377"/>
      <c r="I4377" s="489"/>
      <c r="J4377" s="1095"/>
      <c r="K4377" s="1095"/>
      <c r="L4377" s="1095"/>
      <c r="M4377" s="1095"/>
    </row>
    <row r="4378" spans="1:13" x14ac:dyDescent="0.25">
      <c r="A4378">
        <v>3816117</v>
      </c>
      <c r="B4378" t="s">
        <v>11511</v>
      </c>
      <c r="C4378" t="s">
        <v>2598</v>
      </c>
      <c r="D4378" s="254">
        <v>99.39</v>
      </c>
      <c r="E4378"/>
      <c r="F4378"/>
      <c r="G4378"/>
      <c r="H4378"/>
      <c r="I4378" s="489"/>
      <c r="J4378" s="1095"/>
      <c r="K4378" s="1095"/>
      <c r="L4378" s="1095"/>
      <c r="M4378" s="1095"/>
    </row>
    <row r="4379" spans="1:13" x14ac:dyDescent="0.25">
      <c r="A4379">
        <v>3806386</v>
      </c>
      <c r="B4379" t="s">
        <v>13812</v>
      </c>
      <c r="C4379" t="s">
        <v>2598</v>
      </c>
      <c r="D4379" s="254">
        <v>819.52</v>
      </c>
      <c r="E4379"/>
      <c r="F4379"/>
      <c r="G4379"/>
      <c r="H4379"/>
      <c r="I4379" s="489"/>
      <c r="J4379" s="1095"/>
      <c r="K4379" s="1095"/>
      <c r="L4379" s="1095"/>
      <c r="M4379" s="1095"/>
    </row>
    <row r="4380" spans="1:13" x14ac:dyDescent="0.25">
      <c r="A4380">
        <v>3816196</v>
      </c>
      <c r="B4380" t="s">
        <v>11512</v>
      </c>
      <c r="C4380" t="s">
        <v>2596</v>
      </c>
      <c r="D4380" s="254">
        <v>995.06</v>
      </c>
      <c r="E4380"/>
      <c r="F4380"/>
      <c r="G4380"/>
      <c r="H4380"/>
      <c r="I4380" s="489"/>
      <c r="J4380" s="1095"/>
      <c r="K4380" s="1095"/>
      <c r="L4380" s="1095"/>
      <c r="M4380" s="1095"/>
    </row>
    <row r="4381" spans="1:13" x14ac:dyDescent="0.25">
      <c r="A4381">
        <v>3806426</v>
      </c>
      <c r="B4381" t="s">
        <v>11513</v>
      </c>
      <c r="C4381" t="s">
        <v>2695</v>
      </c>
      <c r="D4381" s="254">
        <v>69.64</v>
      </c>
      <c r="E4381"/>
      <c r="F4381"/>
      <c r="G4381"/>
      <c r="H4381"/>
      <c r="I4381" s="489"/>
      <c r="J4381" s="1095"/>
      <c r="K4381" s="1095"/>
      <c r="L4381" s="1095"/>
      <c r="M4381" s="1095"/>
    </row>
    <row r="4382" spans="1:13" x14ac:dyDescent="0.25">
      <c r="A4382">
        <v>3806401</v>
      </c>
      <c r="B4382" t="s">
        <v>11514</v>
      </c>
      <c r="C4382" t="s">
        <v>2640</v>
      </c>
      <c r="D4382" s="254">
        <v>13868.28</v>
      </c>
      <c r="E4382"/>
      <c r="F4382"/>
      <c r="G4382"/>
      <c r="H4382"/>
      <c r="I4382" s="489"/>
      <c r="J4382" s="1095"/>
      <c r="K4382" s="1095"/>
      <c r="L4382" s="1095"/>
      <c r="M4382" s="1095"/>
    </row>
    <row r="4383" spans="1:13" x14ac:dyDescent="0.25">
      <c r="A4383">
        <v>3806423</v>
      </c>
      <c r="B4383" t="s">
        <v>11515</v>
      </c>
      <c r="C4383" t="s">
        <v>2640</v>
      </c>
      <c r="D4383" s="254">
        <v>9377.23</v>
      </c>
      <c r="E4383"/>
      <c r="F4383"/>
      <c r="G4383"/>
      <c r="H4383"/>
      <c r="I4383" s="489"/>
      <c r="J4383" s="1095"/>
      <c r="K4383" s="1095"/>
      <c r="L4383" s="1095"/>
      <c r="M4383" s="1095"/>
    </row>
    <row r="4384" spans="1:13" x14ac:dyDescent="0.25">
      <c r="A4384">
        <v>3806421</v>
      </c>
      <c r="B4384" t="s">
        <v>11516</v>
      </c>
      <c r="C4384" t="s">
        <v>2640</v>
      </c>
      <c r="D4384" s="254">
        <v>4613.2</v>
      </c>
      <c r="E4384"/>
      <c r="F4384"/>
      <c r="G4384"/>
      <c r="H4384"/>
      <c r="I4384" s="489"/>
      <c r="J4384" s="1095"/>
      <c r="K4384" s="1095"/>
      <c r="L4384" s="1095"/>
      <c r="M4384" s="1095"/>
    </row>
    <row r="4385" spans="1:13" x14ac:dyDescent="0.25">
      <c r="A4385">
        <v>3806422</v>
      </c>
      <c r="B4385" t="s">
        <v>11517</v>
      </c>
      <c r="C4385" t="s">
        <v>2640</v>
      </c>
      <c r="D4385" s="254">
        <v>8439.52</v>
      </c>
      <c r="E4385"/>
      <c r="F4385"/>
      <c r="G4385"/>
      <c r="H4385"/>
      <c r="I4385" s="489"/>
      <c r="J4385" s="1095"/>
      <c r="K4385" s="1095"/>
      <c r="L4385" s="1095"/>
      <c r="M4385" s="1095"/>
    </row>
    <row r="4386" spans="1:13" x14ac:dyDescent="0.25">
      <c r="A4386">
        <v>3806425</v>
      </c>
      <c r="B4386" t="s">
        <v>11518</v>
      </c>
      <c r="C4386" t="s">
        <v>2640</v>
      </c>
      <c r="D4386" s="254">
        <v>3033.61</v>
      </c>
      <c r="E4386"/>
      <c r="F4386"/>
      <c r="G4386"/>
      <c r="H4386"/>
      <c r="I4386" s="489"/>
      <c r="J4386" s="1095"/>
      <c r="K4386" s="1095"/>
      <c r="L4386" s="1095"/>
      <c r="M4386" s="1095"/>
    </row>
    <row r="4387" spans="1:13" x14ac:dyDescent="0.25">
      <c r="A4387">
        <v>3806424</v>
      </c>
      <c r="B4387" t="s">
        <v>11519</v>
      </c>
      <c r="C4387" t="s">
        <v>2640</v>
      </c>
      <c r="D4387" s="254">
        <v>4992.24</v>
      </c>
      <c r="E4387"/>
      <c r="F4387"/>
      <c r="G4387"/>
      <c r="H4387"/>
      <c r="I4387" s="489"/>
      <c r="J4387" s="1095"/>
      <c r="K4387" s="1095"/>
      <c r="L4387" s="1095"/>
      <c r="M4387" s="1095"/>
    </row>
    <row r="4388" spans="1:13" x14ac:dyDescent="0.25">
      <c r="A4388">
        <v>3806420</v>
      </c>
      <c r="B4388" t="s">
        <v>11520</v>
      </c>
      <c r="C4388" t="s">
        <v>2640</v>
      </c>
      <c r="D4388" s="254">
        <v>4036.57</v>
      </c>
      <c r="E4388"/>
      <c r="F4388"/>
      <c r="G4388"/>
      <c r="H4388"/>
      <c r="I4388" s="489"/>
      <c r="J4388" s="1095"/>
      <c r="K4388" s="1095"/>
      <c r="L4388" s="1095"/>
      <c r="M4388" s="1095"/>
    </row>
    <row r="4389" spans="1:13" x14ac:dyDescent="0.25">
      <c r="A4389">
        <v>3806405</v>
      </c>
      <c r="B4389" t="s">
        <v>13813</v>
      </c>
      <c r="C4389" t="s">
        <v>2640</v>
      </c>
      <c r="D4389" s="254">
        <v>130.59</v>
      </c>
      <c r="E4389"/>
      <c r="F4389"/>
      <c r="G4389"/>
      <c r="H4389"/>
      <c r="I4389" s="489"/>
      <c r="J4389" s="1095"/>
      <c r="K4389" s="1095"/>
      <c r="L4389" s="1095"/>
      <c r="M4389" s="1095"/>
    </row>
    <row r="4390" spans="1:13" x14ac:dyDescent="0.25">
      <c r="A4390">
        <v>3806404</v>
      </c>
      <c r="B4390" t="s">
        <v>11521</v>
      </c>
      <c r="C4390" t="s">
        <v>2596</v>
      </c>
      <c r="D4390" s="254">
        <v>108.49</v>
      </c>
      <c r="E4390"/>
      <c r="F4390"/>
      <c r="G4390"/>
      <c r="H4390"/>
      <c r="I4390" s="489"/>
      <c r="J4390" s="1095"/>
      <c r="K4390" s="1095"/>
      <c r="L4390" s="1095"/>
      <c r="M4390" s="1095"/>
    </row>
    <row r="4391" spans="1:13" x14ac:dyDescent="0.25">
      <c r="A4391">
        <v>3806406</v>
      </c>
      <c r="B4391" t="s">
        <v>11522</v>
      </c>
      <c r="C4391" t="s">
        <v>2598</v>
      </c>
      <c r="D4391" s="254">
        <v>5.65</v>
      </c>
      <c r="E4391"/>
      <c r="F4391"/>
      <c r="G4391"/>
      <c r="H4391"/>
      <c r="I4391" s="489"/>
      <c r="J4391" s="1095"/>
      <c r="K4391" s="1095"/>
      <c r="L4391" s="1095"/>
      <c r="M4391" s="1095"/>
    </row>
    <row r="4392" spans="1:13" x14ac:dyDescent="0.25">
      <c r="A4392">
        <v>3806403</v>
      </c>
      <c r="B4392" t="s">
        <v>11523</v>
      </c>
      <c r="C4392" t="s">
        <v>2595</v>
      </c>
      <c r="D4392" s="254">
        <v>8.94</v>
      </c>
      <c r="E4392"/>
      <c r="F4392"/>
      <c r="G4392"/>
      <c r="H4392"/>
      <c r="I4392" s="489"/>
      <c r="J4392" s="1095"/>
      <c r="K4392" s="1095"/>
      <c r="L4392" s="1095"/>
      <c r="M4392" s="1095"/>
    </row>
    <row r="4393" spans="1:13" x14ac:dyDescent="0.25">
      <c r="A4393">
        <v>3806402</v>
      </c>
      <c r="B4393" t="s">
        <v>13814</v>
      </c>
      <c r="C4393" t="s">
        <v>2595</v>
      </c>
      <c r="D4393" s="254">
        <v>2.2599999999999998</v>
      </c>
      <c r="E4393"/>
      <c r="F4393"/>
      <c r="G4393"/>
      <c r="H4393"/>
      <c r="I4393" s="489"/>
      <c r="J4393" s="1095"/>
      <c r="K4393" s="1095"/>
      <c r="L4393" s="1095"/>
      <c r="M4393" s="1095"/>
    </row>
    <row r="4394" spans="1:13" x14ac:dyDescent="0.25">
      <c r="A4394">
        <v>3806407</v>
      </c>
      <c r="B4394" t="s">
        <v>13815</v>
      </c>
      <c r="C4394" t="s">
        <v>2598</v>
      </c>
      <c r="D4394" s="254">
        <v>180.77</v>
      </c>
      <c r="E4394"/>
      <c r="F4394"/>
      <c r="G4394"/>
      <c r="H4394"/>
      <c r="I4394" s="489"/>
      <c r="J4394" s="1095"/>
      <c r="K4394" s="1095"/>
      <c r="L4394" s="1095"/>
      <c r="M4394" s="1095"/>
    </row>
    <row r="4395" spans="1:13" x14ac:dyDescent="0.25">
      <c r="A4395">
        <v>3808043</v>
      </c>
      <c r="B4395" t="s">
        <v>11524</v>
      </c>
      <c r="C4395" t="s">
        <v>2595</v>
      </c>
      <c r="D4395" s="254">
        <v>3.95</v>
      </c>
      <c r="E4395"/>
      <c r="F4395"/>
      <c r="G4395"/>
      <c r="H4395"/>
      <c r="I4395" s="489"/>
      <c r="J4395" s="1095"/>
      <c r="K4395" s="1095"/>
      <c r="L4395" s="1095"/>
      <c r="M4395" s="1095"/>
    </row>
    <row r="4396" spans="1:13" x14ac:dyDescent="0.25">
      <c r="A4396">
        <v>3806431</v>
      </c>
      <c r="B4396" t="s">
        <v>11525</v>
      </c>
      <c r="C4396" t="s">
        <v>2640</v>
      </c>
      <c r="D4396" s="254">
        <v>7183.61</v>
      </c>
      <c r="E4396"/>
      <c r="F4396"/>
      <c r="G4396"/>
      <c r="H4396"/>
      <c r="I4396" s="489"/>
      <c r="J4396" s="1095"/>
      <c r="K4396" s="1095"/>
      <c r="L4396" s="1095"/>
      <c r="M4396" s="1095"/>
    </row>
    <row r="4397" spans="1:13" x14ac:dyDescent="0.25">
      <c r="A4397">
        <v>3806432</v>
      </c>
      <c r="B4397" t="s">
        <v>11526</v>
      </c>
      <c r="C4397" t="s">
        <v>2640</v>
      </c>
      <c r="D4397" s="254">
        <v>3745.94</v>
      </c>
      <c r="E4397"/>
      <c r="F4397"/>
      <c r="G4397"/>
      <c r="H4397"/>
      <c r="I4397" s="489"/>
      <c r="J4397" s="1095"/>
      <c r="K4397" s="1095"/>
      <c r="L4397" s="1095"/>
      <c r="M4397" s="1095"/>
    </row>
    <row r="4398" spans="1:13" x14ac:dyDescent="0.25">
      <c r="A4398">
        <v>3806429</v>
      </c>
      <c r="B4398" t="s">
        <v>11527</v>
      </c>
      <c r="C4398" t="s">
        <v>2596</v>
      </c>
      <c r="D4398" s="254">
        <v>15.7</v>
      </c>
      <c r="E4398"/>
      <c r="F4398"/>
      <c r="G4398"/>
      <c r="H4398"/>
      <c r="I4398" s="489"/>
      <c r="J4398" s="1095"/>
      <c r="K4398" s="1095"/>
      <c r="L4398" s="1095"/>
      <c r="M4398" s="1095"/>
    </row>
    <row r="4399" spans="1:13" x14ac:dyDescent="0.25">
      <c r="A4399">
        <v>3806430</v>
      </c>
      <c r="B4399" t="s">
        <v>11528</v>
      </c>
      <c r="C4399" t="s">
        <v>2596</v>
      </c>
      <c r="D4399" s="254">
        <v>9.91</v>
      </c>
      <c r="E4399"/>
      <c r="F4399"/>
      <c r="G4399"/>
      <c r="H4399"/>
      <c r="I4399" s="489"/>
      <c r="J4399" s="1095"/>
      <c r="K4399" s="1095"/>
      <c r="L4399" s="1095"/>
      <c r="M4399" s="1095"/>
    </row>
    <row r="4400" spans="1:13" x14ac:dyDescent="0.25">
      <c r="A4400">
        <v>3806428</v>
      </c>
      <c r="B4400" t="s">
        <v>11529</v>
      </c>
      <c r="C4400" t="s">
        <v>2596</v>
      </c>
      <c r="D4400" s="254">
        <v>35.159999999999997</v>
      </c>
      <c r="E4400"/>
      <c r="F4400"/>
      <c r="G4400"/>
      <c r="H4400"/>
      <c r="I4400" s="489"/>
      <c r="J4400" s="1095"/>
      <c r="K4400" s="1095"/>
      <c r="L4400" s="1095"/>
      <c r="M4400" s="1095"/>
    </row>
    <row r="4401" spans="1:13" x14ac:dyDescent="0.25">
      <c r="A4401">
        <v>3816198</v>
      </c>
      <c r="B4401" t="s">
        <v>11530</v>
      </c>
      <c r="C4401" t="s">
        <v>2596</v>
      </c>
      <c r="D4401" s="254">
        <v>63.23</v>
      </c>
      <c r="E4401"/>
      <c r="F4401"/>
      <c r="G4401"/>
      <c r="H4401"/>
      <c r="I4401" s="489"/>
      <c r="J4401" s="1095"/>
      <c r="K4401" s="1095"/>
      <c r="L4401" s="1095"/>
      <c r="M4401" s="1095"/>
    </row>
    <row r="4402" spans="1:13" x14ac:dyDescent="0.25">
      <c r="A4402">
        <v>3816197</v>
      </c>
      <c r="B4402" t="s">
        <v>11531</v>
      </c>
      <c r="C4402" t="s">
        <v>2596</v>
      </c>
      <c r="D4402" s="254">
        <v>57.66</v>
      </c>
      <c r="E4402"/>
      <c r="F4402"/>
      <c r="G4402"/>
      <c r="H4402"/>
      <c r="I4402" s="489"/>
      <c r="J4402" s="1095"/>
      <c r="K4402" s="1095"/>
      <c r="L4402" s="1095"/>
      <c r="M4402" s="1095"/>
    </row>
    <row r="4403" spans="1:13" x14ac:dyDescent="0.25">
      <c r="A4403">
        <v>3806410</v>
      </c>
      <c r="B4403" t="s">
        <v>11532</v>
      </c>
      <c r="C4403" t="s">
        <v>2595</v>
      </c>
      <c r="D4403" s="254">
        <v>61.28</v>
      </c>
      <c r="E4403"/>
      <c r="F4403"/>
      <c r="G4403"/>
      <c r="H4403"/>
      <c r="I4403" s="489"/>
      <c r="J4403" s="1095"/>
      <c r="K4403" s="1095"/>
      <c r="L4403" s="1095"/>
      <c r="M4403" s="1095"/>
    </row>
    <row r="4404" spans="1:13" x14ac:dyDescent="0.25">
      <c r="A4404">
        <v>3806411</v>
      </c>
      <c r="B4404" t="s">
        <v>11533</v>
      </c>
      <c r="C4404" t="s">
        <v>149</v>
      </c>
      <c r="D4404" s="254">
        <v>680.08</v>
      </c>
      <c r="E4404"/>
      <c r="F4404"/>
      <c r="G4404"/>
      <c r="H4404"/>
      <c r="I4404" s="489"/>
      <c r="J4404" s="1095"/>
      <c r="K4404" s="1095"/>
      <c r="L4404" s="1095"/>
      <c r="M4404" s="1095"/>
    </row>
    <row r="4405" spans="1:13" x14ac:dyDescent="0.25">
      <c r="A4405">
        <v>3815644</v>
      </c>
      <c r="B4405" t="s">
        <v>11534</v>
      </c>
      <c r="C4405" t="s">
        <v>2640</v>
      </c>
      <c r="D4405" s="254">
        <v>103.93</v>
      </c>
      <c r="E4405"/>
      <c r="F4405"/>
      <c r="G4405"/>
      <c r="H4405"/>
      <c r="I4405" s="489"/>
      <c r="J4405" s="1095"/>
      <c r="K4405" s="1095"/>
      <c r="L4405" s="1095"/>
      <c r="M4405" s="1095"/>
    </row>
    <row r="4406" spans="1:13" x14ac:dyDescent="0.25">
      <c r="A4406">
        <v>3815643</v>
      </c>
      <c r="B4406" t="s">
        <v>11535</v>
      </c>
      <c r="C4406" t="s">
        <v>2640</v>
      </c>
      <c r="D4406" s="254">
        <v>75.62</v>
      </c>
      <c r="E4406"/>
      <c r="F4406"/>
      <c r="G4406"/>
      <c r="H4406"/>
      <c r="I4406" s="489"/>
      <c r="J4406" s="1095"/>
      <c r="K4406" s="1095"/>
      <c r="L4406" s="1095"/>
      <c r="M4406" s="1095"/>
    </row>
    <row r="4407" spans="1:13" x14ac:dyDescent="0.25">
      <c r="A4407">
        <v>3815706</v>
      </c>
      <c r="B4407" t="s">
        <v>11536</v>
      </c>
      <c r="C4407" t="s">
        <v>2598</v>
      </c>
      <c r="D4407" s="254">
        <v>138.53</v>
      </c>
      <c r="E4407"/>
      <c r="F4407"/>
      <c r="G4407"/>
      <c r="H4407"/>
      <c r="I4407" s="489"/>
      <c r="J4407" s="1095"/>
      <c r="K4407" s="1095"/>
      <c r="L4407" s="1095"/>
      <c r="M4407" s="1095"/>
    </row>
    <row r="4408" spans="1:13" x14ac:dyDescent="0.25">
      <c r="A4408">
        <v>3815597</v>
      </c>
      <c r="B4408" t="s">
        <v>11537</v>
      </c>
      <c r="C4408" t="s">
        <v>2598</v>
      </c>
      <c r="D4408" s="254">
        <v>130.76</v>
      </c>
      <c r="E4408"/>
      <c r="F4408"/>
      <c r="G4408"/>
      <c r="H4408"/>
      <c r="I4408" s="489"/>
      <c r="J4408" s="1095"/>
      <c r="K4408" s="1095"/>
      <c r="L4408" s="1095"/>
      <c r="M4408" s="1095"/>
    </row>
    <row r="4409" spans="1:13" x14ac:dyDescent="0.25">
      <c r="A4409">
        <v>3815600</v>
      </c>
      <c r="B4409" t="s">
        <v>11538</v>
      </c>
      <c r="C4409" t="s">
        <v>2595</v>
      </c>
      <c r="D4409" s="254">
        <v>57.25</v>
      </c>
      <c r="E4409"/>
      <c r="F4409"/>
      <c r="G4409"/>
      <c r="H4409"/>
      <c r="I4409" s="489"/>
      <c r="J4409" s="1095"/>
      <c r="K4409" s="1095"/>
      <c r="L4409" s="1095"/>
      <c r="M4409" s="1095"/>
    </row>
    <row r="4410" spans="1:13" x14ac:dyDescent="0.25">
      <c r="A4410">
        <v>3815601</v>
      </c>
      <c r="B4410" t="s">
        <v>11539</v>
      </c>
      <c r="C4410" t="s">
        <v>2595</v>
      </c>
      <c r="D4410" s="254">
        <v>52.88</v>
      </c>
      <c r="E4410"/>
      <c r="F4410"/>
      <c r="G4410"/>
      <c r="H4410"/>
      <c r="I4410" s="489"/>
      <c r="J4410" s="1095"/>
      <c r="K4410" s="1095"/>
      <c r="L4410" s="1095"/>
      <c r="M4410" s="1095"/>
    </row>
    <row r="4411" spans="1:13" x14ac:dyDescent="0.25">
      <c r="A4411">
        <v>3815599</v>
      </c>
      <c r="B4411" t="s">
        <v>11540</v>
      </c>
      <c r="C4411" t="s">
        <v>2595</v>
      </c>
      <c r="D4411" s="254">
        <v>23.03</v>
      </c>
      <c r="E4411"/>
      <c r="F4411"/>
      <c r="G4411"/>
      <c r="H4411"/>
      <c r="I4411" s="489"/>
      <c r="J4411" s="1095"/>
      <c r="K4411" s="1095"/>
      <c r="L4411" s="1095"/>
      <c r="M4411" s="1095"/>
    </row>
    <row r="4412" spans="1:13" x14ac:dyDescent="0.25">
      <c r="A4412">
        <v>3806414</v>
      </c>
      <c r="B4412" t="s">
        <v>11541</v>
      </c>
      <c r="C4412" t="s">
        <v>2596</v>
      </c>
      <c r="D4412" s="254">
        <v>614.77</v>
      </c>
      <c r="E4412"/>
      <c r="F4412"/>
      <c r="G4412"/>
      <c r="H4412"/>
      <c r="I4412" s="489"/>
      <c r="J4412" s="1095"/>
      <c r="K4412" s="1095"/>
      <c r="L4412" s="1095"/>
      <c r="M4412" s="1095"/>
    </row>
    <row r="4413" spans="1:13" x14ac:dyDescent="0.25">
      <c r="A4413">
        <v>3806409</v>
      </c>
      <c r="B4413" t="s">
        <v>11542</v>
      </c>
      <c r="C4413" t="s">
        <v>2598</v>
      </c>
      <c r="D4413" s="254">
        <v>58.95</v>
      </c>
      <c r="E4413"/>
      <c r="F4413"/>
      <c r="G4413"/>
      <c r="H4413"/>
      <c r="I4413" s="489"/>
      <c r="J4413" s="1095"/>
      <c r="K4413" s="1095"/>
      <c r="L4413" s="1095"/>
      <c r="M4413" s="1095"/>
    </row>
    <row r="4414" spans="1:13" x14ac:dyDescent="0.25">
      <c r="A4414">
        <v>3815602</v>
      </c>
      <c r="B4414" t="s">
        <v>11543</v>
      </c>
      <c r="C4414" t="s">
        <v>2598</v>
      </c>
      <c r="D4414" s="254">
        <v>31.51</v>
      </c>
      <c r="E4414"/>
      <c r="F4414"/>
      <c r="G4414"/>
      <c r="H4414"/>
      <c r="I4414" s="489"/>
      <c r="J4414" s="1095"/>
      <c r="K4414" s="1095"/>
      <c r="L4414" s="1095"/>
      <c r="M4414" s="1095"/>
    </row>
    <row r="4415" spans="1:13" x14ac:dyDescent="0.25">
      <c r="A4415">
        <v>4011444</v>
      </c>
      <c r="B4415" t="s">
        <v>11544</v>
      </c>
      <c r="C4415" t="s">
        <v>2695</v>
      </c>
      <c r="D4415" s="254">
        <v>204.37</v>
      </c>
      <c r="E4415"/>
      <c r="F4415"/>
      <c r="G4415"/>
      <c r="H4415"/>
      <c r="I4415" s="489"/>
      <c r="J4415" s="1095"/>
      <c r="K4415" s="1095"/>
      <c r="L4415" s="1095"/>
      <c r="M4415" s="1095"/>
    </row>
    <row r="4416" spans="1:13" x14ac:dyDescent="0.25">
      <c r="A4416">
        <v>4011443</v>
      </c>
      <c r="B4416" t="s">
        <v>11545</v>
      </c>
      <c r="C4416" t="s">
        <v>2695</v>
      </c>
      <c r="D4416" s="254">
        <v>133.74</v>
      </c>
      <c r="E4416"/>
      <c r="F4416"/>
      <c r="G4416"/>
      <c r="H4416"/>
      <c r="I4416" s="489"/>
      <c r="J4416" s="1095"/>
      <c r="K4416" s="1095"/>
      <c r="L4416" s="1095"/>
      <c r="M4416" s="1095"/>
    </row>
    <row r="4417" spans="1:13" x14ac:dyDescent="0.25">
      <c r="A4417">
        <v>4011446</v>
      </c>
      <c r="B4417" t="s">
        <v>11546</v>
      </c>
      <c r="C4417" t="s">
        <v>2695</v>
      </c>
      <c r="D4417" s="254">
        <v>194.81</v>
      </c>
      <c r="E4417"/>
      <c r="F4417"/>
      <c r="G4417"/>
      <c r="H4417"/>
      <c r="I4417" s="489"/>
      <c r="J4417" s="1095"/>
      <c r="K4417" s="1095"/>
      <c r="L4417" s="1095"/>
      <c r="M4417" s="1095"/>
    </row>
    <row r="4418" spans="1:13" x14ac:dyDescent="0.25">
      <c r="A4418">
        <v>4011445</v>
      </c>
      <c r="B4418" t="s">
        <v>11547</v>
      </c>
      <c r="C4418" t="s">
        <v>2695</v>
      </c>
      <c r="D4418" s="254">
        <v>122.61</v>
      </c>
      <c r="E4418"/>
      <c r="F4418"/>
      <c r="G4418"/>
      <c r="H4418"/>
      <c r="I4418" s="489"/>
      <c r="J4418" s="1095"/>
      <c r="K4418" s="1095"/>
      <c r="L4418" s="1095"/>
      <c r="M4418" s="1095"/>
    </row>
    <row r="4419" spans="1:13" x14ac:dyDescent="0.25">
      <c r="A4419">
        <v>4011448</v>
      </c>
      <c r="B4419" t="s">
        <v>11548</v>
      </c>
      <c r="C4419" t="s">
        <v>2695</v>
      </c>
      <c r="D4419" s="254">
        <v>197.58</v>
      </c>
      <c r="E4419"/>
      <c r="F4419"/>
      <c r="G4419"/>
      <c r="H4419"/>
      <c r="I4419" s="489"/>
      <c r="J4419" s="1095"/>
      <c r="K4419" s="1095"/>
      <c r="L4419" s="1095"/>
      <c r="M4419" s="1095"/>
    </row>
    <row r="4420" spans="1:13" x14ac:dyDescent="0.25">
      <c r="A4420">
        <v>4011447</v>
      </c>
      <c r="B4420" t="s">
        <v>11549</v>
      </c>
      <c r="C4420" t="s">
        <v>2695</v>
      </c>
      <c r="D4420" s="254">
        <v>123.36</v>
      </c>
      <c r="E4420"/>
      <c r="F4420"/>
      <c r="G4420"/>
      <c r="H4420"/>
      <c r="I4420" s="489"/>
      <c r="J4420" s="1095"/>
      <c r="K4420" s="1095"/>
      <c r="L4420" s="1095"/>
      <c r="M4420" s="1095"/>
    </row>
    <row r="4421" spans="1:13" x14ac:dyDescent="0.25">
      <c r="A4421">
        <v>4011450</v>
      </c>
      <c r="B4421" t="s">
        <v>11550</v>
      </c>
      <c r="C4421" t="s">
        <v>2695</v>
      </c>
      <c r="D4421" s="254">
        <v>202.92</v>
      </c>
      <c r="E4421"/>
      <c r="F4421"/>
      <c r="G4421"/>
      <c r="H4421"/>
      <c r="I4421" s="489"/>
      <c r="J4421" s="1095"/>
      <c r="K4421" s="1095"/>
      <c r="L4421" s="1095"/>
      <c r="M4421" s="1095"/>
    </row>
    <row r="4422" spans="1:13" x14ac:dyDescent="0.25">
      <c r="A4422">
        <v>4011449</v>
      </c>
      <c r="B4422" t="s">
        <v>11551</v>
      </c>
      <c r="C4422" t="s">
        <v>2695</v>
      </c>
      <c r="D4422" s="254">
        <v>130.03</v>
      </c>
      <c r="E4422"/>
      <c r="F4422"/>
      <c r="G4422"/>
      <c r="H4422"/>
      <c r="I4422" s="489"/>
      <c r="J4422" s="1095"/>
      <c r="K4422" s="1095"/>
      <c r="L4422" s="1095"/>
      <c r="M4422" s="1095"/>
    </row>
    <row r="4423" spans="1:13" x14ac:dyDescent="0.25">
      <c r="A4423">
        <v>4011452</v>
      </c>
      <c r="B4423" t="s">
        <v>11552</v>
      </c>
      <c r="C4423" t="s">
        <v>2695</v>
      </c>
      <c r="D4423" s="254">
        <v>206.38</v>
      </c>
      <c r="E4423"/>
      <c r="F4423"/>
      <c r="G4423"/>
      <c r="H4423"/>
      <c r="I4423" s="489"/>
      <c r="J4423" s="1095"/>
      <c r="K4423" s="1095"/>
      <c r="L4423" s="1095"/>
      <c r="M4423" s="1095"/>
    </row>
    <row r="4424" spans="1:13" x14ac:dyDescent="0.25">
      <c r="A4424">
        <v>4011451</v>
      </c>
      <c r="B4424" t="s">
        <v>11553</v>
      </c>
      <c r="C4424" t="s">
        <v>2695</v>
      </c>
      <c r="D4424" s="254">
        <v>134.41999999999999</v>
      </c>
      <c r="E4424"/>
      <c r="F4424"/>
      <c r="G4424"/>
      <c r="H4424"/>
      <c r="I4424" s="489"/>
      <c r="J4424" s="1095"/>
      <c r="K4424" s="1095"/>
      <c r="L4424" s="1095"/>
      <c r="M4424" s="1095"/>
    </row>
    <row r="4425" spans="1:13" x14ac:dyDescent="0.25">
      <c r="A4425">
        <v>4011219</v>
      </c>
      <c r="B4425" t="s">
        <v>11554</v>
      </c>
      <c r="C4425" t="s">
        <v>2596</v>
      </c>
      <c r="D4425" s="254">
        <v>12.69</v>
      </c>
      <c r="E4425"/>
      <c r="F4425"/>
      <c r="G4425"/>
      <c r="H4425"/>
      <c r="I4425" s="489"/>
      <c r="J4425" s="1095"/>
      <c r="K4425" s="1095"/>
      <c r="L4425" s="1095"/>
      <c r="M4425" s="1095"/>
    </row>
    <row r="4426" spans="1:13" x14ac:dyDescent="0.25">
      <c r="A4426">
        <v>4011291</v>
      </c>
      <c r="B4426" t="s">
        <v>11555</v>
      </c>
      <c r="C4426" t="s">
        <v>2596</v>
      </c>
      <c r="D4426" s="254">
        <v>64.459999999999994</v>
      </c>
      <c r="E4426"/>
      <c r="F4426"/>
      <c r="G4426"/>
      <c r="H4426"/>
      <c r="I4426" s="489"/>
      <c r="J4426" s="1095"/>
      <c r="K4426" s="1095"/>
      <c r="L4426" s="1095"/>
      <c r="M4426" s="1095"/>
    </row>
    <row r="4427" spans="1:13" x14ac:dyDescent="0.25">
      <c r="A4427">
        <v>4011287</v>
      </c>
      <c r="B4427" t="s">
        <v>11556</v>
      </c>
      <c r="C4427" t="s">
        <v>2596</v>
      </c>
      <c r="D4427" s="254">
        <v>53.35</v>
      </c>
      <c r="E4427"/>
      <c r="F4427"/>
      <c r="G4427"/>
      <c r="H4427"/>
      <c r="I4427" s="489"/>
      <c r="J4427" s="1095"/>
      <c r="K4427" s="1095"/>
      <c r="L4427" s="1095"/>
      <c r="M4427" s="1095"/>
    </row>
    <row r="4428" spans="1:13" x14ac:dyDescent="0.25">
      <c r="A4428">
        <v>4011305</v>
      </c>
      <c r="B4428" t="s">
        <v>11557</v>
      </c>
      <c r="C4428" t="s">
        <v>2596</v>
      </c>
      <c r="D4428" s="254">
        <v>85.89</v>
      </c>
      <c r="E4428"/>
      <c r="F4428"/>
      <c r="G4428"/>
      <c r="H4428"/>
      <c r="I4428" s="489"/>
      <c r="J4428" s="1095"/>
      <c r="K4428" s="1095"/>
      <c r="L4428" s="1095"/>
      <c r="M4428" s="1095"/>
    </row>
    <row r="4429" spans="1:13" x14ac:dyDescent="0.25">
      <c r="A4429">
        <v>4011313</v>
      </c>
      <c r="B4429" t="s">
        <v>11558</v>
      </c>
      <c r="C4429" t="s">
        <v>2596</v>
      </c>
      <c r="D4429" s="254">
        <v>114.28</v>
      </c>
      <c r="E4429"/>
      <c r="F4429"/>
      <c r="G4429"/>
      <c r="H4429"/>
      <c r="I4429" s="489"/>
      <c r="J4429" s="1095"/>
      <c r="K4429" s="1095"/>
      <c r="L4429" s="1095"/>
      <c r="M4429" s="1095"/>
    </row>
    <row r="4430" spans="1:13" x14ac:dyDescent="0.25">
      <c r="A4430">
        <v>4011297</v>
      </c>
      <c r="B4430" t="s">
        <v>11559</v>
      </c>
      <c r="C4430" t="s">
        <v>2596</v>
      </c>
      <c r="D4430" s="254">
        <v>105.64</v>
      </c>
      <c r="E4430"/>
      <c r="F4430"/>
      <c r="G4430"/>
      <c r="H4430"/>
      <c r="I4430" s="489"/>
      <c r="J4430" s="1095"/>
      <c r="K4430" s="1095"/>
      <c r="L4430" s="1095"/>
      <c r="M4430" s="1095"/>
    </row>
    <row r="4431" spans="1:13" x14ac:dyDescent="0.25">
      <c r="A4431">
        <v>4011221</v>
      </c>
      <c r="B4431" t="s">
        <v>11560</v>
      </c>
      <c r="C4431" t="s">
        <v>2596</v>
      </c>
      <c r="D4431" s="254">
        <v>13.45</v>
      </c>
      <c r="E4431"/>
      <c r="F4431"/>
      <c r="G4431"/>
      <c r="H4431"/>
      <c r="I4431" s="489"/>
      <c r="J4431" s="1095"/>
      <c r="K4431" s="1095"/>
      <c r="L4431" s="1095"/>
      <c r="M4431" s="1095"/>
    </row>
    <row r="4432" spans="1:13" x14ac:dyDescent="0.25">
      <c r="A4432">
        <v>4011226</v>
      </c>
      <c r="B4432" t="s">
        <v>11561</v>
      </c>
      <c r="C4432" t="s">
        <v>2596</v>
      </c>
      <c r="D4432" s="254">
        <v>32.200000000000003</v>
      </c>
      <c r="E4432"/>
      <c r="F4432"/>
      <c r="G4432"/>
      <c r="H4432"/>
      <c r="I4432" s="489"/>
      <c r="J4432" s="1095"/>
      <c r="K4432" s="1095"/>
      <c r="L4432" s="1095"/>
      <c r="M4432" s="1095"/>
    </row>
    <row r="4433" spans="1:13" x14ac:dyDescent="0.25">
      <c r="A4433">
        <v>4011240</v>
      </c>
      <c r="B4433" t="s">
        <v>11562</v>
      </c>
      <c r="C4433" t="s">
        <v>2596</v>
      </c>
      <c r="D4433" s="254">
        <v>114.35</v>
      </c>
      <c r="E4433"/>
      <c r="F4433"/>
      <c r="G4433"/>
      <c r="H4433"/>
      <c r="I4433" s="489"/>
      <c r="J4433" s="1095"/>
      <c r="K4433" s="1095"/>
      <c r="L4433" s="1095"/>
      <c r="M4433" s="1095"/>
    </row>
    <row r="4434" spans="1:13" x14ac:dyDescent="0.25">
      <c r="A4434">
        <v>4011239</v>
      </c>
      <c r="B4434" t="s">
        <v>11563</v>
      </c>
      <c r="C4434" t="s">
        <v>2596</v>
      </c>
      <c r="D4434" s="254">
        <v>87.69</v>
      </c>
      <c r="E4434"/>
      <c r="F4434"/>
      <c r="G4434"/>
      <c r="H4434"/>
      <c r="I4434" s="489"/>
      <c r="J4434" s="1095"/>
      <c r="K4434" s="1095"/>
      <c r="L4434" s="1095"/>
      <c r="M4434" s="1095"/>
    </row>
    <row r="4435" spans="1:13" x14ac:dyDescent="0.25">
      <c r="A4435">
        <v>4011268</v>
      </c>
      <c r="B4435" t="s">
        <v>11564</v>
      </c>
      <c r="C4435" t="s">
        <v>2596</v>
      </c>
      <c r="D4435" s="254">
        <v>76.67</v>
      </c>
      <c r="E4435"/>
      <c r="F4435"/>
      <c r="G4435"/>
      <c r="H4435"/>
      <c r="I4435" s="489"/>
      <c r="J4435" s="1095"/>
      <c r="K4435" s="1095"/>
      <c r="L4435" s="1095"/>
      <c r="M4435" s="1095"/>
    </row>
    <row r="4436" spans="1:13" x14ac:dyDescent="0.25">
      <c r="A4436">
        <v>4011267</v>
      </c>
      <c r="B4436" t="s">
        <v>11565</v>
      </c>
      <c r="C4436" t="s">
        <v>2596</v>
      </c>
      <c r="D4436" s="254">
        <v>49.19</v>
      </c>
      <c r="E4436"/>
      <c r="F4436"/>
      <c r="G4436"/>
      <c r="H4436"/>
      <c r="I4436" s="489"/>
      <c r="J4436" s="1095"/>
      <c r="K4436" s="1095"/>
      <c r="L4436" s="1095"/>
      <c r="M4436" s="1095"/>
    </row>
    <row r="4437" spans="1:13" x14ac:dyDescent="0.25">
      <c r="A4437">
        <v>4011256</v>
      </c>
      <c r="B4437" t="s">
        <v>11566</v>
      </c>
      <c r="C4437" t="s">
        <v>2596</v>
      </c>
      <c r="D4437" s="254">
        <v>62.91</v>
      </c>
      <c r="E4437"/>
      <c r="F4437"/>
      <c r="G4437"/>
      <c r="H4437"/>
      <c r="I4437" s="489"/>
      <c r="J4437" s="1095"/>
      <c r="K4437" s="1095"/>
      <c r="L4437" s="1095"/>
      <c r="M4437" s="1095"/>
    </row>
    <row r="4438" spans="1:13" x14ac:dyDescent="0.25">
      <c r="A4438">
        <v>4011255</v>
      </c>
      <c r="B4438" t="s">
        <v>11567</v>
      </c>
      <c r="C4438" t="s">
        <v>2596</v>
      </c>
      <c r="D4438" s="254">
        <v>35.43</v>
      </c>
      <c r="E4438"/>
      <c r="F4438"/>
      <c r="G4438"/>
      <c r="H4438"/>
      <c r="I4438" s="489"/>
      <c r="J4438" s="1095"/>
      <c r="K4438" s="1095"/>
      <c r="L4438" s="1095"/>
      <c r="M4438" s="1095"/>
    </row>
    <row r="4439" spans="1:13" x14ac:dyDescent="0.25">
      <c r="A4439">
        <v>4011276</v>
      </c>
      <c r="B4439" t="s">
        <v>6331</v>
      </c>
      <c r="C4439" t="s">
        <v>2596</v>
      </c>
      <c r="D4439" s="254">
        <v>204.16</v>
      </c>
      <c r="E4439"/>
      <c r="F4439"/>
      <c r="G4439"/>
      <c r="H4439"/>
      <c r="I4439" s="489"/>
      <c r="J4439" s="1095"/>
      <c r="K4439" s="1095"/>
      <c r="L4439" s="1095"/>
      <c r="M4439" s="1095"/>
    </row>
    <row r="4440" spans="1:13" x14ac:dyDescent="0.25">
      <c r="A4440">
        <v>4011275</v>
      </c>
      <c r="B4440" t="s">
        <v>11568</v>
      </c>
      <c r="C4440" t="s">
        <v>2596</v>
      </c>
      <c r="D4440" s="254">
        <v>108.57</v>
      </c>
      <c r="E4440"/>
      <c r="F4440"/>
      <c r="G4440"/>
      <c r="H4440"/>
      <c r="I4440" s="489"/>
      <c r="J4440" s="1095"/>
      <c r="K4440" s="1095"/>
      <c r="L4440" s="1095"/>
      <c r="M4440" s="1095"/>
    </row>
    <row r="4441" spans="1:13" x14ac:dyDescent="0.25">
      <c r="A4441">
        <v>4011549</v>
      </c>
      <c r="B4441" t="s">
        <v>11569</v>
      </c>
      <c r="C4441" t="s">
        <v>2596</v>
      </c>
      <c r="D4441" s="254">
        <v>204.33</v>
      </c>
      <c r="E4441"/>
      <c r="F4441"/>
      <c r="G4441"/>
      <c r="H4441"/>
      <c r="I4441" s="489"/>
      <c r="J4441" s="1095"/>
      <c r="K4441" s="1095"/>
      <c r="L4441" s="1095"/>
      <c r="M4441" s="1095"/>
    </row>
    <row r="4442" spans="1:13" x14ac:dyDescent="0.25">
      <c r="A4442">
        <v>4011548</v>
      </c>
      <c r="B4442" t="s">
        <v>11570</v>
      </c>
      <c r="C4442" t="s">
        <v>2596</v>
      </c>
      <c r="D4442" s="254">
        <v>108.74</v>
      </c>
      <c r="E4442"/>
      <c r="F4442"/>
      <c r="G4442"/>
      <c r="H4442"/>
      <c r="I4442" s="489"/>
      <c r="J4442" s="1095"/>
      <c r="K4442" s="1095"/>
      <c r="L4442" s="1095"/>
      <c r="M4442" s="1095"/>
    </row>
    <row r="4443" spans="1:13" x14ac:dyDescent="0.25">
      <c r="A4443">
        <v>4011278</v>
      </c>
      <c r="B4443" t="s">
        <v>11571</v>
      </c>
      <c r="C4443" t="s">
        <v>2596</v>
      </c>
      <c r="D4443" s="254">
        <v>251.53</v>
      </c>
      <c r="E4443"/>
      <c r="F4443"/>
      <c r="G4443"/>
      <c r="H4443"/>
      <c r="I4443" s="489"/>
      <c r="J4443" s="1095"/>
      <c r="K4443" s="1095"/>
      <c r="L4443" s="1095"/>
      <c r="M4443" s="1095"/>
    </row>
    <row r="4444" spans="1:13" x14ac:dyDescent="0.25">
      <c r="A4444">
        <v>4011277</v>
      </c>
      <c r="B4444" t="s">
        <v>11572</v>
      </c>
      <c r="C4444" t="s">
        <v>2596</v>
      </c>
      <c r="D4444" s="254">
        <v>158.57</v>
      </c>
      <c r="E4444"/>
      <c r="F4444"/>
      <c r="G4444"/>
      <c r="H4444"/>
      <c r="I4444" s="489"/>
      <c r="J4444" s="1095"/>
      <c r="K4444" s="1095"/>
      <c r="L4444" s="1095"/>
      <c r="M4444" s="1095"/>
    </row>
    <row r="4445" spans="1:13" x14ac:dyDescent="0.25">
      <c r="A4445">
        <v>4011561</v>
      </c>
      <c r="B4445" t="s">
        <v>11573</v>
      </c>
      <c r="C4445" t="s">
        <v>2596</v>
      </c>
      <c r="D4445" s="254">
        <v>251.7</v>
      </c>
      <c r="E4445"/>
      <c r="F4445"/>
      <c r="G4445"/>
      <c r="H4445"/>
      <c r="I4445" s="489"/>
      <c r="J4445" s="1095"/>
      <c r="K4445" s="1095"/>
      <c r="L4445" s="1095"/>
      <c r="M4445" s="1095"/>
    </row>
    <row r="4446" spans="1:13" x14ac:dyDescent="0.25">
      <c r="A4446">
        <v>4011560</v>
      </c>
      <c r="B4446" t="s">
        <v>11574</v>
      </c>
      <c r="C4446" t="s">
        <v>2596</v>
      </c>
      <c r="D4446" s="254">
        <v>158.74</v>
      </c>
      <c r="E4446"/>
      <c r="F4446"/>
      <c r="G4446"/>
      <c r="H4446"/>
      <c r="I4446" s="489"/>
      <c r="J4446" s="1095"/>
      <c r="K4446" s="1095"/>
      <c r="L4446" s="1095"/>
      <c r="M4446" s="1095"/>
    </row>
    <row r="4447" spans="1:13" x14ac:dyDescent="0.25">
      <c r="A4447">
        <v>4011282</v>
      </c>
      <c r="B4447" t="s">
        <v>11575</v>
      </c>
      <c r="C4447" t="s">
        <v>2596</v>
      </c>
      <c r="D4447" s="254">
        <v>180.88</v>
      </c>
      <c r="E4447"/>
      <c r="F4447"/>
      <c r="G4447"/>
      <c r="H4447"/>
      <c r="I4447" s="489"/>
      <c r="J4447" s="1095"/>
      <c r="K4447" s="1095"/>
      <c r="L4447" s="1095"/>
      <c r="M4447" s="1095"/>
    </row>
    <row r="4448" spans="1:13" x14ac:dyDescent="0.25">
      <c r="A4448">
        <v>4011281</v>
      </c>
      <c r="B4448" t="s">
        <v>11576</v>
      </c>
      <c r="C4448" t="s">
        <v>2596</v>
      </c>
      <c r="D4448" s="254">
        <v>94.41</v>
      </c>
      <c r="E4448"/>
      <c r="F4448"/>
      <c r="G4448"/>
      <c r="H4448"/>
      <c r="I4448" s="489"/>
      <c r="J4448" s="1095"/>
      <c r="K4448" s="1095"/>
      <c r="L4448" s="1095"/>
      <c r="M4448" s="1095"/>
    </row>
    <row r="4449" spans="1:13" x14ac:dyDescent="0.25">
      <c r="A4449">
        <v>4011279</v>
      </c>
      <c r="B4449" t="s">
        <v>6335</v>
      </c>
      <c r="C4449" t="s">
        <v>2596</v>
      </c>
      <c r="D4449" s="254">
        <v>174.82</v>
      </c>
      <c r="E4449"/>
      <c r="F4449"/>
      <c r="G4449"/>
      <c r="H4449"/>
      <c r="I4449" s="489"/>
      <c r="J4449" s="1095"/>
      <c r="K4449" s="1095"/>
      <c r="L4449" s="1095"/>
      <c r="M4449" s="1095"/>
    </row>
    <row r="4450" spans="1:13" x14ac:dyDescent="0.25">
      <c r="A4450">
        <v>4011280</v>
      </c>
      <c r="B4450" t="s">
        <v>11577</v>
      </c>
      <c r="C4450" t="s">
        <v>2596</v>
      </c>
      <c r="D4450" s="254">
        <v>88.35</v>
      </c>
      <c r="E4450"/>
      <c r="F4450"/>
      <c r="G4450"/>
      <c r="H4450"/>
      <c r="I4450" s="489"/>
      <c r="J4450" s="1095"/>
      <c r="K4450" s="1095"/>
      <c r="L4450" s="1095"/>
      <c r="M4450" s="1095"/>
    </row>
    <row r="4451" spans="1:13" x14ac:dyDescent="0.25">
      <c r="A4451">
        <v>4011327</v>
      </c>
      <c r="B4451" t="s">
        <v>11578</v>
      </c>
      <c r="C4451" t="s">
        <v>2596</v>
      </c>
      <c r="D4451" s="254">
        <v>38.200000000000003</v>
      </c>
      <c r="E4451"/>
      <c r="F4451"/>
      <c r="G4451"/>
      <c r="H4451"/>
      <c r="I4451" s="489"/>
      <c r="J4451" s="1095"/>
      <c r="K4451" s="1095"/>
      <c r="L4451" s="1095"/>
      <c r="M4451" s="1095"/>
    </row>
    <row r="4452" spans="1:13" x14ac:dyDescent="0.25">
      <c r="A4452">
        <v>4011325</v>
      </c>
      <c r="B4452" t="s">
        <v>11579</v>
      </c>
      <c r="C4452" t="s">
        <v>2596</v>
      </c>
      <c r="D4452" s="254">
        <v>22.89</v>
      </c>
      <c r="E4452"/>
      <c r="F4452"/>
      <c r="G4452"/>
      <c r="H4452"/>
      <c r="I4452" s="489"/>
      <c r="J4452" s="1095"/>
      <c r="K4452" s="1095"/>
      <c r="L4452" s="1095"/>
      <c r="M4452" s="1095"/>
    </row>
    <row r="4453" spans="1:13" x14ac:dyDescent="0.25">
      <c r="A4453">
        <v>4011454</v>
      </c>
      <c r="B4453" t="s">
        <v>11580</v>
      </c>
      <c r="C4453" t="s">
        <v>2695</v>
      </c>
      <c r="D4453" s="254">
        <v>196.85</v>
      </c>
      <c r="E4453"/>
      <c r="F4453"/>
      <c r="G4453"/>
      <c r="H4453"/>
      <c r="I4453" s="489"/>
      <c r="J4453" s="1095"/>
      <c r="K4453" s="1095"/>
      <c r="L4453" s="1095"/>
      <c r="M4453" s="1095"/>
    </row>
    <row r="4454" spans="1:13" x14ac:dyDescent="0.25">
      <c r="A4454">
        <v>4011453</v>
      </c>
      <c r="B4454" t="s">
        <v>11581</v>
      </c>
      <c r="C4454" t="s">
        <v>2695</v>
      </c>
      <c r="D4454" s="254">
        <v>144.19</v>
      </c>
      <c r="E4454"/>
      <c r="F4454"/>
      <c r="G4454"/>
      <c r="H4454"/>
      <c r="I4454" s="489"/>
      <c r="J4454" s="1095"/>
      <c r="K4454" s="1095"/>
      <c r="L4454" s="1095"/>
      <c r="M4454" s="1095"/>
    </row>
    <row r="4455" spans="1:13" x14ac:dyDescent="0.25">
      <c r="A4455">
        <v>4011455</v>
      </c>
      <c r="B4455" t="s">
        <v>11582</v>
      </c>
      <c r="C4455" t="s">
        <v>2695</v>
      </c>
      <c r="D4455" s="254">
        <v>17.59</v>
      </c>
      <c r="E4455"/>
      <c r="F4455"/>
      <c r="G4455"/>
      <c r="H4455"/>
      <c r="I4455" s="489"/>
      <c r="J4455" s="1095"/>
      <c r="K4455" s="1095"/>
      <c r="L4455" s="1095"/>
      <c r="M4455" s="1095"/>
    </row>
    <row r="4456" spans="1:13" x14ac:dyDescent="0.25">
      <c r="A4456">
        <v>4011459</v>
      </c>
      <c r="B4456" t="s">
        <v>4618</v>
      </c>
      <c r="C4456" t="s">
        <v>2695</v>
      </c>
      <c r="D4456" s="254">
        <v>200.9</v>
      </c>
      <c r="E4456"/>
      <c r="F4456"/>
      <c r="G4456"/>
      <c r="H4456"/>
      <c r="I4456" s="489"/>
      <c r="J4456" s="1095"/>
      <c r="K4456" s="1095"/>
      <c r="L4456" s="1095"/>
      <c r="M4456" s="1095"/>
    </row>
    <row r="4457" spans="1:13" x14ac:dyDescent="0.25">
      <c r="A4457">
        <v>4011458</v>
      </c>
      <c r="B4457" t="s">
        <v>11583</v>
      </c>
      <c r="C4457" t="s">
        <v>2695</v>
      </c>
      <c r="D4457" s="254">
        <v>146.77000000000001</v>
      </c>
      <c r="E4457"/>
      <c r="F4457"/>
      <c r="G4457"/>
      <c r="H4457"/>
      <c r="I4457" s="489"/>
      <c r="J4457" s="1095"/>
      <c r="K4457" s="1095"/>
      <c r="L4457" s="1095"/>
      <c r="M4457" s="1095"/>
    </row>
    <row r="4458" spans="1:13" x14ac:dyDescent="0.25">
      <c r="A4458">
        <v>4011463</v>
      </c>
      <c r="B4458" t="s">
        <v>11584</v>
      </c>
      <c r="C4458" t="s">
        <v>2695</v>
      </c>
      <c r="D4458" s="254">
        <v>203.22</v>
      </c>
      <c r="E4458"/>
      <c r="F4458"/>
      <c r="G4458"/>
      <c r="H4458"/>
      <c r="I4458" s="489"/>
      <c r="J4458" s="1095"/>
      <c r="K4458" s="1095"/>
      <c r="L4458" s="1095"/>
      <c r="M4458" s="1095"/>
    </row>
    <row r="4459" spans="1:13" x14ac:dyDescent="0.25">
      <c r="A4459">
        <v>4011462</v>
      </c>
      <c r="B4459" t="s">
        <v>11585</v>
      </c>
      <c r="C4459" t="s">
        <v>2695</v>
      </c>
      <c r="D4459" s="254">
        <v>144.99</v>
      </c>
      <c r="E4459"/>
      <c r="F4459"/>
      <c r="G4459"/>
      <c r="H4459"/>
      <c r="I4459" s="489"/>
      <c r="J4459" s="1095"/>
      <c r="K4459" s="1095"/>
      <c r="L4459" s="1095"/>
      <c r="M4459" s="1095"/>
    </row>
    <row r="4460" spans="1:13" x14ac:dyDescent="0.25">
      <c r="A4460">
        <v>4011464</v>
      </c>
      <c r="B4460" t="s">
        <v>11586</v>
      </c>
      <c r="C4460" t="s">
        <v>2695</v>
      </c>
      <c r="D4460" s="254">
        <v>17.59</v>
      </c>
      <c r="E4460"/>
      <c r="F4460"/>
      <c r="G4460"/>
      <c r="H4460"/>
      <c r="I4460" s="489"/>
      <c r="J4460" s="1095"/>
      <c r="K4460" s="1095"/>
      <c r="L4460" s="1095"/>
      <c r="M4460" s="1095"/>
    </row>
    <row r="4461" spans="1:13" x14ac:dyDescent="0.25">
      <c r="A4461">
        <v>4011457</v>
      </c>
      <c r="B4461" t="s">
        <v>11587</v>
      </c>
      <c r="C4461" t="s">
        <v>2695</v>
      </c>
      <c r="D4461" s="254">
        <v>197.77</v>
      </c>
      <c r="E4461"/>
      <c r="F4461"/>
      <c r="G4461"/>
      <c r="H4461"/>
      <c r="I4461" s="489"/>
      <c r="J4461" s="1095"/>
      <c r="K4461" s="1095"/>
      <c r="L4461" s="1095"/>
      <c r="M4461" s="1095"/>
    </row>
    <row r="4462" spans="1:13" x14ac:dyDescent="0.25">
      <c r="A4462">
        <v>4011456</v>
      </c>
      <c r="B4462" t="s">
        <v>11588</v>
      </c>
      <c r="C4462" t="s">
        <v>2695</v>
      </c>
      <c r="D4462" s="254">
        <v>144.41999999999999</v>
      </c>
      <c r="E4462"/>
      <c r="F4462"/>
      <c r="G4462"/>
      <c r="H4462"/>
      <c r="I4462" s="489"/>
      <c r="J4462" s="1095"/>
      <c r="K4462" s="1095"/>
      <c r="L4462" s="1095"/>
      <c r="M4462" s="1095"/>
    </row>
    <row r="4463" spans="1:13" x14ac:dyDescent="0.25">
      <c r="A4463">
        <v>4011461</v>
      </c>
      <c r="B4463" t="s">
        <v>11589</v>
      </c>
      <c r="C4463" t="s">
        <v>2695</v>
      </c>
      <c r="D4463" s="254">
        <v>201.4</v>
      </c>
      <c r="E4463"/>
      <c r="F4463"/>
      <c r="G4463"/>
      <c r="H4463"/>
      <c r="I4463" s="489"/>
      <c r="J4463" s="1095"/>
      <c r="K4463" s="1095"/>
      <c r="L4463" s="1095"/>
      <c r="M4463" s="1095"/>
    </row>
    <row r="4464" spans="1:13" x14ac:dyDescent="0.25">
      <c r="A4464">
        <v>4011460</v>
      </c>
      <c r="B4464" t="s">
        <v>11590</v>
      </c>
      <c r="C4464" t="s">
        <v>2695</v>
      </c>
      <c r="D4464" s="254">
        <v>147.02000000000001</v>
      </c>
      <c r="E4464"/>
      <c r="F4464"/>
      <c r="G4464"/>
      <c r="H4464"/>
      <c r="I4464" s="489"/>
      <c r="J4464" s="1095"/>
      <c r="K4464" s="1095"/>
      <c r="L4464" s="1095"/>
      <c r="M4464" s="1095"/>
    </row>
    <row r="4465" spans="1:13" x14ac:dyDescent="0.25">
      <c r="A4465">
        <v>4011466</v>
      </c>
      <c r="B4465" t="s">
        <v>11591</v>
      </c>
      <c r="C4465" t="s">
        <v>2695</v>
      </c>
      <c r="D4465" s="254">
        <v>209.95</v>
      </c>
      <c r="E4465"/>
      <c r="F4465"/>
      <c r="G4465"/>
      <c r="H4465"/>
      <c r="I4465" s="489"/>
      <c r="J4465" s="1095"/>
      <c r="K4465" s="1095"/>
      <c r="L4465" s="1095"/>
      <c r="M4465" s="1095"/>
    </row>
    <row r="4466" spans="1:13" x14ac:dyDescent="0.25">
      <c r="A4466">
        <v>4011465</v>
      </c>
      <c r="B4466" t="s">
        <v>11592</v>
      </c>
      <c r="C4466" t="s">
        <v>2695</v>
      </c>
      <c r="D4466" s="254">
        <v>149.49</v>
      </c>
      <c r="E4466"/>
      <c r="F4466"/>
      <c r="G4466"/>
      <c r="H4466"/>
      <c r="I4466" s="489"/>
      <c r="J4466" s="1095"/>
      <c r="K4466" s="1095"/>
      <c r="L4466" s="1095"/>
      <c r="M4466" s="1095"/>
    </row>
    <row r="4467" spans="1:13" x14ac:dyDescent="0.25">
      <c r="A4467">
        <v>4011469</v>
      </c>
      <c r="B4467" t="s">
        <v>11593</v>
      </c>
      <c r="C4467" t="s">
        <v>2695</v>
      </c>
      <c r="D4467" s="254">
        <v>241.7</v>
      </c>
      <c r="E4467"/>
      <c r="F4467"/>
      <c r="G4467"/>
      <c r="H4467"/>
      <c r="I4467" s="489"/>
      <c r="J4467" s="1095"/>
      <c r="K4467" s="1095"/>
      <c r="L4467" s="1095"/>
      <c r="M4467" s="1095"/>
    </row>
    <row r="4468" spans="1:13" x14ac:dyDescent="0.25">
      <c r="A4468">
        <v>4011473</v>
      </c>
      <c r="B4468" t="s">
        <v>11594</v>
      </c>
      <c r="C4468" t="s">
        <v>2695</v>
      </c>
      <c r="D4468" s="254">
        <v>202</v>
      </c>
      <c r="E4468"/>
      <c r="F4468"/>
      <c r="G4468"/>
      <c r="H4468"/>
      <c r="I4468" s="489"/>
      <c r="J4468" s="1095"/>
      <c r="K4468" s="1095"/>
      <c r="L4468" s="1095"/>
      <c r="M4468" s="1095"/>
    </row>
    <row r="4469" spans="1:13" x14ac:dyDescent="0.25">
      <c r="A4469">
        <v>4011470</v>
      </c>
      <c r="B4469" t="s">
        <v>6333</v>
      </c>
      <c r="C4469" t="s">
        <v>2695</v>
      </c>
      <c r="D4469" s="254">
        <v>245.07</v>
      </c>
      <c r="E4469"/>
      <c r="F4469"/>
      <c r="G4469"/>
      <c r="H4469"/>
      <c r="I4469" s="489"/>
      <c r="J4469" s="1095"/>
      <c r="K4469" s="1095"/>
      <c r="L4469" s="1095"/>
      <c r="M4469" s="1095"/>
    </row>
    <row r="4470" spans="1:13" x14ac:dyDescent="0.25">
      <c r="A4470">
        <v>4011474</v>
      </c>
      <c r="B4470" t="s">
        <v>11595</v>
      </c>
      <c r="C4470" t="s">
        <v>2695</v>
      </c>
      <c r="D4470" s="254">
        <v>205.99</v>
      </c>
      <c r="E4470"/>
      <c r="F4470"/>
      <c r="G4470"/>
      <c r="H4470"/>
      <c r="I4470" s="489"/>
      <c r="J4470" s="1095"/>
      <c r="K4470" s="1095"/>
      <c r="L4470" s="1095"/>
      <c r="M4470" s="1095"/>
    </row>
    <row r="4471" spans="1:13" x14ac:dyDescent="0.25">
      <c r="A4471">
        <v>4011471</v>
      </c>
      <c r="B4471" t="s">
        <v>11596</v>
      </c>
      <c r="C4471" t="s">
        <v>2695</v>
      </c>
      <c r="D4471" s="254">
        <v>246.19</v>
      </c>
      <c r="E4471"/>
      <c r="F4471"/>
      <c r="G4471"/>
      <c r="H4471"/>
      <c r="I4471" s="489"/>
      <c r="J4471" s="1095"/>
      <c r="K4471" s="1095"/>
      <c r="L4471" s="1095"/>
      <c r="M4471" s="1095"/>
    </row>
    <row r="4472" spans="1:13" x14ac:dyDescent="0.25">
      <c r="A4472">
        <v>4011475</v>
      </c>
      <c r="B4472" t="s">
        <v>11597</v>
      </c>
      <c r="C4472" t="s">
        <v>2695</v>
      </c>
      <c r="D4472" s="254">
        <v>207.97</v>
      </c>
      <c r="E4472"/>
      <c r="F4472"/>
      <c r="G4472"/>
      <c r="H4472"/>
      <c r="I4472" s="489"/>
      <c r="J4472" s="1095"/>
      <c r="K4472" s="1095"/>
      <c r="L4472" s="1095"/>
      <c r="M4472" s="1095"/>
    </row>
    <row r="4473" spans="1:13" x14ac:dyDescent="0.25">
      <c r="A4473">
        <v>4011472</v>
      </c>
      <c r="B4473" t="s">
        <v>11598</v>
      </c>
      <c r="C4473" t="s">
        <v>2695</v>
      </c>
      <c r="D4473" s="254">
        <v>242.08</v>
      </c>
      <c r="E4473"/>
      <c r="F4473"/>
      <c r="G4473"/>
      <c r="H4473"/>
      <c r="I4473" s="489"/>
      <c r="J4473" s="1095"/>
      <c r="K4473" s="1095"/>
      <c r="L4473" s="1095"/>
      <c r="M4473" s="1095"/>
    </row>
    <row r="4474" spans="1:13" x14ac:dyDescent="0.25">
      <c r="A4474">
        <v>4011476</v>
      </c>
      <c r="B4474" t="s">
        <v>11599</v>
      </c>
      <c r="C4474" t="s">
        <v>2695</v>
      </c>
      <c r="D4474" s="254">
        <v>202</v>
      </c>
      <c r="E4474"/>
      <c r="F4474"/>
      <c r="G4474"/>
      <c r="H4474"/>
      <c r="I4474" s="489"/>
      <c r="J4474" s="1095"/>
      <c r="K4474" s="1095"/>
      <c r="L4474" s="1095"/>
      <c r="M4474" s="1095"/>
    </row>
    <row r="4475" spans="1:13" x14ac:dyDescent="0.25">
      <c r="A4475">
        <v>4011478</v>
      </c>
      <c r="B4475" t="s">
        <v>11600</v>
      </c>
      <c r="C4475" t="s">
        <v>2695</v>
      </c>
      <c r="D4475" s="254">
        <v>172.13</v>
      </c>
      <c r="E4475"/>
      <c r="F4475"/>
      <c r="G4475"/>
      <c r="H4475"/>
      <c r="I4475" s="489"/>
      <c r="J4475" s="1095"/>
      <c r="K4475" s="1095"/>
      <c r="L4475" s="1095"/>
      <c r="M4475" s="1095"/>
    </row>
    <row r="4476" spans="1:13" x14ac:dyDescent="0.25">
      <c r="A4476">
        <v>4011477</v>
      </c>
      <c r="B4476" t="s">
        <v>11601</v>
      </c>
      <c r="C4476" t="s">
        <v>2695</v>
      </c>
      <c r="D4476" s="254">
        <v>145.52000000000001</v>
      </c>
      <c r="E4476"/>
      <c r="F4476"/>
      <c r="G4476"/>
      <c r="H4476"/>
      <c r="I4476" s="489"/>
      <c r="J4476" s="1095"/>
      <c r="K4476" s="1095"/>
      <c r="L4476" s="1095"/>
      <c r="M4476" s="1095"/>
    </row>
    <row r="4477" spans="1:13" x14ac:dyDescent="0.25">
      <c r="A4477">
        <v>4011538</v>
      </c>
      <c r="B4477" t="s">
        <v>11602</v>
      </c>
      <c r="C4477" t="s">
        <v>2595</v>
      </c>
      <c r="D4477" s="254">
        <v>0.18</v>
      </c>
      <c r="E4477"/>
      <c r="F4477"/>
      <c r="G4477"/>
      <c r="H4477"/>
      <c r="I4477" s="489"/>
      <c r="J4477" s="1095"/>
      <c r="K4477" s="1095"/>
      <c r="L4477" s="1095"/>
      <c r="M4477" s="1095"/>
    </row>
    <row r="4478" spans="1:13" x14ac:dyDescent="0.25">
      <c r="A4478">
        <v>4016096</v>
      </c>
      <c r="B4478" t="s">
        <v>5069</v>
      </c>
      <c r="C4478" t="s">
        <v>2596</v>
      </c>
      <c r="D4478" s="254">
        <v>1.67</v>
      </c>
      <c r="E4478"/>
      <c r="F4478"/>
      <c r="G4478"/>
      <c r="H4478"/>
      <c r="I4478" s="489"/>
      <c r="J4478" s="1095"/>
      <c r="K4478" s="1095"/>
      <c r="L4478" s="1095"/>
      <c r="M4478" s="1095"/>
    </row>
    <row r="4479" spans="1:13" x14ac:dyDescent="0.25">
      <c r="A4479">
        <v>4016008</v>
      </c>
      <c r="B4479" t="s">
        <v>11603</v>
      </c>
      <c r="C4479" t="s">
        <v>2596</v>
      </c>
      <c r="D4479" s="254">
        <v>3.89</v>
      </c>
      <c r="E4479"/>
      <c r="F4479"/>
      <c r="G4479"/>
      <c r="H4479"/>
      <c r="I4479" s="489"/>
      <c r="J4479" s="1095"/>
      <c r="K4479" s="1095"/>
      <c r="L4479" s="1095"/>
      <c r="M4479" s="1095"/>
    </row>
    <row r="4480" spans="1:13" x14ac:dyDescent="0.25">
      <c r="A4480">
        <v>4016007</v>
      </c>
      <c r="B4480" t="s">
        <v>11604</v>
      </c>
      <c r="C4480" t="s">
        <v>2596</v>
      </c>
      <c r="D4480" s="254">
        <v>4.82</v>
      </c>
      <c r="E4480"/>
      <c r="F4480"/>
      <c r="G4480"/>
      <c r="H4480"/>
      <c r="I4480" s="489"/>
      <c r="J4480" s="1095"/>
      <c r="K4480" s="1095"/>
      <c r="L4480" s="1095"/>
      <c r="M4480" s="1095"/>
    </row>
    <row r="4481" spans="1:13" x14ac:dyDescent="0.25">
      <c r="A4481">
        <v>4015612</v>
      </c>
      <c r="B4481" t="s">
        <v>11605</v>
      </c>
      <c r="C4481" t="s">
        <v>2596</v>
      </c>
      <c r="D4481" s="254">
        <v>12.49</v>
      </c>
      <c r="E4481"/>
      <c r="F4481"/>
      <c r="G4481"/>
      <c r="H4481"/>
      <c r="I4481" s="489"/>
      <c r="J4481" s="1095"/>
      <c r="K4481" s="1095"/>
      <c r="L4481" s="1095"/>
      <c r="M4481" s="1095"/>
    </row>
    <row r="4482" spans="1:13" x14ac:dyDescent="0.25">
      <c r="A4482">
        <v>4011479</v>
      </c>
      <c r="B4482" t="s">
        <v>6336</v>
      </c>
      <c r="C4482" t="s">
        <v>2596</v>
      </c>
      <c r="D4482" s="254">
        <v>54.37</v>
      </c>
      <c r="E4482"/>
      <c r="F4482"/>
      <c r="G4482"/>
      <c r="H4482"/>
      <c r="I4482" s="489"/>
      <c r="J4482" s="1095"/>
      <c r="K4482" s="1095"/>
      <c r="L4482" s="1095"/>
      <c r="M4482" s="1095"/>
    </row>
    <row r="4483" spans="1:13" x14ac:dyDescent="0.25">
      <c r="A4483">
        <v>4011480</v>
      </c>
      <c r="B4483" t="s">
        <v>4617</v>
      </c>
      <c r="C4483" t="s">
        <v>2596</v>
      </c>
      <c r="D4483" s="254">
        <v>74.25</v>
      </c>
      <c r="E4483"/>
      <c r="F4483"/>
      <c r="G4483"/>
      <c r="H4483"/>
      <c r="I4483" s="489"/>
      <c r="J4483" s="1095"/>
      <c r="K4483" s="1095"/>
      <c r="L4483" s="1095"/>
      <c r="M4483" s="1095"/>
    </row>
    <row r="4484" spans="1:13" x14ac:dyDescent="0.25">
      <c r="A4484">
        <v>4011562</v>
      </c>
      <c r="B4484" t="s">
        <v>13816</v>
      </c>
      <c r="C4484" t="s">
        <v>2595</v>
      </c>
      <c r="D4484" s="254">
        <v>33.96</v>
      </c>
      <c r="E4484"/>
      <c r="F4484"/>
      <c r="G4484"/>
      <c r="H4484"/>
      <c r="I4484" s="489"/>
      <c r="J4484" s="1095"/>
      <c r="K4484" s="1095"/>
      <c r="L4484" s="1095"/>
      <c r="M4484" s="1095"/>
    </row>
    <row r="4485" spans="1:13" x14ac:dyDescent="0.25">
      <c r="A4485">
        <v>4011351</v>
      </c>
      <c r="B4485" t="s">
        <v>11606</v>
      </c>
      <c r="C4485" t="s">
        <v>2595</v>
      </c>
      <c r="D4485" s="254">
        <v>0.4</v>
      </c>
      <c r="E4485"/>
      <c r="F4485"/>
      <c r="G4485"/>
      <c r="H4485"/>
      <c r="I4485" s="489"/>
      <c r="J4485" s="1095"/>
      <c r="K4485" s="1095"/>
      <c r="L4485" s="1095"/>
      <c r="M4485" s="1095"/>
    </row>
    <row r="4486" spans="1:13" x14ac:dyDescent="0.25">
      <c r="A4486">
        <v>4011352</v>
      </c>
      <c r="B4486" t="s">
        <v>6332</v>
      </c>
      <c r="C4486" t="s">
        <v>2595</v>
      </c>
      <c r="D4486" s="254">
        <v>0.43</v>
      </c>
      <c r="E4486"/>
      <c r="F4486"/>
      <c r="G4486"/>
      <c r="H4486"/>
      <c r="I4486" s="489"/>
      <c r="J4486" s="1095"/>
      <c r="K4486" s="1095"/>
      <c r="L4486" s="1095"/>
      <c r="M4486" s="1095"/>
    </row>
    <row r="4487" spans="1:13" x14ac:dyDescent="0.25">
      <c r="A4487">
        <v>4011402</v>
      </c>
      <c r="B4487" t="s">
        <v>11607</v>
      </c>
      <c r="C4487" t="s">
        <v>2595</v>
      </c>
      <c r="D4487" s="254">
        <v>0.88</v>
      </c>
      <c r="E4487"/>
      <c r="F4487"/>
      <c r="G4487"/>
      <c r="H4487"/>
      <c r="I4487" s="489"/>
      <c r="J4487" s="1095"/>
      <c r="K4487" s="1095"/>
      <c r="L4487" s="1095"/>
      <c r="M4487" s="1095"/>
    </row>
    <row r="4488" spans="1:13" x14ac:dyDescent="0.25">
      <c r="A4488">
        <v>4011401</v>
      </c>
      <c r="B4488" t="s">
        <v>11608</v>
      </c>
      <c r="C4488" t="s">
        <v>2595</v>
      </c>
      <c r="D4488" s="254">
        <v>0.6</v>
      </c>
      <c r="E4488"/>
      <c r="F4488"/>
      <c r="G4488"/>
      <c r="H4488"/>
      <c r="I4488" s="489"/>
      <c r="J4488" s="1095"/>
      <c r="K4488" s="1095"/>
      <c r="L4488" s="1095"/>
      <c r="M4488" s="1095"/>
    </row>
    <row r="4489" spans="1:13" x14ac:dyDescent="0.25">
      <c r="A4489">
        <v>4011404</v>
      </c>
      <c r="B4489" t="s">
        <v>11609</v>
      </c>
      <c r="C4489" t="s">
        <v>2595</v>
      </c>
      <c r="D4489" s="254">
        <v>0.62</v>
      </c>
      <c r="E4489"/>
      <c r="F4489"/>
      <c r="G4489"/>
      <c r="H4489"/>
      <c r="I4489" s="489"/>
      <c r="J4489" s="1095"/>
      <c r="K4489" s="1095"/>
      <c r="L4489" s="1095"/>
      <c r="M4489" s="1095"/>
    </row>
    <row r="4490" spans="1:13" x14ac:dyDescent="0.25">
      <c r="A4490">
        <v>4011403</v>
      </c>
      <c r="B4490" t="s">
        <v>11610</v>
      </c>
      <c r="C4490" t="s">
        <v>2595</v>
      </c>
      <c r="D4490" s="254">
        <v>0.41</v>
      </c>
      <c r="E4490"/>
      <c r="F4490"/>
      <c r="G4490"/>
      <c r="H4490"/>
      <c r="I4490" s="489"/>
      <c r="J4490" s="1095"/>
      <c r="K4490" s="1095"/>
      <c r="L4490" s="1095"/>
      <c r="M4490" s="1095"/>
    </row>
    <row r="4491" spans="1:13" x14ac:dyDescent="0.25">
      <c r="A4491">
        <v>4011406</v>
      </c>
      <c r="B4491" t="s">
        <v>11611</v>
      </c>
      <c r="C4491" t="s">
        <v>2595</v>
      </c>
      <c r="D4491" s="254">
        <v>1.1399999999999999</v>
      </c>
      <c r="E4491"/>
      <c r="F4491"/>
      <c r="G4491"/>
      <c r="H4491"/>
      <c r="I4491" s="489"/>
      <c r="J4491" s="1095"/>
      <c r="K4491" s="1095"/>
      <c r="L4491" s="1095"/>
      <c r="M4491" s="1095"/>
    </row>
    <row r="4492" spans="1:13" x14ac:dyDescent="0.25">
      <c r="A4492">
        <v>4011405</v>
      </c>
      <c r="B4492" t="s">
        <v>11612</v>
      </c>
      <c r="C4492" t="s">
        <v>2595</v>
      </c>
      <c r="D4492" s="254">
        <v>0.78</v>
      </c>
      <c r="E4492"/>
      <c r="F4492"/>
      <c r="G4492"/>
      <c r="H4492"/>
      <c r="I4492" s="489"/>
      <c r="J4492" s="1095"/>
      <c r="K4492" s="1095"/>
      <c r="L4492" s="1095"/>
      <c r="M4492" s="1095"/>
    </row>
    <row r="4493" spans="1:13" x14ac:dyDescent="0.25">
      <c r="A4493">
        <v>4011392</v>
      </c>
      <c r="B4493" t="s">
        <v>11613</v>
      </c>
      <c r="C4493" t="s">
        <v>2596</v>
      </c>
      <c r="D4493" s="254">
        <v>208.95</v>
      </c>
      <c r="E4493"/>
      <c r="F4493"/>
      <c r="G4493"/>
      <c r="H4493"/>
      <c r="I4493" s="489"/>
      <c r="J4493" s="1095"/>
      <c r="K4493" s="1095"/>
      <c r="L4493" s="1095"/>
      <c r="M4493" s="1095"/>
    </row>
    <row r="4494" spans="1:13" x14ac:dyDescent="0.25">
      <c r="A4494">
        <v>4011391</v>
      </c>
      <c r="B4494" t="s">
        <v>11614</v>
      </c>
      <c r="C4494" t="s">
        <v>2596</v>
      </c>
      <c r="D4494" s="254">
        <v>124.81</v>
      </c>
      <c r="E4494"/>
      <c r="F4494"/>
      <c r="G4494"/>
      <c r="H4494"/>
      <c r="I4494" s="489"/>
      <c r="J4494" s="1095"/>
      <c r="K4494" s="1095"/>
      <c r="L4494" s="1095"/>
      <c r="M4494" s="1095"/>
    </row>
    <row r="4495" spans="1:13" x14ac:dyDescent="0.25">
      <c r="A4495">
        <v>4011394</v>
      </c>
      <c r="B4495" t="s">
        <v>11615</v>
      </c>
      <c r="C4495" t="s">
        <v>2596</v>
      </c>
      <c r="D4495" s="254">
        <v>209.5</v>
      </c>
      <c r="E4495"/>
      <c r="F4495"/>
      <c r="G4495"/>
      <c r="H4495"/>
      <c r="I4495" s="489"/>
      <c r="J4495" s="1095"/>
      <c r="K4495" s="1095"/>
      <c r="L4495" s="1095"/>
      <c r="M4495" s="1095"/>
    </row>
    <row r="4496" spans="1:13" x14ac:dyDescent="0.25">
      <c r="A4496">
        <v>4011393</v>
      </c>
      <c r="B4496" t="s">
        <v>11616</v>
      </c>
      <c r="C4496" t="s">
        <v>2596</v>
      </c>
      <c r="D4496" s="254">
        <v>125.38</v>
      </c>
      <c r="E4496"/>
      <c r="F4496"/>
      <c r="G4496"/>
      <c r="H4496"/>
      <c r="I4496" s="489"/>
      <c r="J4496" s="1095"/>
      <c r="K4496" s="1095"/>
      <c r="L4496" s="1095"/>
      <c r="M4496" s="1095"/>
    </row>
    <row r="4497" spans="1:13" x14ac:dyDescent="0.25">
      <c r="A4497">
        <v>4011396</v>
      </c>
      <c r="B4497" t="s">
        <v>11617</v>
      </c>
      <c r="C4497" t="s">
        <v>2596</v>
      </c>
      <c r="D4497" s="254">
        <v>211.19</v>
      </c>
      <c r="E4497"/>
      <c r="F4497"/>
      <c r="G4497"/>
      <c r="H4497"/>
      <c r="I4497" s="489"/>
      <c r="J4497" s="1095"/>
      <c r="K4497" s="1095"/>
      <c r="L4497" s="1095"/>
      <c r="M4497" s="1095"/>
    </row>
    <row r="4498" spans="1:13" x14ac:dyDescent="0.25">
      <c r="A4498">
        <v>4011395</v>
      </c>
      <c r="B4498" t="s">
        <v>11618</v>
      </c>
      <c r="C4498" t="s">
        <v>2596</v>
      </c>
      <c r="D4498" s="254">
        <v>126.06</v>
      </c>
      <c r="E4498"/>
      <c r="F4498"/>
      <c r="G4498"/>
      <c r="H4498"/>
      <c r="I4498" s="489"/>
      <c r="J4498" s="1095"/>
      <c r="K4498" s="1095"/>
      <c r="L4498" s="1095"/>
      <c r="M4498" s="1095"/>
    </row>
    <row r="4499" spans="1:13" x14ac:dyDescent="0.25">
      <c r="A4499">
        <v>4011398</v>
      </c>
      <c r="B4499" t="s">
        <v>11619</v>
      </c>
      <c r="C4499" t="s">
        <v>2596</v>
      </c>
      <c r="D4499" s="254">
        <v>212.03</v>
      </c>
      <c r="E4499"/>
      <c r="F4499"/>
      <c r="G4499"/>
      <c r="H4499"/>
      <c r="I4499" s="489"/>
      <c r="J4499" s="1095"/>
      <c r="K4499" s="1095"/>
      <c r="L4499" s="1095"/>
      <c r="M4499" s="1095"/>
    </row>
    <row r="4500" spans="1:13" x14ac:dyDescent="0.25">
      <c r="A4500">
        <v>4011397</v>
      </c>
      <c r="B4500" t="s">
        <v>11620</v>
      </c>
      <c r="C4500" t="s">
        <v>2596</v>
      </c>
      <c r="D4500" s="254">
        <v>126.39</v>
      </c>
      <c r="E4500"/>
      <c r="F4500"/>
      <c r="G4500"/>
      <c r="H4500"/>
      <c r="I4500" s="489"/>
      <c r="J4500" s="1095"/>
      <c r="K4500" s="1095"/>
      <c r="L4500" s="1095"/>
      <c r="M4500" s="1095"/>
    </row>
    <row r="4501" spans="1:13" x14ac:dyDescent="0.25">
      <c r="A4501">
        <v>4011400</v>
      </c>
      <c r="B4501" t="s">
        <v>11621</v>
      </c>
      <c r="C4501" t="s">
        <v>2596</v>
      </c>
      <c r="D4501" s="254">
        <v>225.28</v>
      </c>
      <c r="E4501"/>
      <c r="F4501"/>
      <c r="G4501"/>
      <c r="H4501"/>
      <c r="I4501" s="489"/>
      <c r="J4501" s="1095"/>
      <c r="K4501" s="1095"/>
      <c r="L4501" s="1095"/>
      <c r="M4501" s="1095"/>
    </row>
    <row r="4502" spans="1:13" x14ac:dyDescent="0.25">
      <c r="A4502">
        <v>4011399</v>
      </c>
      <c r="B4502" t="s">
        <v>11622</v>
      </c>
      <c r="C4502" t="s">
        <v>2596</v>
      </c>
      <c r="D4502" s="254">
        <v>143.37</v>
      </c>
      <c r="E4502"/>
      <c r="F4502"/>
      <c r="G4502"/>
      <c r="H4502"/>
      <c r="I4502" s="489"/>
      <c r="J4502" s="1095"/>
      <c r="K4502" s="1095"/>
      <c r="L4502" s="1095"/>
      <c r="M4502" s="1095"/>
    </row>
    <row r="4503" spans="1:13" x14ac:dyDescent="0.25">
      <c r="A4503">
        <v>4011490</v>
      </c>
      <c r="B4503" t="s">
        <v>13817</v>
      </c>
      <c r="C4503" t="s">
        <v>2595</v>
      </c>
      <c r="D4503" s="254">
        <v>5.12</v>
      </c>
      <c r="E4503"/>
      <c r="F4503"/>
      <c r="G4503"/>
      <c r="H4503"/>
      <c r="I4503" s="489"/>
      <c r="J4503" s="1095"/>
      <c r="K4503" s="1095"/>
      <c r="L4503" s="1095"/>
      <c r="M4503" s="1095"/>
    </row>
    <row r="4504" spans="1:13" x14ac:dyDescent="0.25">
      <c r="A4504">
        <v>4011536</v>
      </c>
      <c r="B4504" t="s">
        <v>11623</v>
      </c>
      <c r="C4504" t="s">
        <v>2595</v>
      </c>
      <c r="D4504" s="254">
        <v>1.78</v>
      </c>
      <c r="E4504"/>
      <c r="F4504"/>
      <c r="G4504"/>
      <c r="H4504"/>
      <c r="I4504" s="489"/>
      <c r="J4504" s="1095"/>
      <c r="K4504" s="1095"/>
      <c r="L4504" s="1095"/>
      <c r="M4504" s="1095"/>
    </row>
    <row r="4505" spans="1:13" x14ac:dyDescent="0.25">
      <c r="A4505">
        <v>4011415</v>
      </c>
      <c r="B4505" t="s">
        <v>13818</v>
      </c>
      <c r="C4505" t="s">
        <v>2695</v>
      </c>
      <c r="D4505" s="254">
        <v>185.68</v>
      </c>
      <c r="E4505"/>
      <c r="F4505"/>
      <c r="G4505"/>
      <c r="H4505"/>
      <c r="I4505" s="489"/>
      <c r="J4505" s="1095"/>
      <c r="K4505" s="1095"/>
      <c r="L4505" s="1095"/>
      <c r="M4505" s="1095"/>
    </row>
    <row r="4506" spans="1:13" x14ac:dyDescent="0.25">
      <c r="A4506">
        <v>4011416</v>
      </c>
      <c r="B4506" t="s">
        <v>11624</v>
      </c>
      <c r="C4506" t="s">
        <v>2695</v>
      </c>
      <c r="D4506" s="254">
        <v>147.07</v>
      </c>
      <c r="E4506"/>
      <c r="F4506"/>
      <c r="G4506"/>
      <c r="H4506"/>
      <c r="I4506" s="489"/>
      <c r="J4506" s="1095"/>
      <c r="K4506" s="1095"/>
      <c r="L4506" s="1095"/>
      <c r="M4506" s="1095"/>
    </row>
    <row r="4507" spans="1:13" x14ac:dyDescent="0.25">
      <c r="A4507">
        <v>4011408</v>
      </c>
      <c r="B4507" t="s">
        <v>11625</v>
      </c>
      <c r="C4507" t="s">
        <v>2595</v>
      </c>
      <c r="D4507" s="254">
        <v>2.2599999999999998</v>
      </c>
      <c r="E4507"/>
      <c r="F4507"/>
      <c r="G4507"/>
      <c r="H4507"/>
      <c r="I4507" s="489"/>
      <c r="J4507" s="1095"/>
      <c r="K4507" s="1095"/>
      <c r="L4507" s="1095"/>
      <c r="M4507" s="1095"/>
    </row>
    <row r="4508" spans="1:13" x14ac:dyDescent="0.25">
      <c r="A4508">
        <v>4011407</v>
      </c>
      <c r="B4508" t="s">
        <v>11626</v>
      </c>
      <c r="C4508" t="s">
        <v>2595</v>
      </c>
      <c r="D4508" s="254">
        <v>1.77</v>
      </c>
      <c r="E4508"/>
      <c r="F4508"/>
      <c r="G4508"/>
      <c r="H4508"/>
      <c r="I4508" s="489"/>
      <c r="J4508" s="1095"/>
      <c r="K4508" s="1095"/>
      <c r="L4508" s="1095"/>
      <c r="M4508" s="1095"/>
    </row>
    <row r="4509" spans="1:13" x14ac:dyDescent="0.25">
      <c r="A4509">
        <v>4011410</v>
      </c>
      <c r="B4509" t="s">
        <v>11627</v>
      </c>
      <c r="C4509" t="s">
        <v>2595</v>
      </c>
      <c r="D4509" s="254">
        <v>4.24</v>
      </c>
      <c r="E4509"/>
      <c r="F4509"/>
      <c r="G4509"/>
      <c r="H4509"/>
      <c r="I4509" s="489"/>
      <c r="J4509" s="1095"/>
      <c r="K4509" s="1095"/>
      <c r="L4509" s="1095"/>
      <c r="M4509" s="1095"/>
    </row>
    <row r="4510" spans="1:13" x14ac:dyDescent="0.25">
      <c r="A4510">
        <v>4011409</v>
      </c>
      <c r="B4510" t="s">
        <v>11628</v>
      </c>
      <c r="C4510" t="s">
        <v>2595</v>
      </c>
      <c r="D4510" s="254">
        <v>3.31</v>
      </c>
      <c r="E4510"/>
      <c r="F4510"/>
      <c r="G4510"/>
      <c r="H4510"/>
      <c r="I4510" s="489"/>
      <c r="J4510" s="1095"/>
      <c r="K4510" s="1095"/>
      <c r="L4510" s="1095"/>
      <c r="M4510" s="1095"/>
    </row>
    <row r="4511" spans="1:13" x14ac:dyDescent="0.25">
      <c r="A4511">
        <v>4011412</v>
      </c>
      <c r="B4511" t="s">
        <v>11629</v>
      </c>
      <c r="C4511" t="s">
        <v>2595</v>
      </c>
      <c r="D4511" s="254">
        <v>5.86</v>
      </c>
      <c r="E4511"/>
      <c r="F4511"/>
      <c r="G4511"/>
      <c r="H4511"/>
      <c r="I4511" s="489"/>
      <c r="J4511" s="1095"/>
      <c r="K4511" s="1095"/>
      <c r="L4511" s="1095"/>
      <c r="M4511" s="1095"/>
    </row>
    <row r="4512" spans="1:13" x14ac:dyDescent="0.25">
      <c r="A4512">
        <v>4011411</v>
      </c>
      <c r="B4512" t="s">
        <v>11630</v>
      </c>
      <c r="C4512" t="s">
        <v>2595</v>
      </c>
      <c r="D4512" s="254">
        <v>4.6100000000000003</v>
      </c>
      <c r="E4512"/>
      <c r="F4512"/>
      <c r="G4512"/>
      <c r="H4512"/>
      <c r="I4512" s="489"/>
      <c r="J4512" s="1095"/>
      <c r="K4512" s="1095"/>
      <c r="L4512" s="1095"/>
      <c r="M4512" s="1095"/>
    </row>
    <row r="4513" spans="1:13" x14ac:dyDescent="0.25">
      <c r="A4513">
        <v>4011520</v>
      </c>
      <c r="B4513" t="s">
        <v>11631</v>
      </c>
      <c r="C4513" t="s">
        <v>2596</v>
      </c>
      <c r="D4513" s="254">
        <v>543.41999999999996</v>
      </c>
      <c r="E4513"/>
      <c r="F4513"/>
      <c r="G4513"/>
      <c r="H4513"/>
      <c r="I4513" s="489"/>
      <c r="J4513" s="1095"/>
      <c r="K4513" s="1095"/>
      <c r="L4513" s="1095"/>
      <c r="M4513" s="1095"/>
    </row>
    <row r="4514" spans="1:13" x14ac:dyDescent="0.25">
      <c r="A4514">
        <v>4011507</v>
      </c>
      <c r="B4514" t="s">
        <v>11632</v>
      </c>
      <c r="C4514" t="s">
        <v>2596</v>
      </c>
      <c r="D4514" s="254">
        <v>406.29</v>
      </c>
      <c r="E4514"/>
      <c r="F4514"/>
      <c r="G4514"/>
      <c r="H4514"/>
      <c r="I4514" s="489"/>
      <c r="J4514" s="1095"/>
      <c r="K4514" s="1095"/>
      <c r="L4514" s="1095"/>
      <c r="M4514" s="1095"/>
    </row>
    <row r="4515" spans="1:13" x14ac:dyDescent="0.25">
      <c r="A4515">
        <v>4011535</v>
      </c>
      <c r="B4515" t="s">
        <v>11633</v>
      </c>
      <c r="C4515" t="s">
        <v>2596</v>
      </c>
      <c r="D4515" s="254">
        <v>418.33</v>
      </c>
      <c r="E4515"/>
      <c r="F4515"/>
      <c r="G4515"/>
      <c r="H4515"/>
      <c r="I4515" s="489"/>
      <c r="J4515" s="1095"/>
      <c r="K4515" s="1095"/>
      <c r="L4515" s="1095"/>
      <c r="M4515" s="1095"/>
    </row>
    <row r="4516" spans="1:13" x14ac:dyDescent="0.25">
      <c r="A4516">
        <v>4011534</v>
      </c>
      <c r="B4516" t="s">
        <v>11634</v>
      </c>
      <c r="C4516" t="s">
        <v>2596</v>
      </c>
      <c r="D4516" s="254">
        <v>308.86</v>
      </c>
      <c r="E4516"/>
      <c r="F4516"/>
      <c r="G4516"/>
      <c r="H4516"/>
      <c r="I4516" s="489"/>
      <c r="J4516" s="1095"/>
      <c r="K4516" s="1095"/>
      <c r="L4516" s="1095"/>
      <c r="M4516" s="1095"/>
    </row>
    <row r="4517" spans="1:13" x14ac:dyDescent="0.25">
      <c r="A4517">
        <v>4011533</v>
      </c>
      <c r="B4517" t="s">
        <v>11635</v>
      </c>
      <c r="C4517" t="s">
        <v>2596</v>
      </c>
      <c r="D4517" s="254">
        <v>423.85</v>
      </c>
      <c r="E4517"/>
      <c r="F4517"/>
      <c r="G4517"/>
      <c r="H4517"/>
      <c r="I4517" s="489"/>
      <c r="J4517" s="1095"/>
      <c r="K4517" s="1095"/>
      <c r="L4517" s="1095"/>
      <c r="M4517" s="1095"/>
    </row>
    <row r="4518" spans="1:13" x14ac:dyDescent="0.25">
      <c r="A4518">
        <v>4011532</v>
      </c>
      <c r="B4518" t="s">
        <v>11636</v>
      </c>
      <c r="C4518" t="s">
        <v>2596</v>
      </c>
      <c r="D4518" s="254">
        <v>314.38</v>
      </c>
      <c r="E4518"/>
      <c r="F4518"/>
      <c r="G4518"/>
      <c r="H4518"/>
      <c r="I4518" s="489"/>
      <c r="J4518" s="1095"/>
      <c r="K4518" s="1095"/>
      <c r="L4518" s="1095"/>
      <c r="M4518" s="1095"/>
    </row>
    <row r="4519" spans="1:13" x14ac:dyDescent="0.25">
      <c r="A4519">
        <v>4011492</v>
      </c>
      <c r="B4519" t="s">
        <v>11637</v>
      </c>
      <c r="C4519" t="s">
        <v>2596</v>
      </c>
      <c r="D4519" s="254">
        <v>325.83999999999997</v>
      </c>
      <c r="E4519"/>
      <c r="F4519"/>
      <c r="G4519"/>
      <c r="H4519"/>
      <c r="I4519" s="489"/>
      <c r="J4519" s="1095"/>
      <c r="K4519" s="1095"/>
      <c r="L4519" s="1095"/>
      <c r="M4519" s="1095"/>
    </row>
    <row r="4520" spans="1:13" x14ac:dyDescent="0.25">
      <c r="A4520">
        <v>4011491</v>
      </c>
      <c r="B4520" t="s">
        <v>11638</v>
      </c>
      <c r="C4520" t="s">
        <v>2596</v>
      </c>
      <c r="D4520" s="254">
        <v>231.69</v>
      </c>
      <c r="E4520"/>
      <c r="F4520"/>
      <c r="G4520"/>
      <c r="H4520"/>
      <c r="I4520" s="489"/>
      <c r="J4520" s="1095"/>
      <c r="K4520" s="1095"/>
      <c r="L4520" s="1095"/>
      <c r="M4520" s="1095"/>
    </row>
    <row r="4521" spans="1:13" x14ac:dyDescent="0.25">
      <c r="A4521">
        <v>4011353</v>
      </c>
      <c r="B4521" t="s">
        <v>2909</v>
      </c>
      <c r="C4521" t="s">
        <v>2595</v>
      </c>
      <c r="D4521" s="254">
        <v>0.3</v>
      </c>
      <c r="E4521"/>
      <c r="F4521"/>
      <c r="G4521"/>
      <c r="H4521"/>
      <c r="I4521" s="489"/>
      <c r="J4521" s="1095"/>
      <c r="K4521" s="1095"/>
      <c r="L4521" s="1095"/>
      <c r="M4521" s="1095"/>
    </row>
    <row r="4522" spans="1:13" x14ac:dyDescent="0.25">
      <c r="A4522">
        <v>4011354</v>
      </c>
      <c r="B4522" t="s">
        <v>11639</v>
      </c>
      <c r="C4522" t="s">
        <v>2595</v>
      </c>
      <c r="D4522" s="254">
        <v>0.3</v>
      </c>
      <c r="E4522"/>
      <c r="F4522"/>
      <c r="G4522"/>
      <c r="H4522"/>
      <c r="I4522" s="489"/>
      <c r="J4522" s="1095"/>
      <c r="K4522" s="1095"/>
      <c r="L4522" s="1095"/>
      <c r="M4522" s="1095"/>
    </row>
    <row r="4523" spans="1:13" x14ac:dyDescent="0.25">
      <c r="A4523">
        <v>4011418</v>
      </c>
      <c r="B4523" t="s">
        <v>11640</v>
      </c>
      <c r="C4523" t="s">
        <v>2596</v>
      </c>
      <c r="D4523" s="254">
        <v>296.56</v>
      </c>
      <c r="E4523"/>
      <c r="F4523"/>
      <c r="G4523"/>
      <c r="H4523"/>
      <c r="I4523" s="489"/>
      <c r="J4523" s="1095"/>
      <c r="K4523" s="1095"/>
      <c r="L4523" s="1095"/>
      <c r="M4523" s="1095"/>
    </row>
    <row r="4524" spans="1:13" x14ac:dyDescent="0.25">
      <c r="A4524">
        <v>4011417</v>
      </c>
      <c r="B4524" t="s">
        <v>11641</v>
      </c>
      <c r="C4524" t="s">
        <v>2596</v>
      </c>
      <c r="D4524" s="254">
        <v>182.34</v>
      </c>
      <c r="E4524"/>
      <c r="F4524"/>
      <c r="G4524"/>
      <c r="H4524"/>
      <c r="I4524" s="489"/>
      <c r="J4524" s="1095"/>
      <c r="K4524" s="1095"/>
      <c r="L4524" s="1095"/>
      <c r="M4524" s="1095"/>
    </row>
    <row r="4525" spans="1:13" x14ac:dyDescent="0.25">
      <c r="A4525">
        <v>4011420</v>
      </c>
      <c r="B4525" t="s">
        <v>11642</v>
      </c>
      <c r="C4525" t="s">
        <v>2596</v>
      </c>
      <c r="D4525" s="254">
        <v>298.83</v>
      </c>
      <c r="E4525"/>
      <c r="F4525"/>
      <c r="G4525"/>
      <c r="H4525"/>
      <c r="I4525" s="489"/>
      <c r="J4525" s="1095"/>
      <c r="K4525" s="1095"/>
      <c r="L4525" s="1095"/>
      <c r="M4525" s="1095"/>
    </row>
    <row r="4526" spans="1:13" x14ac:dyDescent="0.25">
      <c r="A4526">
        <v>4011419</v>
      </c>
      <c r="B4526" t="s">
        <v>11643</v>
      </c>
      <c r="C4526" t="s">
        <v>2596</v>
      </c>
      <c r="D4526" s="254">
        <v>179.27</v>
      </c>
      <c r="E4526"/>
      <c r="F4526"/>
      <c r="G4526"/>
      <c r="H4526"/>
      <c r="I4526" s="489"/>
      <c r="J4526" s="1095"/>
      <c r="K4526" s="1095"/>
      <c r="L4526" s="1095"/>
      <c r="M4526" s="1095"/>
    </row>
    <row r="4527" spans="1:13" x14ac:dyDescent="0.25">
      <c r="A4527">
        <v>4011422</v>
      </c>
      <c r="B4527" t="s">
        <v>11644</v>
      </c>
      <c r="C4527" t="s">
        <v>2596</v>
      </c>
      <c r="D4527" s="254">
        <v>311.10000000000002</v>
      </c>
      <c r="E4527"/>
      <c r="F4527"/>
      <c r="G4527"/>
      <c r="H4527"/>
      <c r="I4527" s="489"/>
      <c r="J4527" s="1095"/>
      <c r="K4527" s="1095"/>
      <c r="L4527" s="1095"/>
      <c r="M4527" s="1095"/>
    </row>
    <row r="4528" spans="1:13" x14ac:dyDescent="0.25">
      <c r="A4528">
        <v>4011421</v>
      </c>
      <c r="B4528" t="s">
        <v>11645</v>
      </c>
      <c r="C4528" t="s">
        <v>2596</v>
      </c>
      <c r="D4528" s="254">
        <v>193.48</v>
      </c>
      <c r="E4528"/>
      <c r="F4528"/>
      <c r="G4528"/>
      <c r="H4528"/>
      <c r="I4528" s="489"/>
      <c r="J4528" s="1095"/>
      <c r="K4528" s="1095"/>
      <c r="L4528" s="1095"/>
      <c r="M4528" s="1095"/>
    </row>
    <row r="4529" spans="1:13" x14ac:dyDescent="0.25">
      <c r="A4529">
        <v>4011424</v>
      </c>
      <c r="B4529" t="s">
        <v>11646</v>
      </c>
      <c r="C4529" t="s">
        <v>2596</v>
      </c>
      <c r="D4529" s="254">
        <v>313.5</v>
      </c>
      <c r="E4529"/>
      <c r="F4529"/>
      <c r="G4529"/>
      <c r="H4529"/>
      <c r="I4529" s="489"/>
      <c r="J4529" s="1095"/>
      <c r="K4529" s="1095"/>
      <c r="L4529" s="1095"/>
      <c r="M4529" s="1095"/>
    </row>
    <row r="4530" spans="1:13" x14ac:dyDescent="0.25">
      <c r="A4530">
        <v>4011423</v>
      </c>
      <c r="B4530" t="s">
        <v>11647</v>
      </c>
      <c r="C4530" t="s">
        <v>2596</v>
      </c>
      <c r="D4530" s="254">
        <v>190.41</v>
      </c>
      <c r="E4530"/>
      <c r="F4530"/>
      <c r="G4530"/>
      <c r="H4530"/>
      <c r="I4530" s="489"/>
      <c r="J4530" s="1095"/>
      <c r="K4530" s="1095"/>
      <c r="L4530" s="1095"/>
      <c r="M4530" s="1095"/>
    </row>
    <row r="4531" spans="1:13" x14ac:dyDescent="0.25">
      <c r="A4531">
        <v>4011426</v>
      </c>
      <c r="B4531" t="s">
        <v>11648</v>
      </c>
      <c r="C4531" t="s">
        <v>2596</v>
      </c>
      <c r="D4531" s="254">
        <v>296.56</v>
      </c>
      <c r="E4531"/>
      <c r="F4531"/>
      <c r="G4531"/>
      <c r="H4531"/>
      <c r="I4531" s="489"/>
      <c r="J4531" s="1095"/>
      <c r="K4531" s="1095"/>
      <c r="L4531" s="1095"/>
      <c r="M4531" s="1095"/>
    </row>
    <row r="4532" spans="1:13" x14ac:dyDescent="0.25">
      <c r="A4532">
        <v>4011425</v>
      </c>
      <c r="B4532" t="s">
        <v>11649</v>
      </c>
      <c r="C4532" t="s">
        <v>2596</v>
      </c>
      <c r="D4532" s="254">
        <v>182.34</v>
      </c>
      <c r="E4532"/>
      <c r="F4532"/>
      <c r="G4532"/>
      <c r="H4532"/>
      <c r="I4532" s="489"/>
      <c r="J4532" s="1095"/>
      <c r="K4532" s="1095"/>
      <c r="L4532" s="1095"/>
      <c r="M4532" s="1095"/>
    </row>
    <row r="4533" spans="1:13" x14ac:dyDescent="0.25">
      <c r="A4533">
        <v>4011428</v>
      </c>
      <c r="B4533" t="s">
        <v>11650</v>
      </c>
      <c r="C4533" t="s">
        <v>2596</v>
      </c>
      <c r="D4533" s="254">
        <v>298.83</v>
      </c>
      <c r="E4533"/>
      <c r="F4533"/>
      <c r="G4533"/>
      <c r="H4533"/>
      <c r="I4533" s="489"/>
      <c r="J4533" s="1095"/>
      <c r="K4533" s="1095"/>
      <c r="L4533" s="1095"/>
      <c r="M4533" s="1095"/>
    </row>
    <row r="4534" spans="1:13" x14ac:dyDescent="0.25">
      <c r="A4534">
        <v>4011427</v>
      </c>
      <c r="B4534" t="s">
        <v>11651</v>
      </c>
      <c r="C4534" t="s">
        <v>2596</v>
      </c>
      <c r="D4534" s="254">
        <v>179.27</v>
      </c>
      <c r="E4534"/>
      <c r="F4534"/>
      <c r="G4534"/>
      <c r="H4534"/>
      <c r="I4534" s="489"/>
      <c r="J4534" s="1095"/>
      <c r="K4534" s="1095"/>
      <c r="L4534" s="1095"/>
      <c r="M4534" s="1095"/>
    </row>
    <row r="4535" spans="1:13" x14ac:dyDescent="0.25">
      <c r="A4535">
        <v>4011430</v>
      </c>
      <c r="B4535" t="s">
        <v>11652</v>
      </c>
      <c r="C4535" t="s">
        <v>2596</v>
      </c>
      <c r="D4535" s="254">
        <v>310.01</v>
      </c>
      <c r="E4535"/>
      <c r="F4535"/>
      <c r="G4535"/>
      <c r="H4535"/>
      <c r="I4535" s="489"/>
      <c r="J4535" s="1095"/>
      <c r="K4535" s="1095"/>
      <c r="L4535" s="1095"/>
      <c r="M4535" s="1095"/>
    </row>
    <row r="4536" spans="1:13" x14ac:dyDescent="0.25">
      <c r="A4536">
        <v>4011429</v>
      </c>
      <c r="B4536" t="s">
        <v>11653</v>
      </c>
      <c r="C4536" t="s">
        <v>2596</v>
      </c>
      <c r="D4536" s="254">
        <v>192.95</v>
      </c>
      <c r="E4536"/>
      <c r="F4536"/>
      <c r="G4536"/>
      <c r="H4536"/>
      <c r="I4536" s="489"/>
      <c r="J4536" s="1095"/>
      <c r="K4536" s="1095"/>
      <c r="L4536" s="1095"/>
      <c r="M4536" s="1095"/>
    </row>
    <row r="4537" spans="1:13" x14ac:dyDescent="0.25">
      <c r="A4537">
        <v>4011432</v>
      </c>
      <c r="B4537" t="s">
        <v>11654</v>
      </c>
      <c r="C4537" t="s">
        <v>2596</v>
      </c>
      <c r="D4537" s="254">
        <v>312.41000000000003</v>
      </c>
      <c r="E4537"/>
      <c r="F4537"/>
      <c r="G4537"/>
      <c r="H4537"/>
      <c r="I4537" s="489"/>
      <c r="J4537" s="1095"/>
      <c r="K4537" s="1095"/>
      <c r="L4537" s="1095"/>
      <c r="M4537" s="1095"/>
    </row>
    <row r="4538" spans="1:13" x14ac:dyDescent="0.25">
      <c r="A4538">
        <v>4011431</v>
      </c>
      <c r="B4538" t="s">
        <v>11655</v>
      </c>
      <c r="C4538" t="s">
        <v>2596</v>
      </c>
      <c r="D4538" s="254">
        <v>189.9</v>
      </c>
      <c r="E4538"/>
      <c r="F4538"/>
      <c r="G4538"/>
      <c r="H4538"/>
      <c r="I4538" s="489"/>
      <c r="J4538" s="1095"/>
      <c r="K4538" s="1095"/>
      <c r="L4538" s="1095"/>
      <c r="M4538" s="1095"/>
    </row>
    <row r="4539" spans="1:13" x14ac:dyDescent="0.25">
      <c r="A4539">
        <v>4011434</v>
      </c>
      <c r="B4539" t="s">
        <v>11656</v>
      </c>
      <c r="C4539" t="s">
        <v>2695</v>
      </c>
      <c r="D4539" s="254">
        <v>195.19</v>
      </c>
      <c r="E4539"/>
      <c r="F4539"/>
      <c r="G4539"/>
      <c r="H4539"/>
      <c r="I4539" s="489"/>
      <c r="J4539" s="1095"/>
      <c r="K4539" s="1095"/>
      <c r="L4539" s="1095"/>
      <c r="M4539" s="1095"/>
    </row>
    <row r="4540" spans="1:13" x14ac:dyDescent="0.25">
      <c r="A4540">
        <v>4011433</v>
      </c>
      <c r="B4540" t="s">
        <v>11657</v>
      </c>
      <c r="C4540" t="s">
        <v>2695</v>
      </c>
      <c r="D4540" s="254">
        <v>143.75</v>
      </c>
      <c r="E4540"/>
      <c r="F4540"/>
      <c r="G4540"/>
      <c r="H4540"/>
      <c r="I4540" s="489"/>
      <c r="J4540" s="1095"/>
      <c r="K4540" s="1095"/>
      <c r="L4540" s="1095"/>
      <c r="M4540" s="1095"/>
    </row>
    <row r="4541" spans="1:13" x14ac:dyDescent="0.25">
      <c r="A4541">
        <v>4011436</v>
      </c>
      <c r="B4541" t="s">
        <v>11658</v>
      </c>
      <c r="C4541" t="s">
        <v>2695</v>
      </c>
      <c r="D4541" s="254">
        <v>187.68</v>
      </c>
      <c r="E4541"/>
      <c r="F4541"/>
      <c r="G4541"/>
      <c r="H4541"/>
      <c r="I4541" s="489"/>
      <c r="J4541" s="1095"/>
      <c r="K4541" s="1095"/>
      <c r="L4541" s="1095"/>
      <c r="M4541" s="1095"/>
    </row>
    <row r="4542" spans="1:13" x14ac:dyDescent="0.25">
      <c r="A4542">
        <v>4011435</v>
      </c>
      <c r="B4542" t="s">
        <v>11659</v>
      </c>
      <c r="C4542" t="s">
        <v>2695</v>
      </c>
      <c r="D4542" s="254">
        <v>134.61000000000001</v>
      </c>
      <c r="E4542"/>
      <c r="F4542"/>
      <c r="G4542"/>
      <c r="H4542"/>
      <c r="I4542" s="489"/>
      <c r="J4542" s="1095"/>
      <c r="K4542" s="1095"/>
      <c r="L4542" s="1095"/>
      <c r="M4542" s="1095"/>
    </row>
    <row r="4543" spans="1:13" x14ac:dyDescent="0.25">
      <c r="A4543">
        <v>4011438</v>
      </c>
      <c r="B4543" t="s">
        <v>11660</v>
      </c>
      <c r="C4543" t="s">
        <v>2695</v>
      </c>
      <c r="D4543" s="254">
        <v>198.21</v>
      </c>
      <c r="E4543"/>
      <c r="F4543"/>
      <c r="G4543"/>
      <c r="H4543"/>
      <c r="I4543" s="489"/>
      <c r="J4543" s="1095"/>
      <c r="K4543" s="1095"/>
      <c r="L4543" s="1095"/>
      <c r="M4543" s="1095"/>
    </row>
    <row r="4544" spans="1:13" x14ac:dyDescent="0.25">
      <c r="A4544">
        <v>4011437</v>
      </c>
      <c r="B4544" t="s">
        <v>11661</v>
      </c>
      <c r="C4544" t="s">
        <v>2695</v>
      </c>
      <c r="D4544" s="254">
        <v>142.02000000000001</v>
      </c>
      <c r="E4544"/>
      <c r="F4544"/>
      <c r="G4544"/>
      <c r="H4544"/>
      <c r="I4544" s="489"/>
      <c r="J4544" s="1095"/>
      <c r="K4544" s="1095"/>
      <c r="L4544" s="1095"/>
      <c r="M4544" s="1095"/>
    </row>
    <row r="4545" spans="1:13" x14ac:dyDescent="0.25">
      <c r="A4545">
        <v>4011440</v>
      </c>
      <c r="B4545" t="s">
        <v>11662</v>
      </c>
      <c r="C4545" t="s">
        <v>2695</v>
      </c>
      <c r="D4545" s="254">
        <v>196.7</v>
      </c>
      <c r="E4545"/>
      <c r="F4545"/>
      <c r="G4545"/>
      <c r="H4545"/>
      <c r="I4545" s="489"/>
      <c r="J4545" s="1095"/>
      <c r="K4545" s="1095"/>
      <c r="L4545" s="1095"/>
      <c r="M4545" s="1095"/>
    </row>
    <row r="4546" spans="1:13" x14ac:dyDescent="0.25">
      <c r="A4546">
        <v>4011439</v>
      </c>
      <c r="B4546" t="s">
        <v>11663</v>
      </c>
      <c r="C4546" t="s">
        <v>2695</v>
      </c>
      <c r="D4546" s="254">
        <v>148.02000000000001</v>
      </c>
      <c r="E4546"/>
      <c r="F4546"/>
      <c r="G4546"/>
      <c r="H4546"/>
      <c r="I4546" s="489"/>
      <c r="J4546" s="1095"/>
      <c r="K4546" s="1095"/>
      <c r="L4546" s="1095"/>
      <c r="M4546" s="1095"/>
    </row>
    <row r="4547" spans="1:13" x14ac:dyDescent="0.25">
      <c r="A4547">
        <v>4011442</v>
      </c>
      <c r="B4547" t="s">
        <v>11664</v>
      </c>
      <c r="C4547" t="s">
        <v>2695</v>
      </c>
      <c r="D4547" s="254">
        <v>196.62</v>
      </c>
      <c r="E4547"/>
      <c r="F4547"/>
      <c r="G4547"/>
      <c r="H4547"/>
      <c r="I4547" s="489"/>
      <c r="J4547" s="1095"/>
      <c r="K4547" s="1095"/>
      <c r="L4547" s="1095"/>
      <c r="M4547" s="1095"/>
    </row>
    <row r="4548" spans="1:13" x14ac:dyDescent="0.25">
      <c r="A4548">
        <v>4011441</v>
      </c>
      <c r="B4548" t="s">
        <v>11665</v>
      </c>
      <c r="C4548" t="s">
        <v>2695</v>
      </c>
      <c r="D4548" s="254">
        <v>147.62</v>
      </c>
      <c r="E4548"/>
      <c r="F4548"/>
      <c r="G4548"/>
      <c r="H4548"/>
      <c r="I4548" s="489"/>
      <c r="J4548" s="1095"/>
      <c r="K4548" s="1095"/>
      <c r="L4548" s="1095"/>
      <c r="M4548" s="1095"/>
    </row>
    <row r="4549" spans="1:13" x14ac:dyDescent="0.25">
      <c r="A4549">
        <v>4011482</v>
      </c>
      <c r="B4549" t="s">
        <v>11666</v>
      </c>
      <c r="C4549" t="s">
        <v>2596</v>
      </c>
      <c r="D4549" s="254">
        <v>75.12</v>
      </c>
      <c r="E4549"/>
      <c r="F4549"/>
      <c r="G4549"/>
      <c r="H4549"/>
      <c r="I4549" s="489"/>
      <c r="J4549" s="1095"/>
      <c r="K4549" s="1095"/>
      <c r="L4549" s="1095"/>
      <c r="M4549" s="1095"/>
    </row>
    <row r="4550" spans="1:13" x14ac:dyDescent="0.25">
      <c r="A4550">
        <v>4011484</v>
      </c>
      <c r="B4550" t="s">
        <v>11667</v>
      </c>
      <c r="C4550" t="s">
        <v>2596</v>
      </c>
      <c r="D4550" s="254">
        <v>67.36</v>
      </c>
      <c r="E4550"/>
      <c r="F4550"/>
      <c r="G4550"/>
      <c r="H4550"/>
      <c r="I4550" s="489"/>
      <c r="J4550" s="1095"/>
      <c r="K4550" s="1095"/>
      <c r="L4550" s="1095"/>
      <c r="M4550" s="1095"/>
    </row>
    <row r="4551" spans="1:13" x14ac:dyDescent="0.25">
      <c r="A4551">
        <v>4011483</v>
      </c>
      <c r="B4551" t="s">
        <v>11668</v>
      </c>
      <c r="C4551" t="s">
        <v>2596</v>
      </c>
      <c r="D4551" s="254">
        <v>50.71</v>
      </c>
      <c r="E4551"/>
      <c r="F4551"/>
      <c r="G4551"/>
      <c r="H4551"/>
      <c r="I4551" s="489"/>
      <c r="J4551" s="1095"/>
      <c r="K4551" s="1095"/>
      <c r="L4551" s="1095"/>
      <c r="M4551" s="1095"/>
    </row>
    <row r="4552" spans="1:13" x14ac:dyDescent="0.25">
      <c r="A4552">
        <v>4011488</v>
      </c>
      <c r="B4552" t="s">
        <v>11669</v>
      </c>
      <c r="C4552" t="s">
        <v>2596</v>
      </c>
      <c r="D4552" s="254">
        <v>55.68</v>
      </c>
      <c r="E4552"/>
      <c r="F4552"/>
      <c r="G4552"/>
      <c r="H4552"/>
      <c r="I4552" s="489"/>
      <c r="J4552" s="1095"/>
      <c r="K4552" s="1095"/>
      <c r="L4552" s="1095"/>
      <c r="M4552" s="1095"/>
    </row>
    <row r="4553" spans="1:13" x14ac:dyDescent="0.25">
      <c r="A4553">
        <v>4011487</v>
      </c>
      <c r="B4553" t="s">
        <v>11670</v>
      </c>
      <c r="C4553" t="s">
        <v>2596</v>
      </c>
      <c r="D4553" s="254">
        <v>82.74</v>
      </c>
      <c r="E4553"/>
      <c r="F4553"/>
      <c r="G4553"/>
      <c r="H4553"/>
      <c r="I4553" s="489"/>
      <c r="J4553" s="1095"/>
      <c r="K4553" s="1095"/>
      <c r="L4553" s="1095"/>
      <c r="M4553" s="1095"/>
    </row>
    <row r="4554" spans="1:13" x14ac:dyDescent="0.25">
      <c r="A4554">
        <v>4011486</v>
      </c>
      <c r="B4554" t="s">
        <v>11671</v>
      </c>
      <c r="C4554" t="s">
        <v>2596</v>
      </c>
      <c r="D4554" s="254">
        <v>109.87</v>
      </c>
      <c r="E4554"/>
      <c r="F4554"/>
      <c r="G4554"/>
      <c r="H4554"/>
      <c r="I4554" s="489"/>
      <c r="J4554" s="1095"/>
      <c r="K4554" s="1095"/>
      <c r="L4554" s="1095"/>
      <c r="M4554" s="1095"/>
    </row>
    <row r="4555" spans="1:13" x14ac:dyDescent="0.25">
      <c r="A4555">
        <v>4011485</v>
      </c>
      <c r="B4555" t="s">
        <v>11672</v>
      </c>
      <c r="C4555" t="s">
        <v>2596</v>
      </c>
      <c r="D4555" s="254">
        <v>93.21</v>
      </c>
      <c r="E4555"/>
      <c r="F4555"/>
      <c r="G4555"/>
      <c r="H4555"/>
      <c r="I4555" s="489"/>
      <c r="J4555" s="1095"/>
      <c r="K4555" s="1095"/>
      <c r="L4555" s="1095"/>
      <c r="M4555" s="1095"/>
    </row>
    <row r="4556" spans="1:13" x14ac:dyDescent="0.25">
      <c r="A4556">
        <v>4011489</v>
      </c>
      <c r="B4556" t="s">
        <v>11673</v>
      </c>
      <c r="C4556" t="s">
        <v>2596</v>
      </c>
      <c r="D4556" s="254">
        <v>137.91999999999999</v>
      </c>
      <c r="E4556"/>
      <c r="F4556"/>
      <c r="G4556"/>
      <c r="H4556"/>
      <c r="I4556" s="489"/>
      <c r="J4556" s="1095"/>
      <c r="K4556" s="1095"/>
      <c r="L4556" s="1095"/>
      <c r="M4556" s="1095"/>
    </row>
    <row r="4557" spans="1:13" x14ac:dyDescent="0.25">
      <c r="A4557">
        <v>4011481</v>
      </c>
      <c r="B4557" t="s">
        <v>11674</v>
      </c>
      <c r="C4557" t="s">
        <v>2596</v>
      </c>
      <c r="D4557" s="254">
        <v>32.61</v>
      </c>
      <c r="E4557"/>
      <c r="F4557"/>
      <c r="G4557"/>
      <c r="H4557"/>
      <c r="I4557" s="489"/>
      <c r="J4557" s="1095"/>
      <c r="K4557" s="1095"/>
      <c r="L4557" s="1095"/>
      <c r="M4557" s="1095"/>
    </row>
    <row r="4558" spans="1:13" x14ac:dyDescent="0.25">
      <c r="A4558">
        <v>4011347</v>
      </c>
      <c r="B4558" t="s">
        <v>11675</v>
      </c>
      <c r="C4558" t="s">
        <v>2596</v>
      </c>
      <c r="D4558" s="254">
        <v>63.39</v>
      </c>
      <c r="E4558"/>
      <c r="F4558"/>
      <c r="G4558"/>
      <c r="H4558"/>
      <c r="I4558" s="489"/>
      <c r="J4558" s="1095"/>
      <c r="K4558" s="1095"/>
      <c r="L4558" s="1095"/>
      <c r="M4558" s="1095"/>
    </row>
    <row r="4559" spans="1:13" x14ac:dyDescent="0.25">
      <c r="A4559">
        <v>4011342</v>
      </c>
      <c r="B4559" t="s">
        <v>11676</v>
      </c>
      <c r="C4559" t="s">
        <v>2596</v>
      </c>
      <c r="D4559" s="254">
        <v>78.099999999999994</v>
      </c>
      <c r="E4559"/>
      <c r="F4559"/>
      <c r="G4559"/>
      <c r="H4559"/>
      <c r="I4559" s="489"/>
      <c r="J4559" s="1095"/>
      <c r="K4559" s="1095"/>
      <c r="L4559" s="1095"/>
      <c r="M4559" s="1095"/>
    </row>
    <row r="4560" spans="1:13" x14ac:dyDescent="0.25">
      <c r="A4560">
        <v>4011344</v>
      </c>
      <c r="B4560" t="s">
        <v>11677</v>
      </c>
      <c r="C4560" t="s">
        <v>2596</v>
      </c>
      <c r="D4560" s="254">
        <v>50.61</v>
      </c>
      <c r="E4560"/>
      <c r="F4560"/>
      <c r="G4560"/>
      <c r="H4560"/>
      <c r="I4560" s="489"/>
      <c r="J4560" s="1095"/>
      <c r="K4560" s="1095"/>
      <c r="L4560" s="1095"/>
      <c r="M4560" s="1095"/>
    </row>
    <row r="4561" spans="1:13" x14ac:dyDescent="0.25">
      <c r="A4561">
        <v>4011341</v>
      </c>
      <c r="B4561" t="s">
        <v>11678</v>
      </c>
      <c r="C4561" t="s">
        <v>2596</v>
      </c>
      <c r="D4561" s="254">
        <v>12.27</v>
      </c>
      <c r="E4561"/>
      <c r="F4561"/>
      <c r="G4561"/>
      <c r="H4561"/>
      <c r="I4561" s="489"/>
      <c r="J4561" s="1095"/>
      <c r="K4561" s="1095"/>
      <c r="L4561" s="1095"/>
      <c r="M4561" s="1095"/>
    </row>
    <row r="4562" spans="1:13" x14ac:dyDescent="0.25">
      <c r="A4562">
        <v>4011346</v>
      </c>
      <c r="B4562" t="s">
        <v>11679</v>
      </c>
      <c r="C4562" t="s">
        <v>2596</v>
      </c>
      <c r="D4562" s="254">
        <v>8.7200000000000006</v>
      </c>
      <c r="E4562"/>
      <c r="F4562"/>
      <c r="G4562"/>
      <c r="H4562"/>
      <c r="I4562" s="489"/>
      <c r="J4562" s="1095"/>
      <c r="K4562" s="1095"/>
      <c r="L4562" s="1095"/>
      <c r="M4562" s="1095"/>
    </row>
    <row r="4563" spans="1:13" x14ac:dyDescent="0.25">
      <c r="A4563">
        <v>4011211</v>
      </c>
      <c r="B4563" t="s">
        <v>11680</v>
      </c>
      <c r="C4563" t="s">
        <v>2596</v>
      </c>
      <c r="D4563" s="254">
        <v>12.03</v>
      </c>
      <c r="E4563"/>
      <c r="F4563"/>
      <c r="G4563"/>
      <c r="H4563"/>
      <c r="I4563" s="489"/>
      <c r="J4563" s="1095"/>
      <c r="K4563" s="1095"/>
      <c r="L4563" s="1095"/>
      <c r="M4563" s="1095"/>
    </row>
    <row r="4564" spans="1:13" x14ac:dyDescent="0.25">
      <c r="A4564">
        <v>4011304</v>
      </c>
      <c r="B4564" t="s">
        <v>11681</v>
      </c>
      <c r="C4564" t="s">
        <v>2596</v>
      </c>
      <c r="D4564" s="254">
        <v>54.8</v>
      </c>
      <c r="E4564"/>
      <c r="F4564"/>
      <c r="G4564"/>
      <c r="H4564"/>
      <c r="I4564" s="489"/>
      <c r="J4564" s="1095"/>
      <c r="K4564" s="1095"/>
      <c r="L4564" s="1095"/>
      <c r="M4564" s="1095"/>
    </row>
    <row r="4565" spans="1:13" x14ac:dyDescent="0.25">
      <c r="A4565">
        <v>4011209</v>
      </c>
      <c r="B4565" t="s">
        <v>6334</v>
      </c>
      <c r="C4565" t="s">
        <v>2595</v>
      </c>
      <c r="D4565" s="254">
        <v>1.1399999999999999</v>
      </c>
      <c r="E4565"/>
      <c r="F4565"/>
      <c r="G4565"/>
      <c r="H4565"/>
      <c r="I4565" s="489"/>
      <c r="J4565" s="1095"/>
      <c r="K4565" s="1095"/>
      <c r="L4565" s="1095"/>
      <c r="M4565" s="1095"/>
    </row>
    <row r="4566" spans="1:13" x14ac:dyDescent="0.25">
      <c r="A4566">
        <v>4011210</v>
      </c>
      <c r="B4566" t="s">
        <v>11682</v>
      </c>
      <c r="C4566" t="s">
        <v>2595</v>
      </c>
      <c r="D4566" s="254">
        <v>1.27</v>
      </c>
      <c r="E4566"/>
      <c r="F4566"/>
      <c r="G4566"/>
      <c r="H4566"/>
      <c r="I4566" s="489"/>
      <c r="J4566" s="1095"/>
      <c r="K4566" s="1095"/>
      <c r="L4566" s="1095"/>
      <c r="M4566" s="1095"/>
    </row>
    <row r="4567" spans="1:13" x14ac:dyDescent="0.25">
      <c r="A4567">
        <v>4011537</v>
      </c>
      <c r="B4567" t="s">
        <v>11683</v>
      </c>
      <c r="C4567" t="s">
        <v>2598</v>
      </c>
      <c r="D4567" s="254">
        <v>19.27</v>
      </c>
      <c r="E4567"/>
      <c r="F4567"/>
      <c r="G4567"/>
      <c r="H4567"/>
      <c r="I4567" s="489"/>
      <c r="J4567" s="1095"/>
      <c r="K4567" s="1095"/>
      <c r="L4567" s="1095"/>
      <c r="M4567" s="1095"/>
    </row>
    <row r="4568" spans="1:13" x14ac:dyDescent="0.25">
      <c r="A4568">
        <v>4011218</v>
      </c>
      <c r="B4568" t="s">
        <v>11684</v>
      </c>
      <c r="C4568" t="s">
        <v>2596</v>
      </c>
      <c r="D4568" s="254">
        <v>425.44</v>
      </c>
      <c r="E4568"/>
      <c r="F4568"/>
      <c r="G4568"/>
      <c r="H4568"/>
      <c r="I4568" s="489"/>
      <c r="J4568" s="1095"/>
      <c r="K4568" s="1095"/>
      <c r="L4568" s="1095"/>
      <c r="M4568" s="1095"/>
    </row>
    <row r="4569" spans="1:13" x14ac:dyDescent="0.25">
      <c r="A4569">
        <v>4011217</v>
      </c>
      <c r="B4569" t="s">
        <v>11685</v>
      </c>
      <c r="C4569" t="s">
        <v>2596</v>
      </c>
      <c r="D4569" s="254">
        <v>275.02999999999997</v>
      </c>
      <c r="E4569"/>
      <c r="F4569"/>
      <c r="G4569"/>
      <c r="H4569"/>
      <c r="I4569" s="489"/>
      <c r="J4569" s="1095"/>
      <c r="K4569" s="1095"/>
      <c r="L4569" s="1095"/>
      <c r="M4569" s="1095"/>
    </row>
    <row r="4570" spans="1:13" x14ac:dyDescent="0.25">
      <c r="A4570">
        <v>4011214</v>
      </c>
      <c r="B4570" t="s">
        <v>11686</v>
      </c>
      <c r="C4570" t="s">
        <v>2596</v>
      </c>
      <c r="D4570" s="254">
        <v>273.29000000000002</v>
      </c>
      <c r="E4570"/>
      <c r="F4570"/>
      <c r="G4570"/>
      <c r="H4570"/>
      <c r="I4570" s="489"/>
      <c r="J4570" s="1095"/>
      <c r="K4570" s="1095"/>
      <c r="L4570" s="1095"/>
      <c r="M4570" s="1095"/>
    </row>
    <row r="4571" spans="1:13" x14ac:dyDescent="0.25">
      <c r="A4571">
        <v>4011213</v>
      </c>
      <c r="B4571" t="s">
        <v>11687</v>
      </c>
      <c r="C4571" t="s">
        <v>2596</v>
      </c>
      <c r="D4571" s="254">
        <v>174.87</v>
      </c>
      <c r="E4571"/>
      <c r="F4571"/>
      <c r="G4571"/>
      <c r="H4571"/>
      <c r="I4571" s="489"/>
      <c r="J4571" s="1095"/>
      <c r="K4571" s="1095"/>
      <c r="L4571" s="1095"/>
      <c r="M4571" s="1095"/>
    </row>
    <row r="4572" spans="1:13" x14ac:dyDescent="0.25">
      <c r="A4572">
        <v>4011227</v>
      </c>
      <c r="B4572" t="s">
        <v>11688</v>
      </c>
      <c r="C4572" t="s">
        <v>2596</v>
      </c>
      <c r="D4572" s="254">
        <v>12.03</v>
      </c>
      <c r="E4572"/>
      <c r="F4572"/>
      <c r="G4572"/>
      <c r="H4572"/>
      <c r="I4572" s="489"/>
      <c r="J4572" s="1095"/>
      <c r="K4572" s="1095"/>
      <c r="L4572" s="1095"/>
      <c r="M4572" s="1095"/>
    </row>
    <row r="4573" spans="1:13" x14ac:dyDescent="0.25">
      <c r="A4573">
        <v>4011302</v>
      </c>
      <c r="B4573" t="s">
        <v>11689</v>
      </c>
      <c r="C4573" t="s">
        <v>2596</v>
      </c>
      <c r="D4573" s="254">
        <v>64.069999999999993</v>
      </c>
      <c r="E4573"/>
      <c r="F4573"/>
      <c r="G4573"/>
      <c r="H4573"/>
      <c r="I4573" s="489"/>
      <c r="J4573" s="1095"/>
      <c r="K4573" s="1095"/>
      <c r="L4573" s="1095"/>
      <c r="M4573" s="1095"/>
    </row>
    <row r="4574" spans="1:13" x14ac:dyDescent="0.25">
      <c r="A4574">
        <v>4011300</v>
      </c>
      <c r="B4574" t="s">
        <v>11690</v>
      </c>
      <c r="C4574" t="s">
        <v>2596</v>
      </c>
      <c r="D4574" s="254">
        <v>52.96</v>
      </c>
      <c r="E4574"/>
      <c r="F4574"/>
      <c r="G4574"/>
      <c r="H4574"/>
      <c r="I4574" s="489"/>
      <c r="J4574" s="1095"/>
      <c r="K4574" s="1095"/>
      <c r="L4574" s="1095"/>
      <c r="M4574" s="1095"/>
    </row>
    <row r="4575" spans="1:13" x14ac:dyDescent="0.25">
      <c r="A4575">
        <v>4011306</v>
      </c>
      <c r="B4575" t="s">
        <v>11691</v>
      </c>
      <c r="C4575" t="s">
        <v>2596</v>
      </c>
      <c r="D4575" s="254">
        <v>85.49</v>
      </c>
      <c r="E4575"/>
      <c r="F4575"/>
      <c r="G4575"/>
      <c r="H4575"/>
      <c r="I4575" s="489"/>
      <c r="J4575" s="1095"/>
      <c r="K4575" s="1095"/>
      <c r="L4575" s="1095"/>
      <c r="M4575" s="1095"/>
    </row>
    <row r="4576" spans="1:13" x14ac:dyDescent="0.25">
      <c r="A4576">
        <v>4011303</v>
      </c>
      <c r="B4576" t="s">
        <v>11692</v>
      </c>
      <c r="C4576" t="s">
        <v>2596</v>
      </c>
      <c r="D4576" s="254">
        <v>113.89</v>
      </c>
      <c r="E4576"/>
      <c r="F4576"/>
      <c r="G4576"/>
      <c r="H4576"/>
      <c r="I4576" s="489"/>
      <c r="J4576" s="1095"/>
      <c r="K4576" s="1095"/>
      <c r="L4576" s="1095"/>
      <c r="M4576" s="1095"/>
    </row>
    <row r="4577" spans="1:13" x14ac:dyDescent="0.25">
      <c r="A4577">
        <v>4011301</v>
      </c>
      <c r="B4577" t="s">
        <v>11693</v>
      </c>
      <c r="C4577" t="s">
        <v>2596</v>
      </c>
      <c r="D4577" s="254">
        <v>105.25</v>
      </c>
      <c r="E4577"/>
      <c r="F4577"/>
      <c r="G4577"/>
      <c r="H4577"/>
      <c r="I4577" s="489"/>
      <c r="J4577" s="1095"/>
      <c r="K4577" s="1095"/>
      <c r="L4577" s="1095"/>
      <c r="M4577" s="1095"/>
    </row>
    <row r="4578" spans="1:13" x14ac:dyDescent="0.25">
      <c r="A4578">
        <v>4011228</v>
      </c>
      <c r="B4578" t="s">
        <v>11694</v>
      </c>
      <c r="C4578" t="s">
        <v>2596</v>
      </c>
      <c r="D4578" s="254">
        <v>13.06</v>
      </c>
      <c r="E4578"/>
      <c r="F4578"/>
      <c r="G4578"/>
      <c r="H4578"/>
      <c r="I4578" s="489"/>
      <c r="J4578" s="1095"/>
      <c r="K4578" s="1095"/>
      <c r="L4578" s="1095"/>
      <c r="M4578" s="1095"/>
    </row>
    <row r="4579" spans="1:13" x14ac:dyDescent="0.25">
      <c r="A4579">
        <v>4011229</v>
      </c>
      <c r="B4579" t="s">
        <v>11695</v>
      </c>
      <c r="C4579" t="s">
        <v>2596</v>
      </c>
      <c r="D4579" s="254">
        <v>31.81</v>
      </c>
      <c r="E4579"/>
      <c r="F4579"/>
      <c r="G4579"/>
      <c r="H4579"/>
      <c r="I4579" s="489"/>
      <c r="J4579" s="1095"/>
      <c r="K4579" s="1095"/>
      <c r="L4579" s="1095"/>
      <c r="M4579" s="1095"/>
    </row>
    <row r="4580" spans="1:13" x14ac:dyDescent="0.25">
      <c r="A4580">
        <v>4011231</v>
      </c>
      <c r="B4580" t="s">
        <v>11696</v>
      </c>
      <c r="C4580" t="s">
        <v>2596</v>
      </c>
      <c r="D4580" s="254">
        <v>113.96</v>
      </c>
      <c r="E4580"/>
      <c r="F4580"/>
      <c r="G4580"/>
      <c r="H4580"/>
      <c r="I4580" s="489"/>
      <c r="J4580" s="1095"/>
      <c r="K4580" s="1095"/>
      <c r="L4580" s="1095"/>
      <c r="M4580" s="1095"/>
    </row>
    <row r="4581" spans="1:13" x14ac:dyDescent="0.25">
      <c r="A4581">
        <v>4011230</v>
      </c>
      <c r="B4581" t="s">
        <v>11697</v>
      </c>
      <c r="C4581" t="s">
        <v>2596</v>
      </c>
      <c r="D4581" s="254">
        <v>87.3</v>
      </c>
      <c r="E4581"/>
      <c r="F4581"/>
      <c r="G4581"/>
      <c r="H4581"/>
      <c r="I4581" s="489"/>
      <c r="J4581" s="1095"/>
      <c r="K4581" s="1095"/>
      <c r="L4581" s="1095"/>
      <c r="M4581" s="1095"/>
    </row>
    <row r="4582" spans="1:13" x14ac:dyDescent="0.25">
      <c r="A4582">
        <v>4011235</v>
      </c>
      <c r="B4582" t="s">
        <v>11698</v>
      </c>
      <c r="C4582" t="s">
        <v>2596</v>
      </c>
      <c r="D4582" s="254">
        <v>76.28</v>
      </c>
      <c r="E4582"/>
      <c r="F4582"/>
      <c r="G4582"/>
      <c r="H4582"/>
      <c r="I4582" s="489"/>
      <c r="J4582" s="1095"/>
      <c r="K4582" s="1095"/>
      <c r="L4582" s="1095"/>
      <c r="M4582" s="1095"/>
    </row>
    <row r="4583" spans="1:13" x14ac:dyDescent="0.25">
      <c r="A4583">
        <v>4011234</v>
      </c>
      <c r="B4583" t="s">
        <v>11699</v>
      </c>
      <c r="C4583" t="s">
        <v>2596</v>
      </c>
      <c r="D4583" s="254">
        <v>48.8</v>
      </c>
      <c r="E4583"/>
      <c r="F4583"/>
      <c r="G4583"/>
      <c r="H4583"/>
      <c r="I4583" s="489"/>
      <c r="J4583" s="1095"/>
      <c r="K4583" s="1095"/>
      <c r="L4583" s="1095"/>
      <c r="M4583" s="1095"/>
    </row>
    <row r="4584" spans="1:13" x14ac:dyDescent="0.25">
      <c r="A4584">
        <v>4011233</v>
      </c>
      <c r="B4584" t="s">
        <v>11700</v>
      </c>
      <c r="C4584" t="s">
        <v>2596</v>
      </c>
      <c r="D4584" s="254">
        <v>62.52</v>
      </c>
      <c r="E4584"/>
      <c r="F4584"/>
      <c r="G4584"/>
      <c r="H4584"/>
      <c r="I4584" s="489"/>
      <c r="J4584" s="1095"/>
      <c r="K4584" s="1095"/>
      <c r="L4584" s="1095"/>
      <c r="M4584" s="1095"/>
    </row>
    <row r="4585" spans="1:13" x14ac:dyDescent="0.25">
      <c r="A4585">
        <v>4011232</v>
      </c>
      <c r="B4585" t="s">
        <v>11701</v>
      </c>
      <c r="C4585" t="s">
        <v>2596</v>
      </c>
      <c r="D4585" s="254">
        <v>35.04</v>
      </c>
      <c r="E4585"/>
      <c r="F4585"/>
      <c r="G4585"/>
      <c r="H4585"/>
      <c r="I4585" s="489"/>
      <c r="J4585" s="1095"/>
      <c r="K4585" s="1095"/>
      <c r="L4585" s="1095"/>
      <c r="M4585" s="1095"/>
    </row>
    <row r="4586" spans="1:13" x14ac:dyDescent="0.25">
      <c r="A4586">
        <v>4011372</v>
      </c>
      <c r="B4586" t="s">
        <v>11702</v>
      </c>
      <c r="C4586" t="s">
        <v>2595</v>
      </c>
      <c r="D4586" s="254">
        <v>5.52</v>
      </c>
      <c r="E4586"/>
      <c r="F4586"/>
      <c r="G4586"/>
      <c r="H4586"/>
      <c r="I4586" s="489"/>
      <c r="J4586" s="1095"/>
      <c r="K4586" s="1095"/>
      <c r="L4586" s="1095"/>
      <c r="M4586" s="1095"/>
    </row>
    <row r="4587" spans="1:13" x14ac:dyDescent="0.25">
      <c r="A4587">
        <v>4011371</v>
      </c>
      <c r="B4587" t="s">
        <v>11703</v>
      </c>
      <c r="C4587" t="s">
        <v>2595</v>
      </c>
      <c r="D4587" s="254">
        <v>4.01</v>
      </c>
      <c r="E4587"/>
      <c r="F4587"/>
      <c r="G4587"/>
      <c r="H4587"/>
      <c r="I4587" s="489"/>
      <c r="J4587" s="1095"/>
      <c r="K4587" s="1095"/>
      <c r="L4587" s="1095"/>
      <c r="M4587" s="1095"/>
    </row>
    <row r="4588" spans="1:13" x14ac:dyDescent="0.25">
      <c r="A4588">
        <v>4011378</v>
      </c>
      <c r="B4588" t="s">
        <v>11704</v>
      </c>
      <c r="C4588" t="s">
        <v>2595</v>
      </c>
      <c r="D4588" s="254">
        <v>5.52</v>
      </c>
      <c r="E4588"/>
      <c r="F4588"/>
      <c r="G4588"/>
      <c r="H4588"/>
      <c r="I4588" s="489"/>
      <c r="J4588" s="1095"/>
      <c r="K4588" s="1095"/>
      <c r="L4588" s="1095"/>
      <c r="M4588" s="1095"/>
    </row>
    <row r="4589" spans="1:13" x14ac:dyDescent="0.25">
      <c r="A4589">
        <v>4011377</v>
      </c>
      <c r="B4589" t="s">
        <v>11705</v>
      </c>
      <c r="C4589" t="s">
        <v>2595</v>
      </c>
      <c r="D4589" s="254">
        <v>4.01</v>
      </c>
      <c r="E4589"/>
      <c r="F4589"/>
      <c r="G4589"/>
      <c r="H4589"/>
      <c r="I4589" s="489"/>
      <c r="J4589" s="1095"/>
      <c r="K4589" s="1095"/>
      <c r="L4589" s="1095"/>
      <c r="M4589" s="1095"/>
    </row>
    <row r="4590" spans="1:13" x14ac:dyDescent="0.25">
      <c r="A4590">
        <v>4011368</v>
      </c>
      <c r="B4590" t="s">
        <v>11706</v>
      </c>
      <c r="C4590" t="s">
        <v>2595</v>
      </c>
      <c r="D4590" s="254">
        <v>4.38</v>
      </c>
      <c r="E4590"/>
      <c r="F4590"/>
      <c r="G4590"/>
      <c r="H4590"/>
      <c r="I4590" s="489"/>
      <c r="J4590" s="1095"/>
      <c r="K4590" s="1095"/>
      <c r="L4590" s="1095"/>
      <c r="M4590" s="1095"/>
    </row>
    <row r="4591" spans="1:13" x14ac:dyDescent="0.25">
      <c r="A4591">
        <v>4011367</v>
      </c>
      <c r="B4591" t="s">
        <v>11707</v>
      </c>
      <c r="C4591" t="s">
        <v>2595</v>
      </c>
      <c r="D4591" s="254">
        <v>2.87</v>
      </c>
      <c r="E4591"/>
      <c r="F4591"/>
      <c r="G4591"/>
      <c r="H4591"/>
      <c r="I4591" s="489"/>
      <c r="J4591" s="1095"/>
      <c r="K4591" s="1095"/>
      <c r="L4591" s="1095"/>
      <c r="M4591" s="1095"/>
    </row>
    <row r="4592" spans="1:13" x14ac:dyDescent="0.25">
      <c r="A4592">
        <v>4011374</v>
      </c>
      <c r="B4592" t="s">
        <v>11708</v>
      </c>
      <c r="C4592" t="s">
        <v>2595</v>
      </c>
      <c r="D4592" s="254">
        <v>4.38</v>
      </c>
      <c r="E4592"/>
      <c r="F4592"/>
      <c r="G4592"/>
      <c r="H4592"/>
      <c r="I4592" s="489"/>
      <c r="J4592" s="1095"/>
      <c r="K4592" s="1095"/>
      <c r="L4592" s="1095"/>
      <c r="M4592" s="1095"/>
    </row>
    <row r="4593" spans="1:13" x14ac:dyDescent="0.25">
      <c r="A4593">
        <v>4011373</v>
      </c>
      <c r="B4593" t="s">
        <v>11709</v>
      </c>
      <c r="C4593" t="s">
        <v>2595</v>
      </c>
      <c r="D4593" s="254">
        <v>2.87</v>
      </c>
      <c r="E4593"/>
      <c r="F4593"/>
      <c r="G4593"/>
      <c r="H4593"/>
      <c r="I4593" s="489"/>
      <c r="J4593" s="1095"/>
      <c r="K4593" s="1095"/>
      <c r="L4593" s="1095"/>
      <c r="M4593" s="1095"/>
    </row>
    <row r="4594" spans="1:13" x14ac:dyDescent="0.25">
      <c r="A4594">
        <v>4011370</v>
      </c>
      <c r="B4594" t="s">
        <v>11710</v>
      </c>
      <c r="C4594" t="s">
        <v>2595</v>
      </c>
      <c r="D4594" s="254">
        <v>5</v>
      </c>
      <c r="E4594"/>
      <c r="F4594"/>
      <c r="G4594"/>
      <c r="H4594"/>
      <c r="I4594" s="489"/>
      <c r="J4594" s="1095"/>
      <c r="K4594" s="1095"/>
      <c r="L4594" s="1095"/>
      <c r="M4594" s="1095"/>
    </row>
    <row r="4595" spans="1:13" x14ac:dyDescent="0.25">
      <c r="A4595">
        <v>4011369</v>
      </c>
      <c r="B4595" t="s">
        <v>11711</v>
      </c>
      <c r="C4595" t="s">
        <v>2595</v>
      </c>
      <c r="D4595" s="254">
        <v>3.49</v>
      </c>
      <c r="E4595"/>
      <c r="F4595"/>
      <c r="G4595"/>
      <c r="H4595"/>
      <c r="I4595" s="489"/>
      <c r="J4595" s="1095"/>
      <c r="K4595" s="1095"/>
      <c r="L4595" s="1095"/>
      <c r="M4595" s="1095"/>
    </row>
    <row r="4596" spans="1:13" x14ac:dyDescent="0.25">
      <c r="A4596">
        <v>4011376</v>
      </c>
      <c r="B4596" t="s">
        <v>11712</v>
      </c>
      <c r="C4596" t="s">
        <v>2595</v>
      </c>
      <c r="D4596" s="254">
        <v>5</v>
      </c>
      <c r="E4596"/>
      <c r="F4596"/>
      <c r="G4596"/>
      <c r="H4596"/>
      <c r="I4596" s="489"/>
      <c r="J4596" s="1095"/>
      <c r="K4596" s="1095"/>
      <c r="L4596" s="1095"/>
      <c r="M4596" s="1095"/>
    </row>
    <row r="4597" spans="1:13" x14ac:dyDescent="0.25">
      <c r="A4597">
        <v>4011375</v>
      </c>
      <c r="B4597" t="s">
        <v>11713</v>
      </c>
      <c r="C4597" t="s">
        <v>2595</v>
      </c>
      <c r="D4597" s="254">
        <v>3.49</v>
      </c>
      <c r="E4597"/>
      <c r="F4597"/>
      <c r="G4597"/>
      <c r="H4597"/>
      <c r="I4597" s="489"/>
      <c r="J4597" s="1095"/>
      <c r="K4597" s="1095"/>
      <c r="L4597" s="1095"/>
      <c r="M4597" s="1095"/>
    </row>
    <row r="4598" spans="1:13" x14ac:dyDescent="0.25">
      <c r="A4598">
        <v>4011360</v>
      </c>
      <c r="B4598" t="s">
        <v>11714</v>
      </c>
      <c r="C4598" t="s">
        <v>2595</v>
      </c>
      <c r="D4598" s="254">
        <v>1.93</v>
      </c>
      <c r="E4598"/>
      <c r="F4598"/>
      <c r="G4598"/>
      <c r="H4598"/>
      <c r="I4598" s="489"/>
      <c r="J4598" s="1095"/>
      <c r="K4598" s="1095"/>
      <c r="L4598" s="1095"/>
      <c r="M4598" s="1095"/>
    </row>
    <row r="4599" spans="1:13" x14ac:dyDescent="0.25">
      <c r="A4599">
        <v>4011359</v>
      </c>
      <c r="B4599" t="s">
        <v>11715</v>
      </c>
      <c r="C4599" t="s">
        <v>2595</v>
      </c>
      <c r="D4599" s="254">
        <v>1.46</v>
      </c>
      <c r="E4599"/>
      <c r="F4599"/>
      <c r="G4599"/>
      <c r="H4599"/>
      <c r="I4599" s="489"/>
      <c r="J4599" s="1095"/>
      <c r="K4599" s="1095"/>
      <c r="L4599" s="1095"/>
      <c r="M4599" s="1095"/>
    </row>
    <row r="4600" spans="1:13" x14ac:dyDescent="0.25">
      <c r="A4600">
        <v>4011366</v>
      </c>
      <c r="B4600" t="s">
        <v>11716</v>
      </c>
      <c r="C4600" t="s">
        <v>2595</v>
      </c>
      <c r="D4600" s="254">
        <v>1.93</v>
      </c>
      <c r="E4600"/>
      <c r="F4600"/>
      <c r="G4600"/>
      <c r="H4600"/>
      <c r="I4600" s="489"/>
      <c r="J4600" s="1095"/>
      <c r="K4600" s="1095"/>
      <c r="L4600" s="1095"/>
      <c r="M4600" s="1095"/>
    </row>
    <row r="4601" spans="1:13" x14ac:dyDescent="0.25">
      <c r="A4601">
        <v>4011365</v>
      </c>
      <c r="B4601" t="s">
        <v>11717</v>
      </c>
      <c r="C4601" t="s">
        <v>2595</v>
      </c>
      <c r="D4601" s="254">
        <v>1.46</v>
      </c>
      <c r="E4601"/>
      <c r="F4601"/>
      <c r="G4601"/>
      <c r="H4601"/>
      <c r="I4601" s="489"/>
      <c r="J4601" s="1095"/>
      <c r="K4601" s="1095"/>
      <c r="L4601" s="1095"/>
      <c r="M4601" s="1095"/>
    </row>
    <row r="4602" spans="1:13" x14ac:dyDescent="0.25">
      <c r="A4602">
        <v>4011356</v>
      </c>
      <c r="B4602" t="s">
        <v>11718</v>
      </c>
      <c r="C4602" t="s">
        <v>2595</v>
      </c>
      <c r="D4602" s="254">
        <v>1.46</v>
      </c>
      <c r="E4602"/>
      <c r="F4602"/>
      <c r="G4602"/>
      <c r="H4602"/>
      <c r="I4602" s="489"/>
      <c r="J4602" s="1095"/>
      <c r="K4602" s="1095"/>
      <c r="L4602" s="1095"/>
      <c r="M4602" s="1095"/>
    </row>
    <row r="4603" spans="1:13" x14ac:dyDescent="0.25">
      <c r="A4603">
        <v>4011355</v>
      </c>
      <c r="B4603" t="s">
        <v>11719</v>
      </c>
      <c r="C4603" t="s">
        <v>2595</v>
      </c>
      <c r="D4603" s="254">
        <v>0.99</v>
      </c>
      <c r="E4603"/>
      <c r="F4603"/>
      <c r="G4603"/>
      <c r="H4603"/>
      <c r="I4603" s="489"/>
      <c r="J4603" s="1095"/>
      <c r="K4603" s="1095"/>
      <c r="L4603" s="1095"/>
      <c r="M4603" s="1095"/>
    </row>
    <row r="4604" spans="1:13" x14ac:dyDescent="0.25">
      <c r="A4604">
        <v>4011362</v>
      </c>
      <c r="B4604" t="s">
        <v>11720</v>
      </c>
      <c r="C4604" t="s">
        <v>2595</v>
      </c>
      <c r="D4604" s="254">
        <v>1.46</v>
      </c>
      <c r="E4604"/>
      <c r="F4604"/>
      <c r="G4604"/>
      <c r="H4604"/>
      <c r="I4604" s="489"/>
      <c r="J4604" s="1095"/>
      <c r="K4604" s="1095"/>
      <c r="L4604" s="1095"/>
      <c r="M4604" s="1095"/>
    </row>
    <row r="4605" spans="1:13" x14ac:dyDescent="0.25">
      <c r="A4605">
        <v>4011361</v>
      </c>
      <c r="B4605" t="s">
        <v>11721</v>
      </c>
      <c r="C4605" t="s">
        <v>2595</v>
      </c>
      <c r="D4605" s="254">
        <v>0.99</v>
      </c>
      <c r="E4605"/>
      <c r="F4605"/>
      <c r="G4605"/>
      <c r="H4605"/>
      <c r="I4605" s="489"/>
      <c r="J4605" s="1095"/>
      <c r="K4605" s="1095"/>
      <c r="L4605" s="1095"/>
      <c r="M4605" s="1095"/>
    </row>
    <row r="4606" spans="1:13" x14ac:dyDescent="0.25">
      <c r="A4606">
        <v>4011358</v>
      </c>
      <c r="B4606" t="s">
        <v>11722</v>
      </c>
      <c r="C4606" t="s">
        <v>2595</v>
      </c>
      <c r="D4606" s="254">
        <v>1.71</v>
      </c>
      <c r="E4606"/>
      <c r="F4606"/>
      <c r="G4606"/>
      <c r="H4606"/>
      <c r="I4606" s="489"/>
      <c r="J4606" s="1095"/>
      <c r="K4606" s="1095"/>
      <c r="L4606" s="1095"/>
      <c r="M4606" s="1095"/>
    </row>
    <row r="4607" spans="1:13" x14ac:dyDescent="0.25">
      <c r="A4607">
        <v>4011357</v>
      </c>
      <c r="B4607" t="s">
        <v>11723</v>
      </c>
      <c r="C4607" t="s">
        <v>2595</v>
      </c>
      <c r="D4607" s="254">
        <v>1.23</v>
      </c>
      <c r="E4607"/>
      <c r="F4607"/>
      <c r="G4607"/>
      <c r="H4607"/>
      <c r="I4607" s="489"/>
      <c r="J4607" s="1095"/>
      <c r="K4607" s="1095"/>
      <c r="L4607" s="1095"/>
      <c r="M4607" s="1095"/>
    </row>
    <row r="4608" spans="1:13" x14ac:dyDescent="0.25">
      <c r="A4608">
        <v>4011364</v>
      </c>
      <c r="B4608" t="s">
        <v>11724</v>
      </c>
      <c r="C4608" t="s">
        <v>2595</v>
      </c>
      <c r="D4608" s="254">
        <v>1.71</v>
      </c>
      <c r="E4608"/>
      <c r="F4608"/>
      <c r="G4608"/>
      <c r="H4608"/>
      <c r="I4608" s="489"/>
      <c r="J4608" s="1095"/>
      <c r="K4608" s="1095"/>
      <c r="L4608" s="1095"/>
      <c r="M4608" s="1095"/>
    </row>
    <row r="4609" spans="1:13" x14ac:dyDescent="0.25">
      <c r="A4609">
        <v>4011363</v>
      </c>
      <c r="B4609" t="s">
        <v>11725</v>
      </c>
      <c r="C4609" t="s">
        <v>2595</v>
      </c>
      <c r="D4609" s="254">
        <v>1.23</v>
      </c>
      <c r="E4609"/>
      <c r="F4609"/>
      <c r="G4609"/>
      <c r="H4609"/>
      <c r="I4609" s="489"/>
      <c r="J4609" s="1095"/>
      <c r="K4609" s="1095"/>
      <c r="L4609" s="1095"/>
      <c r="M4609" s="1095"/>
    </row>
    <row r="4610" spans="1:13" x14ac:dyDescent="0.25">
      <c r="A4610">
        <v>4011384</v>
      </c>
      <c r="B4610" t="s">
        <v>11726</v>
      </c>
      <c r="C4610" t="s">
        <v>2595</v>
      </c>
      <c r="D4610" s="254">
        <v>6.12</v>
      </c>
      <c r="E4610"/>
      <c r="F4610"/>
      <c r="G4610"/>
      <c r="H4610"/>
      <c r="I4610" s="489"/>
      <c r="J4610" s="1095"/>
      <c r="K4610" s="1095"/>
      <c r="L4610" s="1095"/>
      <c r="M4610" s="1095"/>
    </row>
    <row r="4611" spans="1:13" x14ac:dyDescent="0.25">
      <c r="A4611">
        <v>4011383</v>
      </c>
      <c r="B4611" t="s">
        <v>11727</v>
      </c>
      <c r="C4611" t="s">
        <v>2595</v>
      </c>
      <c r="D4611" s="254">
        <v>4.3899999999999997</v>
      </c>
      <c r="E4611"/>
      <c r="F4611"/>
      <c r="G4611"/>
      <c r="H4611"/>
      <c r="I4611" s="489"/>
      <c r="J4611" s="1095"/>
      <c r="K4611" s="1095"/>
      <c r="L4611" s="1095"/>
      <c r="M4611" s="1095"/>
    </row>
    <row r="4612" spans="1:13" x14ac:dyDescent="0.25">
      <c r="A4612">
        <v>4011390</v>
      </c>
      <c r="B4612" t="s">
        <v>11728</v>
      </c>
      <c r="C4612" t="s">
        <v>2595</v>
      </c>
      <c r="D4612" s="254">
        <v>6.12</v>
      </c>
      <c r="E4612"/>
      <c r="F4612"/>
      <c r="G4612"/>
      <c r="H4612"/>
      <c r="I4612" s="489"/>
      <c r="J4612" s="1095"/>
      <c r="K4612" s="1095"/>
      <c r="L4612" s="1095"/>
      <c r="M4612" s="1095"/>
    </row>
    <row r="4613" spans="1:13" x14ac:dyDescent="0.25">
      <c r="A4613">
        <v>4011389</v>
      </c>
      <c r="B4613" t="s">
        <v>11729</v>
      </c>
      <c r="C4613" t="s">
        <v>2595</v>
      </c>
      <c r="D4613" s="254">
        <v>4.3899999999999997</v>
      </c>
      <c r="E4613"/>
      <c r="F4613"/>
      <c r="G4613"/>
      <c r="H4613"/>
      <c r="I4613" s="489"/>
      <c r="J4613" s="1095"/>
      <c r="K4613" s="1095"/>
      <c r="L4613" s="1095"/>
      <c r="M4613" s="1095"/>
    </row>
    <row r="4614" spans="1:13" x14ac:dyDescent="0.25">
      <c r="A4614">
        <v>4011380</v>
      </c>
      <c r="B4614" t="s">
        <v>11730</v>
      </c>
      <c r="C4614" t="s">
        <v>2595</v>
      </c>
      <c r="D4614" s="254">
        <v>4.9800000000000004</v>
      </c>
      <c r="E4614"/>
      <c r="F4614"/>
      <c r="G4614"/>
      <c r="H4614"/>
      <c r="I4614" s="489"/>
      <c r="J4614" s="1095"/>
      <c r="K4614" s="1095"/>
      <c r="L4614" s="1095"/>
      <c r="M4614" s="1095"/>
    </row>
    <row r="4615" spans="1:13" x14ac:dyDescent="0.25">
      <c r="A4615">
        <v>4011379</v>
      </c>
      <c r="B4615" t="s">
        <v>11731</v>
      </c>
      <c r="C4615" t="s">
        <v>2595</v>
      </c>
      <c r="D4615" s="254">
        <v>3.25</v>
      </c>
      <c r="E4615"/>
      <c r="F4615"/>
      <c r="G4615"/>
      <c r="H4615"/>
      <c r="I4615" s="489"/>
      <c r="J4615" s="1095"/>
      <c r="K4615" s="1095"/>
      <c r="L4615" s="1095"/>
      <c r="M4615" s="1095"/>
    </row>
    <row r="4616" spans="1:13" x14ac:dyDescent="0.25">
      <c r="A4616">
        <v>4011386</v>
      </c>
      <c r="B4616" t="s">
        <v>11732</v>
      </c>
      <c r="C4616" t="s">
        <v>2595</v>
      </c>
      <c r="D4616" s="254">
        <v>4.9800000000000004</v>
      </c>
      <c r="E4616"/>
      <c r="F4616"/>
      <c r="G4616"/>
      <c r="H4616"/>
      <c r="I4616" s="489"/>
      <c r="J4616" s="1095"/>
      <c r="K4616" s="1095"/>
      <c r="L4616" s="1095"/>
      <c r="M4616" s="1095"/>
    </row>
    <row r="4617" spans="1:13" x14ac:dyDescent="0.25">
      <c r="A4617">
        <v>4011385</v>
      </c>
      <c r="B4617" t="s">
        <v>11733</v>
      </c>
      <c r="C4617" t="s">
        <v>2595</v>
      </c>
      <c r="D4617" s="254">
        <v>3.25</v>
      </c>
      <c r="E4617"/>
      <c r="F4617"/>
      <c r="G4617"/>
      <c r="H4617"/>
      <c r="I4617" s="489"/>
      <c r="J4617" s="1095"/>
      <c r="K4617" s="1095"/>
      <c r="L4617" s="1095"/>
      <c r="M4617" s="1095"/>
    </row>
    <row r="4618" spans="1:13" x14ac:dyDescent="0.25">
      <c r="A4618">
        <v>4011382</v>
      </c>
      <c r="B4618" t="s">
        <v>11734</v>
      </c>
      <c r="C4618" t="s">
        <v>2595</v>
      </c>
      <c r="D4618" s="254">
        <v>5.6</v>
      </c>
      <c r="E4618"/>
      <c r="F4618"/>
      <c r="G4618"/>
      <c r="H4618"/>
      <c r="I4618" s="489"/>
      <c r="J4618" s="1095"/>
      <c r="K4618" s="1095"/>
      <c r="L4618" s="1095"/>
      <c r="M4618" s="1095"/>
    </row>
    <row r="4619" spans="1:13" x14ac:dyDescent="0.25">
      <c r="A4619">
        <v>4011381</v>
      </c>
      <c r="B4619" t="s">
        <v>11735</v>
      </c>
      <c r="C4619" t="s">
        <v>2595</v>
      </c>
      <c r="D4619" s="254">
        <v>3.87</v>
      </c>
      <c r="E4619"/>
      <c r="F4619"/>
      <c r="G4619"/>
      <c r="H4619"/>
      <c r="I4619" s="489"/>
      <c r="J4619" s="1095"/>
      <c r="K4619" s="1095"/>
      <c r="L4619" s="1095"/>
      <c r="M4619" s="1095"/>
    </row>
    <row r="4620" spans="1:13" x14ac:dyDescent="0.25">
      <c r="A4620">
        <v>4011388</v>
      </c>
      <c r="B4620" t="s">
        <v>11736</v>
      </c>
      <c r="C4620" t="s">
        <v>2595</v>
      </c>
      <c r="D4620" s="254">
        <v>5.6</v>
      </c>
      <c r="E4620"/>
      <c r="F4620"/>
      <c r="G4620"/>
      <c r="H4620"/>
      <c r="I4620" s="489"/>
      <c r="J4620" s="1095"/>
      <c r="K4620" s="1095"/>
      <c r="L4620" s="1095"/>
      <c r="M4620" s="1095"/>
    </row>
    <row r="4621" spans="1:13" x14ac:dyDescent="0.25">
      <c r="A4621">
        <v>4011387</v>
      </c>
      <c r="B4621" t="s">
        <v>11737</v>
      </c>
      <c r="C4621" t="s">
        <v>2595</v>
      </c>
      <c r="D4621" s="254">
        <v>3.87</v>
      </c>
      <c r="E4621"/>
      <c r="F4621"/>
      <c r="G4621"/>
      <c r="H4621"/>
      <c r="I4621" s="489"/>
      <c r="J4621" s="1095"/>
      <c r="K4621" s="1095"/>
      <c r="L4621" s="1095"/>
      <c r="M4621" s="1095"/>
    </row>
    <row r="4622" spans="1:13" x14ac:dyDescent="0.25">
      <c r="A4622">
        <v>4011212</v>
      </c>
      <c r="B4622" t="s">
        <v>11738</v>
      </c>
      <c r="C4622" t="s">
        <v>2595</v>
      </c>
      <c r="D4622" s="254">
        <v>0.06</v>
      </c>
      <c r="E4622"/>
      <c r="F4622"/>
      <c r="G4622"/>
      <c r="H4622"/>
      <c r="I4622" s="489"/>
      <c r="J4622" s="1095"/>
      <c r="K4622" s="1095"/>
      <c r="L4622" s="1095"/>
      <c r="M4622" s="1095"/>
    </row>
    <row r="4623" spans="1:13" x14ac:dyDescent="0.25">
      <c r="A4623">
        <v>4208197</v>
      </c>
      <c r="B4623" t="s">
        <v>11739</v>
      </c>
      <c r="C4623" t="s">
        <v>2640</v>
      </c>
      <c r="D4623" s="254">
        <v>12339.57</v>
      </c>
      <c r="E4623"/>
      <c r="F4623"/>
      <c r="G4623"/>
      <c r="H4623"/>
      <c r="I4623" s="489"/>
      <c r="J4623" s="1095"/>
      <c r="K4623" s="1095"/>
      <c r="L4623" s="1095"/>
      <c r="M4623" s="1095"/>
    </row>
    <row r="4624" spans="1:13" x14ac:dyDescent="0.25">
      <c r="A4624">
        <v>4208158</v>
      </c>
      <c r="B4624" t="s">
        <v>11740</v>
      </c>
      <c r="C4624" t="s">
        <v>2640</v>
      </c>
      <c r="D4624" s="254">
        <v>17157.650000000001</v>
      </c>
      <c r="E4624"/>
      <c r="F4624"/>
      <c r="G4624"/>
      <c r="H4624"/>
      <c r="I4624" s="489"/>
      <c r="J4624" s="1095"/>
      <c r="K4624" s="1095"/>
      <c r="L4624" s="1095"/>
      <c r="M4624" s="1095"/>
    </row>
    <row r="4625" spans="1:13" x14ac:dyDescent="0.25">
      <c r="A4625">
        <v>4208198</v>
      </c>
      <c r="B4625" t="s">
        <v>11741</v>
      </c>
      <c r="C4625" t="s">
        <v>2640</v>
      </c>
      <c r="D4625" s="254">
        <v>18478.580000000002</v>
      </c>
      <c r="E4625"/>
      <c r="F4625"/>
      <c r="G4625"/>
      <c r="H4625"/>
      <c r="I4625" s="489"/>
      <c r="J4625" s="1095"/>
      <c r="K4625" s="1095"/>
      <c r="L4625" s="1095"/>
      <c r="M4625" s="1095"/>
    </row>
    <row r="4626" spans="1:13" x14ac:dyDescent="0.25">
      <c r="A4626">
        <v>4208159</v>
      </c>
      <c r="B4626" t="s">
        <v>11742</v>
      </c>
      <c r="C4626" t="s">
        <v>2640</v>
      </c>
      <c r="D4626" s="254">
        <v>27727.61</v>
      </c>
      <c r="E4626"/>
      <c r="F4626"/>
      <c r="G4626"/>
      <c r="H4626"/>
      <c r="I4626" s="489"/>
      <c r="J4626" s="1095"/>
      <c r="K4626" s="1095"/>
      <c r="L4626" s="1095"/>
      <c r="M4626" s="1095"/>
    </row>
    <row r="4627" spans="1:13" x14ac:dyDescent="0.25">
      <c r="A4627">
        <v>4208160</v>
      </c>
      <c r="B4627" t="s">
        <v>11743</v>
      </c>
      <c r="C4627" t="s">
        <v>2640</v>
      </c>
      <c r="D4627" s="254">
        <v>33038.129999999997</v>
      </c>
      <c r="E4627"/>
      <c r="F4627"/>
      <c r="G4627"/>
      <c r="H4627"/>
      <c r="I4627" s="489"/>
      <c r="J4627" s="1095"/>
      <c r="K4627" s="1095"/>
      <c r="L4627" s="1095"/>
      <c r="M4627" s="1095"/>
    </row>
    <row r="4628" spans="1:13" x14ac:dyDescent="0.25">
      <c r="A4628">
        <v>4208199</v>
      </c>
      <c r="B4628" t="s">
        <v>11744</v>
      </c>
      <c r="C4628" t="s">
        <v>2640</v>
      </c>
      <c r="D4628" s="254">
        <v>38376.21</v>
      </c>
      <c r="E4628"/>
      <c r="F4628"/>
      <c r="G4628"/>
      <c r="H4628"/>
      <c r="I4628" s="489"/>
      <c r="J4628" s="1095"/>
      <c r="K4628" s="1095"/>
      <c r="L4628" s="1095"/>
      <c r="M4628" s="1095"/>
    </row>
    <row r="4629" spans="1:13" x14ac:dyDescent="0.25">
      <c r="A4629">
        <v>4208161</v>
      </c>
      <c r="B4629" t="s">
        <v>11745</v>
      </c>
      <c r="C4629" t="s">
        <v>2640</v>
      </c>
      <c r="D4629" s="254">
        <v>48942.96</v>
      </c>
      <c r="E4629"/>
      <c r="F4629"/>
      <c r="G4629"/>
      <c r="H4629"/>
      <c r="I4629" s="489"/>
      <c r="J4629" s="1095"/>
      <c r="K4629" s="1095"/>
      <c r="L4629" s="1095"/>
      <c r="M4629" s="1095"/>
    </row>
    <row r="4630" spans="1:13" x14ac:dyDescent="0.25">
      <c r="A4630">
        <v>4208162</v>
      </c>
      <c r="B4630" t="s">
        <v>11746</v>
      </c>
      <c r="C4630" t="s">
        <v>2640</v>
      </c>
      <c r="D4630" s="254">
        <v>54750.75</v>
      </c>
      <c r="E4630"/>
      <c r="F4630"/>
      <c r="G4630"/>
      <c r="H4630"/>
      <c r="I4630" s="489"/>
      <c r="J4630" s="1095"/>
      <c r="K4630" s="1095"/>
      <c r="L4630" s="1095"/>
      <c r="M4630" s="1095"/>
    </row>
    <row r="4631" spans="1:13" x14ac:dyDescent="0.25">
      <c r="A4631">
        <v>4208163</v>
      </c>
      <c r="B4631" t="s">
        <v>11747</v>
      </c>
      <c r="C4631" t="s">
        <v>2640</v>
      </c>
      <c r="D4631" s="254">
        <v>71226.12</v>
      </c>
      <c r="E4631"/>
      <c r="F4631"/>
      <c r="G4631"/>
      <c r="H4631"/>
      <c r="I4631" s="489"/>
      <c r="J4631" s="1095"/>
      <c r="K4631" s="1095"/>
      <c r="L4631" s="1095"/>
      <c r="M4631" s="1095"/>
    </row>
    <row r="4632" spans="1:13" x14ac:dyDescent="0.25">
      <c r="A4632">
        <v>4208200</v>
      </c>
      <c r="B4632" t="s">
        <v>11748</v>
      </c>
      <c r="C4632" t="s">
        <v>2640</v>
      </c>
      <c r="D4632" s="254">
        <v>75458.649999999994</v>
      </c>
      <c r="E4632"/>
      <c r="F4632"/>
      <c r="G4632"/>
      <c r="H4632"/>
      <c r="I4632" s="489"/>
      <c r="J4632" s="1095"/>
      <c r="K4632" s="1095"/>
      <c r="L4632" s="1095"/>
      <c r="M4632" s="1095"/>
    </row>
    <row r="4633" spans="1:13" x14ac:dyDescent="0.25">
      <c r="A4633">
        <v>4208164</v>
      </c>
      <c r="B4633" t="s">
        <v>11749</v>
      </c>
      <c r="C4633" t="s">
        <v>2640</v>
      </c>
      <c r="D4633" s="254">
        <v>95826.57</v>
      </c>
      <c r="E4633"/>
      <c r="F4633"/>
      <c r="G4633"/>
      <c r="H4633"/>
      <c r="I4633" s="489"/>
      <c r="J4633" s="1095"/>
      <c r="K4633" s="1095"/>
      <c r="L4633" s="1095"/>
      <c r="M4633" s="1095"/>
    </row>
    <row r="4634" spans="1:13" x14ac:dyDescent="0.25">
      <c r="A4634">
        <v>4208201</v>
      </c>
      <c r="B4634" t="s">
        <v>11750</v>
      </c>
      <c r="C4634" t="s">
        <v>2640</v>
      </c>
      <c r="D4634" s="254">
        <v>13258.67</v>
      </c>
      <c r="E4634"/>
      <c r="F4634"/>
      <c r="G4634"/>
      <c r="H4634"/>
      <c r="I4634" s="489"/>
      <c r="J4634" s="1095"/>
      <c r="K4634" s="1095"/>
      <c r="L4634" s="1095"/>
      <c r="M4634" s="1095"/>
    </row>
    <row r="4635" spans="1:13" x14ac:dyDescent="0.25">
      <c r="A4635">
        <v>4208151</v>
      </c>
      <c r="B4635" t="s">
        <v>11751</v>
      </c>
      <c r="C4635" t="s">
        <v>2640</v>
      </c>
      <c r="D4635" s="254">
        <v>20510.060000000001</v>
      </c>
      <c r="E4635"/>
      <c r="F4635"/>
      <c r="G4635"/>
      <c r="H4635"/>
      <c r="I4635" s="489"/>
      <c r="J4635" s="1095"/>
      <c r="K4635" s="1095"/>
      <c r="L4635" s="1095"/>
      <c r="M4635" s="1095"/>
    </row>
    <row r="4636" spans="1:13" x14ac:dyDescent="0.25">
      <c r="A4636">
        <v>4208202</v>
      </c>
      <c r="B4636" t="s">
        <v>11752</v>
      </c>
      <c r="C4636" t="s">
        <v>2640</v>
      </c>
      <c r="D4636" s="254">
        <v>23679.27</v>
      </c>
      <c r="E4636"/>
      <c r="F4636"/>
      <c r="G4636"/>
      <c r="H4636"/>
      <c r="I4636" s="489"/>
      <c r="J4636" s="1095"/>
      <c r="K4636" s="1095"/>
      <c r="L4636" s="1095"/>
      <c r="M4636" s="1095"/>
    </row>
    <row r="4637" spans="1:13" x14ac:dyDescent="0.25">
      <c r="A4637">
        <v>4208152</v>
      </c>
      <c r="B4637" t="s">
        <v>11753</v>
      </c>
      <c r="C4637" t="s">
        <v>2640</v>
      </c>
      <c r="D4637" s="254">
        <v>32990.400000000001</v>
      </c>
      <c r="E4637"/>
      <c r="F4637"/>
      <c r="G4637"/>
      <c r="H4637"/>
      <c r="I4637" s="489"/>
      <c r="J4637" s="1095"/>
      <c r="K4637" s="1095"/>
      <c r="L4637" s="1095"/>
      <c r="M4637" s="1095"/>
    </row>
    <row r="4638" spans="1:13" x14ac:dyDescent="0.25">
      <c r="A4638">
        <v>4208153</v>
      </c>
      <c r="B4638" t="s">
        <v>11754</v>
      </c>
      <c r="C4638" t="s">
        <v>2640</v>
      </c>
      <c r="D4638" s="254">
        <v>39306.42</v>
      </c>
      <c r="E4638"/>
      <c r="F4638"/>
      <c r="G4638"/>
      <c r="H4638"/>
      <c r="I4638" s="489"/>
      <c r="J4638" s="1095"/>
      <c r="K4638" s="1095"/>
      <c r="L4638" s="1095"/>
      <c r="M4638" s="1095"/>
    </row>
    <row r="4639" spans="1:13" x14ac:dyDescent="0.25">
      <c r="A4639">
        <v>4208203</v>
      </c>
      <c r="B4639" t="s">
        <v>11755</v>
      </c>
      <c r="C4639" t="s">
        <v>2640</v>
      </c>
      <c r="D4639" s="254">
        <v>45772.79</v>
      </c>
      <c r="E4639"/>
      <c r="F4639"/>
      <c r="G4639"/>
      <c r="H4639"/>
      <c r="I4639" s="489"/>
      <c r="J4639" s="1095"/>
      <c r="K4639" s="1095"/>
      <c r="L4639" s="1095"/>
      <c r="M4639" s="1095"/>
    </row>
    <row r="4640" spans="1:13" x14ac:dyDescent="0.25">
      <c r="A4640">
        <v>4208154</v>
      </c>
      <c r="B4640" t="s">
        <v>11756</v>
      </c>
      <c r="C4640" t="s">
        <v>2640</v>
      </c>
      <c r="D4640" s="254">
        <v>58295.39</v>
      </c>
      <c r="E4640"/>
      <c r="F4640"/>
      <c r="G4640"/>
      <c r="H4640"/>
      <c r="I4640" s="489"/>
      <c r="J4640" s="1095"/>
      <c r="K4640" s="1095"/>
      <c r="L4640" s="1095"/>
      <c r="M4640" s="1095"/>
    </row>
    <row r="4641" spans="1:13" x14ac:dyDescent="0.25">
      <c r="A4641">
        <v>4208155</v>
      </c>
      <c r="B4641" t="s">
        <v>11757</v>
      </c>
      <c r="C4641" t="s">
        <v>2640</v>
      </c>
      <c r="D4641" s="254">
        <v>67420.820000000007</v>
      </c>
      <c r="E4641"/>
      <c r="F4641"/>
      <c r="G4641"/>
      <c r="H4641"/>
      <c r="I4641" s="489"/>
      <c r="J4641" s="1095"/>
      <c r="K4641" s="1095"/>
      <c r="L4641" s="1095"/>
      <c r="M4641" s="1095"/>
    </row>
    <row r="4642" spans="1:13" x14ac:dyDescent="0.25">
      <c r="A4642">
        <v>4208156</v>
      </c>
      <c r="B4642" t="s">
        <v>11758</v>
      </c>
      <c r="C4642" t="s">
        <v>2640</v>
      </c>
      <c r="D4642" s="254">
        <v>83625.97</v>
      </c>
      <c r="E4642"/>
      <c r="F4642"/>
      <c r="G4642"/>
      <c r="H4642"/>
      <c r="I4642" s="489"/>
      <c r="J4642" s="1095"/>
      <c r="K4642" s="1095"/>
      <c r="L4642" s="1095"/>
      <c r="M4642" s="1095"/>
    </row>
    <row r="4643" spans="1:13" x14ac:dyDescent="0.25">
      <c r="A4643">
        <v>4208204</v>
      </c>
      <c r="B4643" t="s">
        <v>11759</v>
      </c>
      <c r="C4643" t="s">
        <v>2640</v>
      </c>
      <c r="D4643" s="254">
        <v>91449.36</v>
      </c>
      <c r="E4643"/>
      <c r="F4643"/>
      <c r="G4643"/>
      <c r="H4643"/>
      <c r="I4643" s="489"/>
      <c r="J4643" s="1095"/>
      <c r="K4643" s="1095"/>
      <c r="L4643" s="1095"/>
      <c r="M4643" s="1095"/>
    </row>
    <row r="4644" spans="1:13" x14ac:dyDescent="0.25">
      <c r="A4644">
        <v>4208157</v>
      </c>
      <c r="B4644" t="s">
        <v>11760</v>
      </c>
      <c r="C4644" t="s">
        <v>2640</v>
      </c>
      <c r="D4644" s="254">
        <v>118034.13</v>
      </c>
      <c r="E4644"/>
      <c r="F4644"/>
      <c r="G4644"/>
      <c r="H4644"/>
      <c r="I4644" s="489"/>
      <c r="J4644" s="1095"/>
      <c r="K4644" s="1095"/>
      <c r="L4644" s="1095"/>
      <c r="M4644" s="1095"/>
    </row>
    <row r="4645" spans="1:13" x14ac:dyDescent="0.25">
      <c r="A4645">
        <v>4208127</v>
      </c>
      <c r="B4645" t="s">
        <v>11761</v>
      </c>
      <c r="C4645" t="s">
        <v>2716</v>
      </c>
      <c r="D4645" s="254">
        <v>27.38</v>
      </c>
      <c r="E4645"/>
      <c r="F4645"/>
      <c r="G4645"/>
      <c r="H4645"/>
      <c r="I4645" s="489"/>
      <c r="J4645" s="1095"/>
      <c r="K4645" s="1095"/>
      <c r="L4645" s="1095"/>
      <c r="M4645" s="1095"/>
    </row>
    <row r="4646" spans="1:13" x14ac:dyDescent="0.25">
      <c r="A4646">
        <v>4208196</v>
      </c>
      <c r="B4646" t="s">
        <v>11762</v>
      </c>
      <c r="C4646" t="s">
        <v>2640</v>
      </c>
      <c r="D4646" s="254">
        <v>2344.62</v>
      </c>
      <c r="E4646"/>
      <c r="F4646"/>
      <c r="G4646"/>
      <c r="H4646"/>
      <c r="I4646" s="489"/>
      <c r="J4646" s="1095"/>
      <c r="K4646" s="1095"/>
      <c r="L4646" s="1095"/>
      <c r="M4646" s="1095"/>
    </row>
    <row r="4647" spans="1:13" x14ac:dyDescent="0.25">
      <c r="A4647">
        <v>4208209</v>
      </c>
      <c r="B4647" t="s">
        <v>11763</v>
      </c>
      <c r="C4647" t="s">
        <v>2640</v>
      </c>
      <c r="D4647" s="254">
        <v>10727.08</v>
      </c>
      <c r="E4647"/>
      <c r="F4647"/>
      <c r="G4647"/>
      <c r="H4647"/>
      <c r="I4647" s="489"/>
      <c r="J4647" s="1095"/>
      <c r="K4647" s="1095"/>
      <c r="L4647" s="1095"/>
      <c r="M4647" s="1095"/>
    </row>
    <row r="4648" spans="1:13" x14ac:dyDescent="0.25">
      <c r="A4648">
        <v>4208206</v>
      </c>
      <c r="B4648" t="s">
        <v>11764</v>
      </c>
      <c r="C4648" t="s">
        <v>149</v>
      </c>
      <c r="D4648" s="254">
        <v>107.04</v>
      </c>
      <c r="E4648"/>
      <c r="F4648"/>
      <c r="G4648"/>
      <c r="H4648"/>
      <c r="I4648" s="489"/>
      <c r="J4648" s="1095"/>
      <c r="K4648" s="1095"/>
      <c r="L4648" s="1095"/>
      <c r="M4648" s="1095"/>
    </row>
    <row r="4649" spans="1:13" x14ac:dyDescent="0.25">
      <c r="A4649">
        <v>4208210</v>
      </c>
      <c r="B4649" t="s">
        <v>11765</v>
      </c>
      <c r="C4649" t="s">
        <v>2640</v>
      </c>
      <c r="D4649" s="254">
        <v>24046.21</v>
      </c>
      <c r="E4649"/>
      <c r="F4649"/>
      <c r="G4649"/>
      <c r="H4649"/>
      <c r="I4649" s="489"/>
      <c r="J4649" s="1095"/>
      <c r="K4649" s="1095"/>
      <c r="L4649" s="1095"/>
      <c r="M4649" s="1095"/>
    </row>
    <row r="4650" spans="1:13" x14ac:dyDescent="0.25">
      <c r="A4650">
        <v>4208195</v>
      </c>
      <c r="B4650" t="s">
        <v>11766</v>
      </c>
      <c r="C4650" t="s">
        <v>2640</v>
      </c>
      <c r="D4650" s="254">
        <v>12761.34</v>
      </c>
      <c r="E4650"/>
      <c r="F4650"/>
      <c r="G4650"/>
      <c r="H4650"/>
      <c r="I4650" s="489"/>
      <c r="J4650" s="1095"/>
      <c r="K4650" s="1095"/>
      <c r="L4650" s="1095"/>
      <c r="M4650" s="1095"/>
    </row>
    <row r="4651" spans="1:13" x14ac:dyDescent="0.25">
      <c r="A4651">
        <v>4208208</v>
      </c>
      <c r="B4651" t="s">
        <v>11767</v>
      </c>
      <c r="C4651" t="s">
        <v>149</v>
      </c>
      <c r="D4651" s="254">
        <v>555.82000000000005</v>
      </c>
      <c r="E4651"/>
      <c r="F4651"/>
      <c r="G4651"/>
      <c r="H4651"/>
      <c r="I4651" s="489"/>
      <c r="J4651" s="1095"/>
      <c r="K4651" s="1095"/>
      <c r="L4651" s="1095"/>
      <c r="M4651" s="1095"/>
    </row>
    <row r="4652" spans="1:13" x14ac:dyDescent="0.25">
      <c r="A4652">
        <v>4208135</v>
      </c>
      <c r="B4652" t="s">
        <v>11768</v>
      </c>
      <c r="C4652" t="s">
        <v>2598</v>
      </c>
      <c r="D4652" s="254">
        <v>9017.7800000000007</v>
      </c>
      <c r="E4652"/>
      <c r="F4652"/>
      <c r="G4652"/>
      <c r="H4652"/>
      <c r="I4652" s="489"/>
      <c r="J4652" s="1095"/>
      <c r="K4652" s="1095"/>
      <c r="L4652" s="1095"/>
      <c r="M4652" s="1095"/>
    </row>
    <row r="4653" spans="1:13" x14ac:dyDescent="0.25">
      <c r="A4653">
        <v>4208136</v>
      </c>
      <c r="B4653" t="s">
        <v>11769</v>
      </c>
      <c r="C4653" t="s">
        <v>2598</v>
      </c>
      <c r="D4653" s="254">
        <v>10679.66</v>
      </c>
      <c r="E4653"/>
      <c r="F4653"/>
      <c r="G4653"/>
      <c r="H4653"/>
      <c r="I4653" s="489"/>
      <c r="J4653" s="1095"/>
      <c r="K4653" s="1095"/>
      <c r="L4653" s="1095"/>
      <c r="M4653" s="1095"/>
    </row>
    <row r="4654" spans="1:13" x14ac:dyDescent="0.25">
      <c r="A4654">
        <v>4208137</v>
      </c>
      <c r="B4654" t="s">
        <v>11770</v>
      </c>
      <c r="C4654" t="s">
        <v>2598</v>
      </c>
      <c r="D4654" s="254">
        <v>12472.81</v>
      </c>
      <c r="E4654"/>
      <c r="F4654"/>
      <c r="G4654"/>
      <c r="H4654"/>
      <c r="I4654" s="489"/>
      <c r="J4654" s="1095"/>
      <c r="K4654" s="1095"/>
      <c r="L4654" s="1095"/>
      <c r="M4654" s="1095"/>
    </row>
    <row r="4655" spans="1:13" x14ac:dyDescent="0.25">
      <c r="A4655">
        <v>4208138</v>
      </c>
      <c r="B4655" t="s">
        <v>11771</v>
      </c>
      <c r="C4655" t="s">
        <v>2598</v>
      </c>
      <c r="D4655" s="254">
        <v>15613.66</v>
      </c>
      <c r="E4655"/>
      <c r="F4655"/>
      <c r="G4655"/>
      <c r="H4655"/>
      <c r="I4655" s="489"/>
      <c r="J4655" s="1095"/>
      <c r="K4655" s="1095"/>
      <c r="L4655" s="1095"/>
      <c r="M4655" s="1095"/>
    </row>
    <row r="4656" spans="1:13" x14ac:dyDescent="0.25">
      <c r="A4656">
        <v>4208139</v>
      </c>
      <c r="B4656" t="s">
        <v>11772</v>
      </c>
      <c r="C4656" t="s">
        <v>2598</v>
      </c>
      <c r="D4656" s="254">
        <v>18005.48</v>
      </c>
      <c r="E4656"/>
      <c r="F4656"/>
      <c r="G4656"/>
      <c r="H4656"/>
      <c r="I4656" s="489"/>
      <c r="J4656" s="1095"/>
      <c r="K4656" s="1095"/>
      <c r="L4656" s="1095"/>
      <c r="M4656" s="1095"/>
    </row>
    <row r="4657" spans="1:13" x14ac:dyDescent="0.25">
      <c r="A4657">
        <v>4208140</v>
      </c>
      <c r="B4657" t="s">
        <v>11773</v>
      </c>
      <c r="C4657" t="s">
        <v>2598</v>
      </c>
      <c r="D4657" s="254">
        <v>23534.19</v>
      </c>
      <c r="E4657"/>
      <c r="F4657"/>
      <c r="G4657"/>
      <c r="H4657"/>
      <c r="I4657" s="489"/>
      <c r="J4657" s="1095"/>
      <c r="K4657" s="1095"/>
      <c r="L4657" s="1095"/>
      <c r="M4657" s="1095"/>
    </row>
    <row r="4658" spans="1:13" x14ac:dyDescent="0.25">
      <c r="A4658">
        <v>4208141</v>
      </c>
      <c r="B4658" t="s">
        <v>11774</v>
      </c>
      <c r="C4658" t="s">
        <v>2598</v>
      </c>
      <c r="D4658" s="254">
        <v>26528.03</v>
      </c>
      <c r="E4658"/>
      <c r="F4658"/>
      <c r="G4658"/>
      <c r="H4658"/>
      <c r="I4658" s="489"/>
      <c r="J4658" s="1095"/>
      <c r="K4658" s="1095"/>
      <c r="L4658" s="1095"/>
      <c r="M4658" s="1095"/>
    </row>
    <row r="4659" spans="1:13" x14ac:dyDescent="0.25">
      <c r="A4659">
        <v>4208212</v>
      </c>
      <c r="B4659" t="s">
        <v>11775</v>
      </c>
      <c r="C4659" t="s">
        <v>2598</v>
      </c>
      <c r="D4659" s="254">
        <v>30411.35</v>
      </c>
      <c r="E4659"/>
      <c r="F4659"/>
      <c r="G4659"/>
      <c r="H4659"/>
      <c r="I4659" s="489"/>
      <c r="J4659" s="1095"/>
      <c r="K4659" s="1095"/>
      <c r="L4659" s="1095"/>
      <c r="M4659" s="1095"/>
    </row>
    <row r="4660" spans="1:13" x14ac:dyDescent="0.25">
      <c r="A4660">
        <v>4208213</v>
      </c>
      <c r="B4660" t="s">
        <v>11776</v>
      </c>
      <c r="C4660" t="s">
        <v>2598</v>
      </c>
      <c r="D4660" s="254">
        <v>38570.07</v>
      </c>
      <c r="E4660"/>
      <c r="F4660"/>
      <c r="G4660"/>
      <c r="H4660"/>
      <c r="I4660" s="489"/>
      <c r="J4660" s="1095"/>
      <c r="K4660" s="1095"/>
      <c r="L4660" s="1095"/>
      <c r="M4660" s="1095"/>
    </row>
    <row r="4661" spans="1:13" x14ac:dyDescent="0.25">
      <c r="A4661">
        <v>4208214</v>
      </c>
      <c r="B4661" t="s">
        <v>11777</v>
      </c>
      <c r="C4661" t="s">
        <v>2598</v>
      </c>
      <c r="D4661" s="254">
        <v>44904.73</v>
      </c>
      <c r="E4661"/>
      <c r="F4661"/>
      <c r="G4661"/>
      <c r="H4661"/>
      <c r="I4661" s="489"/>
      <c r="J4661" s="1095"/>
      <c r="K4661" s="1095"/>
      <c r="L4661" s="1095"/>
      <c r="M4661" s="1095"/>
    </row>
    <row r="4662" spans="1:13" x14ac:dyDescent="0.25">
      <c r="A4662">
        <v>4208215</v>
      </c>
      <c r="B4662" t="s">
        <v>11778</v>
      </c>
      <c r="C4662" t="s">
        <v>2598</v>
      </c>
      <c r="D4662" s="254">
        <v>59510.92</v>
      </c>
      <c r="E4662"/>
      <c r="F4662"/>
      <c r="G4662"/>
      <c r="H4662"/>
      <c r="I4662" s="489"/>
      <c r="J4662" s="1095"/>
      <c r="K4662" s="1095"/>
      <c r="L4662" s="1095"/>
      <c r="M4662" s="1095"/>
    </row>
    <row r="4663" spans="1:13" x14ac:dyDescent="0.25">
      <c r="A4663">
        <v>4208216</v>
      </c>
      <c r="B4663" t="s">
        <v>11779</v>
      </c>
      <c r="C4663" t="s">
        <v>2598</v>
      </c>
      <c r="D4663" s="254">
        <v>8409.7099999999991</v>
      </c>
      <c r="E4663"/>
      <c r="F4663"/>
      <c r="G4663"/>
      <c r="H4663"/>
      <c r="I4663" s="489"/>
      <c r="J4663" s="1095"/>
      <c r="K4663" s="1095"/>
      <c r="L4663" s="1095"/>
      <c r="M4663" s="1095"/>
    </row>
    <row r="4664" spans="1:13" x14ac:dyDescent="0.25">
      <c r="A4664">
        <v>4208217</v>
      </c>
      <c r="B4664" t="s">
        <v>11780</v>
      </c>
      <c r="C4664" t="s">
        <v>2598</v>
      </c>
      <c r="D4664" s="254">
        <v>9909.1200000000008</v>
      </c>
      <c r="E4664"/>
      <c r="F4664"/>
      <c r="G4664"/>
      <c r="H4664"/>
      <c r="I4664" s="489"/>
      <c r="J4664" s="1095"/>
      <c r="K4664" s="1095"/>
      <c r="L4664" s="1095"/>
      <c r="M4664" s="1095"/>
    </row>
    <row r="4665" spans="1:13" x14ac:dyDescent="0.25">
      <c r="A4665">
        <v>4208218</v>
      </c>
      <c r="B4665" t="s">
        <v>11781</v>
      </c>
      <c r="C4665" t="s">
        <v>2598</v>
      </c>
      <c r="D4665" s="254">
        <v>12152.08</v>
      </c>
      <c r="E4665"/>
      <c r="F4665"/>
      <c r="G4665"/>
      <c r="H4665"/>
      <c r="I4665" s="489"/>
      <c r="J4665" s="1095"/>
      <c r="K4665" s="1095"/>
      <c r="L4665" s="1095"/>
      <c r="M4665" s="1095"/>
    </row>
    <row r="4666" spans="1:13" x14ac:dyDescent="0.25">
      <c r="A4666">
        <v>4208219</v>
      </c>
      <c r="B4666" t="s">
        <v>11782</v>
      </c>
      <c r="C4666" t="s">
        <v>2598</v>
      </c>
      <c r="D4666" s="254">
        <v>14994.6</v>
      </c>
      <c r="E4666"/>
      <c r="F4666"/>
      <c r="G4666"/>
      <c r="H4666"/>
      <c r="I4666" s="489"/>
      <c r="J4666" s="1095"/>
      <c r="K4666" s="1095"/>
      <c r="L4666" s="1095"/>
      <c r="M4666" s="1095"/>
    </row>
    <row r="4667" spans="1:13" x14ac:dyDescent="0.25">
      <c r="A4667">
        <v>4208220</v>
      </c>
      <c r="B4667" t="s">
        <v>11783</v>
      </c>
      <c r="C4667" t="s">
        <v>2598</v>
      </c>
      <c r="D4667" s="254">
        <v>17539.080000000002</v>
      </c>
      <c r="E4667"/>
      <c r="F4667"/>
      <c r="G4667"/>
      <c r="H4667"/>
      <c r="I4667" s="489"/>
      <c r="J4667" s="1095"/>
      <c r="K4667" s="1095"/>
      <c r="L4667" s="1095"/>
      <c r="M4667" s="1095"/>
    </row>
    <row r="4668" spans="1:13" x14ac:dyDescent="0.25">
      <c r="A4668">
        <v>4208221</v>
      </c>
      <c r="B4668" t="s">
        <v>11784</v>
      </c>
      <c r="C4668" t="s">
        <v>2598</v>
      </c>
      <c r="D4668" s="254">
        <v>23072.26</v>
      </c>
      <c r="E4668"/>
      <c r="F4668"/>
      <c r="G4668"/>
      <c r="H4668"/>
      <c r="I4668" s="489"/>
      <c r="J4668" s="1095"/>
      <c r="K4668" s="1095"/>
      <c r="L4668" s="1095"/>
      <c r="M4668" s="1095"/>
    </row>
    <row r="4669" spans="1:13" x14ac:dyDescent="0.25">
      <c r="A4669">
        <v>4208222</v>
      </c>
      <c r="B4669" t="s">
        <v>11785</v>
      </c>
      <c r="C4669" t="s">
        <v>2598</v>
      </c>
      <c r="D4669" s="254">
        <v>25767.68</v>
      </c>
      <c r="E4669"/>
      <c r="F4669"/>
      <c r="G4669"/>
      <c r="H4669"/>
      <c r="I4669" s="489"/>
      <c r="J4669" s="1095"/>
      <c r="K4669" s="1095"/>
      <c r="L4669" s="1095"/>
      <c r="M4669" s="1095"/>
    </row>
    <row r="4670" spans="1:13" x14ac:dyDescent="0.25">
      <c r="A4670">
        <v>4208223</v>
      </c>
      <c r="B4670" t="s">
        <v>11786</v>
      </c>
      <c r="C4670" t="s">
        <v>2598</v>
      </c>
      <c r="D4670" s="254">
        <v>29801.05</v>
      </c>
      <c r="E4670"/>
      <c r="F4670"/>
      <c r="G4670"/>
      <c r="H4670"/>
      <c r="I4670" s="489"/>
      <c r="J4670" s="1095"/>
      <c r="K4670" s="1095"/>
      <c r="L4670" s="1095"/>
      <c r="M4670" s="1095"/>
    </row>
    <row r="4671" spans="1:13" x14ac:dyDescent="0.25">
      <c r="A4671">
        <v>4208224</v>
      </c>
      <c r="B4671" t="s">
        <v>11787</v>
      </c>
      <c r="C4671" t="s">
        <v>2598</v>
      </c>
      <c r="D4671" s="254">
        <v>37880.14</v>
      </c>
      <c r="E4671"/>
      <c r="F4671"/>
      <c r="G4671"/>
      <c r="H4671"/>
      <c r="I4671" s="489"/>
      <c r="J4671" s="1095"/>
      <c r="K4671" s="1095"/>
      <c r="L4671" s="1095"/>
      <c r="M4671" s="1095"/>
    </row>
    <row r="4672" spans="1:13" x14ac:dyDescent="0.25">
      <c r="A4672">
        <v>4208225</v>
      </c>
      <c r="B4672" t="s">
        <v>11788</v>
      </c>
      <c r="C4672" t="s">
        <v>2598</v>
      </c>
      <c r="D4672" s="254">
        <v>44303.41</v>
      </c>
      <c r="E4672"/>
      <c r="F4672"/>
      <c r="G4672"/>
      <c r="H4672"/>
      <c r="I4672" s="489"/>
      <c r="J4672" s="1095"/>
      <c r="K4672" s="1095"/>
      <c r="L4672" s="1095"/>
      <c r="M4672" s="1095"/>
    </row>
    <row r="4673" spans="1:13" x14ac:dyDescent="0.25">
      <c r="A4673">
        <v>4208226</v>
      </c>
      <c r="B4673" t="s">
        <v>11789</v>
      </c>
      <c r="C4673" t="s">
        <v>2598</v>
      </c>
      <c r="D4673" s="254">
        <v>58662.18</v>
      </c>
      <c r="E4673"/>
      <c r="F4673"/>
      <c r="G4673"/>
      <c r="H4673"/>
      <c r="I4673" s="489"/>
      <c r="J4673" s="1095"/>
      <c r="K4673" s="1095"/>
      <c r="L4673" s="1095"/>
      <c r="M4673" s="1095"/>
    </row>
    <row r="4674" spans="1:13" x14ac:dyDescent="0.25">
      <c r="A4674">
        <v>4208227</v>
      </c>
      <c r="B4674" t="s">
        <v>11790</v>
      </c>
      <c r="C4674" t="s">
        <v>2598</v>
      </c>
      <c r="D4674" s="254">
        <v>8404.44</v>
      </c>
      <c r="E4674"/>
      <c r="F4674"/>
      <c r="G4674"/>
      <c r="H4674"/>
      <c r="I4674" s="489"/>
      <c r="J4674" s="1095"/>
      <c r="K4674" s="1095"/>
      <c r="L4674" s="1095"/>
      <c r="M4674" s="1095"/>
    </row>
    <row r="4675" spans="1:13" x14ac:dyDescent="0.25">
      <c r="A4675">
        <v>4208228</v>
      </c>
      <c r="B4675" t="s">
        <v>11791</v>
      </c>
      <c r="C4675" t="s">
        <v>2598</v>
      </c>
      <c r="D4675" s="254">
        <v>9909.2099999999991</v>
      </c>
      <c r="E4675"/>
      <c r="F4675"/>
      <c r="G4675"/>
      <c r="H4675"/>
      <c r="I4675" s="489"/>
      <c r="J4675" s="1095"/>
      <c r="K4675" s="1095"/>
      <c r="L4675" s="1095"/>
      <c r="M4675" s="1095"/>
    </row>
    <row r="4676" spans="1:13" x14ac:dyDescent="0.25">
      <c r="A4676">
        <v>4208229</v>
      </c>
      <c r="B4676" t="s">
        <v>11792</v>
      </c>
      <c r="C4676" t="s">
        <v>2598</v>
      </c>
      <c r="D4676" s="254">
        <v>12152.11</v>
      </c>
      <c r="E4676"/>
      <c r="F4676"/>
      <c r="G4676"/>
      <c r="H4676"/>
      <c r="I4676" s="489"/>
      <c r="J4676" s="1095"/>
      <c r="K4676" s="1095"/>
      <c r="L4676" s="1095"/>
      <c r="M4676" s="1095"/>
    </row>
    <row r="4677" spans="1:13" x14ac:dyDescent="0.25">
      <c r="A4677">
        <v>4208230</v>
      </c>
      <c r="B4677" t="s">
        <v>11793</v>
      </c>
      <c r="C4677" t="s">
        <v>2598</v>
      </c>
      <c r="D4677" s="254">
        <v>14994.79</v>
      </c>
      <c r="E4677"/>
      <c r="F4677"/>
      <c r="G4677"/>
      <c r="H4677"/>
      <c r="I4677" s="489"/>
      <c r="J4677" s="1095"/>
      <c r="K4677" s="1095"/>
      <c r="L4677" s="1095"/>
      <c r="M4677" s="1095"/>
    </row>
    <row r="4678" spans="1:13" x14ac:dyDescent="0.25">
      <c r="A4678">
        <v>4208231</v>
      </c>
      <c r="B4678" t="s">
        <v>11794</v>
      </c>
      <c r="C4678" t="s">
        <v>2598</v>
      </c>
      <c r="D4678" s="254">
        <v>17539.150000000001</v>
      </c>
      <c r="E4678"/>
      <c r="F4678"/>
      <c r="G4678"/>
      <c r="H4678"/>
      <c r="I4678" s="489"/>
      <c r="J4678" s="1095"/>
      <c r="K4678" s="1095"/>
      <c r="L4678" s="1095"/>
      <c r="M4678" s="1095"/>
    </row>
    <row r="4679" spans="1:13" x14ac:dyDescent="0.25">
      <c r="A4679">
        <v>4208232</v>
      </c>
      <c r="B4679" t="s">
        <v>11795</v>
      </c>
      <c r="C4679" t="s">
        <v>2598</v>
      </c>
      <c r="D4679" s="254">
        <v>23072.400000000001</v>
      </c>
      <c r="E4679"/>
      <c r="F4679"/>
      <c r="G4679"/>
      <c r="H4679"/>
      <c r="I4679" s="489"/>
      <c r="J4679" s="1095"/>
      <c r="K4679" s="1095"/>
      <c r="L4679" s="1095"/>
      <c r="M4679" s="1095"/>
    </row>
    <row r="4680" spans="1:13" x14ac:dyDescent="0.25">
      <c r="A4680">
        <v>4208233</v>
      </c>
      <c r="B4680" t="s">
        <v>11796</v>
      </c>
      <c r="C4680" t="s">
        <v>2598</v>
      </c>
      <c r="D4680" s="254">
        <v>25767.88</v>
      </c>
      <c r="E4680"/>
      <c r="F4680"/>
      <c r="G4680"/>
      <c r="H4680"/>
      <c r="I4680" s="489"/>
      <c r="J4680" s="1095"/>
      <c r="K4680" s="1095"/>
      <c r="L4680" s="1095"/>
      <c r="M4680" s="1095"/>
    </row>
    <row r="4681" spans="1:13" x14ac:dyDescent="0.25">
      <c r="A4681">
        <v>4208234</v>
      </c>
      <c r="B4681" t="s">
        <v>11797</v>
      </c>
      <c r="C4681" t="s">
        <v>2598</v>
      </c>
      <c r="D4681" s="254">
        <v>29801.08</v>
      </c>
      <c r="E4681"/>
      <c r="F4681"/>
      <c r="G4681"/>
      <c r="H4681"/>
      <c r="I4681" s="489"/>
      <c r="J4681" s="1095"/>
      <c r="K4681" s="1095"/>
      <c r="L4681" s="1095"/>
      <c r="M4681" s="1095"/>
    </row>
    <row r="4682" spans="1:13" x14ac:dyDescent="0.25">
      <c r="A4682">
        <v>4208235</v>
      </c>
      <c r="B4682" t="s">
        <v>11798</v>
      </c>
      <c r="C4682" t="s">
        <v>2598</v>
      </c>
      <c r="D4682" s="254">
        <v>37880.39</v>
      </c>
      <c r="E4682"/>
      <c r="F4682"/>
      <c r="G4682"/>
      <c r="H4682"/>
      <c r="I4682" s="489"/>
      <c r="J4682" s="1095"/>
      <c r="K4682" s="1095"/>
      <c r="L4682" s="1095"/>
      <c r="M4682" s="1095"/>
    </row>
    <row r="4683" spans="1:13" x14ac:dyDescent="0.25">
      <c r="A4683">
        <v>4208236</v>
      </c>
      <c r="B4683" t="s">
        <v>11799</v>
      </c>
      <c r="C4683" t="s">
        <v>2598</v>
      </c>
      <c r="D4683" s="254">
        <v>44304.32</v>
      </c>
      <c r="E4683"/>
      <c r="F4683"/>
      <c r="G4683"/>
      <c r="H4683"/>
      <c r="I4683" s="489"/>
      <c r="J4683" s="1095"/>
      <c r="K4683" s="1095"/>
      <c r="L4683" s="1095"/>
      <c r="M4683" s="1095"/>
    </row>
    <row r="4684" spans="1:13" x14ac:dyDescent="0.25">
      <c r="A4684">
        <v>4208237</v>
      </c>
      <c r="B4684" t="s">
        <v>11800</v>
      </c>
      <c r="C4684" t="s">
        <v>2598</v>
      </c>
      <c r="D4684" s="254">
        <v>58662.37</v>
      </c>
      <c r="E4684"/>
      <c r="F4684"/>
      <c r="G4684"/>
      <c r="H4684"/>
      <c r="I4684" s="489"/>
      <c r="J4684" s="1095"/>
      <c r="K4684" s="1095"/>
      <c r="L4684" s="1095"/>
      <c r="M4684" s="1095"/>
    </row>
    <row r="4685" spans="1:13" x14ac:dyDescent="0.25">
      <c r="A4685">
        <v>4208128</v>
      </c>
      <c r="B4685" t="s">
        <v>11801</v>
      </c>
      <c r="C4685" t="s">
        <v>2598</v>
      </c>
      <c r="D4685" s="254">
        <v>338.55</v>
      </c>
      <c r="E4685"/>
      <c r="F4685"/>
      <c r="G4685"/>
      <c r="H4685"/>
      <c r="I4685" s="489"/>
      <c r="J4685" s="1095"/>
      <c r="K4685" s="1095"/>
      <c r="L4685" s="1095"/>
      <c r="M4685" s="1095"/>
    </row>
    <row r="4686" spans="1:13" x14ac:dyDescent="0.25">
      <c r="A4686">
        <v>4208129</v>
      </c>
      <c r="B4686" t="s">
        <v>11802</v>
      </c>
      <c r="C4686" t="s">
        <v>2598</v>
      </c>
      <c r="D4686" s="254">
        <v>535.67999999999995</v>
      </c>
      <c r="E4686"/>
      <c r="F4686"/>
      <c r="G4686"/>
      <c r="H4686"/>
      <c r="I4686" s="489"/>
      <c r="J4686" s="1095"/>
      <c r="K4686" s="1095"/>
      <c r="L4686" s="1095"/>
      <c r="M4686" s="1095"/>
    </row>
    <row r="4687" spans="1:13" x14ac:dyDescent="0.25">
      <c r="A4687">
        <v>4208130</v>
      </c>
      <c r="B4687" t="s">
        <v>11803</v>
      </c>
      <c r="C4687" t="s">
        <v>2598</v>
      </c>
      <c r="D4687" s="254">
        <v>699.58</v>
      </c>
      <c r="E4687"/>
      <c r="F4687"/>
      <c r="G4687"/>
      <c r="H4687"/>
      <c r="I4687" s="489"/>
      <c r="J4687" s="1095"/>
      <c r="K4687" s="1095"/>
      <c r="L4687" s="1095"/>
      <c r="M4687" s="1095"/>
    </row>
    <row r="4688" spans="1:13" x14ac:dyDescent="0.25">
      <c r="A4688">
        <v>4208131</v>
      </c>
      <c r="B4688" t="s">
        <v>11804</v>
      </c>
      <c r="C4688" t="s">
        <v>2598</v>
      </c>
      <c r="D4688" s="254">
        <v>896.37</v>
      </c>
      <c r="E4688"/>
      <c r="F4688"/>
      <c r="G4688"/>
      <c r="H4688"/>
      <c r="I4688" s="489"/>
      <c r="J4688" s="1095"/>
      <c r="K4688" s="1095"/>
      <c r="L4688" s="1095"/>
      <c r="M4688" s="1095"/>
    </row>
    <row r="4689" spans="1:13" x14ac:dyDescent="0.25">
      <c r="A4689">
        <v>4208132</v>
      </c>
      <c r="B4689" t="s">
        <v>11805</v>
      </c>
      <c r="C4689" t="s">
        <v>2598</v>
      </c>
      <c r="D4689" s="254">
        <v>1028.26</v>
      </c>
      <c r="E4689"/>
      <c r="F4689"/>
      <c r="G4689"/>
      <c r="H4689"/>
      <c r="I4689" s="489"/>
      <c r="J4689" s="1095"/>
      <c r="K4689" s="1095"/>
      <c r="L4689" s="1095"/>
      <c r="M4689" s="1095"/>
    </row>
    <row r="4690" spans="1:13" x14ac:dyDescent="0.25">
      <c r="A4690">
        <v>4208133</v>
      </c>
      <c r="B4690" t="s">
        <v>11806</v>
      </c>
      <c r="C4690" t="s">
        <v>2598</v>
      </c>
      <c r="D4690" s="254">
        <v>1289.8</v>
      </c>
      <c r="E4690"/>
      <c r="F4690"/>
      <c r="G4690"/>
      <c r="H4690"/>
      <c r="I4690" s="489"/>
      <c r="J4690" s="1095"/>
      <c r="K4690" s="1095"/>
      <c r="L4690" s="1095"/>
      <c r="M4690" s="1095"/>
    </row>
    <row r="4691" spans="1:13" x14ac:dyDescent="0.25">
      <c r="A4691">
        <v>4208134</v>
      </c>
      <c r="B4691" t="s">
        <v>11807</v>
      </c>
      <c r="C4691" t="s">
        <v>2598</v>
      </c>
      <c r="D4691" s="254">
        <v>1438.8</v>
      </c>
      <c r="E4691"/>
      <c r="F4691"/>
      <c r="G4691"/>
      <c r="H4691"/>
      <c r="I4691" s="489"/>
      <c r="J4691" s="1095"/>
      <c r="K4691" s="1095"/>
      <c r="L4691" s="1095"/>
      <c r="M4691" s="1095"/>
    </row>
    <row r="4692" spans="1:13" x14ac:dyDescent="0.25">
      <c r="A4692">
        <v>4208238</v>
      </c>
      <c r="B4692" t="s">
        <v>11808</v>
      </c>
      <c r="C4692" t="s">
        <v>2598</v>
      </c>
      <c r="D4692" s="254">
        <v>1668.5</v>
      </c>
      <c r="E4692"/>
      <c r="F4692"/>
      <c r="G4692"/>
      <c r="H4692"/>
      <c r="I4692" s="489"/>
      <c r="J4692" s="1095"/>
      <c r="K4692" s="1095"/>
      <c r="L4692" s="1095"/>
      <c r="M4692" s="1095"/>
    </row>
    <row r="4693" spans="1:13" x14ac:dyDescent="0.25">
      <c r="A4693">
        <v>4208239</v>
      </c>
      <c r="B4693" t="s">
        <v>11809</v>
      </c>
      <c r="C4693" t="s">
        <v>2598</v>
      </c>
      <c r="D4693" s="254">
        <v>1931.68</v>
      </c>
      <c r="E4693"/>
      <c r="F4693"/>
      <c r="G4693"/>
      <c r="H4693"/>
      <c r="I4693" s="489"/>
      <c r="J4693" s="1095"/>
      <c r="K4693" s="1095"/>
      <c r="L4693" s="1095"/>
      <c r="M4693" s="1095"/>
    </row>
    <row r="4694" spans="1:13" x14ac:dyDescent="0.25">
      <c r="A4694">
        <v>4413920</v>
      </c>
      <c r="B4694" t="s">
        <v>11810</v>
      </c>
      <c r="C4694" t="s">
        <v>2595</v>
      </c>
      <c r="D4694" s="254">
        <v>0.63</v>
      </c>
      <c r="E4694"/>
      <c r="F4694"/>
      <c r="G4694"/>
      <c r="H4694"/>
      <c r="I4694" s="489"/>
      <c r="J4694" s="1095"/>
      <c r="K4694" s="1095"/>
      <c r="L4694" s="1095"/>
      <c r="M4694" s="1095"/>
    </row>
    <row r="4695" spans="1:13" x14ac:dyDescent="0.25">
      <c r="A4695">
        <v>4413024</v>
      </c>
      <c r="B4695" t="s">
        <v>11811</v>
      </c>
      <c r="C4695" t="s">
        <v>2595</v>
      </c>
      <c r="D4695" s="254">
        <v>0.43</v>
      </c>
      <c r="E4695"/>
      <c r="F4695"/>
      <c r="G4695"/>
      <c r="H4695"/>
      <c r="I4695" s="489"/>
      <c r="J4695" s="1095"/>
      <c r="K4695" s="1095"/>
      <c r="L4695" s="1095"/>
      <c r="M4695" s="1095"/>
    </row>
    <row r="4696" spans="1:13" x14ac:dyDescent="0.25">
      <c r="A4696">
        <v>4413022</v>
      </c>
      <c r="B4696" t="s">
        <v>11812</v>
      </c>
      <c r="C4696" t="s">
        <v>2595</v>
      </c>
      <c r="D4696" s="254">
        <v>0.69</v>
      </c>
      <c r="E4696"/>
      <c r="F4696"/>
      <c r="G4696"/>
      <c r="H4696"/>
      <c r="I4696" s="489"/>
      <c r="J4696" s="1095"/>
      <c r="K4696" s="1095"/>
      <c r="L4696" s="1095"/>
      <c r="M4696" s="1095"/>
    </row>
    <row r="4697" spans="1:13" x14ac:dyDescent="0.25">
      <c r="A4697">
        <v>4413020</v>
      </c>
      <c r="B4697" t="s">
        <v>11813</v>
      </c>
      <c r="C4697" t="s">
        <v>2598</v>
      </c>
      <c r="D4697" s="254">
        <v>31.47</v>
      </c>
      <c r="E4697"/>
      <c r="F4697"/>
      <c r="G4697"/>
      <c r="H4697"/>
      <c r="I4697" s="489"/>
      <c r="J4697" s="1095"/>
      <c r="K4697" s="1095"/>
      <c r="L4697" s="1095"/>
      <c r="M4697" s="1095"/>
    </row>
    <row r="4698" spans="1:13" x14ac:dyDescent="0.25">
      <c r="A4698">
        <v>4413013</v>
      </c>
      <c r="B4698" t="s">
        <v>6381</v>
      </c>
      <c r="C4698" t="s">
        <v>2598</v>
      </c>
      <c r="D4698" s="254">
        <v>83.67</v>
      </c>
      <c r="E4698"/>
      <c r="F4698"/>
      <c r="G4698"/>
      <c r="H4698"/>
      <c r="I4698" s="489"/>
      <c r="J4698" s="1095"/>
      <c r="K4698" s="1095"/>
      <c r="L4698" s="1095"/>
      <c r="M4698" s="1095"/>
    </row>
    <row r="4699" spans="1:13" x14ac:dyDescent="0.25">
      <c r="A4699">
        <v>4413019</v>
      </c>
      <c r="B4699" t="s">
        <v>11814</v>
      </c>
      <c r="C4699" t="s">
        <v>2598</v>
      </c>
      <c r="D4699" s="254">
        <v>30.49</v>
      </c>
      <c r="E4699"/>
      <c r="F4699"/>
      <c r="G4699"/>
      <c r="H4699"/>
      <c r="I4699" s="489"/>
      <c r="J4699" s="1095"/>
      <c r="K4699" s="1095"/>
      <c r="L4699" s="1095"/>
      <c r="M4699" s="1095"/>
    </row>
    <row r="4700" spans="1:13" x14ac:dyDescent="0.25">
      <c r="A4700">
        <v>4413026</v>
      </c>
      <c r="B4700" t="s">
        <v>11815</v>
      </c>
      <c r="C4700" t="s">
        <v>2595</v>
      </c>
      <c r="D4700" s="254">
        <v>216.85</v>
      </c>
      <c r="E4700"/>
      <c r="F4700"/>
      <c r="G4700"/>
      <c r="H4700"/>
      <c r="I4700" s="489"/>
      <c r="J4700" s="1095"/>
      <c r="K4700" s="1095"/>
      <c r="L4700" s="1095"/>
      <c r="M4700" s="1095"/>
    </row>
    <row r="4701" spans="1:13" x14ac:dyDescent="0.25">
      <c r="A4701">
        <v>4413996</v>
      </c>
      <c r="B4701" t="s">
        <v>11816</v>
      </c>
      <c r="C4701" t="s">
        <v>2595</v>
      </c>
      <c r="D4701" s="254">
        <v>9.06</v>
      </c>
      <c r="E4701"/>
      <c r="F4701"/>
      <c r="G4701"/>
      <c r="H4701"/>
      <c r="I4701" s="489"/>
      <c r="J4701" s="1095"/>
      <c r="K4701" s="1095"/>
      <c r="L4701" s="1095"/>
      <c r="M4701" s="1095"/>
    </row>
    <row r="4702" spans="1:13" x14ac:dyDescent="0.25">
      <c r="A4702">
        <v>4413942</v>
      </c>
      <c r="B4702" t="s">
        <v>2613</v>
      </c>
      <c r="C4702" t="s">
        <v>2596</v>
      </c>
      <c r="D4702" s="254">
        <v>1.7</v>
      </c>
      <c r="E4702"/>
      <c r="F4702"/>
      <c r="G4702"/>
      <c r="H4702"/>
      <c r="I4702" s="489"/>
      <c r="J4702" s="1095"/>
      <c r="K4702" s="1095"/>
      <c r="L4702" s="1095"/>
      <c r="M4702" s="1095"/>
    </row>
    <row r="4703" spans="1:13" x14ac:dyDescent="0.25">
      <c r="A4703">
        <v>4413018</v>
      </c>
      <c r="B4703" t="s">
        <v>11817</v>
      </c>
      <c r="C4703" t="s">
        <v>2716</v>
      </c>
      <c r="D4703" s="254">
        <v>16.25</v>
      </c>
      <c r="E4703"/>
      <c r="F4703"/>
      <c r="G4703"/>
      <c r="H4703"/>
      <c r="I4703" s="489"/>
      <c r="J4703" s="1095"/>
      <c r="K4703" s="1095"/>
      <c r="L4703" s="1095"/>
      <c r="M4703" s="1095"/>
    </row>
    <row r="4704" spans="1:13" x14ac:dyDescent="0.25">
      <c r="A4704">
        <v>4413905</v>
      </c>
      <c r="B4704" t="s">
        <v>3043</v>
      </c>
      <c r="C4704" t="s">
        <v>2595</v>
      </c>
      <c r="D4704" s="254">
        <v>6.31</v>
      </c>
      <c r="E4704"/>
      <c r="F4704"/>
      <c r="G4704"/>
      <c r="H4704"/>
      <c r="I4704" s="489"/>
      <c r="J4704" s="1095"/>
      <c r="K4704" s="1095"/>
      <c r="L4704" s="1095"/>
      <c r="M4704" s="1095"/>
    </row>
    <row r="4705" spans="1:13" x14ac:dyDescent="0.25">
      <c r="A4705">
        <v>4413987</v>
      </c>
      <c r="B4705" t="s">
        <v>11818</v>
      </c>
      <c r="C4705" t="s">
        <v>2595</v>
      </c>
      <c r="D4705" s="254">
        <v>0.4</v>
      </c>
      <c r="E4705"/>
      <c r="F4705"/>
      <c r="G4705"/>
      <c r="H4705"/>
      <c r="I4705" s="489"/>
      <c r="J4705" s="1095"/>
      <c r="K4705" s="1095"/>
      <c r="L4705" s="1095"/>
      <c r="M4705" s="1095"/>
    </row>
    <row r="4706" spans="1:13" x14ac:dyDescent="0.25">
      <c r="A4706">
        <v>4413995</v>
      </c>
      <c r="B4706" t="s">
        <v>11819</v>
      </c>
      <c r="C4706" t="s">
        <v>2595</v>
      </c>
      <c r="D4706" s="254">
        <v>2.5499999999999998</v>
      </c>
      <c r="E4706"/>
      <c r="F4706"/>
      <c r="G4706"/>
      <c r="H4706"/>
      <c r="I4706" s="489"/>
      <c r="J4706" s="1095"/>
      <c r="K4706" s="1095"/>
      <c r="L4706" s="1095"/>
      <c r="M4706" s="1095"/>
    </row>
    <row r="4707" spans="1:13" x14ac:dyDescent="0.25">
      <c r="A4707">
        <v>4413994</v>
      </c>
      <c r="B4707" t="s">
        <v>11820</v>
      </c>
      <c r="C4707" t="s">
        <v>2598</v>
      </c>
      <c r="D4707" s="254">
        <v>592.74</v>
      </c>
      <c r="E4707"/>
      <c r="F4707"/>
      <c r="G4707"/>
      <c r="H4707"/>
      <c r="I4707" s="489"/>
      <c r="J4707" s="1095"/>
      <c r="K4707" s="1095"/>
      <c r="L4707" s="1095"/>
      <c r="M4707" s="1095"/>
    </row>
    <row r="4708" spans="1:13" x14ac:dyDescent="0.25">
      <c r="A4708">
        <v>4413200</v>
      </c>
      <c r="B4708" t="s">
        <v>6358</v>
      </c>
      <c r="C4708" t="s">
        <v>2595</v>
      </c>
      <c r="D4708" s="254">
        <v>12.5</v>
      </c>
      <c r="E4708"/>
      <c r="F4708"/>
      <c r="G4708"/>
      <c r="H4708"/>
      <c r="I4708" s="489"/>
      <c r="J4708" s="1095"/>
      <c r="K4708" s="1095"/>
      <c r="L4708" s="1095"/>
      <c r="M4708" s="1095"/>
    </row>
    <row r="4709" spans="1:13" x14ac:dyDescent="0.25">
      <c r="A4709">
        <v>4413990</v>
      </c>
      <c r="B4709" t="s">
        <v>11821</v>
      </c>
      <c r="C4709" t="s">
        <v>2640</v>
      </c>
      <c r="D4709" s="254">
        <v>30.49</v>
      </c>
      <c r="E4709"/>
      <c r="F4709"/>
      <c r="G4709"/>
      <c r="H4709"/>
      <c r="I4709" s="489"/>
      <c r="J4709" s="1095"/>
      <c r="K4709" s="1095"/>
      <c r="L4709" s="1095"/>
      <c r="M4709" s="1095"/>
    </row>
    <row r="4710" spans="1:13" x14ac:dyDescent="0.25">
      <c r="A4710">
        <v>4413989</v>
      </c>
      <c r="B4710" t="s">
        <v>11822</v>
      </c>
      <c r="C4710" t="s">
        <v>2640</v>
      </c>
      <c r="D4710" s="254">
        <v>31.47</v>
      </c>
      <c r="E4710"/>
      <c r="F4710"/>
      <c r="G4710"/>
      <c r="H4710"/>
      <c r="I4710" s="489"/>
      <c r="J4710" s="1095"/>
      <c r="K4710" s="1095"/>
      <c r="L4710" s="1095"/>
      <c r="M4710" s="1095"/>
    </row>
    <row r="4711" spans="1:13" x14ac:dyDescent="0.25">
      <c r="A4711">
        <v>4413951</v>
      </c>
      <c r="B4711" t="s">
        <v>11823</v>
      </c>
      <c r="C4711" t="s">
        <v>2640</v>
      </c>
      <c r="D4711" s="254">
        <v>67.8</v>
      </c>
      <c r="E4711"/>
      <c r="F4711"/>
      <c r="G4711"/>
      <c r="H4711"/>
      <c r="I4711" s="489"/>
      <c r="J4711" s="1095"/>
      <c r="K4711" s="1095"/>
      <c r="L4711" s="1095"/>
      <c r="M4711" s="1095"/>
    </row>
    <row r="4712" spans="1:13" x14ac:dyDescent="0.25">
      <c r="A4712">
        <v>4413950</v>
      </c>
      <c r="B4712" t="s">
        <v>11824</v>
      </c>
      <c r="C4712" t="s">
        <v>2640</v>
      </c>
      <c r="D4712" s="254">
        <v>129.51</v>
      </c>
      <c r="E4712"/>
      <c r="F4712"/>
      <c r="G4712"/>
      <c r="H4712"/>
      <c r="I4712" s="489"/>
      <c r="J4712" s="1095"/>
      <c r="K4712" s="1095"/>
      <c r="L4712" s="1095"/>
      <c r="M4712" s="1095"/>
    </row>
    <row r="4713" spans="1:13" x14ac:dyDescent="0.25">
      <c r="A4713">
        <v>4413949</v>
      </c>
      <c r="B4713" t="s">
        <v>11825</v>
      </c>
      <c r="C4713" t="s">
        <v>2640</v>
      </c>
      <c r="D4713" s="254">
        <v>194.01</v>
      </c>
      <c r="E4713"/>
      <c r="F4713"/>
      <c r="G4713"/>
      <c r="H4713"/>
      <c r="I4713" s="489"/>
      <c r="J4713" s="1095"/>
      <c r="K4713" s="1095"/>
      <c r="L4713" s="1095"/>
      <c r="M4713" s="1095"/>
    </row>
    <row r="4714" spans="1:13" x14ac:dyDescent="0.25">
      <c r="A4714">
        <v>4413948</v>
      </c>
      <c r="B4714" t="s">
        <v>11826</v>
      </c>
      <c r="C4714" t="s">
        <v>2640</v>
      </c>
      <c r="D4714" s="254">
        <v>65.2</v>
      </c>
      <c r="E4714"/>
      <c r="F4714"/>
      <c r="G4714"/>
      <c r="H4714"/>
      <c r="I4714" s="489"/>
      <c r="J4714" s="1095"/>
      <c r="K4714" s="1095"/>
      <c r="L4714" s="1095"/>
      <c r="M4714" s="1095"/>
    </row>
    <row r="4715" spans="1:13" x14ac:dyDescent="0.25">
      <c r="A4715">
        <v>4413947</v>
      </c>
      <c r="B4715" t="s">
        <v>11827</v>
      </c>
      <c r="C4715" t="s">
        <v>2640</v>
      </c>
      <c r="D4715" s="254">
        <v>102.34</v>
      </c>
      <c r="E4715"/>
      <c r="F4715"/>
      <c r="G4715"/>
      <c r="H4715"/>
      <c r="I4715" s="489"/>
      <c r="J4715" s="1095"/>
      <c r="K4715" s="1095"/>
      <c r="L4715" s="1095"/>
      <c r="M4715" s="1095"/>
    </row>
    <row r="4716" spans="1:13" x14ac:dyDescent="0.25">
      <c r="A4716">
        <v>4413946</v>
      </c>
      <c r="B4716" t="s">
        <v>11828</v>
      </c>
      <c r="C4716" t="s">
        <v>2640</v>
      </c>
      <c r="D4716" s="254">
        <v>127.09</v>
      </c>
      <c r="E4716"/>
      <c r="F4716"/>
      <c r="G4716"/>
      <c r="H4716"/>
      <c r="I4716" s="489"/>
      <c r="J4716" s="1095"/>
      <c r="K4716" s="1095"/>
      <c r="L4716" s="1095"/>
      <c r="M4716" s="1095"/>
    </row>
    <row r="4717" spans="1:13" x14ac:dyDescent="0.25">
      <c r="A4717">
        <v>4413952</v>
      </c>
      <c r="B4717" t="s">
        <v>11829</v>
      </c>
      <c r="C4717" t="s">
        <v>2595</v>
      </c>
      <c r="D4717" s="254">
        <v>74.02</v>
      </c>
      <c r="E4717"/>
      <c r="F4717"/>
      <c r="G4717"/>
      <c r="H4717"/>
      <c r="I4717" s="489"/>
      <c r="J4717" s="1095"/>
      <c r="K4717" s="1095"/>
      <c r="L4717" s="1095"/>
      <c r="M4717" s="1095"/>
    </row>
    <row r="4718" spans="1:13" x14ac:dyDescent="0.25">
      <c r="A4718">
        <v>4413012</v>
      </c>
      <c r="B4718" t="s">
        <v>13819</v>
      </c>
      <c r="C4718" t="s">
        <v>2596</v>
      </c>
      <c r="D4718" s="254">
        <v>363.99</v>
      </c>
      <c r="E4718"/>
      <c r="F4718"/>
      <c r="G4718"/>
      <c r="H4718"/>
      <c r="I4718" s="489"/>
      <c r="J4718" s="1095"/>
      <c r="K4718" s="1095"/>
      <c r="L4718" s="1095"/>
      <c r="M4718" s="1095"/>
    </row>
    <row r="4719" spans="1:13" x14ac:dyDescent="0.25">
      <c r="A4719">
        <v>4413014</v>
      </c>
      <c r="B4719" t="s">
        <v>11830</v>
      </c>
      <c r="C4719" t="s">
        <v>2595</v>
      </c>
      <c r="D4719" s="254">
        <v>16.350000000000001</v>
      </c>
      <c r="E4719"/>
      <c r="F4719"/>
      <c r="G4719"/>
      <c r="H4719"/>
      <c r="I4719" s="489"/>
      <c r="J4719" s="1095"/>
      <c r="K4719" s="1095"/>
      <c r="L4719" s="1095"/>
      <c r="M4719" s="1095"/>
    </row>
    <row r="4720" spans="1:13" x14ac:dyDescent="0.25">
      <c r="A4720">
        <v>4413016</v>
      </c>
      <c r="B4720" t="s">
        <v>11831</v>
      </c>
      <c r="C4720" t="s">
        <v>2595</v>
      </c>
      <c r="D4720" s="254">
        <v>9.67</v>
      </c>
      <c r="E4720"/>
      <c r="F4720"/>
      <c r="G4720"/>
      <c r="H4720"/>
      <c r="I4720" s="489"/>
      <c r="J4720" s="1095"/>
      <c r="K4720" s="1095"/>
      <c r="L4720" s="1095"/>
      <c r="M4720" s="1095"/>
    </row>
    <row r="4721" spans="1:13" x14ac:dyDescent="0.25">
      <c r="A4721">
        <v>4413984</v>
      </c>
      <c r="B4721" t="s">
        <v>11832</v>
      </c>
      <c r="C4721" t="s">
        <v>2596</v>
      </c>
      <c r="D4721" s="254">
        <v>3.99</v>
      </c>
      <c r="E4721"/>
      <c r="F4721"/>
      <c r="G4721"/>
      <c r="H4721"/>
      <c r="I4721" s="489"/>
      <c r="J4721" s="1095"/>
      <c r="K4721" s="1095"/>
      <c r="L4721" s="1095"/>
      <c r="M4721" s="1095"/>
    </row>
    <row r="4722" spans="1:13" x14ac:dyDescent="0.25">
      <c r="A4722">
        <v>4413986</v>
      </c>
      <c r="B4722" t="s">
        <v>11833</v>
      </c>
      <c r="C4722" t="s">
        <v>2595</v>
      </c>
      <c r="D4722" s="254">
        <v>0.06</v>
      </c>
      <c r="E4722"/>
      <c r="F4722"/>
      <c r="G4722"/>
      <c r="H4722"/>
      <c r="I4722" s="489"/>
      <c r="J4722" s="1095"/>
      <c r="K4722" s="1095"/>
      <c r="L4722" s="1095"/>
      <c r="M4722" s="1095"/>
    </row>
    <row r="4723" spans="1:13" x14ac:dyDescent="0.25">
      <c r="A4723">
        <v>4413985</v>
      </c>
      <c r="B4723" t="s">
        <v>11834</v>
      </c>
      <c r="C4723" t="s">
        <v>2595</v>
      </c>
      <c r="D4723" s="254">
        <v>20.48</v>
      </c>
      <c r="E4723"/>
      <c r="F4723"/>
      <c r="G4723"/>
      <c r="H4723"/>
      <c r="I4723" s="489"/>
      <c r="J4723" s="1095"/>
      <c r="K4723" s="1095"/>
      <c r="L4723" s="1095"/>
      <c r="M4723" s="1095"/>
    </row>
    <row r="4724" spans="1:13" x14ac:dyDescent="0.25">
      <c r="A4724">
        <v>4413017</v>
      </c>
      <c r="B4724" t="s">
        <v>11835</v>
      </c>
      <c r="C4724" t="s">
        <v>2598</v>
      </c>
      <c r="D4724" s="254">
        <v>48.57</v>
      </c>
      <c r="E4724"/>
      <c r="F4724"/>
      <c r="G4724"/>
      <c r="H4724"/>
      <c r="I4724" s="489"/>
      <c r="J4724" s="1095"/>
      <c r="K4724" s="1095"/>
      <c r="L4724" s="1095"/>
      <c r="M4724" s="1095"/>
    </row>
    <row r="4725" spans="1:13" x14ac:dyDescent="0.25">
      <c r="A4725">
        <v>4415673</v>
      </c>
      <c r="B4725" t="s">
        <v>11836</v>
      </c>
      <c r="C4725" t="s">
        <v>2595</v>
      </c>
      <c r="D4725" s="254">
        <v>7.33</v>
      </c>
      <c r="E4725"/>
      <c r="F4725"/>
      <c r="G4725"/>
      <c r="H4725"/>
      <c r="I4725" s="489"/>
      <c r="J4725" s="1095"/>
      <c r="K4725" s="1095"/>
      <c r="L4725" s="1095"/>
      <c r="M4725" s="1095"/>
    </row>
    <row r="4726" spans="1:13" x14ac:dyDescent="0.25">
      <c r="A4726">
        <v>4415684</v>
      </c>
      <c r="B4726" t="s">
        <v>11837</v>
      </c>
      <c r="C4726" t="s">
        <v>2595</v>
      </c>
      <c r="D4726" s="254">
        <v>4.18</v>
      </c>
      <c r="E4726"/>
      <c r="F4726"/>
      <c r="G4726"/>
      <c r="H4726"/>
      <c r="I4726" s="489"/>
      <c r="J4726" s="1095"/>
      <c r="K4726" s="1095"/>
      <c r="L4726" s="1095"/>
      <c r="M4726" s="1095"/>
    </row>
    <row r="4727" spans="1:13" x14ac:dyDescent="0.25">
      <c r="A4727">
        <v>4413993</v>
      </c>
      <c r="B4727" t="s">
        <v>11838</v>
      </c>
      <c r="C4727" t="s">
        <v>2595</v>
      </c>
      <c r="D4727" s="254">
        <v>0.63</v>
      </c>
      <c r="E4727"/>
      <c r="F4727"/>
      <c r="G4727"/>
      <c r="H4727"/>
      <c r="I4727" s="489"/>
      <c r="J4727" s="1095"/>
      <c r="K4727" s="1095"/>
      <c r="L4727" s="1095"/>
      <c r="M4727" s="1095"/>
    </row>
    <row r="4728" spans="1:13" x14ac:dyDescent="0.25">
      <c r="A4728">
        <v>4507754</v>
      </c>
      <c r="B4728" t="s">
        <v>11839</v>
      </c>
      <c r="C4728" t="s">
        <v>2640</v>
      </c>
      <c r="D4728" s="254">
        <v>907.07</v>
      </c>
      <c r="E4728"/>
      <c r="F4728"/>
      <c r="G4728"/>
      <c r="H4728"/>
      <c r="I4728" s="489"/>
      <c r="J4728" s="1095"/>
      <c r="K4728" s="1095"/>
      <c r="L4728" s="1095"/>
      <c r="M4728" s="1095"/>
    </row>
    <row r="4729" spans="1:13" x14ac:dyDescent="0.25">
      <c r="A4729">
        <v>4507738</v>
      </c>
      <c r="B4729" t="s">
        <v>11840</v>
      </c>
      <c r="C4729" t="s">
        <v>2640</v>
      </c>
      <c r="D4729" s="254">
        <v>1220.93</v>
      </c>
      <c r="E4729"/>
      <c r="F4729"/>
      <c r="G4729"/>
      <c r="H4729"/>
      <c r="I4729" s="489"/>
      <c r="J4729" s="1095"/>
      <c r="K4729" s="1095"/>
      <c r="L4729" s="1095"/>
      <c r="M4729" s="1095"/>
    </row>
    <row r="4730" spans="1:13" x14ac:dyDescent="0.25">
      <c r="A4730">
        <v>4507755</v>
      </c>
      <c r="B4730" t="s">
        <v>11841</v>
      </c>
      <c r="C4730" t="s">
        <v>2640</v>
      </c>
      <c r="D4730" s="254">
        <v>1142.48</v>
      </c>
      <c r="E4730"/>
      <c r="F4730"/>
      <c r="G4730"/>
      <c r="H4730"/>
      <c r="I4730" s="489"/>
      <c r="J4730" s="1095"/>
      <c r="K4730" s="1095"/>
      <c r="L4730" s="1095"/>
      <c r="M4730" s="1095"/>
    </row>
    <row r="4731" spans="1:13" x14ac:dyDescent="0.25">
      <c r="A4731">
        <v>4507756</v>
      </c>
      <c r="B4731" t="s">
        <v>11842</v>
      </c>
      <c r="C4731" t="s">
        <v>2640</v>
      </c>
      <c r="D4731" s="254">
        <v>1491.41</v>
      </c>
      <c r="E4731"/>
      <c r="F4731"/>
      <c r="G4731"/>
      <c r="H4731"/>
      <c r="I4731" s="489"/>
      <c r="J4731" s="1095"/>
      <c r="K4731" s="1095"/>
      <c r="L4731" s="1095"/>
      <c r="M4731" s="1095"/>
    </row>
    <row r="4732" spans="1:13" x14ac:dyDescent="0.25">
      <c r="A4732">
        <v>4507757</v>
      </c>
      <c r="B4732" t="s">
        <v>11843</v>
      </c>
      <c r="C4732" t="s">
        <v>2640</v>
      </c>
      <c r="D4732" s="254">
        <v>1578.57</v>
      </c>
      <c r="E4732"/>
      <c r="F4732"/>
      <c r="G4732"/>
      <c r="H4732"/>
      <c r="I4732" s="489"/>
      <c r="J4732" s="1095"/>
      <c r="K4732" s="1095"/>
      <c r="L4732" s="1095"/>
      <c r="M4732" s="1095"/>
    </row>
    <row r="4733" spans="1:13" x14ac:dyDescent="0.25">
      <c r="A4733">
        <v>4507758</v>
      </c>
      <c r="B4733" t="s">
        <v>11844</v>
      </c>
      <c r="C4733" t="s">
        <v>2640</v>
      </c>
      <c r="D4733" s="254">
        <v>1940.46</v>
      </c>
      <c r="E4733"/>
      <c r="F4733"/>
      <c r="G4733"/>
      <c r="H4733"/>
      <c r="I4733" s="489"/>
      <c r="J4733" s="1095"/>
      <c r="K4733" s="1095"/>
      <c r="L4733" s="1095"/>
      <c r="M4733" s="1095"/>
    </row>
    <row r="4734" spans="1:13" x14ac:dyDescent="0.25">
      <c r="A4734">
        <v>4507759</v>
      </c>
      <c r="B4734" t="s">
        <v>11845</v>
      </c>
      <c r="C4734" t="s">
        <v>2640</v>
      </c>
      <c r="D4734" s="254">
        <v>1997.96</v>
      </c>
      <c r="E4734"/>
      <c r="F4734"/>
      <c r="G4734"/>
      <c r="H4734"/>
      <c r="I4734" s="489"/>
      <c r="J4734" s="1095"/>
      <c r="K4734" s="1095"/>
      <c r="L4734" s="1095"/>
      <c r="M4734" s="1095"/>
    </row>
    <row r="4735" spans="1:13" x14ac:dyDescent="0.25">
      <c r="A4735">
        <v>4507760</v>
      </c>
      <c r="B4735" t="s">
        <v>11846</v>
      </c>
      <c r="C4735" t="s">
        <v>2640</v>
      </c>
      <c r="D4735" s="254">
        <v>2518.92</v>
      </c>
      <c r="E4735"/>
      <c r="F4735"/>
      <c r="G4735"/>
      <c r="H4735"/>
      <c r="I4735" s="489"/>
      <c r="J4735" s="1095"/>
      <c r="K4735" s="1095"/>
      <c r="L4735" s="1095"/>
      <c r="M4735" s="1095"/>
    </row>
    <row r="4736" spans="1:13" x14ac:dyDescent="0.25">
      <c r="A4736">
        <v>4507761</v>
      </c>
      <c r="B4736" t="s">
        <v>11847</v>
      </c>
      <c r="C4736" t="s">
        <v>2640</v>
      </c>
      <c r="D4736" s="254">
        <v>2567.0100000000002</v>
      </c>
      <c r="E4736"/>
      <c r="F4736"/>
      <c r="G4736"/>
      <c r="H4736"/>
      <c r="I4736" s="489"/>
      <c r="J4736" s="1095"/>
      <c r="K4736" s="1095"/>
      <c r="L4736" s="1095"/>
      <c r="M4736" s="1095"/>
    </row>
    <row r="4737" spans="1:13" x14ac:dyDescent="0.25">
      <c r="A4737">
        <v>4507762</v>
      </c>
      <c r="B4737" t="s">
        <v>11848</v>
      </c>
      <c r="C4737" t="s">
        <v>2640</v>
      </c>
      <c r="D4737" s="254">
        <v>3223.11</v>
      </c>
      <c r="E4737"/>
      <c r="F4737"/>
      <c r="G4737"/>
      <c r="H4737"/>
      <c r="I4737" s="489"/>
      <c r="J4737" s="1095"/>
      <c r="K4737" s="1095"/>
      <c r="L4737" s="1095"/>
      <c r="M4737" s="1095"/>
    </row>
    <row r="4738" spans="1:13" x14ac:dyDescent="0.25">
      <c r="A4738">
        <v>4507763</v>
      </c>
      <c r="B4738" t="s">
        <v>11849</v>
      </c>
      <c r="C4738" t="s">
        <v>2640</v>
      </c>
      <c r="D4738" s="254">
        <v>3067.49</v>
      </c>
      <c r="E4738"/>
      <c r="F4738"/>
      <c r="G4738"/>
      <c r="H4738"/>
      <c r="I4738" s="489"/>
      <c r="J4738" s="1095"/>
      <c r="K4738" s="1095"/>
      <c r="L4738" s="1095"/>
      <c r="M4738" s="1095"/>
    </row>
    <row r="4739" spans="1:13" x14ac:dyDescent="0.25">
      <c r="A4739">
        <v>4507764</v>
      </c>
      <c r="B4739" t="s">
        <v>11850</v>
      </c>
      <c r="C4739" t="s">
        <v>2640</v>
      </c>
      <c r="D4739" s="254">
        <v>4214.78</v>
      </c>
      <c r="E4739"/>
      <c r="F4739"/>
      <c r="G4739"/>
      <c r="H4739"/>
      <c r="I4739" s="489"/>
      <c r="J4739" s="1095"/>
      <c r="K4739" s="1095"/>
      <c r="L4739" s="1095"/>
      <c r="M4739" s="1095"/>
    </row>
    <row r="4740" spans="1:13" x14ac:dyDescent="0.25">
      <c r="A4740">
        <v>4507765</v>
      </c>
      <c r="B4740" t="s">
        <v>11851</v>
      </c>
      <c r="C4740" t="s">
        <v>2640</v>
      </c>
      <c r="D4740" s="254">
        <v>4192.8500000000004</v>
      </c>
      <c r="E4740"/>
      <c r="F4740"/>
      <c r="G4740"/>
      <c r="H4740"/>
      <c r="I4740" s="489"/>
      <c r="J4740" s="1095"/>
      <c r="K4740" s="1095"/>
      <c r="L4740" s="1095"/>
      <c r="M4740" s="1095"/>
    </row>
    <row r="4741" spans="1:13" x14ac:dyDescent="0.25">
      <c r="A4741">
        <v>4508192</v>
      </c>
      <c r="B4741" t="s">
        <v>11852</v>
      </c>
      <c r="C4741" t="s">
        <v>2640</v>
      </c>
      <c r="D4741" s="254">
        <v>5550.97</v>
      </c>
      <c r="E4741"/>
      <c r="F4741"/>
      <c r="G4741"/>
      <c r="H4741"/>
      <c r="I4741" s="489"/>
      <c r="J4741" s="1095"/>
      <c r="K4741" s="1095"/>
      <c r="L4741" s="1095"/>
      <c r="M4741" s="1095"/>
    </row>
    <row r="4742" spans="1:13" x14ac:dyDescent="0.25">
      <c r="A4742">
        <v>4507766</v>
      </c>
      <c r="B4742" t="s">
        <v>11853</v>
      </c>
      <c r="C4742" t="s">
        <v>2640</v>
      </c>
      <c r="D4742" s="254">
        <v>381.17</v>
      </c>
      <c r="E4742"/>
      <c r="F4742"/>
      <c r="G4742"/>
      <c r="H4742"/>
      <c r="I4742" s="489"/>
      <c r="J4742" s="1095"/>
      <c r="K4742" s="1095"/>
      <c r="L4742" s="1095"/>
      <c r="M4742" s="1095"/>
    </row>
    <row r="4743" spans="1:13" x14ac:dyDescent="0.25">
      <c r="A4743">
        <v>4507767</v>
      </c>
      <c r="B4743" t="s">
        <v>11854</v>
      </c>
      <c r="C4743" t="s">
        <v>2640</v>
      </c>
      <c r="D4743" s="254">
        <v>457.73</v>
      </c>
      <c r="E4743"/>
      <c r="F4743"/>
      <c r="G4743"/>
      <c r="H4743"/>
      <c r="I4743" s="489"/>
      <c r="J4743" s="1095"/>
      <c r="K4743" s="1095"/>
      <c r="L4743" s="1095"/>
      <c r="M4743" s="1095"/>
    </row>
    <row r="4744" spans="1:13" x14ac:dyDescent="0.25">
      <c r="A4744">
        <v>4507768</v>
      </c>
      <c r="B4744" t="s">
        <v>11855</v>
      </c>
      <c r="C4744" t="s">
        <v>2640</v>
      </c>
      <c r="D4744" s="254">
        <v>552.51</v>
      </c>
      <c r="E4744"/>
      <c r="F4744"/>
      <c r="G4744"/>
      <c r="H4744"/>
      <c r="I4744" s="489"/>
      <c r="J4744" s="1095"/>
      <c r="K4744" s="1095"/>
      <c r="L4744" s="1095"/>
      <c r="M4744" s="1095"/>
    </row>
    <row r="4745" spans="1:13" x14ac:dyDescent="0.25">
      <c r="A4745">
        <v>4507769</v>
      </c>
      <c r="B4745" t="s">
        <v>11856</v>
      </c>
      <c r="C4745" t="s">
        <v>2640</v>
      </c>
      <c r="D4745" s="254">
        <v>687.08</v>
      </c>
      <c r="E4745"/>
      <c r="F4745"/>
      <c r="G4745"/>
      <c r="H4745"/>
      <c r="I4745" s="489"/>
      <c r="J4745" s="1095"/>
      <c r="K4745" s="1095"/>
      <c r="L4745" s="1095"/>
      <c r="M4745" s="1095"/>
    </row>
    <row r="4746" spans="1:13" x14ac:dyDescent="0.25">
      <c r="A4746">
        <v>4507770</v>
      </c>
      <c r="B4746" t="s">
        <v>11857</v>
      </c>
      <c r="C4746" t="s">
        <v>2640</v>
      </c>
      <c r="D4746" s="254">
        <v>634.67999999999995</v>
      </c>
      <c r="E4746"/>
      <c r="F4746"/>
      <c r="G4746"/>
      <c r="H4746"/>
      <c r="I4746" s="489"/>
      <c r="J4746" s="1095"/>
      <c r="K4746" s="1095"/>
      <c r="L4746" s="1095"/>
      <c r="M4746" s="1095"/>
    </row>
    <row r="4747" spans="1:13" x14ac:dyDescent="0.25">
      <c r="A4747">
        <v>4507771</v>
      </c>
      <c r="B4747" t="s">
        <v>11858</v>
      </c>
      <c r="C4747" t="s">
        <v>2640</v>
      </c>
      <c r="D4747" s="254">
        <v>805.88</v>
      </c>
      <c r="E4747"/>
      <c r="F4747"/>
      <c r="G4747"/>
      <c r="H4747"/>
      <c r="I4747" s="489"/>
      <c r="J4747" s="1095"/>
      <c r="K4747" s="1095"/>
      <c r="L4747" s="1095"/>
      <c r="M4747" s="1095"/>
    </row>
    <row r="4748" spans="1:13" x14ac:dyDescent="0.25">
      <c r="A4748">
        <v>4507772</v>
      </c>
      <c r="B4748" t="s">
        <v>11859</v>
      </c>
      <c r="C4748" t="s">
        <v>2640</v>
      </c>
      <c r="D4748" s="254">
        <v>743.08</v>
      </c>
      <c r="E4748"/>
      <c r="F4748"/>
      <c r="G4748"/>
      <c r="H4748"/>
      <c r="I4748" s="489"/>
      <c r="J4748" s="1095"/>
      <c r="K4748" s="1095"/>
      <c r="L4748" s="1095"/>
      <c r="M4748" s="1095"/>
    </row>
    <row r="4749" spans="1:13" x14ac:dyDescent="0.25">
      <c r="A4749">
        <v>4508193</v>
      </c>
      <c r="B4749" t="s">
        <v>11860</v>
      </c>
      <c r="C4749" t="s">
        <v>2640</v>
      </c>
      <c r="D4749" s="254">
        <v>931.65</v>
      </c>
      <c r="E4749"/>
      <c r="F4749"/>
      <c r="G4749"/>
      <c r="H4749"/>
      <c r="I4749" s="489"/>
      <c r="J4749" s="1095"/>
      <c r="K4749" s="1095"/>
      <c r="L4749" s="1095"/>
      <c r="M4749" s="1095"/>
    </row>
    <row r="4750" spans="1:13" x14ac:dyDescent="0.25">
      <c r="A4750">
        <v>4507773</v>
      </c>
      <c r="B4750" t="s">
        <v>11861</v>
      </c>
      <c r="C4750" t="s">
        <v>2640</v>
      </c>
      <c r="D4750" s="254">
        <v>835.47</v>
      </c>
      <c r="E4750"/>
      <c r="F4750"/>
      <c r="G4750"/>
      <c r="H4750"/>
      <c r="I4750" s="489"/>
      <c r="J4750" s="1095"/>
      <c r="K4750" s="1095"/>
      <c r="L4750" s="1095"/>
      <c r="M4750" s="1095"/>
    </row>
    <row r="4751" spans="1:13" x14ac:dyDescent="0.25">
      <c r="A4751">
        <v>4507774</v>
      </c>
      <c r="B4751" t="s">
        <v>11862</v>
      </c>
      <c r="C4751" t="s">
        <v>2640</v>
      </c>
      <c r="D4751" s="254">
        <v>1088.1300000000001</v>
      </c>
      <c r="E4751"/>
      <c r="F4751"/>
      <c r="G4751"/>
      <c r="H4751"/>
      <c r="I4751" s="489"/>
      <c r="J4751" s="1095"/>
      <c r="K4751" s="1095"/>
      <c r="L4751" s="1095"/>
      <c r="M4751" s="1095"/>
    </row>
    <row r="4752" spans="1:13" x14ac:dyDescent="0.25">
      <c r="A4752">
        <v>4507775</v>
      </c>
      <c r="B4752" t="s">
        <v>11863</v>
      </c>
      <c r="C4752" t="s">
        <v>2640</v>
      </c>
      <c r="D4752" s="254">
        <v>234.23</v>
      </c>
      <c r="E4752"/>
      <c r="F4752"/>
      <c r="G4752"/>
      <c r="H4752"/>
      <c r="I4752" s="489"/>
      <c r="J4752" s="1095"/>
      <c r="K4752" s="1095"/>
      <c r="L4752" s="1095"/>
      <c r="M4752" s="1095"/>
    </row>
    <row r="4753" spans="1:13" x14ac:dyDescent="0.25">
      <c r="A4753">
        <v>4507776</v>
      </c>
      <c r="B4753" t="s">
        <v>11864</v>
      </c>
      <c r="C4753" t="s">
        <v>2640</v>
      </c>
      <c r="D4753" s="254">
        <v>298.63</v>
      </c>
      <c r="E4753"/>
      <c r="F4753"/>
      <c r="G4753"/>
      <c r="H4753"/>
      <c r="I4753" s="489"/>
      <c r="J4753" s="1095"/>
      <c r="K4753" s="1095"/>
      <c r="L4753" s="1095"/>
      <c r="M4753" s="1095"/>
    </row>
    <row r="4754" spans="1:13" x14ac:dyDescent="0.25">
      <c r="A4754">
        <v>4507783</v>
      </c>
      <c r="B4754" t="s">
        <v>11865</v>
      </c>
      <c r="C4754" t="s">
        <v>2640</v>
      </c>
      <c r="D4754" s="254">
        <v>77.44</v>
      </c>
      <c r="E4754"/>
      <c r="F4754"/>
      <c r="G4754"/>
      <c r="H4754"/>
      <c r="I4754" s="489"/>
      <c r="J4754" s="1095"/>
      <c r="K4754" s="1095"/>
      <c r="L4754" s="1095"/>
      <c r="M4754" s="1095"/>
    </row>
    <row r="4755" spans="1:13" x14ac:dyDescent="0.25">
      <c r="A4755">
        <v>4507784</v>
      </c>
      <c r="B4755" t="s">
        <v>11866</v>
      </c>
      <c r="C4755" t="s">
        <v>2640</v>
      </c>
      <c r="D4755" s="254">
        <v>104.04</v>
      </c>
      <c r="E4755"/>
      <c r="F4755"/>
      <c r="G4755"/>
      <c r="H4755"/>
      <c r="I4755" s="489"/>
      <c r="J4755" s="1095"/>
      <c r="K4755" s="1095"/>
      <c r="L4755" s="1095"/>
      <c r="M4755" s="1095"/>
    </row>
    <row r="4756" spans="1:13" x14ac:dyDescent="0.25">
      <c r="A4756">
        <v>4507777</v>
      </c>
      <c r="B4756" t="s">
        <v>11867</v>
      </c>
      <c r="C4756" t="s">
        <v>2640</v>
      </c>
      <c r="D4756" s="254">
        <v>531.16</v>
      </c>
      <c r="E4756"/>
      <c r="F4756"/>
      <c r="G4756"/>
      <c r="H4756"/>
      <c r="I4756" s="489"/>
      <c r="J4756" s="1095"/>
      <c r="K4756" s="1095"/>
      <c r="L4756" s="1095"/>
      <c r="M4756" s="1095"/>
    </row>
    <row r="4757" spans="1:13" x14ac:dyDescent="0.25">
      <c r="A4757">
        <v>4507778</v>
      </c>
      <c r="B4757" t="s">
        <v>11868</v>
      </c>
      <c r="C4757" t="s">
        <v>2640</v>
      </c>
      <c r="D4757" s="254">
        <v>690.18</v>
      </c>
      <c r="E4757"/>
      <c r="F4757"/>
      <c r="G4757"/>
      <c r="H4757"/>
      <c r="I4757" s="489"/>
      <c r="J4757" s="1095"/>
      <c r="K4757" s="1095"/>
      <c r="L4757" s="1095"/>
      <c r="M4757" s="1095"/>
    </row>
    <row r="4758" spans="1:13" x14ac:dyDescent="0.25">
      <c r="A4758">
        <v>4507779</v>
      </c>
      <c r="B4758" t="s">
        <v>11869</v>
      </c>
      <c r="C4758" t="s">
        <v>2640</v>
      </c>
      <c r="D4758" s="254">
        <v>1039.71</v>
      </c>
      <c r="E4758"/>
      <c r="F4758"/>
      <c r="G4758"/>
      <c r="H4758"/>
      <c r="I4758" s="489"/>
      <c r="J4758" s="1095"/>
      <c r="K4758" s="1095"/>
      <c r="L4758" s="1095"/>
      <c r="M4758" s="1095"/>
    </row>
    <row r="4759" spans="1:13" x14ac:dyDescent="0.25">
      <c r="A4759">
        <v>4507780</v>
      </c>
      <c r="B4759" t="s">
        <v>11870</v>
      </c>
      <c r="C4759" t="s">
        <v>2640</v>
      </c>
      <c r="D4759" s="254">
        <v>1293.6300000000001</v>
      </c>
      <c r="E4759"/>
      <c r="F4759"/>
      <c r="G4759"/>
      <c r="H4759"/>
      <c r="I4759" s="489"/>
      <c r="J4759" s="1095"/>
      <c r="K4759" s="1095"/>
      <c r="L4759" s="1095"/>
      <c r="M4759" s="1095"/>
    </row>
    <row r="4760" spans="1:13" x14ac:dyDescent="0.25">
      <c r="A4760">
        <v>4507781</v>
      </c>
      <c r="B4760" t="s">
        <v>11871</v>
      </c>
      <c r="C4760" t="s">
        <v>2640</v>
      </c>
      <c r="D4760" s="254">
        <v>1137.1199999999999</v>
      </c>
      <c r="E4760"/>
      <c r="F4760"/>
      <c r="G4760"/>
      <c r="H4760"/>
      <c r="I4760" s="489"/>
      <c r="J4760" s="1095"/>
      <c r="K4760" s="1095"/>
      <c r="L4760" s="1095"/>
      <c r="M4760" s="1095"/>
    </row>
    <row r="4761" spans="1:13" x14ac:dyDescent="0.25">
      <c r="A4761">
        <v>4507782</v>
      </c>
      <c r="B4761" t="s">
        <v>11872</v>
      </c>
      <c r="C4761" t="s">
        <v>2640</v>
      </c>
      <c r="D4761" s="254">
        <v>1391.71</v>
      </c>
      <c r="E4761"/>
      <c r="F4761"/>
      <c r="G4761"/>
      <c r="H4761"/>
      <c r="I4761" s="489"/>
      <c r="J4761" s="1095"/>
      <c r="K4761" s="1095"/>
      <c r="L4761" s="1095"/>
      <c r="M4761" s="1095"/>
    </row>
    <row r="4762" spans="1:13" x14ac:dyDescent="0.25">
      <c r="A4762">
        <v>4507785</v>
      </c>
      <c r="B4762" t="s">
        <v>11873</v>
      </c>
      <c r="C4762" t="s">
        <v>2640</v>
      </c>
      <c r="D4762" s="254">
        <v>332.04</v>
      </c>
      <c r="E4762"/>
      <c r="F4762"/>
      <c r="G4762"/>
      <c r="H4762"/>
      <c r="I4762" s="489"/>
      <c r="J4762" s="1095"/>
      <c r="K4762" s="1095"/>
      <c r="L4762" s="1095"/>
      <c r="M4762" s="1095"/>
    </row>
    <row r="4763" spans="1:13" x14ac:dyDescent="0.25">
      <c r="A4763">
        <v>4508194</v>
      </c>
      <c r="B4763" t="s">
        <v>11874</v>
      </c>
      <c r="C4763" t="s">
        <v>2640</v>
      </c>
      <c r="D4763" s="254">
        <v>460.99</v>
      </c>
      <c r="E4763"/>
      <c r="F4763"/>
      <c r="G4763"/>
      <c r="H4763"/>
      <c r="I4763" s="489"/>
      <c r="J4763" s="1095"/>
      <c r="K4763" s="1095"/>
      <c r="L4763" s="1095"/>
      <c r="M4763" s="1095"/>
    </row>
    <row r="4764" spans="1:13" x14ac:dyDescent="0.25">
      <c r="A4764">
        <v>4507786</v>
      </c>
      <c r="B4764" t="s">
        <v>11875</v>
      </c>
      <c r="C4764" t="s">
        <v>2640</v>
      </c>
      <c r="D4764" s="254">
        <v>395.94</v>
      </c>
      <c r="E4764"/>
      <c r="F4764"/>
      <c r="G4764"/>
      <c r="H4764"/>
      <c r="I4764" s="489"/>
      <c r="J4764" s="1095"/>
      <c r="K4764" s="1095"/>
      <c r="L4764" s="1095"/>
      <c r="M4764" s="1095"/>
    </row>
    <row r="4765" spans="1:13" x14ac:dyDescent="0.25">
      <c r="A4765">
        <v>4507787</v>
      </c>
      <c r="B4765" t="s">
        <v>11876</v>
      </c>
      <c r="C4765" t="s">
        <v>2640</v>
      </c>
      <c r="D4765" s="254">
        <v>556.5</v>
      </c>
      <c r="E4765"/>
      <c r="F4765"/>
      <c r="G4765"/>
      <c r="H4765"/>
      <c r="I4765" s="489"/>
      <c r="J4765" s="1095"/>
      <c r="K4765" s="1095"/>
      <c r="L4765" s="1095"/>
      <c r="M4765" s="1095"/>
    </row>
    <row r="4766" spans="1:13" x14ac:dyDescent="0.25">
      <c r="A4766">
        <v>4507788</v>
      </c>
      <c r="B4766" t="s">
        <v>11877</v>
      </c>
      <c r="C4766" t="s">
        <v>2640</v>
      </c>
      <c r="D4766" s="254">
        <v>589.57000000000005</v>
      </c>
      <c r="E4766"/>
      <c r="F4766"/>
      <c r="G4766"/>
      <c r="H4766"/>
      <c r="I4766" s="489"/>
      <c r="J4766" s="1095"/>
      <c r="K4766" s="1095"/>
      <c r="L4766" s="1095"/>
      <c r="M4766" s="1095"/>
    </row>
    <row r="4767" spans="1:13" x14ac:dyDescent="0.25">
      <c r="A4767">
        <v>4507789</v>
      </c>
      <c r="B4767" t="s">
        <v>11878</v>
      </c>
      <c r="C4767" t="s">
        <v>2640</v>
      </c>
      <c r="D4767" s="254">
        <v>721.43</v>
      </c>
      <c r="E4767"/>
      <c r="F4767"/>
      <c r="G4767"/>
      <c r="H4767"/>
      <c r="I4767" s="489"/>
      <c r="J4767" s="1095"/>
      <c r="K4767" s="1095"/>
      <c r="L4767" s="1095"/>
      <c r="M4767" s="1095"/>
    </row>
    <row r="4768" spans="1:13" x14ac:dyDescent="0.25">
      <c r="A4768">
        <v>4507790</v>
      </c>
      <c r="B4768" t="s">
        <v>11879</v>
      </c>
      <c r="C4768" t="s">
        <v>2640</v>
      </c>
      <c r="D4768" s="254">
        <v>750.02</v>
      </c>
      <c r="E4768"/>
      <c r="F4768"/>
      <c r="G4768"/>
      <c r="H4768"/>
      <c r="I4768" s="489"/>
      <c r="J4768" s="1095"/>
      <c r="K4768" s="1095"/>
      <c r="L4768" s="1095"/>
      <c r="M4768" s="1095"/>
    </row>
    <row r="4769" spans="1:13" x14ac:dyDescent="0.25">
      <c r="A4769">
        <v>4507791</v>
      </c>
      <c r="B4769" t="s">
        <v>11880</v>
      </c>
      <c r="C4769" t="s">
        <v>2640</v>
      </c>
      <c r="D4769" s="254">
        <v>914.94</v>
      </c>
      <c r="E4769"/>
      <c r="F4769"/>
      <c r="G4769"/>
      <c r="H4769"/>
      <c r="I4769" s="489"/>
      <c r="J4769" s="1095"/>
      <c r="K4769" s="1095"/>
      <c r="L4769" s="1095"/>
      <c r="M4769" s="1095"/>
    </row>
    <row r="4770" spans="1:13" x14ac:dyDescent="0.25">
      <c r="A4770">
        <v>4507792</v>
      </c>
      <c r="B4770" t="s">
        <v>11881</v>
      </c>
      <c r="C4770" t="s">
        <v>2640</v>
      </c>
      <c r="D4770" s="254">
        <v>884.64</v>
      </c>
      <c r="E4770"/>
      <c r="F4770"/>
      <c r="G4770"/>
      <c r="H4770"/>
      <c r="I4770" s="489"/>
      <c r="J4770" s="1095"/>
      <c r="K4770" s="1095"/>
      <c r="L4770" s="1095"/>
      <c r="M4770" s="1095"/>
    </row>
    <row r="4771" spans="1:13" x14ac:dyDescent="0.25">
      <c r="A4771">
        <v>4507793</v>
      </c>
      <c r="B4771" t="s">
        <v>11882</v>
      </c>
      <c r="C4771" t="s">
        <v>2640</v>
      </c>
      <c r="D4771" s="254">
        <v>1068.25</v>
      </c>
      <c r="E4771"/>
      <c r="F4771"/>
      <c r="G4771"/>
      <c r="H4771"/>
      <c r="I4771" s="489"/>
      <c r="J4771" s="1095"/>
      <c r="K4771" s="1095"/>
      <c r="L4771" s="1095"/>
      <c r="M4771" s="1095"/>
    </row>
    <row r="4772" spans="1:13" x14ac:dyDescent="0.25">
      <c r="A4772">
        <v>4507794</v>
      </c>
      <c r="B4772" t="s">
        <v>11883</v>
      </c>
      <c r="C4772" t="s">
        <v>2640</v>
      </c>
      <c r="D4772" s="254">
        <v>1109.1099999999999</v>
      </c>
      <c r="E4772"/>
      <c r="F4772"/>
      <c r="G4772"/>
      <c r="H4772"/>
      <c r="I4772" s="489"/>
      <c r="J4772" s="1095"/>
      <c r="K4772" s="1095"/>
      <c r="L4772" s="1095"/>
      <c r="M4772" s="1095"/>
    </row>
    <row r="4773" spans="1:13" x14ac:dyDescent="0.25">
      <c r="A4773">
        <v>4507795</v>
      </c>
      <c r="B4773" t="s">
        <v>11884</v>
      </c>
      <c r="C4773" t="s">
        <v>2640</v>
      </c>
      <c r="D4773" s="254">
        <v>1332.98</v>
      </c>
      <c r="E4773"/>
      <c r="F4773"/>
      <c r="G4773"/>
      <c r="H4773"/>
      <c r="I4773" s="489"/>
      <c r="J4773" s="1095"/>
      <c r="K4773" s="1095"/>
      <c r="L4773" s="1095"/>
      <c r="M4773" s="1095"/>
    </row>
    <row r="4774" spans="1:13" x14ac:dyDescent="0.25">
      <c r="A4774">
        <v>4507796</v>
      </c>
      <c r="B4774" t="s">
        <v>11885</v>
      </c>
      <c r="C4774" t="s">
        <v>2640</v>
      </c>
      <c r="D4774" s="254">
        <v>1274.54</v>
      </c>
      <c r="E4774"/>
      <c r="F4774"/>
      <c r="G4774"/>
      <c r="H4774"/>
      <c r="I4774" s="489"/>
      <c r="J4774" s="1095"/>
      <c r="K4774" s="1095"/>
      <c r="L4774" s="1095"/>
      <c r="M4774" s="1095"/>
    </row>
    <row r="4775" spans="1:13" x14ac:dyDescent="0.25">
      <c r="A4775">
        <v>4508190</v>
      </c>
      <c r="B4775" t="s">
        <v>11886</v>
      </c>
      <c r="C4775" t="s">
        <v>2640</v>
      </c>
      <c r="D4775" s="254">
        <v>1543.17</v>
      </c>
      <c r="E4775"/>
      <c r="F4775"/>
      <c r="G4775"/>
      <c r="H4775"/>
      <c r="I4775" s="489"/>
      <c r="J4775" s="1095"/>
      <c r="K4775" s="1095"/>
      <c r="L4775" s="1095"/>
      <c r="M4775" s="1095"/>
    </row>
    <row r="4776" spans="1:13" x14ac:dyDescent="0.25">
      <c r="A4776">
        <v>4507797</v>
      </c>
      <c r="B4776" t="s">
        <v>11887</v>
      </c>
      <c r="C4776" t="s">
        <v>2640</v>
      </c>
      <c r="D4776" s="254">
        <v>167.79</v>
      </c>
      <c r="E4776"/>
      <c r="F4776"/>
      <c r="G4776"/>
      <c r="H4776"/>
      <c r="I4776" s="489"/>
      <c r="J4776" s="1095"/>
      <c r="K4776" s="1095"/>
      <c r="L4776" s="1095"/>
      <c r="M4776" s="1095"/>
    </row>
    <row r="4777" spans="1:13" x14ac:dyDescent="0.25">
      <c r="A4777">
        <v>4507798</v>
      </c>
      <c r="B4777" t="s">
        <v>11888</v>
      </c>
      <c r="C4777" t="s">
        <v>2640</v>
      </c>
      <c r="D4777" s="254">
        <v>231.66</v>
      </c>
      <c r="E4777"/>
      <c r="F4777"/>
      <c r="G4777"/>
      <c r="H4777"/>
      <c r="I4777" s="489"/>
      <c r="J4777" s="1095"/>
      <c r="K4777" s="1095"/>
      <c r="L4777" s="1095"/>
      <c r="M4777" s="1095"/>
    </row>
    <row r="4778" spans="1:13" x14ac:dyDescent="0.25">
      <c r="A4778">
        <v>4507799</v>
      </c>
      <c r="B4778" t="s">
        <v>11889</v>
      </c>
      <c r="C4778" t="s">
        <v>2640</v>
      </c>
      <c r="D4778" s="254">
        <v>250.6</v>
      </c>
      <c r="E4778"/>
      <c r="F4778"/>
      <c r="G4778"/>
      <c r="H4778"/>
      <c r="I4778" s="489"/>
      <c r="J4778" s="1095"/>
      <c r="K4778" s="1095"/>
      <c r="L4778" s="1095"/>
      <c r="M4778" s="1095"/>
    </row>
    <row r="4779" spans="1:13" x14ac:dyDescent="0.25">
      <c r="A4779">
        <v>4507800</v>
      </c>
      <c r="B4779" t="s">
        <v>11890</v>
      </c>
      <c r="C4779" t="s">
        <v>2640</v>
      </c>
      <c r="D4779" s="254">
        <v>344.97</v>
      </c>
      <c r="E4779"/>
      <c r="F4779"/>
      <c r="G4779"/>
      <c r="H4779"/>
      <c r="I4779" s="489"/>
      <c r="J4779" s="1095"/>
      <c r="K4779" s="1095"/>
      <c r="L4779" s="1095"/>
      <c r="M4779" s="1095"/>
    </row>
    <row r="4780" spans="1:13" x14ac:dyDescent="0.25">
      <c r="A4780">
        <v>4507801</v>
      </c>
      <c r="B4780" t="s">
        <v>11891</v>
      </c>
      <c r="C4780" t="s">
        <v>2640</v>
      </c>
      <c r="D4780" s="254">
        <v>265.49</v>
      </c>
      <c r="E4780"/>
      <c r="F4780"/>
      <c r="G4780"/>
      <c r="H4780"/>
      <c r="I4780" s="489"/>
      <c r="J4780" s="1095"/>
      <c r="K4780" s="1095"/>
      <c r="L4780" s="1095"/>
      <c r="M4780" s="1095"/>
    </row>
    <row r="4781" spans="1:13" x14ac:dyDescent="0.25">
      <c r="A4781">
        <v>4507802</v>
      </c>
      <c r="B4781" t="s">
        <v>11892</v>
      </c>
      <c r="C4781" t="s">
        <v>2640</v>
      </c>
      <c r="D4781" s="254">
        <v>361.21</v>
      </c>
      <c r="E4781"/>
      <c r="F4781"/>
      <c r="G4781"/>
      <c r="H4781"/>
      <c r="I4781" s="489"/>
      <c r="J4781" s="1095"/>
      <c r="K4781" s="1095"/>
      <c r="L4781" s="1095"/>
      <c r="M4781" s="1095"/>
    </row>
    <row r="4782" spans="1:13" x14ac:dyDescent="0.25">
      <c r="A4782">
        <v>4507803</v>
      </c>
      <c r="B4782" t="s">
        <v>11893</v>
      </c>
      <c r="C4782" t="s">
        <v>2640</v>
      </c>
      <c r="D4782" s="254">
        <v>297.45</v>
      </c>
      <c r="E4782"/>
      <c r="F4782"/>
      <c r="G4782"/>
      <c r="H4782"/>
      <c r="I4782" s="489"/>
      <c r="J4782" s="1095"/>
      <c r="K4782" s="1095"/>
      <c r="L4782" s="1095"/>
      <c r="M4782" s="1095"/>
    </row>
    <row r="4783" spans="1:13" x14ac:dyDescent="0.25">
      <c r="A4783">
        <v>4508191</v>
      </c>
      <c r="B4783" t="s">
        <v>11894</v>
      </c>
      <c r="C4783" t="s">
        <v>2640</v>
      </c>
      <c r="D4783" s="254">
        <v>408.95</v>
      </c>
      <c r="E4783"/>
      <c r="F4783"/>
      <c r="G4783"/>
      <c r="H4783"/>
      <c r="I4783" s="489"/>
      <c r="J4783" s="1095"/>
      <c r="K4783" s="1095"/>
      <c r="L4783" s="1095"/>
      <c r="M4783" s="1095"/>
    </row>
    <row r="4784" spans="1:13" x14ac:dyDescent="0.25">
      <c r="A4784">
        <v>4507804</v>
      </c>
      <c r="B4784" t="s">
        <v>11895</v>
      </c>
      <c r="C4784" t="s">
        <v>2640</v>
      </c>
      <c r="D4784" s="254">
        <v>330.3</v>
      </c>
      <c r="E4784"/>
      <c r="F4784"/>
      <c r="G4784"/>
      <c r="H4784"/>
      <c r="I4784" s="489"/>
      <c r="J4784" s="1095"/>
      <c r="K4784" s="1095"/>
      <c r="L4784" s="1095"/>
      <c r="M4784" s="1095"/>
    </row>
    <row r="4785" spans="1:13" x14ac:dyDescent="0.25">
      <c r="A4785">
        <v>4507805</v>
      </c>
      <c r="B4785" t="s">
        <v>11896</v>
      </c>
      <c r="C4785" t="s">
        <v>2640</v>
      </c>
      <c r="D4785" s="254">
        <v>458.2</v>
      </c>
      <c r="E4785"/>
      <c r="F4785"/>
      <c r="G4785"/>
      <c r="H4785"/>
      <c r="I4785" s="489"/>
      <c r="J4785" s="1095"/>
      <c r="K4785" s="1095"/>
      <c r="L4785" s="1095"/>
      <c r="M4785" s="1095"/>
    </row>
    <row r="4786" spans="1:13" x14ac:dyDescent="0.25">
      <c r="A4786">
        <v>4507806</v>
      </c>
      <c r="B4786" t="s">
        <v>11897</v>
      </c>
      <c r="C4786" t="s">
        <v>2640</v>
      </c>
      <c r="D4786" s="254">
        <v>27.16</v>
      </c>
      <c r="E4786"/>
      <c r="F4786"/>
      <c r="G4786"/>
      <c r="H4786"/>
      <c r="I4786" s="489"/>
      <c r="J4786" s="1095"/>
      <c r="K4786" s="1095"/>
      <c r="L4786" s="1095"/>
      <c r="M4786" s="1095"/>
    </row>
    <row r="4787" spans="1:13" x14ac:dyDescent="0.25">
      <c r="A4787">
        <v>4507807</v>
      </c>
      <c r="B4787" t="s">
        <v>11898</v>
      </c>
      <c r="C4787" t="s">
        <v>2640</v>
      </c>
      <c r="D4787" s="254">
        <v>33.65</v>
      </c>
      <c r="E4787"/>
      <c r="F4787"/>
      <c r="G4787"/>
      <c r="H4787"/>
      <c r="I4787" s="489"/>
      <c r="J4787" s="1095"/>
      <c r="K4787" s="1095"/>
      <c r="L4787" s="1095"/>
      <c r="M4787" s="1095"/>
    </row>
    <row r="4788" spans="1:13" x14ac:dyDescent="0.25">
      <c r="A4788">
        <v>4507866</v>
      </c>
      <c r="B4788" t="s">
        <v>11899</v>
      </c>
      <c r="C4788" t="s">
        <v>2640</v>
      </c>
      <c r="D4788" s="254">
        <v>71.91</v>
      </c>
      <c r="E4788"/>
      <c r="F4788"/>
      <c r="G4788"/>
      <c r="H4788"/>
      <c r="I4788" s="489"/>
      <c r="J4788" s="1095"/>
      <c r="K4788" s="1095"/>
      <c r="L4788" s="1095"/>
      <c r="M4788" s="1095"/>
    </row>
    <row r="4789" spans="1:13" x14ac:dyDescent="0.25">
      <c r="A4789">
        <v>4507867</v>
      </c>
      <c r="B4789" t="s">
        <v>11900</v>
      </c>
      <c r="C4789" t="s">
        <v>2640</v>
      </c>
      <c r="D4789" s="254">
        <v>98.51</v>
      </c>
      <c r="E4789"/>
      <c r="F4789"/>
      <c r="G4789"/>
      <c r="H4789"/>
      <c r="I4789" s="489"/>
      <c r="J4789" s="1095"/>
      <c r="K4789" s="1095"/>
      <c r="L4789" s="1095"/>
      <c r="M4789" s="1095"/>
    </row>
    <row r="4790" spans="1:13" x14ac:dyDescent="0.25">
      <c r="A4790">
        <v>4507808</v>
      </c>
      <c r="B4790" t="s">
        <v>11901</v>
      </c>
      <c r="C4790" t="s">
        <v>2640</v>
      </c>
      <c r="D4790" s="254">
        <v>32.450000000000003</v>
      </c>
      <c r="E4790"/>
      <c r="F4790"/>
      <c r="G4790"/>
      <c r="H4790"/>
      <c r="I4790" s="489"/>
      <c r="J4790" s="1095"/>
      <c r="K4790" s="1095"/>
      <c r="L4790" s="1095"/>
      <c r="M4790" s="1095"/>
    </row>
    <row r="4791" spans="1:13" x14ac:dyDescent="0.25">
      <c r="A4791">
        <v>4507809</v>
      </c>
      <c r="B4791" t="s">
        <v>11902</v>
      </c>
      <c r="C4791" t="s">
        <v>2640</v>
      </c>
      <c r="D4791" s="254">
        <v>41.42</v>
      </c>
      <c r="E4791"/>
      <c r="F4791"/>
      <c r="G4791"/>
      <c r="H4791"/>
      <c r="I4791" s="489"/>
      <c r="J4791" s="1095"/>
      <c r="K4791" s="1095"/>
      <c r="L4791" s="1095"/>
      <c r="M4791" s="1095"/>
    </row>
    <row r="4792" spans="1:13" x14ac:dyDescent="0.25">
      <c r="A4792">
        <v>4507810</v>
      </c>
      <c r="B4792" t="s">
        <v>11903</v>
      </c>
      <c r="C4792" t="s">
        <v>2640</v>
      </c>
      <c r="D4792" s="254">
        <v>49.71</v>
      </c>
      <c r="E4792"/>
      <c r="F4792"/>
      <c r="G4792"/>
      <c r="H4792"/>
      <c r="I4792" s="489"/>
      <c r="J4792" s="1095"/>
      <c r="K4792" s="1095"/>
      <c r="L4792" s="1095"/>
      <c r="M4792" s="1095"/>
    </row>
    <row r="4793" spans="1:13" x14ac:dyDescent="0.25">
      <c r="A4793">
        <v>4507811</v>
      </c>
      <c r="B4793" t="s">
        <v>11904</v>
      </c>
      <c r="C4793" t="s">
        <v>2640</v>
      </c>
      <c r="D4793" s="254">
        <v>52.08</v>
      </c>
      <c r="E4793"/>
      <c r="F4793"/>
      <c r="G4793"/>
      <c r="H4793"/>
      <c r="I4793" s="489"/>
      <c r="J4793" s="1095"/>
      <c r="K4793" s="1095"/>
      <c r="L4793" s="1095"/>
      <c r="M4793" s="1095"/>
    </row>
    <row r="4794" spans="1:13" x14ac:dyDescent="0.25">
      <c r="A4794">
        <v>4507812</v>
      </c>
      <c r="B4794" t="s">
        <v>11905</v>
      </c>
      <c r="C4794" t="s">
        <v>2640</v>
      </c>
      <c r="D4794" s="254">
        <v>62.14</v>
      </c>
      <c r="E4794"/>
      <c r="F4794"/>
      <c r="G4794"/>
      <c r="H4794"/>
      <c r="I4794" s="489"/>
      <c r="J4794" s="1095"/>
      <c r="K4794" s="1095"/>
      <c r="L4794" s="1095"/>
      <c r="M4794" s="1095"/>
    </row>
    <row r="4795" spans="1:13" x14ac:dyDescent="0.25">
      <c r="A4795">
        <v>4507813</v>
      </c>
      <c r="B4795" t="s">
        <v>11906</v>
      </c>
      <c r="C4795" t="s">
        <v>2640</v>
      </c>
      <c r="D4795" s="254">
        <v>82.41</v>
      </c>
      <c r="E4795"/>
      <c r="F4795"/>
      <c r="G4795"/>
      <c r="H4795"/>
      <c r="I4795" s="489"/>
      <c r="J4795" s="1095"/>
      <c r="K4795" s="1095"/>
      <c r="L4795" s="1095"/>
      <c r="M4795" s="1095"/>
    </row>
    <row r="4796" spans="1:13" x14ac:dyDescent="0.25">
      <c r="A4796">
        <v>4507851</v>
      </c>
      <c r="B4796" t="s">
        <v>11907</v>
      </c>
      <c r="C4796" t="s">
        <v>2598</v>
      </c>
      <c r="D4796" s="254">
        <v>41.21</v>
      </c>
      <c r="E4796"/>
      <c r="F4796"/>
      <c r="G4796"/>
      <c r="H4796"/>
      <c r="I4796" s="489"/>
      <c r="J4796" s="1095"/>
      <c r="K4796" s="1095"/>
      <c r="L4796" s="1095"/>
      <c r="M4796" s="1095"/>
    </row>
    <row r="4797" spans="1:13" x14ac:dyDescent="0.25">
      <c r="A4797">
        <v>4507852</v>
      </c>
      <c r="B4797" t="s">
        <v>11908</v>
      </c>
      <c r="C4797" t="s">
        <v>2598</v>
      </c>
      <c r="D4797" s="254">
        <v>41.07</v>
      </c>
      <c r="E4797"/>
      <c r="F4797"/>
      <c r="G4797"/>
      <c r="H4797"/>
      <c r="I4797" s="489"/>
      <c r="J4797" s="1095"/>
      <c r="K4797" s="1095"/>
      <c r="L4797" s="1095"/>
      <c r="M4797" s="1095"/>
    </row>
    <row r="4798" spans="1:13" x14ac:dyDescent="0.25">
      <c r="A4798">
        <v>4507853</v>
      </c>
      <c r="B4798" t="s">
        <v>11909</v>
      </c>
      <c r="C4798" t="s">
        <v>2598</v>
      </c>
      <c r="D4798" s="254">
        <v>46.7</v>
      </c>
      <c r="E4798"/>
      <c r="F4798"/>
      <c r="G4798"/>
      <c r="H4798"/>
      <c r="I4798" s="489"/>
      <c r="J4798" s="1095"/>
      <c r="K4798" s="1095"/>
      <c r="L4798" s="1095"/>
      <c r="M4798" s="1095"/>
    </row>
    <row r="4799" spans="1:13" x14ac:dyDescent="0.25">
      <c r="A4799">
        <v>4507854</v>
      </c>
      <c r="B4799" t="s">
        <v>11910</v>
      </c>
      <c r="C4799" t="s">
        <v>2598</v>
      </c>
      <c r="D4799" s="254">
        <v>52.42</v>
      </c>
      <c r="E4799"/>
      <c r="F4799"/>
      <c r="G4799"/>
      <c r="H4799"/>
      <c r="I4799" s="489"/>
      <c r="J4799" s="1095"/>
      <c r="K4799" s="1095"/>
      <c r="L4799" s="1095"/>
      <c r="M4799" s="1095"/>
    </row>
    <row r="4800" spans="1:13" x14ac:dyDescent="0.25">
      <c r="A4800">
        <v>4507855</v>
      </c>
      <c r="B4800" t="s">
        <v>11911</v>
      </c>
      <c r="C4800" t="s">
        <v>2598</v>
      </c>
      <c r="D4800" s="254">
        <v>41.36</v>
      </c>
      <c r="E4800"/>
      <c r="F4800"/>
      <c r="G4800"/>
      <c r="H4800"/>
      <c r="I4800" s="489"/>
      <c r="J4800" s="1095"/>
      <c r="K4800" s="1095"/>
      <c r="L4800" s="1095"/>
      <c r="M4800" s="1095"/>
    </row>
    <row r="4801" spans="1:13" x14ac:dyDescent="0.25">
      <c r="A4801">
        <v>4507856</v>
      </c>
      <c r="B4801" t="s">
        <v>11912</v>
      </c>
      <c r="C4801" t="s">
        <v>2598</v>
      </c>
      <c r="D4801" s="254">
        <v>41.16</v>
      </c>
      <c r="E4801"/>
      <c r="F4801"/>
      <c r="G4801"/>
      <c r="H4801"/>
      <c r="I4801" s="489"/>
      <c r="J4801" s="1095"/>
      <c r="K4801" s="1095"/>
      <c r="L4801" s="1095"/>
      <c r="M4801" s="1095"/>
    </row>
    <row r="4802" spans="1:13" x14ac:dyDescent="0.25">
      <c r="A4802">
        <v>4507857</v>
      </c>
      <c r="B4802" t="s">
        <v>11913</v>
      </c>
      <c r="C4802" t="s">
        <v>2598</v>
      </c>
      <c r="D4802" s="254">
        <v>49.15</v>
      </c>
      <c r="E4802"/>
      <c r="F4802"/>
      <c r="G4802"/>
      <c r="H4802"/>
      <c r="I4802" s="489"/>
      <c r="J4802" s="1095"/>
      <c r="K4802" s="1095"/>
      <c r="L4802" s="1095"/>
      <c r="M4802" s="1095"/>
    </row>
    <row r="4803" spans="1:13" x14ac:dyDescent="0.25">
      <c r="A4803">
        <v>4507858</v>
      </c>
      <c r="B4803" t="s">
        <v>11914</v>
      </c>
      <c r="C4803" t="s">
        <v>2598</v>
      </c>
      <c r="D4803" s="254">
        <v>56.74</v>
      </c>
      <c r="E4803"/>
      <c r="F4803"/>
      <c r="G4803"/>
      <c r="H4803"/>
      <c r="I4803" s="489"/>
      <c r="J4803" s="1095"/>
      <c r="K4803" s="1095"/>
      <c r="L4803" s="1095"/>
      <c r="M4803" s="1095"/>
    </row>
    <row r="4804" spans="1:13" x14ac:dyDescent="0.25">
      <c r="A4804">
        <v>4508177</v>
      </c>
      <c r="B4804" t="s">
        <v>11915</v>
      </c>
      <c r="C4804" t="s">
        <v>2598</v>
      </c>
      <c r="D4804" s="254">
        <v>149.4</v>
      </c>
      <c r="E4804"/>
      <c r="F4804"/>
      <c r="G4804"/>
      <c r="H4804"/>
      <c r="I4804" s="489"/>
      <c r="J4804" s="1095"/>
      <c r="K4804" s="1095"/>
      <c r="L4804" s="1095"/>
      <c r="M4804" s="1095"/>
    </row>
    <row r="4805" spans="1:13" x14ac:dyDescent="0.25">
      <c r="A4805">
        <v>4508178</v>
      </c>
      <c r="B4805" t="s">
        <v>11916</v>
      </c>
      <c r="C4805" t="s">
        <v>2598</v>
      </c>
      <c r="D4805" s="254">
        <v>149.19999999999999</v>
      </c>
      <c r="E4805"/>
      <c r="F4805"/>
      <c r="G4805"/>
      <c r="H4805"/>
      <c r="I4805" s="489"/>
      <c r="J4805" s="1095"/>
      <c r="K4805" s="1095"/>
      <c r="L4805" s="1095"/>
      <c r="M4805" s="1095"/>
    </row>
    <row r="4806" spans="1:13" x14ac:dyDescent="0.25">
      <c r="A4806">
        <v>4507821</v>
      </c>
      <c r="B4806" t="s">
        <v>11917</v>
      </c>
      <c r="C4806" t="s">
        <v>2598</v>
      </c>
      <c r="D4806" s="254">
        <v>148.81</v>
      </c>
      <c r="E4806"/>
      <c r="F4806"/>
      <c r="G4806"/>
      <c r="H4806"/>
      <c r="I4806" s="489"/>
      <c r="J4806" s="1095"/>
      <c r="K4806" s="1095"/>
      <c r="L4806" s="1095"/>
      <c r="M4806" s="1095"/>
    </row>
    <row r="4807" spans="1:13" x14ac:dyDescent="0.25">
      <c r="A4807">
        <v>4507822</v>
      </c>
      <c r="B4807" t="s">
        <v>11918</v>
      </c>
      <c r="C4807" t="s">
        <v>2598</v>
      </c>
      <c r="D4807" s="254">
        <v>148.61000000000001</v>
      </c>
      <c r="E4807"/>
      <c r="F4807"/>
      <c r="G4807"/>
      <c r="H4807"/>
      <c r="I4807" s="489"/>
      <c r="J4807" s="1095"/>
      <c r="K4807" s="1095"/>
      <c r="L4807" s="1095"/>
      <c r="M4807" s="1095"/>
    </row>
    <row r="4808" spans="1:13" x14ac:dyDescent="0.25">
      <c r="A4808">
        <v>4507823</v>
      </c>
      <c r="B4808" t="s">
        <v>11919</v>
      </c>
      <c r="C4808" t="s">
        <v>2598</v>
      </c>
      <c r="D4808" s="254">
        <v>149.41</v>
      </c>
      <c r="E4808"/>
      <c r="F4808"/>
      <c r="G4808"/>
      <c r="H4808"/>
      <c r="I4808" s="489"/>
      <c r="J4808" s="1095"/>
      <c r="K4808" s="1095"/>
      <c r="L4808" s="1095"/>
      <c r="M4808" s="1095"/>
    </row>
    <row r="4809" spans="1:13" x14ac:dyDescent="0.25">
      <c r="A4809">
        <v>4508188</v>
      </c>
      <c r="B4809" t="s">
        <v>11920</v>
      </c>
      <c r="C4809" t="s">
        <v>2598</v>
      </c>
      <c r="D4809" s="254">
        <v>149.27000000000001</v>
      </c>
      <c r="E4809"/>
      <c r="F4809"/>
      <c r="G4809"/>
      <c r="H4809"/>
      <c r="I4809" s="489"/>
      <c r="J4809" s="1095"/>
      <c r="K4809" s="1095"/>
      <c r="L4809" s="1095"/>
      <c r="M4809" s="1095"/>
    </row>
    <row r="4810" spans="1:13" x14ac:dyDescent="0.25">
      <c r="A4810">
        <v>4507824</v>
      </c>
      <c r="B4810" t="s">
        <v>11921</v>
      </c>
      <c r="C4810" t="s">
        <v>2598</v>
      </c>
      <c r="D4810" s="254">
        <v>159.01</v>
      </c>
      <c r="E4810"/>
      <c r="F4810"/>
      <c r="G4810"/>
      <c r="H4810"/>
      <c r="I4810" s="489"/>
      <c r="J4810" s="1095"/>
      <c r="K4810" s="1095"/>
      <c r="L4810" s="1095"/>
      <c r="M4810" s="1095"/>
    </row>
    <row r="4811" spans="1:13" x14ac:dyDescent="0.25">
      <c r="A4811">
        <v>4507825</v>
      </c>
      <c r="B4811" t="s">
        <v>11922</v>
      </c>
      <c r="C4811" t="s">
        <v>2598</v>
      </c>
      <c r="D4811" s="254">
        <v>159.24</v>
      </c>
      <c r="E4811"/>
      <c r="F4811"/>
      <c r="G4811"/>
      <c r="H4811"/>
      <c r="I4811" s="489"/>
      <c r="J4811" s="1095"/>
      <c r="K4811" s="1095"/>
      <c r="L4811" s="1095"/>
      <c r="M4811" s="1095"/>
    </row>
    <row r="4812" spans="1:13" x14ac:dyDescent="0.25">
      <c r="A4812">
        <v>4507826</v>
      </c>
      <c r="B4812" t="s">
        <v>11923</v>
      </c>
      <c r="C4812" t="s">
        <v>2598</v>
      </c>
      <c r="D4812" s="254">
        <v>167.92</v>
      </c>
      <c r="E4812"/>
      <c r="F4812"/>
      <c r="G4812"/>
      <c r="H4812"/>
      <c r="I4812" s="489"/>
      <c r="J4812" s="1095"/>
      <c r="K4812" s="1095"/>
      <c r="L4812" s="1095"/>
      <c r="M4812" s="1095"/>
    </row>
    <row r="4813" spans="1:13" x14ac:dyDescent="0.25">
      <c r="A4813">
        <v>4508179</v>
      </c>
      <c r="B4813" t="s">
        <v>11924</v>
      </c>
      <c r="C4813" t="s">
        <v>2598</v>
      </c>
      <c r="D4813" s="254">
        <v>167.72</v>
      </c>
      <c r="E4813"/>
      <c r="F4813"/>
      <c r="G4813"/>
      <c r="H4813"/>
      <c r="I4813" s="489"/>
      <c r="J4813" s="1095"/>
      <c r="K4813" s="1095"/>
      <c r="L4813" s="1095"/>
      <c r="M4813" s="1095"/>
    </row>
    <row r="4814" spans="1:13" x14ac:dyDescent="0.25">
      <c r="A4814">
        <v>4507827</v>
      </c>
      <c r="B4814" t="s">
        <v>11925</v>
      </c>
      <c r="C4814" t="s">
        <v>2598</v>
      </c>
      <c r="D4814" s="254">
        <v>171.51</v>
      </c>
      <c r="E4814"/>
      <c r="F4814"/>
      <c r="G4814"/>
      <c r="H4814"/>
      <c r="I4814" s="489"/>
      <c r="J4814" s="1095"/>
      <c r="K4814" s="1095"/>
      <c r="L4814" s="1095"/>
      <c r="M4814" s="1095"/>
    </row>
    <row r="4815" spans="1:13" x14ac:dyDescent="0.25">
      <c r="A4815">
        <v>4508180</v>
      </c>
      <c r="B4815" t="s">
        <v>11926</v>
      </c>
      <c r="C4815" t="s">
        <v>2598</v>
      </c>
      <c r="D4815" s="254">
        <v>37.36</v>
      </c>
      <c r="E4815"/>
      <c r="F4815"/>
      <c r="G4815"/>
      <c r="H4815"/>
      <c r="I4815" s="489"/>
      <c r="J4815" s="1095"/>
      <c r="K4815" s="1095"/>
      <c r="L4815" s="1095"/>
      <c r="M4815" s="1095"/>
    </row>
    <row r="4816" spans="1:13" x14ac:dyDescent="0.25">
      <c r="A4816">
        <v>4507739</v>
      </c>
      <c r="B4816" t="s">
        <v>11927</v>
      </c>
      <c r="C4816" t="s">
        <v>2598</v>
      </c>
      <c r="D4816" s="254">
        <v>40.450000000000003</v>
      </c>
      <c r="E4816"/>
      <c r="F4816"/>
      <c r="G4816"/>
      <c r="H4816"/>
      <c r="I4816" s="489"/>
      <c r="J4816" s="1095"/>
      <c r="K4816" s="1095"/>
      <c r="L4816" s="1095"/>
      <c r="M4816" s="1095"/>
    </row>
    <row r="4817" spans="1:13" x14ac:dyDescent="0.25">
      <c r="A4817">
        <v>4508181</v>
      </c>
      <c r="B4817" t="s">
        <v>11928</v>
      </c>
      <c r="C4817" t="s">
        <v>2598</v>
      </c>
      <c r="D4817" s="254">
        <v>40.43</v>
      </c>
      <c r="E4817"/>
      <c r="F4817"/>
      <c r="G4817"/>
      <c r="H4817"/>
      <c r="I4817" s="489"/>
      <c r="J4817" s="1095"/>
      <c r="K4817" s="1095"/>
      <c r="L4817" s="1095"/>
      <c r="M4817" s="1095"/>
    </row>
    <row r="4818" spans="1:13" x14ac:dyDescent="0.25">
      <c r="A4818">
        <v>4508125</v>
      </c>
      <c r="B4818" t="s">
        <v>11929</v>
      </c>
      <c r="C4818" t="s">
        <v>2598</v>
      </c>
      <c r="D4818" s="254">
        <v>46.74</v>
      </c>
      <c r="E4818"/>
      <c r="F4818"/>
      <c r="G4818"/>
      <c r="H4818"/>
      <c r="I4818" s="489"/>
      <c r="J4818" s="1095"/>
      <c r="K4818" s="1095"/>
      <c r="L4818" s="1095"/>
      <c r="M4818" s="1095"/>
    </row>
    <row r="4819" spans="1:13" x14ac:dyDescent="0.25">
      <c r="A4819">
        <v>4507828</v>
      </c>
      <c r="B4819" t="s">
        <v>11930</v>
      </c>
      <c r="C4819" t="s">
        <v>2598</v>
      </c>
      <c r="D4819" s="254">
        <v>46.78</v>
      </c>
      <c r="E4819"/>
      <c r="F4819"/>
      <c r="G4819"/>
      <c r="H4819"/>
      <c r="I4819" s="489"/>
      <c r="J4819" s="1095"/>
      <c r="K4819" s="1095"/>
      <c r="L4819" s="1095"/>
      <c r="M4819" s="1095"/>
    </row>
    <row r="4820" spans="1:13" x14ac:dyDescent="0.25">
      <c r="A4820">
        <v>4507829</v>
      </c>
      <c r="B4820" t="s">
        <v>11931</v>
      </c>
      <c r="C4820" t="s">
        <v>2598</v>
      </c>
      <c r="D4820" s="254">
        <v>49.32</v>
      </c>
      <c r="E4820"/>
      <c r="F4820"/>
      <c r="G4820"/>
      <c r="H4820"/>
      <c r="I4820" s="489"/>
      <c r="J4820" s="1095"/>
      <c r="K4820" s="1095"/>
      <c r="L4820" s="1095"/>
      <c r="M4820" s="1095"/>
    </row>
    <row r="4821" spans="1:13" x14ac:dyDescent="0.25">
      <c r="A4821">
        <v>4508182</v>
      </c>
      <c r="B4821" t="s">
        <v>11932</v>
      </c>
      <c r="C4821" t="s">
        <v>2598</v>
      </c>
      <c r="D4821" s="254">
        <v>49.43</v>
      </c>
      <c r="E4821"/>
      <c r="F4821"/>
      <c r="G4821"/>
      <c r="H4821"/>
      <c r="I4821" s="489"/>
      <c r="J4821" s="1095"/>
      <c r="K4821" s="1095"/>
      <c r="L4821" s="1095"/>
      <c r="M4821" s="1095"/>
    </row>
    <row r="4822" spans="1:13" x14ac:dyDescent="0.25">
      <c r="A4822">
        <v>4508092</v>
      </c>
      <c r="B4822" t="s">
        <v>11933</v>
      </c>
      <c r="C4822" t="s">
        <v>2598</v>
      </c>
      <c r="D4822" s="254">
        <v>53.51</v>
      </c>
      <c r="E4822"/>
      <c r="F4822"/>
      <c r="G4822"/>
      <c r="H4822"/>
      <c r="I4822" s="489"/>
      <c r="J4822" s="1095"/>
      <c r="K4822" s="1095"/>
      <c r="L4822" s="1095"/>
      <c r="M4822" s="1095"/>
    </row>
    <row r="4823" spans="1:13" x14ac:dyDescent="0.25">
      <c r="A4823">
        <v>4507830</v>
      </c>
      <c r="B4823" t="s">
        <v>11934</v>
      </c>
      <c r="C4823" t="s">
        <v>2598</v>
      </c>
      <c r="D4823" s="254">
        <v>53.67</v>
      </c>
      <c r="E4823"/>
      <c r="F4823"/>
      <c r="G4823"/>
      <c r="H4823"/>
      <c r="I4823" s="489"/>
      <c r="J4823" s="1095"/>
      <c r="K4823" s="1095"/>
      <c r="L4823" s="1095"/>
      <c r="M4823" s="1095"/>
    </row>
    <row r="4824" spans="1:13" x14ac:dyDescent="0.25">
      <c r="A4824">
        <v>4508183</v>
      </c>
      <c r="B4824" t="s">
        <v>11935</v>
      </c>
      <c r="C4824" t="s">
        <v>2598</v>
      </c>
      <c r="D4824" s="254">
        <v>75.790000000000006</v>
      </c>
      <c r="E4824"/>
      <c r="F4824"/>
      <c r="G4824"/>
      <c r="H4824"/>
      <c r="I4824" s="489"/>
      <c r="J4824" s="1095"/>
      <c r="K4824" s="1095"/>
      <c r="L4824" s="1095"/>
      <c r="M4824" s="1095"/>
    </row>
    <row r="4825" spans="1:13" x14ac:dyDescent="0.25">
      <c r="A4825">
        <v>4507831</v>
      </c>
      <c r="B4825" t="s">
        <v>11936</v>
      </c>
      <c r="C4825" t="s">
        <v>2598</v>
      </c>
      <c r="D4825" s="254">
        <v>58.18</v>
      </c>
      <c r="E4825"/>
      <c r="F4825"/>
      <c r="G4825"/>
      <c r="H4825"/>
      <c r="I4825" s="489"/>
      <c r="J4825" s="1095"/>
      <c r="K4825" s="1095"/>
      <c r="L4825" s="1095"/>
      <c r="M4825" s="1095"/>
    </row>
    <row r="4826" spans="1:13" x14ac:dyDescent="0.25">
      <c r="A4826">
        <v>4507832</v>
      </c>
      <c r="B4826" t="s">
        <v>11937</v>
      </c>
      <c r="C4826" t="s">
        <v>2598</v>
      </c>
      <c r="D4826" s="254">
        <v>76.41</v>
      </c>
      <c r="E4826"/>
      <c r="F4826"/>
      <c r="G4826"/>
      <c r="H4826"/>
      <c r="I4826" s="489"/>
      <c r="J4826" s="1095"/>
      <c r="K4826" s="1095"/>
      <c r="L4826" s="1095"/>
      <c r="M4826" s="1095"/>
    </row>
    <row r="4827" spans="1:13" x14ac:dyDescent="0.25">
      <c r="A4827">
        <v>4507833</v>
      </c>
      <c r="B4827" t="s">
        <v>11938</v>
      </c>
      <c r="C4827" t="s">
        <v>2598</v>
      </c>
      <c r="D4827" s="254">
        <v>76.349999999999994</v>
      </c>
      <c r="E4827"/>
      <c r="F4827"/>
      <c r="G4827"/>
      <c r="H4827"/>
      <c r="I4827" s="489"/>
      <c r="J4827" s="1095"/>
      <c r="K4827" s="1095"/>
      <c r="L4827" s="1095"/>
      <c r="M4827" s="1095"/>
    </row>
    <row r="4828" spans="1:13" x14ac:dyDescent="0.25">
      <c r="A4828">
        <v>4507834</v>
      </c>
      <c r="B4828" t="s">
        <v>11939</v>
      </c>
      <c r="C4828" t="s">
        <v>2598</v>
      </c>
      <c r="D4828" s="254">
        <v>85.33</v>
      </c>
      <c r="E4828"/>
      <c r="F4828"/>
      <c r="G4828"/>
      <c r="H4828"/>
      <c r="I4828" s="489"/>
      <c r="J4828" s="1095"/>
      <c r="K4828" s="1095"/>
      <c r="L4828" s="1095"/>
      <c r="M4828" s="1095"/>
    </row>
    <row r="4829" spans="1:13" x14ac:dyDescent="0.25">
      <c r="A4829">
        <v>4508184</v>
      </c>
      <c r="B4829" t="s">
        <v>11940</v>
      </c>
      <c r="C4829" t="s">
        <v>2598</v>
      </c>
      <c r="D4829" s="254">
        <v>85.19</v>
      </c>
      <c r="E4829"/>
      <c r="F4829"/>
      <c r="G4829"/>
      <c r="H4829"/>
      <c r="I4829" s="489"/>
      <c r="J4829" s="1095"/>
      <c r="K4829" s="1095"/>
      <c r="L4829" s="1095"/>
      <c r="M4829" s="1095"/>
    </row>
    <row r="4830" spans="1:13" x14ac:dyDescent="0.25">
      <c r="A4830">
        <v>4507835</v>
      </c>
      <c r="B4830" t="s">
        <v>11941</v>
      </c>
      <c r="C4830" t="s">
        <v>2598</v>
      </c>
      <c r="D4830" s="254">
        <v>85.05</v>
      </c>
      <c r="E4830"/>
      <c r="F4830"/>
      <c r="G4830"/>
      <c r="H4830"/>
      <c r="I4830" s="489"/>
      <c r="J4830" s="1095"/>
      <c r="K4830" s="1095"/>
      <c r="L4830" s="1095"/>
      <c r="M4830" s="1095"/>
    </row>
    <row r="4831" spans="1:13" x14ac:dyDescent="0.25">
      <c r="A4831">
        <v>4508174</v>
      </c>
      <c r="B4831" t="s">
        <v>11942</v>
      </c>
      <c r="C4831" t="s">
        <v>2598</v>
      </c>
      <c r="D4831" s="254">
        <v>85.32</v>
      </c>
      <c r="E4831"/>
      <c r="F4831"/>
      <c r="G4831"/>
      <c r="H4831"/>
      <c r="I4831" s="489"/>
      <c r="J4831" s="1095"/>
      <c r="K4831" s="1095"/>
      <c r="L4831" s="1095"/>
      <c r="M4831" s="1095"/>
    </row>
    <row r="4832" spans="1:13" x14ac:dyDescent="0.25">
      <c r="A4832">
        <v>4507836</v>
      </c>
      <c r="B4832" t="s">
        <v>11943</v>
      </c>
      <c r="C4832" t="s">
        <v>2598</v>
      </c>
      <c r="D4832" s="254">
        <v>85.12</v>
      </c>
      <c r="E4832"/>
      <c r="F4832"/>
      <c r="G4832"/>
      <c r="H4832"/>
      <c r="I4832" s="489"/>
      <c r="J4832" s="1095"/>
      <c r="K4832" s="1095"/>
      <c r="L4832" s="1095"/>
      <c r="M4832" s="1095"/>
    </row>
    <row r="4833" spans="1:13" x14ac:dyDescent="0.25">
      <c r="A4833">
        <v>4507837</v>
      </c>
      <c r="B4833" t="s">
        <v>11944</v>
      </c>
      <c r="C4833" t="s">
        <v>2598</v>
      </c>
      <c r="D4833" s="254">
        <v>89.43</v>
      </c>
      <c r="E4833"/>
      <c r="F4833"/>
      <c r="G4833"/>
      <c r="H4833"/>
      <c r="I4833" s="489"/>
      <c r="J4833" s="1095"/>
      <c r="K4833" s="1095"/>
      <c r="L4833" s="1095"/>
      <c r="M4833" s="1095"/>
    </row>
    <row r="4834" spans="1:13" x14ac:dyDescent="0.25">
      <c r="A4834">
        <v>4507838</v>
      </c>
      <c r="B4834" t="s">
        <v>11945</v>
      </c>
      <c r="C4834" t="s">
        <v>2598</v>
      </c>
      <c r="D4834" s="254">
        <v>89.72</v>
      </c>
      <c r="E4834"/>
      <c r="F4834"/>
      <c r="G4834"/>
      <c r="H4834"/>
      <c r="I4834" s="489"/>
      <c r="J4834" s="1095"/>
      <c r="K4834" s="1095"/>
      <c r="L4834" s="1095"/>
      <c r="M4834" s="1095"/>
    </row>
    <row r="4835" spans="1:13" x14ac:dyDescent="0.25">
      <c r="A4835">
        <v>4507839</v>
      </c>
      <c r="B4835" t="s">
        <v>11946</v>
      </c>
      <c r="C4835" t="s">
        <v>2598</v>
      </c>
      <c r="D4835" s="254">
        <v>93.45</v>
      </c>
      <c r="E4835"/>
      <c r="F4835"/>
      <c r="G4835"/>
      <c r="H4835"/>
      <c r="I4835" s="489"/>
      <c r="J4835" s="1095"/>
      <c r="K4835" s="1095"/>
      <c r="L4835" s="1095"/>
      <c r="M4835" s="1095"/>
    </row>
    <row r="4836" spans="1:13" x14ac:dyDescent="0.25">
      <c r="A4836">
        <v>4508175</v>
      </c>
      <c r="B4836" t="s">
        <v>11947</v>
      </c>
      <c r="C4836" t="s">
        <v>2598</v>
      </c>
      <c r="D4836" s="254">
        <v>93.25</v>
      </c>
      <c r="E4836"/>
      <c r="F4836"/>
      <c r="G4836"/>
      <c r="H4836"/>
      <c r="I4836" s="489"/>
      <c r="J4836" s="1095"/>
      <c r="K4836" s="1095"/>
      <c r="L4836" s="1095"/>
      <c r="M4836" s="1095"/>
    </row>
    <row r="4837" spans="1:13" x14ac:dyDescent="0.25">
      <c r="A4837">
        <v>4507840</v>
      </c>
      <c r="B4837" t="s">
        <v>11948</v>
      </c>
      <c r="C4837" t="s">
        <v>2598</v>
      </c>
      <c r="D4837" s="254">
        <v>93.22</v>
      </c>
      <c r="E4837"/>
      <c r="F4837"/>
      <c r="G4837"/>
      <c r="H4837"/>
      <c r="I4837" s="489"/>
      <c r="J4837" s="1095"/>
      <c r="K4837" s="1095"/>
      <c r="L4837" s="1095"/>
      <c r="M4837" s="1095"/>
    </row>
    <row r="4838" spans="1:13" x14ac:dyDescent="0.25">
      <c r="A4838">
        <v>4507841</v>
      </c>
      <c r="B4838" t="s">
        <v>11949</v>
      </c>
      <c r="C4838" t="s">
        <v>2598</v>
      </c>
      <c r="D4838" s="254">
        <v>92.94</v>
      </c>
      <c r="E4838"/>
      <c r="F4838"/>
      <c r="G4838"/>
      <c r="H4838"/>
      <c r="I4838" s="489"/>
      <c r="J4838" s="1095"/>
      <c r="K4838" s="1095"/>
      <c r="L4838" s="1095"/>
      <c r="M4838" s="1095"/>
    </row>
    <row r="4839" spans="1:13" x14ac:dyDescent="0.25">
      <c r="A4839">
        <v>4507842</v>
      </c>
      <c r="B4839" t="s">
        <v>11950</v>
      </c>
      <c r="C4839" t="s">
        <v>2598</v>
      </c>
      <c r="D4839" s="254">
        <v>96.27</v>
      </c>
      <c r="E4839"/>
      <c r="F4839"/>
      <c r="G4839"/>
      <c r="H4839"/>
      <c r="I4839" s="489"/>
      <c r="J4839" s="1095"/>
      <c r="K4839" s="1095"/>
      <c r="L4839" s="1095"/>
      <c r="M4839" s="1095"/>
    </row>
    <row r="4840" spans="1:13" x14ac:dyDescent="0.25">
      <c r="A4840">
        <v>4508185</v>
      </c>
      <c r="B4840" t="s">
        <v>11951</v>
      </c>
      <c r="C4840" t="s">
        <v>2598</v>
      </c>
      <c r="D4840" s="254">
        <v>96.02</v>
      </c>
      <c r="E4840"/>
      <c r="F4840"/>
      <c r="G4840"/>
      <c r="H4840"/>
      <c r="I4840" s="489"/>
      <c r="J4840" s="1095"/>
      <c r="K4840" s="1095"/>
      <c r="L4840" s="1095"/>
      <c r="M4840" s="1095"/>
    </row>
    <row r="4841" spans="1:13" x14ac:dyDescent="0.25">
      <c r="A4841">
        <v>4507843</v>
      </c>
      <c r="B4841" t="s">
        <v>11952</v>
      </c>
      <c r="C4841" t="s">
        <v>2598</v>
      </c>
      <c r="D4841" s="254">
        <v>95.88</v>
      </c>
      <c r="E4841"/>
      <c r="F4841"/>
      <c r="G4841"/>
      <c r="H4841"/>
      <c r="I4841" s="489"/>
      <c r="J4841" s="1095"/>
      <c r="K4841" s="1095"/>
      <c r="L4841" s="1095"/>
      <c r="M4841" s="1095"/>
    </row>
    <row r="4842" spans="1:13" x14ac:dyDescent="0.25">
      <c r="A4842">
        <v>4507844</v>
      </c>
      <c r="B4842" t="s">
        <v>11953</v>
      </c>
      <c r="C4842" t="s">
        <v>2598</v>
      </c>
      <c r="D4842" s="254">
        <v>120.97</v>
      </c>
      <c r="E4842"/>
      <c r="F4842"/>
      <c r="G4842"/>
      <c r="H4842"/>
      <c r="I4842" s="489"/>
      <c r="J4842" s="1095"/>
      <c r="K4842" s="1095"/>
      <c r="L4842" s="1095"/>
      <c r="M4842" s="1095"/>
    </row>
    <row r="4843" spans="1:13" x14ac:dyDescent="0.25">
      <c r="A4843">
        <v>4508186</v>
      </c>
      <c r="B4843" t="s">
        <v>11954</v>
      </c>
      <c r="C4843" t="s">
        <v>2598</v>
      </c>
      <c r="D4843" s="254">
        <v>121.03</v>
      </c>
      <c r="E4843"/>
      <c r="F4843"/>
      <c r="G4843"/>
      <c r="H4843"/>
      <c r="I4843" s="489"/>
      <c r="J4843" s="1095"/>
      <c r="K4843" s="1095"/>
      <c r="L4843" s="1095"/>
      <c r="M4843" s="1095"/>
    </row>
    <row r="4844" spans="1:13" x14ac:dyDescent="0.25">
      <c r="A4844">
        <v>4508187</v>
      </c>
      <c r="B4844" t="s">
        <v>11955</v>
      </c>
      <c r="C4844" t="s">
        <v>2598</v>
      </c>
      <c r="D4844" s="254">
        <v>120.9</v>
      </c>
      <c r="E4844"/>
      <c r="F4844"/>
      <c r="G4844"/>
      <c r="H4844"/>
      <c r="I4844" s="489"/>
      <c r="J4844" s="1095"/>
      <c r="K4844" s="1095"/>
      <c r="L4844" s="1095"/>
      <c r="M4844" s="1095"/>
    </row>
    <row r="4845" spans="1:13" x14ac:dyDescent="0.25">
      <c r="A4845">
        <v>4507845</v>
      </c>
      <c r="B4845" t="s">
        <v>11956</v>
      </c>
      <c r="C4845" t="s">
        <v>2598</v>
      </c>
      <c r="D4845" s="254">
        <v>120.62</v>
      </c>
      <c r="E4845"/>
      <c r="F4845"/>
      <c r="G4845"/>
      <c r="H4845"/>
      <c r="I4845" s="489"/>
      <c r="J4845" s="1095"/>
      <c r="K4845" s="1095"/>
      <c r="L4845" s="1095"/>
      <c r="M4845" s="1095"/>
    </row>
    <row r="4846" spans="1:13" x14ac:dyDescent="0.25">
      <c r="A4846">
        <v>4507846</v>
      </c>
      <c r="B4846" t="s">
        <v>11957</v>
      </c>
      <c r="C4846" t="s">
        <v>2598</v>
      </c>
      <c r="D4846" s="254">
        <v>120.48</v>
      </c>
      <c r="E4846"/>
      <c r="F4846"/>
      <c r="G4846"/>
      <c r="H4846"/>
      <c r="I4846" s="489"/>
      <c r="J4846" s="1095"/>
      <c r="K4846" s="1095"/>
      <c r="L4846" s="1095"/>
      <c r="M4846" s="1095"/>
    </row>
    <row r="4847" spans="1:13" x14ac:dyDescent="0.25">
      <c r="A4847">
        <v>4507847</v>
      </c>
      <c r="B4847" t="s">
        <v>11958</v>
      </c>
      <c r="C4847" t="s">
        <v>2598</v>
      </c>
      <c r="D4847" s="254">
        <v>128.66</v>
      </c>
      <c r="E4847"/>
      <c r="F4847"/>
      <c r="G4847"/>
      <c r="H4847"/>
      <c r="I4847" s="489"/>
      <c r="J4847" s="1095"/>
      <c r="K4847" s="1095"/>
      <c r="L4847" s="1095"/>
      <c r="M4847" s="1095"/>
    </row>
    <row r="4848" spans="1:13" x14ac:dyDescent="0.25">
      <c r="A4848">
        <v>4507848</v>
      </c>
      <c r="B4848" t="s">
        <v>11959</v>
      </c>
      <c r="C4848" t="s">
        <v>2598</v>
      </c>
      <c r="D4848" s="254">
        <v>128.27000000000001</v>
      </c>
      <c r="E4848"/>
      <c r="F4848"/>
      <c r="G4848"/>
      <c r="H4848"/>
      <c r="I4848" s="489"/>
      <c r="J4848" s="1095"/>
      <c r="K4848" s="1095"/>
      <c r="L4848" s="1095"/>
      <c r="M4848" s="1095"/>
    </row>
    <row r="4849" spans="1:13" x14ac:dyDescent="0.25">
      <c r="A4849">
        <v>4507849</v>
      </c>
      <c r="B4849" t="s">
        <v>11960</v>
      </c>
      <c r="C4849" t="s">
        <v>2598</v>
      </c>
      <c r="D4849" s="254">
        <v>128.1</v>
      </c>
      <c r="E4849"/>
      <c r="F4849"/>
      <c r="G4849"/>
      <c r="H4849"/>
      <c r="I4849" s="489"/>
      <c r="J4849" s="1095"/>
      <c r="K4849" s="1095"/>
      <c r="L4849" s="1095"/>
      <c r="M4849" s="1095"/>
    </row>
    <row r="4850" spans="1:13" x14ac:dyDescent="0.25">
      <c r="A4850">
        <v>4508176</v>
      </c>
      <c r="B4850" t="s">
        <v>11961</v>
      </c>
      <c r="C4850" t="s">
        <v>2598</v>
      </c>
      <c r="D4850" s="254">
        <v>137.63999999999999</v>
      </c>
      <c r="E4850"/>
      <c r="F4850"/>
      <c r="G4850"/>
      <c r="H4850"/>
      <c r="I4850" s="489"/>
      <c r="J4850" s="1095"/>
      <c r="K4850" s="1095"/>
      <c r="L4850" s="1095"/>
      <c r="M4850" s="1095"/>
    </row>
    <row r="4851" spans="1:13" x14ac:dyDescent="0.25">
      <c r="A4851">
        <v>4507850</v>
      </c>
      <c r="B4851" t="s">
        <v>11962</v>
      </c>
      <c r="C4851" t="s">
        <v>2598</v>
      </c>
      <c r="D4851" s="254">
        <v>137.44999999999999</v>
      </c>
      <c r="E4851"/>
      <c r="F4851"/>
      <c r="G4851"/>
      <c r="H4851"/>
      <c r="I4851" s="489"/>
      <c r="J4851" s="1095"/>
      <c r="K4851" s="1095"/>
      <c r="L4851" s="1095"/>
      <c r="M4851" s="1095"/>
    </row>
    <row r="4852" spans="1:13" x14ac:dyDescent="0.25">
      <c r="A4852">
        <v>4507956</v>
      </c>
      <c r="B4852" t="s">
        <v>11963</v>
      </c>
      <c r="C4852" t="s">
        <v>2716</v>
      </c>
      <c r="D4852" s="254">
        <v>13.53</v>
      </c>
      <c r="E4852"/>
      <c r="F4852"/>
      <c r="G4852"/>
      <c r="H4852"/>
      <c r="I4852" s="489"/>
      <c r="J4852" s="1095"/>
      <c r="K4852" s="1095"/>
      <c r="L4852" s="1095"/>
      <c r="M4852" s="1095"/>
    </row>
    <row r="4853" spans="1:13" x14ac:dyDescent="0.25">
      <c r="A4853">
        <v>4507957</v>
      </c>
      <c r="B4853" t="s">
        <v>11964</v>
      </c>
      <c r="C4853" t="s">
        <v>2716</v>
      </c>
      <c r="D4853" s="254">
        <v>14.01</v>
      </c>
      <c r="E4853"/>
      <c r="F4853"/>
      <c r="G4853"/>
      <c r="H4853"/>
      <c r="I4853" s="489"/>
      <c r="J4853" s="1095"/>
      <c r="K4853" s="1095"/>
      <c r="L4853" s="1095"/>
      <c r="M4853" s="1095"/>
    </row>
    <row r="4854" spans="1:13" x14ac:dyDescent="0.25">
      <c r="A4854">
        <v>4507958</v>
      </c>
      <c r="B4854" t="s">
        <v>11965</v>
      </c>
      <c r="C4854" t="s">
        <v>2716</v>
      </c>
      <c r="D4854" s="254">
        <v>15.9</v>
      </c>
      <c r="E4854"/>
      <c r="F4854"/>
      <c r="G4854"/>
      <c r="H4854"/>
      <c r="I4854" s="489"/>
      <c r="J4854" s="1095"/>
      <c r="K4854" s="1095"/>
      <c r="L4854" s="1095"/>
      <c r="M4854" s="1095"/>
    </row>
    <row r="4855" spans="1:13" x14ac:dyDescent="0.25">
      <c r="A4855">
        <v>4507959</v>
      </c>
      <c r="B4855" t="s">
        <v>11966</v>
      </c>
      <c r="C4855" t="s">
        <v>2716</v>
      </c>
      <c r="D4855" s="254">
        <v>16.04</v>
      </c>
      <c r="E4855"/>
      <c r="F4855"/>
      <c r="G4855"/>
      <c r="H4855"/>
      <c r="I4855" s="489"/>
      <c r="J4855" s="1095"/>
      <c r="K4855" s="1095"/>
      <c r="L4855" s="1095"/>
      <c r="M4855" s="1095"/>
    </row>
    <row r="4856" spans="1:13" x14ac:dyDescent="0.25">
      <c r="A4856">
        <v>4516138</v>
      </c>
      <c r="B4856" t="s">
        <v>11967</v>
      </c>
      <c r="C4856" t="s">
        <v>2716</v>
      </c>
      <c r="D4856" s="254">
        <v>10.08</v>
      </c>
      <c r="E4856"/>
      <c r="F4856"/>
      <c r="G4856"/>
      <c r="H4856"/>
      <c r="I4856" s="489"/>
      <c r="J4856" s="1095"/>
      <c r="K4856" s="1095"/>
      <c r="L4856" s="1095"/>
      <c r="M4856" s="1095"/>
    </row>
    <row r="4857" spans="1:13" x14ac:dyDescent="0.25">
      <c r="A4857">
        <v>4516137</v>
      </c>
      <c r="B4857" t="s">
        <v>11968</v>
      </c>
      <c r="C4857" t="s">
        <v>2595</v>
      </c>
      <c r="D4857" s="254">
        <v>128.94999999999999</v>
      </c>
      <c r="E4857"/>
      <c r="F4857"/>
      <c r="G4857"/>
      <c r="H4857"/>
      <c r="I4857" s="489"/>
      <c r="J4857" s="1095"/>
      <c r="K4857" s="1095"/>
      <c r="L4857" s="1095"/>
      <c r="M4857" s="1095"/>
    </row>
    <row r="4858" spans="1:13" x14ac:dyDescent="0.25">
      <c r="A4858">
        <v>4805755</v>
      </c>
      <c r="B4858" t="s">
        <v>6762</v>
      </c>
      <c r="C4858" t="s">
        <v>2596</v>
      </c>
      <c r="D4858" s="254">
        <v>29.55</v>
      </c>
      <c r="E4858"/>
      <c r="F4858"/>
      <c r="G4858"/>
      <c r="H4858"/>
      <c r="I4858" s="489"/>
      <c r="J4858" s="1095"/>
      <c r="K4858" s="1095"/>
      <c r="L4858" s="1095"/>
      <c r="M4858" s="1095"/>
    </row>
    <row r="4859" spans="1:13" x14ac:dyDescent="0.25">
      <c r="A4859">
        <v>4816020</v>
      </c>
      <c r="B4859" t="s">
        <v>11969</v>
      </c>
      <c r="C4859" t="s">
        <v>2596</v>
      </c>
      <c r="D4859" s="254">
        <v>12.21</v>
      </c>
      <c r="E4859"/>
      <c r="F4859"/>
      <c r="G4859"/>
      <c r="H4859"/>
      <c r="I4859" s="489"/>
      <c r="J4859" s="1095"/>
      <c r="K4859" s="1095"/>
      <c r="L4859" s="1095"/>
      <c r="M4859" s="1095"/>
    </row>
    <row r="4860" spans="1:13" x14ac:dyDescent="0.25">
      <c r="A4860">
        <v>4816019</v>
      </c>
      <c r="B4860" t="s">
        <v>11970</v>
      </c>
      <c r="C4860" t="s">
        <v>2596</v>
      </c>
      <c r="D4860" s="254">
        <v>7.68</v>
      </c>
      <c r="E4860"/>
      <c r="F4860"/>
      <c r="G4860"/>
      <c r="H4860"/>
      <c r="I4860" s="489"/>
      <c r="J4860" s="1095"/>
      <c r="K4860" s="1095"/>
      <c r="L4860" s="1095"/>
      <c r="M4860" s="1095"/>
    </row>
    <row r="4861" spans="1:13" x14ac:dyDescent="0.25">
      <c r="A4861">
        <v>4816018</v>
      </c>
      <c r="B4861" t="s">
        <v>11971</v>
      </c>
      <c r="C4861" t="s">
        <v>2596</v>
      </c>
      <c r="D4861" s="254">
        <v>4.82</v>
      </c>
      <c r="E4861"/>
      <c r="F4861"/>
      <c r="G4861"/>
      <c r="H4861"/>
      <c r="I4861" s="489"/>
      <c r="J4861" s="1095"/>
      <c r="K4861" s="1095"/>
      <c r="L4861" s="1095"/>
      <c r="M4861" s="1095"/>
    </row>
    <row r="4862" spans="1:13" x14ac:dyDescent="0.25">
      <c r="A4862">
        <v>4816012</v>
      </c>
      <c r="B4862" t="s">
        <v>11972</v>
      </c>
      <c r="C4862" t="s">
        <v>2596</v>
      </c>
      <c r="D4862" s="254">
        <v>53.39</v>
      </c>
      <c r="E4862"/>
      <c r="F4862"/>
      <c r="G4862"/>
      <c r="H4862"/>
      <c r="I4862" s="489"/>
      <c r="J4862" s="1095"/>
      <c r="K4862" s="1095"/>
      <c r="L4862" s="1095"/>
      <c r="M4862" s="1095"/>
    </row>
    <row r="4863" spans="1:13" x14ac:dyDescent="0.25">
      <c r="A4863">
        <v>4815805</v>
      </c>
      <c r="B4863" t="s">
        <v>11973</v>
      </c>
      <c r="C4863" t="s">
        <v>2595</v>
      </c>
      <c r="D4863" s="254">
        <v>10.77</v>
      </c>
      <c r="E4863"/>
      <c r="F4863"/>
      <c r="G4863"/>
      <c r="H4863"/>
      <c r="I4863" s="489"/>
      <c r="J4863" s="1095"/>
      <c r="K4863" s="1095"/>
      <c r="L4863" s="1095"/>
      <c r="M4863" s="1095"/>
    </row>
    <row r="4864" spans="1:13" x14ac:dyDescent="0.25">
      <c r="A4864">
        <v>4815802</v>
      </c>
      <c r="B4864" t="s">
        <v>11974</v>
      </c>
      <c r="C4864" t="s">
        <v>2595</v>
      </c>
      <c r="D4864" s="254">
        <v>15.86</v>
      </c>
      <c r="E4864"/>
      <c r="F4864"/>
      <c r="G4864"/>
      <c r="H4864"/>
      <c r="I4864" s="489"/>
      <c r="J4864" s="1095"/>
      <c r="K4864" s="1095"/>
      <c r="L4864" s="1095"/>
      <c r="M4864" s="1095"/>
    </row>
    <row r="4865" spans="1:13" x14ac:dyDescent="0.25">
      <c r="A4865">
        <v>4805754</v>
      </c>
      <c r="B4865" t="s">
        <v>6301</v>
      </c>
      <c r="C4865" t="s">
        <v>2596</v>
      </c>
      <c r="D4865" s="254">
        <v>6.73</v>
      </c>
      <c r="E4865"/>
      <c r="F4865"/>
      <c r="G4865"/>
      <c r="H4865"/>
      <c r="I4865" s="489"/>
      <c r="J4865" s="1095"/>
      <c r="K4865" s="1095"/>
      <c r="L4865" s="1095"/>
      <c r="M4865" s="1095"/>
    </row>
    <row r="4866" spans="1:13" x14ac:dyDescent="0.25">
      <c r="A4866">
        <v>4816145</v>
      </c>
      <c r="B4866" t="s">
        <v>11975</v>
      </c>
      <c r="C4866" t="s">
        <v>2598</v>
      </c>
      <c r="D4866" s="254">
        <v>22.39</v>
      </c>
      <c r="E4866"/>
      <c r="F4866"/>
      <c r="G4866"/>
      <c r="H4866"/>
      <c r="I4866" s="489"/>
      <c r="J4866" s="1095"/>
      <c r="K4866" s="1095"/>
      <c r="L4866" s="1095"/>
      <c r="M4866" s="1095"/>
    </row>
    <row r="4867" spans="1:13" x14ac:dyDescent="0.25">
      <c r="A4867">
        <v>4816144</v>
      </c>
      <c r="B4867" t="s">
        <v>11976</v>
      </c>
      <c r="C4867" t="s">
        <v>2598</v>
      </c>
      <c r="D4867" s="254">
        <v>20.059999999999999</v>
      </c>
      <c r="E4867"/>
      <c r="F4867"/>
      <c r="G4867"/>
      <c r="H4867"/>
      <c r="I4867" s="489"/>
      <c r="J4867" s="1095"/>
      <c r="K4867" s="1095"/>
      <c r="L4867" s="1095"/>
      <c r="M4867" s="1095"/>
    </row>
    <row r="4868" spans="1:13" x14ac:dyDescent="0.25">
      <c r="A4868">
        <v>4816147</v>
      </c>
      <c r="B4868" t="s">
        <v>11977</v>
      </c>
      <c r="C4868" t="s">
        <v>2598</v>
      </c>
      <c r="D4868" s="254">
        <v>32.380000000000003</v>
      </c>
      <c r="E4868"/>
      <c r="F4868"/>
      <c r="G4868"/>
      <c r="H4868"/>
      <c r="I4868" s="489"/>
      <c r="J4868" s="1095"/>
      <c r="K4868" s="1095"/>
      <c r="L4868" s="1095"/>
      <c r="M4868" s="1095"/>
    </row>
    <row r="4869" spans="1:13" x14ac:dyDescent="0.25">
      <c r="A4869">
        <v>4816146</v>
      </c>
      <c r="B4869" t="s">
        <v>11978</v>
      </c>
      <c r="C4869" t="s">
        <v>2598</v>
      </c>
      <c r="D4869" s="254">
        <v>28.18</v>
      </c>
      <c r="E4869"/>
      <c r="F4869"/>
      <c r="G4869"/>
      <c r="H4869"/>
      <c r="I4869" s="489"/>
      <c r="J4869" s="1095"/>
      <c r="K4869" s="1095"/>
      <c r="L4869" s="1095"/>
      <c r="M4869" s="1095"/>
    </row>
    <row r="4870" spans="1:13" x14ac:dyDescent="0.25">
      <c r="A4870">
        <v>4816121</v>
      </c>
      <c r="B4870" t="s">
        <v>11979</v>
      </c>
      <c r="C4870" t="s">
        <v>2598</v>
      </c>
      <c r="D4870" s="254">
        <v>25.63</v>
      </c>
      <c r="E4870"/>
      <c r="F4870"/>
      <c r="G4870"/>
      <c r="H4870"/>
      <c r="I4870" s="489"/>
      <c r="J4870" s="1095"/>
      <c r="K4870" s="1095"/>
      <c r="L4870" s="1095"/>
      <c r="M4870" s="1095"/>
    </row>
    <row r="4871" spans="1:13" x14ac:dyDescent="0.25">
      <c r="A4871">
        <v>4816120</v>
      </c>
      <c r="B4871" t="s">
        <v>11980</v>
      </c>
      <c r="C4871" t="s">
        <v>2598</v>
      </c>
      <c r="D4871" s="254">
        <v>22.36</v>
      </c>
      <c r="E4871"/>
      <c r="F4871"/>
      <c r="G4871"/>
      <c r="H4871"/>
      <c r="I4871" s="489"/>
      <c r="J4871" s="1095"/>
      <c r="K4871" s="1095"/>
      <c r="L4871" s="1095"/>
      <c r="M4871" s="1095"/>
    </row>
    <row r="4872" spans="1:13" x14ac:dyDescent="0.25">
      <c r="A4872">
        <v>4816123</v>
      </c>
      <c r="B4872" t="s">
        <v>11981</v>
      </c>
      <c r="C4872" t="s">
        <v>2598</v>
      </c>
      <c r="D4872" s="254">
        <v>34.96</v>
      </c>
      <c r="E4872"/>
      <c r="F4872"/>
      <c r="G4872"/>
      <c r="H4872"/>
      <c r="I4872" s="489"/>
      <c r="J4872" s="1095"/>
      <c r="K4872" s="1095"/>
      <c r="L4872" s="1095"/>
      <c r="M4872" s="1095"/>
    </row>
    <row r="4873" spans="1:13" x14ac:dyDescent="0.25">
      <c r="A4873">
        <v>4816122</v>
      </c>
      <c r="B4873" t="s">
        <v>11982</v>
      </c>
      <c r="C4873" t="s">
        <v>2598</v>
      </c>
      <c r="D4873" s="254">
        <v>30.29</v>
      </c>
      <c r="E4873"/>
      <c r="F4873"/>
      <c r="G4873"/>
      <c r="H4873"/>
      <c r="I4873" s="489"/>
      <c r="J4873" s="1095"/>
      <c r="K4873" s="1095"/>
      <c r="L4873" s="1095"/>
      <c r="M4873" s="1095"/>
    </row>
    <row r="4874" spans="1:13" x14ac:dyDescent="0.25">
      <c r="A4874">
        <v>4816125</v>
      </c>
      <c r="B4874" t="s">
        <v>11983</v>
      </c>
      <c r="C4874" t="s">
        <v>2598</v>
      </c>
      <c r="D4874" s="254">
        <v>51.44</v>
      </c>
      <c r="E4874"/>
      <c r="F4874"/>
      <c r="G4874"/>
      <c r="H4874"/>
      <c r="I4874" s="489"/>
      <c r="J4874" s="1095"/>
      <c r="K4874" s="1095"/>
      <c r="L4874" s="1095"/>
      <c r="M4874" s="1095"/>
    </row>
    <row r="4875" spans="1:13" x14ac:dyDescent="0.25">
      <c r="A4875">
        <v>4816124</v>
      </c>
      <c r="B4875" t="s">
        <v>11984</v>
      </c>
      <c r="C4875" t="s">
        <v>2598</v>
      </c>
      <c r="D4875" s="254">
        <v>43.05</v>
      </c>
      <c r="E4875"/>
      <c r="F4875"/>
      <c r="G4875"/>
      <c r="H4875"/>
      <c r="I4875" s="489"/>
      <c r="J4875" s="1095"/>
      <c r="K4875" s="1095"/>
      <c r="L4875" s="1095"/>
      <c r="M4875" s="1095"/>
    </row>
    <row r="4876" spans="1:13" x14ac:dyDescent="0.25">
      <c r="A4876">
        <v>4816022</v>
      </c>
      <c r="B4876" t="s">
        <v>11985</v>
      </c>
      <c r="C4876" t="s">
        <v>2598</v>
      </c>
      <c r="D4876" s="254">
        <v>70.69</v>
      </c>
      <c r="E4876"/>
      <c r="F4876"/>
      <c r="G4876"/>
      <c r="H4876"/>
      <c r="I4876" s="489"/>
      <c r="J4876" s="1095"/>
      <c r="K4876" s="1095"/>
      <c r="L4876" s="1095"/>
      <c r="M4876" s="1095"/>
    </row>
    <row r="4877" spans="1:13" x14ac:dyDescent="0.25">
      <c r="A4877">
        <v>4816021</v>
      </c>
      <c r="B4877" t="s">
        <v>11986</v>
      </c>
      <c r="C4877" t="s">
        <v>2598</v>
      </c>
      <c r="D4877" s="254">
        <v>57.73</v>
      </c>
      <c r="E4877"/>
      <c r="F4877"/>
      <c r="G4877"/>
      <c r="H4877"/>
      <c r="I4877" s="489"/>
      <c r="J4877" s="1095"/>
      <c r="K4877" s="1095"/>
      <c r="L4877" s="1095"/>
      <c r="M4877" s="1095"/>
    </row>
    <row r="4878" spans="1:13" x14ac:dyDescent="0.25">
      <c r="A4878">
        <v>4816106</v>
      </c>
      <c r="B4878" t="s">
        <v>11987</v>
      </c>
      <c r="C4878" t="s">
        <v>2598</v>
      </c>
      <c r="D4878" s="254">
        <v>26.61</v>
      </c>
      <c r="E4878"/>
      <c r="F4878"/>
      <c r="G4878"/>
      <c r="H4878"/>
      <c r="I4878" s="489"/>
      <c r="J4878" s="1095"/>
      <c r="K4878" s="1095"/>
      <c r="L4878" s="1095"/>
      <c r="M4878" s="1095"/>
    </row>
    <row r="4879" spans="1:13" x14ac:dyDescent="0.25">
      <c r="A4879">
        <v>4816105</v>
      </c>
      <c r="B4879" t="s">
        <v>11988</v>
      </c>
      <c r="C4879" t="s">
        <v>2598</v>
      </c>
      <c r="D4879" s="254">
        <v>23.35</v>
      </c>
      <c r="E4879"/>
      <c r="F4879"/>
      <c r="G4879"/>
      <c r="H4879"/>
      <c r="I4879" s="489"/>
      <c r="J4879" s="1095"/>
      <c r="K4879" s="1095"/>
      <c r="L4879" s="1095"/>
      <c r="M4879" s="1095"/>
    </row>
    <row r="4880" spans="1:13" x14ac:dyDescent="0.25">
      <c r="A4880">
        <v>4816108</v>
      </c>
      <c r="B4880" t="s">
        <v>11989</v>
      </c>
      <c r="C4880" t="s">
        <v>2598</v>
      </c>
      <c r="D4880" s="254">
        <v>35.94</v>
      </c>
      <c r="E4880"/>
      <c r="F4880"/>
      <c r="G4880"/>
      <c r="H4880"/>
      <c r="I4880" s="489"/>
      <c r="J4880" s="1095"/>
      <c r="K4880" s="1095"/>
      <c r="L4880" s="1095"/>
      <c r="M4880" s="1095"/>
    </row>
    <row r="4881" spans="1:13" x14ac:dyDescent="0.25">
      <c r="A4881">
        <v>4816107</v>
      </c>
      <c r="B4881" t="s">
        <v>11990</v>
      </c>
      <c r="C4881" t="s">
        <v>2598</v>
      </c>
      <c r="D4881" s="254">
        <v>31.28</v>
      </c>
      <c r="E4881"/>
      <c r="F4881"/>
      <c r="G4881"/>
      <c r="H4881"/>
      <c r="I4881" s="489"/>
      <c r="J4881" s="1095"/>
      <c r="K4881" s="1095"/>
      <c r="L4881" s="1095"/>
      <c r="M4881" s="1095"/>
    </row>
    <row r="4882" spans="1:13" x14ac:dyDescent="0.25">
      <c r="A4882">
        <v>4816110</v>
      </c>
      <c r="B4882" t="s">
        <v>11991</v>
      </c>
      <c r="C4882" t="s">
        <v>2598</v>
      </c>
      <c r="D4882" s="254">
        <v>52.43</v>
      </c>
      <c r="E4882"/>
      <c r="F4882"/>
      <c r="G4882"/>
      <c r="H4882"/>
      <c r="I4882" s="489"/>
      <c r="J4882" s="1095"/>
      <c r="K4882" s="1095"/>
      <c r="L4882" s="1095"/>
      <c r="M4882" s="1095"/>
    </row>
    <row r="4883" spans="1:13" x14ac:dyDescent="0.25">
      <c r="A4883">
        <v>4816109</v>
      </c>
      <c r="B4883" t="s">
        <v>11992</v>
      </c>
      <c r="C4883" t="s">
        <v>2598</v>
      </c>
      <c r="D4883" s="254">
        <v>44.03</v>
      </c>
      <c r="E4883"/>
      <c r="F4883"/>
      <c r="G4883"/>
      <c r="H4883"/>
      <c r="I4883" s="489"/>
      <c r="J4883" s="1095"/>
      <c r="K4883" s="1095"/>
      <c r="L4883" s="1095"/>
      <c r="M4883" s="1095"/>
    </row>
    <row r="4884" spans="1:13" x14ac:dyDescent="0.25">
      <c r="A4884">
        <v>4816100</v>
      </c>
      <c r="B4884" t="s">
        <v>11993</v>
      </c>
      <c r="C4884" t="s">
        <v>2598</v>
      </c>
      <c r="D4884" s="254">
        <v>25.82</v>
      </c>
      <c r="E4884"/>
      <c r="F4884"/>
      <c r="G4884"/>
      <c r="H4884"/>
      <c r="I4884" s="489"/>
      <c r="J4884" s="1095"/>
      <c r="K4884" s="1095"/>
      <c r="L4884" s="1095"/>
      <c r="M4884" s="1095"/>
    </row>
    <row r="4885" spans="1:13" x14ac:dyDescent="0.25">
      <c r="A4885">
        <v>4816099</v>
      </c>
      <c r="B4885" t="s">
        <v>11994</v>
      </c>
      <c r="C4885" t="s">
        <v>2598</v>
      </c>
      <c r="D4885" s="254">
        <v>24.11</v>
      </c>
      <c r="E4885"/>
      <c r="F4885"/>
      <c r="G4885"/>
      <c r="H4885"/>
      <c r="I4885" s="489"/>
      <c r="J4885" s="1095"/>
      <c r="K4885" s="1095"/>
      <c r="L4885" s="1095"/>
      <c r="M4885" s="1095"/>
    </row>
    <row r="4886" spans="1:13" x14ac:dyDescent="0.25">
      <c r="A4886">
        <v>4816102</v>
      </c>
      <c r="B4886" t="s">
        <v>11995</v>
      </c>
      <c r="C4886" t="s">
        <v>2598</v>
      </c>
      <c r="D4886" s="254">
        <v>34.130000000000003</v>
      </c>
      <c r="E4886"/>
      <c r="F4886"/>
      <c r="G4886"/>
      <c r="H4886"/>
      <c r="I4886" s="489"/>
      <c r="J4886" s="1095"/>
      <c r="K4886" s="1095"/>
      <c r="L4886" s="1095"/>
      <c r="M4886" s="1095"/>
    </row>
    <row r="4887" spans="1:13" x14ac:dyDescent="0.25">
      <c r="A4887">
        <v>4816101</v>
      </c>
      <c r="B4887" t="s">
        <v>11996</v>
      </c>
      <c r="C4887" t="s">
        <v>2598</v>
      </c>
      <c r="D4887" s="254">
        <v>32.36</v>
      </c>
      <c r="E4887"/>
      <c r="F4887"/>
      <c r="G4887"/>
      <c r="H4887"/>
      <c r="I4887" s="489"/>
      <c r="J4887" s="1095"/>
      <c r="K4887" s="1095"/>
      <c r="L4887" s="1095"/>
      <c r="M4887" s="1095"/>
    </row>
    <row r="4888" spans="1:13" x14ac:dyDescent="0.25">
      <c r="A4888">
        <v>4816104</v>
      </c>
      <c r="B4888" t="s">
        <v>11997</v>
      </c>
      <c r="C4888" t="s">
        <v>2598</v>
      </c>
      <c r="D4888" s="254">
        <v>49.87</v>
      </c>
      <c r="E4888"/>
      <c r="F4888"/>
      <c r="G4888"/>
      <c r="H4888"/>
      <c r="I4888" s="489"/>
      <c r="J4888" s="1095"/>
      <c r="K4888" s="1095"/>
      <c r="L4888" s="1095"/>
      <c r="M4888" s="1095"/>
    </row>
    <row r="4889" spans="1:13" x14ac:dyDescent="0.25">
      <c r="A4889">
        <v>4816103</v>
      </c>
      <c r="B4889" t="s">
        <v>11998</v>
      </c>
      <c r="C4889" t="s">
        <v>2598</v>
      </c>
      <c r="D4889" s="254">
        <v>45.46</v>
      </c>
      <c r="E4889"/>
      <c r="F4889"/>
      <c r="G4889"/>
      <c r="H4889"/>
      <c r="I4889" s="489"/>
      <c r="J4889" s="1095"/>
      <c r="K4889" s="1095"/>
      <c r="L4889" s="1095"/>
      <c r="M4889" s="1095"/>
    </row>
    <row r="4890" spans="1:13" x14ac:dyDescent="0.25">
      <c r="A4890">
        <v>4815804</v>
      </c>
      <c r="B4890" t="s">
        <v>11999</v>
      </c>
      <c r="C4890" t="s">
        <v>2640</v>
      </c>
      <c r="D4890" s="254">
        <v>0.48</v>
      </c>
      <c r="E4890"/>
      <c r="F4890"/>
      <c r="G4890"/>
      <c r="H4890"/>
      <c r="I4890" s="489"/>
      <c r="J4890" s="1095"/>
      <c r="K4890" s="1095"/>
      <c r="L4890" s="1095"/>
      <c r="M4890" s="1095"/>
    </row>
    <row r="4891" spans="1:13" x14ac:dyDescent="0.25">
      <c r="A4891">
        <v>4816002</v>
      </c>
      <c r="B4891" t="s">
        <v>12000</v>
      </c>
      <c r="C4891" t="s">
        <v>2596</v>
      </c>
      <c r="D4891" s="254">
        <v>1229.02</v>
      </c>
      <c r="E4891"/>
      <c r="F4891"/>
      <c r="G4891"/>
      <c r="H4891"/>
      <c r="I4891" s="489"/>
      <c r="J4891" s="1095"/>
      <c r="K4891" s="1095"/>
      <c r="L4891" s="1095"/>
      <c r="M4891" s="1095"/>
    </row>
    <row r="4892" spans="1:13" x14ac:dyDescent="0.25">
      <c r="A4892">
        <v>4805765</v>
      </c>
      <c r="B4892" t="s">
        <v>2638</v>
      </c>
      <c r="C4892" t="s">
        <v>2596</v>
      </c>
      <c r="D4892" s="254">
        <v>185.47</v>
      </c>
      <c r="E4892"/>
      <c r="F4892"/>
      <c r="G4892"/>
      <c r="H4892"/>
      <c r="I4892" s="489"/>
      <c r="J4892" s="1095"/>
      <c r="K4892" s="1095"/>
      <c r="L4892" s="1095"/>
      <c r="M4892" s="1095"/>
    </row>
    <row r="4893" spans="1:13" x14ac:dyDescent="0.25">
      <c r="A4893">
        <v>4816000</v>
      </c>
      <c r="B4893" t="s">
        <v>12001</v>
      </c>
      <c r="C4893" t="s">
        <v>2596</v>
      </c>
      <c r="D4893" s="254">
        <v>423.44</v>
      </c>
      <c r="E4893"/>
      <c r="F4893"/>
      <c r="G4893"/>
      <c r="H4893"/>
      <c r="I4893" s="489"/>
      <c r="J4893" s="1095"/>
      <c r="K4893" s="1095"/>
      <c r="L4893" s="1095"/>
      <c r="M4893" s="1095"/>
    </row>
    <row r="4894" spans="1:13" x14ac:dyDescent="0.25">
      <c r="A4894">
        <v>4816001</v>
      </c>
      <c r="B4894" t="s">
        <v>12002</v>
      </c>
      <c r="C4894" t="s">
        <v>2596</v>
      </c>
      <c r="D4894" s="254">
        <v>700.73</v>
      </c>
      <c r="E4894"/>
      <c r="F4894"/>
      <c r="G4894"/>
      <c r="H4894"/>
      <c r="I4894" s="489"/>
      <c r="J4894" s="1095"/>
      <c r="K4894" s="1095"/>
      <c r="L4894" s="1095"/>
      <c r="M4894" s="1095"/>
    </row>
    <row r="4895" spans="1:13" x14ac:dyDescent="0.25">
      <c r="A4895">
        <v>4805749</v>
      </c>
      <c r="B4895" t="s">
        <v>6761</v>
      </c>
      <c r="C4895" t="s">
        <v>2596</v>
      </c>
      <c r="D4895" s="254">
        <v>68.25</v>
      </c>
      <c r="E4895"/>
      <c r="F4895"/>
      <c r="G4895"/>
      <c r="H4895"/>
      <c r="I4895" s="489"/>
      <c r="J4895" s="1095"/>
      <c r="K4895" s="1095"/>
      <c r="L4895" s="1095"/>
      <c r="M4895" s="1095"/>
    </row>
    <row r="4896" spans="1:13" x14ac:dyDescent="0.25">
      <c r="A4896">
        <v>4805751</v>
      </c>
      <c r="B4896" t="s">
        <v>12003</v>
      </c>
      <c r="C4896" t="s">
        <v>2596</v>
      </c>
      <c r="D4896" s="254">
        <v>51.19</v>
      </c>
      <c r="E4896"/>
      <c r="F4896"/>
      <c r="G4896"/>
      <c r="H4896"/>
      <c r="I4896" s="489"/>
      <c r="J4896" s="1095"/>
      <c r="K4896" s="1095"/>
      <c r="L4896" s="1095"/>
      <c r="M4896" s="1095"/>
    </row>
    <row r="4897" spans="1:13" x14ac:dyDescent="0.25">
      <c r="A4897">
        <v>4805752</v>
      </c>
      <c r="B4897" t="s">
        <v>12004</v>
      </c>
      <c r="C4897" t="s">
        <v>2596</v>
      </c>
      <c r="D4897" s="254">
        <v>61.43</v>
      </c>
      <c r="E4897"/>
      <c r="F4897"/>
      <c r="G4897"/>
      <c r="H4897"/>
      <c r="I4897" s="489"/>
      <c r="J4897" s="1095"/>
      <c r="K4897" s="1095"/>
      <c r="L4897" s="1095"/>
      <c r="M4897" s="1095"/>
    </row>
    <row r="4898" spans="1:13" x14ac:dyDescent="0.25">
      <c r="A4898">
        <v>4805753</v>
      </c>
      <c r="B4898" t="s">
        <v>12005</v>
      </c>
      <c r="C4898" t="s">
        <v>2596</v>
      </c>
      <c r="D4898" s="254">
        <v>71.67</v>
      </c>
      <c r="E4898"/>
      <c r="F4898"/>
      <c r="G4898"/>
      <c r="H4898"/>
      <c r="I4898" s="489"/>
      <c r="J4898" s="1095"/>
      <c r="K4898" s="1095"/>
      <c r="L4898" s="1095"/>
      <c r="M4898" s="1095"/>
    </row>
    <row r="4899" spans="1:13" x14ac:dyDescent="0.25">
      <c r="A4899">
        <v>4805750</v>
      </c>
      <c r="B4899" t="s">
        <v>6469</v>
      </c>
      <c r="C4899" t="s">
        <v>2596</v>
      </c>
      <c r="D4899" s="254">
        <v>40.950000000000003</v>
      </c>
      <c r="E4899"/>
      <c r="F4899"/>
      <c r="G4899"/>
      <c r="H4899"/>
      <c r="I4899" s="489"/>
      <c r="J4899" s="1095"/>
      <c r="K4899" s="1095"/>
      <c r="L4899" s="1095"/>
      <c r="M4899" s="1095"/>
    </row>
    <row r="4900" spans="1:13" x14ac:dyDescent="0.25">
      <c r="A4900">
        <v>4805767</v>
      </c>
      <c r="B4900" t="s">
        <v>12006</v>
      </c>
      <c r="C4900" t="s">
        <v>2596</v>
      </c>
      <c r="D4900" s="254">
        <v>69.849999999999994</v>
      </c>
      <c r="E4900"/>
      <c r="F4900"/>
      <c r="G4900"/>
      <c r="H4900"/>
      <c r="I4900" s="489"/>
      <c r="J4900" s="1095"/>
      <c r="K4900" s="1095"/>
      <c r="L4900" s="1095"/>
      <c r="M4900" s="1095"/>
    </row>
    <row r="4901" spans="1:13" x14ac:dyDescent="0.25">
      <c r="A4901">
        <v>4805769</v>
      </c>
      <c r="B4901" t="s">
        <v>12007</v>
      </c>
      <c r="C4901" t="s">
        <v>2596</v>
      </c>
      <c r="D4901" s="254">
        <v>83.16</v>
      </c>
      <c r="E4901"/>
      <c r="F4901"/>
      <c r="G4901"/>
      <c r="H4901"/>
      <c r="I4901" s="489"/>
      <c r="J4901" s="1095"/>
      <c r="K4901" s="1095"/>
      <c r="L4901" s="1095"/>
      <c r="M4901" s="1095"/>
    </row>
    <row r="4902" spans="1:13" x14ac:dyDescent="0.25">
      <c r="A4902">
        <v>4805770</v>
      </c>
      <c r="B4902" t="s">
        <v>12008</v>
      </c>
      <c r="C4902" t="s">
        <v>2596</v>
      </c>
      <c r="D4902" s="254">
        <v>96.46</v>
      </c>
      <c r="E4902"/>
      <c r="F4902"/>
      <c r="G4902"/>
      <c r="H4902"/>
      <c r="I4902" s="489"/>
      <c r="J4902" s="1095"/>
      <c r="K4902" s="1095"/>
      <c r="L4902" s="1095"/>
      <c r="M4902" s="1095"/>
    </row>
    <row r="4903" spans="1:13" x14ac:dyDescent="0.25">
      <c r="A4903">
        <v>4805760</v>
      </c>
      <c r="B4903" t="s">
        <v>12009</v>
      </c>
      <c r="C4903" t="s">
        <v>2596</v>
      </c>
      <c r="D4903" s="254">
        <v>56.55</v>
      </c>
      <c r="E4903"/>
      <c r="F4903"/>
      <c r="G4903"/>
      <c r="H4903"/>
      <c r="I4903" s="489"/>
      <c r="J4903" s="1095"/>
      <c r="K4903" s="1095"/>
      <c r="L4903" s="1095"/>
      <c r="M4903" s="1095"/>
    </row>
    <row r="4904" spans="1:13" x14ac:dyDescent="0.25">
      <c r="A4904">
        <v>4805757</v>
      </c>
      <c r="B4904" t="s">
        <v>12010</v>
      </c>
      <c r="C4904" t="s">
        <v>2596</v>
      </c>
      <c r="D4904" s="254">
        <v>7.32</v>
      </c>
      <c r="E4904"/>
      <c r="F4904"/>
      <c r="G4904"/>
      <c r="H4904"/>
      <c r="I4904" s="489"/>
      <c r="J4904" s="1095"/>
      <c r="K4904" s="1095"/>
      <c r="L4904" s="1095"/>
      <c r="M4904" s="1095"/>
    </row>
    <row r="4905" spans="1:13" x14ac:dyDescent="0.25">
      <c r="A4905">
        <v>4805762</v>
      </c>
      <c r="B4905" t="s">
        <v>6256</v>
      </c>
      <c r="C4905" t="s">
        <v>2596</v>
      </c>
      <c r="D4905" s="254">
        <v>8.91</v>
      </c>
      <c r="E4905"/>
      <c r="F4905"/>
      <c r="G4905"/>
      <c r="H4905"/>
      <c r="I4905" s="489"/>
      <c r="J4905" s="1095"/>
      <c r="K4905" s="1095"/>
      <c r="L4905" s="1095"/>
      <c r="M4905" s="1095"/>
    </row>
    <row r="4906" spans="1:13" x14ac:dyDescent="0.25">
      <c r="A4906">
        <v>4806395</v>
      </c>
      <c r="B4906" t="s">
        <v>12011</v>
      </c>
      <c r="C4906" t="s">
        <v>2640</v>
      </c>
      <c r="D4906" s="254">
        <v>4.96</v>
      </c>
      <c r="E4906"/>
      <c r="F4906"/>
      <c r="G4906"/>
      <c r="H4906"/>
      <c r="I4906" s="489"/>
      <c r="J4906" s="1095"/>
      <c r="K4906" s="1095"/>
      <c r="L4906" s="1095"/>
      <c r="M4906" s="1095"/>
    </row>
    <row r="4907" spans="1:13" x14ac:dyDescent="0.25">
      <c r="A4907">
        <v>4816003</v>
      </c>
      <c r="B4907" t="s">
        <v>12012</v>
      </c>
      <c r="C4907" t="s">
        <v>2598</v>
      </c>
      <c r="D4907" s="254">
        <v>41.68</v>
      </c>
      <c r="E4907"/>
      <c r="F4907"/>
      <c r="G4907"/>
      <c r="H4907"/>
      <c r="I4907" s="489"/>
      <c r="J4907" s="1095"/>
      <c r="K4907" s="1095"/>
      <c r="L4907" s="1095"/>
      <c r="M4907" s="1095"/>
    </row>
    <row r="4908" spans="1:13" x14ac:dyDescent="0.25">
      <c r="A4908">
        <v>4816017</v>
      </c>
      <c r="B4908" t="s">
        <v>12013</v>
      </c>
      <c r="C4908" t="s">
        <v>2596</v>
      </c>
      <c r="D4908" s="254">
        <v>21.98</v>
      </c>
      <c r="E4908"/>
      <c r="F4908"/>
      <c r="G4908"/>
      <c r="H4908"/>
      <c r="I4908" s="489"/>
      <c r="J4908" s="1095"/>
      <c r="K4908" s="1095"/>
      <c r="L4908" s="1095"/>
      <c r="M4908" s="1095"/>
    </row>
    <row r="4909" spans="1:13" x14ac:dyDescent="0.25">
      <c r="A4909">
        <v>4816023</v>
      </c>
      <c r="B4909" t="s">
        <v>13820</v>
      </c>
      <c r="C4909" t="s">
        <v>149</v>
      </c>
      <c r="D4909" s="254">
        <v>218.68</v>
      </c>
      <c r="E4909"/>
      <c r="F4909"/>
      <c r="G4909"/>
      <c r="H4909"/>
      <c r="I4909" s="489"/>
      <c r="J4909" s="1095"/>
      <c r="K4909" s="1095"/>
      <c r="L4909" s="1095"/>
      <c r="M4909" s="1095"/>
    </row>
    <row r="4910" spans="1:13" x14ac:dyDescent="0.25">
      <c r="A4910">
        <v>4816025</v>
      </c>
      <c r="B4910" t="s">
        <v>13821</v>
      </c>
      <c r="C4910" t="s">
        <v>149</v>
      </c>
      <c r="D4910" s="254">
        <v>371.22</v>
      </c>
      <c r="E4910"/>
      <c r="F4910"/>
      <c r="G4910"/>
      <c r="H4910"/>
      <c r="I4910" s="489"/>
      <c r="J4910" s="1095"/>
      <c r="K4910" s="1095"/>
      <c r="L4910" s="1095"/>
      <c r="M4910" s="1095"/>
    </row>
    <row r="4911" spans="1:13" x14ac:dyDescent="0.25">
      <c r="A4911">
        <v>4816024</v>
      </c>
      <c r="B4911" t="s">
        <v>13822</v>
      </c>
      <c r="C4911" t="s">
        <v>149</v>
      </c>
      <c r="D4911" s="254">
        <v>249.63</v>
      </c>
      <c r="E4911"/>
      <c r="F4911"/>
      <c r="G4911"/>
      <c r="H4911"/>
      <c r="I4911" s="489"/>
      <c r="J4911" s="1095"/>
      <c r="K4911" s="1095"/>
      <c r="L4911" s="1095"/>
      <c r="M4911" s="1095"/>
    </row>
    <row r="4912" spans="1:13" x14ac:dyDescent="0.25">
      <c r="A4912">
        <v>4816005</v>
      </c>
      <c r="B4912" t="s">
        <v>12014</v>
      </c>
      <c r="C4912" t="s">
        <v>2596</v>
      </c>
      <c r="D4912" s="254">
        <v>79.94</v>
      </c>
      <c r="E4912"/>
      <c r="F4912"/>
      <c r="G4912"/>
      <c r="H4912"/>
      <c r="I4912" s="489"/>
      <c r="J4912" s="1095"/>
      <c r="K4912" s="1095"/>
      <c r="L4912" s="1095"/>
      <c r="M4912" s="1095"/>
    </row>
    <row r="4913" spans="1:13" x14ac:dyDescent="0.25">
      <c r="A4913">
        <v>4816016</v>
      </c>
      <c r="B4913" t="s">
        <v>12015</v>
      </c>
      <c r="C4913" t="s">
        <v>2596</v>
      </c>
      <c r="D4913" s="254">
        <v>39.14</v>
      </c>
      <c r="E4913"/>
      <c r="F4913"/>
      <c r="G4913"/>
      <c r="H4913"/>
      <c r="I4913" s="489"/>
      <c r="J4913" s="1095"/>
      <c r="K4913" s="1095"/>
      <c r="L4913" s="1095"/>
      <c r="M4913" s="1095"/>
    </row>
    <row r="4914" spans="1:13" x14ac:dyDescent="0.25">
      <c r="A4914">
        <v>4815671</v>
      </c>
      <c r="B4914" t="s">
        <v>6259</v>
      </c>
      <c r="C4914" t="s">
        <v>2596</v>
      </c>
      <c r="D4914" s="254">
        <v>16.04</v>
      </c>
      <c r="E4914"/>
      <c r="F4914"/>
      <c r="G4914"/>
      <c r="H4914"/>
      <c r="I4914" s="489"/>
      <c r="J4914" s="1095"/>
      <c r="K4914" s="1095"/>
      <c r="L4914" s="1095"/>
      <c r="M4914" s="1095"/>
    </row>
    <row r="4915" spans="1:13" x14ac:dyDescent="0.25">
      <c r="A4915">
        <v>4815803</v>
      </c>
      <c r="B4915" t="s">
        <v>12016</v>
      </c>
      <c r="C4915" t="s">
        <v>2598</v>
      </c>
      <c r="D4915" s="254">
        <v>12.41</v>
      </c>
      <c r="E4915"/>
      <c r="F4915"/>
      <c r="G4915"/>
      <c r="H4915"/>
      <c r="I4915" s="489"/>
      <c r="J4915" s="1095"/>
      <c r="K4915" s="1095"/>
      <c r="L4915" s="1095"/>
      <c r="M4915" s="1095"/>
    </row>
    <row r="4916" spans="1:13" x14ac:dyDescent="0.25">
      <c r="A4916">
        <v>4816011</v>
      </c>
      <c r="B4916" t="s">
        <v>13823</v>
      </c>
      <c r="C4916" t="s">
        <v>2596</v>
      </c>
      <c r="D4916" s="254">
        <v>1760.46</v>
      </c>
      <c r="E4916"/>
      <c r="F4916"/>
      <c r="G4916"/>
      <c r="H4916"/>
      <c r="I4916" s="489"/>
      <c r="J4916" s="1095"/>
      <c r="K4916" s="1095"/>
      <c r="L4916" s="1095"/>
      <c r="M4916" s="1095"/>
    </row>
    <row r="4917" spans="1:13" x14ac:dyDescent="0.25">
      <c r="A4917">
        <v>4816014</v>
      </c>
      <c r="B4917" t="s">
        <v>12017</v>
      </c>
      <c r="C4917" t="s">
        <v>2596</v>
      </c>
      <c r="D4917" s="254">
        <v>49.22</v>
      </c>
      <c r="E4917"/>
      <c r="F4917"/>
      <c r="G4917"/>
      <c r="H4917"/>
      <c r="I4917" s="489"/>
      <c r="J4917" s="1095"/>
      <c r="K4917" s="1095"/>
      <c r="L4917" s="1095"/>
      <c r="M4917" s="1095"/>
    </row>
    <row r="4918" spans="1:13" x14ac:dyDescent="0.25">
      <c r="A4918">
        <v>4816010</v>
      </c>
      <c r="B4918" t="s">
        <v>12018</v>
      </c>
      <c r="C4918" t="s">
        <v>2596</v>
      </c>
      <c r="D4918" s="254">
        <v>35.880000000000003</v>
      </c>
      <c r="E4918"/>
      <c r="F4918"/>
      <c r="G4918"/>
      <c r="H4918"/>
      <c r="I4918" s="489"/>
      <c r="J4918" s="1095"/>
      <c r="K4918" s="1095"/>
      <c r="L4918" s="1095"/>
      <c r="M4918" s="1095"/>
    </row>
    <row r="4919" spans="1:13" x14ac:dyDescent="0.25">
      <c r="A4919">
        <v>4816015</v>
      </c>
      <c r="B4919" t="s">
        <v>12019</v>
      </c>
      <c r="C4919" t="s">
        <v>2596</v>
      </c>
      <c r="D4919" s="254">
        <v>20.28</v>
      </c>
      <c r="E4919"/>
      <c r="F4919"/>
      <c r="G4919"/>
      <c r="H4919"/>
      <c r="I4919" s="489"/>
      <c r="J4919" s="1095"/>
      <c r="K4919" s="1095"/>
      <c r="L4919" s="1095"/>
      <c r="M4919" s="1095"/>
    </row>
    <row r="4920" spans="1:13" x14ac:dyDescent="0.25">
      <c r="A4920">
        <v>4816119</v>
      </c>
      <c r="B4920" t="s">
        <v>12020</v>
      </c>
      <c r="C4920" t="s">
        <v>2596</v>
      </c>
      <c r="D4920" s="254">
        <v>33.49</v>
      </c>
      <c r="E4920"/>
      <c r="F4920"/>
      <c r="G4920"/>
      <c r="H4920"/>
      <c r="I4920" s="489"/>
      <c r="J4920" s="1095"/>
      <c r="K4920" s="1095"/>
      <c r="L4920" s="1095"/>
      <c r="M4920" s="1095"/>
    </row>
    <row r="4921" spans="1:13" x14ac:dyDescent="0.25">
      <c r="A4921">
        <v>4816004</v>
      </c>
      <c r="B4921" t="s">
        <v>12021</v>
      </c>
      <c r="C4921" t="s">
        <v>2598</v>
      </c>
      <c r="D4921" s="254">
        <v>40.64</v>
      </c>
      <c r="E4921"/>
      <c r="F4921"/>
      <c r="G4921"/>
      <c r="H4921"/>
      <c r="I4921" s="489"/>
      <c r="J4921" s="1095"/>
      <c r="K4921" s="1095"/>
      <c r="L4921" s="1095"/>
      <c r="M4921" s="1095"/>
    </row>
    <row r="4922" spans="1:13" x14ac:dyDescent="0.25">
      <c r="A4922">
        <v>4915652</v>
      </c>
      <c r="B4922" t="s">
        <v>12022</v>
      </c>
      <c r="C4922" t="s">
        <v>2640</v>
      </c>
      <c r="D4922" s="254">
        <v>6.94</v>
      </c>
      <c r="E4922"/>
      <c r="F4922"/>
      <c r="G4922"/>
      <c r="H4922"/>
      <c r="I4922" s="489"/>
      <c r="J4922" s="1095"/>
      <c r="K4922" s="1095"/>
      <c r="L4922" s="1095"/>
      <c r="M4922" s="1095"/>
    </row>
    <row r="4923" spans="1:13" x14ac:dyDescent="0.25">
      <c r="A4923">
        <v>4915651</v>
      </c>
      <c r="B4923" t="s">
        <v>12023</v>
      </c>
      <c r="C4923" t="s">
        <v>2640</v>
      </c>
      <c r="D4923" s="254">
        <v>8.0500000000000007</v>
      </c>
      <c r="E4923"/>
      <c r="F4923"/>
      <c r="G4923"/>
      <c r="H4923"/>
      <c r="I4923" s="489"/>
      <c r="J4923" s="1095"/>
      <c r="K4923" s="1095"/>
      <c r="L4923" s="1095"/>
      <c r="M4923" s="1095"/>
    </row>
    <row r="4924" spans="1:13" x14ac:dyDescent="0.25">
      <c r="A4924">
        <v>4915723</v>
      </c>
      <c r="B4924" t="s">
        <v>12024</v>
      </c>
      <c r="C4924" t="s">
        <v>2595</v>
      </c>
      <c r="D4924" s="254">
        <v>2.95</v>
      </c>
      <c r="E4924"/>
      <c r="F4924"/>
      <c r="G4924"/>
      <c r="H4924"/>
      <c r="I4924" s="489"/>
      <c r="J4924" s="1095"/>
      <c r="K4924" s="1095"/>
      <c r="L4924" s="1095"/>
      <c r="M4924" s="1095"/>
    </row>
    <row r="4925" spans="1:13" x14ac:dyDescent="0.25">
      <c r="A4925">
        <v>4915724</v>
      </c>
      <c r="B4925" t="s">
        <v>12025</v>
      </c>
      <c r="C4925" t="s">
        <v>2595</v>
      </c>
      <c r="D4925" s="254">
        <v>1.73</v>
      </c>
      <c r="E4925"/>
      <c r="F4925"/>
      <c r="G4925"/>
      <c r="H4925"/>
      <c r="I4925" s="489"/>
      <c r="J4925" s="1095"/>
      <c r="K4925" s="1095"/>
      <c r="L4925" s="1095"/>
      <c r="M4925" s="1095"/>
    </row>
    <row r="4926" spans="1:13" x14ac:dyDescent="0.25">
      <c r="A4926">
        <v>4915637</v>
      </c>
      <c r="B4926" t="s">
        <v>12026</v>
      </c>
      <c r="C4926" t="s">
        <v>2595</v>
      </c>
      <c r="D4926" s="254">
        <v>1</v>
      </c>
      <c r="E4926"/>
      <c r="F4926"/>
      <c r="G4926"/>
      <c r="H4926"/>
      <c r="I4926" s="489"/>
      <c r="J4926" s="1095"/>
      <c r="K4926" s="1095"/>
      <c r="L4926" s="1095"/>
      <c r="M4926" s="1095"/>
    </row>
    <row r="4927" spans="1:13" x14ac:dyDescent="0.25">
      <c r="A4927">
        <v>4915779</v>
      </c>
      <c r="B4927" t="s">
        <v>12027</v>
      </c>
      <c r="C4927" t="s">
        <v>2595</v>
      </c>
      <c r="D4927" s="254">
        <v>0.65</v>
      </c>
      <c r="E4927"/>
      <c r="F4927"/>
      <c r="G4927"/>
      <c r="H4927"/>
      <c r="I4927" s="489"/>
      <c r="J4927" s="1095"/>
      <c r="K4927" s="1095"/>
      <c r="L4927" s="1095"/>
      <c r="M4927" s="1095"/>
    </row>
    <row r="4928" spans="1:13" x14ac:dyDescent="0.25">
      <c r="A4928">
        <v>4915638</v>
      </c>
      <c r="B4928" t="s">
        <v>12028</v>
      </c>
      <c r="C4928" t="s">
        <v>2595</v>
      </c>
      <c r="D4928" s="254">
        <v>0.77</v>
      </c>
      <c r="E4928"/>
      <c r="F4928"/>
      <c r="G4928"/>
      <c r="H4928"/>
      <c r="I4928" s="489"/>
      <c r="J4928" s="1095"/>
      <c r="K4928" s="1095"/>
      <c r="L4928" s="1095"/>
      <c r="M4928" s="1095"/>
    </row>
    <row r="4929" spans="1:13" x14ac:dyDescent="0.25">
      <c r="A4929">
        <v>4915636</v>
      </c>
      <c r="B4929" t="s">
        <v>12029</v>
      </c>
      <c r="C4929" t="s">
        <v>2595</v>
      </c>
      <c r="D4929" s="254">
        <v>0.97</v>
      </c>
      <c r="E4929"/>
      <c r="F4929"/>
      <c r="G4929"/>
      <c r="H4929"/>
      <c r="I4929" s="489"/>
      <c r="J4929" s="1095"/>
      <c r="K4929" s="1095"/>
      <c r="L4929" s="1095"/>
      <c r="M4929" s="1095"/>
    </row>
    <row r="4930" spans="1:13" x14ac:dyDescent="0.25">
      <c r="A4930">
        <v>4915744</v>
      </c>
      <c r="B4930" t="s">
        <v>12030</v>
      </c>
      <c r="C4930" t="s">
        <v>2595</v>
      </c>
      <c r="D4930" s="254">
        <v>0.68</v>
      </c>
      <c r="E4930"/>
      <c r="F4930"/>
      <c r="G4930"/>
      <c r="H4930"/>
      <c r="I4930" s="489"/>
      <c r="J4930" s="1095"/>
      <c r="K4930" s="1095"/>
      <c r="L4930" s="1095"/>
      <c r="M4930" s="1095"/>
    </row>
    <row r="4931" spans="1:13" x14ac:dyDescent="0.25">
      <c r="A4931">
        <v>4915700</v>
      </c>
      <c r="B4931" t="s">
        <v>12031</v>
      </c>
      <c r="C4931" t="s">
        <v>2595</v>
      </c>
      <c r="D4931" s="254">
        <v>1.1100000000000001</v>
      </c>
      <c r="E4931"/>
      <c r="F4931"/>
      <c r="G4931"/>
      <c r="H4931"/>
      <c r="I4931" s="489"/>
      <c r="J4931" s="1095"/>
      <c r="K4931" s="1095"/>
      <c r="L4931" s="1095"/>
      <c r="M4931" s="1095"/>
    </row>
    <row r="4932" spans="1:13" x14ac:dyDescent="0.25">
      <c r="A4932">
        <v>4915590</v>
      </c>
      <c r="B4932" t="s">
        <v>12032</v>
      </c>
      <c r="C4932" t="s">
        <v>2595</v>
      </c>
      <c r="D4932" s="254">
        <v>0.73</v>
      </c>
      <c r="E4932"/>
      <c r="F4932"/>
      <c r="G4932"/>
      <c r="H4932"/>
      <c r="I4932" s="489"/>
      <c r="J4932" s="1095"/>
      <c r="K4932" s="1095"/>
      <c r="L4932" s="1095"/>
      <c r="M4932" s="1095"/>
    </row>
    <row r="4933" spans="1:13" x14ac:dyDescent="0.25">
      <c r="A4933">
        <v>4915591</v>
      </c>
      <c r="B4933" t="s">
        <v>12033</v>
      </c>
      <c r="C4933" t="s">
        <v>2595</v>
      </c>
      <c r="D4933" s="254">
        <v>0.85</v>
      </c>
      <c r="E4933"/>
      <c r="F4933"/>
      <c r="G4933"/>
      <c r="H4933"/>
      <c r="I4933" s="489"/>
      <c r="J4933" s="1095"/>
      <c r="K4933" s="1095"/>
      <c r="L4933" s="1095"/>
      <c r="M4933" s="1095"/>
    </row>
    <row r="4934" spans="1:13" x14ac:dyDescent="0.25">
      <c r="A4934">
        <v>4915701</v>
      </c>
      <c r="B4934" t="s">
        <v>12034</v>
      </c>
      <c r="C4934" t="s">
        <v>2595</v>
      </c>
      <c r="D4934" s="254">
        <v>1.06</v>
      </c>
      <c r="E4934"/>
      <c r="F4934"/>
      <c r="G4934"/>
      <c r="H4934"/>
      <c r="I4934" s="489"/>
      <c r="J4934" s="1095"/>
      <c r="K4934" s="1095"/>
      <c r="L4934" s="1095"/>
      <c r="M4934" s="1095"/>
    </row>
    <row r="4935" spans="1:13" x14ac:dyDescent="0.25">
      <c r="A4935">
        <v>4915703</v>
      </c>
      <c r="B4935" t="s">
        <v>12035</v>
      </c>
      <c r="C4935" t="s">
        <v>2596</v>
      </c>
      <c r="D4935" s="254">
        <v>96.27</v>
      </c>
      <c r="E4935"/>
      <c r="F4935"/>
      <c r="G4935"/>
      <c r="H4935"/>
      <c r="I4935" s="489"/>
      <c r="J4935" s="1095"/>
      <c r="K4935" s="1095"/>
      <c r="L4935" s="1095"/>
      <c r="M4935" s="1095"/>
    </row>
    <row r="4936" spans="1:13" x14ac:dyDescent="0.25">
      <c r="A4936">
        <v>4915705</v>
      </c>
      <c r="B4936" t="s">
        <v>12036</v>
      </c>
      <c r="C4936" t="s">
        <v>2596</v>
      </c>
      <c r="D4936" s="254">
        <v>109.91</v>
      </c>
      <c r="E4936"/>
      <c r="F4936"/>
      <c r="G4936"/>
      <c r="H4936"/>
      <c r="I4936" s="489"/>
      <c r="J4936" s="1095"/>
      <c r="K4936" s="1095"/>
      <c r="L4936" s="1095"/>
      <c r="M4936" s="1095"/>
    </row>
    <row r="4937" spans="1:13" x14ac:dyDescent="0.25">
      <c r="A4937">
        <v>4915743</v>
      </c>
      <c r="B4937" t="s">
        <v>12037</v>
      </c>
      <c r="C4937" t="s">
        <v>2595</v>
      </c>
      <c r="D4937" s="254">
        <v>0.08</v>
      </c>
      <c r="E4937"/>
      <c r="F4937"/>
      <c r="G4937"/>
      <c r="H4937"/>
      <c r="I4937" s="489"/>
      <c r="J4937" s="1095"/>
      <c r="K4937" s="1095"/>
      <c r="L4937" s="1095"/>
      <c r="M4937" s="1095"/>
    </row>
    <row r="4938" spans="1:13" x14ac:dyDescent="0.25">
      <c r="A4938">
        <v>4915768</v>
      </c>
      <c r="B4938" t="s">
        <v>12038</v>
      </c>
      <c r="C4938" t="s">
        <v>2596</v>
      </c>
      <c r="D4938" s="254">
        <v>12.97</v>
      </c>
      <c r="E4938"/>
      <c r="F4938"/>
      <c r="G4938"/>
      <c r="H4938"/>
      <c r="I4938" s="489"/>
      <c r="J4938" s="1095"/>
      <c r="K4938" s="1095"/>
      <c r="L4938" s="1095"/>
      <c r="M4938" s="1095"/>
    </row>
    <row r="4939" spans="1:13" x14ac:dyDescent="0.25">
      <c r="A4939">
        <v>4915713</v>
      </c>
      <c r="B4939" t="s">
        <v>12039</v>
      </c>
      <c r="C4939" t="s">
        <v>2596</v>
      </c>
      <c r="D4939" s="254">
        <v>59.1</v>
      </c>
      <c r="E4939"/>
      <c r="F4939"/>
      <c r="G4939"/>
      <c r="H4939"/>
      <c r="I4939" s="489"/>
      <c r="J4939" s="1095"/>
      <c r="K4939" s="1095"/>
      <c r="L4939" s="1095"/>
      <c r="M4939" s="1095"/>
    </row>
    <row r="4940" spans="1:13" x14ac:dyDescent="0.25">
      <c r="A4940">
        <v>4915650</v>
      </c>
      <c r="B4940" t="s">
        <v>12040</v>
      </c>
      <c r="C4940" t="s">
        <v>2716</v>
      </c>
      <c r="D4940" s="254">
        <v>327.81</v>
      </c>
      <c r="E4940"/>
      <c r="F4940"/>
      <c r="G4940"/>
      <c r="H4940"/>
      <c r="I4940" s="489"/>
      <c r="J4940" s="1095"/>
      <c r="K4940" s="1095"/>
      <c r="L4940" s="1095"/>
      <c r="M4940" s="1095"/>
    </row>
    <row r="4941" spans="1:13" x14ac:dyDescent="0.25">
      <c r="A4941">
        <v>4915645</v>
      </c>
      <c r="B4941" t="s">
        <v>12041</v>
      </c>
      <c r="C4941" t="s">
        <v>2716</v>
      </c>
      <c r="D4941" s="254">
        <v>257.75</v>
      </c>
      <c r="E4941"/>
      <c r="F4941"/>
      <c r="G4941"/>
      <c r="H4941"/>
      <c r="I4941" s="489"/>
      <c r="J4941" s="1095"/>
      <c r="K4941" s="1095"/>
      <c r="L4941" s="1095"/>
      <c r="M4941" s="1095"/>
    </row>
    <row r="4942" spans="1:13" x14ac:dyDescent="0.25">
      <c r="A4942">
        <v>4915712</v>
      </c>
      <c r="B4942" t="s">
        <v>12042</v>
      </c>
      <c r="C4942" t="s">
        <v>2596</v>
      </c>
      <c r="D4942" s="254">
        <v>19.7</v>
      </c>
      <c r="E4942"/>
      <c r="F4942"/>
      <c r="G4942"/>
      <c r="H4942"/>
      <c r="I4942" s="489"/>
      <c r="J4942" s="1095"/>
      <c r="K4942" s="1095"/>
      <c r="L4942" s="1095"/>
      <c r="M4942" s="1095"/>
    </row>
    <row r="4943" spans="1:13" x14ac:dyDescent="0.25">
      <c r="A4943">
        <v>4915791</v>
      </c>
      <c r="B4943" t="s">
        <v>12043</v>
      </c>
      <c r="C4943" t="s">
        <v>2596</v>
      </c>
      <c r="D4943" s="254">
        <v>74.25</v>
      </c>
      <c r="E4943"/>
      <c r="F4943"/>
      <c r="G4943"/>
      <c r="H4943"/>
      <c r="I4943" s="489"/>
      <c r="J4943" s="1095"/>
      <c r="K4943" s="1095"/>
      <c r="L4943" s="1095"/>
      <c r="M4943" s="1095"/>
    </row>
    <row r="4944" spans="1:13" x14ac:dyDescent="0.25">
      <c r="A4944">
        <v>4915711</v>
      </c>
      <c r="B4944" t="s">
        <v>12044</v>
      </c>
      <c r="C4944" t="s">
        <v>2598</v>
      </c>
      <c r="D4944" s="254">
        <v>1.31</v>
      </c>
      <c r="E4944"/>
      <c r="F4944"/>
      <c r="G4944"/>
      <c r="H4944"/>
      <c r="I4944" s="489"/>
      <c r="J4944" s="1095"/>
      <c r="K4944" s="1095"/>
      <c r="L4944" s="1095"/>
      <c r="M4944" s="1095"/>
    </row>
    <row r="4945" spans="1:13" x14ac:dyDescent="0.25">
      <c r="A4945">
        <v>4915790</v>
      </c>
      <c r="B4945" t="s">
        <v>12045</v>
      </c>
      <c r="C4945" t="s">
        <v>2695</v>
      </c>
      <c r="D4945" s="254">
        <v>248.53</v>
      </c>
      <c r="E4945"/>
      <c r="F4945"/>
      <c r="G4945"/>
      <c r="H4945"/>
      <c r="I4945" s="489"/>
      <c r="J4945" s="1095"/>
      <c r="K4945" s="1095"/>
      <c r="L4945" s="1095"/>
      <c r="M4945" s="1095"/>
    </row>
    <row r="4946" spans="1:13" x14ac:dyDescent="0.25">
      <c r="A4946">
        <v>4915793</v>
      </c>
      <c r="B4946" t="s">
        <v>12046</v>
      </c>
      <c r="C4946" t="s">
        <v>2695</v>
      </c>
      <c r="D4946" s="254">
        <v>193.2</v>
      </c>
      <c r="E4946"/>
      <c r="F4946"/>
      <c r="G4946"/>
      <c r="H4946"/>
      <c r="I4946" s="489"/>
      <c r="J4946" s="1095"/>
      <c r="K4946" s="1095"/>
      <c r="L4946" s="1095"/>
      <c r="M4946" s="1095"/>
    </row>
    <row r="4947" spans="1:13" x14ac:dyDescent="0.25">
      <c r="A4947">
        <v>4915792</v>
      </c>
      <c r="B4947" t="s">
        <v>12047</v>
      </c>
      <c r="C4947" t="s">
        <v>2695</v>
      </c>
      <c r="D4947" s="254">
        <v>80.42</v>
      </c>
      <c r="E4947"/>
      <c r="F4947"/>
      <c r="G4947"/>
      <c r="H4947"/>
      <c r="I4947" s="489"/>
      <c r="J4947" s="1095"/>
      <c r="K4947" s="1095"/>
      <c r="L4947" s="1095"/>
      <c r="M4947" s="1095"/>
    </row>
    <row r="4948" spans="1:13" x14ac:dyDescent="0.25">
      <c r="A4948">
        <v>4915718</v>
      </c>
      <c r="B4948" t="s">
        <v>12048</v>
      </c>
      <c r="C4948" t="s">
        <v>2595</v>
      </c>
      <c r="D4948" s="254">
        <v>8.7899999999999991</v>
      </c>
      <c r="E4948"/>
      <c r="F4948"/>
      <c r="G4948"/>
      <c r="H4948"/>
      <c r="I4948" s="489"/>
      <c r="J4948" s="1095"/>
      <c r="K4948" s="1095"/>
      <c r="L4948" s="1095"/>
      <c r="M4948" s="1095"/>
    </row>
    <row r="4949" spans="1:13" x14ac:dyDescent="0.25">
      <c r="A4949">
        <v>4915672</v>
      </c>
      <c r="B4949" t="s">
        <v>12049</v>
      </c>
      <c r="C4949" t="s">
        <v>2598</v>
      </c>
      <c r="D4949" s="254">
        <v>3.94</v>
      </c>
      <c r="E4949"/>
      <c r="F4949"/>
      <c r="G4949"/>
      <c r="H4949"/>
      <c r="I4949" s="489"/>
      <c r="J4949" s="1095"/>
      <c r="K4949" s="1095"/>
      <c r="L4949" s="1095"/>
      <c r="M4949" s="1095"/>
    </row>
    <row r="4950" spans="1:13" x14ac:dyDescent="0.25">
      <c r="A4950">
        <v>4915708</v>
      </c>
      <c r="B4950" t="s">
        <v>12050</v>
      </c>
      <c r="C4950" t="s">
        <v>2598</v>
      </c>
      <c r="D4950" s="254">
        <v>0.66</v>
      </c>
      <c r="E4950"/>
      <c r="F4950"/>
      <c r="G4950"/>
      <c r="H4950"/>
      <c r="I4950" s="489"/>
      <c r="J4950" s="1095"/>
      <c r="K4950" s="1095"/>
      <c r="L4950" s="1095"/>
      <c r="M4950" s="1095"/>
    </row>
    <row r="4951" spans="1:13" x14ac:dyDescent="0.25">
      <c r="A4951">
        <v>4915710</v>
      </c>
      <c r="B4951" t="s">
        <v>12051</v>
      </c>
      <c r="C4951" t="s">
        <v>2598</v>
      </c>
      <c r="D4951" s="254">
        <v>3.94</v>
      </c>
      <c r="E4951"/>
      <c r="F4951"/>
      <c r="G4951"/>
      <c r="H4951"/>
      <c r="I4951" s="489"/>
      <c r="J4951" s="1095"/>
      <c r="K4951" s="1095"/>
      <c r="L4951" s="1095"/>
      <c r="M4951" s="1095"/>
    </row>
    <row r="4952" spans="1:13" x14ac:dyDescent="0.25">
      <c r="A4952">
        <v>4915709</v>
      </c>
      <c r="B4952" t="s">
        <v>12052</v>
      </c>
      <c r="C4952" t="s">
        <v>2598</v>
      </c>
      <c r="D4952" s="254">
        <v>0.98</v>
      </c>
      <c r="E4952"/>
      <c r="F4952"/>
      <c r="G4952"/>
      <c r="H4952"/>
      <c r="I4952" s="489"/>
      <c r="J4952" s="1095"/>
      <c r="K4952" s="1095"/>
      <c r="L4952" s="1095"/>
      <c r="M4952" s="1095"/>
    </row>
    <row r="4953" spans="1:13" x14ac:dyDescent="0.25">
      <c r="A4953">
        <v>4915686</v>
      </c>
      <c r="B4953" t="s">
        <v>12053</v>
      </c>
      <c r="C4953" t="s">
        <v>2640</v>
      </c>
      <c r="D4953" s="254">
        <v>3.94</v>
      </c>
      <c r="E4953"/>
      <c r="F4953"/>
      <c r="G4953"/>
      <c r="H4953"/>
      <c r="I4953" s="489"/>
      <c r="J4953" s="1095"/>
      <c r="K4953" s="1095"/>
      <c r="L4953" s="1095"/>
      <c r="M4953" s="1095"/>
    </row>
    <row r="4954" spans="1:13" x14ac:dyDescent="0.25">
      <c r="A4954">
        <v>4915687</v>
      </c>
      <c r="B4954" t="s">
        <v>12054</v>
      </c>
      <c r="C4954" t="s">
        <v>2640</v>
      </c>
      <c r="D4954" s="254">
        <v>2.46</v>
      </c>
      <c r="E4954"/>
      <c r="F4954"/>
      <c r="G4954"/>
      <c r="H4954"/>
      <c r="I4954" s="489"/>
      <c r="J4954" s="1095"/>
      <c r="K4954" s="1095"/>
      <c r="L4954" s="1095"/>
      <c r="M4954" s="1095"/>
    </row>
    <row r="4955" spans="1:13" x14ac:dyDescent="0.25">
      <c r="A4955">
        <v>4915634</v>
      </c>
      <c r="B4955" t="s">
        <v>12055</v>
      </c>
      <c r="C4955" t="s">
        <v>2598</v>
      </c>
      <c r="D4955" s="254">
        <v>69.08</v>
      </c>
      <c r="E4955"/>
      <c r="F4955"/>
      <c r="G4955"/>
      <c r="H4955"/>
      <c r="I4955" s="489"/>
      <c r="J4955" s="1095"/>
      <c r="K4955" s="1095"/>
      <c r="L4955" s="1095"/>
      <c r="M4955" s="1095"/>
    </row>
    <row r="4956" spans="1:13" x14ac:dyDescent="0.25">
      <c r="A4956">
        <v>4915633</v>
      </c>
      <c r="B4956" t="s">
        <v>12056</v>
      </c>
      <c r="C4956" t="s">
        <v>2598</v>
      </c>
      <c r="D4956" s="254">
        <v>22.79</v>
      </c>
      <c r="E4956"/>
      <c r="F4956"/>
      <c r="G4956"/>
      <c r="H4956"/>
      <c r="I4956" s="489"/>
      <c r="J4956" s="1095"/>
      <c r="K4956" s="1095"/>
      <c r="L4956" s="1095"/>
      <c r="M4956" s="1095"/>
    </row>
    <row r="4957" spans="1:13" x14ac:dyDescent="0.25">
      <c r="A4957">
        <v>4915714</v>
      </c>
      <c r="B4957" t="s">
        <v>12057</v>
      </c>
      <c r="C4957" t="s">
        <v>2598</v>
      </c>
      <c r="D4957" s="254">
        <v>3.42</v>
      </c>
      <c r="E4957"/>
      <c r="F4957"/>
      <c r="G4957"/>
      <c r="H4957"/>
      <c r="I4957" s="489"/>
      <c r="J4957" s="1095"/>
      <c r="K4957" s="1095"/>
      <c r="L4957" s="1095"/>
      <c r="M4957" s="1095"/>
    </row>
    <row r="4958" spans="1:13" x14ac:dyDescent="0.25">
      <c r="A4958">
        <v>4915759</v>
      </c>
      <c r="B4958" t="s">
        <v>12058</v>
      </c>
      <c r="C4958" t="s">
        <v>2640</v>
      </c>
      <c r="D4958" s="254">
        <v>6.64</v>
      </c>
      <c r="E4958"/>
      <c r="F4958"/>
      <c r="G4958"/>
      <c r="H4958"/>
      <c r="I4958" s="489"/>
      <c r="J4958" s="1095"/>
      <c r="K4958" s="1095"/>
      <c r="L4958" s="1095"/>
      <c r="M4958" s="1095"/>
    </row>
    <row r="4959" spans="1:13" x14ac:dyDescent="0.25">
      <c r="A4959">
        <v>4915758</v>
      </c>
      <c r="B4959" t="s">
        <v>12059</v>
      </c>
      <c r="C4959" t="s">
        <v>2598</v>
      </c>
      <c r="D4959" s="254">
        <v>3.96</v>
      </c>
      <c r="E4959"/>
      <c r="F4959"/>
      <c r="G4959"/>
      <c r="H4959"/>
      <c r="I4959" s="489"/>
      <c r="J4959" s="1095"/>
      <c r="K4959" s="1095"/>
      <c r="L4959" s="1095"/>
      <c r="M4959" s="1095"/>
    </row>
    <row r="4960" spans="1:13" x14ac:dyDescent="0.25">
      <c r="A4960">
        <v>4915640</v>
      </c>
      <c r="B4960" t="s">
        <v>12060</v>
      </c>
      <c r="C4960" t="s">
        <v>2596</v>
      </c>
      <c r="D4960" s="254">
        <v>19.7</v>
      </c>
      <c r="E4960"/>
      <c r="F4960"/>
      <c r="G4960"/>
      <c r="H4960"/>
      <c r="I4960" s="489"/>
      <c r="J4960" s="1095"/>
      <c r="K4960" s="1095"/>
      <c r="L4960" s="1095"/>
      <c r="M4960" s="1095"/>
    </row>
    <row r="4961" spans="1:13" x14ac:dyDescent="0.25">
      <c r="A4961">
        <v>4915639</v>
      </c>
      <c r="B4961" t="s">
        <v>12061</v>
      </c>
      <c r="C4961" t="s">
        <v>2595</v>
      </c>
      <c r="D4961" s="254">
        <v>3.94</v>
      </c>
      <c r="E4961"/>
      <c r="F4961"/>
      <c r="G4961"/>
      <c r="H4961"/>
      <c r="I4961" s="489"/>
      <c r="J4961" s="1095"/>
      <c r="K4961" s="1095"/>
      <c r="L4961" s="1095"/>
      <c r="M4961" s="1095"/>
    </row>
    <row r="4962" spans="1:13" x14ac:dyDescent="0.25">
      <c r="A4962">
        <v>4915695</v>
      </c>
      <c r="B4962" t="s">
        <v>13824</v>
      </c>
      <c r="C4962" t="s">
        <v>2598</v>
      </c>
      <c r="D4962" s="254">
        <v>6.29</v>
      </c>
      <c r="E4962"/>
      <c r="F4962"/>
      <c r="G4962"/>
      <c r="H4962"/>
      <c r="I4962" s="489"/>
      <c r="J4962" s="1095"/>
      <c r="K4962" s="1095"/>
      <c r="L4962" s="1095"/>
      <c r="M4962" s="1095"/>
    </row>
    <row r="4963" spans="1:13" x14ac:dyDescent="0.25">
      <c r="A4963">
        <v>4915696</v>
      </c>
      <c r="B4963" t="s">
        <v>13825</v>
      </c>
      <c r="C4963" t="s">
        <v>2598</v>
      </c>
      <c r="D4963" s="254">
        <v>6.29</v>
      </c>
      <c r="E4963"/>
      <c r="F4963"/>
      <c r="G4963"/>
      <c r="H4963"/>
      <c r="I4963" s="489"/>
      <c r="J4963" s="1095"/>
      <c r="K4963" s="1095"/>
      <c r="L4963" s="1095"/>
      <c r="M4963" s="1095"/>
    </row>
    <row r="4964" spans="1:13" x14ac:dyDescent="0.25">
      <c r="A4964">
        <v>4915694</v>
      </c>
      <c r="B4964" t="s">
        <v>13826</v>
      </c>
      <c r="C4964" t="s">
        <v>2598</v>
      </c>
      <c r="D4964" s="254">
        <v>26.02</v>
      </c>
      <c r="E4964"/>
      <c r="F4964"/>
      <c r="G4964"/>
      <c r="H4964"/>
      <c r="I4964" s="489"/>
      <c r="J4964" s="1095"/>
      <c r="K4964" s="1095"/>
      <c r="L4964" s="1095"/>
      <c r="M4964" s="1095"/>
    </row>
    <row r="4965" spans="1:13" x14ac:dyDescent="0.25">
      <c r="A4965">
        <v>4915654</v>
      </c>
      <c r="B4965" t="s">
        <v>12062</v>
      </c>
      <c r="C4965" t="s">
        <v>2595</v>
      </c>
      <c r="D4965" s="254">
        <v>10.74</v>
      </c>
      <c r="E4965"/>
      <c r="F4965"/>
      <c r="G4965"/>
      <c r="H4965"/>
      <c r="I4965" s="489"/>
      <c r="J4965" s="1095"/>
      <c r="K4965" s="1095"/>
      <c r="L4965" s="1095"/>
      <c r="M4965" s="1095"/>
    </row>
    <row r="4966" spans="1:13" x14ac:dyDescent="0.25">
      <c r="A4966">
        <v>4900001</v>
      </c>
      <c r="B4966" t="s">
        <v>12063</v>
      </c>
      <c r="C4966" t="s">
        <v>2596</v>
      </c>
      <c r="D4966" s="254">
        <v>0</v>
      </c>
      <c r="E4966"/>
      <c r="F4966"/>
      <c r="G4966"/>
      <c r="H4966"/>
      <c r="I4966" s="489"/>
      <c r="J4966" s="1095"/>
      <c r="K4966" s="1095"/>
      <c r="L4966" s="1095"/>
      <c r="M4966" s="1095"/>
    </row>
    <row r="4967" spans="1:13" x14ac:dyDescent="0.25">
      <c r="A4967">
        <v>4915801</v>
      </c>
      <c r="B4967" t="s">
        <v>12064</v>
      </c>
      <c r="C4967" t="s">
        <v>2596</v>
      </c>
      <c r="D4967" s="254">
        <v>0</v>
      </c>
      <c r="E4967"/>
      <c r="F4967"/>
      <c r="G4967"/>
      <c r="H4967"/>
      <c r="I4967" s="489"/>
      <c r="J4967" s="1095"/>
      <c r="K4967" s="1095"/>
      <c r="L4967" s="1095"/>
      <c r="M4967" s="1095"/>
    </row>
    <row r="4968" spans="1:13" x14ac:dyDescent="0.25">
      <c r="A4968">
        <v>4916290</v>
      </c>
      <c r="B4968" t="s">
        <v>12065</v>
      </c>
      <c r="C4968" t="s">
        <v>2596</v>
      </c>
      <c r="D4968" s="254">
        <v>312.92</v>
      </c>
      <c r="E4968"/>
      <c r="F4968"/>
      <c r="G4968"/>
      <c r="H4968"/>
      <c r="I4968" s="489"/>
      <c r="J4968" s="1095"/>
      <c r="K4968" s="1095"/>
      <c r="L4968" s="1095"/>
      <c r="M4968" s="1095"/>
    </row>
    <row r="4969" spans="1:13" x14ac:dyDescent="0.25">
      <c r="A4969">
        <v>4915765</v>
      </c>
      <c r="B4969" t="s">
        <v>12066</v>
      </c>
      <c r="C4969" t="s">
        <v>2596</v>
      </c>
      <c r="D4969" s="254">
        <v>214.05</v>
      </c>
      <c r="E4969"/>
      <c r="F4969"/>
      <c r="G4969"/>
      <c r="H4969"/>
      <c r="I4969" s="489"/>
      <c r="J4969" s="1095"/>
      <c r="K4969" s="1095"/>
      <c r="L4969" s="1095"/>
      <c r="M4969" s="1095"/>
    </row>
    <row r="4970" spans="1:13" x14ac:dyDescent="0.25">
      <c r="A4970">
        <v>4915766</v>
      </c>
      <c r="B4970" t="s">
        <v>12067</v>
      </c>
      <c r="C4970" t="s">
        <v>2596</v>
      </c>
      <c r="D4970" s="254">
        <v>125.64</v>
      </c>
      <c r="E4970"/>
      <c r="F4970"/>
      <c r="G4970"/>
      <c r="H4970"/>
      <c r="I4970" s="489"/>
      <c r="J4970" s="1095"/>
      <c r="K4970" s="1095"/>
      <c r="L4970" s="1095"/>
      <c r="M4970" s="1095"/>
    </row>
    <row r="4971" spans="1:13" x14ac:dyDescent="0.25">
      <c r="A4971">
        <v>4915764</v>
      </c>
      <c r="B4971" t="s">
        <v>12068</v>
      </c>
      <c r="C4971" t="s">
        <v>2596</v>
      </c>
      <c r="D4971" s="254">
        <v>385.3</v>
      </c>
      <c r="E4971"/>
      <c r="F4971"/>
      <c r="G4971"/>
      <c r="H4971"/>
      <c r="I4971" s="489"/>
      <c r="J4971" s="1095"/>
      <c r="K4971" s="1095"/>
      <c r="L4971" s="1095"/>
      <c r="M4971" s="1095"/>
    </row>
    <row r="4972" spans="1:13" x14ac:dyDescent="0.25">
      <c r="A4972">
        <v>4915767</v>
      </c>
      <c r="B4972" t="s">
        <v>12069</v>
      </c>
      <c r="C4972" t="s">
        <v>2596</v>
      </c>
      <c r="D4972" s="254">
        <v>82.56</v>
      </c>
      <c r="E4972"/>
      <c r="F4972"/>
      <c r="G4972"/>
      <c r="H4972"/>
      <c r="I4972" s="489"/>
      <c r="J4972" s="1095"/>
      <c r="K4972" s="1095"/>
      <c r="L4972" s="1095"/>
      <c r="M4972" s="1095"/>
    </row>
    <row r="4973" spans="1:13" x14ac:dyDescent="0.25">
      <c r="A4973">
        <v>4915777</v>
      </c>
      <c r="B4973" t="s">
        <v>13827</v>
      </c>
      <c r="C4973" t="s">
        <v>2598</v>
      </c>
      <c r="D4973" s="254">
        <v>13.03</v>
      </c>
      <c r="E4973"/>
      <c r="F4973"/>
      <c r="G4973"/>
      <c r="H4973"/>
      <c r="I4973" s="489"/>
      <c r="J4973" s="1095"/>
      <c r="K4973" s="1095"/>
      <c r="L4973" s="1095"/>
      <c r="M4973" s="1095"/>
    </row>
    <row r="4974" spans="1:13" x14ac:dyDescent="0.25">
      <c r="A4974">
        <v>4915618</v>
      </c>
      <c r="B4974" t="s">
        <v>12070</v>
      </c>
      <c r="C4974" t="s">
        <v>2595</v>
      </c>
      <c r="D4974" s="254">
        <v>3.26</v>
      </c>
      <c r="E4974"/>
      <c r="F4974"/>
      <c r="G4974"/>
      <c r="H4974"/>
      <c r="I4974" s="489"/>
      <c r="J4974" s="1095"/>
      <c r="K4974" s="1095"/>
      <c r="L4974" s="1095"/>
      <c r="M4974" s="1095"/>
    </row>
    <row r="4975" spans="1:13" x14ac:dyDescent="0.25">
      <c r="A4975">
        <v>4915774</v>
      </c>
      <c r="B4975" t="s">
        <v>12071</v>
      </c>
      <c r="C4975" t="s">
        <v>2596</v>
      </c>
      <c r="D4975" s="254">
        <v>23.59</v>
      </c>
      <c r="E4975"/>
      <c r="F4975"/>
      <c r="G4975"/>
      <c r="H4975"/>
      <c r="I4975" s="489"/>
      <c r="J4975" s="1095"/>
      <c r="K4975" s="1095"/>
      <c r="L4975" s="1095"/>
      <c r="M4975" s="1095"/>
    </row>
    <row r="4976" spans="1:13" x14ac:dyDescent="0.25">
      <c r="A4976">
        <v>4915719</v>
      </c>
      <c r="B4976" t="s">
        <v>12072</v>
      </c>
      <c r="C4976" t="s">
        <v>2595</v>
      </c>
      <c r="D4976" s="254">
        <v>32.979999999999997</v>
      </c>
      <c r="E4976"/>
      <c r="F4976"/>
      <c r="G4976"/>
      <c r="H4976"/>
      <c r="I4976" s="489"/>
      <c r="J4976" s="1095"/>
      <c r="K4976" s="1095"/>
      <c r="L4976" s="1095"/>
      <c r="M4976" s="1095"/>
    </row>
    <row r="4977" spans="1:13" x14ac:dyDescent="0.25">
      <c r="A4977">
        <v>4915611</v>
      </c>
      <c r="B4977" t="s">
        <v>12073</v>
      </c>
      <c r="C4977" t="s">
        <v>2596</v>
      </c>
      <c r="D4977" s="254">
        <v>11.21</v>
      </c>
      <c r="E4977"/>
      <c r="F4977"/>
      <c r="G4977"/>
      <c r="H4977"/>
      <c r="I4977" s="489"/>
      <c r="J4977" s="1095"/>
      <c r="K4977" s="1095"/>
      <c r="L4977" s="1095"/>
      <c r="M4977" s="1095"/>
    </row>
    <row r="4978" spans="1:13" x14ac:dyDescent="0.25">
      <c r="A4978">
        <v>4915733</v>
      </c>
      <c r="B4978" t="s">
        <v>12074</v>
      </c>
      <c r="C4978" t="s">
        <v>2596</v>
      </c>
      <c r="D4978" s="254">
        <v>38.18</v>
      </c>
      <c r="E4978"/>
      <c r="F4978"/>
      <c r="G4978"/>
      <c r="H4978"/>
      <c r="I4978" s="489"/>
      <c r="J4978" s="1095"/>
      <c r="K4978" s="1095"/>
      <c r="L4978" s="1095"/>
      <c r="M4978" s="1095"/>
    </row>
    <row r="4979" spans="1:13" x14ac:dyDescent="0.25">
      <c r="A4979">
        <v>4915734</v>
      </c>
      <c r="B4979" t="s">
        <v>12075</v>
      </c>
      <c r="C4979" t="s">
        <v>2596</v>
      </c>
      <c r="D4979" s="254">
        <v>12.23</v>
      </c>
      <c r="E4979"/>
      <c r="F4979"/>
      <c r="G4979"/>
      <c r="H4979"/>
      <c r="I4979" s="489"/>
      <c r="J4979" s="1095"/>
      <c r="K4979" s="1095"/>
      <c r="L4979" s="1095"/>
      <c r="M4979" s="1095"/>
    </row>
    <row r="4980" spans="1:13" x14ac:dyDescent="0.25">
      <c r="A4980">
        <v>4915727</v>
      </c>
      <c r="B4980" t="s">
        <v>6382</v>
      </c>
      <c r="C4980" t="s">
        <v>2598</v>
      </c>
      <c r="D4980" s="254">
        <v>10</v>
      </c>
      <c r="E4980"/>
      <c r="F4980"/>
      <c r="G4980"/>
      <c r="H4980"/>
      <c r="I4980" s="489"/>
      <c r="J4980" s="1095"/>
      <c r="K4980" s="1095"/>
      <c r="L4980" s="1095"/>
      <c r="M4980" s="1095"/>
    </row>
    <row r="4981" spans="1:13" x14ac:dyDescent="0.25">
      <c r="A4981">
        <v>4915726</v>
      </c>
      <c r="B4981" t="s">
        <v>6384</v>
      </c>
      <c r="C4981" t="s">
        <v>2598</v>
      </c>
      <c r="D4981" s="254">
        <v>25.24</v>
      </c>
      <c r="E4981"/>
      <c r="F4981"/>
      <c r="G4981"/>
      <c r="H4981"/>
      <c r="I4981" s="489"/>
      <c r="J4981" s="1095"/>
      <c r="K4981" s="1095"/>
      <c r="L4981" s="1095"/>
      <c r="M4981" s="1095"/>
    </row>
    <row r="4982" spans="1:13" x14ac:dyDescent="0.25">
      <c r="A4982">
        <v>4915594</v>
      </c>
      <c r="B4982" t="s">
        <v>12076</v>
      </c>
      <c r="C4982" t="s">
        <v>2598</v>
      </c>
      <c r="D4982" s="254">
        <v>23.69</v>
      </c>
      <c r="E4982"/>
      <c r="F4982"/>
      <c r="G4982"/>
      <c r="H4982"/>
      <c r="I4982" s="489"/>
      <c r="J4982" s="1095"/>
      <c r="K4982" s="1095"/>
      <c r="L4982" s="1095"/>
      <c r="M4982" s="1095"/>
    </row>
    <row r="4983" spans="1:13" x14ac:dyDescent="0.25">
      <c r="A4983">
        <v>4915729</v>
      </c>
      <c r="B4983" t="s">
        <v>12077</v>
      </c>
      <c r="C4983" t="s">
        <v>2598</v>
      </c>
      <c r="D4983" s="254">
        <v>19.350000000000001</v>
      </c>
      <c r="E4983"/>
      <c r="F4983"/>
      <c r="G4983"/>
      <c r="H4983"/>
      <c r="I4983" s="489"/>
      <c r="J4983" s="1095"/>
      <c r="K4983" s="1095"/>
      <c r="L4983" s="1095"/>
      <c r="M4983" s="1095"/>
    </row>
    <row r="4984" spans="1:13" x14ac:dyDescent="0.25">
      <c r="A4984">
        <v>4915596</v>
      </c>
      <c r="B4984" t="s">
        <v>12078</v>
      </c>
      <c r="C4984" t="s">
        <v>2598</v>
      </c>
      <c r="D4984" s="254">
        <v>18.68</v>
      </c>
      <c r="E4984"/>
      <c r="F4984"/>
      <c r="G4984"/>
      <c r="H4984"/>
      <c r="I4984" s="489"/>
      <c r="J4984" s="1095"/>
      <c r="K4984" s="1095"/>
      <c r="L4984" s="1095"/>
      <c r="M4984" s="1095"/>
    </row>
    <row r="4985" spans="1:13" x14ac:dyDescent="0.25">
      <c r="A4985">
        <v>4915732</v>
      </c>
      <c r="B4985" t="s">
        <v>12079</v>
      </c>
      <c r="C4985" t="s">
        <v>2598</v>
      </c>
      <c r="D4985" s="254">
        <v>7.74</v>
      </c>
      <c r="E4985"/>
      <c r="F4985"/>
      <c r="G4985"/>
      <c r="H4985"/>
      <c r="I4985" s="489"/>
      <c r="J4985" s="1095"/>
      <c r="K4985" s="1095"/>
      <c r="L4985" s="1095"/>
      <c r="M4985" s="1095"/>
    </row>
    <row r="4986" spans="1:13" x14ac:dyDescent="0.25">
      <c r="A4986">
        <v>4915731</v>
      </c>
      <c r="B4986" t="s">
        <v>6383</v>
      </c>
      <c r="C4986" t="s">
        <v>2598</v>
      </c>
      <c r="D4986" s="254">
        <v>17.510000000000002</v>
      </c>
      <c r="E4986"/>
      <c r="F4986"/>
      <c r="G4986"/>
      <c r="H4986"/>
      <c r="I4986" s="489"/>
      <c r="J4986" s="1095"/>
      <c r="K4986" s="1095"/>
      <c r="L4986" s="1095"/>
      <c r="M4986" s="1095"/>
    </row>
    <row r="4987" spans="1:13" x14ac:dyDescent="0.25">
      <c r="A4987">
        <v>4915725</v>
      </c>
      <c r="B4987" t="s">
        <v>6385</v>
      </c>
      <c r="C4987" t="s">
        <v>2598</v>
      </c>
      <c r="D4987" s="254">
        <v>30.11</v>
      </c>
      <c r="E4987"/>
      <c r="F4987"/>
      <c r="G4987"/>
      <c r="H4987"/>
      <c r="I4987" s="489"/>
      <c r="J4987" s="1095"/>
      <c r="K4987" s="1095"/>
      <c r="L4987" s="1095"/>
      <c r="M4987" s="1095"/>
    </row>
    <row r="4988" spans="1:13" x14ac:dyDescent="0.25">
      <c r="A4988">
        <v>4915593</v>
      </c>
      <c r="B4988" t="s">
        <v>12080</v>
      </c>
      <c r="C4988" t="s">
        <v>2598</v>
      </c>
      <c r="D4988" s="254">
        <v>28.55</v>
      </c>
      <c r="E4988"/>
      <c r="F4988"/>
      <c r="G4988"/>
      <c r="H4988"/>
      <c r="I4988" s="489"/>
      <c r="J4988" s="1095"/>
      <c r="K4988" s="1095"/>
      <c r="L4988" s="1095"/>
      <c r="M4988" s="1095"/>
    </row>
    <row r="4989" spans="1:13" x14ac:dyDescent="0.25">
      <c r="A4989">
        <v>4915728</v>
      </c>
      <c r="B4989" t="s">
        <v>12081</v>
      </c>
      <c r="C4989" t="s">
        <v>2598</v>
      </c>
      <c r="D4989" s="254">
        <v>28.91</v>
      </c>
      <c r="E4989"/>
      <c r="F4989"/>
      <c r="G4989"/>
      <c r="H4989"/>
      <c r="I4989" s="489"/>
      <c r="J4989" s="1095"/>
      <c r="K4989" s="1095"/>
      <c r="L4989" s="1095"/>
      <c r="M4989" s="1095"/>
    </row>
    <row r="4990" spans="1:13" x14ac:dyDescent="0.25">
      <c r="A4990">
        <v>4915595</v>
      </c>
      <c r="B4990" t="s">
        <v>12082</v>
      </c>
      <c r="C4990" t="s">
        <v>2598</v>
      </c>
      <c r="D4990" s="254">
        <v>28.24</v>
      </c>
      <c r="E4990"/>
      <c r="F4990"/>
      <c r="G4990"/>
      <c r="H4990"/>
      <c r="I4990" s="489"/>
      <c r="J4990" s="1095"/>
      <c r="K4990" s="1095"/>
      <c r="L4990" s="1095"/>
      <c r="M4990" s="1095"/>
    </row>
    <row r="4991" spans="1:13" x14ac:dyDescent="0.25">
      <c r="A4991">
        <v>4915730</v>
      </c>
      <c r="B4991" t="s">
        <v>6386</v>
      </c>
      <c r="C4991" t="s">
        <v>2598</v>
      </c>
      <c r="D4991" s="254">
        <v>24.45</v>
      </c>
      <c r="E4991"/>
      <c r="F4991"/>
      <c r="G4991"/>
      <c r="H4991"/>
      <c r="I4991" s="489"/>
      <c r="J4991" s="1095"/>
      <c r="K4991" s="1095"/>
      <c r="L4991" s="1095"/>
      <c r="M4991" s="1095"/>
    </row>
    <row r="4992" spans="1:13" x14ac:dyDescent="0.25">
      <c r="A4992">
        <v>4915598</v>
      </c>
      <c r="B4992" t="s">
        <v>12083</v>
      </c>
      <c r="C4992" t="s">
        <v>2595</v>
      </c>
      <c r="D4992" s="254">
        <v>0.09</v>
      </c>
      <c r="E4992"/>
      <c r="F4992"/>
      <c r="G4992"/>
      <c r="H4992"/>
      <c r="I4992" s="489"/>
      <c r="J4992" s="1095"/>
      <c r="K4992" s="1095"/>
      <c r="L4992" s="1095"/>
      <c r="M4992" s="1095"/>
    </row>
    <row r="4993" spans="1:13" x14ac:dyDescent="0.25">
      <c r="A4993">
        <v>4915748</v>
      </c>
      <c r="B4993" t="s">
        <v>12084</v>
      </c>
      <c r="C4993" t="s">
        <v>2595</v>
      </c>
      <c r="D4993" s="254">
        <v>212.92</v>
      </c>
      <c r="E4993"/>
      <c r="F4993"/>
      <c r="G4993"/>
      <c r="H4993"/>
      <c r="I4993" s="489"/>
      <c r="J4993" s="1095"/>
      <c r="K4993" s="1095"/>
      <c r="L4993" s="1095"/>
      <c r="M4993" s="1095"/>
    </row>
    <row r="4994" spans="1:13" x14ac:dyDescent="0.25">
      <c r="A4994">
        <v>4915608</v>
      </c>
      <c r="B4994" t="s">
        <v>12085</v>
      </c>
      <c r="C4994" t="s">
        <v>2595</v>
      </c>
      <c r="D4994" s="254">
        <v>2.5</v>
      </c>
      <c r="E4994"/>
      <c r="F4994"/>
      <c r="G4994"/>
      <c r="H4994"/>
      <c r="I4994" s="489"/>
      <c r="J4994" s="1095"/>
      <c r="K4994" s="1095"/>
      <c r="L4994" s="1095"/>
      <c r="M4994" s="1095"/>
    </row>
    <row r="4995" spans="1:13" x14ac:dyDescent="0.25">
      <c r="A4995">
        <v>4915613</v>
      </c>
      <c r="B4995" t="s">
        <v>12086</v>
      </c>
      <c r="C4995" t="s">
        <v>2595</v>
      </c>
      <c r="D4995" s="254">
        <v>0.16</v>
      </c>
      <c r="E4995"/>
      <c r="F4995"/>
      <c r="G4995"/>
      <c r="H4995"/>
      <c r="I4995" s="489"/>
      <c r="J4995" s="1095"/>
      <c r="K4995" s="1095"/>
      <c r="L4995" s="1095"/>
      <c r="M4995" s="1095"/>
    </row>
    <row r="4996" spans="1:13" x14ac:dyDescent="0.25">
      <c r="A4996">
        <v>4915692</v>
      </c>
      <c r="B4996" t="s">
        <v>12087</v>
      </c>
      <c r="C4996" t="s">
        <v>2596</v>
      </c>
      <c r="D4996" s="254">
        <v>343.17</v>
      </c>
      <c r="E4996"/>
      <c r="F4996"/>
      <c r="G4996"/>
      <c r="H4996"/>
      <c r="I4996" s="489"/>
      <c r="J4996" s="1095"/>
      <c r="K4996" s="1095"/>
      <c r="L4996" s="1095"/>
      <c r="M4996" s="1095"/>
    </row>
    <row r="4997" spans="1:13" x14ac:dyDescent="0.25">
      <c r="A4997">
        <v>4915746</v>
      </c>
      <c r="B4997" t="s">
        <v>12088</v>
      </c>
      <c r="C4997" t="s">
        <v>2596</v>
      </c>
      <c r="D4997" s="254">
        <v>264.58999999999997</v>
      </c>
      <c r="E4997"/>
      <c r="F4997"/>
      <c r="G4997"/>
      <c r="H4997"/>
      <c r="I4997" s="489"/>
      <c r="J4997" s="1095"/>
      <c r="K4997" s="1095"/>
      <c r="L4997" s="1095"/>
      <c r="M4997" s="1095"/>
    </row>
    <row r="4998" spans="1:13" x14ac:dyDescent="0.25">
      <c r="A4998">
        <v>4915630</v>
      </c>
      <c r="B4998" t="s">
        <v>12089</v>
      </c>
      <c r="C4998" t="s">
        <v>2596</v>
      </c>
      <c r="D4998" s="254">
        <v>343.17</v>
      </c>
      <c r="E4998"/>
      <c r="F4998"/>
      <c r="G4998"/>
      <c r="H4998"/>
      <c r="I4998" s="489"/>
      <c r="J4998" s="1095"/>
      <c r="K4998" s="1095"/>
      <c r="L4998" s="1095"/>
      <c r="M4998" s="1095"/>
    </row>
    <row r="4999" spans="1:13" x14ac:dyDescent="0.25">
      <c r="A4999">
        <v>4915631</v>
      </c>
      <c r="B4999" t="s">
        <v>12090</v>
      </c>
      <c r="C4999" t="s">
        <v>2596</v>
      </c>
      <c r="D4999" s="254">
        <v>264.58999999999997</v>
      </c>
      <c r="E4999"/>
      <c r="F4999"/>
      <c r="G4999"/>
      <c r="H4999"/>
      <c r="I4999" s="489"/>
      <c r="J4999" s="1095"/>
      <c r="K4999" s="1095"/>
      <c r="L4999" s="1095"/>
      <c r="M4999" s="1095"/>
    </row>
    <row r="5000" spans="1:13" x14ac:dyDescent="0.25">
      <c r="A5000">
        <v>4915785</v>
      </c>
      <c r="B5000" t="s">
        <v>12091</v>
      </c>
      <c r="C5000" t="s">
        <v>2695</v>
      </c>
      <c r="D5000" s="254">
        <v>423.85</v>
      </c>
      <c r="E5000"/>
      <c r="F5000"/>
      <c r="G5000"/>
      <c r="H5000"/>
      <c r="I5000" s="489"/>
      <c r="J5000" s="1095"/>
      <c r="K5000" s="1095"/>
      <c r="L5000" s="1095"/>
      <c r="M5000" s="1095"/>
    </row>
    <row r="5001" spans="1:13" x14ac:dyDescent="0.25">
      <c r="A5001">
        <v>4915786</v>
      </c>
      <c r="B5001" t="s">
        <v>12092</v>
      </c>
      <c r="C5001" t="s">
        <v>2695</v>
      </c>
      <c r="D5001" s="254">
        <v>151.75</v>
      </c>
      <c r="E5001"/>
      <c r="F5001"/>
      <c r="G5001"/>
      <c r="H5001"/>
      <c r="I5001" s="489"/>
      <c r="J5001" s="1095"/>
      <c r="K5001" s="1095"/>
      <c r="L5001" s="1095"/>
      <c r="M5001" s="1095"/>
    </row>
    <row r="5002" spans="1:13" x14ac:dyDescent="0.25">
      <c r="A5002">
        <v>4915795</v>
      </c>
      <c r="B5002" t="s">
        <v>12093</v>
      </c>
      <c r="C5002" t="s">
        <v>2695</v>
      </c>
      <c r="D5002" s="254">
        <v>352.9</v>
      </c>
      <c r="E5002"/>
      <c r="F5002"/>
      <c r="G5002"/>
      <c r="H5002"/>
      <c r="I5002" s="489"/>
      <c r="J5002" s="1095"/>
      <c r="K5002" s="1095"/>
      <c r="L5002" s="1095"/>
      <c r="M5002" s="1095"/>
    </row>
    <row r="5003" spans="1:13" x14ac:dyDescent="0.25">
      <c r="A5003">
        <v>4915800</v>
      </c>
      <c r="B5003" t="s">
        <v>12094</v>
      </c>
      <c r="C5003" t="s">
        <v>2695</v>
      </c>
      <c r="D5003" s="254">
        <v>54.18</v>
      </c>
      <c r="E5003"/>
      <c r="F5003"/>
      <c r="G5003"/>
      <c r="H5003"/>
      <c r="I5003" s="489"/>
      <c r="J5003" s="1095"/>
      <c r="K5003" s="1095"/>
      <c r="L5003" s="1095"/>
      <c r="M5003" s="1095"/>
    </row>
    <row r="5004" spans="1:13" x14ac:dyDescent="0.25">
      <c r="A5004">
        <v>4915799</v>
      </c>
      <c r="B5004" t="s">
        <v>12095</v>
      </c>
      <c r="C5004" t="s">
        <v>2695</v>
      </c>
      <c r="D5004" s="254">
        <v>43.55</v>
      </c>
      <c r="E5004"/>
      <c r="F5004"/>
      <c r="G5004"/>
      <c r="H5004"/>
      <c r="I5004" s="489"/>
      <c r="J5004" s="1095"/>
      <c r="K5004" s="1095"/>
      <c r="L5004" s="1095"/>
      <c r="M5004" s="1095"/>
    </row>
    <row r="5005" spans="1:13" x14ac:dyDescent="0.25">
      <c r="A5005">
        <v>4915698</v>
      </c>
      <c r="B5005" t="s">
        <v>12096</v>
      </c>
      <c r="C5005" t="s">
        <v>2695</v>
      </c>
      <c r="D5005" s="254">
        <v>19.18</v>
      </c>
      <c r="E5005"/>
      <c r="F5005"/>
      <c r="G5005"/>
      <c r="H5005"/>
      <c r="I5005" s="489"/>
      <c r="J5005" s="1095"/>
      <c r="K5005" s="1095"/>
      <c r="L5005" s="1095"/>
      <c r="M5005" s="1095"/>
    </row>
    <row r="5006" spans="1:13" x14ac:dyDescent="0.25">
      <c r="A5006">
        <v>4915794</v>
      </c>
      <c r="B5006" t="s">
        <v>12097</v>
      </c>
      <c r="C5006" t="s">
        <v>2695</v>
      </c>
      <c r="D5006" s="254">
        <v>618.59</v>
      </c>
      <c r="E5006"/>
      <c r="F5006"/>
      <c r="G5006"/>
      <c r="H5006"/>
      <c r="I5006" s="489"/>
      <c r="J5006" s="1095"/>
      <c r="K5006" s="1095"/>
      <c r="L5006" s="1095"/>
      <c r="M5006" s="1095"/>
    </row>
    <row r="5007" spans="1:13" x14ac:dyDescent="0.25">
      <c r="A5007">
        <v>4915789</v>
      </c>
      <c r="B5007" t="s">
        <v>12098</v>
      </c>
      <c r="C5007" t="s">
        <v>2640</v>
      </c>
      <c r="D5007" s="254">
        <v>1679.79</v>
      </c>
      <c r="E5007"/>
      <c r="F5007"/>
      <c r="G5007"/>
      <c r="H5007"/>
      <c r="I5007" s="489"/>
      <c r="J5007" s="1095"/>
      <c r="K5007" s="1095"/>
      <c r="L5007" s="1095"/>
      <c r="M5007" s="1095"/>
    </row>
    <row r="5008" spans="1:13" x14ac:dyDescent="0.25">
      <c r="A5008">
        <v>4915798</v>
      </c>
      <c r="B5008" t="s">
        <v>12099</v>
      </c>
      <c r="C5008" t="s">
        <v>2640</v>
      </c>
      <c r="D5008" s="254">
        <v>1665.33</v>
      </c>
      <c r="E5008"/>
      <c r="F5008"/>
      <c r="G5008"/>
      <c r="H5008"/>
      <c r="I5008" s="489"/>
      <c r="J5008" s="1095"/>
      <c r="K5008" s="1095"/>
      <c r="L5008" s="1095"/>
      <c r="M5008" s="1095"/>
    </row>
    <row r="5009" spans="1:13" x14ac:dyDescent="0.25">
      <c r="A5009">
        <v>4915788</v>
      </c>
      <c r="B5009" t="s">
        <v>12100</v>
      </c>
      <c r="C5009" t="s">
        <v>2640</v>
      </c>
      <c r="D5009" s="254">
        <v>1523.08</v>
      </c>
      <c r="E5009"/>
      <c r="F5009"/>
      <c r="G5009"/>
      <c r="H5009"/>
      <c r="I5009" s="489"/>
      <c r="J5009" s="1095"/>
      <c r="K5009" s="1095"/>
      <c r="L5009" s="1095"/>
      <c r="M5009" s="1095"/>
    </row>
    <row r="5010" spans="1:13" x14ac:dyDescent="0.25">
      <c r="A5010">
        <v>4915797</v>
      </c>
      <c r="B5010" t="s">
        <v>12101</v>
      </c>
      <c r="C5010" t="s">
        <v>2640</v>
      </c>
      <c r="D5010" s="254">
        <v>807.29</v>
      </c>
      <c r="E5010"/>
      <c r="F5010"/>
      <c r="G5010"/>
      <c r="H5010"/>
      <c r="I5010" s="489"/>
      <c r="J5010" s="1095"/>
      <c r="K5010" s="1095"/>
      <c r="L5010" s="1095"/>
      <c r="M5010" s="1095"/>
    </row>
    <row r="5011" spans="1:13" x14ac:dyDescent="0.25">
      <c r="A5011">
        <v>4915787</v>
      </c>
      <c r="B5011" t="s">
        <v>12102</v>
      </c>
      <c r="C5011" t="s">
        <v>2640</v>
      </c>
      <c r="D5011" s="254">
        <v>938.09</v>
      </c>
      <c r="E5011"/>
      <c r="F5011"/>
      <c r="G5011"/>
      <c r="H5011"/>
      <c r="I5011" s="489"/>
      <c r="J5011" s="1095"/>
      <c r="K5011" s="1095"/>
      <c r="L5011" s="1095"/>
      <c r="M5011" s="1095"/>
    </row>
    <row r="5012" spans="1:13" x14ac:dyDescent="0.25">
      <c r="A5012">
        <v>4915796</v>
      </c>
      <c r="B5012" t="s">
        <v>12103</v>
      </c>
      <c r="C5012" t="s">
        <v>2640</v>
      </c>
      <c r="D5012" s="254">
        <v>329.74</v>
      </c>
      <c r="E5012"/>
      <c r="F5012"/>
      <c r="G5012"/>
      <c r="H5012"/>
      <c r="I5012" s="489"/>
      <c r="J5012" s="1095"/>
      <c r="K5012" s="1095"/>
      <c r="L5012" s="1095"/>
      <c r="M5012" s="1095"/>
    </row>
    <row r="5013" spans="1:13" x14ac:dyDescent="0.25">
      <c r="A5013">
        <v>4915760</v>
      </c>
      <c r="B5013" t="s">
        <v>12104</v>
      </c>
      <c r="C5013" t="s">
        <v>2595</v>
      </c>
      <c r="D5013" s="254">
        <v>61.26</v>
      </c>
      <c r="E5013"/>
      <c r="F5013"/>
      <c r="G5013"/>
      <c r="H5013"/>
      <c r="I5013" s="489"/>
      <c r="J5013" s="1095"/>
      <c r="K5013" s="1095"/>
      <c r="L5013" s="1095"/>
      <c r="M5013" s="1095"/>
    </row>
    <row r="5014" spans="1:13" x14ac:dyDescent="0.25">
      <c r="A5014">
        <v>4915699</v>
      </c>
      <c r="B5014" t="s">
        <v>12105</v>
      </c>
      <c r="C5014" t="s">
        <v>2695</v>
      </c>
      <c r="D5014" s="254">
        <v>29.6</v>
      </c>
      <c r="E5014"/>
      <c r="F5014"/>
      <c r="G5014"/>
      <c r="H5014"/>
      <c r="I5014" s="489"/>
      <c r="J5014" s="1095"/>
      <c r="K5014" s="1095"/>
      <c r="L5014" s="1095"/>
      <c r="M5014" s="1095"/>
    </row>
    <row r="5015" spans="1:13" x14ac:dyDescent="0.25">
      <c r="A5015">
        <v>4915736</v>
      </c>
      <c r="B5015" t="s">
        <v>12106</v>
      </c>
      <c r="C5015" t="s">
        <v>2596</v>
      </c>
      <c r="D5015" s="254">
        <v>14.87</v>
      </c>
      <c r="E5015"/>
      <c r="F5015"/>
      <c r="G5015"/>
      <c r="H5015"/>
      <c r="I5015" s="489"/>
      <c r="J5015" s="1095"/>
      <c r="K5015" s="1095"/>
      <c r="L5015" s="1095"/>
      <c r="M5015" s="1095"/>
    </row>
    <row r="5016" spans="1:13" x14ac:dyDescent="0.25">
      <c r="A5016">
        <v>4915735</v>
      </c>
      <c r="B5016" t="s">
        <v>12107</v>
      </c>
      <c r="C5016" t="s">
        <v>2596</v>
      </c>
      <c r="D5016" s="254">
        <v>12.29</v>
      </c>
      <c r="E5016"/>
      <c r="F5016"/>
      <c r="G5016"/>
      <c r="H5016"/>
      <c r="I5016" s="489"/>
      <c r="J5016" s="1095"/>
      <c r="K5016" s="1095"/>
      <c r="L5016" s="1095"/>
      <c r="M5016" s="1095"/>
    </row>
    <row r="5017" spans="1:13" x14ac:dyDescent="0.25">
      <c r="A5017">
        <v>4915670</v>
      </c>
      <c r="B5017" t="s">
        <v>12108</v>
      </c>
      <c r="C5017" t="s">
        <v>2596</v>
      </c>
      <c r="D5017" s="254">
        <v>183.53</v>
      </c>
      <c r="E5017"/>
      <c r="F5017"/>
      <c r="G5017"/>
      <c r="H5017"/>
      <c r="I5017" s="489"/>
      <c r="J5017" s="1095"/>
      <c r="K5017" s="1095"/>
      <c r="L5017" s="1095"/>
      <c r="M5017" s="1095"/>
    </row>
    <row r="5018" spans="1:13" x14ac:dyDescent="0.25">
      <c r="A5018">
        <v>4915668</v>
      </c>
      <c r="B5018" t="s">
        <v>12109</v>
      </c>
      <c r="C5018" t="s">
        <v>2596</v>
      </c>
      <c r="D5018" s="254">
        <v>282.35000000000002</v>
      </c>
      <c r="E5018"/>
      <c r="F5018"/>
      <c r="G5018"/>
      <c r="H5018"/>
      <c r="I5018" s="489"/>
      <c r="J5018" s="1095"/>
      <c r="K5018" s="1095"/>
      <c r="L5018" s="1095"/>
      <c r="M5018" s="1095"/>
    </row>
    <row r="5019" spans="1:13" x14ac:dyDescent="0.25">
      <c r="A5019">
        <v>4915761</v>
      </c>
      <c r="B5019" t="s">
        <v>12110</v>
      </c>
      <c r="C5019" t="s">
        <v>2595</v>
      </c>
      <c r="D5019" s="254">
        <v>3.94</v>
      </c>
      <c r="E5019"/>
      <c r="F5019"/>
      <c r="G5019"/>
      <c r="H5019"/>
      <c r="I5019" s="489"/>
      <c r="J5019" s="1095"/>
      <c r="K5019" s="1095"/>
      <c r="L5019" s="1095"/>
      <c r="M5019" s="1095"/>
    </row>
    <row r="5020" spans="1:13" x14ac:dyDescent="0.25">
      <c r="A5020">
        <v>4915762</v>
      </c>
      <c r="B5020" t="s">
        <v>12111</v>
      </c>
      <c r="C5020" t="s">
        <v>2598</v>
      </c>
      <c r="D5020" s="254">
        <v>1.97</v>
      </c>
      <c r="E5020"/>
      <c r="F5020"/>
      <c r="G5020"/>
      <c r="H5020"/>
      <c r="I5020" s="489"/>
      <c r="J5020" s="1095"/>
      <c r="K5020" s="1095"/>
      <c r="L5020" s="1095"/>
      <c r="M5020" s="1095"/>
    </row>
    <row r="5021" spans="1:13" x14ac:dyDescent="0.25">
      <c r="A5021">
        <v>4915738</v>
      </c>
      <c r="B5021" t="s">
        <v>12112</v>
      </c>
      <c r="C5021" t="s">
        <v>2596</v>
      </c>
      <c r="D5021" s="254">
        <v>5.84</v>
      </c>
      <c r="E5021"/>
      <c r="F5021"/>
      <c r="G5021"/>
      <c r="H5021"/>
      <c r="I5021" s="489"/>
      <c r="J5021" s="1095"/>
      <c r="K5021" s="1095"/>
      <c r="L5021" s="1095"/>
      <c r="M5021" s="1095"/>
    </row>
    <row r="5022" spans="1:13" x14ac:dyDescent="0.25">
      <c r="A5022">
        <v>4915737</v>
      </c>
      <c r="B5022" t="s">
        <v>12113</v>
      </c>
      <c r="C5022" t="s">
        <v>2596</v>
      </c>
      <c r="D5022" s="254">
        <v>4.96</v>
      </c>
      <c r="E5022"/>
      <c r="F5022"/>
      <c r="G5022"/>
      <c r="H5022"/>
      <c r="I5022" s="489"/>
      <c r="J5022" s="1095"/>
      <c r="K5022" s="1095"/>
      <c r="L5022" s="1095"/>
      <c r="M5022" s="1095"/>
    </row>
    <row r="5023" spans="1:13" x14ac:dyDescent="0.25">
      <c r="A5023">
        <v>4915669</v>
      </c>
      <c r="B5023" t="s">
        <v>6354</v>
      </c>
      <c r="C5023" t="s">
        <v>2596</v>
      </c>
      <c r="D5023" s="254">
        <v>8.0500000000000007</v>
      </c>
      <c r="E5023"/>
      <c r="F5023"/>
      <c r="G5023"/>
      <c r="H5023"/>
      <c r="I5023" s="489"/>
      <c r="J5023" s="1095"/>
      <c r="K5023" s="1095"/>
      <c r="L5023" s="1095"/>
      <c r="M5023" s="1095"/>
    </row>
    <row r="5024" spans="1:13" x14ac:dyDescent="0.25">
      <c r="A5024">
        <v>4915667</v>
      </c>
      <c r="B5024" t="s">
        <v>6355</v>
      </c>
      <c r="C5024" t="s">
        <v>2596</v>
      </c>
      <c r="D5024" s="254">
        <v>11.98</v>
      </c>
      <c r="E5024"/>
      <c r="F5024"/>
      <c r="G5024"/>
      <c r="H5024"/>
      <c r="I5024" s="489"/>
      <c r="J5024" s="1095"/>
      <c r="K5024" s="1095"/>
      <c r="L5024" s="1095"/>
      <c r="M5024" s="1095"/>
    </row>
    <row r="5025" spans="1:13" x14ac:dyDescent="0.25">
      <c r="A5025">
        <v>4915632</v>
      </c>
      <c r="B5025" t="s">
        <v>6356</v>
      </c>
      <c r="C5025" t="s">
        <v>2596</v>
      </c>
      <c r="D5025" s="254">
        <v>385.19</v>
      </c>
      <c r="E5025"/>
      <c r="F5025"/>
      <c r="G5025"/>
      <c r="H5025"/>
      <c r="I5025" s="489"/>
      <c r="J5025" s="1095"/>
      <c r="K5025" s="1095"/>
      <c r="L5025" s="1095"/>
      <c r="M5025" s="1095"/>
    </row>
    <row r="5026" spans="1:13" x14ac:dyDescent="0.25">
      <c r="A5026">
        <v>4915753</v>
      </c>
      <c r="B5026" t="s">
        <v>12114</v>
      </c>
      <c r="C5026" t="s">
        <v>2596</v>
      </c>
      <c r="D5026" s="254">
        <v>1278.81</v>
      </c>
      <c r="E5026"/>
      <c r="F5026"/>
      <c r="G5026"/>
      <c r="H5026"/>
      <c r="I5026" s="489"/>
      <c r="J5026" s="1095"/>
      <c r="K5026" s="1095"/>
      <c r="L5026" s="1095"/>
      <c r="M5026" s="1095"/>
    </row>
    <row r="5027" spans="1:13" x14ac:dyDescent="0.25">
      <c r="A5027">
        <v>4915776</v>
      </c>
      <c r="B5027" t="s">
        <v>12115</v>
      </c>
      <c r="C5027" t="s">
        <v>12116</v>
      </c>
      <c r="D5027" s="254">
        <v>756.82</v>
      </c>
      <c r="E5027"/>
      <c r="F5027"/>
      <c r="G5027"/>
      <c r="H5027"/>
      <c r="I5027" s="489"/>
      <c r="J5027" s="1095"/>
      <c r="K5027" s="1095"/>
      <c r="L5027" s="1095"/>
      <c r="M5027" s="1095"/>
    </row>
    <row r="5028" spans="1:13" x14ac:dyDescent="0.25">
      <c r="A5028">
        <v>4915740</v>
      </c>
      <c r="B5028" t="s">
        <v>12117</v>
      </c>
      <c r="C5028" t="s">
        <v>12116</v>
      </c>
      <c r="D5028" s="254">
        <v>1706.33</v>
      </c>
      <c r="E5028"/>
      <c r="F5028"/>
      <c r="G5028"/>
      <c r="H5028"/>
      <c r="I5028" s="489"/>
      <c r="J5028" s="1095"/>
      <c r="K5028" s="1095"/>
      <c r="L5028" s="1095"/>
      <c r="M5028" s="1095"/>
    </row>
    <row r="5029" spans="1:13" x14ac:dyDescent="0.25">
      <c r="A5029">
        <v>4915741</v>
      </c>
      <c r="B5029" t="s">
        <v>12118</v>
      </c>
      <c r="C5029" t="s">
        <v>12116</v>
      </c>
      <c r="D5029" s="254">
        <v>4095.18</v>
      </c>
      <c r="E5029"/>
      <c r="F5029"/>
      <c r="G5029"/>
      <c r="H5029"/>
      <c r="I5029" s="489"/>
      <c r="J5029" s="1095"/>
      <c r="K5029" s="1095"/>
      <c r="L5029" s="1095"/>
      <c r="M5029" s="1095"/>
    </row>
    <row r="5030" spans="1:13" x14ac:dyDescent="0.25">
      <c r="A5030">
        <v>4915742</v>
      </c>
      <c r="B5030" t="s">
        <v>12119</v>
      </c>
      <c r="C5030" t="s">
        <v>12116</v>
      </c>
      <c r="D5030" s="254">
        <v>435.66</v>
      </c>
      <c r="E5030"/>
      <c r="F5030"/>
      <c r="G5030"/>
      <c r="H5030"/>
      <c r="I5030" s="489"/>
      <c r="J5030" s="1095"/>
      <c r="K5030" s="1095"/>
      <c r="L5030" s="1095"/>
      <c r="M5030" s="1095"/>
    </row>
    <row r="5031" spans="1:13" x14ac:dyDescent="0.25">
      <c r="A5031">
        <v>4915626</v>
      </c>
      <c r="B5031" t="s">
        <v>12120</v>
      </c>
      <c r="C5031" t="s">
        <v>2598</v>
      </c>
      <c r="D5031" s="254">
        <v>2.0499999999999998</v>
      </c>
      <c r="E5031"/>
      <c r="F5031"/>
      <c r="G5031"/>
      <c r="H5031"/>
      <c r="I5031" s="489"/>
      <c r="J5031" s="1095"/>
      <c r="K5031" s="1095"/>
      <c r="L5031" s="1095"/>
      <c r="M5031" s="1095"/>
    </row>
    <row r="5032" spans="1:13" x14ac:dyDescent="0.25">
      <c r="A5032">
        <v>4915653</v>
      </c>
      <c r="B5032" t="s">
        <v>12121</v>
      </c>
      <c r="C5032" t="s">
        <v>2716</v>
      </c>
      <c r="D5032" s="254">
        <v>68.08</v>
      </c>
      <c r="E5032"/>
      <c r="F5032"/>
      <c r="G5032"/>
      <c r="H5032"/>
      <c r="I5032" s="489"/>
      <c r="J5032" s="1095"/>
      <c r="K5032" s="1095"/>
      <c r="L5032" s="1095"/>
      <c r="M5032" s="1095"/>
    </row>
    <row r="5033" spans="1:13" x14ac:dyDescent="0.25">
      <c r="A5033">
        <v>4900002</v>
      </c>
      <c r="B5033" t="s">
        <v>95</v>
      </c>
      <c r="C5033" t="s">
        <v>2596</v>
      </c>
      <c r="D5033" s="254">
        <v>0</v>
      </c>
      <c r="E5033"/>
      <c r="F5033"/>
      <c r="G5033"/>
      <c r="H5033"/>
      <c r="I5033" s="489"/>
      <c r="J5033" s="1095"/>
      <c r="K5033" s="1095"/>
      <c r="L5033" s="1095"/>
      <c r="M5033" s="1095"/>
    </row>
    <row r="5034" spans="1:13" x14ac:dyDescent="0.25">
      <c r="A5034">
        <v>4915623</v>
      </c>
      <c r="B5034" t="s">
        <v>12122</v>
      </c>
      <c r="C5034" t="s">
        <v>2596</v>
      </c>
      <c r="D5034" s="254">
        <v>55.5</v>
      </c>
      <c r="E5034"/>
      <c r="F5034"/>
      <c r="G5034"/>
      <c r="H5034"/>
      <c r="I5034" s="489"/>
      <c r="J5034" s="1095"/>
      <c r="K5034" s="1095"/>
      <c r="L5034" s="1095"/>
      <c r="M5034" s="1095"/>
    </row>
    <row r="5035" spans="1:13" x14ac:dyDescent="0.25">
      <c r="A5035">
        <v>4915625</v>
      </c>
      <c r="B5035" t="s">
        <v>12123</v>
      </c>
      <c r="C5035" t="s">
        <v>2596</v>
      </c>
      <c r="D5035" s="254">
        <v>44.08</v>
      </c>
      <c r="E5035"/>
      <c r="F5035"/>
      <c r="G5035"/>
      <c r="H5035"/>
      <c r="I5035" s="489"/>
      <c r="J5035" s="1095"/>
      <c r="K5035" s="1095"/>
      <c r="L5035" s="1095"/>
      <c r="M5035" s="1095"/>
    </row>
    <row r="5036" spans="1:13" x14ac:dyDescent="0.25">
      <c r="A5036">
        <v>4915621</v>
      </c>
      <c r="B5036" t="s">
        <v>12124</v>
      </c>
      <c r="C5036" t="s">
        <v>2596</v>
      </c>
      <c r="D5036" s="254">
        <v>5.14</v>
      </c>
      <c r="E5036"/>
      <c r="F5036"/>
      <c r="G5036"/>
      <c r="H5036"/>
      <c r="I5036" s="489"/>
      <c r="J5036" s="1095"/>
      <c r="K5036" s="1095"/>
      <c r="L5036" s="1095"/>
      <c r="M5036" s="1095"/>
    </row>
    <row r="5037" spans="1:13" x14ac:dyDescent="0.25">
      <c r="A5037">
        <v>4915720</v>
      </c>
      <c r="B5037" t="s">
        <v>12125</v>
      </c>
      <c r="C5037" t="s">
        <v>2640</v>
      </c>
      <c r="D5037" s="254">
        <v>28.94</v>
      </c>
      <c r="E5037"/>
      <c r="F5037"/>
      <c r="G5037"/>
      <c r="H5037"/>
      <c r="I5037" s="489"/>
      <c r="J5037" s="1095"/>
      <c r="K5037" s="1095"/>
      <c r="L5037" s="1095"/>
      <c r="M5037" s="1095"/>
    </row>
    <row r="5038" spans="1:13" x14ac:dyDescent="0.25">
      <c r="A5038">
        <v>4915592</v>
      </c>
      <c r="B5038" t="s">
        <v>12126</v>
      </c>
      <c r="C5038" t="s">
        <v>2640</v>
      </c>
      <c r="D5038" s="254">
        <v>28.17</v>
      </c>
      <c r="E5038"/>
      <c r="F5038"/>
      <c r="G5038"/>
      <c r="H5038"/>
      <c r="I5038" s="489"/>
      <c r="J5038" s="1095"/>
      <c r="K5038" s="1095"/>
      <c r="L5038" s="1095"/>
      <c r="M5038" s="1095"/>
    </row>
    <row r="5039" spans="1:13" x14ac:dyDescent="0.25">
      <c r="A5039">
        <v>4913703</v>
      </c>
      <c r="B5039" t="s">
        <v>12127</v>
      </c>
      <c r="C5039" t="s">
        <v>2640</v>
      </c>
      <c r="D5039" s="254">
        <v>4509.07</v>
      </c>
      <c r="E5039"/>
      <c r="F5039"/>
      <c r="G5039"/>
      <c r="H5039"/>
      <c r="I5039" s="489"/>
      <c r="J5039" s="1095"/>
      <c r="K5039" s="1095"/>
      <c r="L5039" s="1095"/>
      <c r="M5039" s="1095"/>
    </row>
    <row r="5040" spans="1:13" x14ac:dyDescent="0.25">
      <c r="A5040">
        <v>4913704</v>
      </c>
      <c r="B5040" t="s">
        <v>12128</v>
      </c>
      <c r="C5040" t="s">
        <v>2640</v>
      </c>
      <c r="D5040" s="254">
        <v>4337.13</v>
      </c>
      <c r="E5040"/>
      <c r="F5040"/>
      <c r="G5040"/>
      <c r="H5040"/>
      <c r="I5040" s="489"/>
      <c r="J5040" s="1095"/>
      <c r="K5040" s="1095"/>
      <c r="L5040" s="1095"/>
      <c r="M5040" s="1095"/>
    </row>
    <row r="5041" spans="1:13" x14ac:dyDescent="0.25">
      <c r="A5041">
        <v>4915757</v>
      </c>
      <c r="B5041" t="s">
        <v>12129</v>
      </c>
      <c r="C5041" t="s">
        <v>2596</v>
      </c>
      <c r="D5041" s="254">
        <v>402.65</v>
      </c>
      <c r="E5041"/>
      <c r="F5041"/>
      <c r="G5041"/>
      <c r="H5041"/>
      <c r="I5041" s="489"/>
      <c r="J5041" s="1095"/>
      <c r="K5041" s="1095"/>
      <c r="L5041" s="1095"/>
      <c r="M5041" s="1095"/>
    </row>
    <row r="5042" spans="1:13" x14ac:dyDescent="0.25">
      <c r="A5042">
        <v>4915678</v>
      </c>
      <c r="B5042" t="s">
        <v>12130</v>
      </c>
      <c r="C5042" t="s">
        <v>2596</v>
      </c>
      <c r="D5042" s="254">
        <v>350.61</v>
      </c>
      <c r="E5042"/>
      <c r="F5042"/>
      <c r="G5042"/>
      <c r="H5042"/>
      <c r="I5042" s="489"/>
      <c r="J5042" s="1095"/>
      <c r="K5042" s="1095"/>
      <c r="L5042" s="1095"/>
      <c r="M5042" s="1095"/>
    </row>
    <row r="5043" spans="1:13" x14ac:dyDescent="0.25">
      <c r="A5043">
        <v>4919547</v>
      </c>
      <c r="B5043" t="s">
        <v>12131</v>
      </c>
      <c r="C5043" t="s">
        <v>2640</v>
      </c>
      <c r="D5043" s="254">
        <v>524.28</v>
      </c>
      <c r="E5043"/>
      <c r="F5043"/>
      <c r="G5043"/>
      <c r="H5043"/>
      <c r="I5043" s="489"/>
      <c r="J5043" s="1095"/>
      <c r="K5043" s="1095"/>
      <c r="L5043" s="1095"/>
      <c r="M5043" s="1095"/>
    </row>
    <row r="5044" spans="1:13" x14ac:dyDescent="0.25">
      <c r="A5044">
        <v>4915716</v>
      </c>
      <c r="B5044" t="s">
        <v>12132</v>
      </c>
      <c r="C5044" t="s">
        <v>2595</v>
      </c>
      <c r="D5044" s="254">
        <v>9.93</v>
      </c>
      <c r="E5044"/>
      <c r="F5044"/>
      <c r="G5044"/>
      <c r="H5044"/>
      <c r="I5044" s="489"/>
      <c r="J5044" s="1095"/>
      <c r="K5044" s="1095"/>
      <c r="L5044" s="1095"/>
      <c r="M5044" s="1095"/>
    </row>
    <row r="5045" spans="1:13" x14ac:dyDescent="0.25">
      <c r="A5045">
        <v>4915750</v>
      </c>
      <c r="B5045" t="s">
        <v>12133</v>
      </c>
      <c r="C5045" t="s">
        <v>2598</v>
      </c>
      <c r="D5045" s="254">
        <v>190.94</v>
      </c>
      <c r="E5045"/>
      <c r="F5045"/>
      <c r="G5045"/>
      <c r="H5045"/>
      <c r="I5045" s="489"/>
      <c r="J5045" s="1095"/>
      <c r="K5045" s="1095"/>
      <c r="L5045" s="1095"/>
      <c r="M5045" s="1095"/>
    </row>
    <row r="5046" spans="1:13" x14ac:dyDescent="0.25">
      <c r="A5046">
        <v>4915769</v>
      </c>
      <c r="B5046" t="s">
        <v>12134</v>
      </c>
      <c r="C5046" t="s">
        <v>2596</v>
      </c>
      <c r="D5046" s="254">
        <v>32.72</v>
      </c>
      <c r="E5046"/>
      <c r="F5046"/>
      <c r="G5046"/>
      <c r="H5046"/>
      <c r="I5046" s="489"/>
      <c r="J5046" s="1095"/>
      <c r="K5046" s="1095"/>
      <c r="L5046" s="1095"/>
      <c r="M5046" s="1095"/>
    </row>
    <row r="5047" spans="1:13" x14ac:dyDescent="0.25">
      <c r="A5047">
        <v>5213836</v>
      </c>
      <c r="B5047" t="s">
        <v>12135</v>
      </c>
      <c r="C5047" t="s">
        <v>12136</v>
      </c>
      <c r="D5047" s="254">
        <v>4.95</v>
      </c>
      <c r="E5047"/>
      <c r="F5047"/>
      <c r="G5047"/>
      <c r="H5047"/>
      <c r="I5047" s="489"/>
      <c r="J5047" s="1095"/>
      <c r="K5047" s="1095"/>
      <c r="L5047" s="1095"/>
      <c r="M5047" s="1095"/>
    </row>
    <row r="5048" spans="1:13" x14ac:dyDescent="0.25">
      <c r="A5048">
        <v>5213368</v>
      </c>
      <c r="B5048" t="s">
        <v>12137</v>
      </c>
      <c r="C5048" t="s">
        <v>2640</v>
      </c>
      <c r="D5048" s="254">
        <v>18.170000000000002</v>
      </c>
      <c r="E5048"/>
      <c r="F5048"/>
      <c r="G5048"/>
      <c r="H5048"/>
      <c r="I5048" s="489"/>
      <c r="J5048" s="1095"/>
      <c r="K5048" s="1095"/>
      <c r="L5048" s="1095"/>
      <c r="M5048" s="1095"/>
    </row>
    <row r="5049" spans="1:13" x14ac:dyDescent="0.25">
      <c r="A5049">
        <v>5213367</v>
      </c>
      <c r="B5049" t="s">
        <v>12138</v>
      </c>
      <c r="C5049" t="s">
        <v>2640</v>
      </c>
      <c r="D5049" s="254">
        <v>16.809999999999999</v>
      </c>
      <c r="E5049"/>
      <c r="F5049"/>
      <c r="G5049"/>
      <c r="H5049"/>
      <c r="I5049" s="489"/>
      <c r="J5049" s="1095"/>
      <c r="K5049" s="1095"/>
      <c r="L5049" s="1095"/>
      <c r="M5049" s="1095"/>
    </row>
    <row r="5050" spans="1:13" x14ac:dyDescent="0.25">
      <c r="A5050">
        <v>5213385</v>
      </c>
      <c r="B5050" t="s">
        <v>12139</v>
      </c>
      <c r="C5050" t="s">
        <v>2640</v>
      </c>
      <c r="D5050" s="254">
        <v>290.35000000000002</v>
      </c>
      <c r="E5050"/>
      <c r="F5050"/>
      <c r="G5050"/>
      <c r="H5050"/>
      <c r="I5050" s="489"/>
      <c r="J5050" s="1095"/>
      <c r="K5050" s="1095"/>
      <c r="L5050" s="1095"/>
      <c r="M5050" s="1095"/>
    </row>
    <row r="5051" spans="1:13" x14ac:dyDescent="0.25">
      <c r="A5051">
        <v>5213343</v>
      </c>
      <c r="B5051" t="s">
        <v>12140</v>
      </c>
      <c r="C5051" t="s">
        <v>12136</v>
      </c>
      <c r="D5051" s="254">
        <v>14.55</v>
      </c>
      <c r="E5051"/>
      <c r="F5051"/>
      <c r="G5051"/>
      <c r="H5051"/>
      <c r="I5051" s="489"/>
      <c r="J5051" s="1095"/>
      <c r="K5051" s="1095"/>
      <c r="L5051" s="1095"/>
      <c r="M5051" s="1095"/>
    </row>
    <row r="5052" spans="1:13" x14ac:dyDescent="0.25">
      <c r="A5052">
        <v>5213390</v>
      </c>
      <c r="B5052" t="s">
        <v>12141</v>
      </c>
      <c r="C5052" t="s">
        <v>2598</v>
      </c>
      <c r="D5052" s="254">
        <v>250.95</v>
      </c>
      <c r="E5052"/>
      <c r="F5052"/>
      <c r="G5052"/>
      <c r="H5052"/>
      <c r="I5052" s="489"/>
      <c r="J5052" s="1095"/>
      <c r="K5052" s="1095"/>
      <c r="L5052" s="1095"/>
      <c r="M5052" s="1095"/>
    </row>
    <row r="5053" spans="1:13" x14ac:dyDescent="0.25">
      <c r="A5053">
        <v>5213344</v>
      </c>
      <c r="B5053" t="s">
        <v>12142</v>
      </c>
      <c r="C5053" t="s">
        <v>12143</v>
      </c>
      <c r="D5053" s="254">
        <v>16.399999999999999</v>
      </c>
      <c r="E5053"/>
      <c r="F5053"/>
      <c r="G5053"/>
      <c r="H5053"/>
      <c r="I5053" s="489"/>
      <c r="J5053" s="1095"/>
      <c r="K5053" s="1095"/>
      <c r="L5053" s="1095"/>
      <c r="M5053" s="1095"/>
    </row>
    <row r="5054" spans="1:13" x14ac:dyDescent="0.25">
      <c r="A5054">
        <v>5213386</v>
      </c>
      <c r="B5054" t="s">
        <v>12144</v>
      </c>
      <c r="C5054" t="s">
        <v>2640</v>
      </c>
      <c r="D5054" s="254">
        <v>455.06</v>
      </c>
      <c r="E5054"/>
      <c r="F5054"/>
      <c r="G5054"/>
      <c r="H5054"/>
      <c r="I5054" s="489"/>
      <c r="J5054" s="1095"/>
      <c r="K5054" s="1095"/>
      <c r="L5054" s="1095"/>
      <c r="M5054" s="1095"/>
    </row>
    <row r="5055" spans="1:13" x14ac:dyDescent="0.25">
      <c r="A5055">
        <v>5213345</v>
      </c>
      <c r="B5055" t="s">
        <v>12145</v>
      </c>
      <c r="C5055" t="s">
        <v>12136</v>
      </c>
      <c r="D5055" s="254">
        <v>17.760000000000002</v>
      </c>
      <c r="E5055"/>
      <c r="F5055"/>
      <c r="G5055"/>
      <c r="H5055"/>
      <c r="I5055" s="489"/>
      <c r="J5055" s="1095"/>
      <c r="K5055" s="1095"/>
      <c r="L5055" s="1095"/>
      <c r="M5055" s="1095"/>
    </row>
    <row r="5056" spans="1:13" x14ac:dyDescent="0.25">
      <c r="A5056">
        <v>5213387</v>
      </c>
      <c r="B5056" t="s">
        <v>12146</v>
      </c>
      <c r="C5056" t="s">
        <v>2640</v>
      </c>
      <c r="D5056" s="254">
        <v>664.01</v>
      </c>
      <c r="E5056"/>
      <c r="F5056"/>
      <c r="G5056"/>
      <c r="H5056"/>
      <c r="I5056" s="489"/>
      <c r="J5056" s="1095"/>
      <c r="K5056" s="1095"/>
      <c r="L5056" s="1095"/>
      <c r="M5056" s="1095"/>
    </row>
    <row r="5057" spans="1:13" x14ac:dyDescent="0.25">
      <c r="A5057">
        <v>5213346</v>
      </c>
      <c r="B5057" t="s">
        <v>12147</v>
      </c>
      <c r="C5057" t="s">
        <v>12136</v>
      </c>
      <c r="D5057" s="254">
        <v>26.51</v>
      </c>
      <c r="E5057"/>
      <c r="F5057"/>
      <c r="G5057"/>
      <c r="H5057"/>
      <c r="I5057" s="489"/>
      <c r="J5057" s="1095"/>
      <c r="K5057" s="1095"/>
      <c r="L5057" s="1095"/>
      <c r="M5057" s="1095"/>
    </row>
    <row r="5058" spans="1:13" x14ac:dyDescent="0.25">
      <c r="A5058">
        <v>5213843</v>
      </c>
      <c r="B5058" t="s">
        <v>12148</v>
      </c>
      <c r="C5058" t="s">
        <v>12143</v>
      </c>
      <c r="D5058" s="254">
        <v>1.71</v>
      </c>
      <c r="E5058"/>
      <c r="F5058"/>
      <c r="G5058"/>
      <c r="H5058"/>
      <c r="I5058" s="489"/>
      <c r="J5058" s="1095"/>
      <c r="K5058" s="1095"/>
      <c r="L5058" s="1095"/>
      <c r="M5058" s="1095"/>
    </row>
    <row r="5059" spans="1:13" x14ac:dyDescent="0.25">
      <c r="A5059">
        <v>5213833</v>
      </c>
      <c r="B5059" t="s">
        <v>12149</v>
      </c>
      <c r="C5059" t="s">
        <v>12136</v>
      </c>
      <c r="D5059" s="254">
        <v>14.15</v>
      </c>
      <c r="E5059"/>
      <c r="F5059"/>
      <c r="G5059"/>
      <c r="H5059"/>
      <c r="I5059" s="489"/>
      <c r="J5059" s="1095"/>
      <c r="K5059" s="1095"/>
      <c r="L5059" s="1095"/>
      <c r="M5059" s="1095"/>
    </row>
    <row r="5060" spans="1:13" x14ac:dyDescent="0.25">
      <c r="A5060">
        <v>5213834</v>
      </c>
      <c r="B5060" t="s">
        <v>12150</v>
      </c>
      <c r="C5060" t="s">
        <v>12136</v>
      </c>
      <c r="D5060" s="254">
        <v>9.64</v>
      </c>
      <c r="E5060"/>
      <c r="F5060"/>
      <c r="G5060"/>
      <c r="H5060"/>
      <c r="I5060" s="489"/>
      <c r="J5060" s="1095"/>
      <c r="K5060" s="1095"/>
      <c r="L5060" s="1095"/>
      <c r="M5060" s="1095"/>
    </row>
    <row r="5061" spans="1:13" x14ac:dyDescent="0.25">
      <c r="A5061">
        <v>5219544</v>
      </c>
      <c r="B5061" t="s">
        <v>12151</v>
      </c>
      <c r="C5061" t="s">
        <v>2640</v>
      </c>
      <c r="D5061" s="254">
        <v>234.42</v>
      </c>
      <c r="E5061"/>
      <c r="F5061"/>
      <c r="G5061"/>
      <c r="H5061"/>
      <c r="I5061" s="489"/>
      <c r="J5061" s="1095"/>
      <c r="K5061" s="1095"/>
      <c r="L5061" s="1095"/>
      <c r="M5061" s="1095"/>
    </row>
    <row r="5062" spans="1:13" x14ac:dyDescent="0.25">
      <c r="A5062">
        <v>5213383</v>
      </c>
      <c r="B5062" t="s">
        <v>12152</v>
      </c>
      <c r="C5062" t="s">
        <v>12136</v>
      </c>
      <c r="D5062" s="254">
        <v>1.62</v>
      </c>
      <c r="E5062"/>
      <c r="F5062"/>
      <c r="G5062"/>
      <c r="H5062"/>
      <c r="I5062" s="489"/>
      <c r="J5062" s="1095"/>
      <c r="K5062" s="1095"/>
      <c r="L5062" s="1095"/>
      <c r="M5062" s="1095"/>
    </row>
    <row r="5063" spans="1:13" x14ac:dyDescent="0.25">
      <c r="A5063">
        <v>5213380</v>
      </c>
      <c r="B5063" t="s">
        <v>12153</v>
      </c>
      <c r="C5063" t="s">
        <v>12136</v>
      </c>
      <c r="D5063" s="254">
        <v>2.64</v>
      </c>
      <c r="E5063"/>
      <c r="F5063"/>
      <c r="G5063"/>
      <c r="H5063"/>
      <c r="I5063" s="489"/>
      <c r="J5063" s="1095"/>
      <c r="K5063" s="1095"/>
      <c r="L5063" s="1095"/>
      <c r="M5063" s="1095"/>
    </row>
    <row r="5064" spans="1:13" x14ac:dyDescent="0.25">
      <c r="A5064">
        <v>5213838</v>
      </c>
      <c r="B5064" t="s">
        <v>12154</v>
      </c>
      <c r="C5064" t="s">
        <v>12136</v>
      </c>
      <c r="D5064" s="254">
        <v>14.85</v>
      </c>
      <c r="E5064"/>
      <c r="F5064"/>
      <c r="G5064"/>
      <c r="H5064"/>
      <c r="I5064" s="489"/>
      <c r="J5064" s="1095"/>
      <c r="K5064" s="1095"/>
      <c r="L5064" s="1095"/>
      <c r="M5064" s="1095"/>
    </row>
    <row r="5065" spans="1:13" x14ac:dyDescent="0.25">
      <c r="A5065">
        <v>5213837</v>
      </c>
      <c r="B5065" t="s">
        <v>12155</v>
      </c>
      <c r="C5065" t="s">
        <v>2640</v>
      </c>
      <c r="D5065" s="254">
        <v>205.94</v>
      </c>
      <c r="E5065"/>
      <c r="F5065"/>
      <c r="G5065"/>
      <c r="H5065"/>
      <c r="I5065" s="489"/>
      <c r="J5065" s="1095"/>
      <c r="K5065" s="1095"/>
      <c r="L5065" s="1095"/>
      <c r="M5065" s="1095"/>
    </row>
    <row r="5066" spans="1:13" x14ac:dyDescent="0.25">
      <c r="A5066">
        <v>5213835</v>
      </c>
      <c r="B5066" t="s">
        <v>12156</v>
      </c>
      <c r="C5066" t="s">
        <v>12136</v>
      </c>
      <c r="D5066" s="254">
        <v>0.78</v>
      </c>
      <c r="E5066"/>
      <c r="F5066"/>
      <c r="G5066"/>
      <c r="H5066"/>
      <c r="I5066" s="489"/>
      <c r="J5066" s="1095"/>
      <c r="K5066" s="1095"/>
      <c r="L5066" s="1095"/>
      <c r="M5066" s="1095"/>
    </row>
    <row r="5067" spans="1:13" x14ac:dyDescent="0.25">
      <c r="A5067">
        <v>5213839</v>
      </c>
      <c r="B5067" t="s">
        <v>12157</v>
      </c>
      <c r="C5067" t="s">
        <v>2595</v>
      </c>
      <c r="D5067" s="254">
        <v>271.41000000000003</v>
      </c>
      <c r="E5067"/>
      <c r="F5067"/>
      <c r="G5067"/>
      <c r="H5067"/>
      <c r="I5067" s="489"/>
      <c r="J5067" s="1095"/>
      <c r="K5067" s="1095"/>
      <c r="L5067" s="1095"/>
      <c r="M5067" s="1095"/>
    </row>
    <row r="5068" spans="1:13" x14ac:dyDescent="0.25">
      <c r="A5068">
        <v>5213347</v>
      </c>
      <c r="B5068" t="s">
        <v>12158</v>
      </c>
      <c r="C5068" t="s">
        <v>12159</v>
      </c>
      <c r="D5068" s="254">
        <v>6.86</v>
      </c>
      <c r="E5068"/>
      <c r="F5068"/>
      <c r="G5068"/>
      <c r="H5068"/>
      <c r="I5068" s="489"/>
      <c r="J5068" s="1095"/>
      <c r="K5068" s="1095"/>
      <c r="L5068" s="1095"/>
      <c r="M5068" s="1095"/>
    </row>
    <row r="5069" spans="1:13" x14ac:dyDescent="0.25">
      <c r="A5069">
        <v>5213840</v>
      </c>
      <c r="B5069" t="s">
        <v>12160</v>
      </c>
      <c r="C5069" t="s">
        <v>2595</v>
      </c>
      <c r="D5069" s="254">
        <v>40.81</v>
      </c>
      <c r="E5069"/>
      <c r="F5069"/>
      <c r="G5069"/>
      <c r="H5069"/>
      <c r="I5069" s="489"/>
      <c r="J5069" s="1095"/>
      <c r="K5069" s="1095"/>
      <c r="L5069" s="1095"/>
      <c r="M5069" s="1095"/>
    </row>
    <row r="5070" spans="1:13" x14ac:dyDescent="0.25">
      <c r="A5070">
        <v>5213349</v>
      </c>
      <c r="B5070" t="s">
        <v>12161</v>
      </c>
      <c r="C5070" t="s">
        <v>12159</v>
      </c>
      <c r="D5070" s="254">
        <v>0.74</v>
      </c>
      <c r="E5070"/>
      <c r="F5070"/>
      <c r="G5070"/>
      <c r="H5070"/>
      <c r="I5070" s="489"/>
      <c r="J5070" s="1095"/>
      <c r="K5070" s="1095"/>
      <c r="L5070" s="1095"/>
      <c r="M5070" s="1095"/>
    </row>
    <row r="5071" spans="1:13" x14ac:dyDescent="0.25">
      <c r="A5071">
        <v>5213841</v>
      </c>
      <c r="B5071" t="s">
        <v>12162</v>
      </c>
      <c r="C5071" t="s">
        <v>2595</v>
      </c>
      <c r="D5071" s="254">
        <v>67.099999999999994</v>
      </c>
      <c r="E5071"/>
      <c r="F5071"/>
      <c r="G5071"/>
      <c r="H5071"/>
      <c r="I5071" s="489"/>
      <c r="J5071" s="1095"/>
      <c r="K5071" s="1095"/>
      <c r="L5071" s="1095"/>
      <c r="M5071" s="1095"/>
    </row>
    <row r="5072" spans="1:13" x14ac:dyDescent="0.25">
      <c r="A5072">
        <v>5213348</v>
      </c>
      <c r="B5072" t="s">
        <v>12163</v>
      </c>
      <c r="C5072" t="s">
        <v>12159</v>
      </c>
      <c r="D5072" s="254">
        <v>6.11</v>
      </c>
      <c r="E5072"/>
      <c r="F5072"/>
      <c r="G5072"/>
      <c r="H5072"/>
      <c r="I5072" s="489"/>
      <c r="J5072" s="1095"/>
      <c r="K5072" s="1095"/>
      <c r="L5072" s="1095"/>
      <c r="M5072" s="1095"/>
    </row>
    <row r="5073" spans="1:13" x14ac:dyDescent="0.25">
      <c r="A5073">
        <v>5216116</v>
      </c>
      <c r="B5073" t="s">
        <v>12164</v>
      </c>
      <c r="C5073" t="s">
        <v>2640</v>
      </c>
      <c r="D5073" s="254">
        <v>15.26</v>
      </c>
      <c r="E5073"/>
      <c r="F5073"/>
      <c r="G5073"/>
      <c r="H5073"/>
      <c r="I5073" s="489"/>
      <c r="J5073" s="1095"/>
      <c r="K5073" s="1095"/>
      <c r="L5073" s="1095"/>
      <c r="M5073" s="1095"/>
    </row>
    <row r="5074" spans="1:13" x14ac:dyDescent="0.25">
      <c r="A5074">
        <v>5216115</v>
      </c>
      <c r="B5074" t="s">
        <v>12165</v>
      </c>
      <c r="C5074" t="s">
        <v>2640</v>
      </c>
      <c r="D5074" s="254">
        <v>14.49</v>
      </c>
      <c r="E5074"/>
      <c r="F5074"/>
      <c r="G5074"/>
      <c r="H5074"/>
      <c r="I5074" s="489"/>
      <c r="J5074" s="1095"/>
      <c r="K5074" s="1095"/>
      <c r="L5074" s="1095"/>
      <c r="M5074" s="1095"/>
    </row>
    <row r="5075" spans="1:13" x14ac:dyDescent="0.25">
      <c r="A5075">
        <v>5213842</v>
      </c>
      <c r="B5075" t="s">
        <v>12166</v>
      </c>
      <c r="C5075" t="s">
        <v>2598</v>
      </c>
      <c r="D5075" s="254">
        <v>0.11</v>
      </c>
      <c r="E5075"/>
      <c r="F5075"/>
      <c r="G5075"/>
      <c r="H5075"/>
      <c r="I5075" s="489"/>
      <c r="J5075" s="1095"/>
      <c r="K5075" s="1095"/>
      <c r="L5075" s="1095"/>
      <c r="M5075" s="1095"/>
    </row>
    <row r="5076" spans="1:13" x14ac:dyDescent="0.25">
      <c r="A5076">
        <v>5213358</v>
      </c>
      <c r="B5076" t="s">
        <v>12167</v>
      </c>
      <c r="C5076" t="s">
        <v>2595</v>
      </c>
      <c r="D5076" s="254">
        <v>276.58999999999997</v>
      </c>
      <c r="E5076"/>
      <c r="F5076"/>
      <c r="G5076"/>
      <c r="H5076"/>
      <c r="I5076" s="489"/>
      <c r="J5076" s="1095"/>
      <c r="K5076" s="1095"/>
      <c r="L5076" s="1095"/>
      <c r="M5076" s="1095"/>
    </row>
    <row r="5077" spans="1:13" x14ac:dyDescent="0.25">
      <c r="A5077">
        <v>5213848</v>
      </c>
      <c r="B5077" t="s">
        <v>12168</v>
      </c>
      <c r="C5077" t="s">
        <v>12136</v>
      </c>
      <c r="D5077" s="254">
        <v>1.02</v>
      </c>
      <c r="E5077"/>
      <c r="F5077"/>
      <c r="G5077"/>
      <c r="H5077"/>
      <c r="I5077" s="489"/>
      <c r="J5077" s="1095"/>
      <c r="K5077" s="1095"/>
      <c r="L5077" s="1095"/>
      <c r="M5077" s="1095"/>
    </row>
    <row r="5078" spans="1:13" x14ac:dyDescent="0.25">
      <c r="A5078">
        <v>5214012</v>
      </c>
      <c r="B5078" t="s">
        <v>12169</v>
      </c>
      <c r="C5078" t="s">
        <v>2595</v>
      </c>
      <c r="D5078" s="254">
        <v>26.31</v>
      </c>
      <c r="E5078"/>
      <c r="F5078"/>
      <c r="G5078"/>
      <c r="H5078"/>
      <c r="I5078" s="489"/>
      <c r="J5078" s="1095"/>
      <c r="K5078" s="1095"/>
      <c r="L5078" s="1095"/>
      <c r="M5078" s="1095"/>
    </row>
    <row r="5079" spans="1:13" x14ac:dyDescent="0.25">
      <c r="A5079">
        <v>5213356</v>
      </c>
      <c r="B5079" t="s">
        <v>12170</v>
      </c>
      <c r="C5079" t="s">
        <v>2595</v>
      </c>
      <c r="D5079" s="254">
        <v>37.03</v>
      </c>
      <c r="E5079"/>
      <c r="F5079"/>
      <c r="G5079"/>
      <c r="H5079"/>
      <c r="I5079" s="489"/>
      <c r="J5079" s="1095"/>
      <c r="K5079" s="1095"/>
      <c r="L5079" s="1095"/>
      <c r="M5079" s="1095"/>
    </row>
    <row r="5080" spans="1:13" x14ac:dyDescent="0.25">
      <c r="A5080">
        <v>5214011</v>
      </c>
      <c r="B5080" t="s">
        <v>12171</v>
      </c>
      <c r="C5080" t="s">
        <v>2595</v>
      </c>
      <c r="D5080" s="254">
        <v>12.39</v>
      </c>
      <c r="E5080"/>
      <c r="F5080"/>
      <c r="G5080"/>
      <c r="H5080"/>
      <c r="I5080" s="489"/>
      <c r="J5080" s="1095"/>
      <c r="K5080" s="1095"/>
      <c r="L5080" s="1095"/>
      <c r="M5080" s="1095"/>
    </row>
    <row r="5081" spans="1:13" x14ac:dyDescent="0.25">
      <c r="A5081">
        <v>5213354</v>
      </c>
      <c r="B5081" t="s">
        <v>12172</v>
      </c>
      <c r="C5081" t="s">
        <v>2595</v>
      </c>
      <c r="D5081" s="254">
        <v>14.83</v>
      </c>
      <c r="E5081"/>
      <c r="F5081"/>
      <c r="G5081"/>
      <c r="H5081"/>
      <c r="I5081" s="489"/>
      <c r="J5081" s="1095"/>
      <c r="K5081" s="1095"/>
      <c r="L5081" s="1095"/>
      <c r="M5081" s="1095"/>
    </row>
    <row r="5082" spans="1:13" x14ac:dyDescent="0.25">
      <c r="A5082">
        <v>5213355</v>
      </c>
      <c r="B5082" t="s">
        <v>12173</v>
      </c>
      <c r="C5082" t="s">
        <v>2595</v>
      </c>
      <c r="D5082" s="254">
        <v>17.29</v>
      </c>
      <c r="E5082"/>
      <c r="F5082"/>
      <c r="G5082"/>
      <c r="H5082"/>
      <c r="I5082" s="489"/>
      <c r="J5082" s="1095"/>
      <c r="K5082" s="1095"/>
      <c r="L5082" s="1095"/>
      <c r="M5082" s="1095"/>
    </row>
    <row r="5083" spans="1:13" x14ac:dyDescent="0.25">
      <c r="A5083">
        <v>5213850</v>
      </c>
      <c r="B5083" t="s">
        <v>12174</v>
      </c>
      <c r="C5083" t="s">
        <v>149</v>
      </c>
      <c r="D5083" s="254">
        <v>19.7</v>
      </c>
      <c r="E5083"/>
      <c r="F5083"/>
      <c r="G5083"/>
      <c r="H5083"/>
      <c r="I5083" s="489"/>
      <c r="J5083" s="1095"/>
      <c r="K5083" s="1095"/>
      <c r="L5083" s="1095"/>
      <c r="M5083" s="1095"/>
    </row>
    <row r="5084" spans="1:13" x14ac:dyDescent="0.25">
      <c r="A5084">
        <v>5213846</v>
      </c>
      <c r="B5084" t="s">
        <v>12175</v>
      </c>
      <c r="C5084" t="s">
        <v>149</v>
      </c>
      <c r="D5084" s="254">
        <v>5.37</v>
      </c>
      <c r="E5084"/>
      <c r="F5084"/>
      <c r="G5084"/>
      <c r="H5084"/>
      <c r="I5084" s="489"/>
      <c r="J5084" s="1095"/>
      <c r="K5084" s="1095"/>
      <c r="L5084" s="1095"/>
      <c r="M5084" s="1095"/>
    </row>
    <row r="5085" spans="1:13" x14ac:dyDescent="0.25">
      <c r="A5085">
        <v>5213847</v>
      </c>
      <c r="B5085" t="s">
        <v>12176</v>
      </c>
      <c r="C5085" t="s">
        <v>149</v>
      </c>
      <c r="D5085" s="254">
        <v>57.82</v>
      </c>
      <c r="E5085"/>
      <c r="F5085"/>
      <c r="G5085"/>
      <c r="H5085"/>
      <c r="I5085" s="489"/>
      <c r="J5085" s="1095"/>
      <c r="K5085" s="1095"/>
      <c r="L5085" s="1095"/>
      <c r="M5085" s="1095"/>
    </row>
    <row r="5086" spans="1:13" x14ac:dyDescent="0.25">
      <c r="A5086">
        <v>5213845</v>
      </c>
      <c r="B5086" t="s">
        <v>12177</v>
      </c>
      <c r="C5086" t="s">
        <v>149</v>
      </c>
      <c r="D5086" s="254">
        <v>23.53</v>
      </c>
      <c r="E5086"/>
      <c r="F5086"/>
      <c r="G5086"/>
      <c r="H5086"/>
      <c r="I5086" s="489"/>
      <c r="J5086" s="1095"/>
      <c r="K5086" s="1095"/>
      <c r="L5086" s="1095"/>
      <c r="M5086" s="1095"/>
    </row>
    <row r="5087" spans="1:13" x14ac:dyDescent="0.25">
      <c r="A5087">
        <v>5213412</v>
      </c>
      <c r="B5087" t="s">
        <v>12178</v>
      </c>
      <c r="C5087" t="s">
        <v>2595</v>
      </c>
      <c r="D5087" s="254">
        <v>135.4</v>
      </c>
      <c r="E5087"/>
      <c r="F5087"/>
      <c r="G5087"/>
      <c r="H5087"/>
      <c r="I5087" s="489"/>
      <c r="J5087" s="1095"/>
      <c r="K5087" s="1095"/>
      <c r="L5087" s="1095"/>
      <c r="M5087" s="1095"/>
    </row>
    <row r="5088" spans="1:13" x14ac:dyDescent="0.25">
      <c r="A5088">
        <v>5213411</v>
      </c>
      <c r="B5088" t="s">
        <v>12179</v>
      </c>
      <c r="C5088" t="s">
        <v>2595</v>
      </c>
      <c r="D5088" s="254">
        <v>242.87</v>
      </c>
      <c r="E5088"/>
      <c r="F5088"/>
      <c r="G5088"/>
      <c r="H5088"/>
      <c r="I5088" s="489"/>
      <c r="J5088" s="1095"/>
      <c r="K5088" s="1095"/>
      <c r="L5088" s="1095"/>
      <c r="M5088" s="1095"/>
    </row>
    <row r="5089" spans="1:13" x14ac:dyDescent="0.25">
      <c r="A5089">
        <v>5214009</v>
      </c>
      <c r="B5089" t="s">
        <v>12180</v>
      </c>
      <c r="C5089" t="s">
        <v>2595</v>
      </c>
      <c r="D5089" s="254">
        <v>135.4</v>
      </c>
      <c r="E5089"/>
      <c r="F5089"/>
      <c r="G5089"/>
      <c r="H5089"/>
      <c r="I5089" s="489"/>
      <c r="J5089" s="1095"/>
      <c r="K5089" s="1095"/>
      <c r="L5089" s="1095"/>
      <c r="M5089" s="1095"/>
    </row>
    <row r="5090" spans="1:13" x14ac:dyDescent="0.25">
      <c r="A5090">
        <v>5214010</v>
      </c>
      <c r="B5090" t="s">
        <v>12181</v>
      </c>
      <c r="C5090" t="s">
        <v>2595</v>
      </c>
      <c r="D5090" s="254">
        <v>252.51</v>
      </c>
      <c r="E5090"/>
      <c r="F5090"/>
      <c r="G5090"/>
      <c r="H5090"/>
      <c r="I5090" s="489"/>
      <c r="J5090" s="1095"/>
      <c r="K5090" s="1095"/>
      <c r="L5090" s="1095"/>
      <c r="M5090" s="1095"/>
    </row>
    <row r="5091" spans="1:13" x14ac:dyDescent="0.25">
      <c r="A5091">
        <v>5213413</v>
      </c>
      <c r="B5091" t="s">
        <v>12182</v>
      </c>
      <c r="C5091" t="s">
        <v>2595</v>
      </c>
      <c r="D5091" s="254">
        <v>60.86</v>
      </c>
      <c r="E5091"/>
      <c r="F5091"/>
      <c r="G5091"/>
      <c r="H5091"/>
      <c r="I5091" s="489"/>
      <c r="J5091" s="1095"/>
      <c r="K5091" s="1095"/>
      <c r="L5091" s="1095"/>
      <c r="M5091" s="1095"/>
    </row>
    <row r="5092" spans="1:13" x14ac:dyDescent="0.25">
      <c r="A5092">
        <v>5213410</v>
      </c>
      <c r="B5092" t="s">
        <v>12183</v>
      </c>
      <c r="C5092" t="s">
        <v>2595</v>
      </c>
      <c r="D5092" s="254">
        <v>129.06</v>
      </c>
      <c r="E5092"/>
      <c r="F5092"/>
      <c r="G5092"/>
      <c r="H5092"/>
      <c r="I5092" s="489"/>
      <c r="J5092" s="1095"/>
      <c r="K5092" s="1095"/>
      <c r="L5092" s="1095"/>
      <c r="M5092" s="1095"/>
    </row>
    <row r="5093" spans="1:13" x14ac:dyDescent="0.25">
      <c r="A5093">
        <v>5214004</v>
      </c>
      <c r="B5093" t="s">
        <v>12184</v>
      </c>
      <c r="C5093" t="s">
        <v>2595</v>
      </c>
      <c r="D5093" s="254">
        <v>153.16</v>
      </c>
      <c r="E5093"/>
      <c r="F5093"/>
      <c r="G5093"/>
      <c r="H5093"/>
      <c r="I5093" s="489"/>
      <c r="J5093" s="1095"/>
      <c r="K5093" s="1095"/>
      <c r="L5093" s="1095"/>
      <c r="M5093" s="1095"/>
    </row>
    <row r="5094" spans="1:13" x14ac:dyDescent="0.25">
      <c r="A5094">
        <v>5214005</v>
      </c>
      <c r="B5094" t="s">
        <v>12185</v>
      </c>
      <c r="C5094" t="s">
        <v>2595</v>
      </c>
      <c r="D5094" s="254">
        <v>138.26</v>
      </c>
      <c r="E5094"/>
      <c r="F5094"/>
      <c r="G5094"/>
      <c r="H5094"/>
      <c r="I5094" s="489"/>
      <c r="J5094" s="1095"/>
      <c r="K5094" s="1095"/>
      <c r="L5094" s="1095"/>
      <c r="M5094" s="1095"/>
    </row>
    <row r="5095" spans="1:13" x14ac:dyDescent="0.25">
      <c r="A5095">
        <v>5214006</v>
      </c>
      <c r="B5095" t="s">
        <v>12186</v>
      </c>
      <c r="C5095" t="s">
        <v>2595</v>
      </c>
      <c r="D5095" s="254">
        <v>91.99</v>
      </c>
      <c r="E5095"/>
      <c r="F5095"/>
      <c r="G5095"/>
      <c r="H5095"/>
      <c r="I5095" s="489"/>
      <c r="J5095" s="1095"/>
      <c r="K5095" s="1095"/>
      <c r="L5095" s="1095"/>
      <c r="M5095" s="1095"/>
    </row>
    <row r="5096" spans="1:13" x14ac:dyDescent="0.25">
      <c r="A5096">
        <v>5214007</v>
      </c>
      <c r="B5096" t="s">
        <v>12187</v>
      </c>
      <c r="C5096" t="s">
        <v>2595</v>
      </c>
      <c r="D5096" s="254">
        <v>79.8</v>
      </c>
      <c r="E5096"/>
      <c r="F5096"/>
      <c r="G5096"/>
      <c r="H5096"/>
      <c r="I5096" s="489"/>
      <c r="J5096" s="1095"/>
      <c r="K5096" s="1095"/>
      <c r="L5096" s="1095"/>
      <c r="M5096" s="1095"/>
    </row>
    <row r="5097" spans="1:13" x14ac:dyDescent="0.25">
      <c r="A5097">
        <v>5214008</v>
      </c>
      <c r="B5097" t="s">
        <v>12188</v>
      </c>
      <c r="C5097" t="s">
        <v>2595</v>
      </c>
      <c r="D5097" s="254">
        <v>78.52</v>
      </c>
      <c r="E5097"/>
      <c r="F5097"/>
      <c r="G5097"/>
      <c r="H5097"/>
      <c r="I5097" s="489"/>
      <c r="J5097" s="1095"/>
      <c r="K5097" s="1095"/>
      <c r="L5097" s="1095"/>
      <c r="M5097" s="1095"/>
    </row>
    <row r="5098" spans="1:13" x14ac:dyDescent="0.25">
      <c r="A5098">
        <v>5213408</v>
      </c>
      <c r="B5098" t="s">
        <v>6360</v>
      </c>
      <c r="C5098" t="s">
        <v>2595</v>
      </c>
      <c r="D5098" s="254">
        <v>41.55</v>
      </c>
      <c r="E5098"/>
      <c r="F5098"/>
      <c r="G5098"/>
      <c r="H5098"/>
      <c r="I5098" s="489"/>
      <c r="J5098" s="1095"/>
      <c r="K5098" s="1095"/>
      <c r="L5098" s="1095"/>
      <c r="M5098" s="1095"/>
    </row>
    <row r="5099" spans="1:13" x14ac:dyDescent="0.25">
      <c r="A5099">
        <v>5213400</v>
      </c>
      <c r="B5099" t="s">
        <v>12189</v>
      </c>
      <c r="C5099" t="s">
        <v>2595</v>
      </c>
      <c r="D5099" s="254">
        <v>26.57</v>
      </c>
      <c r="E5099"/>
      <c r="F5099"/>
      <c r="G5099"/>
      <c r="H5099"/>
      <c r="I5099" s="489"/>
      <c r="J5099" s="1095"/>
      <c r="K5099" s="1095"/>
      <c r="L5099" s="1095"/>
      <c r="M5099" s="1095"/>
    </row>
    <row r="5100" spans="1:13" x14ac:dyDescent="0.25">
      <c r="A5100">
        <v>5213401</v>
      </c>
      <c r="B5100" t="s">
        <v>12190</v>
      </c>
      <c r="C5100" t="s">
        <v>2595</v>
      </c>
      <c r="D5100" s="254">
        <v>37.32</v>
      </c>
      <c r="E5100"/>
      <c r="F5100"/>
      <c r="G5100"/>
      <c r="H5100"/>
      <c r="I5100" s="489"/>
      <c r="J5100" s="1095"/>
      <c r="K5100" s="1095"/>
      <c r="L5100" s="1095"/>
      <c r="M5100" s="1095"/>
    </row>
    <row r="5101" spans="1:13" x14ac:dyDescent="0.25">
      <c r="A5101">
        <v>5214001</v>
      </c>
      <c r="B5101" t="s">
        <v>12191</v>
      </c>
      <c r="C5101" t="s">
        <v>2595</v>
      </c>
      <c r="D5101" s="254">
        <v>12.63</v>
      </c>
      <c r="E5101"/>
      <c r="F5101"/>
      <c r="G5101"/>
      <c r="H5101"/>
      <c r="I5101" s="489"/>
      <c r="J5101" s="1095"/>
      <c r="K5101" s="1095"/>
      <c r="L5101" s="1095"/>
      <c r="M5101" s="1095"/>
    </row>
    <row r="5102" spans="1:13" x14ac:dyDescent="0.25">
      <c r="A5102">
        <v>5213402</v>
      </c>
      <c r="B5102" t="s">
        <v>12192</v>
      </c>
      <c r="C5102" t="s">
        <v>2595</v>
      </c>
      <c r="D5102" s="254">
        <v>15.08</v>
      </c>
      <c r="E5102"/>
      <c r="F5102"/>
      <c r="G5102"/>
      <c r="H5102"/>
      <c r="I5102" s="489"/>
      <c r="J5102" s="1095"/>
      <c r="K5102" s="1095"/>
      <c r="L5102" s="1095"/>
      <c r="M5102" s="1095"/>
    </row>
    <row r="5103" spans="1:13" x14ac:dyDescent="0.25">
      <c r="A5103">
        <v>5213403</v>
      </c>
      <c r="B5103" t="s">
        <v>6359</v>
      </c>
      <c r="C5103" t="s">
        <v>2595</v>
      </c>
      <c r="D5103" s="254">
        <v>17.559999999999999</v>
      </c>
      <c r="E5103"/>
      <c r="F5103"/>
      <c r="G5103"/>
      <c r="H5103"/>
      <c r="I5103" s="489"/>
      <c r="J5103" s="1095"/>
      <c r="K5103" s="1095"/>
      <c r="L5103" s="1095"/>
      <c r="M5103" s="1095"/>
    </row>
    <row r="5104" spans="1:13" x14ac:dyDescent="0.25">
      <c r="A5104">
        <v>5214003</v>
      </c>
      <c r="B5104" t="s">
        <v>12193</v>
      </c>
      <c r="C5104" t="s">
        <v>2595</v>
      </c>
      <c r="D5104" s="254">
        <v>51.67</v>
      </c>
      <c r="E5104"/>
      <c r="F5104"/>
      <c r="G5104"/>
      <c r="H5104"/>
      <c r="I5104" s="489"/>
      <c r="J5104" s="1095"/>
      <c r="K5104" s="1095"/>
      <c r="L5104" s="1095"/>
      <c r="M5104" s="1095"/>
    </row>
    <row r="5105" spans="1:13" x14ac:dyDescent="0.25">
      <c r="A5105">
        <v>5213409</v>
      </c>
      <c r="B5105" t="s">
        <v>12194</v>
      </c>
      <c r="C5105" t="s">
        <v>2595</v>
      </c>
      <c r="D5105" s="254">
        <v>85.93</v>
      </c>
      <c r="E5105"/>
      <c r="F5105"/>
      <c r="G5105"/>
      <c r="H5105"/>
      <c r="I5105" s="489"/>
      <c r="J5105" s="1095"/>
      <c r="K5105" s="1095"/>
      <c r="L5105" s="1095"/>
      <c r="M5105" s="1095"/>
    </row>
    <row r="5106" spans="1:13" x14ac:dyDescent="0.25">
      <c r="A5106">
        <v>5213404</v>
      </c>
      <c r="B5106" t="s">
        <v>12195</v>
      </c>
      <c r="C5106" t="s">
        <v>2595</v>
      </c>
      <c r="D5106" s="254">
        <v>40.520000000000003</v>
      </c>
      <c r="E5106"/>
      <c r="F5106"/>
      <c r="G5106"/>
      <c r="H5106"/>
      <c r="I5106" s="489"/>
      <c r="J5106" s="1095"/>
      <c r="K5106" s="1095"/>
      <c r="L5106" s="1095"/>
      <c r="M5106" s="1095"/>
    </row>
    <row r="5107" spans="1:13" x14ac:dyDescent="0.25">
      <c r="A5107">
        <v>5213405</v>
      </c>
      <c r="B5107" t="s">
        <v>12196</v>
      </c>
      <c r="C5107" t="s">
        <v>2595</v>
      </c>
      <c r="D5107" s="254">
        <v>50.75</v>
      </c>
      <c r="E5107"/>
      <c r="F5107"/>
      <c r="G5107"/>
      <c r="H5107"/>
      <c r="I5107" s="489"/>
      <c r="J5107" s="1095"/>
      <c r="K5107" s="1095"/>
      <c r="L5107" s="1095"/>
      <c r="M5107" s="1095"/>
    </row>
    <row r="5108" spans="1:13" x14ac:dyDescent="0.25">
      <c r="A5108">
        <v>5214002</v>
      </c>
      <c r="B5108" t="s">
        <v>12197</v>
      </c>
      <c r="C5108" t="s">
        <v>2595</v>
      </c>
      <c r="D5108" s="254">
        <v>26.8</v>
      </c>
      <c r="E5108"/>
      <c r="F5108"/>
      <c r="G5108"/>
      <c r="H5108"/>
      <c r="I5108" s="489"/>
      <c r="J5108" s="1095"/>
      <c r="K5108" s="1095"/>
      <c r="L5108" s="1095"/>
      <c r="M5108" s="1095"/>
    </row>
    <row r="5109" spans="1:13" x14ac:dyDescent="0.25">
      <c r="A5109">
        <v>5213406</v>
      </c>
      <c r="B5109" t="s">
        <v>12198</v>
      </c>
      <c r="C5109" t="s">
        <v>2595</v>
      </c>
      <c r="D5109" s="254">
        <v>29.04</v>
      </c>
      <c r="E5109"/>
      <c r="F5109"/>
      <c r="G5109"/>
      <c r="H5109"/>
      <c r="I5109" s="489"/>
      <c r="J5109" s="1095"/>
      <c r="K5109" s="1095"/>
      <c r="L5109" s="1095"/>
      <c r="M5109" s="1095"/>
    </row>
    <row r="5110" spans="1:13" x14ac:dyDescent="0.25">
      <c r="A5110">
        <v>5213407</v>
      </c>
      <c r="B5110" t="s">
        <v>6361</v>
      </c>
      <c r="C5110" t="s">
        <v>2595</v>
      </c>
      <c r="D5110" s="254">
        <v>31.28</v>
      </c>
      <c r="E5110"/>
      <c r="F5110"/>
      <c r="G5110"/>
      <c r="H5110"/>
      <c r="I5110" s="489"/>
      <c r="J5110" s="1095"/>
      <c r="K5110" s="1095"/>
      <c r="L5110" s="1095"/>
      <c r="M5110" s="1095"/>
    </row>
    <row r="5111" spans="1:13" x14ac:dyDescent="0.25">
      <c r="A5111">
        <v>5212552</v>
      </c>
      <c r="B5111" t="s">
        <v>12199</v>
      </c>
      <c r="C5111" t="s">
        <v>2595</v>
      </c>
      <c r="D5111" s="254">
        <v>13.67</v>
      </c>
      <c r="E5111"/>
      <c r="F5111"/>
      <c r="G5111"/>
      <c r="H5111"/>
      <c r="I5111" s="489"/>
      <c r="J5111" s="1095"/>
      <c r="K5111" s="1095"/>
      <c r="L5111" s="1095"/>
      <c r="M5111" s="1095"/>
    </row>
    <row r="5112" spans="1:13" x14ac:dyDescent="0.25">
      <c r="A5112">
        <v>5213464</v>
      </c>
      <c r="B5112" t="s">
        <v>7159</v>
      </c>
      <c r="C5112" t="s">
        <v>2640</v>
      </c>
      <c r="D5112" s="254">
        <v>202.05</v>
      </c>
      <c r="E5112"/>
      <c r="F5112"/>
      <c r="G5112"/>
      <c r="H5112"/>
      <c r="I5112" s="489"/>
      <c r="J5112" s="1095"/>
      <c r="K5112" s="1095"/>
      <c r="L5112" s="1095"/>
      <c r="M5112" s="1095"/>
    </row>
    <row r="5113" spans="1:13" x14ac:dyDescent="0.25">
      <c r="A5113">
        <v>5213465</v>
      </c>
      <c r="B5113" t="s">
        <v>6745</v>
      </c>
      <c r="C5113" t="s">
        <v>2640</v>
      </c>
      <c r="D5113" s="254">
        <v>339.15</v>
      </c>
      <c r="E5113"/>
      <c r="F5113"/>
      <c r="G5113"/>
      <c r="H5113"/>
      <c r="I5113" s="489"/>
      <c r="J5113" s="1095"/>
      <c r="K5113" s="1095"/>
      <c r="L5113" s="1095"/>
      <c r="M5113" s="1095"/>
    </row>
    <row r="5114" spans="1:13" x14ac:dyDescent="0.25">
      <c r="A5114">
        <v>5213466</v>
      </c>
      <c r="B5114" t="s">
        <v>6369</v>
      </c>
      <c r="C5114" t="s">
        <v>2640</v>
      </c>
      <c r="D5114" s="254">
        <v>471.41</v>
      </c>
      <c r="E5114"/>
      <c r="F5114"/>
      <c r="G5114"/>
      <c r="H5114"/>
      <c r="I5114" s="489"/>
      <c r="J5114" s="1095"/>
      <c r="K5114" s="1095"/>
      <c r="L5114" s="1095"/>
      <c r="M5114" s="1095"/>
    </row>
    <row r="5115" spans="1:13" x14ac:dyDescent="0.25">
      <c r="A5115">
        <v>5213467</v>
      </c>
      <c r="B5115" t="s">
        <v>12200</v>
      </c>
      <c r="C5115" t="s">
        <v>2640</v>
      </c>
      <c r="D5115" s="254">
        <v>974.81</v>
      </c>
      <c r="E5115"/>
      <c r="F5115"/>
      <c r="G5115"/>
      <c r="H5115"/>
      <c r="I5115" s="489"/>
      <c r="J5115" s="1095"/>
      <c r="K5115" s="1095"/>
      <c r="L5115" s="1095"/>
      <c r="M5115" s="1095"/>
    </row>
    <row r="5116" spans="1:13" x14ac:dyDescent="0.25">
      <c r="A5116">
        <v>5213468</v>
      </c>
      <c r="B5116" t="s">
        <v>12201</v>
      </c>
      <c r="C5116" t="s">
        <v>2640</v>
      </c>
      <c r="D5116" s="254">
        <v>178.54</v>
      </c>
      <c r="E5116"/>
      <c r="F5116"/>
      <c r="G5116"/>
      <c r="H5116"/>
      <c r="I5116" s="489"/>
      <c r="J5116" s="1095"/>
      <c r="K5116" s="1095"/>
      <c r="L5116" s="1095"/>
      <c r="M5116" s="1095"/>
    </row>
    <row r="5117" spans="1:13" x14ac:dyDescent="0.25">
      <c r="A5117">
        <v>5213469</v>
      </c>
      <c r="B5117" t="s">
        <v>12202</v>
      </c>
      <c r="C5117" t="s">
        <v>2640</v>
      </c>
      <c r="D5117" s="254">
        <v>294.37</v>
      </c>
      <c r="E5117"/>
      <c r="F5117"/>
      <c r="G5117"/>
      <c r="H5117"/>
      <c r="I5117" s="489"/>
      <c r="J5117" s="1095"/>
      <c r="K5117" s="1095"/>
      <c r="L5117" s="1095"/>
      <c r="M5117" s="1095"/>
    </row>
    <row r="5118" spans="1:13" x14ac:dyDescent="0.25">
      <c r="A5118">
        <v>5213470</v>
      </c>
      <c r="B5118" t="s">
        <v>12203</v>
      </c>
      <c r="C5118" t="s">
        <v>2640</v>
      </c>
      <c r="D5118" s="254">
        <v>406.11</v>
      </c>
      <c r="E5118"/>
      <c r="F5118"/>
      <c r="G5118"/>
      <c r="H5118"/>
      <c r="I5118" s="489"/>
      <c r="J5118" s="1095"/>
      <c r="K5118" s="1095"/>
      <c r="L5118" s="1095"/>
      <c r="M5118" s="1095"/>
    </row>
    <row r="5119" spans="1:13" x14ac:dyDescent="0.25">
      <c r="A5119">
        <v>5213471</v>
      </c>
      <c r="B5119" t="s">
        <v>12204</v>
      </c>
      <c r="C5119" t="s">
        <v>2640</v>
      </c>
      <c r="D5119" s="254">
        <v>880.78</v>
      </c>
      <c r="E5119"/>
      <c r="F5119"/>
      <c r="G5119"/>
      <c r="H5119"/>
      <c r="I5119" s="489"/>
      <c r="J5119" s="1095"/>
      <c r="K5119" s="1095"/>
      <c r="L5119" s="1095"/>
      <c r="M5119" s="1095"/>
    </row>
    <row r="5120" spans="1:13" x14ac:dyDescent="0.25">
      <c r="A5120">
        <v>5212560</v>
      </c>
      <c r="B5120" t="s">
        <v>12205</v>
      </c>
      <c r="C5120" t="s">
        <v>12136</v>
      </c>
      <c r="D5120" s="254">
        <v>4.1100000000000003</v>
      </c>
      <c r="E5120"/>
      <c r="F5120"/>
      <c r="G5120"/>
      <c r="H5120"/>
      <c r="I5120" s="489"/>
      <c r="J5120" s="1095"/>
      <c r="K5120" s="1095"/>
      <c r="L5120" s="1095"/>
      <c r="M5120" s="1095"/>
    </row>
    <row r="5121" spans="1:13" x14ac:dyDescent="0.25">
      <c r="A5121">
        <v>5213472</v>
      </c>
      <c r="B5121" t="s">
        <v>12206</v>
      </c>
      <c r="C5121" t="s">
        <v>2640</v>
      </c>
      <c r="D5121" s="254">
        <v>297.35000000000002</v>
      </c>
      <c r="E5121"/>
      <c r="F5121"/>
      <c r="G5121"/>
      <c r="H5121"/>
      <c r="I5121" s="489"/>
      <c r="J5121" s="1095"/>
      <c r="K5121" s="1095"/>
      <c r="L5121" s="1095"/>
      <c r="M5121" s="1095"/>
    </row>
    <row r="5122" spans="1:13" x14ac:dyDescent="0.25">
      <c r="A5122">
        <v>5213473</v>
      </c>
      <c r="B5122" t="s">
        <v>6370</v>
      </c>
      <c r="C5122" t="s">
        <v>2640</v>
      </c>
      <c r="D5122" s="254">
        <v>389.03</v>
      </c>
      <c r="E5122"/>
      <c r="F5122"/>
      <c r="G5122"/>
      <c r="H5122"/>
      <c r="I5122" s="489"/>
      <c r="J5122" s="1095"/>
      <c r="K5122" s="1095"/>
      <c r="L5122" s="1095"/>
      <c r="M5122" s="1095"/>
    </row>
    <row r="5123" spans="1:13" x14ac:dyDescent="0.25">
      <c r="A5123">
        <v>5213474</v>
      </c>
      <c r="B5123" t="s">
        <v>12207</v>
      </c>
      <c r="C5123" t="s">
        <v>2640</v>
      </c>
      <c r="D5123" s="254">
        <v>258.16000000000003</v>
      </c>
      <c r="E5123"/>
      <c r="F5123"/>
      <c r="G5123"/>
      <c r="H5123"/>
      <c r="I5123" s="489"/>
      <c r="J5123" s="1095"/>
      <c r="K5123" s="1095"/>
      <c r="L5123" s="1095"/>
      <c r="M5123" s="1095"/>
    </row>
    <row r="5124" spans="1:13" x14ac:dyDescent="0.25">
      <c r="A5124">
        <v>5213475</v>
      </c>
      <c r="B5124" t="s">
        <v>12208</v>
      </c>
      <c r="C5124" t="s">
        <v>2640</v>
      </c>
      <c r="D5124" s="254">
        <v>340.05</v>
      </c>
      <c r="E5124"/>
      <c r="F5124"/>
      <c r="G5124"/>
      <c r="H5124"/>
      <c r="I5124" s="489"/>
      <c r="J5124" s="1095"/>
      <c r="K5124" s="1095"/>
      <c r="L5124" s="1095"/>
      <c r="M5124" s="1095"/>
    </row>
    <row r="5125" spans="1:13" x14ac:dyDescent="0.25">
      <c r="A5125">
        <v>5213440</v>
      </c>
      <c r="B5125" t="s">
        <v>7160</v>
      </c>
      <c r="C5125" t="s">
        <v>2640</v>
      </c>
      <c r="D5125" s="254">
        <v>202.05</v>
      </c>
      <c r="E5125"/>
      <c r="F5125"/>
      <c r="G5125"/>
      <c r="H5125"/>
      <c r="I5125" s="489"/>
      <c r="J5125" s="1095"/>
      <c r="K5125" s="1095"/>
      <c r="L5125" s="1095"/>
      <c r="M5125" s="1095"/>
    </row>
    <row r="5126" spans="1:13" x14ac:dyDescent="0.25">
      <c r="A5126">
        <v>5213441</v>
      </c>
      <c r="B5126" t="s">
        <v>6746</v>
      </c>
      <c r="C5126" t="s">
        <v>2640</v>
      </c>
      <c r="D5126" s="254">
        <v>339.15</v>
      </c>
      <c r="E5126"/>
      <c r="F5126"/>
      <c r="G5126"/>
      <c r="H5126"/>
      <c r="I5126" s="489"/>
      <c r="J5126" s="1095"/>
      <c r="K5126" s="1095"/>
      <c r="L5126" s="1095"/>
      <c r="M5126" s="1095"/>
    </row>
    <row r="5127" spans="1:13" x14ac:dyDescent="0.25">
      <c r="A5127">
        <v>5213442</v>
      </c>
      <c r="B5127" t="s">
        <v>6371</v>
      </c>
      <c r="C5127" t="s">
        <v>2640</v>
      </c>
      <c r="D5127" s="254">
        <v>471.41</v>
      </c>
      <c r="E5127"/>
      <c r="F5127"/>
      <c r="G5127"/>
      <c r="H5127"/>
      <c r="I5127" s="489"/>
      <c r="J5127" s="1095"/>
      <c r="K5127" s="1095"/>
      <c r="L5127" s="1095"/>
      <c r="M5127" s="1095"/>
    </row>
    <row r="5128" spans="1:13" x14ac:dyDescent="0.25">
      <c r="A5128">
        <v>5213443</v>
      </c>
      <c r="B5128" t="s">
        <v>12209</v>
      </c>
      <c r="C5128" t="s">
        <v>2640</v>
      </c>
      <c r="D5128" s="254">
        <v>974.81</v>
      </c>
      <c r="E5128"/>
      <c r="F5128"/>
      <c r="G5128"/>
      <c r="H5128"/>
      <c r="I5128" s="489"/>
      <c r="J5128" s="1095"/>
      <c r="K5128" s="1095"/>
      <c r="L5128" s="1095"/>
      <c r="M5128" s="1095"/>
    </row>
    <row r="5129" spans="1:13" x14ac:dyDescent="0.25">
      <c r="A5129">
        <v>5213444</v>
      </c>
      <c r="B5129" t="s">
        <v>7161</v>
      </c>
      <c r="C5129" t="s">
        <v>2640</v>
      </c>
      <c r="D5129" s="254">
        <v>202.05</v>
      </c>
      <c r="E5129"/>
      <c r="F5129"/>
      <c r="G5129"/>
      <c r="H5129"/>
      <c r="I5129" s="489"/>
      <c r="J5129" s="1095"/>
      <c r="K5129" s="1095"/>
      <c r="L5129" s="1095"/>
      <c r="M5129" s="1095"/>
    </row>
    <row r="5130" spans="1:13" x14ac:dyDescent="0.25">
      <c r="A5130">
        <v>5213445</v>
      </c>
      <c r="B5130" t="s">
        <v>12210</v>
      </c>
      <c r="C5130" t="s">
        <v>2640</v>
      </c>
      <c r="D5130" s="254">
        <v>339.12</v>
      </c>
      <c r="E5130"/>
      <c r="F5130"/>
      <c r="G5130"/>
      <c r="H5130"/>
      <c r="I5130" s="489"/>
      <c r="J5130" s="1095"/>
      <c r="K5130" s="1095"/>
      <c r="L5130" s="1095"/>
      <c r="M5130" s="1095"/>
    </row>
    <row r="5131" spans="1:13" x14ac:dyDescent="0.25">
      <c r="A5131">
        <v>5213446</v>
      </c>
      <c r="B5131" t="s">
        <v>6372</v>
      </c>
      <c r="C5131" t="s">
        <v>2640</v>
      </c>
      <c r="D5131" s="254">
        <v>471.4</v>
      </c>
      <c r="E5131"/>
      <c r="F5131"/>
      <c r="G5131"/>
      <c r="H5131"/>
      <c r="I5131" s="489"/>
      <c r="J5131" s="1095"/>
      <c r="K5131" s="1095"/>
      <c r="L5131" s="1095"/>
      <c r="M5131" s="1095"/>
    </row>
    <row r="5132" spans="1:13" x14ac:dyDescent="0.25">
      <c r="A5132">
        <v>5213447</v>
      </c>
      <c r="B5132" t="s">
        <v>12211</v>
      </c>
      <c r="C5132" t="s">
        <v>2640</v>
      </c>
      <c r="D5132" s="254">
        <v>974.85</v>
      </c>
      <c r="E5132"/>
      <c r="F5132"/>
      <c r="G5132"/>
      <c r="H5132"/>
      <c r="I5132" s="489"/>
      <c r="J5132" s="1095"/>
      <c r="K5132" s="1095"/>
      <c r="L5132" s="1095"/>
      <c r="M5132" s="1095"/>
    </row>
    <row r="5133" spans="1:13" x14ac:dyDescent="0.25">
      <c r="A5133">
        <v>5213448</v>
      </c>
      <c r="B5133" t="s">
        <v>12212</v>
      </c>
      <c r="C5133" t="s">
        <v>2640</v>
      </c>
      <c r="D5133" s="254">
        <v>142.35</v>
      </c>
      <c r="E5133"/>
      <c r="F5133"/>
      <c r="G5133"/>
      <c r="H5133"/>
      <c r="I5133" s="489"/>
      <c r="J5133" s="1095"/>
      <c r="K5133" s="1095"/>
      <c r="L5133" s="1095"/>
      <c r="M5133" s="1095"/>
    </row>
    <row r="5134" spans="1:13" x14ac:dyDescent="0.25">
      <c r="A5134">
        <v>5213449</v>
      </c>
      <c r="B5134" t="s">
        <v>7162</v>
      </c>
      <c r="C5134" t="s">
        <v>2640</v>
      </c>
      <c r="D5134" s="254">
        <v>218.89</v>
      </c>
      <c r="E5134"/>
      <c r="F5134"/>
      <c r="G5134"/>
      <c r="H5134"/>
      <c r="I5134" s="489"/>
      <c r="J5134" s="1095"/>
      <c r="K5134" s="1095"/>
      <c r="L5134" s="1095"/>
      <c r="M5134" s="1095"/>
    </row>
    <row r="5135" spans="1:13" x14ac:dyDescent="0.25">
      <c r="A5135">
        <v>5213450</v>
      </c>
      <c r="B5135" t="s">
        <v>6373</v>
      </c>
      <c r="C5135" t="s">
        <v>2640</v>
      </c>
      <c r="D5135" s="254">
        <v>303.06</v>
      </c>
      <c r="E5135"/>
      <c r="F5135"/>
      <c r="G5135"/>
      <c r="H5135"/>
      <c r="I5135" s="489"/>
      <c r="J5135" s="1095"/>
      <c r="K5135" s="1095"/>
      <c r="L5135" s="1095"/>
      <c r="M5135" s="1095"/>
    </row>
    <row r="5136" spans="1:13" x14ac:dyDescent="0.25">
      <c r="A5136">
        <v>5213451</v>
      </c>
      <c r="B5136" t="s">
        <v>12213</v>
      </c>
      <c r="C5136" t="s">
        <v>2640</v>
      </c>
      <c r="D5136" s="254">
        <v>564.03</v>
      </c>
      <c r="E5136"/>
      <c r="F5136"/>
      <c r="G5136"/>
      <c r="H5136"/>
      <c r="I5136" s="489"/>
      <c r="J5136" s="1095"/>
      <c r="K5136" s="1095"/>
      <c r="L5136" s="1095"/>
      <c r="M5136" s="1095"/>
    </row>
    <row r="5137" spans="1:13" x14ac:dyDescent="0.25">
      <c r="A5137">
        <v>5213452</v>
      </c>
      <c r="B5137" t="s">
        <v>12214</v>
      </c>
      <c r="C5137" t="s">
        <v>2640</v>
      </c>
      <c r="D5137" s="254">
        <v>178.54</v>
      </c>
      <c r="E5137"/>
      <c r="F5137"/>
      <c r="G5137"/>
      <c r="H5137"/>
      <c r="I5137" s="489"/>
      <c r="J5137" s="1095"/>
      <c r="K5137" s="1095"/>
      <c r="L5137" s="1095"/>
      <c r="M5137" s="1095"/>
    </row>
    <row r="5138" spans="1:13" x14ac:dyDescent="0.25">
      <c r="A5138">
        <v>5213453</v>
      </c>
      <c r="B5138" t="s">
        <v>12215</v>
      </c>
      <c r="C5138" t="s">
        <v>2640</v>
      </c>
      <c r="D5138" s="254">
        <v>294.37</v>
      </c>
      <c r="E5138"/>
      <c r="F5138"/>
      <c r="G5138"/>
      <c r="H5138"/>
      <c r="I5138" s="489"/>
      <c r="J5138" s="1095"/>
      <c r="K5138" s="1095"/>
      <c r="L5138" s="1095"/>
      <c r="M5138" s="1095"/>
    </row>
    <row r="5139" spans="1:13" x14ac:dyDescent="0.25">
      <c r="A5139">
        <v>5213454</v>
      </c>
      <c r="B5139" t="s">
        <v>12216</v>
      </c>
      <c r="C5139" t="s">
        <v>2640</v>
      </c>
      <c r="D5139" s="254">
        <v>406.11</v>
      </c>
      <c r="E5139"/>
      <c r="F5139"/>
      <c r="G5139"/>
      <c r="H5139"/>
      <c r="I5139" s="489"/>
      <c r="J5139" s="1095"/>
      <c r="K5139" s="1095"/>
      <c r="L5139" s="1095"/>
      <c r="M5139" s="1095"/>
    </row>
    <row r="5140" spans="1:13" x14ac:dyDescent="0.25">
      <c r="A5140">
        <v>5213455</v>
      </c>
      <c r="B5140" t="s">
        <v>12217</v>
      </c>
      <c r="C5140" t="s">
        <v>2640</v>
      </c>
      <c r="D5140" s="254">
        <v>880.78</v>
      </c>
      <c r="E5140"/>
      <c r="F5140"/>
      <c r="G5140"/>
      <c r="H5140"/>
      <c r="I5140" s="489"/>
      <c r="J5140" s="1095"/>
      <c r="K5140" s="1095"/>
      <c r="L5140" s="1095"/>
      <c r="M5140" s="1095"/>
    </row>
    <row r="5141" spans="1:13" x14ac:dyDescent="0.25">
      <c r="A5141">
        <v>5213456</v>
      </c>
      <c r="B5141" t="s">
        <v>12218</v>
      </c>
      <c r="C5141" t="s">
        <v>2640</v>
      </c>
      <c r="D5141" s="254">
        <v>178.54</v>
      </c>
      <c r="E5141"/>
      <c r="F5141"/>
      <c r="G5141"/>
      <c r="H5141"/>
      <c r="I5141" s="489"/>
      <c r="J5141" s="1095"/>
      <c r="K5141" s="1095"/>
      <c r="L5141" s="1095"/>
      <c r="M5141" s="1095"/>
    </row>
    <row r="5142" spans="1:13" x14ac:dyDescent="0.25">
      <c r="A5142">
        <v>5213457</v>
      </c>
      <c r="B5142" t="s">
        <v>12219</v>
      </c>
      <c r="C5142" t="s">
        <v>2640</v>
      </c>
      <c r="D5142" s="254">
        <v>294.35000000000002</v>
      </c>
      <c r="E5142"/>
      <c r="F5142"/>
      <c r="G5142"/>
      <c r="H5142"/>
      <c r="I5142" s="489"/>
      <c r="J5142" s="1095"/>
      <c r="K5142" s="1095"/>
      <c r="L5142" s="1095"/>
      <c r="M5142" s="1095"/>
    </row>
    <row r="5143" spans="1:13" x14ac:dyDescent="0.25">
      <c r="A5143">
        <v>5213458</v>
      </c>
      <c r="B5143" t="s">
        <v>12220</v>
      </c>
      <c r="C5143" t="s">
        <v>2640</v>
      </c>
      <c r="D5143" s="254">
        <v>406.1</v>
      </c>
      <c r="E5143"/>
      <c r="F5143"/>
      <c r="G5143"/>
      <c r="H5143"/>
      <c r="I5143" s="489"/>
      <c r="J5143" s="1095"/>
      <c r="K5143" s="1095"/>
      <c r="L5143" s="1095"/>
      <c r="M5143" s="1095"/>
    </row>
    <row r="5144" spans="1:13" x14ac:dyDescent="0.25">
      <c r="A5144">
        <v>5213459</v>
      </c>
      <c r="B5144" t="s">
        <v>12221</v>
      </c>
      <c r="C5144" t="s">
        <v>2640</v>
      </c>
      <c r="D5144" s="254">
        <v>880.82</v>
      </c>
      <c r="E5144"/>
      <c r="F5144"/>
      <c r="G5144"/>
      <c r="H5144"/>
      <c r="I5144" s="489"/>
      <c r="J5144" s="1095"/>
      <c r="K5144" s="1095"/>
      <c r="L5144" s="1095"/>
      <c r="M5144" s="1095"/>
    </row>
    <row r="5145" spans="1:13" x14ac:dyDescent="0.25">
      <c r="A5145">
        <v>5213460</v>
      </c>
      <c r="B5145" t="s">
        <v>12222</v>
      </c>
      <c r="C5145" t="s">
        <v>2640</v>
      </c>
      <c r="D5145" s="254">
        <v>128.11000000000001</v>
      </c>
      <c r="E5145"/>
      <c r="F5145"/>
      <c r="G5145"/>
      <c r="H5145"/>
      <c r="I5145" s="489"/>
      <c r="J5145" s="1095"/>
      <c r="K5145" s="1095"/>
      <c r="L5145" s="1095"/>
      <c r="M5145" s="1095"/>
    </row>
    <row r="5146" spans="1:13" x14ac:dyDescent="0.25">
      <c r="A5146">
        <v>5213461</v>
      </c>
      <c r="B5146" t="s">
        <v>12223</v>
      </c>
      <c r="C5146" t="s">
        <v>2640</v>
      </c>
      <c r="D5146" s="254">
        <v>192.77</v>
      </c>
      <c r="E5146"/>
      <c r="F5146"/>
      <c r="G5146"/>
      <c r="H5146"/>
      <c r="I5146" s="489"/>
      <c r="J5146" s="1095"/>
      <c r="K5146" s="1095"/>
      <c r="L5146" s="1095"/>
      <c r="M5146" s="1095"/>
    </row>
    <row r="5147" spans="1:13" x14ac:dyDescent="0.25">
      <c r="A5147">
        <v>5213462</v>
      </c>
      <c r="B5147" t="s">
        <v>12224</v>
      </c>
      <c r="C5147" t="s">
        <v>2640</v>
      </c>
      <c r="D5147" s="254">
        <v>263.88</v>
      </c>
      <c r="E5147"/>
      <c r="F5147"/>
      <c r="G5147"/>
      <c r="H5147"/>
      <c r="I5147" s="489"/>
      <c r="J5147" s="1095"/>
      <c r="K5147" s="1095"/>
      <c r="L5147" s="1095"/>
      <c r="M5147" s="1095"/>
    </row>
    <row r="5148" spans="1:13" x14ac:dyDescent="0.25">
      <c r="A5148">
        <v>5213463</v>
      </c>
      <c r="B5148" t="s">
        <v>12225</v>
      </c>
      <c r="C5148" t="s">
        <v>2640</v>
      </c>
      <c r="D5148" s="254">
        <v>335</v>
      </c>
      <c r="E5148"/>
      <c r="F5148"/>
      <c r="G5148"/>
      <c r="H5148"/>
      <c r="I5148" s="489"/>
      <c r="J5148" s="1095"/>
      <c r="K5148" s="1095"/>
      <c r="L5148" s="1095"/>
      <c r="M5148" s="1095"/>
    </row>
    <row r="5149" spans="1:13" x14ac:dyDescent="0.25">
      <c r="A5149">
        <v>5212557</v>
      </c>
      <c r="B5149" t="s">
        <v>12226</v>
      </c>
      <c r="C5149" t="s">
        <v>12136</v>
      </c>
      <c r="D5149" s="254">
        <v>3.87</v>
      </c>
      <c r="E5149"/>
      <c r="F5149"/>
      <c r="G5149"/>
      <c r="H5149"/>
      <c r="I5149" s="489"/>
      <c r="J5149" s="1095"/>
      <c r="K5149" s="1095"/>
      <c r="L5149" s="1095"/>
      <c r="M5149" s="1095"/>
    </row>
    <row r="5150" spans="1:13" x14ac:dyDescent="0.25">
      <c r="A5150">
        <v>5212558</v>
      </c>
      <c r="B5150" t="s">
        <v>12227</v>
      </c>
      <c r="C5150" t="s">
        <v>12136</v>
      </c>
      <c r="D5150" s="254">
        <v>3.92</v>
      </c>
      <c r="E5150"/>
      <c r="F5150"/>
      <c r="G5150"/>
      <c r="H5150"/>
      <c r="I5150" s="489"/>
      <c r="J5150" s="1095"/>
      <c r="K5150" s="1095"/>
      <c r="L5150" s="1095"/>
      <c r="M5150" s="1095"/>
    </row>
    <row r="5151" spans="1:13" x14ac:dyDescent="0.25">
      <c r="A5151">
        <v>5212559</v>
      </c>
      <c r="B5151" t="s">
        <v>12228</v>
      </c>
      <c r="C5151" t="s">
        <v>12136</v>
      </c>
      <c r="D5151" s="254">
        <v>3.47</v>
      </c>
      <c r="E5151"/>
      <c r="F5151"/>
      <c r="G5151"/>
      <c r="H5151"/>
      <c r="I5151" s="489"/>
      <c r="J5151" s="1095"/>
      <c r="K5151" s="1095"/>
      <c r="L5151" s="1095"/>
      <c r="M5151" s="1095"/>
    </row>
    <row r="5152" spans="1:13" x14ac:dyDescent="0.25">
      <c r="A5152">
        <v>5213477</v>
      </c>
      <c r="B5152" t="s">
        <v>6454</v>
      </c>
      <c r="C5152" t="s">
        <v>2640</v>
      </c>
      <c r="D5152" s="254">
        <v>160.86000000000001</v>
      </c>
      <c r="E5152"/>
      <c r="F5152"/>
      <c r="G5152"/>
      <c r="H5152"/>
      <c r="I5152" s="489"/>
      <c r="J5152" s="1095"/>
      <c r="K5152" s="1095"/>
      <c r="L5152" s="1095"/>
      <c r="M5152" s="1095"/>
    </row>
    <row r="5153" spans="1:13" x14ac:dyDescent="0.25">
      <c r="A5153">
        <v>5213476</v>
      </c>
      <c r="B5153" t="s">
        <v>12229</v>
      </c>
      <c r="C5153" t="s">
        <v>2640</v>
      </c>
      <c r="D5153" s="254">
        <v>173.12</v>
      </c>
      <c r="E5153"/>
      <c r="F5153"/>
      <c r="G5153"/>
      <c r="H5153"/>
      <c r="I5153" s="489"/>
      <c r="J5153" s="1095"/>
      <c r="K5153" s="1095"/>
      <c r="L5153" s="1095"/>
      <c r="M5153" s="1095"/>
    </row>
    <row r="5154" spans="1:13" x14ac:dyDescent="0.25">
      <c r="A5154">
        <v>5213479</v>
      </c>
      <c r="B5154" t="s">
        <v>12230</v>
      </c>
      <c r="C5154" t="s">
        <v>2640</v>
      </c>
      <c r="D5154" s="254">
        <v>143.22999999999999</v>
      </c>
      <c r="E5154"/>
      <c r="F5154"/>
      <c r="G5154"/>
      <c r="H5154"/>
      <c r="I5154" s="489"/>
      <c r="J5154" s="1095"/>
      <c r="K5154" s="1095"/>
      <c r="L5154" s="1095"/>
      <c r="M5154" s="1095"/>
    </row>
    <row r="5155" spans="1:13" x14ac:dyDescent="0.25">
      <c r="A5155">
        <v>5213478</v>
      </c>
      <c r="B5155" t="s">
        <v>12231</v>
      </c>
      <c r="C5155" t="s">
        <v>2640</v>
      </c>
      <c r="D5155" s="254">
        <v>153.53</v>
      </c>
      <c r="E5155"/>
      <c r="F5155"/>
      <c r="G5155"/>
      <c r="H5155"/>
      <c r="I5155" s="489"/>
      <c r="J5155" s="1095"/>
      <c r="K5155" s="1095"/>
      <c r="L5155" s="1095"/>
      <c r="M5155" s="1095"/>
    </row>
    <row r="5156" spans="1:13" x14ac:dyDescent="0.25">
      <c r="A5156">
        <v>5213489</v>
      </c>
      <c r="B5156" t="s">
        <v>6374</v>
      </c>
      <c r="C5156" t="s">
        <v>2640</v>
      </c>
      <c r="D5156" s="254">
        <v>898.52</v>
      </c>
      <c r="E5156"/>
      <c r="F5156"/>
      <c r="G5156"/>
      <c r="H5156"/>
      <c r="I5156" s="489"/>
      <c r="J5156" s="1095"/>
      <c r="K5156" s="1095"/>
      <c r="L5156" s="1095"/>
      <c r="M5156" s="1095"/>
    </row>
    <row r="5157" spans="1:13" x14ac:dyDescent="0.25">
      <c r="A5157">
        <v>5213498</v>
      </c>
      <c r="B5157" t="s">
        <v>12232</v>
      </c>
      <c r="C5157" t="s">
        <v>2640</v>
      </c>
      <c r="D5157" s="254">
        <v>978.42</v>
      </c>
      <c r="E5157"/>
      <c r="F5157"/>
      <c r="G5157"/>
      <c r="H5157"/>
      <c r="I5157" s="489"/>
      <c r="J5157" s="1095"/>
      <c r="K5157" s="1095"/>
      <c r="L5157" s="1095"/>
      <c r="M5157" s="1095"/>
    </row>
    <row r="5158" spans="1:13" x14ac:dyDescent="0.25">
      <c r="A5158">
        <v>5213365</v>
      </c>
      <c r="B5158" t="s">
        <v>12233</v>
      </c>
      <c r="C5158" t="s">
        <v>2640</v>
      </c>
      <c r="D5158" s="254">
        <v>1147.74</v>
      </c>
      <c r="E5158"/>
      <c r="F5158"/>
      <c r="G5158"/>
      <c r="H5158"/>
      <c r="I5158" s="489"/>
      <c r="J5158" s="1095"/>
      <c r="K5158" s="1095"/>
      <c r="L5158" s="1095"/>
      <c r="M5158" s="1095"/>
    </row>
    <row r="5159" spans="1:13" x14ac:dyDescent="0.25">
      <c r="A5159">
        <v>5213507</v>
      </c>
      <c r="B5159" t="s">
        <v>12234</v>
      </c>
      <c r="C5159" t="s">
        <v>2640</v>
      </c>
      <c r="D5159" s="254">
        <v>1178.22</v>
      </c>
      <c r="E5159"/>
      <c r="F5159"/>
      <c r="G5159"/>
      <c r="H5159"/>
      <c r="I5159" s="489"/>
      <c r="J5159" s="1095"/>
      <c r="K5159" s="1095"/>
      <c r="L5159" s="1095"/>
      <c r="M5159" s="1095"/>
    </row>
    <row r="5160" spans="1:13" x14ac:dyDescent="0.25">
      <c r="A5160">
        <v>5213372</v>
      </c>
      <c r="B5160" t="s">
        <v>12235</v>
      </c>
      <c r="C5160" t="s">
        <v>2640</v>
      </c>
      <c r="D5160" s="254">
        <v>1347.52</v>
      </c>
      <c r="E5160"/>
      <c r="F5160"/>
      <c r="G5160"/>
      <c r="H5160"/>
      <c r="I5160" s="489"/>
      <c r="J5160" s="1095"/>
      <c r="K5160" s="1095"/>
      <c r="L5160" s="1095"/>
      <c r="M5160" s="1095"/>
    </row>
    <row r="5161" spans="1:13" x14ac:dyDescent="0.25">
      <c r="A5161">
        <v>5213490</v>
      </c>
      <c r="B5161" t="s">
        <v>12236</v>
      </c>
      <c r="C5161" t="s">
        <v>2640</v>
      </c>
      <c r="D5161" s="254">
        <v>1926.92</v>
      </c>
      <c r="E5161"/>
      <c r="F5161"/>
      <c r="G5161"/>
      <c r="H5161"/>
      <c r="I5161" s="489"/>
      <c r="J5161" s="1095"/>
      <c r="K5161" s="1095"/>
      <c r="L5161" s="1095"/>
      <c r="M5161" s="1095"/>
    </row>
    <row r="5162" spans="1:13" x14ac:dyDescent="0.25">
      <c r="A5162">
        <v>5213499</v>
      </c>
      <c r="B5162" t="s">
        <v>12237</v>
      </c>
      <c r="C5162" t="s">
        <v>2640</v>
      </c>
      <c r="D5162" s="254">
        <v>2106.69</v>
      </c>
      <c r="E5162"/>
      <c r="F5162"/>
      <c r="G5162"/>
      <c r="H5162"/>
      <c r="I5162" s="489"/>
      <c r="J5162" s="1095"/>
      <c r="K5162" s="1095"/>
      <c r="L5162" s="1095"/>
      <c r="M5162" s="1095"/>
    </row>
    <row r="5163" spans="1:13" x14ac:dyDescent="0.25">
      <c r="A5163">
        <v>5213366</v>
      </c>
      <c r="B5163" t="s">
        <v>12238</v>
      </c>
      <c r="C5163" t="s">
        <v>2640</v>
      </c>
      <c r="D5163" s="254">
        <v>2487.66</v>
      </c>
      <c r="E5163"/>
      <c r="F5163"/>
      <c r="G5163"/>
      <c r="H5163"/>
      <c r="I5163" s="489"/>
      <c r="J5163" s="1095"/>
      <c r="K5163" s="1095"/>
      <c r="L5163" s="1095"/>
      <c r="M5163" s="1095"/>
    </row>
    <row r="5164" spans="1:13" x14ac:dyDescent="0.25">
      <c r="A5164">
        <v>5213508</v>
      </c>
      <c r="B5164" t="s">
        <v>12239</v>
      </c>
      <c r="C5164" t="s">
        <v>2640</v>
      </c>
      <c r="D5164" s="254">
        <v>2556.2399999999998</v>
      </c>
      <c r="E5164"/>
      <c r="F5164"/>
      <c r="G5164"/>
      <c r="H5164"/>
      <c r="I5164" s="489"/>
      <c r="J5164" s="1095"/>
      <c r="K5164" s="1095"/>
      <c r="L5164" s="1095"/>
      <c r="M5164" s="1095"/>
    </row>
    <row r="5165" spans="1:13" x14ac:dyDescent="0.25">
      <c r="A5165">
        <v>5213373</v>
      </c>
      <c r="B5165" t="s">
        <v>12240</v>
      </c>
      <c r="C5165" t="s">
        <v>2640</v>
      </c>
      <c r="D5165" s="254">
        <v>2937.17</v>
      </c>
      <c r="E5165"/>
      <c r="F5165"/>
      <c r="G5165"/>
      <c r="H5165"/>
      <c r="I5165" s="489"/>
      <c r="J5165" s="1095"/>
      <c r="K5165" s="1095"/>
      <c r="L5165" s="1095"/>
      <c r="M5165" s="1095"/>
    </row>
    <row r="5166" spans="1:13" x14ac:dyDescent="0.25">
      <c r="A5166">
        <v>5213491</v>
      </c>
      <c r="B5166" t="s">
        <v>12241</v>
      </c>
      <c r="C5166" t="s">
        <v>2640</v>
      </c>
      <c r="D5166" s="254">
        <v>2543.96</v>
      </c>
      <c r="E5166"/>
      <c r="F5166"/>
      <c r="G5166"/>
      <c r="H5166"/>
      <c r="I5166" s="489"/>
      <c r="J5166" s="1095"/>
      <c r="K5166" s="1095"/>
      <c r="L5166" s="1095"/>
      <c r="M5166" s="1095"/>
    </row>
    <row r="5167" spans="1:13" x14ac:dyDescent="0.25">
      <c r="A5167">
        <v>5213500</v>
      </c>
      <c r="B5167" t="s">
        <v>12242</v>
      </c>
      <c r="C5167" t="s">
        <v>2640</v>
      </c>
      <c r="D5167" s="254">
        <v>2783.66</v>
      </c>
      <c r="E5167"/>
      <c r="F5167"/>
      <c r="G5167"/>
      <c r="H5167"/>
      <c r="I5167" s="489"/>
      <c r="J5167" s="1095"/>
      <c r="K5167" s="1095"/>
      <c r="L5167" s="1095"/>
      <c r="M5167" s="1095"/>
    </row>
    <row r="5168" spans="1:13" x14ac:dyDescent="0.25">
      <c r="A5168">
        <v>5213369</v>
      </c>
      <c r="B5168" t="s">
        <v>12243</v>
      </c>
      <c r="C5168" t="s">
        <v>2640</v>
      </c>
      <c r="D5168" s="254">
        <v>3291.62</v>
      </c>
      <c r="E5168"/>
      <c r="F5168"/>
      <c r="G5168"/>
      <c r="H5168"/>
      <c r="I5168" s="489"/>
      <c r="J5168" s="1095"/>
      <c r="K5168" s="1095"/>
      <c r="L5168" s="1095"/>
      <c r="M5168" s="1095"/>
    </row>
    <row r="5169" spans="1:13" x14ac:dyDescent="0.25">
      <c r="A5169">
        <v>5213509</v>
      </c>
      <c r="B5169" t="s">
        <v>12244</v>
      </c>
      <c r="C5169" t="s">
        <v>2640</v>
      </c>
      <c r="D5169" s="254">
        <v>3383.06</v>
      </c>
      <c r="E5169"/>
      <c r="F5169"/>
      <c r="G5169"/>
      <c r="H5169"/>
      <c r="I5169" s="489"/>
      <c r="J5169" s="1095"/>
      <c r="K5169" s="1095"/>
      <c r="L5169" s="1095"/>
      <c r="M5169" s="1095"/>
    </row>
    <row r="5170" spans="1:13" x14ac:dyDescent="0.25">
      <c r="A5170">
        <v>5213374</v>
      </c>
      <c r="B5170" t="s">
        <v>12245</v>
      </c>
      <c r="C5170" t="s">
        <v>2640</v>
      </c>
      <c r="D5170" s="254">
        <v>3890.96</v>
      </c>
      <c r="E5170"/>
      <c r="F5170"/>
      <c r="G5170"/>
      <c r="H5170"/>
      <c r="I5170" s="489"/>
      <c r="J5170" s="1095"/>
      <c r="K5170" s="1095"/>
      <c r="L5170" s="1095"/>
      <c r="M5170" s="1095"/>
    </row>
    <row r="5171" spans="1:13" x14ac:dyDescent="0.25">
      <c r="A5171">
        <v>5213492</v>
      </c>
      <c r="B5171" t="s">
        <v>12246</v>
      </c>
      <c r="C5171" t="s">
        <v>2640</v>
      </c>
      <c r="D5171" s="254">
        <v>3442.47</v>
      </c>
      <c r="E5171"/>
      <c r="F5171"/>
      <c r="G5171"/>
      <c r="H5171"/>
      <c r="I5171" s="489"/>
      <c r="J5171" s="1095"/>
      <c r="K5171" s="1095"/>
      <c r="L5171" s="1095"/>
      <c r="M5171" s="1095"/>
    </row>
    <row r="5172" spans="1:13" x14ac:dyDescent="0.25">
      <c r="A5172">
        <v>5213501</v>
      </c>
      <c r="B5172" t="s">
        <v>12247</v>
      </c>
      <c r="C5172" t="s">
        <v>2640</v>
      </c>
      <c r="D5172" s="254">
        <v>3762.07</v>
      </c>
      <c r="E5172"/>
      <c r="F5172"/>
      <c r="G5172"/>
      <c r="H5172"/>
      <c r="I5172" s="489"/>
      <c r="J5172" s="1095"/>
      <c r="K5172" s="1095"/>
      <c r="L5172" s="1095"/>
      <c r="M5172" s="1095"/>
    </row>
    <row r="5173" spans="1:13" x14ac:dyDescent="0.25">
      <c r="A5173">
        <v>5213370</v>
      </c>
      <c r="B5173" t="s">
        <v>12248</v>
      </c>
      <c r="C5173" t="s">
        <v>2640</v>
      </c>
      <c r="D5173" s="254">
        <v>4439.3500000000004</v>
      </c>
      <c r="E5173"/>
      <c r="F5173"/>
      <c r="G5173"/>
      <c r="H5173"/>
      <c r="I5173" s="489"/>
      <c r="J5173" s="1095"/>
      <c r="K5173" s="1095"/>
      <c r="L5173" s="1095"/>
      <c r="M5173" s="1095"/>
    </row>
    <row r="5174" spans="1:13" x14ac:dyDescent="0.25">
      <c r="A5174">
        <v>5213510</v>
      </c>
      <c r="B5174" t="s">
        <v>12249</v>
      </c>
      <c r="C5174" t="s">
        <v>2640</v>
      </c>
      <c r="D5174" s="254">
        <v>4561.2700000000004</v>
      </c>
      <c r="E5174"/>
      <c r="F5174"/>
      <c r="G5174"/>
      <c r="H5174"/>
      <c r="I5174" s="489"/>
      <c r="J5174" s="1095"/>
      <c r="K5174" s="1095"/>
      <c r="L5174" s="1095"/>
      <c r="M5174" s="1095"/>
    </row>
    <row r="5175" spans="1:13" x14ac:dyDescent="0.25">
      <c r="A5175">
        <v>5213375</v>
      </c>
      <c r="B5175" t="s">
        <v>12250</v>
      </c>
      <c r="C5175" t="s">
        <v>2640</v>
      </c>
      <c r="D5175" s="254">
        <v>5238.47</v>
      </c>
      <c r="E5175"/>
      <c r="F5175"/>
      <c r="G5175"/>
      <c r="H5175"/>
      <c r="I5175" s="489"/>
      <c r="J5175" s="1095"/>
      <c r="K5175" s="1095"/>
      <c r="L5175" s="1095"/>
      <c r="M5175" s="1095"/>
    </row>
    <row r="5176" spans="1:13" x14ac:dyDescent="0.25">
      <c r="A5176">
        <v>5213494</v>
      </c>
      <c r="B5176" t="s">
        <v>12251</v>
      </c>
      <c r="C5176" t="s">
        <v>2640</v>
      </c>
      <c r="D5176" s="254">
        <v>5087.91</v>
      </c>
      <c r="E5176"/>
      <c r="F5176"/>
      <c r="G5176"/>
      <c r="H5176"/>
      <c r="I5176" s="489"/>
      <c r="J5176" s="1095"/>
      <c r="K5176" s="1095"/>
      <c r="L5176" s="1095"/>
      <c r="M5176" s="1095"/>
    </row>
    <row r="5177" spans="1:13" x14ac:dyDescent="0.25">
      <c r="A5177">
        <v>5213503</v>
      </c>
      <c r="B5177" t="s">
        <v>12252</v>
      </c>
      <c r="C5177" t="s">
        <v>2640</v>
      </c>
      <c r="D5177" s="254">
        <v>5567.31</v>
      </c>
      <c r="E5177"/>
      <c r="F5177"/>
      <c r="G5177"/>
      <c r="H5177"/>
      <c r="I5177" s="489"/>
      <c r="J5177" s="1095"/>
      <c r="K5177" s="1095"/>
      <c r="L5177" s="1095"/>
      <c r="M5177" s="1095"/>
    </row>
    <row r="5178" spans="1:13" x14ac:dyDescent="0.25">
      <c r="A5178">
        <v>5213371</v>
      </c>
      <c r="B5178" t="s">
        <v>12253</v>
      </c>
      <c r="C5178" t="s">
        <v>2640</v>
      </c>
      <c r="D5178" s="254">
        <v>6583.23</v>
      </c>
      <c r="E5178"/>
      <c r="F5178"/>
      <c r="G5178"/>
      <c r="H5178"/>
      <c r="I5178" s="489"/>
      <c r="J5178" s="1095"/>
      <c r="K5178" s="1095"/>
      <c r="L5178" s="1095"/>
      <c r="M5178" s="1095"/>
    </row>
    <row r="5179" spans="1:13" x14ac:dyDescent="0.25">
      <c r="A5179">
        <v>5213512</v>
      </c>
      <c r="B5179" t="s">
        <v>12254</v>
      </c>
      <c r="C5179" t="s">
        <v>2640</v>
      </c>
      <c r="D5179" s="254">
        <v>6766.11</v>
      </c>
      <c r="E5179"/>
      <c r="F5179"/>
      <c r="G5179"/>
      <c r="H5179"/>
      <c r="I5179" s="489"/>
      <c r="J5179" s="1095"/>
      <c r="K5179" s="1095"/>
      <c r="L5179" s="1095"/>
      <c r="M5179" s="1095"/>
    </row>
    <row r="5180" spans="1:13" x14ac:dyDescent="0.25">
      <c r="A5180">
        <v>5213376</v>
      </c>
      <c r="B5180" t="s">
        <v>12255</v>
      </c>
      <c r="C5180" t="s">
        <v>2640</v>
      </c>
      <c r="D5180" s="254">
        <v>7781.91</v>
      </c>
      <c r="E5180"/>
      <c r="F5180"/>
      <c r="G5180"/>
      <c r="H5180"/>
      <c r="I5180" s="489"/>
      <c r="J5180" s="1095"/>
      <c r="K5180" s="1095"/>
      <c r="L5180" s="1095"/>
      <c r="M5180" s="1095"/>
    </row>
    <row r="5181" spans="1:13" x14ac:dyDescent="0.25">
      <c r="A5181">
        <v>5213377</v>
      </c>
      <c r="B5181" t="s">
        <v>12256</v>
      </c>
      <c r="C5181" t="s">
        <v>2595</v>
      </c>
      <c r="D5181" s="254">
        <v>292.79000000000002</v>
      </c>
      <c r="E5181"/>
      <c r="F5181"/>
      <c r="G5181"/>
      <c r="H5181"/>
      <c r="I5181" s="489"/>
      <c r="J5181" s="1095"/>
      <c r="K5181" s="1095"/>
      <c r="L5181" s="1095"/>
      <c r="M5181" s="1095"/>
    </row>
    <row r="5182" spans="1:13" x14ac:dyDescent="0.25">
      <c r="A5182">
        <v>5213570</v>
      </c>
      <c r="B5182" t="s">
        <v>12257</v>
      </c>
      <c r="C5182" t="s">
        <v>2595</v>
      </c>
      <c r="D5182" s="254">
        <v>461.89</v>
      </c>
      <c r="E5182"/>
      <c r="F5182"/>
      <c r="G5182"/>
      <c r="H5182"/>
      <c r="I5182" s="489"/>
      <c r="J5182" s="1095"/>
      <c r="K5182" s="1095"/>
      <c r="L5182" s="1095"/>
      <c r="M5182" s="1095"/>
    </row>
    <row r="5183" spans="1:13" x14ac:dyDescent="0.25">
      <c r="A5183">
        <v>5213378</v>
      </c>
      <c r="B5183" t="s">
        <v>12258</v>
      </c>
      <c r="C5183" t="s">
        <v>2595</v>
      </c>
      <c r="D5183" s="254">
        <v>332.75</v>
      </c>
      <c r="E5183"/>
      <c r="F5183"/>
      <c r="G5183"/>
      <c r="H5183"/>
      <c r="I5183" s="489"/>
      <c r="J5183" s="1095"/>
      <c r="K5183" s="1095"/>
      <c r="L5183" s="1095"/>
      <c r="M5183" s="1095"/>
    </row>
    <row r="5184" spans="1:13" x14ac:dyDescent="0.25">
      <c r="A5184">
        <v>5213571</v>
      </c>
      <c r="B5184" t="s">
        <v>12259</v>
      </c>
      <c r="C5184" t="s">
        <v>2595</v>
      </c>
      <c r="D5184" s="254">
        <v>501.84</v>
      </c>
      <c r="E5184"/>
      <c r="F5184"/>
      <c r="G5184"/>
      <c r="H5184"/>
      <c r="I5184" s="489"/>
      <c r="J5184" s="1095"/>
      <c r="K5184" s="1095"/>
      <c r="L5184" s="1095"/>
      <c r="M5184" s="1095"/>
    </row>
    <row r="5185" spans="1:13" x14ac:dyDescent="0.25">
      <c r="A5185">
        <v>5213379</v>
      </c>
      <c r="B5185" t="s">
        <v>12260</v>
      </c>
      <c r="C5185" t="s">
        <v>2595</v>
      </c>
      <c r="D5185" s="254">
        <v>432.64</v>
      </c>
      <c r="E5185"/>
      <c r="F5185"/>
      <c r="G5185"/>
      <c r="H5185"/>
      <c r="I5185" s="489"/>
      <c r="J5185" s="1095"/>
      <c r="K5185" s="1095"/>
      <c r="L5185" s="1095"/>
      <c r="M5185" s="1095"/>
    </row>
    <row r="5186" spans="1:13" x14ac:dyDescent="0.25">
      <c r="A5186">
        <v>5213572</v>
      </c>
      <c r="B5186" t="s">
        <v>12261</v>
      </c>
      <c r="C5186" t="s">
        <v>2595</v>
      </c>
      <c r="D5186" s="254">
        <v>601.74</v>
      </c>
      <c r="E5186"/>
      <c r="F5186"/>
      <c r="G5186"/>
      <c r="H5186"/>
      <c r="I5186" s="489"/>
      <c r="J5186" s="1095"/>
      <c r="K5186" s="1095"/>
      <c r="L5186" s="1095"/>
      <c r="M5186" s="1095"/>
    </row>
    <row r="5187" spans="1:13" x14ac:dyDescent="0.25">
      <c r="A5187">
        <v>5212553</v>
      </c>
      <c r="B5187" t="s">
        <v>12262</v>
      </c>
      <c r="C5187" t="s">
        <v>2595</v>
      </c>
      <c r="D5187" s="254">
        <v>242.26</v>
      </c>
      <c r="E5187"/>
      <c r="F5187"/>
      <c r="G5187"/>
      <c r="H5187"/>
      <c r="I5187" s="489"/>
      <c r="J5187" s="1095"/>
      <c r="K5187" s="1095"/>
      <c r="L5187" s="1095"/>
      <c r="M5187" s="1095"/>
    </row>
    <row r="5188" spans="1:13" x14ac:dyDescent="0.25">
      <c r="A5188">
        <v>5213416</v>
      </c>
      <c r="B5188" t="s">
        <v>6387</v>
      </c>
      <c r="C5188" t="s">
        <v>2595</v>
      </c>
      <c r="D5188" s="254">
        <v>411.36</v>
      </c>
      <c r="E5188"/>
      <c r="F5188"/>
      <c r="G5188"/>
      <c r="H5188"/>
      <c r="I5188" s="489"/>
      <c r="J5188" s="1095"/>
      <c r="K5188" s="1095"/>
      <c r="L5188" s="1095"/>
      <c r="M5188" s="1095"/>
    </row>
    <row r="5189" spans="1:13" x14ac:dyDescent="0.25">
      <c r="A5189">
        <v>5212554</v>
      </c>
      <c r="B5189" t="s">
        <v>12263</v>
      </c>
      <c r="C5189" t="s">
        <v>2595</v>
      </c>
      <c r="D5189" s="254">
        <v>282.22000000000003</v>
      </c>
      <c r="E5189"/>
      <c r="F5189"/>
      <c r="G5189"/>
      <c r="H5189"/>
      <c r="I5189" s="489"/>
      <c r="J5189" s="1095"/>
      <c r="K5189" s="1095"/>
      <c r="L5189" s="1095"/>
      <c r="M5189" s="1095"/>
    </row>
    <row r="5190" spans="1:13" x14ac:dyDescent="0.25">
      <c r="A5190">
        <v>5213417</v>
      </c>
      <c r="B5190" t="s">
        <v>12264</v>
      </c>
      <c r="C5190" t="s">
        <v>2595</v>
      </c>
      <c r="D5190" s="254">
        <v>451.31</v>
      </c>
      <c r="E5190"/>
      <c r="F5190"/>
      <c r="G5190"/>
      <c r="H5190"/>
      <c r="I5190" s="489"/>
      <c r="J5190" s="1095"/>
      <c r="K5190" s="1095"/>
      <c r="L5190" s="1095"/>
      <c r="M5190" s="1095"/>
    </row>
    <row r="5191" spans="1:13" x14ac:dyDescent="0.25">
      <c r="A5191">
        <v>5213421</v>
      </c>
      <c r="B5191" t="s">
        <v>12265</v>
      </c>
      <c r="C5191" t="s">
        <v>2595</v>
      </c>
      <c r="D5191" s="254">
        <v>408.64</v>
      </c>
      <c r="E5191"/>
      <c r="F5191"/>
      <c r="G5191"/>
      <c r="H5191"/>
      <c r="I5191" s="489"/>
      <c r="J5191" s="1095"/>
      <c r="K5191" s="1095"/>
      <c r="L5191" s="1095"/>
      <c r="M5191" s="1095"/>
    </row>
    <row r="5192" spans="1:13" x14ac:dyDescent="0.25">
      <c r="A5192">
        <v>5213414</v>
      </c>
      <c r="B5192" t="s">
        <v>12266</v>
      </c>
      <c r="C5192" t="s">
        <v>2595</v>
      </c>
      <c r="D5192" s="254">
        <v>420.88</v>
      </c>
      <c r="E5192"/>
      <c r="F5192"/>
      <c r="G5192"/>
      <c r="H5192"/>
      <c r="I5192" s="489"/>
      <c r="J5192" s="1095"/>
      <c r="K5192" s="1095"/>
      <c r="L5192" s="1095"/>
      <c r="M5192" s="1095"/>
    </row>
    <row r="5193" spans="1:13" x14ac:dyDescent="0.25">
      <c r="A5193">
        <v>5213419</v>
      </c>
      <c r="B5193" t="s">
        <v>12267</v>
      </c>
      <c r="C5193" t="s">
        <v>2595</v>
      </c>
      <c r="D5193" s="254">
        <v>535.97</v>
      </c>
      <c r="E5193"/>
      <c r="F5193"/>
      <c r="G5193"/>
      <c r="H5193"/>
      <c r="I5193" s="489"/>
      <c r="J5193" s="1095"/>
      <c r="K5193" s="1095"/>
      <c r="L5193" s="1095"/>
      <c r="M5193" s="1095"/>
    </row>
    <row r="5194" spans="1:13" x14ac:dyDescent="0.25">
      <c r="A5194">
        <v>5212555</v>
      </c>
      <c r="B5194" t="s">
        <v>12268</v>
      </c>
      <c r="C5194" t="s">
        <v>2595</v>
      </c>
      <c r="D5194" s="254">
        <v>382.11</v>
      </c>
      <c r="E5194"/>
      <c r="F5194"/>
      <c r="G5194"/>
      <c r="H5194"/>
      <c r="I5194" s="489"/>
      <c r="J5194" s="1095"/>
      <c r="K5194" s="1095"/>
      <c r="L5194" s="1095"/>
      <c r="M5194" s="1095"/>
    </row>
    <row r="5195" spans="1:13" x14ac:dyDescent="0.25">
      <c r="A5195">
        <v>5213418</v>
      </c>
      <c r="B5195" t="s">
        <v>12269</v>
      </c>
      <c r="C5195" t="s">
        <v>2595</v>
      </c>
      <c r="D5195" s="254">
        <v>551.21</v>
      </c>
      <c r="E5195"/>
      <c r="F5195"/>
      <c r="G5195"/>
      <c r="H5195"/>
      <c r="I5195" s="489"/>
      <c r="J5195" s="1095"/>
      <c r="K5195" s="1095"/>
      <c r="L5195" s="1095"/>
      <c r="M5195" s="1095"/>
    </row>
    <row r="5196" spans="1:13" x14ac:dyDescent="0.25">
      <c r="A5196">
        <v>5213415</v>
      </c>
      <c r="B5196" t="s">
        <v>12270</v>
      </c>
      <c r="C5196" t="s">
        <v>2595</v>
      </c>
      <c r="D5196" s="254">
        <v>641.86</v>
      </c>
      <c r="E5196"/>
      <c r="F5196"/>
      <c r="G5196"/>
      <c r="H5196"/>
      <c r="I5196" s="489"/>
      <c r="J5196" s="1095"/>
      <c r="K5196" s="1095"/>
      <c r="L5196" s="1095"/>
      <c r="M5196" s="1095"/>
    </row>
    <row r="5197" spans="1:13" x14ac:dyDescent="0.25">
      <c r="A5197">
        <v>5213420</v>
      </c>
      <c r="B5197" t="s">
        <v>12271</v>
      </c>
      <c r="C5197" t="s">
        <v>2595</v>
      </c>
      <c r="D5197" s="254">
        <v>635.86</v>
      </c>
      <c r="E5197"/>
      <c r="F5197"/>
      <c r="G5197"/>
      <c r="H5197"/>
      <c r="I5197" s="489"/>
      <c r="J5197" s="1095"/>
      <c r="K5197" s="1095"/>
      <c r="L5197" s="1095"/>
      <c r="M5197" s="1095"/>
    </row>
    <row r="5198" spans="1:13" x14ac:dyDescent="0.25">
      <c r="A5198">
        <v>5213543</v>
      </c>
      <c r="B5198" t="s">
        <v>12272</v>
      </c>
      <c r="C5198" t="s">
        <v>2640</v>
      </c>
      <c r="D5198" s="254">
        <v>1126.72</v>
      </c>
      <c r="E5198"/>
      <c r="F5198"/>
      <c r="G5198"/>
      <c r="H5198"/>
      <c r="I5198" s="489"/>
      <c r="J5198" s="1095"/>
      <c r="K5198" s="1095"/>
      <c r="L5198" s="1095"/>
      <c r="M5198" s="1095"/>
    </row>
    <row r="5199" spans="1:13" x14ac:dyDescent="0.25">
      <c r="A5199">
        <v>5213552</v>
      </c>
      <c r="B5199" t="s">
        <v>12273</v>
      </c>
      <c r="C5199" t="s">
        <v>2640</v>
      </c>
      <c r="D5199" s="254">
        <v>1206.6400000000001</v>
      </c>
      <c r="E5199"/>
      <c r="F5199"/>
      <c r="G5199"/>
      <c r="H5199"/>
      <c r="I5199" s="489"/>
      <c r="J5199" s="1095"/>
      <c r="K5199" s="1095"/>
      <c r="L5199" s="1095"/>
      <c r="M5199" s="1095"/>
    </row>
    <row r="5200" spans="1:13" x14ac:dyDescent="0.25">
      <c r="A5200">
        <v>5213561</v>
      </c>
      <c r="B5200" t="s">
        <v>12274</v>
      </c>
      <c r="C5200" t="s">
        <v>2640</v>
      </c>
      <c r="D5200" s="254">
        <v>1406.42</v>
      </c>
      <c r="E5200"/>
      <c r="F5200"/>
      <c r="G5200"/>
      <c r="H5200"/>
      <c r="I5200" s="489"/>
      <c r="J5200" s="1095"/>
      <c r="K5200" s="1095"/>
      <c r="L5200" s="1095"/>
      <c r="M5200" s="1095"/>
    </row>
    <row r="5201" spans="1:13" x14ac:dyDescent="0.25">
      <c r="A5201">
        <v>5213544</v>
      </c>
      <c r="B5201" t="s">
        <v>12275</v>
      </c>
      <c r="C5201" t="s">
        <v>2640</v>
      </c>
      <c r="D5201" s="254">
        <v>2440.37</v>
      </c>
      <c r="E5201"/>
      <c r="F5201"/>
      <c r="G5201"/>
      <c r="H5201"/>
      <c r="I5201" s="489"/>
      <c r="J5201" s="1095"/>
      <c r="K5201" s="1095"/>
      <c r="L5201" s="1095"/>
      <c r="M5201" s="1095"/>
    </row>
    <row r="5202" spans="1:13" x14ac:dyDescent="0.25">
      <c r="A5202">
        <v>5213553</v>
      </c>
      <c r="B5202" t="s">
        <v>12276</v>
      </c>
      <c r="C5202" t="s">
        <v>2640</v>
      </c>
      <c r="D5202" s="254">
        <v>2620.19</v>
      </c>
      <c r="E5202"/>
      <c r="F5202"/>
      <c r="G5202"/>
      <c r="H5202"/>
      <c r="I5202" s="489"/>
      <c r="J5202" s="1095"/>
      <c r="K5202" s="1095"/>
      <c r="L5202" s="1095"/>
      <c r="M5202" s="1095"/>
    </row>
    <row r="5203" spans="1:13" x14ac:dyDescent="0.25">
      <c r="A5203">
        <v>5213562</v>
      </c>
      <c r="B5203" t="s">
        <v>12277</v>
      </c>
      <c r="C5203" t="s">
        <v>2640</v>
      </c>
      <c r="D5203" s="254">
        <v>3069.69</v>
      </c>
      <c r="E5203"/>
      <c r="F5203"/>
      <c r="G5203"/>
      <c r="H5203"/>
      <c r="I5203" s="489"/>
      <c r="J5203" s="1095"/>
      <c r="K5203" s="1095"/>
      <c r="L5203" s="1095"/>
      <c r="M5203" s="1095"/>
    </row>
    <row r="5204" spans="1:13" x14ac:dyDescent="0.25">
      <c r="A5204">
        <v>5213545</v>
      </c>
      <c r="B5204" t="s">
        <v>12278</v>
      </c>
      <c r="C5204" t="s">
        <v>2640</v>
      </c>
      <c r="D5204" s="254">
        <v>3228.56</v>
      </c>
      <c r="E5204"/>
      <c r="F5204"/>
      <c r="G5204"/>
      <c r="H5204"/>
      <c r="I5204" s="489"/>
      <c r="J5204" s="1095"/>
      <c r="K5204" s="1095"/>
      <c r="L5204" s="1095"/>
      <c r="M5204" s="1095"/>
    </row>
    <row r="5205" spans="1:13" x14ac:dyDescent="0.25">
      <c r="A5205">
        <v>5213554</v>
      </c>
      <c r="B5205" t="s">
        <v>12279</v>
      </c>
      <c r="C5205" t="s">
        <v>2640</v>
      </c>
      <c r="D5205" s="254">
        <v>3468.32</v>
      </c>
      <c r="E5205"/>
      <c r="F5205"/>
      <c r="G5205"/>
      <c r="H5205"/>
      <c r="I5205" s="489"/>
      <c r="J5205" s="1095"/>
      <c r="K5205" s="1095"/>
      <c r="L5205" s="1095"/>
      <c r="M5205" s="1095"/>
    </row>
    <row r="5206" spans="1:13" x14ac:dyDescent="0.25">
      <c r="A5206">
        <v>5213563</v>
      </c>
      <c r="B5206" t="s">
        <v>12280</v>
      </c>
      <c r="C5206" t="s">
        <v>2640</v>
      </c>
      <c r="D5206" s="254">
        <v>4067.66</v>
      </c>
      <c r="E5206"/>
      <c r="F5206"/>
      <c r="G5206"/>
      <c r="H5206"/>
      <c r="I5206" s="489"/>
      <c r="J5206" s="1095"/>
      <c r="K5206" s="1095"/>
      <c r="L5206" s="1095"/>
      <c r="M5206" s="1095"/>
    </row>
    <row r="5207" spans="1:13" x14ac:dyDescent="0.25">
      <c r="A5207">
        <v>5213546</v>
      </c>
      <c r="B5207" t="s">
        <v>12281</v>
      </c>
      <c r="C5207" t="s">
        <v>2640</v>
      </c>
      <c r="D5207" s="254">
        <v>4355.2700000000004</v>
      </c>
      <c r="E5207"/>
      <c r="F5207"/>
      <c r="G5207"/>
      <c r="H5207"/>
      <c r="I5207" s="489"/>
      <c r="J5207" s="1095"/>
      <c r="K5207" s="1095"/>
      <c r="L5207" s="1095"/>
      <c r="M5207" s="1095"/>
    </row>
    <row r="5208" spans="1:13" x14ac:dyDescent="0.25">
      <c r="A5208">
        <v>5213555</v>
      </c>
      <c r="B5208" t="s">
        <v>12282</v>
      </c>
      <c r="C5208" t="s">
        <v>2640</v>
      </c>
      <c r="D5208" s="254">
        <v>4674.95</v>
      </c>
      <c r="E5208"/>
      <c r="F5208"/>
      <c r="G5208"/>
      <c r="H5208"/>
      <c r="I5208" s="489"/>
      <c r="J5208" s="1095"/>
      <c r="K5208" s="1095"/>
      <c r="L5208" s="1095"/>
      <c r="M5208" s="1095"/>
    </row>
    <row r="5209" spans="1:13" x14ac:dyDescent="0.25">
      <c r="A5209">
        <v>5213564</v>
      </c>
      <c r="B5209" t="s">
        <v>12283</v>
      </c>
      <c r="C5209" t="s">
        <v>2640</v>
      </c>
      <c r="D5209" s="254">
        <v>5474.07</v>
      </c>
      <c r="E5209"/>
      <c r="F5209"/>
      <c r="G5209"/>
      <c r="H5209"/>
      <c r="I5209" s="489"/>
      <c r="J5209" s="1095"/>
      <c r="K5209" s="1095"/>
      <c r="L5209" s="1095"/>
      <c r="M5209" s="1095"/>
    </row>
    <row r="5210" spans="1:13" x14ac:dyDescent="0.25">
      <c r="A5210">
        <v>5213548</v>
      </c>
      <c r="B5210" t="s">
        <v>12284</v>
      </c>
      <c r="C5210" t="s">
        <v>2640</v>
      </c>
      <c r="D5210" s="254">
        <v>6457.11</v>
      </c>
      <c r="E5210"/>
      <c r="F5210"/>
      <c r="G5210"/>
      <c r="H5210"/>
      <c r="I5210" s="489"/>
      <c r="J5210" s="1095"/>
      <c r="K5210" s="1095"/>
      <c r="L5210" s="1095"/>
      <c r="M5210" s="1095"/>
    </row>
    <row r="5211" spans="1:13" x14ac:dyDescent="0.25">
      <c r="A5211">
        <v>5213557</v>
      </c>
      <c r="B5211" t="s">
        <v>12285</v>
      </c>
      <c r="C5211" t="s">
        <v>2640</v>
      </c>
      <c r="D5211" s="254">
        <v>6936.63</v>
      </c>
      <c r="E5211"/>
      <c r="F5211"/>
      <c r="G5211"/>
      <c r="H5211"/>
      <c r="I5211" s="489"/>
      <c r="J5211" s="1095"/>
      <c r="K5211" s="1095"/>
      <c r="L5211" s="1095"/>
      <c r="M5211" s="1095"/>
    </row>
    <row r="5212" spans="1:13" x14ac:dyDescent="0.25">
      <c r="A5212">
        <v>5213566</v>
      </c>
      <c r="B5212" t="s">
        <v>12286</v>
      </c>
      <c r="C5212" t="s">
        <v>2640</v>
      </c>
      <c r="D5212" s="254">
        <v>8135.31</v>
      </c>
      <c r="E5212"/>
      <c r="F5212"/>
      <c r="G5212"/>
      <c r="H5212"/>
      <c r="I5212" s="489"/>
      <c r="J5212" s="1095"/>
      <c r="K5212" s="1095"/>
      <c r="L5212" s="1095"/>
      <c r="M5212" s="1095"/>
    </row>
    <row r="5213" spans="1:13" x14ac:dyDescent="0.25">
      <c r="A5213">
        <v>5213576</v>
      </c>
      <c r="B5213" t="s">
        <v>12287</v>
      </c>
      <c r="C5213" t="s">
        <v>2595</v>
      </c>
      <c r="D5213" s="254">
        <v>575.99</v>
      </c>
      <c r="E5213"/>
      <c r="F5213"/>
      <c r="G5213"/>
      <c r="H5213"/>
      <c r="I5213" s="489"/>
      <c r="J5213" s="1095"/>
      <c r="K5213" s="1095"/>
      <c r="L5213" s="1095"/>
      <c r="M5213" s="1095"/>
    </row>
    <row r="5214" spans="1:13" x14ac:dyDescent="0.25">
      <c r="A5214">
        <v>5213577</v>
      </c>
      <c r="B5214" t="s">
        <v>12288</v>
      </c>
      <c r="C5214" t="s">
        <v>2595</v>
      </c>
      <c r="D5214" s="254">
        <v>615.95000000000005</v>
      </c>
      <c r="E5214"/>
      <c r="F5214"/>
      <c r="G5214"/>
      <c r="H5214"/>
      <c r="I5214" s="489"/>
      <c r="J5214" s="1095"/>
      <c r="K5214" s="1095"/>
      <c r="L5214" s="1095"/>
      <c r="M5214" s="1095"/>
    </row>
    <row r="5215" spans="1:13" x14ac:dyDescent="0.25">
      <c r="A5215">
        <v>5213578</v>
      </c>
      <c r="B5215" t="s">
        <v>12289</v>
      </c>
      <c r="C5215" t="s">
        <v>2595</v>
      </c>
      <c r="D5215" s="254">
        <v>715.84</v>
      </c>
      <c r="E5215"/>
      <c r="F5215"/>
      <c r="G5215"/>
      <c r="H5215"/>
      <c r="I5215" s="489"/>
      <c r="J5215" s="1095"/>
      <c r="K5215" s="1095"/>
      <c r="L5215" s="1095"/>
      <c r="M5215" s="1095"/>
    </row>
    <row r="5216" spans="1:13" x14ac:dyDescent="0.25">
      <c r="A5216">
        <v>5213425</v>
      </c>
      <c r="B5216" t="s">
        <v>12290</v>
      </c>
      <c r="C5216" t="s">
        <v>2595</v>
      </c>
      <c r="D5216" s="254">
        <v>563.99</v>
      </c>
      <c r="E5216"/>
      <c r="F5216"/>
      <c r="G5216"/>
      <c r="H5216"/>
      <c r="I5216" s="489"/>
      <c r="J5216" s="1095"/>
      <c r="K5216" s="1095"/>
      <c r="L5216" s="1095"/>
      <c r="M5216" s="1095"/>
    </row>
    <row r="5217" spans="1:13" x14ac:dyDescent="0.25">
      <c r="A5217">
        <v>5213426</v>
      </c>
      <c r="B5217" t="s">
        <v>12291</v>
      </c>
      <c r="C5217" t="s">
        <v>2595</v>
      </c>
      <c r="D5217" s="254">
        <v>663.88</v>
      </c>
      <c r="E5217"/>
      <c r="F5217"/>
      <c r="G5217"/>
      <c r="H5217"/>
      <c r="I5217" s="489"/>
      <c r="J5217" s="1095"/>
      <c r="K5217" s="1095"/>
      <c r="L5217" s="1095"/>
      <c r="M5217" s="1095"/>
    </row>
    <row r="5218" spans="1:13" x14ac:dyDescent="0.25">
      <c r="A5218">
        <v>5213427</v>
      </c>
      <c r="B5218" t="s">
        <v>12292</v>
      </c>
      <c r="C5218" t="s">
        <v>2595</v>
      </c>
      <c r="D5218" s="254">
        <v>748.54</v>
      </c>
      <c r="E5218"/>
      <c r="F5218"/>
      <c r="G5218"/>
      <c r="H5218"/>
      <c r="I5218" s="489"/>
      <c r="J5218" s="1095"/>
      <c r="K5218" s="1095"/>
      <c r="L5218" s="1095"/>
      <c r="M5218" s="1095"/>
    </row>
    <row r="5219" spans="1:13" x14ac:dyDescent="0.25">
      <c r="A5219">
        <v>5213567</v>
      </c>
      <c r="B5219" t="s">
        <v>13828</v>
      </c>
      <c r="C5219" t="s">
        <v>2595</v>
      </c>
      <c r="D5219" s="254">
        <v>847.87</v>
      </c>
      <c r="E5219"/>
      <c r="F5219"/>
      <c r="G5219"/>
      <c r="H5219"/>
      <c r="I5219" s="489"/>
      <c r="J5219" s="1095"/>
      <c r="K5219" s="1095"/>
      <c r="L5219" s="1095"/>
      <c r="M5219" s="1095"/>
    </row>
    <row r="5220" spans="1:13" x14ac:dyDescent="0.25">
      <c r="A5220">
        <v>5213486</v>
      </c>
      <c r="B5220" t="s">
        <v>12293</v>
      </c>
      <c r="C5220" t="s">
        <v>2595</v>
      </c>
      <c r="D5220" s="254">
        <v>948.34</v>
      </c>
      <c r="E5220"/>
      <c r="F5220"/>
      <c r="G5220"/>
      <c r="H5220"/>
      <c r="I5220" s="489"/>
      <c r="J5220" s="1095"/>
      <c r="K5220" s="1095"/>
      <c r="L5220" s="1095"/>
      <c r="M5220" s="1095"/>
    </row>
    <row r="5221" spans="1:13" x14ac:dyDescent="0.25">
      <c r="A5221">
        <v>5213487</v>
      </c>
      <c r="B5221" t="s">
        <v>12294</v>
      </c>
      <c r="C5221" t="s">
        <v>2595</v>
      </c>
      <c r="D5221" s="254">
        <v>1048.23</v>
      </c>
      <c r="E5221"/>
      <c r="F5221"/>
      <c r="G5221"/>
      <c r="H5221"/>
      <c r="I5221" s="489"/>
      <c r="J5221" s="1095"/>
      <c r="K5221" s="1095"/>
      <c r="L5221" s="1095"/>
      <c r="M5221" s="1095"/>
    </row>
    <row r="5222" spans="1:13" x14ac:dyDescent="0.25">
      <c r="A5222">
        <v>5213488</v>
      </c>
      <c r="B5222" t="s">
        <v>12295</v>
      </c>
      <c r="C5222" t="s">
        <v>2595</v>
      </c>
      <c r="D5222" s="254">
        <v>1132.8900000000001</v>
      </c>
      <c r="E5222"/>
      <c r="F5222"/>
      <c r="G5222"/>
      <c r="H5222"/>
      <c r="I5222" s="489"/>
      <c r="J5222" s="1095"/>
      <c r="K5222" s="1095"/>
      <c r="L5222" s="1095"/>
      <c r="M5222" s="1095"/>
    </row>
    <row r="5223" spans="1:13" x14ac:dyDescent="0.25">
      <c r="A5223">
        <v>5213568</v>
      </c>
      <c r="B5223" t="s">
        <v>13829</v>
      </c>
      <c r="C5223" t="s">
        <v>2595</v>
      </c>
      <c r="D5223" s="254">
        <v>1232.22</v>
      </c>
      <c r="E5223"/>
      <c r="F5223"/>
      <c r="G5223"/>
      <c r="H5223"/>
      <c r="I5223" s="489"/>
      <c r="J5223" s="1095"/>
      <c r="K5223" s="1095"/>
      <c r="L5223" s="1095"/>
      <c r="M5223" s="1095"/>
    </row>
    <row r="5224" spans="1:13" x14ac:dyDescent="0.25">
      <c r="A5224">
        <v>5213483</v>
      </c>
      <c r="B5224" t="s">
        <v>12296</v>
      </c>
      <c r="C5224" t="s">
        <v>2595</v>
      </c>
      <c r="D5224" s="254">
        <v>998.29</v>
      </c>
      <c r="E5224"/>
      <c r="F5224"/>
      <c r="G5224"/>
      <c r="H5224"/>
      <c r="I5224" s="489"/>
      <c r="J5224" s="1095"/>
      <c r="K5224" s="1095"/>
      <c r="L5224" s="1095"/>
      <c r="M5224" s="1095"/>
    </row>
    <row r="5225" spans="1:13" x14ac:dyDescent="0.25">
      <c r="A5225">
        <v>5213484</v>
      </c>
      <c r="B5225" t="s">
        <v>12297</v>
      </c>
      <c r="C5225" t="s">
        <v>2595</v>
      </c>
      <c r="D5225" s="254">
        <v>1098.18</v>
      </c>
      <c r="E5225"/>
      <c r="F5225"/>
      <c r="G5225"/>
      <c r="H5225"/>
      <c r="I5225" s="489"/>
      <c r="J5225" s="1095"/>
      <c r="K5225" s="1095"/>
      <c r="L5225" s="1095"/>
      <c r="M5225" s="1095"/>
    </row>
    <row r="5226" spans="1:13" x14ac:dyDescent="0.25">
      <c r="A5226">
        <v>5213485</v>
      </c>
      <c r="B5226" t="s">
        <v>12298</v>
      </c>
      <c r="C5226" t="s">
        <v>2595</v>
      </c>
      <c r="D5226" s="254">
        <v>1182.8399999999999</v>
      </c>
      <c r="E5226"/>
      <c r="F5226"/>
      <c r="G5226"/>
      <c r="H5226"/>
      <c r="I5226" s="489"/>
      <c r="J5226" s="1095"/>
      <c r="K5226" s="1095"/>
      <c r="L5226" s="1095"/>
      <c r="M5226" s="1095"/>
    </row>
    <row r="5227" spans="1:13" x14ac:dyDescent="0.25">
      <c r="A5227">
        <v>5213434</v>
      </c>
      <c r="B5227" t="s">
        <v>12299</v>
      </c>
      <c r="C5227" t="s">
        <v>2595</v>
      </c>
      <c r="D5227" s="254">
        <v>613.94000000000005</v>
      </c>
      <c r="E5227"/>
      <c r="F5227"/>
      <c r="G5227"/>
      <c r="H5227"/>
      <c r="I5227" s="489"/>
      <c r="J5227" s="1095"/>
      <c r="K5227" s="1095"/>
      <c r="L5227" s="1095"/>
      <c r="M5227" s="1095"/>
    </row>
    <row r="5228" spans="1:13" x14ac:dyDescent="0.25">
      <c r="A5228">
        <v>5213435</v>
      </c>
      <c r="B5228" t="s">
        <v>12300</v>
      </c>
      <c r="C5228" t="s">
        <v>2595</v>
      </c>
      <c r="D5228" s="254">
        <v>713.83</v>
      </c>
      <c r="E5228"/>
      <c r="F5228"/>
      <c r="G5228"/>
      <c r="H5228"/>
      <c r="I5228" s="489"/>
      <c r="J5228" s="1095"/>
      <c r="K5228" s="1095"/>
      <c r="L5228" s="1095"/>
      <c r="M5228" s="1095"/>
    </row>
    <row r="5229" spans="1:13" x14ac:dyDescent="0.25">
      <c r="A5229">
        <v>5213436</v>
      </c>
      <c r="B5229" t="s">
        <v>12301</v>
      </c>
      <c r="C5229" t="s">
        <v>2595</v>
      </c>
      <c r="D5229" s="254">
        <v>798.49</v>
      </c>
      <c r="E5229"/>
      <c r="F5229"/>
      <c r="G5229"/>
      <c r="H5229"/>
      <c r="I5229" s="489"/>
      <c r="J5229" s="1095"/>
      <c r="K5229" s="1095"/>
      <c r="L5229" s="1095"/>
      <c r="M5229" s="1095"/>
    </row>
    <row r="5230" spans="1:13" x14ac:dyDescent="0.25">
      <c r="A5230">
        <v>5213430</v>
      </c>
      <c r="B5230" t="s">
        <v>12302</v>
      </c>
      <c r="C5230" t="s">
        <v>2595</v>
      </c>
      <c r="D5230" s="254">
        <v>346.05</v>
      </c>
      <c r="E5230"/>
      <c r="F5230"/>
      <c r="G5230"/>
      <c r="H5230"/>
      <c r="I5230" s="489"/>
      <c r="J5230" s="1095"/>
      <c r="K5230" s="1095"/>
      <c r="L5230" s="1095"/>
      <c r="M5230" s="1095"/>
    </row>
    <row r="5231" spans="1:13" x14ac:dyDescent="0.25">
      <c r="A5231">
        <v>5213431</v>
      </c>
      <c r="B5231" t="s">
        <v>12303</v>
      </c>
      <c r="C5231" t="s">
        <v>2595</v>
      </c>
      <c r="D5231" s="254">
        <v>386.01</v>
      </c>
      <c r="E5231"/>
      <c r="F5231"/>
      <c r="G5231"/>
      <c r="H5231"/>
      <c r="I5231" s="489"/>
      <c r="J5231" s="1095"/>
      <c r="K5231" s="1095"/>
      <c r="L5231" s="1095"/>
      <c r="M5231" s="1095"/>
    </row>
    <row r="5232" spans="1:13" x14ac:dyDescent="0.25">
      <c r="A5232">
        <v>5213433</v>
      </c>
      <c r="B5232" t="s">
        <v>12304</v>
      </c>
      <c r="C5232" t="s">
        <v>2595</v>
      </c>
      <c r="D5232" s="254">
        <v>343.33</v>
      </c>
      <c r="E5232"/>
      <c r="F5232"/>
      <c r="G5232"/>
      <c r="H5232"/>
      <c r="I5232" s="489"/>
      <c r="J5232" s="1095"/>
      <c r="K5232" s="1095"/>
      <c r="L5232" s="1095"/>
      <c r="M5232" s="1095"/>
    </row>
    <row r="5233" spans="1:13" x14ac:dyDescent="0.25">
      <c r="A5233">
        <v>5213428</v>
      </c>
      <c r="B5233" t="s">
        <v>12305</v>
      </c>
      <c r="C5233" t="s">
        <v>2595</v>
      </c>
      <c r="D5233" s="254">
        <v>355.58</v>
      </c>
      <c r="E5233"/>
      <c r="F5233"/>
      <c r="G5233"/>
      <c r="H5233"/>
      <c r="I5233" s="489"/>
      <c r="J5233" s="1095"/>
      <c r="K5233" s="1095"/>
      <c r="L5233" s="1095"/>
      <c r="M5233" s="1095"/>
    </row>
    <row r="5234" spans="1:13" x14ac:dyDescent="0.25">
      <c r="A5234">
        <v>5213432</v>
      </c>
      <c r="B5234" t="s">
        <v>12306</v>
      </c>
      <c r="C5234" t="s">
        <v>2595</v>
      </c>
      <c r="D5234" s="254">
        <v>485.9</v>
      </c>
      <c r="E5234"/>
      <c r="F5234"/>
      <c r="G5234"/>
      <c r="H5234"/>
      <c r="I5234" s="489"/>
      <c r="J5234" s="1095"/>
      <c r="K5234" s="1095"/>
      <c r="L5234" s="1095"/>
      <c r="M5234" s="1095"/>
    </row>
    <row r="5235" spans="1:13" x14ac:dyDescent="0.25">
      <c r="A5235">
        <v>5213429</v>
      </c>
      <c r="B5235" t="s">
        <v>12307</v>
      </c>
      <c r="C5235" t="s">
        <v>2595</v>
      </c>
      <c r="D5235" s="254">
        <v>576.55999999999995</v>
      </c>
      <c r="E5235"/>
      <c r="F5235"/>
      <c r="G5235"/>
      <c r="H5235"/>
      <c r="I5235" s="489"/>
      <c r="J5235" s="1095"/>
      <c r="K5235" s="1095"/>
      <c r="L5235" s="1095"/>
      <c r="M5235" s="1095"/>
    </row>
    <row r="5236" spans="1:13" x14ac:dyDescent="0.25">
      <c r="A5236">
        <v>5213516</v>
      </c>
      <c r="B5236" t="s">
        <v>12308</v>
      </c>
      <c r="C5236" t="s">
        <v>2640</v>
      </c>
      <c r="D5236" s="254">
        <v>767.9</v>
      </c>
      <c r="E5236"/>
      <c r="F5236"/>
      <c r="G5236"/>
      <c r="H5236"/>
      <c r="I5236" s="489"/>
      <c r="J5236" s="1095"/>
      <c r="K5236" s="1095"/>
      <c r="L5236" s="1095"/>
      <c r="M5236" s="1095"/>
    </row>
    <row r="5237" spans="1:13" x14ac:dyDescent="0.25">
      <c r="A5237">
        <v>5213525</v>
      </c>
      <c r="B5237" t="s">
        <v>12309</v>
      </c>
      <c r="C5237" t="s">
        <v>2640</v>
      </c>
      <c r="D5237" s="254">
        <v>847.82</v>
      </c>
      <c r="E5237"/>
      <c r="F5237"/>
      <c r="G5237"/>
      <c r="H5237"/>
      <c r="I5237" s="489"/>
      <c r="J5237" s="1095"/>
      <c r="K5237" s="1095"/>
      <c r="L5237" s="1095"/>
      <c r="M5237" s="1095"/>
    </row>
    <row r="5238" spans="1:13" x14ac:dyDescent="0.25">
      <c r="A5238">
        <v>5213534</v>
      </c>
      <c r="B5238" t="s">
        <v>12310</v>
      </c>
      <c r="C5238" t="s">
        <v>2640</v>
      </c>
      <c r="D5238" s="254">
        <v>1047.5999999999999</v>
      </c>
      <c r="E5238"/>
      <c r="F5238"/>
      <c r="G5238"/>
      <c r="H5238"/>
      <c r="I5238" s="489"/>
      <c r="J5238" s="1095"/>
      <c r="K5238" s="1095"/>
      <c r="L5238" s="1095"/>
      <c r="M5238" s="1095"/>
    </row>
    <row r="5239" spans="1:13" x14ac:dyDescent="0.25">
      <c r="A5239">
        <v>5213517</v>
      </c>
      <c r="B5239" t="s">
        <v>12311</v>
      </c>
      <c r="C5239" t="s">
        <v>2640</v>
      </c>
      <c r="D5239" s="254">
        <v>1633.02</v>
      </c>
      <c r="E5239"/>
      <c r="F5239"/>
      <c r="G5239"/>
      <c r="H5239"/>
      <c r="I5239" s="489"/>
      <c r="J5239" s="1095"/>
      <c r="K5239" s="1095"/>
      <c r="L5239" s="1095"/>
      <c r="M5239" s="1095"/>
    </row>
    <row r="5240" spans="1:13" x14ac:dyDescent="0.25">
      <c r="A5240">
        <v>5213526</v>
      </c>
      <c r="B5240" t="s">
        <v>12312</v>
      </c>
      <c r="C5240" t="s">
        <v>2640</v>
      </c>
      <c r="D5240" s="254">
        <v>1812.84</v>
      </c>
      <c r="E5240"/>
      <c r="F5240"/>
      <c r="G5240"/>
      <c r="H5240"/>
      <c r="I5240" s="489"/>
      <c r="J5240" s="1095"/>
      <c r="K5240" s="1095"/>
      <c r="L5240" s="1095"/>
      <c r="M5240" s="1095"/>
    </row>
    <row r="5241" spans="1:13" x14ac:dyDescent="0.25">
      <c r="A5241">
        <v>5213535</v>
      </c>
      <c r="B5241" t="s">
        <v>12313</v>
      </c>
      <c r="C5241" t="s">
        <v>2640</v>
      </c>
      <c r="D5241" s="254">
        <v>2262.35</v>
      </c>
      <c r="E5241"/>
      <c r="F5241"/>
      <c r="G5241"/>
      <c r="H5241"/>
      <c r="I5241" s="489"/>
      <c r="J5241" s="1095"/>
      <c r="K5241" s="1095"/>
      <c r="L5241" s="1095"/>
      <c r="M5241" s="1095"/>
    </row>
    <row r="5242" spans="1:13" x14ac:dyDescent="0.25">
      <c r="A5242">
        <v>5213518</v>
      </c>
      <c r="B5242" t="s">
        <v>12314</v>
      </c>
      <c r="C5242" t="s">
        <v>2640</v>
      </c>
      <c r="D5242" s="254">
        <v>2152.1</v>
      </c>
      <c r="E5242"/>
      <c r="F5242"/>
      <c r="G5242"/>
      <c r="H5242"/>
      <c r="I5242" s="489"/>
      <c r="J5242" s="1095"/>
      <c r="K5242" s="1095"/>
      <c r="L5242" s="1095"/>
      <c r="M5242" s="1095"/>
    </row>
    <row r="5243" spans="1:13" x14ac:dyDescent="0.25">
      <c r="A5243">
        <v>5213527</v>
      </c>
      <c r="B5243" t="s">
        <v>12315</v>
      </c>
      <c r="C5243" t="s">
        <v>2640</v>
      </c>
      <c r="D5243" s="254">
        <v>2391.86</v>
      </c>
      <c r="E5243"/>
      <c r="F5243"/>
      <c r="G5243"/>
      <c r="H5243"/>
      <c r="I5243" s="489"/>
      <c r="J5243" s="1095"/>
      <c r="K5243" s="1095"/>
      <c r="L5243" s="1095"/>
      <c r="M5243" s="1095"/>
    </row>
    <row r="5244" spans="1:13" x14ac:dyDescent="0.25">
      <c r="A5244">
        <v>5213536</v>
      </c>
      <c r="B5244" t="s">
        <v>12316</v>
      </c>
      <c r="C5244" t="s">
        <v>2640</v>
      </c>
      <c r="D5244" s="254">
        <v>2991.2</v>
      </c>
      <c r="E5244"/>
      <c r="F5244"/>
      <c r="G5244"/>
      <c r="H5244"/>
      <c r="I5244" s="489"/>
      <c r="J5244" s="1095"/>
      <c r="K5244" s="1095"/>
      <c r="L5244" s="1095"/>
      <c r="M5244" s="1095"/>
    </row>
    <row r="5245" spans="1:13" x14ac:dyDescent="0.25">
      <c r="A5245">
        <v>5213519</v>
      </c>
      <c r="B5245" t="s">
        <v>12317</v>
      </c>
      <c r="C5245" t="s">
        <v>2640</v>
      </c>
      <c r="D5245" s="254">
        <v>2919.99</v>
      </c>
      <c r="E5245"/>
      <c r="F5245"/>
      <c r="G5245"/>
      <c r="H5245"/>
      <c r="I5245" s="489"/>
      <c r="J5245" s="1095"/>
      <c r="K5245" s="1095"/>
      <c r="L5245" s="1095"/>
      <c r="M5245" s="1095"/>
    </row>
    <row r="5246" spans="1:13" x14ac:dyDescent="0.25">
      <c r="A5246">
        <v>5213528</v>
      </c>
      <c r="B5246" t="s">
        <v>12318</v>
      </c>
      <c r="C5246" t="s">
        <v>2640</v>
      </c>
      <c r="D5246" s="254">
        <v>3239.67</v>
      </c>
      <c r="E5246"/>
      <c r="F5246"/>
      <c r="G5246"/>
      <c r="H5246"/>
      <c r="I5246" s="489"/>
      <c r="J5246" s="1095"/>
      <c r="K5246" s="1095"/>
      <c r="L5246" s="1095"/>
      <c r="M5246" s="1095"/>
    </row>
    <row r="5247" spans="1:13" x14ac:dyDescent="0.25">
      <c r="A5247">
        <v>5213537</v>
      </c>
      <c r="B5247" t="s">
        <v>12319</v>
      </c>
      <c r="C5247" t="s">
        <v>2640</v>
      </c>
      <c r="D5247" s="254">
        <v>4038.79</v>
      </c>
      <c r="E5247"/>
      <c r="F5247"/>
      <c r="G5247"/>
      <c r="H5247"/>
      <c r="I5247" s="489"/>
      <c r="J5247" s="1095"/>
      <c r="K5247" s="1095"/>
      <c r="L5247" s="1095"/>
      <c r="M5247" s="1095"/>
    </row>
    <row r="5248" spans="1:13" x14ac:dyDescent="0.25">
      <c r="A5248">
        <v>5213521</v>
      </c>
      <c r="B5248" t="s">
        <v>12320</v>
      </c>
      <c r="C5248" t="s">
        <v>2640</v>
      </c>
      <c r="D5248" s="254">
        <v>4304.1899999999996</v>
      </c>
      <c r="E5248"/>
      <c r="F5248"/>
      <c r="G5248"/>
      <c r="H5248"/>
      <c r="I5248" s="489"/>
      <c r="J5248" s="1095"/>
      <c r="K5248" s="1095"/>
      <c r="L5248" s="1095"/>
      <c r="M5248" s="1095"/>
    </row>
    <row r="5249" spans="1:13" x14ac:dyDescent="0.25">
      <c r="A5249">
        <v>5213530</v>
      </c>
      <c r="B5249" t="s">
        <v>12321</v>
      </c>
      <c r="C5249" t="s">
        <v>2640</v>
      </c>
      <c r="D5249" s="254">
        <v>4783.71</v>
      </c>
      <c r="E5249"/>
      <c r="F5249"/>
      <c r="G5249"/>
      <c r="H5249"/>
      <c r="I5249" s="489"/>
      <c r="J5249" s="1095"/>
      <c r="K5249" s="1095"/>
      <c r="L5249" s="1095"/>
      <c r="M5249" s="1095"/>
    </row>
    <row r="5250" spans="1:13" x14ac:dyDescent="0.25">
      <c r="A5250">
        <v>5213539</v>
      </c>
      <c r="B5250" t="s">
        <v>12322</v>
      </c>
      <c r="C5250" t="s">
        <v>2640</v>
      </c>
      <c r="D5250" s="254">
        <v>5982.39</v>
      </c>
      <c r="E5250"/>
      <c r="F5250"/>
      <c r="G5250"/>
      <c r="H5250"/>
      <c r="I5250" s="489"/>
      <c r="J5250" s="1095"/>
      <c r="K5250" s="1095"/>
      <c r="L5250" s="1095"/>
      <c r="M5250" s="1095"/>
    </row>
    <row r="5251" spans="1:13" x14ac:dyDescent="0.25">
      <c r="A5251">
        <v>5213573</v>
      </c>
      <c r="B5251" t="s">
        <v>12323</v>
      </c>
      <c r="C5251" t="s">
        <v>2595</v>
      </c>
      <c r="D5251" s="254">
        <v>396.58</v>
      </c>
      <c r="E5251"/>
      <c r="F5251"/>
      <c r="G5251"/>
      <c r="H5251"/>
      <c r="I5251" s="489"/>
      <c r="J5251" s="1095"/>
      <c r="K5251" s="1095"/>
      <c r="L5251" s="1095"/>
      <c r="M5251" s="1095"/>
    </row>
    <row r="5252" spans="1:13" x14ac:dyDescent="0.25">
      <c r="A5252">
        <v>5213574</v>
      </c>
      <c r="B5252" t="s">
        <v>12324</v>
      </c>
      <c r="C5252" t="s">
        <v>2595</v>
      </c>
      <c r="D5252" s="254">
        <v>436.54</v>
      </c>
      <c r="E5252"/>
      <c r="F5252"/>
      <c r="G5252"/>
      <c r="H5252"/>
      <c r="I5252" s="489"/>
      <c r="J5252" s="1095"/>
      <c r="K5252" s="1095"/>
      <c r="L5252" s="1095"/>
      <c r="M5252" s="1095"/>
    </row>
    <row r="5253" spans="1:13" x14ac:dyDescent="0.25">
      <c r="A5253">
        <v>5213575</v>
      </c>
      <c r="B5253" t="s">
        <v>12325</v>
      </c>
      <c r="C5253" t="s">
        <v>2595</v>
      </c>
      <c r="D5253" s="254">
        <v>536.42999999999995</v>
      </c>
      <c r="E5253"/>
      <c r="F5253"/>
      <c r="G5253"/>
      <c r="H5253"/>
      <c r="I5253" s="489"/>
      <c r="J5253" s="1095"/>
      <c r="K5253" s="1095"/>
      <c r="L5253" s="1095"/>
      <c r="M5253" s="1095"/>
    </row>
    <row r="5254" spans="1:13" x14ac:dyDescent="0.25">
      <c r="A5254">
        <v>5213480</v>
      </c>
      <c r="B5254" t="s">
        <v>12326</v>
      </c>
      <c r="C5254" t="s">
        <v>2595</v>
      </c>
      <c r="D5254" s="254">
        <v>890.88</v>
      </c>
      <c r="E5254"/>
      <c r="F5254"/>
      <c r="G5254"/>
      <c r="H5254"/>
      <c r="I5254" s="489"/>
      <c r="J5254" s="1095"/>
      <c r="K5254" s="1095"/>
      <c r="L5254" s="1095"/>
      <c r="M5254" s="1095"/>
    </row>
    <row r="5255" spans="1:13" x14ac:dyDescent="0.25">
      <c r="A5255">
        <v>5213481</v>
      </c>
      <c r="B5255" t="s">
        <v>12327</v>
      </c>
      <c r="C5255" t="s">
        <v>2595</v>
      </c>
      <c r="D5255" s="254">
        <v>990.77</v>
      </c>
      <c r="E5255"/>
      <c r="F5255"/>
      <c r="G5255"/>
      <c r="H5255"/>
      <c r="I5255" s="489"/>
      <c r="J5255" s="1095"/>
      <c r="K5255" s="1095"/>
      <c r="L5255" s="1095"/>
      <c r="M5255" s="1095"/>
    </row>
    <row r="5256" spans="1:13" x14ac:dyDescent="0.25">
      <c r="A5256">
        <v>5213482</v>
      </c>
      <c r="B5256" t="s">
        <v>12328</v>
      </c>
      <c r="C5256" t="s">
        <v>2595</v>
      </c>
      <c r="D5256" s="254">
        <v>1075.43</v>
      </c>
      <c r="E5256"/>
      <c r="F5256"/>
      <c r="G5256"/>
      <c r="H5256"/>
      <c r="I5256" s="489"/>
      <c r="J5256" s="1095"/>
      <c r="K5256" s="1095"/>
      <c r="L5256" s="1095"/>
      <c r="M5256" s="1095"/>
    </row>
    <row r="5257" spans="1:13" x14ac:dyDescent="0.25">
      <c r="A5257">
        <v>5213422</v>
      </c>
      <c r="B5257" t="s">
        <v>12329</v>
      </c>
      <c r="C5257" t="s">
        <v>2595</v>
      </c>
      <c r="D5257" s="254">
        <v>525.46</v>
      </c>
      <c r="E5257"/>
      <c r="F5257"/>
      <c r="G5257"/>
      <c r="H5257"/>
      <c r="I5257" s="489"/>
      <c r="J5257" s="1095"/>
      <c r="K5257" s="1095"/>
      <c r="L5257" s="1095"/>
      <c r="M5257" s="1095"/>
    </row>
    <row r="5258" spans="1:13" x14ac:dyDescent="0.25">
      <c r="A5258">
        <v>5213423</v>
      </c>
      <c r="B5258" t="s">
        <v>12330</v>
      </c>
      <c r="C5258" t="s">
        <v>2595</v>
      </c>
      <c r="D5258" s="254">
        <v>565.41999999999996</v>
      </c>
      <c r="E5258"/>
      <c r="F5258"/>
      <c r="G5258"/>
      <c r="H5258"/>
      <c r="I5258" s="489"/>
      <c r="J5258" s="1095"/>
      <c r="K5258" s="1095"/>
      <c r="L5258" s="1095"/>
      <c r="M5258" s="1095"/>
    </row>
    <row r="5259" spans="1:13" x14ac:dyDescent="0.25">
      <c r="A5259">
        <v>5213424</v>
      </c>
      <c r="B5259" t="s">
        <v>12331</v>
      </c>
      <c r="C5259" t="s">
        <v>2595</v>
      </c>
      <c r="D5259" s="254">
        <v>665.31</v>
      </c>
      <c r="E5259"/>
      <c r="F5259"/>
      <c r="G5259"/>
      <c r="H5259"/>
      <c r="I5259" s="489"/>
      <c r="J5259" s="1095"/>
      <c r="K5259" s="1095"/>
      <c r="L5259" s="1095"/>
      <c r="M5259" s="1095"/>
    </row>
    <row r="5260" spans="1:13" x14ac:dyDescent="0.25">
      <c r="A5260">
        <v>5213437</v>
      </c>
      <c r="B5260" t="s">
        <v>12332</v>
      </c>
      <c r="C5260" t="s">
        <v>2595</v>
      </c>
      <c r="D5260" s="254">
        <v>506.53</v>
      </c>
      <c r="E5260"/>
      <c r="F5260"/>
      <c r="G5260"/>
      <c r="H5260"/>
      <c r="I5260" s="489"/>
      <c r="J5260" s="1095"/>
      <c r="K5260" s="1095"/>
      <c r="L5260" s="1095"/>
      <c r="M5260" s="1095"/>
    </row>
    <row r="5261" spans="1:13" x14ac:dyDescent="0.25">
      <c r="A5261">
        <v>5213438</v>
      </c>
      <c r="B5261" t="s">
        <v>12333</v>
      </c>
      <c r="C5261" t="s">
        <v>2595</v>
      </c>
      <c r="D5261" s="254">
        <v>606.41999999999996</v>
      </c>
      <c r="E5261"/>
      <c r="F5261"/>
      <c r="G5261"/>
      <c r="H5261"/>
      <c r="I5261" s="489"/>
      <c r="J5261" s="1095"/>
      <c r="K5261" s="1095"/>
      <c r="L5261" s="1095"/>
      <c r="M5261" s="1095"/>
    </row>
    <row r="5262" spans="1:13" x14ac:dyDescent="0.25">
      <c r="A5262">
        <v>5213439</v>
      </c>
      <c r="B5262" t="s">
        <v>12334</v>
      </c>
      <c r="C5262" t="s">
        <v>2595</v>
      </c>
      <c r="D5262" s="254">
        <v>691.08</v>
      </c>
      <c r="E5262"/>
      <c r="F5262"/>
      <c r="G5262"/>
      <c r="H5262"/>
      <c r="I5262" s="489"/>
      <c r="J5262" s="1095"/>
      <c r="K5262" s="1095"/>
      <c r="L5262" s="1095"/>
      <c r="M5262" s="1095"/>
    </row>
    <row r="5263" spans="1:13" x14ac:dyDescent="0.25">
      <c r="A5263">
        <v>5212556</v>
      </c>
      <c r="B5263" t="s">
        <v>12335</v>
      </c>
      <c r="C5263" t="s">
        <v>12136</v>
      </c>
      <c r="D5263" s="254">
        <v>2.0699999999999998</v>
      </c>
      <c r="E5263"/>
      <c r="F5263"/>
      <c r="G5263"/>
      <c r="H5263"/>
      <c r="I5263" s="489"/>
      <c r="J5263" s="1095"/>
      <c r="K5263" s="1095"/>
      <c r="L5263" s="1095"/>
      <c r="M5263" s="1095"/>
    </row>
    <row r="5264" spans="1:13" x14ac:dyDescent="0.25">
      <c r="A5264">
        <v>5213649</v>
      </c>
      <c r="B5264" t="s">
        <v>12336</v>
      </c>
      <c r="C5264" t="s">
        <v>2640</v>
      </c>
      <c r="D5264" s="254">
        <v>87902.91</v>
      </c>
      <c r="E5264"/>
      <c r="F5264"/>
      <c r="G5264"/>
      <c r="H5264"/>
      <c r="I5264" s="489"/>
      <c r="J5264" s="1095"/>
      <c r="K5264" s="1095"/>
      <c r="L5264" s="1095"/>
      <c r="M5264" s="1095"/>
    </row>
    <row r="5265" spans="1:13" x14ac:dyDescent="0.25">
      <c r="A5265">
        <v>5213591</v>
      </c>
      <c r="B5265" t="s">
        <v>12337</v>
      </c>
      <c r="C5265" t="s">
        <v>2640</v>
      </c>
      <c r="D5265" s="254">
        <v>87902.91</v>
      </c>
      <c r="E5265"/>
      <c r="F5265"/>
      <c r="G5265"/>
      <c r="H5265"/>
      <c r="I5265" s="489"/>
      <c r="J5265" s="1095"/>
      <c r="K5265" s="1095"/>
      <c r="L5265" s="1095"/>
      <c r="M5265" s="1095"/>
    </row>
    <row r="5266" spans="1:13" x14ac:dyDescent="0.25">
      <c r="A5266">
        <v>5213718</v>
      </c>
      <c r="B5266" t="s">
        <v>12338</v>
      </c>
      <c r="C5266" t="s">
        <v>2640</v>
      </c>
      <c r="D5266" s="254">
        <v>97216.81</v>
      </c>
      <c r="E5266"/>
      <c r="F5266"/>
      <c r="G5266"/>
      <c r="H5266"/>
      <c r="I5266" s="489"/>
      <c r="J5266" s="1095"/>
      <c r="K5266" s="1095"/>
      <c r="L5266" s="1095"/>
      <c r="M5266" s="1095"/>
    </row>
    <row r="5267" spans="1:13" x14ac:dyDescent="0.25">
      <c r="A5267">
        <v>5213741</v>
      </c>
      <c r="B5267" t="s">
        <v>12339</v>
      </c>
      <c r="C5267" t="s">
        <v>2640</v>
      </c>
      <c r="D5267" s="254">
        <v>97216.81</v>
      </c>
      <c r="E5267"/>
      <c r="F5267"/>
      <c r="G5267"/>
      <c r="H5267"/>
      <c r="I5267" s="489"/>
      <c r="J5267" s="1095"/>
      <c r="K5267" s="1095"/>
      <c r="L5267" s="1095"/>
      <c r="M5267" s="1095"/>
    </row>
    <row r="5268" spans="1:13" x14ac:dyDescent="0.25">
      <c r="A5268">
        <v>5213776</v>
      </c>
      <c r="B5268" t="s">
        <v>12340</v>
      </c>
      <c r="C5268" t="s">
        <v>2640</v>
      </c>
      <c r="D5268" s="254">
        <v>106530.71</v>
      </c>
      <c r="E5268"/>
      <c r="F5268"/>
      <c r="G5268"/>
      <c r="H5268"/>
      <c r="I5268" s="489"/>
      <c r="J5268" s="1095"/>
      <c r="K5268" s="1095"/>
      <c r="L5268" s="1095"/>
      <c r="M5268" s="1095"/>
    </row>
    <row r="5269" spans="1:13" x14ac:dyDescent="0.25">
      <c r="A5269">
        <v>5213799</v>
      </c>
      <c r="B5269" t="s">
        <v>12341</v>
      </c>
      <c r="C5269" t="s">
        <v>2640</v>
      </c>
      <c r="D5269" s="254">
        <v>106530.71</v>
      </c>
      <c r="E5269"/>
      <c r="F5269"/>
      <c r="G5269"/>
      <c r="H5269"/>
      <c r="I5269" s="489"/>
      <c r="J5269" s="1095"/>
      <c r="K5269" s="1095"/>
      <c r="L5269" s="1095"/>
      <c r="M5269" s="1095"/>
    </row>
    <row r="5270" spans="1:13" x14ac:dyDescent="0.25">
      <c r="A5270">
        <v>5213363</v>
      </c>
      <c r="B5270" t="s">
        <v>12342</v>
      </c>
      <c r="C5270" t="s">
        <v>2595</v>
      </c>
      <c r="D5270" s="254">
        <v>36.1</v>
      </c>
      <c r="E5270"/>
      <c r="F5270"/>
      <c r="G5270"/>
      <c r="H5270"/>
      <c r="I5270" s="489"/>
      <c r="J5270" s="1095"/>
      <c r="K5270" s="1095"/>
      <c r="L5270" s="1095"/>
      <c r="M5270" s="1095"/>
    </row>
    <row r="5271" spans="1:13" x14ac:dyDescent="0.25">
      <c r="A5271">
        <v>5213616</v>
      </c>
      <c r="B5271" t="s">
        <v>12343</v>
      </c>
      <c r="C5271" t="s">
        <v>2596</v>
      </c>
      <c r="D5271" s="254">
        <v>767.09</v>
      </c>
      <c r="E5271"/>
      <c r="F5271"/>
      <c r="G5271"/>
      <c r="H5271"/>
      <c r="I5271" s="489"/>
      <c r="J5271" s="1095"/>
      <c r="K5271" s="1095"/>
      <c r="L5271" s="1095"/>
      <c r="M5271" s="1095"/>
    </row>
    <row r="5272" spans="1:13" x14ac:dyDescent="0.25">
      <c r="A5272">
        <v>5213667</v>
      </c>
      <c r="B5272" t="s">
        <v>12344</v>
      </c>
      <c r="C5272" t="s">
        <v>2640</v>
      </c>
      <c r="D5272" s="254">
        <v>356.87</v>
      </c>
      <c r="E5272"/>
      <c r="F5272"/>
      <c r="G5272"/>
      <c r="H5272"/>
      <c r="I5272" s="489"/>
      <c r="J5272" s="1095"/>
      <c r="K5272" s="1095"/>
      <c r="L5272" s="1095"/>
      <c r="M5272" s="1095"/>
    </row>
    <row r="5273" spans="1:13" x14ac:dyDescent="0.25">
      <c r="A5273">
        <v>5213683</v>
      </c>
      <c r="B5273" t="s">
        <v>12345</v>
      </c>
      <c r="C5273" t="s">
        <v>2640</v>
      </c>
      <c r="D5273" s="254">
        <v>255.83</v>
      </c>
      <c r="E5273"/>
      <c r="F5273"/>
      <c r="G5273"/>
      <c r="H5273"/>
      <c r="I5273" s="489"/>
      <c r="J5273" s="1095"/>
      <c r="K5273" s="1095"/>
      <c r="L5273" s="1095"/>
      <c r="M5273" s="1095"/>
    </row>
    <row r="5274" spans="1:13" x14ac:dyDescent="0.25">
      <c r="A5274">
        <v>5213660</v>
      </c>
      <c r="B5274" t="s">
        <v>12346</v>
      </c>
      <c r="C5274" t="s">
        <v>2640</v>
      </c>
      <c r="D5274" s="254">
        <v>213.19</v>
      </c>
      <c r="E5274"/>
      <c r="F5274"/>
      <c r="G5274"/>
      <c r="H5274"/>
      <c r="I5274" s="489"/>
      <c r="J5274" s="1095"/>
      <c r="K5274" s="1095"/>
      <c r="L5274" s="1095"/>
      <c r="M5274" s="1095"/>
    </row>
    <row r="5275" spans="1:13" x14ac:dyDescent="0.25">
      <c r="A5275">
        <v>5213364</v>
      </c>
      <c r="B5275" t="s">
        <v>6377</v>
      </c>
      <c r="C5275" t="s">
        <v>2595</v>
      </c>
      <c r="D5275" s="254">
        <v>20.66</v>
      </c>
      <c r="E5275"/>
      <c r="F5275"/>
      <c r="G5275"/>
      <c r="H5275"/>
      <c r="I5275" s="489"/>
      <c r="J5275" s="1095"/>
      <c r="K5275" s="1095"/>
      <c r="L5275" s="1095"/>
      <c r="M5275" s="1095"/>
    </row>
    <row r="5276" spans="1:13" x14ac:dyDescent="0.25">
      <c r="A5276">
        <v>5213832</v>
      </c>
      <c r="B5276" t="s">
        <v>12347</v>
      </c>
      <c r="C5276" t="s">
        <v>2595</v>
      </c>
      <c r="D5276" s="254">
        <v>3.18</v>
      </c>
      <c r="E5276"/>
      <c r="F5276"/>
      <c r="G5276"/>
      <c r="H5276"/>
      <c r="I5276" s="489"/>
      <c r="J5276" s="1095"/>
      <c r="K5276" s="1095"/>
      <c r="L5276" s="1095"/>
      <c r="M5276" s="1095"/>
    </row>
    <row r="5277" spans="1:13" x14ac:dyDescent="0.25">
      <c r="A5277">
        <v>5213830</v>
      </c>
      <c r="B5277" t="s">
        <v>12348</v>
      </c>
      <c r="C5277" t="s">
        <v>2595</v>
      </c>
      <c r="D5277" s="254">
        <v>3.7</v>
      </c>
      <c r="E5277"/>
      <c r="F5277"/>
      <c r="G5277"/>
      <c r="H5277"/>
      <c r="I5277" s="489"/>
      <c r="J5277" s="1095"/>
      <c r="K5277" s="1095"/>
      <c r="L5277" s="1095"/>
      <c r="M5277" s="1095"/>
    </row>
    <row r="5278" spans="1:13" x14ac:dyDescent="0.25">
      <c r="A5278">
        <v>5213831</v>
      </c>
      <c r="B5278" t="s">
        <v>12349</v>
      </c>
      <c r="C5278" t="s">
        <v>2595</v>
      </c>
      <c r="D5278" s="254">
        <v>56.53</v>
      </c>
      <c r="E5278"/>
      <c r="F5278"/>
      <c r="G5278"/>
      <c r="H5278"/>
      <c r="I5278" s="489"/>
      <c r="J5278" s="1095"/>
      <c r="K5278" s="1095"/>
      <c r="L5278" s="1095"/>
      <c r="M5278" s="1095"/>
    </row>
    <row r="5279" spans="1:13" x14ac:dyDescent="0.25">
      <c r="A5279">
        <v>5213849</v>
      </c>
      <c r="B5279" t="s">
        <v>12350</v>
      </c>
      <c r="C5279" t="s">
        <v>149</v>
      </c>
      <c r="D5279" s="254">
        <v>3.08</v>
      </c>
      <c r="E5279"/>
      <c r="F5279"/>
      <c r="G5279"/>
      <c r="H5279"/>
      <c r="I5279" s="489"/>
      <c r="J5279" s="1095"/>
      <c r="K5279" s="1095"/>
      <c r="L5279" s="1095"/>
      <c r="M5279" s="1095"/>
    </row>
    <row r="5280" spans="1:13" x14ac:dyDescent="0.25">
      <c r="A5280">
        <v>5213636</v>
      </c>
      <c r="B5280" t="s">
        <v>12351</v>
      </c>
      <c r="C5280" t="s">
        <v>2640</v>
      </c>
      <c r="D5280" s="254">
        <v>67132.27</v>
      </c>
      <c r="E5280"/>
      <c r="F5280"/>
      <c r="G5280"/>
      <c r="H5280"/>
      <c r="I5280" s="489"/>
      <c r="J5280" s="1095"/>
      <c r="K5280" s="1095"/>
      <c r="L5280" s="1095"/>
      <c r="M5280" s="1095"/>
    </row>
    <row r="5281" spans="1:13" x14ac:dyDescent="0.25">
      <c r="A5281">
        <v>5213642</v>
      </c>
      <c r="B5281" t="s">
        <v>12352</v>
      </c>
      <c r="C5281" t="s">
        <v>2640</v>
      </c>
      <c r="D5281" s="254">
        <v>67132.27</v>
      </c>
      <c r="E5281"/>
      <c r="F5281"/>
      <c r="G5281"/>
      <c r="H5281"/>
      <c r="I5281" s="489"/>
      <c r="J5281" s="1095"/>
      <c r="K5281" s="1095"/>
      <c r="L5281" s="1095"/>
      <c r="M5281" s="1095"/>
    </row>
    <row r="5282" spans="1:13" x14ac:dyDescent="0.25">
      <c r="A5282">
        <v>5213757</v>
      </c>
      <c r="B5282" t="s">
        <v>12353</v>
      </c>
      <c r="C5282" t="s">
        <v>2640</v>
      </c>
      <c r="D5282" s="254">
        <v>74355.13</v>
      </c>
      <c r="E5282"/>
      <c r="F5282"/>
      <c r="G5282"/>
      <c r="H5282"/>
      <c r="I5282" s="489"/>
      <c r="J5282" s="1095"/>
      <c r="K5282" s="1095"/>
      <c r="L5282" s="1095"/>
      <c r="M5282" s="1095"/>
    </row>
    <row r="5283" spans="1:13" x14ac:dyDescent="0.25">
      <c r="A5283">
        <v>5213763</v>
      </c>
      <c r="B5283" t="s">
        <v>12354</v>
      </c>
      <c r="C5283" t="s">
        <v>2640</v>
      </c>
      <c r="D5283" s="254">
        <v>74355.13</v>
      </c>
      <c r="E5283"/>
      <c r="F5283"/>
      <c r="G5283"/>
      <c r="H5283"/>
      <c r="I5283" s="489"/>
      <c r="J5283" s="1095"/>
      <c r="K5283" s="1095"/>
      <c r="L5283" s="1095"/>
      <c r="M5283" s="1095"/>
    </row>
    <row r="5284" spans="1:13" x14ac:dyDescent="0.25">
      <c r="A5284">
        <v>5213815</v>
      </c>
      <c r="B5284" t="s">
        <v>12355</v>
      </c>
      <c r="C5284" t="s">
        <v>2640</v>
      </c>
      <c r="D5284" s="254">
        <v>81577.990000000005</v>
      </c>
      <c r="E5284"/>
      <c r="F5284"/>
      <c r="G5284"/>
      <c r="H5284"/>
      <c r="I5284" s="489"/>
      <c r="J5284" s="1095"/>
      <c r="K5284" s="1095"/>
      <c r="L5284" s="1095"/>
      <c r="M5284" s="1095"/>
    </row>
    <row r="5285" spans="1:13" x14ac:dyDescent="0.25">
      <c r="A5285">
        <v>5213821</v>
      </c>
      <c r="B5285" t="s">
        <v>12356</v>
      </c>
      <c r="C5285" t="s">
        <v>2640</v>
      </c>
      <c r="D5285" s="254">
        <v>81577.990000000005</v>
      </c>
      <c r="E5285"/>
      <c r="F5285"/>
      <c r="G5285"/>
      <c r="H5285"/>
      <c r="I5285" s="489"/>
      <c r="J5285" s="1095"/>
      <c r="K5285" s="1095"/>
      <c r="L5285" s="1095"/>
      <c r="M5285" s="1095"/>
    </row>
    <row r="5286" spans="1:13" x14ac:dyDescent="0.25">
      <c r="A5286">
        <v>5213630</v>
      </c>
      <c r="B5286" t="s">
        <v>12357</v>
      </c>
      <c r="C5286" t="s">
        <v>2640</v>
      </c>
      <c r="D5286" s="254">
        <v>40591.449999999997</v>
      </c>
      <c r="E5286"/>
      <c r="F5286"/>
      <c r="G5286"/>
      <c r="H5286"/>
      <c r="I5286" s="489"/>
      <c r="J5286" s="1095"/>
      <c r="K5286" s="1095"/>
      <c r="L5286" s="1095"/>
      <c r="M5286" s="1095"/>
    </row>
    <row r="5287" spans="1:13" x14ac:dyDescent="0.25">
      <c r="A5287">
        <v>5213584</v>
      </c>
      <c r="B5287" t="s">
        <v>12358</v>
      </c>
      <c r="C5287" t="s">
        <v>2640</v>
      </c>
      <c r="D5287" s="254">
        <v>40591.449999999997</v>
      </c>
      <c r="E5287"/>
      <c r="F5287"/>
      <c r="G5287"/>
      <c r="H5287"/>
      <c r="I5287" s="489"/>
      <c r="J5287" s="1095"/>
      <c r="K5287" s="1095"/>
      <c r="L5287" s="1095"/>
      <c r="M5287" s="1095"/>
    </row>
    <row r="5288" spans="1:13" x14ac:dyDescent="0.25">
      <c r="A5288">
        <v>5213711</v>
      </c>
      <c r="B5288" t="s">
        <v>12359</v>
      </c>
      <c r="C5288" t="s">
        <v>2640</v>
      </c>
      <c r="D5288" s="254">
        <v>45110.96</v>
      </c>
      <c r="E5288"/>
      <c r="F5288"/>
      <c r="G5288"/>
      <c r="H5288"/>
      <c r="I5288" s="489"/>
      <c r="J5288" s="1095"/>
      <c r="K5288" s="1095"/>
      <c r="L5288" s="1095"/>
      <c r="M5288" s="1095"/>
    </row>
    <row r="5289" spans="1:13" x14ac:dyDescent="0.25">
      <c r="A5289">
        <v>5213734</v>
      </c>
      <c r="B5289" t="s">
        <v>12360</v>
      </c>
      <c r="C5289" t="s">
        <v>2640</v>
      </c>
      <c r="D5289" s="254">
        <v>45110.96</v>
      </c>
      <c r="E5289"/>
      <c r="F5289"/>
      <c r="G5289"/>
      <c r="H5289"/>
      <c r="I5289" s="489"/>
      <c r="J5289" s="1095"/>
      <c r="K5289" s="1095"/>
      <c r="L5289" s="1095"/>
      <c r="M5289" s="1095"/>
    </row>
    <row r="5290" spans="1:13" x14ac:dyDescent="0.25">
      <c r="A5290">
        <v>5213769</v>
      </c>
      <c r="B5290" t="s">
        <v>12361</v>
      </c>
      <c r="C5290" t="s">
        <v>2640</v>
      </c>
      <c r="D5290" s="254">
        <v>49139.22</v>
      </c>
      <c r="E5290"/>
      <c r="F5290"/>
      <c r="G5290"/>
      <c r="H5290"/>
      <c r="I5290" s="489"/>
      <c r="J5290" s="1095"/>
      <c r="K5290" s="1095"/>
      <c r="L5290" s="1095"/>
      <c r="M5290" s="1095"/>
    </row>
    <row r="5291" spans="1:13" x14ac:dyDescent="0.25">
      <c r="A5291">
        <v>5213792</v>
      </c>
      <c r="B5291" t="s">
        <v>12362</v>
      </c>
      <c r="C5291" t="s">
        <v>2640</v>
      </c>
      <c r="D5291" s="254">
        <v>49139.22</v>
      </c>
      <c r="E5291"/>
      <c r="F5291"/>
      <c r="G5291"/>
      <c r="H5291"/>
      <c r="I5291" s="489"/>
      <c r="J5291" s="1095"/>
      <c r="K5291" s="1095"/>
      <c r="L5291" s="1095"/>
      <c r="M5291" s="1095"/>
    </row>
    <row r="5292" spans="1:13" x14ac:dyDescent="0.25">
      <c r="A5292">
        <v>5213844</v>
      </c>
      <c r="B5292" t="s">
        <v>12363</v>
      </c>
      <c r="C5292" t="s">
        <v>149</v>
      </c>
      <c r="D5292" s="254">
        <v>3.41</v>
      </c>
      <c r="E5292"/>
      <c r="F5292"/>
      <c r="G5292"/>
      <c r="H5292"/>
      <c r="I5292" s="489"/>
      <c r="J5292" s="1095"/>
      <c r="K5292" s="1095"/>
      <c r="L5292" s="1095"/>
      <c r="M5292" s="1095"/>
    </row>
    <row r="5293" spans="1:13" x14ac:dyDescent="0.25">
      <c r="A5293">
        <v>5213869</v>
      </c>
      <c r="B5293" t="s">
        <v>12364</v>
      </c>
      <c r="C5293" t="s">
        <v>2640</v>
      </c>
      <c r="D5293" s="254">
        <v>2355.98</v>
      </c>
      <c r="E5293"/>
      <c r="F5293"/>
      <c r="G5293"/>
      <c r="H5293"/>
      <c r="I5293" s="489"/>
      <c r="J5293" s="1095"/>
      <c r="K5293" s="1095"/>
      <c r="L5293" s="1095"/>
      <c r="M5293" s="1095"/>
    </row>
    <row r="5294" spans="1:13" x14ac:dyDescent="0.25">
      <c r="A5294">
        <v>5213870</v>
      </c>
      <c r="B5294" t="s">
        <v>12365</v>
      </c>
      <c r="C5294" t="s">
        <v>2640</v>
      </c>
      <c r="D5294" s="254">
        <v>3156.28</v>
      </c>
      <c r="E5294"/>
      <c r="F5294"/>
      <c r="G5294"/>
      <c r="H5294"/>
      <c r="I5294" s="489"/>
      <c r="J5294" s="1095"/>
      <c r="K5294" s="1095"/>
      <c r="L5294" s="1095"/>
      <c r="M5294" s="1095"/>
    </row>
    <row r="5295" spans="1:13" x14ac:dyDescent="0.25">
      <c r="A5295">
        <v>5213871</v>
      </c>
      <c r="B5295" t="s">
        <v>12366</v>
      </c>
      <c r="C5295" t="s">
        <v>2640</v>
      </c>
      <c r="D5295" s="254">
        <v>3248.58</v>
      </c>
      <c r="E5295"/>
      <c r="F5295"/>
      <c r="G5295"/>
      <c r="H5295"/>
      <c r="I5295" s="489"/>
      <c r="J5295" s="1095"/>
      <c r="K5295" s="1095"/>
      <c r="L5295" s="1095"/>
      <c r="M5295" s="1095"/>
    </row>
    <row r="5296" spans="1:13" x14ac:dyDescent="0.25">
      <c r="A5296">
        <v>5213872</v>
      </c>
      <c r="B5296" t="s">
        <v>12367</v>
      </c>
      <c r="C5296" t="s">
        <v>2640</v>
      </c>
      <c r="D5296" s="254">
        <v>5176.8</v>
      </c>
      <c r="E5296"/>
      <c r="F5296"/>
      <c r="G5296"/>
      <c r="H5296"/>
      <c r="I5296" s="489"/>
      <c r="J5296" s="1095"/>
      <c r="K5296" s="1095"/>
      <c r="L5296" s="1095"/>
      <c r="M5296" s="1095"/>
    </row>
    <row r="5297" spans="1:13" x14ac:dyDescent="0.25">
      <c r="A5297">
        <v>5213867</v>
      </c>
      <c r="B5297" t="s">
        <v>6368</v>
      </c>
      <c r="C5297" t="s">
        <v>2640</v>
      </c>
      <c r="D5297" s="254">
        <v>550.01</v>
      </c>
      <c r="E5297"/>
      <c r="F5297"/>
      <c r="G5297"/>
      <c r="H5297"/>
      <c r="I5297" s="489"/>
      <c r="J5297" s="1095"/>
      <c r="K5297" s="1095"/>
      <c r="L5297" s="1095"/>
      <c r="M5297" s="1095"/>
    </row>
    <row r="5298" spans="1:13" x14ac:dyDescent="0.25">
      <c r="A5298">
        <v>5213863</v>
      </c>
      <c r="B5298" t="s">
        <v>7157</v>
      </c>
      <c r="C5298" t="s">
        <v>2640</v>
      </c>
      <c r="D5298" s="254">
        <v>442.35</v>
      </c>
      <c r="E5298"/>
      <c r="F5298"/>
      <c r="G5298"/>
      <c r="H5298"/>
      <c r="I5298" s="489"/>
      <c r="J5298" s="1095"/>
      <c r="K5298" s="1095"/>
      <c r="L5298" s="1095"/>
      <c r="M5298" s="1095"/>
    </row>
    <row r="5299" spans="1:13" x14ac:dyDescent="0.25">
      <c r="A5299">
        <v>5213864</v>
      </c>
      <c r="B5299" t="s">
        <v>6748</v>
      </c>
      <c r="C5299" t="s">
        <v>2640</v>
      </c>
      <c r="D5299" s="254">
        <v>471.32</v>
      </c>
      <c r="E5299"/>
      <c r="F5299"/>
      <c r="G5299"/>
      <c r="H5299"/>
      <c r="I5299" s="489"/>
      <c r="J5299" s="1095"/>
      <c r="K5299" s="1095"/>
      <c r="L5299" s="1095"/>
      <c r="M5299" s="1095"/>
    </row>
    <row r="5300" spans="1:13" x14ac:dyDescent="0.25">
      <c r="A5300">
        <v>5213865</v>
      </c>
      <c r="B5300" t="s">
        <v>6364</v>
      </c>
      <c r="C5300" t="s">
        <v>2640</v>
      </c>
      <c r="D5300" s="254">
        <v>500.47</v>
      </c>
      <c r="E5300"/>
      <c r="F5300"/>
      <c r="G5300"/>
      <c r="H5300"/>
      <c r="I5300" s="489"/>
      <c r="J5300" s="1095"/>
      <c r="K5300" s="1095"/>
      <c r="L5300" s="1095"/>
      <c r="M5300" s="1095"/>
    </row>
    <row r="5301" spans="1:13" x14ac:dyDescent="0.25">
      <c r="A5301">
        <v>5213866</v>
      </c>
      <c r="B5301" t="s">
        <v>12368</v>
      </c>
      <c r="C5301" t="s">
        <v>2640</v>
      </c>
      <c r="D5301" s="254">
        <v>565.95000000000005</v>
      </c>
      <c r="E5301"/>
      <c r="F5301"/>
      <c r="G5301"/>
      <c r="H5301"/>
      <c r="I5301" s="489"/>
      <c r="J5301" s="1095"/>
      <c r="K5301" s="1095"/>
      <c r="L5301" s="1095"/>
      <c r="M5301" s="1095"/>
    </row>
    <row r="5302" spans="1:13" x14ac:dyDescent="0.25">
      <c r="A5302">
        <v>5213855</v>
      </c>
      <c r="B5302" t="s">
        <v>7158</v>
      </c>
      <c r="C5302" t="s">
        <v>2640</v>
      </c>
      <c r="D5302" s="254">
        <v>397.25</v>
      </c>
      <c r="E5302"/>
      <c r="F5302"/>
      <c r="G5302"/>
      <c r="H5302"/>
      <c r="I5302" s="489"/>
      <c r="J5302" s="1095"/>
      <c r="K5302" s="1095"/>
      <c r="L5302" s="1095"/>
      <c r="M5302" s="1095"/>
    </row>
    <row r="5303" spans="1:13" x14ac:dyDescent="0.25">
      <c r="A5303">
        <v>5213856</v>
      </c>
      <c r="B5303" t="s">
        <v>12369</v>
      </c>
      <c r="C5303" t="s">
        <v>2640</v>
      </c>
      <c r="D5303" s="254">
        <v>412.16</v>
      </c>
      <c r="E5303"/>
      <c r="F5303"/>
      <c r="G5303"/>
      <c r="H5303"/>
      <c r="I5303" s="489"/>
      <c r="J5303" s="1095"/>
      <c r="K5303" s="1095"/>
      <c r="L5303" s="1095"/>
      <c r="M5303" s="1095"/>
    </row>
    <row r="5304" spans="1:13" x14ac:dyDescent="0.25">
      <c r="A5304">
        <v>5213857</v>
      </c>
      <c r="B5304" t="s">
        <v>6365</v>
      </c>
      <c r="C5304" t="s">
        <v>2640</v>
      </c>
      <c r="D5304" s="254">
        <v>426.49</v>
      </c>
      <c r="E5304"/>
      <c r="F5304"/>
      <c r="G5304"/>
      <c r="H5304"/>
      <c r="I5304" s="489"/>
      <c r="J5304" s="1095"/>
      <c r="K5304" s="1095"/>
      <c r="L5304" s="1095"/>
      <c r="M5304" s="1095"/>
    </row>
    <row r="5305" spans="1:13" x14ac:dyDescent="0.25">
      <c r="A5305">
        <v>5213858</v>
      </c>
      <c r="B5305" t="s">
        <v>12370</v>
      </c>
      <c r="C5305" t="s">
        <v>2640</v>
      </c>
      <c r="D5305" s="254">
        <v>441.58</v>
      </c>
      <c r="E5305"/>
      <c r="F5305"/>
      <c r="G5305"/>
      <c r="H5305"/>
      <c r="I5305" s="489"/>
      <c r="J5305" s="1095"/>
      <c r="K5305" s="1095"/>
      <c r="L5305" s="1095"/>
      <c r="M5305" s="1095"/>
    </row>
    <row r="5306" spans="1:13" x14ac:dyDescent="0.25">
      <c r="A5306">
        <v>5213859</v>
      </c>
      <c r="B5306" t="s">
        <v>12371</v>
      </c>
      <c r="C5306" t="s">
        <v>2640</v>
      </c>
      <c r="D5306" s="254">
        <v>437.66</v>
      </c>
      <c r="E5306"/>
      <c r="F5306"/>
      <c r="G5306"/>
      <c r="H5306"/>
      <c r="I5306" s="489"/>
      <c r="J5306" s="1095"/>
      <c r="K5306" s="1095"/>
      <c r="L5306" s="1095"/>
      <c r="M5306" s="1095"/>
    </row>
    <row r="5307" spans="1:13" x14ac:dyDescent="0.25">
      <c r="A5307">
        <v>5213860</v>
      </c>
      <c r="B5307" t="s">
        <v>6747</v>
      </c>
      <c r="C5307" t="s">
        <v>2640</v>
      </c>
      <c r="D5307" s="254">
        <v>452.51</v>
      </c>
      <c r="E5307"/>
      <c r="F5307"/>
      <c r="G5307"/>
      <c r="H5307"/>
      <c r="I5307" s="489"/>
      <c r="J5307" s="1095"/>
      <c r="K5307" s="1095"/>
      <c r="L5307" s="1095"/>
      <c r="M5307" s="1095"/>
    </row>
    <row r="5308" spans="1:13" x14ac:dyDescent="0.25">
      <c r="A5308">
        <v>5213861</v>
      </c>
      <c r="B5308" t="s">
        <v>6366</v>
      </c>
      <c r="C5308" t="s">
        <v>2640</v>
      </c>
      <c r="D5308" s="254">
        <v>480.47</v>
      </c>
      <c r="E5308"/>
      <c r="F5308"/>
      <c r="G5308"/>
      <c r="H5308"/>
      <c r="I5308" s="489"/>
      <c r="J5308" s="1095"/>
      <c r="K5308" s="1095"/>
      <c r="L5308" s="1095"/>
      <c r="M5308" s="1095"/>
    </row>
    <row r="5309" spans="1:13" x14ac:dyDescent="0.25">
      <c r="A5309">
        <v>5213862</v>
      </c>
      <c r="B5309" t="s">
        <v>12372</v>
      </c>
      <c r="C5309" t="s">
        <v>2640</v>
      </c>
      <c r="D5309" s="254">
        <v>545.62</v>
      </c>
      <c r="E5309"/>
      <c r="F5309"/>
      <c r="G5309"/>
      <c r="H5309"/>
      <c r="I5309" s="489"/>
      <c r="J5309" s="1095"/>
      <c r="K5309" s="1095"/>
      <c r="L5309" s="1095"/>
      <c r="M5309" s="1095"/>
    </row>
    <row r="5310" spans="1:13" x14ac:dyDescent="0.25">
      <c r="A5310">
        <v>5213868</v>
      </c>
      <c r="B5310" t="s">
        <v>6367</v>
      </c>
      <c r="C5310" t="s">
        <v>2640</v>
      </c>
      <c r="D5310" s="254">
        <v>1087.5899999999999</v>
      </c>
      <c r="E5310"/>
      <c r="F5310"/>
      <c r="G5310"/>
      <c r="H5310"/>
      <c r="I5310" s="489"/>
      <c r="J5310" s="1095"/>
      <c r="K5310" s="1095"/>
      <c r="L5310" s="1095"/>
      <c r="M5310" s="1095"/>
    </row>
    <row r="5311" spans="1:13" x14ac:dyDescent="0.25">
      <c r="A5311">
        <v>5219546</v>
      </c>
      <c r="B5311" t="s">
        <v>12373</v>
      </c>
      <c r="C5311" t="s">
        <v>2640</v>
      </c>
      <c r="D5311" s="254">
        <v>330.2</v>
      </c>
      <c r="E5311"/>
      <c r="F5311"/>
      <c r="G5311"/>
      <c r="H5311"/>
      <c r="I5311" s="489"/>
      <c r="J5311" s="1095"/>
      <c r="K5311" s="1095"/>
      <c r="L5311" s="1095"/>
      <c r="M5311" s="1095"/>
    </row>
    <row r="5312" spans="1:13" x14ac:dyDescent="0.25">
      <c r="A5312">
        <v>5216111</v>
      </c>
      <c r="B5312" t="s">
        <v>12374</v>
      </c>
      <c r="C5312" t="s">
        <v>2640</v>
      </c>
      <c r="D5312" s="254">
        <v>97.52</v>
      </c>
      <c r="E5312"/>
      <c r="F5312"/>
      <c r="G5312"/>
      <c r="H5312"/>
      <c r="I5312" s="489"/>
      <c r="J5312" s="1095"/>
      <c r="K5312" s="1095"/>
      <c r="L5312" s="1095"/>
      <c r="M5312" s="1095"/>
    </row>
    <row r="5313" spans="1:13" x14ac:dyDescent="0.25">
      <c r="A5313">
        <v>5213351</v>
      </c>
      <c r="B5313" t="s">
        <v>12375</v>
      </c>
      <c r="C5313" t="s">
        <v>2640</v>
      </c>
      <c r="D5313" s="254">
        <v>655.56</v>
      </c>
      <c r="E5313"/>
      <c r="F5313"/>
      <c r="G5313"/>
      <c r="H5313"/>
      <c r="I5313" s="489"/>
      <c r="J5313" s="1095"/>
      <c r="K5313" s="1095"/>
      <c r="L5313" s="1095"/>
      <c r="M5313" s="1095"/>
    </row>
    <row r="5314" spans="1:13" x14ac:dyDescent="0.25">
      <c r="A5314">
        <v>5213350</v>
      </c>
      <c r="B5314" t="s">
        <v>12376</v>
      </c>
      <c r="C5314" t="s">
        <v>2640</v>
      </c>
      <c r="D5314" s="254">
        <v>1665.37</v>
      </c>
      <c r="E5314"/>
      <c r="F5314"/>
      <c r="G5314"/>
      <c r="H5314"/>
      <c r="I5314" s="489"/>
      <c r="J5314" s="1095"/>
      <c r="K5314" s="1095"/>
      <c r="L5314" s="1095"/>
      <c r="M5314" s="1095"/>
    </row>
    <row r="5315" spans="1:13" x14ac:dyDescent="0.25">
      <c r="A5315">
        <v>5213352</v>
      </c>
      <c r="B5315" t="s">
        <v>12377</v>
      </c>
      <c r="C5315" t="s">
        <v>2640</v>
      </c>
      <c r="D5315" s="254">
        <v>896.61</v>
      </c>
      <c r="E5315"/>
      <c r="F5315"/>
      <c r="G5315"/>
      <c r="H5315"/>
      <c r="I5315" s="489"/>
      <c r="J5315" s="1095"/>
      <c r="K5315" s="1095"/>
      <c r="L5315" s="1095"/>
      <c r="M5315" s="1095"/>
    </row>
    <row r="5316" spans="1:13" x14ac:dyDescent="0.25">
      <c r="A5316">
        <v>5213353</v>
      </c>
      <c r="B5316" t="s">
        <v>12378</v>
      </c>
      <c r="C5316" t="s">
        <v>2640</v>
      </c>
      <c r="D5316" s="254">
        <v>2393.5100000000002</v>
      </c>
      <c r="E5316"/>
      <c r="F5316"/>
      <c r="G5316"/>
      <c r="H5316"/>
      <c r="I5316" s="489"/>
      <c r="J5316" s="1095"/>
      <c r="K5316" s="1095"/>
      <c r="L5316" s="1095"/>
      <c r="M5316" s="1095"/>
    </row>
    <row r="5317" spans="1:13" x14ac:dyDescent="0.25">
      <c r="A5317">
        <v>5213360</v>
      </c>
      <c r="B5317" t="s">
        <v>12379</v>
      </c>
      <c r="C5317" t="s">
        <v>2640</v>
      </c>
      <c r="D5317" s="254">
        <v>24.97</v>
      </c>
      <c r="E5317"/>
      <c r="F5317"/>
      <c r="G5317"/>
      <c r="H5317"/>
      <c r="I5317" s="489"/>
      <c r="J5317" s="1095"/>
      <c r="K5317" s="1095"/>
      <c r="L5317" s="1095"/>
      <c r="M5317" s="1095"/>
    </row>
    <row r="5318" spans="1:13" x14ac:dyDescent="0.25">
      <c r="A5318">
        <v>5219605</v>
      </c>
      <c r="B5318" t="s">
        <v>12380</v>
      </c>
      <c r="C5318" t="s">
        <v>2640</v>
      </c>
      <c r="D5318" s="254">
        <v>23.66</v>
      </c>
      <c r="E5318"/>
      <c r="F5318"/>
      <c r="G5318"/>
      <c r="H5318"/>
      <c r="I5318" s="489"/>
      <c r="J5318" s="1095"/>
      <c r="K5318" s="1095"/>
      <c r="L5318" s="1095"/>
      <c r="M5318" s="1095"/>
    </row>
    <row r="5319" spans="1:13" x14ac:dyDescent="0.25">
      <c r="A5319">
        <v>5219606</v>
      </c>
      <c r="B5319" t="s">
        <v>12381</v>
      </c>
      <c r="C5319" t="s">
        <v>2640</v>
      </c>
      <c r="D5319" s="254">
        <v>35.229999999999997</v>
      </c>
      <c r="E5319"/>
      <c r="F5319"/>
      <c r="G5319"/>
      <c r="H5319"/>
      <c r="I5319" s="489"/>
      <c r="J5319" s="1095"/>
      <c r="K5319" s="1095"/>
      <c r="L5319" s="1095"/>
      <c r="M5319" s="1095"/>
    </row>
    <row r="5320" spans="1:13" x14ac:dyDescent="0.25">
      <c r="A5320">
        <v>5219607</v>
      </c>
      <c r="B5320" t="s">
        <v>12382</v>
      </c>
      <c r="C5320" t="s">
        <v>2640</v>
      </c>
      <c r="D5320" s="254">
        <v>30.22</v>
      </c>
      <c r="E5320"/>
      <c r="F5320"/>
      <c r="G5320"/>
      <c r="H5320"/>
      <c r="I5320" s="489"/>
      <c r="J5320" s="1095"/>
      <c r="K5320" s="1095"/>
      <c r="L5320" s="1095"/>
      <c r="M5320" s="1095"/>
    </row>
    <row r="5321" spans="1:13" x14ac:dyDescent="0.25">
      <c r="A5321">
        <v>5219608</v>
      </c>
      <c r="B5321" t="s">
        <v>12383</v>
      </c>
      <c r="C5321" t="s">
        <v>2640</v>
      </c>
      <c r="D5321" s="254">
        <v>35.79</v>
      </c>
      <c r="E5321"/>
      <c r="F5321"/>
      <c r="G5321"/>
      <c r="H5321"/>
      <c r="I5321" s="489"/>
      <c r="J5321" s="1095"/>
      <c r="K5321" s="1095"/>
      <c r="L5321" s="1095"/>
      <c r="M5321" s="1095"/>
    </row>
    <row r="5322" spans="1:13" x14ac:dyDescent="0.25">
      <c r="A5322">
        <v>5219609</v>
      </c>
      <c r="B5322" t="s">
        <v>12384</v>
      </c>
      <c r="C5322" t="s">
        <v>2640</v>
      </c>
      <c r="D5322" s="254">
        <v>30</v>
      </c>
      <c r="E5322"/>
      <c r="F5322"/>
      <c r="G5322"/>
      <c r="H5322"/>
      <c r="I5322" s="489"/>
      <c r="J5322" s="1095"/>
      <c r="K5322" s="1095"/>
      <c r="L5322" s="1095"/>
      <c r="M5322" s="1095"/>
    </row>
    <row r="5323" spans="1:13" x14ac:dyDescent="0.25">
      <c r="A5323">
        <v>5219610</v>
      </c>
      <c r="B5323" t="s">
        <v>12385</v>
      </c>
      <c r="C5323" t="s">
        <v>2640</v>
      </c>
      <c r="D5323" s="254">
        <v>35.64</v>
      </c>
      <c r="E5323"/>
      <c r="F5323"/>
      <c r="G5323"/>
      <c r="H5323"/>
      <c r="I5323" s="489"/>
      <c r="J5323" s="1095"/>
      <c r="K5323" s="1095"/>
      <c r="L5323" s="1095"/>
      <c r="M5323" s="1095"/>
    </row>
    <row r="5324" spans="1:13" x14ac:dyDescent="0.25">
      <c r="A5324">
        <v>5219611</v>
      </c>
      <c r="B5324" t="s">
        <v>12386</v>
      </c>
      <c r="C5324" t="s">
        <v>2640</v>
      </c>
      <c r="D5324" s="254">
        <v>33.299999999999997</v>
      </c>
      <c r="E5324"/>
      <c r="F5324"/>
      <c r="G5324"/>
      <c r="H5324"/>
      <c r="I5324" s="489"/>
      <c r="J5324" s="1095"/>
      <c r="K5324" s="1095"/>
      <c r="L5324" s="1095"/>
      <c r="M5324" s="1095"/>
    </row>
    <row r="5325" spans="1:13" x14ac:dyDescent="0.25">
      <c r="A5325">
        <v>5213359</v>
      </c>
      <c r="B5325" t="s">
        <v>12387</v>
      </c>
      <c r="C5325" t="s">
        <v>2640</v>
      </c>
      <c r="D5325" s="254">
        <v>22.53</v>
      </c>
      <c r="E5325"/>
      <c r="F5325"/>
      <c r="G5325"/>
      <c r="H5325"/>
      <c r="I5325" s="489"/>
      <c r="J5325" s="1095"/>
      <c r="K5325" s="1095"/>
      <c r="L5325" s="1095"/>
      <c r="M5325" s="1095"/>
    </row>
    <row r="5326" spans="1:13" x14ac:dyDescent="0.25">
      <c r="A5326">
        <v>5219612</v>
      </c>
      <c r="B5326" t="s">
        <v>12388</v>
      </c>
      <c r="C5326" t="s">
        <v>2640</v>
      </c>
      <c r="D5326" s="254">
        <v>20.43</v>
      </c>
      <c r="E5326"/>
      <c r="F5326"/>
      <c r="G5326"/>
      <c r="H5326"/>
      <c r="I5326" s="489"/>
      <c r="J5326" s="1095"/>
      <c r="K5326" s="1095"/>
      <c r="L5326" s="1095"/>
      <c r="M5326" s="1095"/>
    </row>
    <row r="5327" spans="1:13" x14ac:dyDescent="0.25">
      <c r="A5327">
        <v>5219613</v>
      </c>
      <c r="B5327" t="s">
        <v>12389</v>
      </c>
      <c r="C5327" t="s">
        <v>2640</v>
      </c>
      <c r="D5327" s="254">
        <v>29.84</v>
      </c>
      <c r="E5327"/>
      <c r="F5327"/>
      <c r="G5327"/>
      <c r="H5327"/>
      <c r="I5327" s="489"/>
      <c r="J5327" s="1095"/>
      <c r="K5327" s="1095"/>
      <c r="L5327" s="1095"/>
      <c r="M5327" s="1095"/>
    </row>
    <row r="5328" spans="1:13" x14ac:dyDescent="0.25">
      <c r="A5328">
        <v>5219614</v>
      </c>
      <c r="B5328" t="s">
        <v>12390</v>
      </c>
      <c r="C5328" t="s">
        <v>2640</v>
      </c>
      <c r="D5328" s="254">
        <v>27.2</v>
      </c>
      <c r="E5328"/>
      <c r="F5328"/>
      <c r="G5328"/>
      <c r="H5328"/>
      <c r="I5328" s="489"/>
      <c r="J5328" s="1095"/>
      <c r="K5328" s="1095"/>
      <c r="L5328" s="1095"/>
      <c r="M5328" s="1095"/>
    </row>
    <row r="5329" spans="1:13" x14ac:dyDescent="0.25">
      <c r="A5329">
        <v>5219615</v>
      </c>
      <c r="B5329" t="s">
        <v>12391</v>
      </c>
      <c r="C5329" t="s">
        <v>2640</v>
      </c>
      <c r="D5329" s="254">
        <v>30.98</v>
      </c>
      <c r="E5329"/>
      <c r="F5329"/>
      <c r="G5329"/>
      <c r="H5329"/>
      <c r="I5329" s="489"/>
      <c r="J5329" s="1095"/>
      <c r="K5329" s="1095"/>
      <c r="L5329" s="1095"/>
      <c r="M5329" s="1095"/>
    </row>
    <row r="5330" spans="1:13" x14ac:dyDescent="0.25">
      <c r="A5330">
        <v>5219616</v>
      </c>
      <c r="B5330" t="s">
        <v>12392</v>
      </c>
      <c r="C5330" t="s">
        <v>2640</v>
      </c>
      <c r="D5330" s="254">
        <v>27.68</v>
      </c>
      <c r="E5330"/>
      <c r="F5330"/>
      <c r="G5330"/>
      <c r="H5330"/>
      <c r="I5330" s="489"/>
      <c r="J5330" s="1095"/>
      <c r="K5330" s="1095"/>
      <c r="L5330" s="1095"/>
      <c r="M5330" s="1095"/>
    </row>
    <row r="5331" spans="1:13" x14ac:dyDescent="0.25">
      <c r="A5331">
        <v>5219617</v>
      </c>
      <c r="B5331" t="s">
        <v>12393</v>
      </c>
      <c r="C5331" t="s">
        <v>2640</v>
      </c>
      <c r="D5331" s="254">
        <v>40.36</v>
      </c>
      <c r="E5331"/>
      <c r="F5331"/>
      <c r="G5331"/>
      <c r="H5331"/>
      <c r="I5331" s="489"/>
      <c r="J5331" s="1095"/>
      <c r="K5331" s="1095"/>
      <c r="L5331" s="1095"/>
      <c r="M5331" s="1095"/>
    </row>
    <row r="5332" spans="1:13" x14ac:dyDescent="0.25">
      <c r="A5332">
        <v>5219618</v>
      </c>
      <c r="B5332" t="s">
        <v>12394</v>
      </c>
      <c r="C5332" t="s">
        <v>2640</v>
      </c>
      <c r="D5332" s="254">
        <v>29.22</v>
      </c>
      <c r="E5332"/>
      <c r="F5332"/>
      <c r="G5332"/>
      <c r="H5332"/>
      <c r="I5332" s="489"/>
      <c r="J5332" s="1095"/>
      <c r="K5332" s="1095"/>
      <c r="L5332" s="1095"/>
      <c r="M5332" s="1095"/>
    </row>
    <row r="5333" spans="1:13" x14ac:dyDescent="0.25">
      <c r="A5333">
        <v>5219619</v>
      </c>
      <c r="B5333" t="s">
        <v>12395</v>
      </c>
      <c r="C5333" t="s">
        <v>2640</v>
      </c>
      <c r="D5333" s="254">
        <v>41.82</v>
      </c>
      <c r="E5333"/>
      <c r="F5333"/>
      <c r="G5333"/>
      <c r="H5333"/>
      <c r="I5333" s="489"/>
      <c r="J5333" s="1095"/>
      <c r="K5333" s="1095"/>
      <c r="L5333" s="1095"/>
      <c r="M5333" s="1095"/>
    </row>
    <row r="5334" spans="1:13" x14ac:dyDescent="0.25">
      <c r="A5334">
        <v>5219620</v>
      </c>
      <c r="B5334" t="s">
        <v>12396</v>
      </c>
      <c r="C5334" t="s">
        <v>2640</v>
      </c>
      <c r="D5334" s="254">
        <v>39.61</v>
      </c>
      <c r="E5334"/>
      <c r="F5334"/>
      <c r="G5334"/>
      <c r="H5334"/>
      <c r="I5334" s="489"/>
      <c r="J5334" s="1095"/>
      <c r="K5334" s="1095"/>
      <c r="L5334" s="1095"/>
      <c r="M5334" s="1095"/>
    </row>
    <row r="5335" spans="1:13" x14ac:dyDescent="0.25">
      <c r="A5335">
        <v>5219621</v>
      </c>
      <c r="B5335" t="s">
        <v>12397</v>
      </c>
      <c r="C5335" t="s">
        <v>2640</v>
      </c>
      <c r="D5335" s="254">
        <v>48.93</v>
      </c>
      <c r="E5335"/>
      <c r="F5335"/>
      <c r="G5335"/>
      <c r="H5335"/>
      <c r="I5335" s="489"/>
      <c r="J5335" s="1095"/>
      <c r="K5335" s="1095"/>
      <c r="L5335" s="1095"/>
      <c r="M5335" s="1095"/>
    </row>
    <row r="5336" spans="1:13" x14ac:dyDescent="0.25">
      <c r="A5336">
        <v>5219622</v>
      </c>
      <c r="B5336" t="s">
        <v>12398</v>
      </c>
      <c r="C5336" t="s">
        <v>2640</v>
      </c>
      <c r="D5336" s="254">
        <v>46.63</v>
      </c>
      <c r="E5336"/>
      <c r="F5336"/>
      <c r="G5336"/>
      <c r="H5336"/>
      <c r="I5336" s="489"/>
      <c r="J5336" s="1095"/>
      <c r="K5336" s="1095"/>
      <c r="L5336" s="1095"/>
      <c r="M5336" s="1095"/>
    </row>
    <row r="5337" spans="1:13" x14ac:dyDescent="0.25">
      <c r="A5337">
        <v>5219623</v>
      </c>
      <c r="B5337" t="s">
        <v>12399</v>
      </c>
      <c r="C5337" t="s">
        <v>2640</v>
      </c>
      <c r="D5337" s="254">
        <v>53.2</v>
      </c>
      <c r="E5337"/>
      <c r="F5337"/>
      <c r="G5337"/>
      <c r="H5337"/>
      <c r="I5337" s="489"/>
      <c r="J5337" s="1095"/>
      <c r="K5337" s="1095"/>
      <c r="L5337" s="1095"/>
      <c r="M5337" s="1095"/>
    </row>
    <row r="5338" spans="1:13" x14ac:dyDescent="0.25">
      <c r="A5338">
        <v>5219624</v>
      </c>
      <c r="B5338" t="s">
        <v>12400</v>
      </c>
      <c r="C5338" t="s">
        <v>2640</v>
      </c>
      <c r="D5338" s="254">
        <v>50.75</v>
      </c>
      <c r="E5338"/>
      <c r="F5338"/>
      <c r="G5338"/>
      <c r="H5338"/>
      <c r="I5338" s="489"/>
      <c r="J5338" s="1095"/>
      <c r="K5338" s="1095"/>
      <c r="L5338" s="1095"/>
      <c r="M5338" s="1095"/>
    </row>
    <row r="5339" spans="1:13" x14ac:dyDescent="0.25">
      <c r="A5339">
        <v>5219625</v>
      </c>
      <c r="B5339" t="s">
        <v>12401</v>
      </c>
      <c r="C5339" t="s">
        <v>2640</v>
      </c>
      <c r="D5339" s="254">
        <v>41.31</v>
      </c>
      <c r="E5339"/>
      <c r="F5339"/>
      <c r="G5339"/>
      <c r="H5339"/>
      <c r="I5339" s="489"/>
      <c r="J5339" s="1095"/>
      <c r="K5339" s="1095"/>
      <c r="L5339" s="1095"/>
      <c r="M5339" s="1095"/>
    </row>
    <row r="5340" spans="1:13" x14ac:dyDescent="0.25">
      <c r="A5340">
        <v>5219626</v>
      </c>
      <c r="B5340" t="s">
        <v>12402</v>
      </c>
      <c r="C5340" t="s">
        <v>2640</v>
      </c>
      <c r="D5340" s="254">
        <v>69.3</v>
      </c>
      <c r="E5340"/>
      <c r="F5340"/>
      <c r="G5340"/>
      <c r="H5340"/>
      <c r="I5340" s="489"/>
      <c r="J5340" s="1095"/>
      <c r="K5340" s="1095"/>
      <c r="L5340" s="1095"/>
      <c r="M5340" s="1095"/>
    </row>
    <row r="5341" spans="1:13" x14ac:dyDescent="0.25">
      <c r="A5341">
        <v>5219627</v>
      </c>
      <c r="B5341" t="s">
        <v>12403</v>
      </c>
      <c r="C5341" t="s">
        <v>2640</v>
      </c>
      <c r="D5341" s="254">
        <v>41.82</v>
      </c>
      <c r="E5341"/>
      <c r="F5341"/>
      <c r="G5341"/>
      <c r="H5341"/>
      <c r="I5341" s="489"/>
      <c r="J5341" s="1095"/>
      <c r="K5341" s="1095"/>
      <c r="L5341" s="1095"/>
      <c r="M5341" s="1095"/>
    </row>
    <row r="5342" spans="1:13" x14ac:dyDescent="0.25">
      <c r="A5342">
        <v>5219628</v>
      </c>
      <c r="B5342" t="s">
        <v>12404</v>
      </c>
      <c r="C5342" t="s">
        <v>2640</v>
      </c>
      <c r="D5342" s="254">
        <v>39.47</v>
      </c>
      <c r="E5342"/>
      <c r="F5342"/>
      <c r="G5342"/>
      <c r="H5342"/>
      <c r="I5342" s="489"/>
      <c r="J5342" s="1095"/>
      <c r="K5342" s="1095"/>
      <c r="L5342" s="1095"/>
      <c r="M5342" s="1095"/>
    </row>
    <row r="5343" spans="1:13" x14ac:dyDescent="0.25">
      <c r="A5343">
        <v>5219629</v>
      </c>
      <c r="B5343" t="s">
        <v>12405</v>
      </c>
      <c r="C5343" t="s">
        <v>2640</v>
      </c>
      <c r="D5343" s="254">
        <v>48.93</v>
      </c>
      <c r="E5343"/>
      <c r="F5343"/>
      <c r="G5343"/>
      <c r="H5343"/>
      <c r="I5343" s="489"/>
      <c r="J5343" s="1095"/>
      <c r="K5343" s="1095"/>
      <c r="L5343" s="1095"/>
      <c r="M5343" s="1095"/>
    </row>
    <row r="5344" spans="1:13" x14ac:dyDescent="0.25">
      <c r="A5344">
        <v>5219630</v>
      </c>
      <c r="B5344" t="s">
        <v>12406</v>
      </c>
      <c r="C5344" t="s">
        <v>2640</v>
      </c>
      <c r="D5344" s="254">
        <v>46.57</v>
      </c>
      <c r="E5344"/>
      <c r="F5344"/>
      <c r="G5344"/>
      <c r="H5344"/>
      <c r="I5344" s="489"/>
      <c r="J5344" s="1095"/>
      <c r="K5344" s="1095"/>
      <c r="L5344" s="1095"/>
      <c r="M5344" s="1095"/>
    </row>
    <row r="5345" spans="1:13" x14ac:dyDescent="0.25">
      <c r="A5345">
        <v>5219631</v>
      </c>
      <c r="B5345" t="s">
        <v>12407</v>
      </c>
      <c r="C5345" t="s">
        <v>2640</v>
      </c>
      <c r="D5345" s="254">
        <v>53.2</v>
      </c>
      <c r="E5345"/>
      <c r="F5345"/>
      <c r="G5345"/>
      <c r="H5345"/>
      <c r="I5345" s="489"/>
      <c r="J5345" s="1095"/>
      <c r="K5345" s="1095"/>
      <c r="L5345" s="1095"/>
      <c r="M5345" s="1095"/>
    </row>
    <row r="5346" spans="1:13" x14ac:dyDescent="0.25">
      <c r="A5346">
        <v>5219632</v>
      </c>
      <c r="B5346" t="s">
        <v>12408</v>
      </c>
      <c r="C5346" t="s">
        <v>2640</v>
      </c>
      <c r="D5346" s="254">
        <v>50.75</v>
      </c>
      <c r="E5346"/>
      <c r="F5346"/>
      <c r="G5346"/>
      <c r="H5346"/>
      <c r="I5346" s="489"/>
      <c r="J5346" s="1095"/>
      <c r="K5346" s="1095"/>
      <c r="L5346" s="1095"/>
      <c r="M5346" s="1095"/>
    </row>
    <row r="5347" spans="1:13" x14ac:dyDescent="0.25">
      <c r="A5347">
        <v>5219633</v>
      </c>
      <c r="B5347" t="s">
        <v>12409</v>
      </c>
      <c r="C5347" t="s">
        <v>2640</v>
      </c>
      <c r="D5347" s="254">
        <v>40.65</v>
      </c>
      <c r="E5347"/>
      <c r="F5347"/>
      <c r="G5347"/>
      <c r="H5347"/>
      <c r="I5347" s="489"/>
      <c r="J5347" s="1095"/>
      <c r="K5347" s="1095"/>
      <c r="L5347" s="1095"/>
      <c r="M5347" s="1095"/>
    </row>
    <row r="5348" spans="1:13" x14ac:dyDescent="0.25">
      <c r="A5348">
        <v>5219634</v>
      </c>
      <c r="B5348" t="s">
        <v>12410</v>
      </c>
      <c r="C5348" t="s">
        <v>2640</v>
      </c>
      <c r="D5348" s="254">
        <v>69.3</v>
      </c>
      <c r="E5348"/>
      <c r="F5348"/>
      <c r="G5348"/>
      <c r="H5348"/>
      <c r="I5348" s="489"/>
      <c r="J5348" s="1095"/>
      <c r="K5348" s="1095"/>
      <c r="L5348" s="1095"/>
      <c r="M5348" s="1095"/>
    </row>
    <row r="5349" spans="1:13" x14ac:dyDescent="0.25">
      <c r="A5349">
        <v>5213395</v>
      </c>
      <c r="B5349" t="s">
        <v>12411</v>
      </c>
      <c r="C5349" t="s">
        <v>2640</v>
      </c>
      <c r="D5349" s="254">
        <v>39.18</v>
      </c>
      <c r="E5349"/>
      <c r="F5349"/>
      <c r="G5349"/>
      <c r="H5349"/>
      <c r="I5349" s="489"/>
      <c r="J5349" s="1095"/>
      <c r="K5349" s="1095"/>
      <c r="L5349" s="1095"/>
      <c r="M5349" s="1095"/>
    </row>
    <row r="5350" spans="1:13" x14ac:dyDescent="0.25">
      <c r="A5350">
        <v>5213394</v>
      </c>
      <c r="B5350" t="s">
        <v>6363</v>
      </c>
      <c r="C5350" t="s">
        <v>2640</v>
      </c>
      <c r="D5350" s="254">
        <v>34.659999999999997</v>
      </c>
      <c r="E5350"/>
      <c r="F5350"/>
      <c r="G5350"/>
      <c r="H5350"/>
      <c r="I5350" s="489"/>
      <c r="J5350" s="1095"/>
      <c r="K5350" s="1095"/>
      <c r="L5350" s="1095"/>
      <c r="M5350" s="1095"/>
    </row>
    <row r="5351" spans="1:13" x14ac:dyDescent="0.25">
      <c r="A5351">
        <v>5219635</v>
      </c>
      <c r="B5351" t="s">
        <v>12412</v>
      </c>
      <c r="C5351" t="s">
        <v>2640</v>
      </c>
      <c r="D5351" s="254">
        <v>34.200000000000003</v>
      </c>
      <c r="E5351"/>
      <c r="F5351"/>
      <c r="G5351"/>
      <c r="H5351"/>
      <c r="I5351" s="489"/>
      <c r="J5351" s="1095"/>
      <c r="K5351" s="1095"/>
      <c r="L5351" s="1095"/>
      <c r="M5351" s="1095"/>
    </row>
    <row r="5352" spans="1:13" x14ac:dyDescent="0.25">
      <c r="A5352">
        <v>5219636</v>
      </c>
      <c r="B5352" t="s">
        <v>12413</v>
      </c>
      <c r="C5352" t="s">
        <v>2640</v>
      </c>
      <c r="D5352" s="254">
        <v>28.83</v>
      </c>
      <c r="E5352"/>
      <c r="F5352"/>
      <c r="G5352"/>
      <c r="H5352"/>
      <c r="I5352" s="489"/>
      <c r="J5352" s="1095"/>
      <c r="K5352" s="1095"/>
      <c r="L5352" s="1095"/>
      <c r="M5352" s="1095"/>
    </row>
    <row r="5353" spans="1:13" x14ac:dyDescent="0.25">
      <c r="A5353">
        <v>5219637</v>
      </c>
      <c r="B5353" t="s">
        <v>12414</v>
      </c>
      <c r="C5353" t="s">
        <v>2640</v>
      </c>
      <c r="D5353" s="254">
        <v>45.39</v>
      </c>
      <c r="E5353"/>
      <c r="F5353"/>
      <c r="G5353"/>
      <c r="H5353"/>
      <c r="I5353" s="489"/>
      <c r="J5353" s="1095"/>
      <c r="K5353" s="1095"/>
      <c r="L5353" s="1095"/>
      <c r="M5353" s="1095"/>
    </row>
    <row r="5354" spans="1:13" x14ac:dyDescent="0.25">
      <c r="A5354">
        <v>5219638</v>
      </c>
      <c r="B5354" t="s">
        <v>12415</v>
      </c>
      <c r="C5354" t="s">
        <v>2640</v>
      </c>
      <c r="D5354" s="254">
        <v>70.900000000000006</v>
      </c>
      <c r="E5354"/>
      <c r="F5354"/>
      <c r="G5354"/>
      <c r="H5354"/>
      <c r="I5354" s="489"/>
      <c r="J5354" s="1095"/>
      <c r="K5354" s="1095"/>
      <c r="L5354" s="1095"/>
      <c r="M5354" s="1095"/>
    </row>
    <row r="5355" spans="1:13" x14ac:dyDescent="0.25">
      <c r="A5355">
        <v>5213393</v>
      </c>
      <c r="B5355" t="s">
        <v>12416</v>
      </c>
      <c r="C5355" t="s">
        <v>2640</v>
      </c>
      <c r="D5355" s="254">
        <v>34.020000000000003</v>
      </c>
      <c r="E5355"/>
      <c r="F5355"/>
      <c r="G5355"/>
      <c r="H5355"/>
      <c r="I5355" s="489"/>
      <c r="J5355" s="1095"/>
      <c r="K5355" s="1095"/>
      <c r="L5355" s="1095"/>
      <c r="M5355" s="1095"/>
    </row>
    <row r="5356" spans="1:13" x14ac:dyDescent="0.25">
      <c r="A5356">
        <v>5213392</v>
      </c>
      <c r="B5356" t="s">
        <v>12417</v>
      </c>
      <c r="C5356" t="s">
        <v>2640</v>
      </c>
      <c r="D5356" s="254">
        <v>28.55</v>
      </c>
      <c r="E5356"/>
      <c r="F5356"/>
      <c r="G5356"/>
      <c r="H5356"/>
      <c r="I5356" s="489"/>
      <c r="J5356" s="1095"/>
      <c r="K5356" s="1095"/>
      <c r="L5356" s="1095"/>
      <c r="M5356" s="1095"/>
    </row>
    <row r="5357" spans="1:13" x14ac:dyDescent="0.25">
      <c r="A5357">
        <v>5219639</v>
      </c>
      <c r="B5357" t="s">
        <v>12418</v>
      </c>
      <c r="C5357" t="s">
        <v>2640</v>
      </c>
      <c r="D5357" s="254">
        <v>30.8</v>
      </c>
      <c r="E5357"/>
      <c r="F5357"/>
      <c r="G5357"/>
      <c r="H5357"/>
      <c r="I5357" s="489"/>
      <c r="J5357" s="1095"/>
      <c r="K5357" s="1095"/>
      <c r="L5357" s="1095"/>
      <c r="M5357" s="1095"/>
    </row>
    <row r="5358" spans="1:13" x14ac:dyDescent="0.25">
      <c r="A5358">
        <v>5219640</v>
      </c>
      <c r="B5358" t="s">
        <v>12419</v>
      </c>
      <c r="C5358" t="s">
        <v>2640</v>
      </c>
      <c r="D5358" s="254">
        <v>25.91</v>
      </c>
      <c r="E5358"/>
      <c r="F5358"/>
      <c r="G5358"/>
      <c r="H5358"/>
      <c r="I5358" s="489"/>
      <c r="J5358" s="1095"/>
      <c r="K5358" s="1095"/>
      <c r="L5358" s="1095"/>
      <c r="M5358" s="1095"/>
    </row>
    <row r="5359" spans="1:13" x14ac:dyDescent="0.25">
      <c r="A5359">
        <v>5219641</v>
      </c>
      <c r="B5359" t="s">
        <v>12420</v>
      </c>
      <c r="C5359" t="s">
        <v>2640</v>
      </c>
      <c r="D5359" s="254">
        <v>42.09</v>
      </c>
      <c r="E5359"/>
      <c r="F5359"/>
      <c r="G5359"/>
      <c r="H5359"/>
      <c r="I5359" s="489"/>
      <c r="J5359" s="1095"/>
      <c r="K5359" s="1095"/>
      <c r="L5359" s="1095"/>
      <c r="M5359" s="1095"/>
    </row>
    <row r="5360" spans="1:13" x14ac:dyDescent="0.25">
      <c r="A5360">
        <v>5219642</v>
      </c>
      <c r="B5360" t="s">
        <v>12421</v>
      </c>
      <c r="C5360" t="s">
        <v>2640</v>
      </c>
      <c r="D5360" s="254">
        <v>62.17</v>
      </c>
      <c r="E5360"/>
      <c r="F5360"/>
      <c r="G5360"/>
      <c r="H5360"/>
      <c r="I5360" s="489"/>
      <c r="J5360" s="1095"/>
      <c r="K5360" s="1095"/>
      <c r="L5360" s="1095"/>
      <c r="M5360" s="1095"/>
    </row>
    <row r="5361" spans="1:13" x14ac:dyDescent="0.25">
      <c r="A5361">
        <v>5213362</v>
      </c>
      <c r="B5361" t="s">
        <v>6362</v>
      </c>
      <c r="C5361" t="s">
        <v>2640</v>
      </c>
      <c r="D5361" s="254">
        <v>91.37</v>
      </c>
      <c r="E5361"/>
      <c r="F5361"/>
      <c r="G5361"/>
      <c r="H5361"/>
      <c r="I5361" s="489"/>
      <c r="J5361" s="1095"/>
      <c r="K5361" s="1095"/>
      <c r="L5361" s="1095"/>
      <c r="M5361" s="1095"/>
    </row>
    <row r="5362" spans="1:13" x14ac:dyDescent="0.25">
      <c r="A5362">
        <v>5213361</v>
      </c>
      <c r="B5362" t="s">
        <v>12422</v>
      </c>
      <c r="C5362" t="s">
        <v>2640</v>
      </c>
      <c r="D5362" s="254">
        <v>89.91</v>
      </c>
      <c r="E5362"/>
      <c r="F5362"/>
      <c r="G5362"/>
      <c r="H5362"/>
      <c r="I5362" s="489"/>
      <c r="J5362" s="1095"/>
      <c r="K5362" s="1095"/>
      <c r="L5362" s="1095"/>
      <c r="M5362" s="1095"/>
    </row>
    <row r="5363" spans="1:13" x14ac:dyDescent="0.25">
      <c r="A5363">
        <v>5219643</v>
      </c>
      <c r="B5363" t="s">
        <v>12423</v>
      </c>
      <c r="C5363" t="s">
        <v>2640</v>
      </c>
      <c r="D5363" s="254">
        <v>74.86</v>
      </c>
      <c r="E5363"/>
      <c r="F5363"/>
      <c r="G5363"/>
      <c r="H5363"/>
      <c r="I5363" s="489"/>
      <c r="J5363" s="1095"/>
      <c r="K5363" s="1095"/>
      <c r="L5363" s="1095"/>
      <c r="M5363" s="1095"/>
    </row>
    <row r="5364" spans="1:13" x14ac:dyDescent="0.25">
      <c r="A5364">
        <v>5219644</v>
      </c>
      <c r="B5364" t="s">
        <v>12424</v>
      </c>
      <c r="C5364" t="s">
        <v>2640</v>
      </c>
      <c r="D5364" s="254">
        <v>72.900000000000006</v>
      </c>
      <c r="E5364"/>
      <c r="F5364"/>
      <c r="G5364"/>
      <c r="H5364"/>
      <c r="I5364" s="489"/>
      <c r="J5364" s="1095"/>
      <c r="K5364" s="1095"/>
      <c r="L5364" s="1095"/>
      <c r="M5364" s="1095"/>
    </row>
    <row r="5365" spans="1:13" x14ac:dyDescent="0.25">
      <c r="A5365">
        <v>5214000</v>
      </c>
      <c r="B5365" t="s">
        <v>12425</v>
      </c>
      <c r="C5365" t="s">
        <v>2595</v>
      </c>
      <c r="D5365" s="254">
        <v>307.04000000000002</v>
      </c>
      <c r="E5365"/>
      <c r="F5365"/>
      <c r="G5365"/>
      <c r="H5365"/>
      <c r="I5365" s="489"/>
      <c r="J5365" s="1095"/>
      <c r="K5365" s="1095"/>
      <c r="L5365" s="1095"/>
      <c r="M5365" s="1095"/>
    </row>
    <row r="5366" spans="1:13" x14ac:dyDescent="0.25">
      <c r="A5366">
        <v>5301014</v>
      </c>
      <c r="B5366" t="s">
        <v>12426</v>
      </c>
      <c r="C5366" t="s">
        <v>9248</v>
      </c>
      <c r="D5366" s="254">
        <v>150.79</v>
      </c>
      <c r="E5366"/>
      <c r="F5366"/>
      <c r="G5366"/>
      <c r="H5366"/>
      <c r="I5366" s="489"/>
      <c r="J5366" s="1095"/>
      <c r="K5366" s="1095"/>
      <c r="L5366" s="1095"/>
      <c r="M5366" s="1095"/>
    </row>
    <row r="5367" spans="1:13" x14ac:dyDescent="0.25">
      <c r="A5367">
        <v>5300995</v>
      </c>
      <c r="B5367" t="s">
        <v>12427</v>
      </c>
      <c r="C5367" t="s">
        <v>2640</v>
      </c>
      <c r="D5367" s="254">
        <v>3740.62</v>
      </c>
      <c r="E5367"/>
      <c r="F5367"/>
      <c r="G5367"/>
      <c r="H5367"/>
      <c r="I5367" s="489"/>
      <c r="J5367" s="1095"/>
      <c r="K5367" s="1095"/>
      <c r="L5367" s="1095"/>
      <c r="M5367" s="1095"/>
    </row>
    <row r="5368" spans="1:13" x14ac:dyDescent="0.25">
      <c r="A5368">
        <v>5300996</v>
      </c>
      <c r="B5368" t="s">
        <v>12428</v>
      </c>
      <c r="C5368" t="s">
        <v>2640</v>
      </c>
      <c r="D5368" s="254">
        <v>4784.32</v>
      </c>
      <c r="E5368"/>
      <c r="F5368"/>
      <c r="G5368"/>
      <c r="H5368"/>
      <c r="I5368" s="489"/>
      <c r="J5368" s="1095"/>
      <c r="K5368" s="1095"/>
      <c r="L5368" s="1095"/>
      <c r="M5368" s="1095"/>
    </row>
    <row r="5369" spans="1:13" x14ac:dyDescent="0.25">
      <c r="A5369">
        <v>5300998</v>
      </c>
      <c r="B5369" t="s">
        <v>12429</v>
      </c>
      <c r="C5369" t="s">
        <v>2640</v>
      </c>
      <c r="D5369" s="254">
        <v>9451.7999999999993</v>
      </c>
      <c r="E5369"/>
      <c r="F5369"/>
      <c r="G5369"/>
      <c r="H5369"/>
      <c r="I5369" s="489"/>
      <c r="J5369" s="1095"/>
      <c r="K5369" s="1095"/>
      <c r="L5369" s="1095"/>
      <c r="M5369" s="1095"/>
    </row>
    <row r="5370" spans="1:13" x14ac:dyDescent="0.25">
      <c r="A5370">
        <v>5300997</v>
      </c>
      <c r="B5370" t="s">
        <v>12430</v>
      </c>
      <c r="C5370" t="s">
        <v>2640</v>
      </c>
      <c r="D5370" s="254">
        <v>7911.89</v>
      </c>
      <c r="E5370"/>
      <c r="F5370"/>
      <c r="G5370"/>
      <c r="H5370"/>
      <c r="I5370" s="489"/>
      <c r="J5370" s="1095"/>
      <c r="K5370" s="1095"/>
      <c r="L5370" s="1095"/>
      <c r="M5370" s="1095"/>
    </row>
    <row r="5371" spans="1:13" x14ac:dyDescent="0.25">
      <c r="A5371">
        <v>5300999</v>
      </c>
      <c r="B5371" t="s">
        <v>12431</v>
      </c>
      <c r="C5371" t="s">
        <v>2640</v>
      </c>
      <c r="D5371" s="254">
        <v>878.72</v>
      </c>
      <c r="E5371"/>
      <c r="F5371"/>
      <c r="G5371"/>
      <c r="H5371"/>
      <c r="I5371" s="489"/>
      <c r="J5371" s="1095"/>
      <c r="K5371" s="1095"/>
      <c r="L5371" s="1095"/>
      <c r="M5371" s="1095"/>
    </row>
    <row r="5372" spans="1:13" x14ac:dyDescent="0.25">
      <c r="A5372">
        <v>5301000</v>
      </c>
      <c r="B5372" t="s">
        <v>12432</v>
      </c>
      <c r="C5372" t="s">
        <v>2640</v>
      </c>
      <c r="D5372" s="254">
        <v>1330.59</v>
      </c>
      <c r="E5372"/>
      <c r="F5372"/>
      <c r="G5372"/>
      <c r="H5372"/>
      <c r="I5372" s="489"/>
      <c r="J5372" s="1095"/>
      <c r="K5372" s="1095"/>
      <c r="L5372" s="1095"/>
      <c r="M5372" s="1095"/>
    </row>
    <row r="5373" spans="1:13" x14ac:dyDescent="0.25">
      <c r="A5373">
        <v>5301001</v>
      </c>
      <c r="B5373" t="s">
        <v>12433</v>
      </c>
      <c r="C5373" t="s">
        <v>2640</v>
      </c>
      <c r="D5373" s="254">
        <v>601.16</v>
      </c>
      <c r="E5373"/>
      <c r="F5373"/>
      <c r="G5373"/>
      <c r="H5373"/>
      <c r="I5373" s="489"/>
      <c r="J5373" s="1095"/>
      <c r="K5373" s="1095"/>
      <c r="L5373" s="1095"/>
      <c r="M5373" s="1095"/>
    </row>
    <row r="5374" spans="1:13" x14ac:dyDescent="0.25">
      <c r="A5374">
        <v>5301002</v>
      </c>
      <c r="B5374" t="s">
        <v>12434</v>
      </c>
      <c r="C5374" t="s">
        <v>2640</v>
      </c>
      <c r="D5374" s="254">
        <v>378.8</v>
      </c>
      <c r="E5374"/>
      <c r="F5374"/>
      <c r="G5374"/>
      <c r="H5374"/>
      <c r="I5374" s="489"/>
      <c r="J5374" s="1095"/>
      <c r="K5374" s="1095"/>
      <c r="L5374" s="1095"/>
      <c r="M5374" s="1095"/>
    </row>
    <row r="5375" spans="1:13" x14ac:dyDescent="0.25">
      <c r="A5375">
        <v>5301003</v>
      </c>
      <c r="B5375" t="s">
        <v>12435</v>
      </c>
      <c r="C5375" t="s">
        <v>2640</v>
      </c>
      <c r="D5375" s="254">
        <v>368.41</v>
      </c>
      <c r="E5375"/>
      <c r="F5375"/>
      <c r="G5375"/>
      <c r="H5375"/>
      <c r="I5375" s="489"/>
      <c r="J5375" s="1095"/>
      <c r="K5375" s="1095"/>
      <c r="L5375" s="1095"/>
      <c r="M5375" s="1095"/>
    </row>
    <row r="5376" spans="1:13" x14ac:dyDescent="0.25">
      <c r="A5376">
        <v>5301064</v>
      </c>
      <c r="B5376" t="s">
        <v>12436</v>
      </c>
      <c r="C5376" t="s">
        <v>2640</v>
      </c>
      <c r="D5376" s="254">
        <v>546.05999999999995</v>
      </c>
      <c r="E5376"/>
      <c r="F5376"/>
      <c r="G5376"/>
      <c r="H5376"/>
      <c r="I5376" s="489"/>
      <c r="J5376" s="1095"/>
      <c r="K5376" s="1095"/>
      <c r="L5376" s="1095"/>
      <c r="M5376" s="1095"/>
    </row>
    <row r="5377" spans="1:13" x14ac:dyDescent="0.25">
      <c r="A5377">
        <v>5301046</v>
      </c>
      <c r="B5377" t="s">
        <v>12437</v>
      </c>
      <c r="C5377" t="s">
        <v>2640</v>
      </c>
      <c r="D5377" s="254">
        <v>1150.42</v>
      </c>
      <c r="E5377"/>
      <c r="F5377"/>
      <c r="G5377"/>
      <c r="H5377"/>
      <c r="I5377" s="489"/>
      <c r="J5377" s="1095"/>
      <c r="K5377" s="1095"/>
      <c r="L5377" s="1095"/>
      <c r="M5377" s="1095"/>
    </row>
    <row r="5378" spans="1:13" x14ac:dyDescent="0.25">
      <c r="A5378">
        <v>5301065</v>
      </c>
      <c r="B5378" t="s">
        <v>12438</v>
      </c>
      <c r="C5378" t="s">
        <v>2640</v>
      </c>
      <c r="D5378" s="254">
        <v>993.67</v>
      </c>
      <c r="E5378"/>
      <c r="F5378"/>
      <c r="G5378"/>
      <c r="H5378"/>
      <c r="I5378" s="489"/>
      <c r="J5378" s="1095"/>
      <c r="K5378" s="1095"/>
      <c r="L5378" s="1095"/>
      <c r="M5378" s="1095"/>
    </row>
    <row r="5379" spans="1:13" x14ac:dyDescent="0.25">
      <c r="A5379">
        <v>5301047</v>
      </c>
      <c r="B5379" t="s">
        <v>12439</v>
      </c>
      <c r="C5379" t="s">
        <v>2640</v>
      </c>
      <c r="D5379" s="254">
        <v>1923.5</v>
      </c>
      <c r="E5379"/>
      <c r="F5379"/>
      <c r="G5379"/>
      <c r="H5379"/>
      <c r="I5379" s="489"/>
      <c r="J5379" s="1095"/>
      <c r="K5379" s="1095"/>
      <c r="L5379" s="1095"/>
      <c r="M5379" s="1095"/>
    </row>
    <row r="5380" spans="1:13" x14ac:dyDescent="0.25">
      <c r="A5380">
        <v>5301066</v>
      </c>
      <c r="B5380" t="s">
        <v>12440</v>
      </c>
      <c r="C5380" t="s">
        <v>2640</v>
      </c>
      <c r="D5380" s="254">
        <v>1115.79</v>
      </c>
      <c r="E5380"/>
      <c r="F5380"/>
      <c r="G5380"/>
      <c r="H5380"/>
      <c r="I5380" s="489"/>
      <c r="J5380" s="1095"/>
      <c r="K5380" s="1095"/>
      <c r="L5380" s="1095"/>
      <c r="M5380" s="1095"/>
    </row>
    <row r="5381" spans="1:13" x14ac:dyDescent="0.25">
      <c r="A5381">
        <v>5301048</v>
      </c>
      <c r="B5381" t="s">
        <v>12441</v>
      </c>
      <c r="C5381" t="s">
        <v>2640</v>
      </c>
      <c r="D5381" s="254">
        <v>2092.77</v>
      </c>
      <c r="E5381"/>
      <c r="F5381"/>
      <c r="G5381"/>
      <c r="H5381"/>
      <c r="I5381" s="489"/>
      <c r="J5381" s="1095"/>
      <c r="K5381" s="1095"/>
      <c r="L5381" s="1095"/>
      <c r="M5381" s="1095"/>
    </row>
    <row r="5382" spans="1:13" x14ac:dyDescent="0.25">
      <c r="A5382">
        <v>5301040</v>
      </c>
      <c r="B5382" t="s">
        <v>12442</v>
      </c>
      <c r="C5382" t="s">
        <v>2640</v>
      </c>
      <c r="D5382" s="254">
        <v>2202.66</v>
      </c>
      <c r="E5382"/>
      <c r="F5382"/>
      <c r="G5382"/>
      <c r="H5382"/>
      <c r="I5382" s="489"/>
      <c r="J5382" s="1095"/>
      <c r="K5382" s="1095"/>
      <c r="L5382" s="1095"/>
      <c r="M5382" s="1095"/>
    </row>
    <row r="5383" spans="1:13" x14ac:dyDescent="0.25">
      <c r="A5383">
        <v>5301058</v>
      </c>
      <c r="B5383" t="s">
        <v>12443</v>
      </c>
      <c r="C5383" t="s">
        <v>2640</v>
      </c>
      <c r="D5383" s="254">
        <v>1591.09</v>
      </c>
      <c r="E5383"/>
      <c r="F5383"/>
      <c r="G5383"/>
      <c r="H5383"/>
      <c r="I5383" s="489"/>
      <c r="J5383" s="1095"/>
      <c r="K5383" s="1095"/>
      <c r="L5383" s="1095"/>
      <c r="M5383" s="1095"/>
    </row>
    <row r="5384" spans="1:13" x14ac:dyDescent="0.25">
      <c r="A5384">
        <v>5301041</v>
      </c>
      <c r="B5384" t="s">
        <v>12444</v>
      </c>
      <c r="C5384" t="s">
        <v>2640</v>
      </c>
      <c r="D5384" s="254">
        <v>4781.33</v>
      </c>
      <c r="E5384"/>
      <c r="F5384"/>
      <c r="G5384"/>
      <c r="H5384"/>
      <c r="I5384" s="489"/>
      <c r="J5384" s="1095"/>
      <c r="K5384" s="1095"/>
      <c r="L5384" s="1095"/>
      <c r="M5384" s="1095"/>
    </row>
    <row r="5385" spans="1:13" x14ac:dyDescent="0.25">
      <c r="A5385">
        <v>5301059</v>
      </c>
      <c r="B5385" t="s">
        <v>12445</v>
      </c>
      <c r="C5385" t="s">
        <v>2640</v>
      </c>
      <c r="D5385" s="254">
        <v>3830.42</v>
      </c>
      <c r="E5385"/>
      <c r="F5385"/>
      <c r="G5385"/>
      <c r="H5385"/>
      <c r="I5385" s="489"/>
      <c r="J5385" s="1095"/>
      <c r="K5385" s="1095"/>
      <c r="L5385" s="1095"/>
      <c r="M5385" s="1095"/>
    </row>
    <row r="5386" spans="1:13" x14ac:dyDescent="0.25">
      <c r="A5386">
        <v>5301060</v>
      </c>
      <c r="B5386" t="s">
        <v>12446</v>
      </c>
      <c r="C5386" t="s">
        <v>2640</v>
      </c>
      <c r="D5386" s="254">
        <v>4234.8500000000004</v>
      </c>
      <c r="E5386"/>
      <c r="F5386"/>
      <c r="G5386"/>
      <c r="H5386"/>
      <c r="I5386" s="489"/>
      <c r="J5386" s="1095"/>
      <c r="K5386" s="1095"/>
      <c r="L5386" s="1095"/>
      <c r="M5386" s="1095"/>
    </row>
    <row r="5387" spans="1:13" x14ac:dyDescent="0.25">
      <c r="A5387">
        <v>5301042</v>
      </c>
      <c r="B5387" t="s">
        <v>12447</v>
      </c>
      <c r="C5387" t="s">
        <v>2640</v>
      </c>
      <c r="D5387" s="254">
        <v>5234.6899999999996</v>
      </c>
      <c r="E5387"/>
      <c r="F5387"/>
      <c r="G5387"/>
      <c r="H5387"/>
      <c r="I5387" s="489"/>
      <c r="J5387" s="1095"/>
      <c r="K5387" s="1095"/>
      <c r="L5387" s="1095"/>
      <c r="M5387" s="1095"/>
    </row>
    <row r="5388" spans="1:13" x14ac:dyDescent="0.25">
      <c r="A5388">
        <v>5301072</v>
      </c>
      <c r="B5388" t="s">
        <v>12448</v>
      </c>
      <c r="C5388" t="s">
        <v>2640</v>
      </c>
      <c r="D5388" s="254">
        <v>4741.07</v>
      </c>
      <c r="E5388"/>
      <c r="F5388"/>
      <c r="G5388"/>
      <c r="H5388"/>
      <c r="I5388" s="489"/>
      <c r="J5388" s="1095"/>
      <c r="K5388" s="1095"/>
      <c r="L5388" s="1095"/>
      <c r="M5388" s="1095"/>
    </row>
    <row r="5389" spans="1:13" x14ac:dyDescent="0.25">
      <c r="A5389">
        <v>5301054</v>
      </c>
      <c r="B5389" t="s">
        <v>12449</v>
      </c>
      <c r="C5389" t="s">
        <v>2640</v>
      </c>
      <c r="D5389" s="254">
        <v>5260.82</v>
      </c>
      <c r="E5389"/>
      <c r="F5389"/>
      <c r="G5389"/>
      <c r="H5389"/>
      <c r="I5389" s="489"/>
      <c r="J5389" s="1095"/>
      <c r="K5389" s="1095"/>
      <c r="L5389" s="1095"/>
      <c r="M5389" s="1095"/>
    </row>
    <row r="5390" spans="1:13" x14ac:dyDescent="0.25">
      <c r="A5390">
        <v>5301070</v>
      </c>
      <c r="B5390" t="s">
        <v>12450</v>
      </c>
      <c r="C5390" t="s">
        <v>2640</v>
      </c>
      <c r="D5390" s="254">
        <v>2104.4299999999998</v>
      </c>
      <c r="E5390"/>
      <c r="F5390"/>
      <c r="G5390"/>
      <c r="H5390"/>
      <c r="I5390" s="489"/>
      <c r="J5390" s="1095"/>
      <c r="K5390" s="1095"/>
      <c r="L5390" s="1095"/>
      <c r="M5390" s="1095"/>
    </row>
    <row r="5391" spans="1:13" x14ac:dyDescent="0.25">
      <c r="A5391">
        <v>5301052</v>
      </c>
      <c r="B5391" t="s">
        <v>12451</v>
      </c>
      <c r="C5391" t="s">
        <v>2640</v>
      </c>
      <c r="D5391" s="254">
        <v>2607.94</v>
      </c>
      <c r="E5391"/>
      <c r="F5391"/>
      <c r="G5391"/>
      <c r="H5391"/>
      <c r="I5391" s="489"/>
      <c r="J5391" s="1095"/>
      <c r="K5391" s="1095"/>
      <c r="L5391" s="1095"/>
      <c r="M5391" s="1095"/>
    </row>
    <row r="5392" spans="1:13" x14ac:dyDescent="0.25">
      <c r="A5392">
        <v>5301071</v>
      </c>
      <c r="B5392" t="s">
        <v>12452</v>
      </c>
      <c r="C5392" t="s">
        <v>2640</v>
      </c>
      <c r="D5392" s="254">
        <v>2820.62</v>
      </c>
      <c r="E5392"/>
      <c r="F5392"/>
      <c r="G5392"/>
      <c r="H5392"/>
      <c r="I5392" s="489"/>
      <c r="J5392" s="1095"/>
      <c r="K5392" s="1095"/>
      <c r="L5392" s="1095"/>
      <c r="M5392" s="1095"/>
    </row>
    <row r="5393" spans="1:13" x14ac:dyDescent="0.25">
      <c r="A5393">
        <v>5301053</v>
      </c>
      <c r="B5393" t="s">
        <v>12453</v>
      </c>
      <c r="C5393" t="s">
        <v>2640</v>
      </c>
      <c r="D5393" s="254">
        <v>3324.51</v>
      </c>
      <c r="E5393"/>
      <c r="F5393"/>
      <c r="G5393"/>
      <c r="H5393"/>
      <c r="I5393" s="489"/>
      <c r="J5393" s="1095"/>
      <c r="K5393" s="1095"/>
      <c r="L5393" s="1095"/>
      <c r="M5393" s="1095"/>
    </row>
    <row r="5394" spans="1:13" x14ac:dyDescent="0.25">
      <c r="A5394">
        <v>5301061</v>
      </c>
      <c r="B5394" t="s">
        <v>12454</v>
      </c>
      <c r="C5394" t="s">
        <v>2640</v>
      </c>
      <c r="D5394" s="254">
        <v>160.49</v>
      </c>
      <c r="E5394"/>
      <c r="F5394"/>
      <c r="G5394"/>
      <c r="H5394"/>
      <c r="I5394" s="489"/>
      <c r="J5394" s="1095"/>
      <c r="K5394" s="1095"/>
      <c r="L5394" s="1095"/>
      <c r="M5394" s="1095"/>
    </row>
    <row r="5395" spans="1:13" x14ac:dyDescent="0.25">
      <c r="A5395">
        <v>5301043</v>
      </c>
      <c r="B5395" t="s">
        <v>12455</v>
      </c>
      <c r="C5395" t="s">
        <v>2640</v>
      </c>
      <c r="D5395" s="254">
        <v>660.65</v>
      </c>
      <c r="E5395"/>
      <c r="F5395"/>
      <c r="G5395"/>
      <c r="H5395"/>
      <c r="I5395" s="489"/>
      <c r="J5395" s="1095"/>
      <c r="K5395" s="1095"/>
      <c r="L5395" s="1095"/>
      <c r="M5395" s="1095"/>
    </row>
    <row r="5396" spans="1:13" x14ac:dyDescent="0.25">
      <c r="A5396">
        <v>5301062</v>
      </c>
      <c r="B5396" t="s">
        <v>12456</v>
      </c>
      <c r="C5396" t="s">
        <v>2640</v>
      </c>
      <c r="D5396" s="254">
        <v>281.39</v>
      </c>
      <c r="E5396"/>
      <c r="F5396"/>
      <c r="G5396"/>
      <c r="H5396"/>
      <c r="I5396" s="489"/>
      <c r="J5396" s="1095"/>
      <c r="K5396" s="1095"/>
      <c r="L5396" s="1095"/>
      <c r="M5396" s="1095"/>
    </row>
    <row r="5397" spans="1:13" x14ac:dyDescent="0.25">
      <c r="A5397">
        <v>5301044</v>
      </c>
      <c r="B5397" t="s">
        <v>12457</v>
      </c>
      <c r="C5397" t="s">
        <v>2640</v>
      </c>
      <c r="D5397" s="254">
        <v>951.86</v>
      </c>
      <c r="E5397"/>
      <c r="F5397"/>
      <c r="G5397"/>
      <c r="H5397"/>
      <c r="I5397" s="489"/>
      <c r="J5397" s="1095"/>
      <c r="K5397" s="1095"/>
      <c r="L5397" s="1095"/>
      <c r="M5397" s="1095"/>
    </row>
    <row r="5398" spans="1:13" x14ac:dyDescent="0.25">
      <c r="A5398">
        <v>5301063</v>
      </c>
      <c r="B5398" t="s">
        <v>12458</v>
      </c>
      <c r="C5398" t="s">
        <v>2640</v>
      </c>
      <c r="D5398" s="254">
        <v>322.7</v>
      </c>
      <c r="E5398"/>
      <c r="F5398"/>
      <c r="G5398"/>
      <c r="H5398"/>
      <c r="I5398" s="489"/>
      <c r="J5398" s="1095"/>
      <c r="K5398" s="1095"/>
      <c r="L5398" s="1095"/>
      <c r="M5398" s="1095"/>
    </row>
    <row r="5399" spans="1:13" x14ac:dyDescent="0.25">
      <c r="A5399">
        <v>5301045</v>
      </c>
      <c r="B5399" t="s">
        <v>12459</v>
      </c>
      <c r="C5399" t="s">
        <v>2640</v>
      </c>
      <c r="D5399" s="254">
        <v>1024.0999999999999</v>
      </c>
      <c r="E5399"/>
      <c r="F5399"/>
      <c r="G5399"/>
      <c r="H5399"/>
      <c r="I5399" s="489"/>
      <c r="J5399" s="1095"/>
      <c r="K5399" s="1095"/>
      <c r="L5399" s="1095"/>
      <c r="M5399" s="1095"/>
    </row>
    <row r="5400" spans="1:13" x14ac:dyDescent="0.25">
      <c r="A5400">
        <v>5301037</v>
      </c>
      <c r="B5400" t="s">
        <v>12460</v>
      </c>
      <c r="C5400" t="s">
        <v>2640</v>
      </c>
      <c r="D5400" s="254">
        <v>1208.33</v>
      </c>
      <c r="E5400"/>
      <c r="F5400"/>
      <c r="G5400"/>
      <c r="H5400"/>
      <c r="I5400" s="489"/>
      <c r="J5400" s="1095"/>
      <c r="K5400" s="1095"/>
      <c r="L5400" s="1095"/>
      <c r="M5400" s="1095"/>
    </row>
    <row r="5401" spans="1:13" x14ac:dyDescent="0.25">
      <c r="A5401">
        <v>5301055</v>
      </c>
      <c r="B5401" t="s">
        <v>12461</v>
      </c>
      <c r="C5401" t="s">
        <v>2640</v>
      </c>
      <c r="D5401" s="254">
        <v>704.45</v>
      </c>
      <c r="E5401"/>
      <c r="F5401"/>
      <c r="G5401"/>
      <c r="H5401"/>
      <c r="I5401" s="489"/>
      <c r="J5401" s="1095"/>
      <c r="K5401" s="1095"/>
      <c r="L5401" s="1095"/>
      <c r="M5401" s="1095"/>
    </row>
    <row r="5402" spans="1:13" x14ac:dyDescent="0.25">
      <c r="A5402">
        <v>5301038</v>
      </c>
      <c r="B5402" t="s">
        <v>12462</v>
      </c>
      <c r="C5402" t="s">
        <v>2640</v>
      </c>
      <c r="D5402" s="254">
        <v>2391.7800000000002</v>
      </c>
      <c r="E5402"/>
      <c r="F5402"/>
      <c r="G5402"/>
      <c r="H5402"/>
      <c r="I5402" s="489"/>
      <c r="J5402" s="1095"/>
      <c r="K5402" s="1095"/>
      <c r="L5402" s="1095"/>
      <c r="M5402" s="1095"/>
    </row>
    <row r="5403" spans="1:13" x14ac:dyDescent="0.25">
      <c r="A5403">
        <v>5301056</v>
      </c>
      <c r="B5403" t="s">
        <v>12463</v>
      </c>
      <c r="C5403" t="s">
        <v>2640</v>
      </c>
      <c r="D5403" s="254">
        <v>1710.35</v>
      </c>
      <c r="E5403"/>
      <c r="F5403"/>
      <c r="G5403"/>
      <c r="H5403"/>
      <c r="I5403" s="489"/>
      <c r="J5403" s="1095"/>
      <c r="K5403" s="1095"/>
      <c r="L5403" s="1095"/>
      <c r="M5403" s="1095"/>
    </row>
    <row r="5404" spans="1:13" x14ac:dyDescent="0.25">
      <c r="A5404">
        <v>5301057</v>
      </c>
      <c r="B5404" t="s">
        <v>12464</v>
      </c>
      <c r="C5404" t="s">
        <v>2640</v>
      </c>
      <c r="D5404" s="254">
        <v>1891.19</v>
      </c>
      <c r="E5404"/>
      <c r="F5404"/>
      <c r="G5404"/>
      <c r="H5404"/>
      <c r="I5404" s="489"/>
      <c r="J5404" s="1095"/>
      <c r="K5404" s="1095"/>
      <c r="L5404" s="1095"/>
      <c r="M5404" s="1095"/>
    </row>
    <row r="5405" spans="1:13" x14ac:dyDescent="0.25">
      <c r="A5405">
        <v>5301039</v>
      </c>
      <c r="B5405" t="s">
        <v>12465</v>
      </c>
      <c r="C5405" t="s">
        <v>2640</v>
      </c>
      <c r="D5405" s="254">
        <v>2604.5100000000002</v>
      </c>
      <c r="E5405"/>
      <c r="F5405"/>
      <c r="G5405"/>
      <c r="H5405"/>
      <c r="I5405" s="489"/>
      <c r="J5405" s="1095"/>
      <c r="K5405" s="1095"/>
      <c r="L5405" s="1095"/>
      <c r="M5405" s="1095"/>
    </row>
    <row r="5406" spans="1:13" x14ac:dyDescent="0.25">
      <c r="A5406">
        <v>5301069</v>
      </c>
      <c r="B5406" t="s">
        <v>12466</v>
      </c>
      <c r="C5406" t="s">
        <v>2640</v>
      </c>
      <c r="D5406" s="254">
        <v>2129.0500000000002</v>
      </c>
      <c r="E5406"/>
      <c r="F5406"/>
      <c r="G5406"/>
      <c r="H5406"/>
      <c r="I5406" s="489"/>
      <c r="J5406" s="1095"/>
      <c r="K5406" s="1095"/>
      <c r="L5406" s="1095"/>
      <c r="M5406" s="1095"/>
    </row>
    <row r="5407" spans="1:13" x14ac:dyDescent="0.25">
      <c r="A5407">
        <v>5301051</v>
      </c>
      <c r="B5407" t="s">
        <v>12467</v>
      </c>
      <c r="C5407" t="s">
        <v>2640</v>
      </c>
      <c r="D5407" s="254">
        <v>2575.67</v>
      </c>
      <c r="E5407"/>
      <c r="F5407"/>
      <c r="G5407"/>
      <c r="H5407"/>
      <c r="I5407" s="489"/>
      <c r="J5407" s="1095"/>
      <c r="K5407" s="1095"/>
      <c r="L5407" s="1095"/>
      <c r="M5407" s="1095"/>
    </row>
    <row r="5408" spans="1:13" x14ac:dyDescent="0.25">
      <c r="A5408">
        <v>5301067</v>
      </c>
      <c r="B5408" t="s">
        <v>12468</v>
      </c>
      <c r="C5408" t="s">
        <v>2640</v>
      </c>
      <c r="D5408" s="254">
        <v>938.33</v>
      </c>
      <c r="E5408"/>
      <c r="F5408"/>
      <c r="G5408"/>
      <c r="H5408"/>
      <c r="I5408" s="489"/>
      <c r="J5408" s="1095"/>
      <c r="K5408" s="1095"/>
      <c r="L5408" s="1095"/>
      <c r="M5408" s="1095"/>
    </row>
    <row r="5409" spans="1:13" x14ac:dyDescent="0.25">
      <c r="A5409">
        <v>5301049</v>
      </c>
      <c r="B5409" t="s">
        <v>12469</v>
      </c>
      <c r="C5409" t="s">
        <v>2640</v>
      </c>
      <c r="D5409" s="254">
        <v>1384.08</v>
      </c>
      <c r="E5409"/>
      <c r="F5409"/>
      <c r="G5409"/>
      <c r="H5409"/>
      <c r="I5409" s="489"/>
      <c r="J5409" s="1095"/>
      <c r="K5409" s="1095"/>
      <c r="L5409" s="1095"/>
      <c r="M5409" s="1095"/>
    </row>
    <row r="5410" spans="1:13" x14ac:dyDescent="0.25">
      <c r="A5410">
        <v>5301068</v>
      </c>
      <c r="B5410" t="s">
        <v>12470</v>
      </c>
      <c r="C5410" t="s">
        <v>2640</v>
      </c>
      <c r="D5410" s="254">
        <v>1190.49</v>
      </c>
      <c r="E5410"/>
      <c r="F5410"/>
      <c r="G5410"/>
      <c r="H5410"/>
      <c r="I5410" s="489"/>
      <c r="J5410" s="1095"/>
      <c r="K5410" s="1095"/>
      <c r="L5410" s="1095"/>
      <c r="M5410" s="1095"/>
    </row>
    <row r="5411" spans="1:13" x14ac:dyDescent="0.25">
      <c r="A5411">
        <v>5301050</v>
      </c>
      <c r="B5411" t="s">
        <v>12471</v>
      </c>
      <c r="C5411" t="s">
        <v>2640</v>
      </c>
      <c r="D5411" s="254">
        <v>1636.43</v>
      </c>
      <c r="E5411"/>
      <c r="F5411"/>
      <c r="G5411"/>
      <c r="H5411"/>
      <c r="I5411" s="489"/>
      <c r="J5411" s="1095"/>
      <c r="K5411" s="1095"/>
      <c r="L5411" s="1095"/>
      <c r="M5411" s="1095"/>
    </row>
    <row r="5412" spans="1:13" x14ac:dyDescent="0.25">
      <c r="A5412">
        <v>5301022</v>
      </c>
      <c r="B5412" t="s">
        <v>12472</v>
      </c>
      <c r="C5412" t="s">
        <v>2640</v>
      </c>
      <c r="D5412" s="254">
        <v>902.01</v>
      </c>
      <c r="E5412"/>
      <c r="F5412"/>
      <c r="G5412"/>
      <c r="H5412"/>
      <c r="I5412" s="489"/>
      <c r="J5412" s="1095"/>
      <c r="K5412" s="1095"/>
      <c r="L5412" s="1095"/>
      <c r="M5412" s="1095"/>
    </row>
    <row r="5413" spans="1:13" x14ac:dyDescent="0.25">
      <c r="A5413">
        <v>5301021</v>
      </c>
      <c r="B5413" t="s">
        <v>12473</v>
      </c>
      <c r="C5413" t="s">
        <v>2640</v>
      </c>
      <c r="D5413" s="254">
        <v>689.19</v>
      </c>
      <c r="E5413"/>
      <c r="F5413"/>
      <c r="G5413"/>
      <c r="H5413"/>
      <c r="I5413" s="489"/>
      <c r="J5413" s="1095"/>
      <c r="K5413" s="1095"/>
      <c r="L5413" s="1095"/>
      <c r="M5413" s="1095"/>
    </row>
    <row r="5414" spans="1:13" x14ac:dyDescent="0.25">
      <c r="A5414">
        <v>5301020</v>
      </c>
      <c r="B5414" t="s">
        <v>12474</v>
      </c>
      <c r="C5414" t="s">
        <v>2598</v>
      </c>
      <c r="D5414" s="254">
        <v>445.08</v>
      </c>
      <c r="E5414"/>
      <c r="F5414"/>
      <c r="G5414"/>
      <c r="H5414"/>
      <c r="I5414" s="489"/>
      <c r="J5414" s="1095"/>
      <c r="K5414" s="1095"/>
      <c r="L5414" s="1095"/>
      <c r="M5414" s="1095"/>
    </row>
    <row r="5415" spans="1:13" x14ac:dyDescent="0.25">
      <c r="A5415">
        <v>5301018</v>
      </c>
      <c r="B5415" t="s">
        <v>12475</v>
      </c>
      <c r="C5415" t="s">
        <v>2598</v>
      </c>
      <c r="D5415" s="254">
        <v>99.13</v>
      </c>
      <c r="E5415"/>
      <c r="F5415"/>
      <c r="G5415"/>
      <c r="H5415"/>
      <c r="I5415" s="489"/>
      <c r="J5415" s="1095"/>
      <c r="K5415" s="1095"/>
      <c r="L5415" s="1095"/>
      <c r="M5415" s="1095"/>
    </row>
    <row r="5416" spans="1:13" x14ac:dyDescent="0.25">
      <c r="A5416">
        <v>5301019</v>
      </c>
      <c r="B5416" t="s">
        <v>12476</v>
      </c>
      <c r="C5416" t="s">
        <v>2598</v>
      </c>
      <c r="D5416" s="254">
        <v>285.49</v>
      </c>
      <c r="E5416"/>
      <c r="F5416"/>
      <c r="G5416"/>
      <c r="H5416"/>
      <c r="I5416" s="489"/>
      <c r="J5416" s="1095"/>
      <c r="K5416" s="1095"/>
      <c r="L5416" s="1095"/>
      <c r="M5416" s="1095"/>
    </row>
    <row r="5417" spans="1:13" x14ac:dyDescent="0.25">
      <c r="A5417">
        <v>5301077</v>
      </c>
      <c r="B5417" t="s">
        <v>12477</v>
      </c>
      <c r="C5417" t="s">
        <v>2640</v>
      </c>
      <c r="D5417" s="254">
        <v>4610.01</v>
      </c>
      <c r="E5417"/>
      <c r="F5417"/>
      <c r="G5417"/>
      <c r="H5417"/>
      <c r="I5417" s="489"/>
      <c r="J5417" s="1095"/>
      <c r="K5417" s="1095"/>
      <c r="L5417" s="1095"/>
      <c r="M5417" s="1095"/>
    </row>
    <row r="5418" spans="1:13" x14ac:dyDescent="0.25">
      <c r="A5418">
        <v>5301078</v>
      </c>
      <c r="B5418" t="s">
        <v>12478</v>
      </c>
      <c r="C5418" t="s">
        <v>2640</v>
      </c>
      <c r="D5418" s="254">
        <v>4992.71</v>
      </c>
      <c r="E5418"/>
      <c r="F5418"/>
      <c r="G5418"/>
      <c r="H5418"/>
      <c r="I5418" s="489"/>
      <c r="J5418" s="1095"/>
      <c r="K5418" s="1095"/>
      <c r="L5418" s="1095"/>
      <c r="M5418" s="1095"/>
    </row>
    <row r="5419" spans="1:13" x14ac:dyDescent="0.25">
      <c r="A5419">
        <v>5301079</v>
      </c>
      <c r="B5419" t="s">
        <v>12479</v>
      </c>
      <c r="C5419" t="s">
        <v>2640</v>
      </c>
      <c r="D5419" s="254">
        <v>7467.14</v>
      </c>
      <c r="E5419"/>
      <c r="F5419"/>
      <c r="G5419"/>
      <c r="H5419"/>
      <c r="I5419" s="489"/>
      <c r="J5419" s="1095"/>
      <c r="K5419" s="1095"/>
      <c r="L5419" s="1095"/>
      <c r="M5419" s="1095"/>
    </row>
    <row r="5420" spans="1:13" x14ac:dyDescent="0.25">
      <c r="A5420">
        <v>5301080</v>
      </c>
      <c r="B5420" t="s">
        <v>12480</v>
      </c>
      <c r="C5420" t="s">
        <v>2640</v>
      </c>
      <c r="D5420" s="254">
        <v>8897.15</v>
      </c>
      <c r="E5420"/>
      <c r="F5420"/>
      <c r="G5420"/>
      <c r="H5420"/>
      <c r="I5420" s="489"/>
      <c r="J5420" s="1095"/>
      <c r="K5420" s="1095"/>
      <c r="L5420" s="1095"/>
      <c r="M5420" s="1095"/>
    </row>
    <row r="5421" spans="1:13" x14ac:dyDescent="0.25">
      <c r="A5421">
        <v>5301081</v>
      </c>
      <c r="B5421" t="s">
        <v>12481</v>
      </c>
      <c r="C5421" t="s">
        <v>2640</v>
      </c>
      <c r="D5421" s="254">
        <v>9674.0300000000007</v>
      </c>
      <c r="E5421"/>
      <c r="F5421"/>
      <c r="G5421"/>
      <c r="H5421"/>
      <c r="I5421" s="489"/>
      <c r="J5421" s="1095"/>
      <c r="K5421" s="1095"/>
      <c r="L5421" s="1095"/>
      <c r="M5421" s="1095"/>
    </row>
    <row r="5422" spans="1:13" x14ac:dyDescent="0.25">
      <c r="A5422">
        <v>5301023</v>
      </c>
      <c r="B5422" t="s">
        <v>12482</v>
      </c>
      <c r="C5422" t="s">
        <v>2640</v>
      </c>
      <c r="D5422" s="254">
        <v>3520.39</v>
      </c>
      <c r="E5422"/>
      <c r="F5422"/>
      <c r="G5422"/>
      <c r="H5422"/>
      <c r="I5422" s="489"/>
      <c r="J5422" s="1095"/>
      <c r="K5422" s="1095"/>
      <c r="L5422" s="1095"/>
      <c r="M5422" s="1095"/>
    </row>
    <row r="5423" spans="1:13" x14ac:dyDescent="0.25">
      <c r="A5423">
        <v>5301024</v>
      </c>
      <c r="B5423" t="s">
        <v>12483</v>
      </c>
      <c r="C5423" t="s">
        <v>2640</v>
      </c>
      <c r="D5423" s="254">
        <v>3903.09</v>
      </c>
      <c r="E5423"/>
      <c r="F5423"/>
      <c r="G5423"/>
      <c r="H5423"/>
      <c r="I5423" s="489"/>
      <c r="J5423" s="1095"/>
      <c r="K5423" s="1095"/>
      <c r="L5423" s="1095"/>
      <c r="M5423" s="1095"/>
    </row>
    <row r="5424" spans="1:13" x14ac:dyDescent="0.25">
      <c r="A5424">
        <v>5301025</v>
      </c>
      <c r="B5424" t="s">
        <v>12484</v>
      </c>
      <c r="C5424" t="s">
        <v>2640</v>
      </c>
      <c r="D5424" s="254">
        <v>6377.52</v>
      </c>
      <c r="E5424"/>
      <c r="F5424"/>
      <c r="G5424"/>
      <c r="H5424"/>
      <c r="I5424" s="489"/>
      <c r="J5424" s="1095"/>
      <c r="K5424" s="1095"/>
      <c r="L5424" s="1095"/>
      <c r="M5424" s="1095"/>
    </row>
    <row r="5425" spans="1:13" x14ac:dyDescent="0.25">
      <c r="A5425">
        <v>5301026</v>
      </c>
      <c r="B5425" t="s">
        <v>12485</v>
      </c>
      <c r="C5425" t="s">
        <v>2640</v>
      </c>
      <c r="D5425" s="254">
        <v>7807.53</v>
      </c>
      <c r="E5425"/>
      <c r="F5425"/>
      <c r="G5425"/>
      <c r="H5425"/>
      <c r="I5425" s="489"/>
      <c r="J5425" s="1095"/>
      <c r="K5425" s="1095"/>
      <c r="L5425" s="1095"/>
      <c r="M5425" s="1095"/>
    </row>
    <row r="5426" spans="1:13" x14ac:dyDescent="0.25">
      <c r="A5426">
        <v>5301027</v>
      </c>
      <c r="B5426" t="s">
        <v>12486</v>
      </c>
      <c r="C5426" t="s">
        <v>2640</v>
      </c>
      <c r="D5426" s="254">
        <v>8584.41</v>
      </c>
      <c r="E5426"/>
      <c r="F5426"/>
      <c r="G5426"/>
      <c r="H5426"/>
      <c r="I5426" s="489"/>
      <c r="J5426" s="1095"/>
      <c r="K5426" s="1095"/>
      <c r="L5426" s="1095"/>
      <c r="M5426" s="1095"/>
    </row>
    <row r="5427" spans="1:13" x14ac:dyDescent="0.25">
      <c r="A5427">
        <v>5301028</v>
      </c>
      <c r="B5427" t="s">
        <v>12487</v>
      </c>
      <c r="C5427" t="s">
        <v>2640</v>
      </c>
      <c r="D5427" s="254">
        <v>3451.51</v>
      </c>
      <c r="E5427"/>
      <c r="F5427"/>
      <c r="G5427"/>
      <c r="H5427"/>
      <c r="I5427" s="489"/>
      <c r="J5427" s="1095"/>
      <c r="K5427" s="1095"/>
      <c r="L5427" s="1095"/>
      <c r="M5427" s="1095"/>
    </row>
    <row r="5428" spans="1:13" x14ac:dyDescent="0.25">
      <c r="A5428">
        <v>5301082</v>
      </c>
      <c r="B5428" t="s">
        <v>12488</v>
      </c>
      <c r="C5428" t="s">
        <v>2640</v>
      </c>
      <c r="D5428" s="254">
        <v>4495.4799999999996</v>
      </c>
      <c r="E5428"/>
      <c r="F5428"/>
      <c r="G5428"/>
      <c r="H5428"/>
      <c r="I5428" s="489"/>
      <c r="J5428" s="1095"/>
      <c r="K5428" s="1095"/>
      <c r="L5428" s="1095"/>
      <c r="M5428" s="1095"/>
    </row>
    <row r="5429" spans="1:13" x14ac:dyDescent="0.25">
      <c r="A5429">
        <v>5301029</v>
      </c>
      <c r="B5429" t="s">
        <v>12489</v>
      </c>
      <c r="C5429" t="s">
        <v>2640</v>
      </c>
      <c r="D5429" s="254">
        <v>3834.2</v>
      </c>
      <c r="E5429"/>
      <c r="F5429"/>
      <c r="G5429"/>
      <c r="H5429"/>
      <c r="I5429" s="489"/>
      <c r="J5429" s="1095"/>
      <c r="K5429" s="1095"/>
      <c r="L5429" s="1095"/>
      <c r="M5429" s="1095"/>
    </row>
    <row r="5430" spans="1:13" x14ac:dyDescent="0.25">
      <c r="A5430">
        <v>5301083</v>
      </c>
      <c r="B5430" t="s">
        <v>12490</v>
      </c>
      <c r="C5430" t="s">
        <v>2640</v>
      </c>
      <c r="D5430" s="254">
        <v>4878.17</v>
      </c>
      <c r="E5430"/>
      <c r="F5430"/>
      <c r="G5430"/>
      <c r="H5430"/>
      <c r="I5430" s="489"/>
      <c r="J5430" s="1095"/>
      <c r="K5430" s="1095"/>
      <c r="L5430" s="1095"/>
      <c r="M5430" s="1095"/>
    </row>
    <row r="5431" spans="1:13" x14ac:dyDescent="0.25">
      <c r="A5431">
        <v>5301030</v>
      </c>
      <c r="B5431" t="s">
        <v>12491</v>
      </c>
      <c r="C5431" t="s">
        <v>2640</v>
      </c>
      <c r="D5431" s="254">
        <v>6308.63</v>
      </c>
      <c r="E5431"/>
      <c r="F5431"/>
      <c r="G5431"/>
      <c r="H5431"/>
      <c r="I5431" s="489"/>
      <c r="J5431" s="1095"/>
      <c r="K5431" s="1095"/>
      <c r="L5431" s="1095"/>
      <c r="M5431" s="1095"/>
    </row>
    <row r="5432" spans="1:13" x14ac:dyDescent="0.25">
      <c r="A5432">
        <v>5301084</v>
      </c>
      <c r="B5432" t="s">
        <v>12492</v>
      </c>
      <c r="C5432" t="s">
        <v>2640</v>
      </c>
      <c r="D5432" s="254">
        <v>7352.61</v>
      </c>
      <c r="E5432"/>
      <c r="F5432"/>
      <c r="G5432"/>
      <c r="H5432"/>
      <c r="I5432" s="489"/>
      <c r="J5432" s="1095"/>
      <c r="K5432" s="1095"/>
      <c r="L5432" s="1095"/>
      <c r="M5432" s="1095"/>
    </row>
    <row r="5433" spans="1:13" x14ac:dyDescent="0.25">
      <c r="A5433">
        <v>5301031</v>
      </c>
      <c r="B5433" t="s">
        <v>12493</v>
      </c>
      <c r="C5433" t="s">
        <v>2640</v>
      </c>
      <c r="D5433" s="254">
        <v>7738.65</v>
      </c>
      <c r="E5433"/>
      <c r="F5433"/>
      <c r="G5433"/>
      <c r="H5433"/>
      <c r="I5433" s="489"/>
      <c r="J5433" s="1095"/>
      <c r="K5433" s="1095"/>
      <c r="L5433" s="1095"/>
      <c r="M5433" s="1095"/>
    </row>
    <row r="5434" spans="1:13" x14ac:dyDescent="0.25">
      <c r="A5434">
        <v>5301085</v>
      </c>
      <c r="B5434" t="s">
        <v>12494</v>
      </c>
      <c r="C5434" t="s">
        <v>2640</v>
      </c>
      <c r="D5434" s="254">
        <v>8782.6200000000008</v>
      </c>
      <c r="E5434"/>
      <c r="F5434"/>
      <c r="G5434"/>
      <c r="H5434"/>
      <c r="I5434" s="489"/>
      <c r="J5434" s="1095"/>
      <c r="K5434" s="1095"/>
      <c r="L5434" s="1095"/>
      <c r="M5434" s="1095"/>
    </row>
    <row r="5435" spans="1:13" x14ac:dyDescent="0.25">
      <c r="A5435">
        <v>5301032</v>
      </c>
      <c r="B5435" t="s">
        <v>12495</v>
      </c>
      <c r="C5435" t="s">
        <v>2640</v>
      </c>
      <c r="D5435" s="254">
        <v>8515.52</v>
      </c>
      <c r="E5435"/>
      <c r="F5435"/>
      <c r="G5435"/>
      <c r="H5435"/>
      <c r="I5435" s="489"/>
      <c r="J5435" s="1095"/>
      <c r="K5435" s="1095"/>
      <c r="L5435" s="1095"/>
      <c r="M5435" s="1095"/>
    </row>
    <row r="5436" spans="1:13" x14ac:dyDescent="0.25">
      <c r="A5436">
        <v>5301086</v>
      </c>
      <c r="B5436" t="s">
        <v>12496</v>
      </c>
      <c r="C5436" t="s">
        <v>2640</v>
      </c>
      <c r="D5436" s="254">
        <v>9559.5</v>
      </c>
      <c r="E5436"/>
      <c r="F5436"/>
      <c r="G5436"/>
      <c r="H5436"/>
      <c r="I5436" s="489"/>
      <c r="J5436" s="1095"/>
      <c r="K5436" s="1095"/>
      <c r="L5436" s="1095"/>
      <c r="M5436" s="1095"/>
    </row>
    <row r="5437" spans="1:13" x14ac:dyDescent="0.25">
      <c r="A5437">
        <v>5301033</v>
      </c>
      <c r="B5437" t="s">
        <v>12497</v>
      </c>
      <c r="C5437" t="s">
        <v>2640</v>
      </c>
      <c r="D5437" s="254">
        <v>75.349999999999994</v>
      </c>
      <c r="E5437"/>
      <c r="F5437"/>
      <c r="G5437"/>
      <c r="H5437"/>
      <c r="I5437" s="489"/>
      <c r="J5437" s="1095"/>
      <c r="K5437" s="1095"/>
      <c r="L5437" s="1095"/>
      <c r="M5437" s="1095"/>
    </row>
    <row r="5438" spans="1:13" x14ac:dyDescent="0.25">
      <c r="A5438">
        <v>5301034</v>
      </c>
      <c r="B5438" t="s">
        <v>12498</v>
      </c>
      <c r="C5438" t="s">
        <v>2640</v>
      </c>
      <c r="D5438" s="254">
        <v>552.41999999999996</v>
      </c>
      <c r="E5438"/>
      <c r="F5438"/>
      <c r="G5438"/>
      <c r="H5438"/>
      <c r="I5438" s="489"/>
      <c r="J5438" s="1095"/>
      <c r="K5438" s="1095"/>
      <c r="L5438" s="1095"/>
      <c r="M5438" s="1095"/>
    </row>
    <row r="5439" spans="1:13" x14ac:dyDescent="0.25">
      <c r="A5439">
        <v>5301073</v>
      </c>
      <c r="B5439" t="s">
        <v>12499</v>
      </c>
      <c r="C5439" t="s">
        <v>2640</v>
      </c>
      <c r="D5439" s="254">
        <v>484.15</v>
      </c>
      <c r="E5439"/>
      <c r="F5439"/>
      <c r="G5439"/>
      <c r="H5439"/>
      <c r="I5439" s="489"/>
      <c r="J5439" s="1095"/>
      <c r="K5439" s="1095"/>
      <c r="L5439" s="1095"/>
      <c r="M5439" s="1095"/>
    </row>
    <row r="5440" spans="1:13" x14ac:dyDescent="0.25">
      <c r="A5440">
        <v>5301074</v>
      </c>
      <c r="B5440" t="s">
        <v>12500</v>
      </c>
      <c r="C5440" t="s">
        <v>2640</v>
      </c>
      <c r="D5440" s="254">
        <v>1493.21</v>
      </c>
      <c r="E5440"/>
      <c r="F5440"/>
      <c r="G5440"/>
      <c r="H5440"/>
      <c r="I5440" s="489"/>
      <c r="J5440" s="1095"/>
      <c r="K5440" s="1095"/>
      <c r="L5440" s="1095"/>
      <c r="M5440" s="1095"/>
    </row>
    <row r="5441" spans="1:13" x14ac:dyDescent="0.25">
      <c r="A5441">
        <v>5301015</v>
      </c>
      <c r="B5441" t="s">
        <v>12501</v>
      </c>
      <c r="C5441" t="s">
        <v>2640</v>
      </c>
      <c r="D5441" s="254">
        <v>1100.4100000000001</v>
      </c>
      <c r="E5441"/>
      <c r="F5441"/>
      <c r="G5441"/>
      <c r="H5441"/>
      <c r="I5441" s="489"/>
      <c r="J5441" s="1095"/>
      <c r="K5441" s="1095"/>
      <c r="L5441" s="1095"/>
      <c r="M5441" s="1095"/>
    </row>
    <row r="5442" spans="1:13" x14ac:dyDescent="0.25">
      <c r="A5442">
        <v>5300992</v>
      </c>
      <c r="B5442" t="s">
        <v>12502</v>
      </c>
      <c r="C5442" t="s">
        <v>2595</v>
      </c>
      <c r="D5442" s="254">
        <v>13.43</v>
      </c>
      <c r="E5442"/>
      <c r="F5442"/>
      <c r="G5442"/>
      <c r="H5442"/>
      <c r="I5442" s="489"/>
      <c r="J5442" s="1095"/>
      <c r="K5442" s="1095"/>
      <c r="L5442" s="1095"/>
      <c r="M5442" s="1095"/>
    </row>
    <row r="5443" spans="1:13" x14ac:dyDescent="0.25">
      <c r="A5443">
        <v>5300994</v>
      </c>
      <c r="B5443" t="s">
        <v>12503</v>
      </c>
      <c r="C5443" t="s">
        <v>2595</v>
      </c>
      <c r="D5443" s="254">
        <v>12.92</v>
      </c>
      <c r="E5443"/>
      <c r="F5443"/>
      <c r="G5443"/>
      <c r="H5443"/>
      <c r="I5443" s="489"/>
      <c r="J5443" s="1095"/>
      <c r="K5443" s="1095"/>
      <c r="L5443" s="1095"/>
      <c r="M5443" s="1095"/>
    </row>
    <row r="5444" spans="1:13" x14ac:dyDescent="0.25">
      <c r="A5444">
        <v>5300993</v>
      </c>
      <c r="B5444" t="s">
        <v>13830</v>
      </c>
      <c r="C5444" t="s">
        <v>2595</v>
      </c>
      <c r="D5444" s="254">
        <v>9.0299999999999994</v>
      </c>
      <c r="E5444"/>
      <c r="F5444"/>
      <c r="G5444"/>
      <c r="H5444"/>
      <c r="I5444" s="489"/>
      <c r="J5444" s="1095"/>
      <c r="K5444" s="1095"/>
      <c r="L5444" s="1095"/>
      <c r="M5444" s="1095"/>
    </row>
    <row r="5445" spans="1:13" x14ac:dyDescent="0.25">
      <c r="A5445">
        <v>5301088</v>
      </c>
      <c r="B5445" t="s">
        <v>12504</v>
      </c>
      <c r="C5445" t="s">
        <v>2640</v>
      </c>
      <c r="D5445" s="254">
        <v>372</v>
      </c>
      <c r="E5445"/>
      <c r="F5445"/>
      <c r="G5445"/>
      <c r="H5445"/>
      <c r="I5445" s="489"/>
      <c r="J5445" s="1095"/>
      <c r="K5445" s="1095"/>
      <c r="L5445" s="1095"/>
      <c r="M5445" s="1095"/>
    </row>
    <row r="5446" spans="1:13" x14ac:dyDescent="0.25">
      <c r="A5446">
        <v>5301004</v>
      </c>
      <c r="B5446" t="s">
        <v>12505</v>
      </c>
      <c r="C5446" t="s">
        <v>2640</v>
      </c>
      <c r="D5446" s="254">
        <v>527.78</v>
      </c>
      <c r="E5446"/>
      <c r="F5446"/>
      <c r="G5446"/>
      <c r="H5446"/>
      <c r="I5446" s="489"/>
      <c r="J5446" s="1095"/>
      <c r="K5446" s="1095"/>
      <c r="L5446" s="1095"/>
      <c r="M5446" s="1095"/>
    </row>
    <row r="5447" spans="1:13" x14ac:dyDescent="0.25">
      <c r="A5447">
        <v>5301087</v>
      </c>
      <c r="B5447" t="s">
        <v>12506</v>
      </c>
      <c r="C5447" t="s">
        <v>2640</v>
      </c>
      <c r="D5447" s="254">
        <v>220.1</v>
      </c>
      <c r="E5447"/>
      <c r="F5447"/>
      <c r="G5447"/>
      <c r="H5447"/>
      <c r="I5447" s="489"/>
      <c r="J5447" s="1095"/>
      <c r="K5447" s="1095"/>
      <c r="L5447" s="1095"/>
      <c r="M5447" s="1095"/>
    </row>
    <row r="5448" spans="1:13" x14ac:dyDescent="0.25">
      <c r="A5448">
        <v>5301005</v>
      </c>
      <c r="B5448" t="s">
        <v>12507</v>
      </c>
      <c r="C5448" t="s">
        <v>2640</v>
      </c>
      <c r="D5448" s="254">
        <v>377.69</v>
      </c>
      <c r="E5448"/>
      <c r="F5448"/>
      <c r="G5448"/>
      <c r="H5448"/>
      <c r="I5448" s="489"/>
      <c r="J5448" s="1095"/>
      <c r="K5448" s="1095"/>
      <c r="L5448" s="1095"/>
      <c r="M5448" s="1095"/>
    </row>
    <row r="5449" spans="1:13" x14ac:dyDescent="0.25">
      <c r="A5449">
        <v>5301006</v>
      </c>
      <c r="B5449" t="s">
        <v>12508</v>
      </c>
      <c r="C5449" t="s">
        <v>2640</v>
      </c>
      <c r="D5449" s="254">
        <v>466.38</v>
      </c>
      <c r="E5449"/>
      <c r="F5449"/>
      <c r="G5449"/>
      <c r="H5449"/>
      <c r="I5449" s="489"/>
      <c r="J5449" s="1095"/>
      <c r="K5449" s="1095"/>
      <c r="L5449" s="1095"/>
      <c r="M5449" s="1095"/>
    </row>
    <row r="5450" spans="1:13" x14ac:dyDescent="0.25">
      <c r="A5450">
        <v>5301008</v>
      </c>
      <c r="B5450" t="s">
        <v>12509</v>
      </c>
      <c r="C5450" t="s">
        <v>2640</v>
      </c>
      <c r="D5450" s="254">
        <v>845.07</v>
      </c>
      <c r="E5450"/>
      <c r="F5450"/>
      <c r="G5450"/>
      <c r="H5450"/>
      <c r="I5450" s="489"/>
      <c r="J5450" s="1095"/>
      <c r="K5450" s="1095"/>
      <c r="L5450" s="1095"/>
      <c r="M5450" s="1095"/>
    </row>
    <row r="5451" spans="1:13" x14ac:dyDescent="0.25">
      <c r="A5451">
        <v>5301007</v>
      </c>
      <c r="B5451" t="s">
        <v>12510</v>
      </c>
      <c r="C5451" t="s">
        <v>2640</v>
      </c>
      <c r="D5451" s="254">
        <v>795.17</v>
      </c>
      <c r="E5451"/>
      <c r="F5451"/>
      <c r="G5451"/>
      <c r="H5451"/>
      <c r="I5451" s="489"/>
      <c r="J5451" s="1095"/>
      <c r="K5451" s="1095"/>
      <c r="L5451" s="1095"/>
      <c r="M5451" s="1095"/>
    </row>
    <row r="5452" spans="1:13" x14ac:dyDescent="0.25">
      <c r="A5452">
        <v>5301009</v>
      </c>
      <c r="B5452" t="s">
        <v>12511</v>
      </c>
      <c r="C5452" t="s">
        <v>2640</v>
      </c>
      <c r="D5452" s="254">
        <v>230.34</v>
      </c>
      <c r="E5452"/>
      <c r="F5452"/>
      <c r="G5452"/>
      <c r="H5452"/>
      <c r="I5452" s="489"/>
      <c r="J5452" s="1095"/>
      <c r="K5452" s="1095"/>
      <c r="L5452" s="1095"/>
      <c r="M5452" s="1095"/>
    </row>
    <row r="5453" spans="1:13" x14ac:dyDescent="0.25">
      <c r="A5453">
        <v>5301010</v>
      </c>
      <c r="B5453" t="s">
        <v>12512</v>
      </c>
      <c r="C5453" t="s">
        <v>2640</v>
      </c>
      <c r="D5453" s="254">
        <v>350.76</v>
      </c>
      <c r="E5453"/>
      <c r="F5453"/>
      <c r="G5453"/>
      <c r="H5453"/>
      <c r="I5453" s="489"/>
      <c r="J5453" s="1095"/>
      <c r="K5453" s="1095"/>
      <c r="L5453" s="1095"/>
      <c r="M5453" s="1095"/>
    </row>
    <row r="5454" spans="1:13" x14ac:dyDescent="0.25">
      <c r="A5454">
        <v>5301011</v>
      </c>
      <c r="B5454" t="s">
        <v>12513</v>
      </c>
      <c r="C5454" t="s">
        <v>2640</v>
      </c>
      <c r="D5454" s="254">
        <v>285.12</v>
      </c>
      <c r="E5454"/>
      <c r="F5454"/>
      <c r="G5454"/>
      <c r="H5454"/>
      <c r="I5454" s="489"/>
      <c r="J5454" s="1095"/>
      <c r="K5454" s="1095"/>
      <c r="L5454" s="1095"/>
      <c r="M5454" s="1095"/>
    </row>
    <row r="5455" spans="1:13" x14ac:dyDescent="0.25">
      <c r="A5455">
        <v>5301012</v>
      </c>
      <c r="B5455" t="s">
        <v>12514</v>
      </c>
      <c r="C5455" t="s">
        <v>2640</v>
      </c>
      <c r="D5455" s="254">
        <v>201.33</v>
      </c>
      <c r="E5455"/>
      <c r="F5455"/>
      <c r="G5455"/>
      <c r="H5455"/>
      <c r="I5455" s="489"/>
      <c r="J5455" s="1095"/>
      <c r="K5455" s="1095"/>
      <c r="L5455" s="1095"/>
      <c r="M5455" s="1095"/>
    </row>
    <row r="5456" spans="1:13" x14ac:dyDescent="0.25">
      <c r="A5456">
        <v>5301013</v>
      </c>
      <c r="B5456" t="s">
        <v>12515</v>
      </c>
      <c r="C5456" t="s">
        <v>2640</v>
      </c>
      <c r="D5456" s="254">
        <v>172.37</v>
      </c>
      <c r="E5456"/>
      <c r="F5456"/>
      <c r="G5456"/>
      <c r="H5456"/>
      <c r="I5456" s="489"/>
      <c r="J5456" s="1095"/>
      <c r="K5456" s="1095"/>
      <c r="L5456" s="1095"/>
      <c r="M5456" s="1095"/>
    </row>
    <row r="5457" spans="1:13" x14ac:dyDescent="0.25">
      <c r="A5457">
        <v>5301016</v>
      </c>
      <c r="B5457" t="s">
        <v>12516</v>
      </c>
      <c r="C5457" t="s">
        <v>2640</v>
      </c>
      <c r="D5457" s="254">
        <v>1802.89</v>
      </c>
      <c r="E5457"/>
      <c r="F5457"/>
      <c r="G5457"/>
      <c r="H5457"/>
      <c r="I5457" s="489"/>
      <c r="J5457" s="1095"/>
      <c r="K5457" s="1095"/>
      <c r="L5457" s="1095"/>
      <c r="M5457" s="1095"/>
    </row>
    <row r="5458" spans="1:13" x14ac:dyDescent="0.25">
      <c r="A5458">
        <v>5301017</v>
      </c>
      <c r="B5458" t="s">
        <v>12517</v>
      </c>
      <c r="C5458" t="s">
        <v>2640</v>
      </c>
      <c r="D5458" s="254">
        <v>1337.13</v>
      </c>
      <c r="E5458"/>
      <c r="F5458"/>
      <c r="G5458"/>
      <c r="H5458"/>
      <c r="I5458" s="489"/>
      <c r="J5458" s="1095"/>
      <c r="K5458" s="1095"/>
      <c r="L5458" s="1095"/>
      <c r="M5458" s="1095"/>
    </row>
    <row r="5459" spans="1:13" x14ac:dyDescent="0.25">
      <c r="A5459">
        <v>5301035</v>
      </c>
      <c r="B5459" t="s">
        <v>12518</v>
      </c>
      <c r="C5459" t="s">
        <v>2640</v>
      </c>
      <c r="D5459" s="254">
        <v>101.06</v>
      </c>
      <c r="E5459"/>
      <c r="F5459"/>
      <c r="G5459"/>
      <c r="H5459"/>
      <c r="I5459" s="489"/>
      <c r="J5459" s="1095"/>
      <c r="K5459" s="1095"/>
      <c r="L5459" s="1095"/>
      <c r="M5459" s="1095"/>
    </row>
    <row r="5460" spans="1:13" x14ac:dyDescent="0.25">
      <c r="A5460">
        <v>5301036</v>
      </c>
      <c r="B5460" t="s">
        <v>12519</v>
      </c>
      <c r="C5460" t="s">
        <v>2640</v>
      </c>
      <c r="D5460" s="254">
        <v>1104.8499999999999</v>
      </c>
      <c r="E5460"/>
      <c r="F5460"/>
      <c r="G5460"/>
      <c r="H5460"/>
      <c r="I5460" s="489"/>
      <c r="J5460" s="1095"/>
      <c r="K5460" s="1095"/>
      <c r="L5460" s="1095"/>
      <c r="M5460" s="1095"/>
    </row>
    <row r="5461" spans="1:13" x14ac:dyDescent="0.25">
      <c r="A5461">
        <v>5301075</v>
      </c>
      <c r="B5461" t="s">
        <v>12520</v>
      </c>
      <c r="C5461" t="s">
        <v>2640</v>
      </c>
      <c r="D5461" s="254">
        <v>555.15</v>
      </c>
      <c r="E5461"/>
      <c r="F5461"/>
      <c r="G5461"/>
      <c r="H5461"/>
      <c r="I5461" s="489"/>
      <c r="J5461" s="1095"/>
      <c r="K5461" s="1095"/>
      <c r="L5461" s="1095"/>
      <c r="M5461" s="1095"/>
    </row>
    <row r="5462" spans="1:13" x14ac:dyDescent="0.25">
      <c r="A5462">
        <v>5301076</v>
      </c>
      <c r="B5462" t="s">
        <v>12521</v>
      </c>
      <c r="C5462" t="s">
        <v>2640</v>
      </c>
      <c r="D5462" s="254">
        <v>1623.04</v>
      </c>
      <c r="E5462"/>
      <c r="F5462"/>
      <c r="G5462"/>
      <c r="H5462"/>
      <c r="I5462" s="489"/>
      <c r="J5462" s="1095"/>
      <c r="K5462" s="1095"/>
      <c r="L5462" s="1095"/>
      <c r="M5462" s="1095"/>
    </row>
    <row r="5463" spans="1:13" x14ac:dyDescent="0.25">
      <c r="A5463">
        <v>5405977</v>
      </c>
      <c r="B5463" t="s">
        <v>12522</v>
      </c>
      <c r="C5463" t="s">
        <v>2596</v>
      </c>
      <c r="D5463" s="254">
        <v>40.68</v>
      </c>
      <c r="E5463"/>
      <c r="F5463"/>
      <c r="G5463"/>
      <c r="H5463"/>
      <c r="I5463" s="489"/>
      <c r="J5463" s="1095"/>
      <c r="K5463" s="1095"/>
      <c r="L5463" s="1095"/>
      <c r="M5463" s="1095"/>
    </row>
    <row r="5464" spans="1:13" x14ac:dyDescent="0.25">
      <c r="A5464">
        <v>5406044</v>
      </c>
      <c r="B5464" t="s">
        <v>12523</v>
      </c>
      <c r="C5464" t="s">
        <v>2596</v>
      </c>
      <c r="D5464" s="254">
        <v>232.9</v>
      </c>
      <c r="E5464"/>
      <c r="F5464"/>
      <c r="G5464"/>
      <c r="H5464"/>
      <c r="I5464" s="489"/>
      <c r="J5464" s="1095"/>
      <c r="K5464" s="1095"/>
      <c r="L5464" s="1095"/>
      <c r="M5464" s="1095"/>
    </row>
    <row r="5465" spans="1:13" x14ac:dyDescent="0.25">
      <c r="A5465">
        <v>5406045</v>
      </c>
      <c r="B5465" t="s">
        <v>12524</v>
      </c>
      <c r="C5465" t="s">
        <v>2596</v>
      </c>
      <c r="D5465" s="254">
        <v>247.74</v>
      </c>
      <c r="E5465"/>
      <c r="F5465"/>
      <c r="G5465"/>
      <c r="H5465"/>
      <c r="I5465" s="489"/>
      <c r="J5465" s="1095"/>
      <c r="K5465" s="1095"/>
      <c r="L5465" s="1095"/>
      <c r="M5465" s="1095"/>
    </row>
    <row r="5466" spans="1:13" x14ac:dyDescent="0.25">
      <c r="A5466">
        <v>5406046</v>
      </c>
      <c r="B5466" t="s">
        <v>12525</v>
      </c>
      <c r="C5466" t="s">
        <v>2596</v>
      </c>
      <c r="D5466" s="254">
        <v>277.24</v>
      </c>
      <c r="E5466"/>
      <c r="F5466"/>
      <c r="G5466"/>
      <c r="H5466"/>
      <c r="I5466" s="489"/>
      <c r="J5466" s="1095"/>
      <c r="K5466" s="1095"/>
      <c r="L5466" s="1095"/>
      <c r="M5466" s="1095"/>
    </row>
    <row r="5467" spans="1:13" x14ac:dyDescent="0.25">
      <c r="A5467">
        <v>5406047</v>
      </c>
      <c r="B5467" t="s">
        <v>12526</v>
      </c>
      <c r="C5467" t="s">
        <v>2596</v>
      </c>
      <c r="D5467" s="254">
        <v>365.93</v>
      </c>
      <c r="E5467"/>
      <c r="F5467"/>
      <c r="G5467"/>
      <c r="H5467"/>
      <c r="I5467" s="489"/>
      <c r="J5467" s="1095"/>
      <c r="K5467" s="1095"/>
      <c r="L5467" s="1095"/>
      <c r="M5467" s="1095"/>
    </row>
    <row r="5468" spans="1:13" x14ac:dyDescent="0.25">
      <c r="A5468">
        <v>5405978</v>
      </c>
      <c r="B5468" t="s">
        <v>12527</v>
      </c>
      <c r="C5468" t="s">
        <v>2596</v>
      </c>
      <c r="D5468" s="254">
        <v>70.37</v>
      </c>
      <c r="E5468"/>
      <c r="F5468"/>
      <c r="G5468"/>
      <c r="H5468"/>
      <c r="I5468" s="489"/>
      <c r="J5468" s="1095"/>
      <c r="K5468" s="1095"/>
      <c r="L5468" s="1095"/>
      <c r="M5468" s="1095"/>
    </row>
    <row r="5469" spans="1:13" x14ac:dyDescent="0.25">
      <c r="A5469">
        <v>5405982</v>
      </c>
      <c r="B5469" t="s">
        <v>12528</v>
      </c>
      <c r="C5469" t="s">
        <v>2596</v>
      </c>
      <c r="D5469" s="254">
        <v>85.03</v>
      </c>
      <c r="E5469"/>
      <c r="F5469"/>
      <c r="G5469"/>
      <c r="H5469"/>
      <c r="I5469" s="489"/>
      <c r="J5469" s="1095"/>
      <c r="K5469" s="1095"/>
      <c r="L5469" s="1095"/>
      <c r="M5469" s="1095"/>
    </row>
    <row r="5470" spans="1:13" x14ac:dyDescent="0.25">
      <c r="A5470">
        <v>5405983</v>
      </c>
      <c r="B5470" t="s">
        <v>12529</v>
      </c>
      <c r="C5470" t="s">
        <v>2596</v>
      </c>
      <c r="D5470" s="254">
        <v>99.87</v>
      </c>
      <c r="E5470"/>
      <c r="F5470"/>
      <c r="G5470"/>
      <c r="H5470"/>
      <c r="I5470" s="489"/>
      <c r="J5470" s="1095"/>
      <c r="K5470" s="1095"/>
      <c r="L5470" s="1095"/>
      <c r="M5470" s="1095"/>
    </row>
    <row r="5471" spans="1:13" x14ac:dyDescent="0.25">
      <c r="A5471">
        <v>5405984</v>
      </c>
      <c r="B5471" t="s">
        <v>12530</v>
      </c>
      <c r="C5471" t="s">
        <v>2596</v>
      </c>
      <c r="D5471" s="254">
        <v>129.37</v>
      </c>
      <c r="E5471"/>
      <c r="F5471"/>
      <c r="G5471"/>
      <c r="H5471"/>
      <c r="I5471" s="489"/>
      <c r="J5471" s="1095"/>
      <c r="K5471" s="1095"/>
      <c r="L5471" s="1095"/>
      <c r="M5471" s="1095"/>
    </row>
    <row r="5472" spans="1:13" x14ac:dyDescent="0.25">
      <c r="A5472">
        <v>5405985</v>
      </c>
      <c r="B5472" t="s">
        <v>12531</v>
      </c>
      <c r="C5472" t="s">
        <v>2596</v>
      </c>
      <c r="D5472" s="254">
        <v>159.05000000000001</v>
      </c>
      <c r="E5472"/>
      <c r="F5472"/>
      <c r="G5472"/>
      <c r="H5472"/>
      <c r="I5472" s="489"/>
      <c r="J5472" s="1095"/>
      <c r="K5472" s="1095"/>
      <c r="L5472" s="1095"/>
      <c r="M5472" s="1095"/>
    </row>
    <row r="5473" spans="1:13" x14ac:dyDescent="0.25">
      <c r="A5473">
        <v>5406043</v>
      </c>
      <c r="B5473" t="s">
        <v>12532</v>
      </c>
      <c r="C5473" t="s">
        <v>2596</v>
      </c>
      <c r="D5473" s="254">
        <v>188.55</v>
      </c>
      <c r="E5473"/>
      <c r="F5473"/>
      <c r="G5473"/>
      <c r="H5473"/>
      <c r="I5473" s="489"/>
      <c r="J5473" s="1095"/>
      <c r="K5473" s="1095"/>
      <c r="L5473" s="1095"/>
      <c r="M5473" s="1095"/>
    </row>
    <row r="5474" spans="1:13" x14ac:dyDescent="0.25">
      <c r="A5474">
        <v>5405975</v>
      </c>
      <c r="B5474" t="s">
        <v>12533</v>
      </c>
      <c r="C5474" t="s">
        <v>2595</v>
      </c>
      <c r="D5474" s="254">
        <v>35.32</v>
      </c>
      <c r="E5474"/>
      <c r="F5474"/>
      <c r="G5474"/>
      <c r="H5474"/>
      <c r="I5474" s="489"/>
      <c r="J5474" s="1095"/>
      <c r="K5474" s="1095"/>
      <c r="L5474" s="1095"/>
      <c r="M5474" s="1095"/>
    </row>
    <row r="5475" spans="1:13" x14ac:dyDescent="0.25">
      <c r="A5475">
        <v>5405970</v>
      </c>
      <c r="B5475" t="s">
        <v>12534</v>
      </c>
      <c r="C5475" t="s">
        <v>2596</v>
      </c>
      <c r="D5475" s="254">
        <v>1553.09</v>
      </c>
      <c r="E5475"/>
      <c r="F5475"/>
      <c r="G5475"/>
      <c r="H5475"/>
      <c r="I5475" s="489"/>
      <c r="J5475" s="1095"/>
      <c r="K5475" s="1095"/>
      <c r="L5475" s="1095"/>
      <c r="M5475" s="1095"/>
    </row>
    <row r="5476" spans="1:13" x14ac:dyDescent="0.25">
      <c r="A5476">
        <v>5405972</v>
      </c>
      <c r="B5476" t="s">
        <v>12535</v>
      </c>
      <c r="C5476" t="s">
        <v>2596</v>
      </c>
      <c r="D5476" s="254">
        <v>1412.59</v>
      </c>
      <c r="E5476"/>
      <c r="F5476"/>
      <c r="G5476"/>
      <c r="H5476"/>
      <c r="I5476" s="489"/>
      <c r="J5476" s="1095"/>
      <c r="K5476" s="1095"/>
      <c r="L5476" s="1095"/>
      <c r="M5476" s="1095"/>
    </row>
    <row r="5477" spans="1:13" x14ac:dyDescent="0.25">
      <c r="A5477">
        <v>5405971</v>
      </c>
      <c r="B5477" t="s">
        <v>12536</v>
      </c>
      <c r="C5477" t="s">
        <v>2596</v>
      </c>
      <c r="D5477" s="254">
        <v>1710.73</v>
      </c>
      <c r="E5477"/>
      <c r="F5477"/>
      <c r="G5477"/>
      <c r="H5477"/>
      <c r="I5477" s="489"/>
      <c r="J5477" s="1095"/>
      <c r="K5477" s="1095"/>
      <c r="L5477" s="1095"/>
      <c r="M5477" s="1095"/>
    </row>
    <row r="5478" spans="1:13" x14ac:dyDescent="0.25">
      <c r="A5478">
        <v>5405973</v>
      </c>
      <c r="B5478" t="s">
        <v>12537</v>
      </c>
      <c r="C5478" t="s">
        <v>2596</v>
      </c>
      <c r="D5478" s="254">
        <v>1570.23</v>
      </c>
      <c r="E5478"/>
      <c r="F5478"/>
      <c r="G5478"/>
      <c r="H5478"/>
      <c r="I5478" s="489"/>
      <c r="J5478" s="1095"/>
      <c r="K5478" s="1095"/>
      <c r="L5478" s="1095"/>
      <c r="M5478" s="1095"/>
    </row>
    <row r="5479" spans="1:13" x14ac:dyDescent="0.25">
      <c r="A5479">
        <v>5405986</v>
      </c>
      <c r="B5479" t="s">
        <v>12538</v>
      </c>
      <c r="C5479" t="s">
        <v>2595</v>
      </c>
      <c r="D5479" s="254">
        <v>13.72</v>
      </c>
      <c r="E5479"/>
      <c r="F5479"/>
      <c r="G5479"/>
      <c r="H5479"/>
      <c r="I5479" s="489"/>
      <c r="J5479" s="1095"/>
      <c r="K5479" s="1095"/>
      <c r="L5479" s="1095"/>
      <c r="M5479" s="1095"/>
    </row>
    <row r="5480" spans="1:13" x14ac:dyDescent="0.25">
      <c r="A5480">
        <v>5405976</v>
      </c>
      <c r="B5480" t="s">
        <v>12539</v>
      </c>
      <c r="C5480" t="s">
        <v>2595</v>
      </c>
      <c r="D5480" s="254">
        <v>133.61000000000001</v>
      </c>
      <c r="E5480"/>
      <c r="F5480"/>
      <c r="G5480"/>
      <c r="H5480"/>
      <c r="I5480" s="489"/>
      <c r="J5480" s="1095"/>
      <c r="K5480" s="1095"/>
      <c r="L5480" s="1095"/>
      <c r="M5480" s="1095"/>
    </row>
    <row r="5481" spans="1:13" x14ac:dyDescent="0.25">
      <c r="A5481">
        <v>5406023</v>
      </c>
      <c r="B5481" t="s">
        <v>12540</v>
      </c>
      <c r="C5481" t="s">
        <v>2595</v>
      </c>
      <c r="D5481" s="254">
        <v>370.91</v>
      </c>
      <c r="E5481"/>
      <c r="F5481"/>
      <c r="G5481"/>
      <c r="H5481"/>
      <c r="I5481" s="489"/>
      <c r="J5481" s="1095"/>
      <c r="K5481" s="1095"/>
      <c r="L5481" s="1095"/>
      <c r="M5481" s="1095"/>
    </row>
    <row r="5482" spans="1:13" x14ac:dyDescent="0.25">
      <c r="A5482">
        <v>5406033</v>
      </c>
      <c r="B5482" t="s">
        <v>12541</v>
      </c>
      <c r="C5482" t="s">
        <v>2595</v>
      </c>
      <c r="D5482" s="254">
        <v>351.24</v>
      </c>
      <c r="E5482"/>
      <c r="F5482"/>
      <c r="G5482"/>
      <c r="H5482"/>
      <c r="I5482" s="489"/>
      <c r="J5482" s="1095"/>
      <c r="K5482" s="1095"/>
      <c r="L5482" s="1095"/>
      <c r="M5482" s="1095"/>
    </row>
    <row r="5483" spans="1:13" x14ac:dyDescent="0.25">
      <c r="A5483">
        <v>5406024</v>
      </c>
      <c r="B5483" t="s">
        <v>12542</v>
      </c>
      <c r="C5483" t="s">
        <v>2595</v>
      </c>
      <c r="D5483" s="254">
        <v>392.98</v>
      </c>
      <c r="E5483"/>
      <c r="F5483"/>
      <c r="G5483"/>
      <c r="H5483"/>
      <c r="I5483" s="489"/>
      <c r="J5483" s="1095"/>
      <c r="K5483" s="1095"/>
      <c r="L5483" s="1095"/>
      <c r="M5483" s="1095"/>
    </row>
    <row r="5484" spans="1:13" x14ac:dyDescent="0.25">
      <c r="A5484">
        <v>5406034</v>
      </c>
      <c r="B5484" t="s">
        <v>12543</v>
      </c>
      <c r="C5484" t="s">
        <v>2595</v>
      </c>
      <c r="D5484" s="254">
        <v>373.31</v>
      </c>
      <c r="E5484"/>
      <c r="F5484"/>
      <c r="G5484"/>
      <c r="H5484"/>
      <c r="I5484" s="489"/>
      <c r="J5484" s="1095"/>
      <c r="K5484" s="1095"/>
      <c r="L5484" s="1095"/>
      <c r="M5484" s="1095"/>
    </row>
    <row r="5485" spans="1:13" x14ac:dyDescent="0.25">
      <c r="A5485">
        <v>5406031</v>
      </c>
      <c r="B5485" t="s">
        <v>12544</v>
      </c>
      <c r="C5485" t="s">
        <v>2595</v>
      </c>
      <c r="D5485" s="254">
        <v>354.65</v>
      </c>
      <c r="E5485"/>
      <c r="F5485"/>
      <c r="G5485"/>
      <c r="H5485"/>
      <c r="I5485" s="489"/>
      <c r="J5485" s="1095"/>
      <c r="K5485" s="1095"/>
      <c r="L5485" s="1095"/>
      <c r="M5485" s="1095"/>
    </row>
    <row r="5486" spans="1:13" x14ac:dyDescent="0.25">
      <c r="A5486">
        <v>5406041</v>
      </c>
      <c r="B5486" t="s">
        <v>12545</v>
      </c>
      <c r="C5486" t="s">
        <v>2595</v>
      </c>
      <c r="D5486" s="254">
        <v>334.98</v>
      </c>
      <c r="E5486"/>
      <c r="F5486"/>
      <c r="G5486"/>
      <c r="H5486"/>
      <c r="I5486" s="489"/>
      <c r="J5486" s="1095"/>
      <c r="K5486" s="1095"/>
      <c r="L5486" s="1095"/>
      <c r="M5486" s="1095"/>
    </row>
    <row r="5487" spans="1:13" x14ac:dyDescent="0.25">
      <c r="A5487">
        <v>5406032</v>
      </c>
      <c r="B5487" t="s">
        <v>12546</v>
      </c>
      <c r="C5487" t="s">
        <v>2595</v>
      </c>
      <c r="D5487" s="254">
        <v>376.72</v>
      </c>
      <c r="E5487"/>
      <c r="F5487"/>
      <c r="G5487"/>
      <c r="H5487"/>
      <c r="I5487" s="489"/>
      <c r="J5487" s="1095"/>
      <c r="K5487" s="1095"/>
      <c r="L5487" s="1095"/>
      <c r="M5487" s="1095"/>
    </row>
    <row r="5488" spans="1:13" x14ac:dyDescent="0.25">
      <c r="A5488">
        <v>5406042</v>
      </c>
      <c r="B5488" t="s">
        <v>12547</v>
      </c>
      <c r="C5488" t="s">
        <v>2595</v>
      </c>
      <c r="D5488" s="254">
        <v>357.05</v>
      </c>
      <c r="E5488"/>
      <c r="F5488"/>
      <c r="G5488"/>
      <c r="H5488"/>
      <c r="I5488" s="489"/>
      <c r="J5488" s="1095"/>
      <c r="K5488" s="1095"/>
      <c r="L5488" s="1095"/>
      <c r="M5488" s="1095"/>
    </row>
    <row r="5489" spans="1:13" x14ac:dyDescent="0.25">
      <c r="A5489">
        <v>5406025</v>
      </c>
      <c r="B5489" t="s">
        <v>12548</v>
      </c>
      <c r="C5489" t="s">
        <v>2595</v>
      </c>
      <c r="D5489" s="254">
        <v>358.99</v>
      </c>
      <c r="E5489"/>
      <c r="F5489"/>
      <c r="G5489"/>
      <c r="H5489"/>
      <c r="I5489" s="489"/>
      <c r="J5489" s="1095"/>
      <c r="K5489" s="1095"/>
      <c r="L5489" s="1095"/>
      <c r="M5489" s="1095"/>
    </row>
    <row r="5490" spans="1:13" x14ac:dyDescent="0.25">
      <c r="A5490">
        <v>5406035</v>
      </c>
      <c r="B5490" t="s">
        <v>12549</v>
      </c>
      <c r="C5490" t="s">
        <v>2595</v>
      </c>
      <c r="D5490" s="254">
        <v>339.32</v>
      </c>
      <c r="E5490"/>
      <c r="F5490"/>
      <c r="G5490"/>
      <c r="H5490"/>
      <c r="I5490" s="489"/>
      <c r="J5490" s="1095"/>
      <c r="K5490" s="1095"/>
      <c r="L5490" s="1095"/>
      <c r="M5490" s="1095"/>
    </row>
    <row r="5491" spans="1:13" x14ac:dyDescent="0.25">
      <c r="A5491">
        <v>5406026</v>
      </c>
      <c r="B5491" t="s">
        <v>12550</v>
      </c>
      <c r="C5491" t="s">
        <v>2595</v>
      </c>
      <c r="D5491" s="254">
        <v>381.06</v>
      </c>
      <c r="E5491"/>
      <c r="F5491"/>
      <c r="G5491"/>
      <c r="H5491"/>
      <c r="I5491" s="489"/>
      <c r="J5491" s="1095"/>
      <c r="K5491" s="1095"/>
      <c r="L5491" s="1095"/>
      <c r="M5491" s="1095"/>
    </row>
    <row r="5492" spans="1:13" x14ac:dyDescent="0.25">
      <c r="A5492">
        <v>5406036</v>
      </c>
      <c r="B5492" t="s">
        <v>12551</v>
      </c>
      <c r="C5492" t="s">
        <v>2595</v>
      </c>
      <c r="D5492" s="254">
        <v>361.39</v>
      </c>
      <c r="E5492"/>
      <c r="F5492"/>
      <c r="G5492"/>
      <c r="H5492"/>
      <c r="I5492" s="489"/>
      <c r="J5492" s="1095"/>
      <c r="K5492" s="1095"/>
      <c r="L5492" s="1095"/>
      <c r="M5492" s="1095"/>
    </row>
    <row r="5493" spans="1:13" x14ac:dyDescent="0.25">
      <c r="A5493">
        <v>5406027</v>
      </c>
      <c r="B5493" t="s">
        <v>12552</v>
      </c>
      <c r="C5493" t="s">
        <v>2595</v>
      </c>
      <c r="D5493" s="254">
        <v>356.72</v>
      </c>
      <c r="E5493"/>
      <c r="F5493"/>
      <c r="G5493"/>
      <c r="H5493"/>
      <c r="I5493" s="489"/>
      <c r="J5493" s="1095"/>
      <c r="K5493" s="1095"/>
      <c r="L5493" s="1095"/>
      <c r="M5493" s="1095"/>
    </row>
    <row r="5494" spans="1:13" x14ac:dyDescent="0.25">
      <c r="A5494">
        <v>5406037</v>
      </c>
      <c r="B5494" t="s">
        <v>12553</v>
      </c>
      <c r="C5494" t="s">
        <v>2595</v>
      </c>
      <c r="D5494" s="254">
        <v>337.05</v>
      </c>
      <c r="E5494"/>
      <c r="F5494"/>
      <c r="G5494"/>
      <c r="H5494"/>
      <c r="I5494" s="489"/>
      <c r="J5494" s="1095"/>
      <c r="K5494" s="1095"/>
      <c r="L5494" s="1095"/>
      <c r="M5494" s="1095"/>
    </row>
    <row r="5495" spans="1:13" x14ac:dyDescent="0.25">
      <c r="A5495">
        <v>5406028</v>
      </c>
      <c r="B5495" t="s">
        <v>12554</v>
      </c>
      <c r="C5495" t="s">
        <v>2595</v>
      </c>
      <c r="D5495" s="254">
        <v>378.79</v>
      </c>
      <c r="E5495"/>
      <c r="F5495"/>
      <c r="G5495"/>
      <c r="H5495"/>
      <c r="I5495" s="489"/>
      <c r="J5495" s="1095"/>
      <c r="K5495" s="1095"/>
      <c r="L5495" s="1095"/>
      <c r="M5495" s="1095"/>
    </row>
    <row r="5496" spans="1:13" x14ac:dyDescent="0.25">
      <c r="A5496">
        <v>5406038</v>
      </c>
      <c r="B5496" t="s">
        <v>12555</v>
      </c>
      <c r="C5496" t="s">
        <v>2595</v>
      </c>
      <c r="D5496" s="254">
        <v>359.12</v>
      </c>
      <c r="E5496"/>
      <c r="F5496"/>
      <c r="G5496"/>
      <c r="H5496"/>
      <c r="I5496" s="489"/>
      <c r="J5496" s="1095"/>
      <c r="K5496" s="1095"/>
      <c r="L5496" s="1095"/>
      <c r="M5496" s="1095"/>
    </row>
    <row r="5497" spans="1:13" x14ac:dyDescent="0.25">
      <c r="A5497">
        <v>5406029</v>
      </c>
      <c r="B5497" t="s">
        <v>12556</v>
      </c>
      <c r="C5497" t="s">
        <v>2595</v>
      </c>
      <c r="D5497" s="254">
        <v>355.46</v>
      </c>
      <c r="E5497"/>
      <c r="F5497"/>
      <c r="G5497"/>
      <c r="H5497"/>
      <c r="I5497" s="489"/>
      <c r="J5497" s="1095"/>
      <c r="K5497" s="1095"/>
      <c r="L5497" s="1095"/>
      <c r="M5497" s="1095"/>
    </row>
    <row r="5498" spans="1:13" x14ac:dyDescent="0.25">
      <c r="A5498">
        <v>5406039</v>
      </c>
      <c r="B5498" t="s">
        <v>12557</v>
      </c>
      <c r="C5498" t="s">
        <v>2595</v>
      </c>
      <c r="D5498" s="254">
        <v>335.79</v>
      </c>
      <c r="E5498"/>
      <c r="F5498"/>
      <c r="G5498"/>
      <c r="H5498"/>
      <c r="I5498" s="489"/>
      <c r="J5498" s="1095"/>
      <c r="K5498" s="1095"/>
      <c r="L5498" s="1095"/>
      <c r="M5498" s="1095"/>
    </row>
    <row r="5499" spans="1:13" x14ac:dyDescent="0.25">
      <c r="A5499">
        <v>5406030</v>
      </c>
      <c r="B5499" t="s">
        <v>12558</v>
      </c>
      <c r="C5499" t="s">
        <v>2595</v>
      </c>
      <c r="D5499" s="254">
        <v>377.53</v>
      </c>
      <c r="E5499"/>
      <c r="F5499"/>
      <c r="G5499"/>
      <c r="H5499"/>
      <c r="I5499" s="489"/>
      <c r="J5499" s="1095"/>
      <c r="K5499" s="1095"/>
      <c r="L5499" s="1095"/>
      <c r="M5499" s="1095"/>
    </row>
    <row r="5500" spans="1:13" x14ac:dyDescent="0.25">
      <c r="A5500">
        <v>5406040</v>
      </c>
      <c r="B5500" t="s">
        <v>12559</v>
      </c>
      <c r="C5500" t="s">
        <v>2595</v>
      </c>
      <c r="D5500" s="254">
        <v>357.86</v>
      </c>
      <c r="E5500"/>
      <c r="F5500"/>
      <c r="G5500"/>
      <c r="H5500"/>
      <c r="I5500" s="489"/>
      <c r="J5500" s="1095"/>
      <c r="K5500" s="1095"/>
      <c r="L5500" s="1095"/>
      <c r="M5500" s="1095"/>
    </row>
    <row r="5501" spans="1:13" x14ac:dyDescent="0.25">
      <c r="A5501">
        <v>5405987</v>
      </c>
      <c r="B5501" t="s">
        <v>12560</v>
      </c>
      <c r="C5501" t="s">
        <v>2640</v>
      </c>
      <c r="D5501" s="254">
        <v>8.74</v>
      </c>
      <c r="E5501"/>
      <c r="F5501"/>
      <c r="G5501"/>
      <c r="H5501"/>
      <c r="I5501" s="489"/>
      <c r="J5501" s="1095"/>
      <c r="K5501" s="1095"/>
      <c r="L5501" s="1095"/>
      <c r="M5501" s="1095"/>
    </row>
    <row r="5502" spans="1:13" x14ac:dyDescent="0.25">
      <c r="A5502">
        <v>5405979</v>
      </c>
      <c r="B5502" t="s">
        <v>12561</v>
      </c>
      <c r="C5502" t="s">
        <v>2595</v>
      </c>
      <c r="D5502" s="254">
        <v>15.12</v>
      </c>
      <c r="E5502"/>
      <c r="F5502"/>
      <c r="G5502"/>
      <c r="H5502"/>
      <c r="I5502" s="489"/>
      <c r="J5502" s="1095"/>
      <c r="K5502" s="1095"/>
      <c r="L5502" s="1095"/>
      <c r="M5502" s="1095"/>
    </row>
    <row r="5503" spans="1:13" x14ac:dyDescent="0.25">
      <c r="A5503">
        <v>5502806</v>
      </c>
      <c r="B5503" t="s">
        <v>12562</v>
      </c>
      <c r="C5503" t="s">
        <v>2596</v>
      </c>
      <c r="D5503" s="254">
        <v>151.86000000000001</v>
      </c>
      <c r="E5503"/>
      <c r="F5503"/>
      <c r="G5503"/>
      <c r="H5503"/>
      <c r="I5503" s="489"/>
      <c r="J5503" s="1095"/>
      <c r="K5503" s="1095"/>
      <c r="L5503" s="1095"/>
      <c r="M5503" s="1095"/>
    </row>
    <row r="5504" spans="1:13" x14ac:dyDescent="0.25">
      <c r="A5504">
        <v>5502807</v>
      </c>
      <c r="B5504" t="s">
        <v>12563</v>
      </c>
      <c r="C5504" t="s">
        <v>2596</v>
      </c>
      <c r="D5504" s="254">
        <v>15.1</v>
      </c>
      <c r="E5504"/>
      <c r="F5504"/>
      <c r="G5504"/>
      <c r="H5504"/>
      <c r="I5504" s="489"/>
      <c r="J5504" s="1095"/>
      <c r="K5504" s="1095"/>
      <c r="L5504" s="1095"/>
      <c r="M5504" s="1095"/>
    </row>
    <row r="5505" spans="1:13" x14ac:dyDescent="0.25">
      <c r="A5505">
        <v>5503041</v>
      </c>
      <c r="B5505" t="s">
        <v>12564</v>
      </c>
      <c r="C5505" t="s">
        <v>2596</v>
      </c>
      <c r="D5505" s="254">
        <v>8.07</v>
      </c>
      <c r="E5505"/>
      <c r="F5505"/>
      <c r="G5505"/>
      <c r="H5505"/>
      <c r="I5505" s="489"/>
      <c r="J5505" s="1095"/>
      <c r="K5505" s="1095"/>
      <c r="L5505" s="1095"/>
      <c r="M5505" s="1095"/>
    </row>
    <row r="5506" spans="1:13" x14ac:dyDescent="0.25">
      <c r="A5506">
        <v>5502978</v>
      </c>
      <c r="B5506" t="s">
        <v>6352</v>
      </c>
      <c r="C5506" t="s">
        <v>2596</v>
      </c>
      <c r="D5506" s="254">
        <v>4.9400000000000004</v>
      </c>
      <c r="E5506"/>
      <c r="F5506"/>
      <c r="G5506"/>
      <c r="H5506"/>
      <c r="I5506" s="489"/>
      <c r="J5506" s="1095"/>
      <c r="K5506" s="1095"/>
      <c r="L5506" s="1095"/>
      <c r="M5506" s="1095"/>
    </row>
    <row r="5507" spans="1:13" x14ac:dyDescent="0.25">
      <c r="A5507">
        <v>5502822</v>
      </c>
      <c r="B5507" t="s">
        <v>6353</v>
      </c>
      <c r="C5507" t="s">
        <v>2596</v>
      </c>
      <c r="D5507" s="254">
        <v>39.68</v>
      </c>
      <c r="E5507"/>
      <c r="F5507"/>
      <c r="G5507"/>
      <c r="H5507"/>
      <c r="I5507" s="489"/>
      <c r="J5507" s="1095"/>
      <c r="K5507" s="1095"/>
      <c r="L5507" s="1095"/>
      <c r="M5507" s="1095"/>
    </row>
    <row r="5508" spans="1:13" x14ac:dyDescent="0.25">
      <c r="A5508">
        <v>5502979</v>
      </c>
      <c r="B5508" t="s">
        <v>4616</v>
      </c>
      <c r="C5508" t="s">
        <v>2596</v>
      </c>
      <c r="D5508" s="254">
        <v>17.690000000000001</v>
      </c>
      <c r="E5508"/>
      <c r="F5508"/>
      <c r="G5508"/>
      <c r="H5508"/>
      <c r="I5508" s="489"/>
      <c r="J5508" s="1095"/>
      <c r="K5508" s="1095"/>
      <c r="L5508" s="1095"/>
      <c r="M5508" s="1095"/>
    </row>
    <row r="5509" spans="1:13" x14ac:dyDescent="0.25">
      <c r="A5509">
        <v>5501700</v>
      </c>
      <c r="B5509" t="s">
        <v>6337</v>
      </c>
      <c r="C5509" t="s">
        <v>2595</v>
      </c>
      <c r="D5509" s="254">
        <v>0.56999999999999995</v>
      </c>
      <c r="E5509"/>
      <c r="F5509"/>
      <c r="G5509"/>
      <c r="H5509"/>
      <c r="I5509" s="489"/>
      <c r="J5509" s="1095"/>
      <c r="K5509" s="1095"/>
      <c r="L5509" s="1095"/>
      <c r="M5509" s="1095"/>
    </row>
    <row r="5510" spans="1:13" x14ac:dyDescent="0.25">
      <c r="A5510">
        <v>5500991</v>
      </c>
      <c r="B5510" t="s">
        <v>12565</v>
      </c>
      <c r="C5510" t="s">
        <v>2596</v>
      </c>
      <c r="D5510" s="254">
        <v>150.62</v>
      </c>
      <c r="E5510"/>
      <c r="F5510"/>
      <c r="G5510"/>
      <c r="H5510"/>
      <c r="I5510" s="489"/>
      <c r="J5510" s="1095"/>
      <c r="K5510" s="1095"/>
      <c r="L5510" s="1095"/>
      <c r="M5510" s="1095"/>
    </row>
    <row r="5511" spans="1:13" x14ac:dyDescent="0.25">
      <c r="A5511">
        <v>5515739</v>
      </c>
      <c r="B5511" t="s">
        <v>12566</v>
      </c>
      <c r="C5511" t="s">
        <v>2596</v>
      </c>
      <c r="D5511" s="254">
        <v>46.11</v>
      </c>
      <c r="E5511"/>
      <c r="F5511"/>
      <c r="G5511"/>
      <c r="H5511"/>
      <c r="I5511" s="489"/>
      <c r="J5511" s="1095"/>
      <c r="K5511" s="1095"/>
      <c r="L5511" s="1095"/>
      <c r="M5511" s="1095"/>
    </row>
    <row r="5512" spans="1:13" x14ac:dyDescent="0.25">
      <c r="A5512">
        <v>5505766</v>
      </c>
      <c r="B5512" t="s">
        <v>12567</v>
      </c>
      <c r="C5512" t="s">
        <v>2596</v>
      </c>
      <c r="D5512" s="254">
        <v>320.74</v>
      </c>
      <c r="E5512"/>
      <c r="F5512"/>
      <c r="G5512"/>
      <c r="H5512"/>
      <c r="I5512" s="489"/>
      <c r="J5512" s="1095"/>
      <c r="K5512" s="1095"/>
      <c r="L5512" s="1095"/>
      <c r="M5512" s="1095"/>
    </row>
    <row r="5513" spans="1:13" x14ac:dyDescent="0.25">
      <c r="A5513">
        <v>5501701</v>
      </c>
      <c r="B5513" t="s">
        <v>6343</v>
      </c>
      <c r="C5513" t="s">
        <v>2640</v>
      </c>
      <c r="D5513" s="254">
        <v>41.76</v>
      </c>
      <c r="E5513"/>
      <c r="F5513"/>
      <c r="G5513"/>
      <c r="H5513"/>
      <c r="I5513" s="489"/>
      <c r="J5513" s="1095"/>
      <c r="K5513" s="1095"/>
      <c r="L5513" s="1095"/>
      <c r="M5513" s="1095"/>
    </row>
    <row r="5514" spans="1:13" x14ac:dyDescent="0.25">
      <c r="A5514">
        <v>5501702</v>
      </c>
      <c r="B5514" t="s">
        <v>6344</v>
      </c>
      <c r="C5514" t="s">
        <v>2640</v>
      </c>
      <c r="D5514" s="254">
        <v>104.4</v>
      </c>
      <c r="E5514"/>
      <c r="F5514"/>
      <c r="G5514"/>
      <c r="H5514"/>
      <c r="I5514" s="489"/>
      <c r="J5514" s="1095"/>
      <c r="K5514" s="1095"/>
      <c r="L5514" s="1095"/>
      <c r="M5514" s="1095"/>
    </row>
    <row r="5515" spans="1:13" x14ac:dyDescent="0.25">
      <c r="A5515">
        <v>5502972</v>
      </c>
      <c r="B5515" t="s">
        <v>13831</v>
      </c>
      <c r="C5515" t="s">
        <v>2596</v>
      </c>
      <c r="D5515" s="254">
        <v>186.92</v>
      </c>
      <c r="E5515"/>
      <c r="F5515"/>
      <c r="G5515"/>
      <c r="H5515"/>
      <c r="I5515" s="489"/>
      <c r="J5515" s="1095"/>
      <c r="K5515" s="1095"/>
      <c r="L5515" s="1095"/>
      <c r="M5515" s="1095"/>
    </row>
    <row r="5516" spans="1:13" x14ac:dyDescent="0.25">
      <c r="A5516">
        <v>5502968</v>
      </c>
      <c r="B5516" t="s">
        <v>13832</v>
      </c>
      <c r="C5516" t="s">
        <v>2596</v>
      </c>
      <c r="D5516" s="254">
        <v>21.11</v>
      </c>
      <c r="E5516"/>
      <c r="F5516"/>
      <c r="G5516"/>
      <c r="H5516"/>
      <c r="I5516" s="489"/>
      <c r="J5516" s="1095"/>
      <c r="K5516" s="1095"/>
      <c r="L5516" s="1095"/>
      <c r="M5516" s="1095"/>
    </row>
    <row r="5517" spans="1:13" x14ac:dyDescent="0.25">
      <c r="A5517">
        <v>5502969</v>
      </c>
      <c r="B5517" t="s">
        <v>13833</v>
      </c>
      <c r="C5517" t="s">
        <v>2596</v>
      </c>
      <c r="D5517" s="254">
        <v>26.63</v>
      </c>
      <c r="E5517"/>
      <c r="F5517"/>
      <c r="G5517"/>
      <c r="H5517"/>
      <c r="I5517" s="489"/>
      <c r="J5517" s="1095"/>
      <c r="K5517" s="1095"/>
      <c r="L5517" s="1095"/>
      <c r="M5517" s="1095"/>
    </row>
    <row r="5518" spans="1:13" x14ac:dyDescent="0.25">
      <c r="A5518">
        <v>5502970</v>
      </c>
      <c r="B5518" t="s">
        <v>13834</v>
      </c>
      <c r="C5518" t="s">
        <v>2596</v>
      </c>
      <c r="D5518" s="254">
        <v>48.77</v>
      </c>
      <c r="E5518"/>
      <c r="F5518"/>
      <c r="G5518"/>
      <c r="H5518"/>
      <c r="I5518" s="489"/>
      <c r="J5518" s="1095"/>
      <c r="K5518" s="1095"/>
      <c r="L5518" s="1095"/>
      <c r="M5518" s="1095"/>
    </row>
    <row r="5519" spans="1:13" x14ac:dyDescent="0.25">
      <c r="A5519">
        <v>5502971</v>
      </c>
      <c r="B5519" t="s">
        <v>13835</v>
      </c>
      <c r="C5519" t="s">
        <v>2596</v>
      </c>
      <c r="D5519" s="254">
        <v>90.76</v>
      </c>
      <c r="E5519"/>
      <c r="F5519"/>
      <c r="G5519"/>
      <c r="H5519"/>
      <c r="I5519" s="489"/>
      <c r="J5519" s="1095"/>
      <c r="K5519" s="1095"/>
      <c r="L5519" s="1095"/>
      <c r="M5519" s="1095"/>
    </row>
    <row r="5520" spans="1:13" x14ac:dyDescent="0.25">
      <c r="A5520">
        <v>5502663</v>
      </c>
      <c r="B5520" t="s">
        <v>6345</v>
      </c>
      <c r="C5520" t="s">
        <v>2596</v>
      </c>
      <c r="D5520" s="254">
        <v>33.51</v>
      </c>
      <c r="E5520"/>
      <c r="F5520"/>
      <c r="G5520"/>
      <c r="H5520"/>
      <c r="I5520" s="489"/>
      <c r="J5520" s="1095"/>
      <c r="K5520" s="1095"/>
      <c r="L5520" s="1095"/>
      <c r="M5520" s="1095"/>
    </row>
    <row r="5521" spans="1:13" x14ac:dyDescent="0.25">
      <c r="A5521">
        <v>5502993</v>
      </c>
      <c r="B5521" t="s">
        <v>12568</v>
      </c>
      <c r="C5521" t="s">
        <v>2596</v>
      </c>
      <c r="D5521" s="254">
        <v>24.56</v>
      </c>
      <c r="E5521"/>
      <c r="F5521"/>
      <c r="G5521"/>
      <c r="H5521"/>
      <c r="I5521" s="489"/>
      <c r="J5521" s="1095"/>
      <c r="K5521" s="1095"/>
      <c r="L5521" s="1095"/>
      <c r="M5521" s="1095"/>
    </row>
    <row r="5522" spans="1:13" x14ac:dyDescent="0.25">
      <c r="A5522">
        <v>5502967</v>
      </c>
      <c r="B5522" t="s">
        <v>13836</v>
      </c>
      <c r="C5522" t="s">
        <v>2596</v>
      </c>
      <c r="D5522" s="254">
        <v>103.43</v>
      </c>
      <c r="E5522"/>
      <c r="F5522"/>
      <c r="G5522"/>
      <c r="H5522"/>
      <c r="I5522" s="489"/>
      <c r="J5522" s="1095"/>
      <c r="K5522" s="1095"/>
      <c r="L5522" s="1095"/>
      <c r="M5522" s="1095"/>
    </row>
    <row r="5523" spans="1:13" x14ac:dyDescent="0.25">
      <c r="A5523">
        <v>5502963</v>
      </c>
      <c r="B5523" t="s">
        <v>13837</v>
      </c>
      <c r="C5523" t="s">
        <v>2596</v>
      </c>
      <c r="D5523" s="254">
        <v>12.64</v>
      </c>
      <c r="E5523"/>
      <c r="F5523"/>
      <c r="G5523"/>
      <c r="H5523"/>
      <c r="I5523" s="489"/>
      <c r="J5523" s="1095"/>
      <c r="K5523" s="1095"/>
      <c r="L5523" s="1095"/>
      <c r="M5523" s="1095"/>
    </row>
    <row r="5524" spans="1:13" x14ac:dyDescent="0.25">
      <c r="A5524">
        <v>5502964</v>
      </c>
      <c r="B5524" t="s">
        <v>13838</v>
      </c>
      <c r="C5524" t="s">
        <v>2596</v>
      </c>
      <c r="D5524" s="254">
        <v>15.82</v>
      </c>
      <c r="E5524"/>
      <c r="F5524"/>
      <c r="G5524"/>
      <c r="H5524"/>
      <c r="I5524" s="489"/>
      <c r="J5524" s="1095"/>
      <c r="K5524" s="1095"/>
      <c r="L5524" s="1095"/>
      <c r="M5524" s="1095"/>
    </row>
    <row r="5525" spans="1:13" x14ac:dyDescent="0.25">
      <c r="A5525">
        <v>5502965</v>
      </c>
      <c r="B5525" t="s">
        <v>13839</v>
      </c>
      <c r="C5525" t="s">
        <v>2596</v>
      </c>
      <c r="D5525" s="254">
        <v>28.48</v>
      </c>
      <c r="E5525"/>
      <c r="F5525"/>
      <c r="G5525"/>
      <c r="H5525"/>
      <c r="I5525" s="489"/>
      <c r="J5525" s="1095"/>
      <c r="K5525" s="1095"/>
      <c r="L5525" s="1095"/>
      <c r="M5525" s="1095"/>
    </row>
    <row r="5526" spans="1:13" x14ac:dyDescent="0.25">
      <c r="A5526">
        <v>5502966</v>
      </c>
      <c r="B5526" t="s">
        <v>13840</v>
      </c>
      <c r="C5526" t="s">
        <v>2596</v>
      </c>
      <c r="D5526" s="254">
        <v>52.21</v>
      </c>
      <c r="E5526"/>
      <c r="F5526"/>
      <c r="G5526"/>
      <c r="H5526"/>
      <c r="I5526" s="489"/>
      <c r="J5526" s="1095"/>
      <c r="K5526" s="1095"/>
      <c r="L5526" s="1095"/>
      <c r="M5526" s="1095"/>
    </row>
    <row r="5527" spans="1:13" x14ac:dyDescent="0.25">
      <c r="A5527">
        <v>5501706</v>
      </c>
      <c r="B5527" t="s">
        <v>12569</v>
      </c>
      <c r="C5527" t="s">
        <v>2596</v>
      </c>
      <c r="D5527" s="254">
        <v>7.32</v>
      </c>
      <c r="E5527"/>
      <c r="F5527"/>
      <c r="G5527"/>
      <c r="H5527"/>
      <c r="I5527" s="489"/>
      <c r="J5527" s="1095"/>
      <c r="K5527" s="1095"/>
      <c r="L5527" s="1095"/>
      <c r="M5527" s="1095"/>
    </row>
    <row r="5528" spans="1:13" x14ac:dyDescent="0.25">
      <c r="A5528">
        <v>5501880</v>
      </c>
      <c r="B5528" t="s">
        <v>12570</v>
      </c>
      <c r="C5528" t="s">
        <v>2596</v>
      </c>
      <c r="D5528" s="254">
        <v>12.55</v>
      </c>
      <c r="E5528"/>
      <c r="F5528"/>
      <c r="G5528"/>
      <c r="H5528"/>
      <c r="I5528" s="489"/>
      <c r="J5528" s="1095"/>
      <c r="K5528" s="1095"/>
      <c r="L5528" s="1095"/>
      <c r="M5528" s="1095"/>
    </row>
    <row r="5529" spans="1:13" x14ac:dyDescent="0.25">
      <c r="A5529">
        <v>5502114</v>
      </c>
      <c r="B5529" t="s">
        <v>12571</v>
      </c>
      <c r="C5529" t="s">
        <v>2596</v>
      </c>
      <c r="D5529" s="254">
        <v>8.6999999999999993</v>
      </c>
      <c r="E5529"/>
      <c r="F5529"/>
      <c r="G5529"/>
      <c r="H5529"/>
      <c r="I5529" s="489"/>
      <c r="J5529" s="1095"/>
      <c r="K5529" s="1095"/>
      <c r="L5529" s="1095"/>
      <c r="M5529" s="1095"/>
    </row>
    <row r="5530" spans="1:13" x14ac:dyDescent="0.25">
      <c r="A5530">
        <v>5501906</v>
      </c>
      <c r="B5530" t="s">
        <v>12572</v>
      </c>
      <c r="C5530" t="s">
        <v>2596</v>
      </c>
      <c r="D5530" s="254">
        <v>11.19</v>
      </c>
      <c r="E5530"/>
      <c r="F5530"/>
      <c r="G5530"/>
      <c r="H5530"/>
      <c r="I5530" s="489"/>
      <c r="J5530" s="1095"/>
      <c r="K5530" s="1095"/>
      <c r="L5530" s="1095"/>
      <c r="M5530" s="1095"/>
    </row>
    <row r="5531" spans="1:13" x14ac:dyDescent="0.25">
      <c r="A5531">
        <v>5502140</v>
      </c>
      <c r="B5531" t="s">
        <v>12573</v>
      </c>
      <c r="C5531" t="s">
        <v>2596</v>
      </c>
      <c r="D5531" s="254">
        <v>7.34</v>
      </c>
      <c r="E5531"/>
      <c r="F5531"/>
      <c r="G5531"/>
      <c r="H5531"/>
      <c r="I5531" s="489"/>
      <c r="J5531" s="1095"/>
      <c r="K5531" s="1095"/>
      <c r="L5531" s="1095"/>
      <c r="M5531" s="1095"/>
    </row>
    <row r="5532" spans="1:13" x14ac:dyDescent="0.25">
      <c r="A5532">
        <v>5501932</v>
      </c>
      <c r="B5532" t="s">
        <v>12574</v>
      </c>
      <c r="C5532" t="s">
        <v>2596</v>
      </c>
      <c r="D5532" s="254">
        <v>10.54</v>
      </c>
      <c r="E5532"/>
      <c r="F5532"/>
      <c r="G5532"/>
      <c r="H5532"/>
      <c r="I5532" s="489"/>
      <c r="J5532" s="1095"/>
      <c r="K5532" s="1095"/>
      <c r="L5532" s="1095"/>
      <c r="M5532" s="1095"/>
    </row>
    <row r="5533" spans="1:13" x14ac:dyDescent="0.25">
      <c r="A5533">
        <v>5502166</v>
      </c>
      <c r="B5533" t="s">
        <v>12575</v>
      </c>
      <c r="C5533" t="s">
        <v>2596</v>
      </c>
      <c r="D5533" s="254">
        <v>7.04</v>
      </c>
      <c r="E5533"/>
      <c r="F5533"/>
      <c r="G5533"/>
      <c r="H5533"/>
      <c r="I5533" s="489"/>
      <c r="J5533" s="1095"/>
      <c r="K5533" s="1095"/>
      <c r="L5533" s="1095"/>
      <c r="M5533" s="1095"/>
    </row>
    <row r="5534" spans="1:13" x14ac:dyDescent="0.25">
      <c r="A5534">
        <v>5501881</v>
      </c>
      <c r="B5534" t="s">
        <v>12576</v>
      </c>
      <c r="C5534" t="s">
        <v>2596</v>
      </c>
      <c r="D5534" s="254">
        <v>12.85</v>
      </c>
      <c r="E5534"/>
      <c r="F5534"/>
      <c r="G5534"/>
      <c r="H5534"/>
      <c r="I5534" s="489"/>
      <c r="J5534" s="1095"/>
      <c r="K5534" s="1095"/>
      <c r="L5534" s="1095"/>
      <c r="M5534" s="1095"/>
    </row>
    <row r="5535" spans="1:13" x14ac:dyDescent="0.25">
      <c r="A5535">
        <v>5502115</v>
      </c>
      <c r="B5535" t="s">
        <v>12577</v>
      </c>
      <c r="C5535" t="s">
        <v>2596</v>
      </c>
      <c r="D5535" s="254">
        <v>9.4</v>
      </c>
      <c r="E5535"/>
      <c r="F5535"/>
      <c r="G5535"/>
      <c r="H5535"/>
      <c r="I5535" s="489"/>
      <c r="J5535" s="1095"/>
      <c r="K5535" s="1095"/>
      <c r="L5535" s="1095"/>
      <c r="M5535" s="1095"/>
    </row>
    <row r="5536" spans="1:13" x14ac:dyDescent="0.25">
      <c r="A5536">
        <v>5501907</v>
      </c>
      <c r="B5536" t="s">
        <v>12578</v>
      </c>
      <c r="C5536" t="s">
        <v>2596</v>
      </c>
      <c r="D5536" s="254">
        <v>11.39</v>
      </c>
      <c r="E5536"/>
      <c r="F5536"/>
      <c r="G5536"/>
      <c r="H5536"/>
      <c r="I5536" s="489"/>
      <c r="J5536" s="1095"/>
      <c r="K5536" s="1095"/>
      <c r="L5536" s="1095"/>
      <c r="M5536" s="1095"/>
    </row>
    <row r="5537" spans="1:13" x14ac:dyDescent="0.25">
      <c r="A5537">
        <v>5502141</v>
      </c>
      <c r="B5537" t="s">
        <v>12579</v>
      </c>
      <c r="C5537" t="s">
        <v>2596</v>
      </c>
      <c r="D5537" s="254">
        <v>7.9</v>
      </c>
      <c r="E5537"/>
      <c r="F5537"/>
      <c r="G5537"/>
      <c r="H5537"/>
      <c r="I5537" s="489"/>
      <c r="J5537" s="1095"/>
      <c r="K5537" s="1095"/>
      <c r="L5537" s="1095"/>
      <c r="M5537" s="1095"/>
    </row>
    <row r="5538" spans="1:13" x14ac:dyDescent="0.25">
      <c r="A5538">
        <v>5501933</v>
      </c>
      <c r="B5538" t="s">
        <v>12580</v>
      </c>
      <c r="C5538" t="s">
        <v>2596</v>
      </c>
      <c r="D5538" s="254">
        <v>10.7</v>
      </c>
      <c r="E5538"/>
      <c r="F5538"/>
      <c r="G5538"/>
      <c r="H5538"/>
      <c r="I5538" s="489"/>
      <c r="J5538" s="1095"/>
      <c r="K5538" s="1095"/>
      <c r="L5538" s="1095"/>
      <c r="M5538" s="1095"/>
    </row>
    <row r="5539" spans="1:13" x14ac:dyDescent="0.25">
      <c r="A5539">
        <v>5502167</v>
      </c>
      <c r="B5539" t="s">
        <v>12581</v>
      </c>
      <c r="C5539" t="s">
        <v>2596</v>
      </c>
      <c r="D5539" s="254">
        <v>7.21</v>
      </c>
      <c r="E5539"/>
      <c r="F5539"/>
      <c r="G5539"/>
      <c r="H5539"/>
      <c r="I5539" s="489"/>
      <c r="J5539" s="1095"/>
      <c r="K5539" s="1095"/>
      <c r="L5539" s="1095"/>
      <c r="M5539" s="1095"/>
    </row>
    <row r="5540" spans="1:13" x14ac:dyDescent="0.25">
      <c r="A5540">
        <v>5501882</v>
      </c>
      <c r="B5540" t="s">
        <v>12582</v>
      </c>
      <c r="C5540" t="s">
        <v>2596</v>
      </c>
      <c r="D5540" s="254">
        <v>13.15</v>
      </c>
      <c r="E5540"/>
      <c r="F5540"/>
      <c r="G5540"/>
      <c r="H5540"/>
      <c r="I5540" s="489"/>
      <c r="J5540" s="1095"/>
      <c r="K5540" s="1095"/>
      <c r="L5540" s="1095"/>
      <c r="M5540" s="1095"/>
    </row>
    <row r="5541" spans="1:13" x14ac:dyDescent="0.25">
      <c r="A5541">
        <v>5502116</v>
      </c>
      <c r="B5541" t="s">
        <v>12583</v>
      </c>
      <c r="C5541" t="s">
        <v>2596</v>
      </c>
      <c r="D5541" s="254">
        <v>9.66</v>
      </c>
      <c r="E5541"/>
      <c r="F5541"/>
      <c r="G5541"/>
      <c r="H5541"/>
      <c r="I5541" s="489"/>
      <c r="J5541" s="1095"/>
      <c r="K5541" s="1095"/>
      <c r="L5541" s="1095"/>
      <c r="M5541" s="1095"/>
    </row>
    <row r="5542" spans="1:13" x14ac:dyDescent="0.25">
      <c r="A5542">
        <v>5501908</v>
      </c>
      <c r="B5542" t="s">
        <v>12584</v>
      </c>
      <c r="C5542" t="s">
        <v>2596</v>
      </c>
      <c r="D5542" s="254">
        <v>11.59</v>
      </c>
      <c r="E5542"/>
      <c r="F5542"/>
      <c r="G5542"/>
      <c r="H5542"/>
      <c r="I5542" s="489"/>
      <c r="J5542" s="1095"/>
      <c r="K5542" s="1095"/>
      <c r="L5542" s="1095"/>
      <c r="M5542" s="1095"/>
    </row>
    <row r="5543" spans="1:13" x14ac:dyDescent="0.25">
      <c r="A5543">
        <v>5502142</v>
      </c>
      <c r="B5543" t="s">
        <v>12585</v>
      </c>
      <c r="C5543" t="s">
        <v>2596</v>
      </c>
      <c r="D5543" s="254">
        <v>8.11</v>
      </c>
      <c r="E5543"/>
      <c r="F5543"/>
      <c r="G5543"/>
      <c r="H5543"/>
      <c r="I5543" s="489"/>
      <c r="J5543" s="1095"/>
      <c r="K5543" s="1095"/>
      <c r="L5543" s="1095"/>
      <c r="M5543" s="1095"/>
    </row>
    <row r="5544" spans="1:13" x14ac:dyDescent="0.25">
      <c r="A5544">
        <v>5501934</v>
      </c>
      <c r="B5544" t="s">
        <v>12586</v>
      </c>
      <c r="C5544" t="s">
        <v>2596</v>
      </c>
      <c r="D5544" s="254">
        <v>11.19</v>
      </c>
      <c r="E5544"/>
      <c r="F5544"/>
      <c r="G5544"/>
      <c r="H5544"/>
      <c r="I5544" s="489"/>
      <c r="J5544" s="1095"/>
      <c r="K5544" s="1095"/>
      <c r="L5544" s="1095"/>
      <c r="M5544" s="1095"/>
    </row>
    <row r="5545" spans="1:13" x14ac:dyDescent="0.25">
      <c r="A5545">
        <v>5502168</v>
      </c>
      <c r="B5545" t="s">
        <v>12587</v>
      </c>
      <c r="C5545" t="s">
        <v>2596</v>
      </c>
      <c r="D5545" s="254">
        <v>7.34</v>
      </c>
      <c r="E5545"/>
      <c r="F5545"/>
      <c r="G5545"/>
      <c r="H5545"/>
      <c r="I5545" s="489"/>
      <c r="J5545" s="1095"/>
      <c r="K5545" s="1095"/>
      <c r="L5545" s="1095"/>
      <c r="M5545" s="1095"/>
    </row>
    <row r="5546" spans="1:13" x14ac:dyDescent="0.25">
      <c r="A5546">
        <v>5501883</v>
      </c>
      <c r="B5546" t="s">
        <v>12588</v>
      </c>
      <c r="C5546" t="s">
        <v>2596</v>
      </c>
      <c r="D5546" s="254">
        <v>13.46</v>
      </c>
      <c r="E5546"/>
      <c r="F5546"/>
      <c r="G5546"/>
      <c r="H5546"/>
      <c r="I5546" s="489"/>
      <c r="J5546" s="1095"/>
      <c r="K5546" s="1095"/>
      <c r="L5546" s="1095"/>
      <c r="M5546" s="1095"/>
    </row>
    <row r="5547" spans="1:13" x14ac:dyDescent="0.25">
      <c r="A5547">
        <v>5502117</v>
      </c>
      <c r="B5547" t="s">
        <v>12589</v>
      </c>
      <c r="C5547" t="s">
        <v>2596</v>
      </c>
      <c r="D5547" s="254">
        <v>9.98</v>
      </c>
      <c r="E5547"/>
      <c r="F5547"/>
      <c r="G5547"/>
      <c r="H5547"/>
      <c r="I5547" s="489"/>
      <c r="J5547" s="1095"/>
      <c r="K5547" s="1095"/>
      <c r="L5547" s="1095"/>
      <c r="M5547" s="1095"/>
    </row>
    <row r="5548" spans="1:13" x14ac:dyDescent="0.25">
      <c r="A5548">
        <v>5501909</v>
      </c>
      <c r="B5548" t="s">
        <v>12590</v>
      </c>
      <c r="C5548" t="s">
        <v>2596</v>
      </c>
      <c r="D5548" s="254">
        <v>11.8</v>
      </c>
      <c r="E5548"/>
      <c r="F5548"/>
      <c r="G5548"/>
      <c r="H5548"/>
      <c r="I5548" s="489"/>
      <c r="J5548" s="1095"/>
      <c r="K5548" s="1095"/>
      <c r="L5548" s="1095"/>
      <c r="M5548" s="1095"/>
    </row>
    <row r="5549" spans="1:13" x14ac:dyDescent="0.25">
      <c r="A5549">
        <v>5502143</v>
      </c>
      <c r="B5549" t="s">
        <v>12591</v>
      </c>
      <c r="C5549" t="s">
        <v>2596</v>
      </c>
      <c r="D5549" s="254">
        <v>8.33</v>
      </c>
      <c r="E5549"/>
      <c r="F5549"/>
      <c r="G5549"/>
      <c r="H5549"/>
      <c r="I5549" s="489"/>
      <c r="J5549" s="1095"/>
      <c r="K5549" s="1095"/>
      <c r="L5549" s="1095"/>
      <c r="M5549" s="1095"/>
    </row>
    <row r="5550" spans="1:13" x14ac:dyDescent="0.25">
      <c r="A5550">
        <v>5501935</v>
      </c>
      <c r="B5550" t="s">
        <v>12592</v>
      </c>
      <c r="C5550" t="s">
        <v>2596</v>
      </c>
      <c r="D5550" s="254">
        <v>11.39</v>
      </c>
      <c r="E5550"/>
      <c r="F5550"/>
      <c r="G5550"/>
      <c r="H5550"/>
      <c r="I5550" s="489"/>
      <c r="J5550" s="1095"/>
      <c r="K5550" s="1095"/>
      <c r="L5550" s="1095"/>
      <c r="M5550" s="1095"/>
    </row>
    <row r="5551" spans="1:13" x14ac:dyDescent="0.25">
      <c r="A5551">
        <v>5502169</v>
      </c>
      <c r="B5551" t="s">
        <v>12593</v>
      </c>
      <c r="C5551" t="s">
        <v>2596</v>
      </c>
      <c r="D5551" s="254">
        <v>7.9</v>
      </c>
      <c r="E5551"/>
      <c r="F5551"/>
      <c r="G5551"/>
      <c r="H5551"/>
      <c r="I5551" s="489"/>
      <c r="J5551" s="1095"/>
      <c r="K5551" s="1095"/>
      <c r="L5551" s="1095"/>
      <c r="M5551" s="1095"/>
    </row>
    <row r="5552" spans="1:13" x14ac:dyDescent="0.25">
      <c r="A5552">
        <v>5501884</v>
      </c>
      <c r="B5552" t="s">
        <v>12594</v>
      </c>
      <c r="C5552" t="s">
        <v>2596</v>
      </c>
      <c r="D5552" s="254">
        <v>14.11</v>
      </c>
      <c r="E5552"/>
      <c r="F5552"/>
      <c r="G5552"/>
      <c r="H5552"/>
      <c r="I5552" s="489"/>
      <c r="J5552" s="1095"/>
      <c r="K5552" s="1095"/>
      <c r="L5552" s="1095"/>
      <c r="M5552" s="1095"/>
    </row>
    <row r="5553" spans="1:13" x14ac:dyDescent="0.25">
      <c r="A5553">
        <v>5502118</v>
      </c>
      <c r="B5553" t="s">
        <v>12595</v>
      </c>
      <c r="C5553" t="s">
        <v>2596</v>
      </c>
      <c r="D5553" s="254">
        <v>10.3</v>
      </c>
      <c r="E5553"/>
      <c r="F5553"/>
      <c r="G5553"/>
      <c r="H5553"/>
      <c r="I5553" s="489"/>
      <c r="J5553" s="1095"/>
      <c r="K5553" s="1095"/>
      <c r="L5553" s="1095"/>
      <c r="M5553" s="1095"/>
    </row>
    <row r="5554" spans="1:13" x14ac:dyDescent="0.25">
      <c r="A5554">
        <v>5501910</v>
      </c>
      <c r="B5554" t="s">
        <v>12596</v>
      </c>
      <c r="C5554" t="s">
        <v>2596</v>
      </c>
      <c r="D5554" s="254">
        <v>12</v>
      </c>
      <c r="E5554"/>
      <c r="F5554"/>
      <c r="G5554"/>
      <c r="H5554"/>
      <c r="I5554" s="489"/>
      <c r="J5554" s="1095"/>
      <c r="K5554" s="1095"/>
      <c r="L5554" s="1095"/>
      <c r="M5554" s="1095"/>
    </row>
    <row r="5555" spans="1:13" x14ac:dyDescent="0.25">
      <c r="A5555">
        <v>5502144</v>
      </c>
      <c r="B5555" t="s">
        <v>12597</v>
      </c>
      <c r="C5555" t="s">
        <v>2596</v>
      </c>
      <c r="D5555" s="254">
        <v>8.49</v>
      </c>
      <c r="E5555"/>
      <c r="F5555"/>
      <c r="G5555"/>
      <c r="H5555"/>
      <c r="I5555" s="489"/>
      <c r="J5555" s="1095"/>
      <c r="K5555" s="1095"/>
      <c r="L5555" s="1095"/>
      <c r="M5555" s="1095"/>
    </row>
    <row r="5556" spans="1:13" x14ac:dyDescent="0.25">
      <c r="A5556">
        <v>5501936</v>
      </c>
      <c r="B5556" t="s">
        <v>12598</v>
      </c>
      <c r="C5556" t="s">
        <v>2596</v>
      </c>
      <c r="D5556" s="254">
        <v>11.54</v>
      </c>
      <c r="E5556"/>
      <c r="F5556"/>
      <c r="G5556"/>
      <c r="H5556"/>
      <c r="I5556" s="489"/>
      <c r="J5556" s="1095"/>
      <c r="K5556" s="1095"/>
      <c r="L5556" s="1095"/>
      <c r="M5556" s="1095"/>
    </row>
    <row r="5557" spans="1:13" x14ac:dyDescent="0.25">
      <c r="A5557">
        <v>5502170</v>
      </c>
      <c r="B5557" t="s">
        <v>12599</v>
      </c>
      <c r="C5557" t="s">
        <v>2596</v>
      </c>
      <c r="D5557" s="254">
        <v>8.06</v>
      </c>
      <c r="E5557"/>
      <c r="F5557"/>
      <c r="G5557"/>
      <c r="H5557"/>
      <c r="I5557" s="489"/>
      <c r="J5557" s="1095"/>
      <c r="K5557" s="1095"/>
      <c r="L5557" s="1095"/>
      <c r="M5557" s="1095"/>
    </row>
    <row r="5558" spans="1:13" x14ac:dyDescent="0.25">
      <c r="A5558">
        <v>5501885</v>
      </c>
      <c r="B5558" t="s">
        <v>12600</v>
      </c>
      <c r="C5558" t="s">
        <v>2596</v>
      </c>
      <c r="D5558" s="254">
        <v>14.67</v>
      </c>
      <c r="E5558"/>
      <c r="F5558"/>
      <c r="G5558"/>
      <c r="H5558"/>
      <c r="I5558" s="489"/>
      <c r="J5558" s="1095"/>
      <c r="K5558" s="1095"/>
      <c r="L5558" s="1095"/>
      <c r="M5558" s="1095"/>
    </row>
    <row r="5559" spans="1:13" x14ac:dyDescent="0.25">
      <c r="A5559">
        <v>5502119</v>
      </c>
      <c r="B5559" t="s">
        <v>12601</v>
      </c>
      <c r="C5559" t="s">
        <v>2596</v>
      </c>
      <c r="D5559" s="254">
        <v>11.22</v>
      </c>
      <c r="E5559"/>
      <c r="F5559"/>
      <c r="G5559"/>
      <c r="H5559"/>
      <c r="I5559" s="489"/>
      <c r="J5559" s="1095"/>
      <c r="K5559" s="1095"/>
      <c r="L5559" s="1095"/>
      <c r="M5559" s="1095"/>
    </row>
    <row r="5560" spans="1:13" x14ac:dyDescent="0.25">
      <c r="A5560">
        <v>5501911</v>
      </c>
      <c r="B5560" t="s">
        <v>12602</v>
      </c>
      <c r="C5560" t="s">
        <v>2596</v>
      </c>
      <c r="D5560" s="254">
        <v>12.67</v>
      </c>
      <c r="E5560"/>
      <c r="F5560"/>
      <c r="G5560"/>
      <c r="H5560"/>
      <c r="I5560" s="489"/>
      <c r="J5560" s="1095"/>
      <c r="K5560" s="1095"/>
      <c r="L5560" s="1095"/>
      <c r="M5560" s="1095"/>
    </row>
    <row r="5561" spans="1:13" x14ac:dyDescent="0.25">
      <c r="A5561">
        <v>5502145</v>
      </c>
      <c r="B5561" t="s">
        <v>12603</v>
      </c>
      <c r="C5561" t="s">
        <v>2596</v>
      </c>
      <c r="D5561" s="254">
        <v>8.86</v>
      </c>
      <c r="E5561"/>
      <c r="F5561"/>
      <c r="G5561"/>
      <c r="H5561"/>
      <c r="I5561" s="489"/>
      <c r="J5561" s="1095"/>
      <c r="K5561" s="1095"/>
      <c r="L5561" s="1095"/>
      <c r="M5561" s="1095"/>
    </row>
    <row r="5562" spans="1:13" x14ac:dyDescent="0.25">
      <c r="A5562">
        <v>5501937</v>
      </c>
      <c r="B5562" t="s">
        <v>12604</v>
      </c>
      <c r="C5562" t="s">
        <v>2596</v>
      </c>
      <c r="D5562" s="254">
        <v>11.8</v>
      </c>
      <c r="E5562"/>
      <c r="F5562"/>
      <c r="G5562"/>
      <c r="H5562"/>
      <c r="I5562" s="489"/>
      <c r="J5562" s="1095"/>
      <c r="K5562" s="1095"/>
      <c r="L5562" s="1095"/>
      <c r="M5562" s="1095"/>
    </row>
    <row r="5563" spans="1:13" x14ac:dyDescent="0.25">
      <c r="A5563">
        <v>5502171</v>
      </c>
      <c r="B5563" t="s">
        <v>12605</v>
      </c>
      <c r="C5563" t="s">
        <v>2596</v>
      </c>
      <c r="D5563" s="254">
        <v>8.33</v>
      </c>
      <c r="E5563"/>
      <c r="F5563"/>
      <c r="G5563"/>
      <c r="H5563"/>
      <c r="I5563" s="489"/>
      <c r="J5563" s="1095"/>
      <c r="K5563" s="1095"/>
      <c r="L5563" s="1095"/>
      <c r="M5563" s="1095"/>
    </row>
    <row r="5564" spans="1:13" x14ac:dyDescent="0.25">
      <c r="A5564">
        <v>5501886</v>
      </c>
      <c r="B5564" t="s">
        <v>12606</v>
      </c>
      <c r="C5564" t="s">
        <v>2596</v>
      </c>
      <c r="D5564" s="254">
        <v>15.85</v>
      </c>
      <c r="E5564"/>
      <c r="F5564"/>
      <c r="G5564"/>
      <c r="H5564"/>
      <c r="I5564" s="489"/>
      <c r="J5564" s="1095"/>
      <c r="K5564" s="1095"/>
      <c r="L5564" s="1095"/>
      <c r="M5564" s="1095"/>
    </row>
    <row r="5565" spans="1:13" x14ac:dyDescent="0.25">
      <c r="A5565">
        <v>5502120</v>
      </c>
      <c r="B5565" t="s">
        <v>12607</v>
      </c>
      <c r="C5565" t="s">
        <v>2596</v>
      </c>
      <c r="D5565" s="254">
        <v>12.41</v>
      </c>
      <c r="E5565"/>
      <c r="F5565"/>
      <c r="G5565"/>
      <c r="H5565"/>
      <c r="I5565" s="489"/>
      <c r="J5565" s="1095"/>
      <c r="K5565" s="1095"/>
      <c r="L5565" s="1095"/>
      <c r="M5565" s="1095"/>
    </row>
    <row r="5566" spans="1:13" x14ac:dyDescent="0.25">
      <c r="A5566">
        <v>5501912</v>
      </c>
      <c r="B5566" t="s">
        <v>12608</v>
      </c>
      <c r="C5566" t="s">
        <v>2596</v>
      </c>
      <c r="D5566" s="254">
        <v>13.21</v>
      </c>
      <c r="E5566"/>
      <c r="F5566"/>
      <c r="G5566"/>
      <c r="H5566"/>
      <c r="I5566" s="489"/>
      <c r="J5566" s="1095"/>
      <c r="K5566" s="1095"/>
      <c r="L5566" s="1095"/>
      <c r="M5566" s="1095"/>
    </row>
    <row r="5567" spans="1:13" x14ac:dyDescent="0.25">
      <c r="A5567">
        <v>5502146</v>
      </c>
      <c r="B5567" t="s">
        <v>12609</v>
      </c>
      <c r="C5567" t="s">
        <v>2596</v>
      </c>
      <c r="D5567" s="254">
        <v>9.7899999999999991</v>
      </c>
      <c r="E5567"/>
      <c r="F5567"/>
      <c r="G5567"/>
      <c r="H5567"/>
      <c r="I5567" s="489"/>
      <c r="J5567" s="1095"/>
      <c r="K5567" s="1095"/>
      <c r="L5567" s="1095"/>
      <c r="M5567" s="1095"/>
    </row>
    <row r="5568" spans="1:13" x14ac:dyDescent="0.25">
      <c r="A5568">
        <v>5501938</v>
      </c>
      <c r="B5568" t="s">
        <v>12610</v>
      </c>
      <c r="C5568" t="s">
        <v>2596</v>
      </c>
      <c r="D5568" s="254">
        <v>12.61</v>
      </c>
      <c r="E5568"/>
      <c r="F5568"/>
      <c r="G5568"/>
      <c r="H5568"/>
      <c r="I5568" s="489"/>
      <c r="J5568" s="1095"/>
      <c r="K5568" s="1095"/>
      <c r="L5568" s="1095"/>
      <c r="M5568" s="1095"/>
    </row>
    <row r="5569" spans="1:13" x14ac:dyDescent="0.25">
      <c r="A5569">
        <v>5502172</v>
      </c>
      <c r="B5569" t="s">
        <v>12611</v>
      </c>
      <c r="C5569" t="s">
        <v>2596</v>
      </c>
      <c r="D5569" s="254">
        <v>8.81</v>
      </c>
      <c r="E5569"/>
      <c r="F5569"/>
      <c r="G5569"/>
      <c r="H5569"/>
      <c r="I5569" s="489"/>
      <c r="J5569" s="1095"/>
      <c r="K5569" s="1095"/>
      <c r="L5569" s="1095"/>
      <c r="M5569" s="1095"/>
    </row>
    <row r="5570" spans="1:13" x14ac:dyDescent="0.25">
      <c r="A5570">
        <v>5501876</v>
      </c>
      <c r="B5570" t="s">
        <v>12612</v>
      </c>
      <c r="C5570" t="s">
        <v>2596</v>
      </c>
      <c r="D5570" s="254">
        <v>10.42</v>
      </c>
      <c r="E5570"/>
      <c r="F5570"/>
      <c r="G5570"/>
      <c r="H5570"/>
      <c r="I5570" s="489"/>
      <c r="J5570" s="1095"/>
      <c r="K5570" s="1095"/>
      <c r="L5570" s="1095"/>
      <c r="M5570" s="1095"/>
    </row>
    <row r="5571" spans="1:13" x14ac:dyDescent="0.25">
      <c r="A5571">
        <v>5502110</v>
      </c>
      <c r="B5571" t="s">
        <v>12613</v>
      </c>
      <c r="C5571" t="s">
        <v>2596</v>
      </c>
      <c r="D5571" s="254">
        <v>6.91</v>
      </c>
      <c r="E5571"/>
      <c r="F5571"/>
      <c r="G5571"/>
      <c r="H5571"/>
      <c r="I5571" s="489"/>
      <c r="J5571" s="1095"/>
      <c r="K5571" s="1095"/>
      <c r="L5571" s="1095"/>
      <c r="M5571" s="1095"/>
    </row>
    <row r="5572" spans="1:13" x14ac:dyDescent="0.25">
      <c r="A5572">
        <v>5501902</v>
      </c>
      <c r="B5572" t="s">
        <v>12614</v>
      </c>
      <c r="C5572" t="s">
        <v>2596</v>
      </c>
      <c r="D5572" s="254">
        <v>9.93</v>
      </c>
      <c r="E5572"/>
      <c r="F5572"/>
      <c r="G5572"/>
      <c r="H5572"/>
      <c r="I5572" s="489"/>
      <c r="J5572" s="1095"/>
      <c r="K5572" s="1095"/>
      <c r="L5572" s="1095"/>
      <c r="M5572" s="1095"/>
    </row>
    <row r="5573" spans="1:13" x14ac:dyDescent="0.25">
      <c r="A5573">
        <v>5502136</v>
      </c>
      <c r="B5573" t="s">
        <v>12615</v>
      </c>
      <c r="C5573" t="s">
        <v>2596</v>
      </c>
      <c r="D5573" s="254">
        <v>6.44</v>
      </c>
      <c r="E5573"/>
      <c r="F5573"/>
      <c r="G5573"/>
      <c r="H5573"/>
      <c r="I5573" s="489"/>
      <c r="J5573" s="1095"/>
      <c r="K5573" s="1095"/>
      <c r="L5573" s="1095"/>
      <c r="M5573" s="1095"/>
    </row>
    <row r="5574" spans="1:13" x14ac:dyDescent="0.25">
      <c r="A5574">
        <v>5501928</v>
      </c>
      <c r="B5574" t="s">
        <v>12616</v>
      </c>
      <c r="C5574" t="s">
        <v>2596</v>
      </c>
      <c r="D5574" s="254">
        <v>9.41</v>
      </c>
      <c r="E5574"/>
      <c r="F5574"/>
      <c r="G5574"/>
      <c r="H5574"/>
      <c r="I5574" s="489"/>
      <c r="J5574" s="1095"/>
      <c r="K5574" s="1095"/>
      <c r="L5574" s="1095"/>
      <c r="M5574" s="1095"/>
    </row>
    <row r="5575" spans="1:13" x14ac:dyDescent="0.25">
      <c r="A5575">
        <v>5502162</v>
      </c>
      <c r="B5575" t="s">
        <v>12617</v>
      </c>
      <c r="C5575" t="s">
        <v>2596</v>
      </c>
      <c r="D5575" s="254">
        <v>5.89</v>
      </c>
      <c r="E5575"/>
      <c r="F5575"/>
      <c r="G5575"/>
      <c r="H5575"/>
      <c r="I5575" s="489"/>
      <c r="J5575" s="1095"/>
      <c r="K5575" s="1095"/>
      <c r="L5575" s="1095"/>
      <c r="M5575" s="1095"/>
    </row>
    <row r="5576" spans="1:13" x14ac:dyDescent="0.25">
      <c r="A5576">
        <v>5501877</v>
      </c>
      <c r="B5576" t="s">
        <v>12618</v>
      </c>
      <c r="C5576" t="s">
        <v>2596</v>
      </c>
      <c r="D5576" s="254">
        <v>11.19</v>
      </c>
      <c r="E5576"/>
      <c r="F5576"/>
      <c r="G5576"/>
      <c r="H5576"/>
      <c r="I5576" s="489"/>
      <c r="J5576" s="1095"/>
      <c r="K5576" s="1095"/>
      <c r="L5576" s="1095"/>
      <c r="M5576" s="1095"/>
    </row>
    <row r="5577" spans="1:13" x14ac:dyDescent="0.25">
      <c r="A5577">
        <v>5502111</v>
      </c>
      <c r="B5577" t="s">
        <v>12619</v>
      </c>
      <c r="C5577" t="s">
        <v>2596</v>
      </c>
      <c r="D5577" s="254">
        <v>7.34</v>
      </c>
      <c r="E5577"/>
      <c r="F5577"/>
      <c r="G5577"/>
      <c r="H5577"/>
      <c r="I5577" s="489"/>
      <c r="J5577" s="1095"/>
      <c r="K5577" s="1095"/>
      <c r="L5577" s="1095"/>
      <c r="M5577" s="1095"/>
    </row>
    <row r="5578" spans="1:13" x14ac:dyDescent="0.25">
      <c r="A5578">
        <v>5501903</v>
      </c>
      <c r="B5578" t="s">
        <v>12620</v>
      </c>
      <c r="C5578" t="s">
        <v>2596</v>
      </c>
      <c r="D5578" s="254">
        <v>10.220000000000001</v>
      </c>
      <c r="E5578"/>
      <c r="F5578"/>
      <c r="G5578"/>
      <c r="H5578"/>
      <c r="I5578" s="489"/>
      <c r="J5578" s="1095"/>
      <c r="K5578" s="1095"/>
      <c r="L5578" s="1095"/>
      <c r="M5578" s="1095"/>
    </row>
    <row r="5579" spans="1:13" x14ac:dyDescent="0.25">
      <c r="A5579">
        <v>5502137</v>
      </c>
      <c r="B5579" t="s">
        <v>12621</v>
      </c>
      <c r="C5579" t="s">
        <v>2596</v>
      </c>
      <c r="D5579" s="254">
        <v>6.7</v>
      </c>
      <c r="E5579"/>
      <c r="F5579"/>
      <c r="G5579"/>
      <c r="H5579"/>
      <c r="I5579" s="489"/>
      <c r="J5579" s="1095"/>
      <c r="K5579" s="1095"/>
      <c r="L5579" s="1095"/>
      <c r="M5579" s="1095"/>
    </row>
    <row r="5580" spans="1:13" x14ac:dyDescent="0.25">
      <c r="A5580">
        <v>5501929</v>
      </c>
      <c r="B5580" t="s">
        <v>12622</v>
      </c>
      <c r="C5580" t="s">
        <v>2596</v>
      </c>
      <c r="D5580" s="254">
        <v>10.01</v>
      </c>
      <c r="E5580"/>
      <c r="F5580"/>
      <c r="G5580"/>
      <c r="H5580"/>
      <c r="I5580" s="489"/>
      <c r="J5580" s="1095"/>
      <c r="K5580" s="1095"/>
      <c r="L5580" s="1095"/>
      <c r="M5580" s="1095"/>
    </row>
    <row r="5581" spans="1:13" x14ac:dyDescent="0.25">
      <c r="A5581">
        <v>5502163</v>
      </c>
      <c r="B5581" t="s">
        <v>12623</v>
      </c>
      <c r="C5581" t="s">
        <v>2596</v>
      </c>
      <c r="D5581" s="254">
        <v>6.48</v>
      </c>
      <c r="E5581"/>
      <c r="F5581"/>
      <c r="G5581"/>
      <c r="H5581"/>
      <c r="I5581" s="489"/>
      <c r="J5581" s="1095"/>
      <c r="K5581" s="1095"/>
      <c r="L5581" s="1095"/>
      <c r="M5581" s="1095"/>
    </row>
    <row r="5582" spans="1:13" x14ac:dyDescent="0.25">
      <c r="A5582">
        <v>5501875</v>
      </c>
      <c r="B5582" t="s">
        <v>12624</v>
      </c>
      <c r="C5582" t="s">
        <v>2596</v>
      </c>
      <c r="D5582" s="254">
        <v>9.93</v>
      </c>
      <c r="E5582"/>
      <c r="F5582"/>
      <c r="G5582"/>
      <c r="H5582"/>
      <c r="I5582" s="489"/>
      <c r="J5582" s="1095"/>
      <c r="K5582" s="1095"/>
      <c r="L5582" s="1095"/>
      <c r="M5582" s="1095"/>
    </row>
    <row r="5583" spans="1:13" x14ac:dyDescent="0.25">
      <c r="A5583">
        <v>5502109</v>
      </c>
      <c r="B5583" t="s">
        <v>12625</v>
      </c>
      <c r="C5583" t="s">
        <v>2596</v>
      </c>
      <c r="D5583" s="254">
        <v>6.44</v>
      </c>
      <c r="E5583"/>
      <c r="F5583"/>
      <c r="G5583"/>
      <c r="H5583"/>
      <c r="I5583" s="489"/>
      <c r="J5583" s="1095"/>
      <c r="K5583" s="1095"/>
      <c r="L5583" s="1095"/>
      <c r="M5583" s="1095"/>
    </row>
    <row r="5584" spans="1:13" x14ac:dyDescent="0.25">
      <c r="A5584">
        <v>5501901</v>
      </c>
      <c r="B5584" t="s">
        <v>12626</v>
      </c>
      <c r="C5584" t="s">
        <v>2596</v>
      </c>
      <c r="D5584" s="254">
        <v>9.26</v>
      </c>
      <c r="E5584"/>
      <c r="F5584"/>
      <c r="G5584"/>
      <c r="H5584"/>
      <c r="I5584" s="489"/>
      <c r="J5584" s="1095"/>
      <c r="K5584" s="1095"/>
      <c r="L5584" s="1095"/>
      <c r="M5584" s="1095"/>
    </row>
    <row r="5585" spans="1:13" x14ac:dyDescent="0.25">
      <c r="A5585">
        <v>5502135</v>
      </c>
      <c r="B5585" t="s">
        <v>12627</v>
      </c>
      <c r="C5585" t="s">
        <v>2596</v>
      </c>
      <c r="D5585" s="254">
        <v>5.73</v>
      </c>
      <c r="E5585"/>
      <c r="F5585"/>
      <c r="G5585"/>
      <c r="H5585"/>
      <c r="I5585" s="489"/>
      <c r="J5585" s="1095"/>
      <c r="K5585" s="1095"/>
      <c r="L5585" s="1095"/>
      <c r="M5585" s="1095"/>
    </row>
    <row r="5586" spans="1:13" x14ac:dyDescent="0.25">
      <c r="A5586">
        <v>5501927</v>
      </c>
      <c r="B5586" t="s">
        <v>12628</v>
      </c>
      <c r="C5586" t="s">
        <v>2596</v>
      </c>
      <c r="D5586" s="254">
        <v>9.17</v>
      </c>
      <c r="E5586"/>
      <c r="F5586"/>
      <c r="G5586"/>
      <c r="H5586"/>
      <c r="I5586" s="489"/>
      <c r="J5586" s="1095"/>
      <c r="K5586" s="1095"/>
      <c r="L5586" s="1095"/>
      <c r="M5586" s="1095"/>
    </row>
    <row r="5587" spans="1:13" x14ac:dyDescent="0.25">
      <c r="A5587">
        <v>5502161</v>
      </c>
      <c r="B5587" t="s">
        <v>12629</v>
      </c>
      <c r="C5587" t="s">
        <v>2596</v>
      </c>
      <c r="D5587" s="254">
        <v>5.63</v>
      </c>
      <c r="E5587"/>
      <c r="F5587"/>
      <c r="G5587"/>
      <c r="H5587"/>
      <c r="I5587" s="489"/>
      <c r="J5587" s="1095"/>
      <c r="K5587" s="1095"/>
      <c r="L5587" s="1095"/>
      <c r="M5587" s="1095"/>
    </row>
    <row r="5588" spans="1:13" x14ac:dyDescent="0.25">
      <c r="A5588">
        <v>5501878</v>
      </c>
      <c r="B5588" t="s">
        <v>12630</v>
      </c>
      <c r="C5588" t="s">
        <v>2596</v>
      </c>
      <c r="D5588" s="254">
        <v>11.54</v>
      </c>
      <c r="E5588"/>
      <c r="F5588"/>
      <c r="G5588"/>
      <c r="H5588"/>
      <c r="I5588" s="489"/>
      <c r="J5588" s="1095"/>
      <c r="K5588" s="1095"/>
      <c r="L5588" s="1095"/>
      <c r="M5588" s="1095"/>
    </row>
    <row r="5589" spans="1:13" x14ac:dyDescent="0.25">
      <c r="A5589">
        <v>5502112</v>
      </c>
      <c r="B5589" t="s">
        <v>12631</v>
      </c>
      <c r="C5589" t="s">
        <v>2596</v>
      </c>
      <c r="D5589" s="254">
        <v>8.06</v>
      </c>
      <c r="E5589"/>
      <c r="F5589"/>
      <c r="G5589"/>
      <c r="H5589"/>
      <c r="I5589" s="489"/>
      <c r="J5589" s="1095"/>
      <c r="K5589" s="1095"/>
      <c r="L5589" s="1095"/>
      <c r="M5589" s="1095"/>
    </row>
    <row r="5590" spans="1:13" x14ac:dyDescent="0.25">
      <c r="A5590">
        <v>5501904</v>
      </c>
      <c r="B5590" t="s">
        <v>12632</v>
      </c>
      <c r="C5590" t="s">
        <v>2596</v>
      </c>
      <c r="D5590" s="254">
        <v>10.42</v>
      </c>
      <c r="E5590"/>
      <c r="F5590"/>
      <c r="G5590"/>
      <c r="H5590"/>
      <c r="I5590" s="489"/>
      <c r="J5590" s="1095"/>
      <c r="K5590" s="1095"/>
      <c r="L5590" s="1095"/>
      <c r="M5590" s="1095"/>
    </row>
    <row r="5591" spans="1:13" x14ac:dyDescent="0.25">
      <c r="A5591">
        <v>5502138</v>
      </c>
      <c r="B5591" t="s">
        <v>12633</v>
      </c>
      <c r="C5591" t="s">
        <v>2596</v>
      </c>
      <c r="D5591" s="254">
        <v>6.95</v>
      </c>
      <c r="E5591"/>
      <c r="F5591"/>
      <c r="G5591"/>
      <c r="H5591"/>
      <c r="I5591" s="489"/>
      <c r="J5591" s="1095"/>
      <c r="K5591" s="1095"/>
      <c r="L5591" s="1095"/>
      <c r="M5591" s="1095"/>
    </row>
    <row r="5592" spans="1:13" x14ac:dyDescent="0.25">
      <c r="A5592">
        <v>5501930</v>
      </c>
      <c r="B5592" t="s">
        <v>12634</v>
      </c>
      <c r="C5592" t="s">
        <v>2596</v>
      </c>
      <c r="D5592" s="254">
        <v>10.18</v>
      </c>
      <c r="E5592"/>
      <c r="F5592"/>
      <c r="G5592"/>
      <c r="H5592"/>
      <c r="I5592" s="489"/>
      <c r="J5592" s="1095"/>
      <c r="K5592" s="1095"/>
      <c r="L5592" s="1095"/>
      <c r="M5592" s="1095"/>
    </row>
    <row r="5593" spans="1:13" x14ac:dyDescent="0.25">
      <c r="A5593">
        <v>5502164</v>
      </c>
      <c r="B5593" t="s">
        <v>12635</v>
      </c>
      <c r="C5593" t="s">
        <v>2596</v>
      </c>
      <c r="D5593" s="254">
        <v>6.7</v>
      </c>
      <c r="E5593"/>
      <c r="F5593"/>
      <c r="G5593"/>
      <c r="H5593"/>
      <c r="I5593" s="489"/>
      <c r="J5593" s="1095"/>
      <c r="K5593" s="1095"/>
      <c r="L5593" s="1095"/>
      <c r="M5593" s="1095"/>
    </row>
    <row r="5594" spans="1:13" x14ac:dyDescent="0.25">
      <c r="A5594">
        <v>5501879</v>
      </c>
      <c r="B5594" t="s">
        <v>12636</v>
      </c>
      <c r="C5594" t="s">
        <v>2596</v>
      </c>
      <c r="D5594" s="254">
        <v>11.9</v>
      </c>
      <c r="E5594"/>
      <c r="F5594"/>
      <c r="G5594"/>
      <c r="H5594"/>
      <c r="I5594" s="489"/>
      <c r="J5594" s="1095"/>
      <c r="K5594" s="1095"/>
      <c r="L5594" s="1095"/>
      <c r="M5594" s="1095"/>
    </row>
    <row r="5595" spans="1:13" x14ac:dyDescent="0.25">
      <c r="A5595">
        <v>5502113</v>
      </c>
      <c r="B5595" t="s">
        <v>12637</v>
      </c>
      <c r="C5595" t="s">
        <v>2596</v>
      </c>
      <c r="D5595" s="254">
        <v>8.3800000000000008</v>
      </c>
      <c r="E5595"/>
      <c r="F5595"/>
      <c r="G5595"/>
      <c r="H5595"/>
      <c r="I5595" s="489"/>
      <c r="J5595" s="1095"/>
      <c r="K5595" s="1095"/>
      <c r="L5595" s="1095"/>
      <c r="M5595" s="1095"/>
    </row>
    <row r="5596" spans="1:13" x14ac:dyDescent="0.25">
      <c r="A5596">
        <v>5501905</v>
      </c>
      <c r="B5596" t="s">
        <v>12638</v>
      </c>
      <c r="C5596" t="s">
        <v>2596</v>
      </c>
      <c r="D5596" s="254">
        <v>10.66</v>
      </c>
      <c r="E5596"/>
      <c r="F5596"/>
      <c r="G5596"/>
      <c r="H5596"/>
      <c r="I5596" s="489"/>
      <c r="J5596" s="1095"/>
      <c r="K5596" s="1095"/>
      <c r="L5596" s="1095"/>
      <c r="M5596" s="1095"/>
    </row>
    <row r="5597" spans="1:13" x14ac:dyDescent="0.25">
      <c r="A5597">
        <v>5502139</v>
      </c>
      <c r="B5597" t="s">
        <v>12639</v>
      </c>
      <c r="C5597" t="s">
        <v>2596</v>
      </c>
      <c r="D5597" s="254">
        <v>7.17</v>
      </c>
      <c r="E5597"/>
      <c r="F5597"/>
      <c r="G5597"/>
      <c r="H5597"/>
      <c r="I5597" s="489"/>
      <c r="J5597" s="1095"/>
      <c r="K5597" s="1095"/>
      <c r="L5597" s="1095"/>
      <c r="M5597" s="1095"/>
    </row>
    <row r="5598" spans="1:13" x14ac:dyDescent="0.25">
      <c r="A5598">
        <v>5501931</v>
      </c>
      <c r="B5598" t="s">
        <v>12640</v>
      </c>
      <c r="C5598" t="s">
        <v>2596</v>
      </c>
      <c r="D5598" s="254">
        <v>10.38</v>
      </c>
      <c r="E5598"/>
      <c r="F5598"/>
      <c r="G5598"/>
      <c r="H5598"/>
      <c r="I5598" s="489"/>
      <c r="J5598" s="1095"/>
      <c r="K5598" s="1095"/>
      <c r="L5598" s="1095"/>
      <c r="M5598" s="1095"/>
    </row>
    <row r="5599" spans="1:13" x14ac:dyDescent="0.25">
      <c r="A5599">
        <v>5502165</v>
      </c>
      <c r="B5599" t="s">
        <v>12641</v>
      </c>
      <c r="C5599" t="s">
        <v>2596</v>
      </c>
      <c r="D5599" s="254">
        <v>6.87</v>
      </c>
      <c r="E5599"/>
      <c r="F5599"/>
      <c r="G5599"/>
      <c r="H5599"/>
      <c r="I5599" s="489"/>
      <c r="J5599" s="1095"/>
      <c r="K5599" s="1095"/>
      <c r="L5599" s="1095"/>
      <c r="M5599" s="1095"/>
    </row>
    <row r="5600" spans="1:13" x14ac:dyDescent="0.25">
      <c r="A5600">
        <v>5502825</v>
      </c>
      <c r="B5600" t="s">
        <v>12642</v>
      </c>
      <c r="C5600" t="s">
        <v>2596</v>
      </c>
      <c r="D5600" s="254">
        <v>16.71</v>
      </c>
      <c r="E5600"/>
      <c r="F5600"/>
      <c r="G5600"/>
      <c r="H5600"/>
      <c r="I5600" s="489"/>
      <c r="J5600" s="1095"/>
      <c r="K5600" s="1095"/>
      <c r="L5600" s="1095"/>
      <c r="M5600" s="1095"/>
    </row>
    <row r="5601" spans="1:13" x14ac:dyDescent="0.25">
      <c r="A5601">
        <v>5502834</v>
      </c>
      <c r="B5601" t="s">
        <v>12643</v>
      </c>
      <c r="C5601" t="s">
        <v>2596</v>
      </c>
      <c r="D5601" s="254">
        <v>12.92</v>
      </c>
      <c r="E5601"/>
      <c r="F5601"/>
      <c r="G5601"/>
      <c r="H5601"/>
      <c r="I5601" s="489"/>
      <c r="J5601" s="1095"/>
      <c r="K5601" s="1095"/>
      <c r="L5601" s="1095"/>
      <c r="M5601" s="1095"/>
    </row>
    <row r="5602" spans="1:13" x14ac:dyDescent="0.25">
      <c r="A5602">
        <v>5502826</v>
      </c>
      <c r="B5602" t="s">
        <v>12644</v>
      </c>
      <c r="C5602" t="s">
        <v>2596</v>
      </c>
      <c r="D5602" s="254">
        <v>13.52</v>
      </c>
      <c r="E5602"/>
      <c r="F5602"/>
      <c r="G5602"/>
      <c r="H5602"/>
      <c r="I5602" s="489"/>
      <c r="J5602" s="1095"/>
      <c r="K5602" s="1095"/>
      <c r="L5602" s="1095"/>
      <c r="M5602" s="1095"/>
    </row>
    <row r="5603" spans="1:13" x14ac:dyDescent="0.25">
      <c r="A5603">
        <v>5502835</v>
      </c>
      <c r="B5603" t="s">
        <v>12645</v>
      </c>
      <c r="C5603" t="s">
        <v>2596</v>
      </c>
      <c r="D5603" s="254">
        <v>10.11</v>
      </c>
      <c r="E5603"/>
      <c r="F5603"/>
      <c r="G5603"/>
      <c r="H5603"/>
      <c r="I5603" s="489"/>
      <c r="J5603" s="1095"/>
      <c r="K5603" s="1095"/>
      <c r="L5603" s="1095"/>
      <c r="M5603" s="1095"/>
    </row>
    <row r="5604" spans="1:13" x14ac:dyDescent="0.25">
      <c r="A5604">
        <v>5502827</v>
      </c>
      <c r="B5604" t="s">
        <v>12646</v>
      </c>
      <c r="C5604" t="s">
        <v>2596</v>
      </c>
      <c r="D5604" s="254">
        <v>12.85</v>
      </c>
      <c r="E5604"/>
      <c r="F5604"/>
      <c r="G5604"/>
      <c r="H5604"/>
      <c r="I5604" s="489"/>
      <c r="J5604" s="1095"/>
      <c r="K5604" s="1095"/>
      <c r="L5604" s="1095"/>
      <c r="M5604" s="1095"/>
    </row>
    <row r="5605" spans="1:13" x14ac:dyDescent="0.25">
      <c r="A5605">
        <v>5502836</v>
      </c>
      <c r="B5605" t="s">
        <v>12647</v>
      </c>
      <c r="C5605" t="s">
        <v>2596</v>
      </c>
      <c r="D5605" s="254">
        <v>9.4</v>
      </c>
      <c r="E5605"/>
      <c r="F5605"/>
      <c r="G5605"/>
      <c r="H5605"/>
      <c r="I5605" s="489"/>
      <c r="J5605" s="1095"/>
      <c r="K5605" s="1095"/>
      <c r="L5605" s="1095"/>
      <c r="M5605" s="1095"/>
    </row>
    <row r="5606" spans="1:13" x14ac:dyDescent="0.25">
      <c r="A5606">
        <v>5502356</v>
      </c>
      <c r="B5606" t="s">
        <v>12648</v>
      </c>
      <c r="C5606" t="s">
        <v>2596</v>
      </c>
      <c r="D5606" s="254">
        <v>19.010000000000002</v>
      </c>
      <c r="E5606"/>
      <c r="F5606"/>
      <c r="G5606"/>
      <c r="H5606"/>
      <c r="I5606" s="489"/>
      <c r="J5606" s="1095"/>
      <c r="K5606" s="1095"/>
      <c r="L5606" s="1095"/>
      <c r="M5606" s="1095"/>
    </row>
    <row r="5607" spans="1:13" x14ac:dyDescent="0.25">
      <c r="A5607">
        <v>5502590</v>
      </c>
      <c r="B5607" t="s">
        <v>12649</v>
      </c>
      <c r="C5607" t="s">
        <v>2596</v>
      </c>
      <c r="D5607" s="254">
        <v>11.64</v>
      </c>
      <c r="E5607"/>
      <c r="F5607"/>
      <c r="G5607"/>
      <c r="H5607"/>
      <c r="I5607" s="489"/>
      <c r="J5607" s="1095"/>
      <c r="K5607" s="1095"/>
      <c r="L5607" s="1095"/>
      <c r="M5607" s="1095"/>
    </row>
    <row r="5608" spans="1:13" x14ac:dyDescent="0.25">
      <c r="A5608">
        <v>5502382</v>
      </c>
      <c r="B5608" t="s">
        <v>12650</v>
      </c>
      <c r="C5608" t="s">
        <v>2596</v>
      </c>
      <c r="D5608" s="254">
        <v>17.489999999999998</v>
      </c>
      <c r="E5608"/>
      <c r="F5608"/>
      <c r="G5608"/>
      <c r="H5608"/>
      <c r="I5608" s="489"/>
      <c r="J5608" s="1095"/>
      <c r="K5608" s="1095"/>
      <c r="L5608" s="1095"/>
      <c r="M5608" s="1095"/>
    </row>
    <row r="5609" spans="1:13" x14ac:dyDescent="0.25">
      <c r="A5609">
        <v>5502616</v>
      </c>
      <c r="B5609" t="s">
        <v>12651</v>
      </c>
      <c r="C5609" t="s">
        <v>2596</v>
      </c>
      <c r="D5609" s="254">
        <v>9.98</v>
      </c>
      <c r="E5609"/>
      <c r="F5609"/>
      <c r="G5609"/>
      <c r="H5609"/>
      <c r="I5609" s="489"/>
      <c r="J5609" s="1095"/>
      <c r="K5609" s="1095"/>
      <c r="L5609" s="1095"/>
      <c r="M5609" s="1095"/>
    </row>
    <row r="5610" spans="1:13" x14ac:dyDescent="0.25">
      <c r="A5610">
        <v>5502408</v>
      </c>
      <c r="B5610" t="s">
        <v>12652</v>
      </c>
      <c r="C5610" t="s">
        <v>2596</v>
      </c>
      <c r="D5610" s="254">
        <v>17.16</v>
      </c>
      <c r="E5610"/>
      <c r="F5610"/>
      <c r="G5610"/>
      <c r="H5610"/>
      <c r="I5610" s="489"/>
      <c r="J5610" s="1095"/>
      <c r="K5610" s="1095"/>
      <c r="L5610" s="1095"/>
      <c r="M5610" s="1095"/>
    </row>
    <row r="5611" spans="1:13" x14ac:dyDescent="0.25">
      <c r="A5611">
        <v>5502642</v>
      </c>
      <c r="B5611" t="s">
        <v>12653</v>
      </c>
      <c r="C5611" t="s">
        <v>2596</v>
      </c>
      <c r="D5611" s="254">
        <v>9.6</v>
      </c>
      <c r="E5611"/>
      <c r="F5611"/>
      <c r="G5611"/>
      <c r="H5611"/>
      <c r="I5611" s="489"/>
      <c r="J5611" s="1095"/>
      <c r="K5611" s="1095"/>
      <c r="L5611" s="1095"/>
      <c r="M5611" s="1095"/>
    </row>
    <row r="5612" spans="1:13" x14ac:dyDescent="0.25">
      <c r="A5612">
        <v>5502357</v>
      </c>
      <c r="B5612" t="s">
        <v>12654</v>
      </c>
      <c r="C5612" t="s">
        <v>2596</v>
      </c>
      <c r="D5612" s="254">
        <v>19.350000000000001</v>
      </c>
      <c r="E5612"/>
      <c r="F5612"/>
      <c r="G5612"/>
      <c r="H5612"/>
      <c r="I5612" s="489"/>
      <c r="J5612" s="1095"/>
      <c r="K5612" s="1095"/>
      <c r="L5612" s="1095"/>
      <c r="M5612" s="1095"/>
    </row>
    <row r="5613" spans="1:13" x14ac:dyDescent="0.25">
      <c r="A5613">
        <v>5502591</v>
      </c>
      <c r="B5613" t="s">
        <v>12655</v>
      </c>
      <c r="C5613" t="s">
        <v>2596</v>
      </c>
      <c r="D5613" s="254">
        <v>12</v>
      </c>
      <c r="E5613"/>
      <c r="F5613"/>
      <c r="G5613"/>
      <c r="H5613"/>
      <c r="I5613" s="489"/>
      <c r="J5613" s="1095"/>
      <c r="K5613" s="1095"/>
      <c r="L5613" s="1095"/>
      <c r="M5613" s="1095"/>
    </row>
    <row r="5614" spans="1:13" x14ac:dyDescent="0.25">
      <c r="A5614">
        <v>5502383</v>
      </c>
      <c r="B5614" t="s">
        <v>12656</v>
      </c>
      <c r="C5614" t="s">
        <v>2596</v>
      </c>
      <c r="D5614" s="254">
        <v>17.7</v>
      </c>
      <c r="E5614"/>
      <c r="F5614"/>
      <c r="G5614"/>
      <c r="H5614"/>
      <c r="I5614" s="489"/>
      <c r="J5614" s="1095"/>
      <c r="K5614" s="1095"/>
      <c r="L5614" s="1095"/>
      <c r="M5614" s="1095"/>
    </row>
    <row r="5615" spans="1:13" x14ac:dyDescent="0.25">
      <c r="A5615">
        <v>5502617</v>
      </c>
      <c r="B5615" t="s">
        <v>12657</v>
      </c>
      <c r="C5615" t="s">
        <v>2596</v>
      </c>
      <c r="D5615" s="254">
        <v>10.15</v>
      </c>
      <c r="E5615"/>
      <c r="F5615"/>
      <c r="G5615"/>
      <c r="H5615"/>
      <c r="I5615" s="489"/>
      <c r="J5615" s="1095"/>
      <c r="K5615" s="1095"/>
      <c r="L5615" s="1095"/>
      <c r="M5615" s="1095"/>
    </row>
    <row r="5616" spans="1:13" x14ac:dyDescent="0.25">
      <c r="A5616">
        <v>5502409</v>
      </c>
      <c r="B5616" t="s">
        <v>12658</v>
      </c>
      <c r="C5616" t="s">
        <v>2596</v>
      </c>
      <c r="D5616" s="254">
        <v>17.329999999999998</v>
      </c>
      <c r="E5616"/>
      <c r="F5616"/>
      <c r="G5616"/>
      <c r="H5616"/>
      <c r="I5616" s="489"/>
      <c r="J5616" s="1095"/>
      <c r="K5616" s="1095"/>
      <c r="L5616" s="1095"/>
      <c r="M5616" s="1095"/>
    </row>
    <row r="5617" spans="1:13" x14ac:dyDescent="0.25">
      <c r="A5617">
        <v>5502643</v>
      </c>
      <c r="B5617" t="s">
        <v>12659</v>
      </c>
      <c r="C5617" t="s">
        <v>2596</v>
      </c>
      <c r="D5617" s="254">
        <v>9.82</v>
      </c>
      <c r="E5617"/>
      <c r="F5617"/>
      <c r="G5617"/>
      <c r="H5617"/>
      <c r="I5617" s="489"/>
      <c r="J5617" s="1095"/>
      <c r="K5617" s="1095"/>
      <c r="L5617" s="1095"/>
      <c r="M5617" s="1095"/>
    </row>
    <row r="5618" spans="1:13" x14ac:dyDescent="0.25">
      <c r="A5618">
        <v>5502358</v>
      </c>
      <c r="B5618" t="s">
        <v>12660</v>
      </c>
      <c r="C5618" t="s">
        <v>2596</v>
      </c>
      <c r="D5618" s="254">
        <v>19.690000000000001</v>
      </c>
      <c r="E5618"/>
      <c r="F5618"/>
      <c r="G5618"/>
      <c r="H5618"/>
      <c r="I5618" s="489"/>
      <c r="J5618" s="1095"/>
      <c r="K5618" s="1095"/>
      <c r="L5618" s="1095"/>
      <c r="M5618" s="1095"/>
    </row>
    <row r="5619" spans="1:13" x14ac:dyDescent="0.25">
      <c r="A5619">
        <v>5502592</v>
      </c>
      <c r="B5619" t="s">
        <v>12661</v>
      </c>
      <c r="C5619" t="s">
        <v>2596</v>
      </c>
      <c r="D5619" s="254">
        <v>12.29</v>
      </c>
      <c r="E5619"/>
      <c r="F5619"/>
      <c r="G5619"/>
      <c r="H5619"/>
      <c r="I5619" s="489"/>
      <c r="J5619" s="1095"/>
      <c r="K5619" s="1095"/>
      <c r="L5619" s="1095"/>
      <c r="M5619" s="1095"/>
    </row>
    <row r="5620" spans="1:13" x14ac:dyDescent="0.25">
      <c r="A5620">
        <v>5502384</v>
      </c>
      <c r="B5620" t="s">
        <v>12662</v>
      </c>
      <c r="C5620" t="s">
        <v>2596</v>
      </c>
      <c r="D5620" s="254">
        <v>17.920000000000002</v>
      </c>
      <c r="E5620"/>
      <c r="F5620"/>
      <c r="G5620"/>
      <c r="H5620"/>
      <c r="I5620" s="489"/>
      <c r="J5620" s="1095"/>
      <c r="K5620" s="1095"/>
      <c r="L5620" s="1095"/>
      <c r="M5620" s="1095"/>
    </row>
    <row r="5621" spans="1:13" x14ac:dyDescent="0.25">
      <c r="A5621">
        <v>5502618</v>
      </c>
      <c r="B5621" t="s">
        <v>12663</v>
      </c>
      <c r="C5621" t="s">
        <v>2596</v>
      </c>
      <c r="D5621" s="254">
        <v>11.05</v>
      </c>
      <c r="E5621"/>
      <c r="F5621"/>
      <c r="G5621"/>
      <c r="H5621"/>
      <c r="I5621" s="489"/>
      <c r="J5621" s="1095"/>
      <c r="K5621" s="1095"/>
      <c r="L5621" s="1095"/>
      <c r="M5621" s="1095"/>
    </row>
    <row r="5622" spans="1:13" x14ac:dyDescent="0.25">
      <c r="A5622">
        <v>5502410</v>
      </c>
      <c r="B5622" t="s">
        <v>12664</v>
      </c>
      <c r="C5622" t="s">
        <v>2596</v>
      </c>
      <c r="D5622" s="254">
        <v>17.489999999999998</v>
      </c>
      <c r="E5622"/>
      <c r="F5622"/>
      <c r="G5622"/>
      <c r="H5622"/>
      <c r="I5622" s="489"/>
      <c r="J5622" s="1095"/>
      <c r="K5622" s="1095"/>
      <c r="L5622" s="1095"/>
      <c r="M5622" s="1095"/>
    </row>
    <row r="5623" spans="1:13" x14ac:dyDescent="0.25">
      <c r="A5623">
        <v>5502644</v>
      </c>
      <c r="B5623" t="s">
        <v>12665</v>
      </c>
      <c r="C5623" t="s">
        <v>2596</v>
      </c>
      <c r="D5623" s="254">
        <v>9.98</v>
      </c>
      <c r="E5623"/>
      <c r="F5623"/>
      <c r="G5623"/>
      <c r="H5623"/>
      <c r="I5623" s="489"/>
      <c r="J5623" s="1095"/>
      <c r="K5623" s="1095"/>
      <c r="L5623" s="1095"/>
      <c r="M5623" s="1095"/>
    </row>
    <row r="5624" spans="1:13" x14ac:dyDescent="0.25">
      <c r="A5624">
        <v>5502359</v>
      </c>
      <c r="B5624" t="s">
        <v>12666</v>
      </c>
      <c r="C5624" t="s">
        <v>2596</v>
      </c>
      <c r="D5624" s="254">
        <v>20.02</v>
      </c>
      <c r="E5624"/>
      <c r="F5624"/>
      <c r="G5624"/>
      <c r="H5624"/>
      <c r="I5624" s="489"/>
      <c r="J5624" s="1095"/>
      <c r="K5624" s="1095"/>
      <c r="L5624" s="1095"/>
      <c r="M5624" s="1095"/>
    </row>
    <row r="5625" spans="1:13" x14ac:dyDescent="0.25">
      <c r="A5625">
        <v>5502593</v>
      </c>
      <c r="B5625" t="s">
        <v>12667</v>
      </c>
      <c r="C5625" t="s">
        <v>2596</v>
      </c>
      <c r="D5625" s="254">
        <v>12.65</v>
      </c>
      <c r="E5625"/>
      <c r="F5625"/>
      <c r="G5625"/>
      <c r="H5625"/>
      <c r="I5625" s="489"/>
      <c r="J5625" s="1095"/>
      <c r="K5625" s="1095"/>
      <c r="L5625" s="1095"/>
      <c r="M5625" s="1095"/>
    </row>
    <row r="5626" spans="1:13" x14ac:dyDescent="0.25">
      <c r="A5626">
        <v>5502385</v>
      </c>
      <c r="B5626" t="s">
        <v>12668</v>
      </c>
      <c r="C5626" t="s">
        <v>2596</v>
      </c>
      <c r="D5626" s="254">
        <v>18.14</v>
      </c>
      <c r="E5626"/>
      <c r="F5626"/>
      <c r="G5626"/>
      <c r="H5626"/>
      <c r="I5626" s="489"/>
      <c r="J5626" s="1095"/>
      <c r="K5626" s="1095"/>
      <c r="L5626" s="1095"/>
      <c r="M5626" s="1095"/>
    </row>
    <row r="5627" spans="1:13" x14ac:dyDescent="0.25">
      <c r="A5627">
        <v>5502619</v>
      </c>
      <c r="B5627" t="s">
        <v>12669</v>
      </c>
      <c r="C5627" t="s">
        <v>2596</v>
      </c>
      <c r="D5627" s="254">
        <v>11.27</v>
      </c>
      <c r="E5627"/>
      <c r="F5627"/>
      <c r="G5627"/>
      <c r="H5627"/>
      <c r="I5627" s="489"/>
      <c r="J5627" s="1095"/>
      <c r="K5627" s="1095"/>
      <c r="L5627" s="1095"/>
      <c r="M5627" s="1095"/>
    </row>
    <row r="5628" spans="1:13" x14ac:dyDescent="0.25">
      <c r="A5628">
        <v>5502411</v>
      </c>
      <c r="B5628" t="s">
        <v>12670</v>
      </c>
      <c r="C5628" t="s">
        <v>2596</v>
      </c>
      <c r="D5628" s="254">
        <v>17.649999999999999</v>
      </c>
      <c r="E5628"/>
      <c r="F5628"/>
      <c r="G5628"/>
      <c r="H5628"/>
      <c r="I5628" s="489"/>
      <c r="J5628" s="1095"/>
      <c r="K5628" s="1095"/>
      <c r="L5628" s="1095"/>
      <c r="M5628" s="1095"/>
    </row>
    <row r="5629" spans="1:13" x14ac:dyDescent="0.25">
      <c r="A5629">
        <v>5502645</v>
      </c>
      <c r="B5629" t="s">
        <v>12671</v>
      </c>
      <c r="C5629" t="s">
        <v>2596</v>
      </c>
      <c r="D5629" s="254">
        <v>10.15</v>
      </c>
      <c r="E5629"/>
      <c r="F5629"/>
      <c r="G5629"/>
      <c r="H5629"/>
      <c r="I5629" s="489"/>
      <c r="J5629" s="1095"/>
      <c r="K5629" s="1095"/>
      <c r="L5629" s="1095"/>
      <c r="M5629" s="1095"/>
    </row>
    <row r="5630" spans="1:13" x14ac:dyDescent="0.25">
      <c r="A5630">
        <v>5502360</v>
      </c>
      <c r="B5630" t="s">
        <v>12672</v>
      </c>
      <c r="C5630" t="s">
        <v>2596</v>
      </c>
      <c r="D5630" s="254">
        <v>20.81</v>
      </c>
      <c r="E5630"/>
      <c r="F5630"/>
      <c r="G5630"/>
      <c r="H5630"/>
      <c r="I5630" s="489"/>
      <c r="J5630" s="1095"/>
      <c r="K5630" s="1095"/>
      <c r="L5630" s="1095"/>
      <c r="M5630" s="1095"/>
    </row>
    <row r="5631" spans="1:13" x14ac:dyDescent="0.25">
      <c r="A5631">
        <v>5502594</v>
      </c>
      <c r="B5631" t="s">
        <v>12673</v>
      </c>
      <c r="C5631" t="s">
        <v>2596</v>
      </c>
      <c r="D5631" s="254">
        <v>13.65</v>
      </c>
      <c r="E5631"/>
      <c r="F5631"/>
      <c r="G5631"/>
      <c r="H5631"/>
      <c r="I5631" s="489"/>
      <c r="J5631" s="1095"/>
      <c r="K5631" s="1095"/>
      <c r="L5631" s="1095"/>
      <c r="M5631" s="1095"/>
    </row>
    <row r="5632" spans="1:13" x14ac:dyDescent="0.25">
      <c r="A5632">
        <v>5502386</v>
      </c>
      <c r="B5632" t="s">
        <v>12674</v>
      </c>
      <c r="C5632" t="s">
        <v>2596</v>
      </c>
      <c r="D5632" s="254">
        <v>18.809999999999999</v>
      </c>
      <c r="E5632"/>
      <c r="F5632"/>
      <c r="G5632"/>
      <c r="H5632"/>
      <c r="I5632" s="489"/>
      <c r="J5632" s="1095"/>
      <c r="K5632" s="1095"/>
      <c r="L5632" s="1095"/>
      <c r="M5632" s="1095"/>
    </row>
    <row r="5633" spans="1:13" x14ac:dyDescent="0.25">
      <c r="A5633">
        <v>5502620</v>
      </c>
      <c r="B5633" t="s">
        <v>12675</v>
      </c>
      <c r="C5633" t="s">
        <v>2596</v>
      </c>
      <c r="D5633" s="254">
        <v>11.42</v>
      </c>
      <c r="E5633"/>
      <c r="F5633"/>
      <c r="G5633"/>
      <c r="H5633"/>
      <c r="I5633" s="489"/>
      <c r="J5633" s="1095"/>
      <c r="K5633" s="1095"/>
      <c r="L5633" s="1095"/>
      <c r="M5633" s="1095"/>
    </row>
    <row r="5634" spans="1:13" x14ac:dyDescent="0.25">
      <c r="A5634">
        <v>5502412</v>
      </c>
      <c r="B5634" t="s">
        <v>12676</v>
      </c>
      <c r="C5634" t="s">
        <v>2596</v>
      </c>
      <c r="D5634" s="254">
        <v>17.809999999999999</v>
      </c>
      <c r="E5634"/>
      <c r="F5634"/>
      <c r="G5634"/>
      <c r="H5634"/>
      <c r="I5634" s="489"/>
      <c r="J5634" s="1095"/>
      <c r="K5634" s="1095"/>
      <c r="L5634" s="1095"/>
      <c r="M5634" s="1095"/>
    </row>
    <row r="5635" spans="1:13" x14ac:dyDescent="0.25">
      <c r="A5635">
        <v>5502646</v>
      </c>
      <c r="B5635" t="s">
        <v>12677</v>
      </c>
      <c r="C5635" t="s">
        <v>2596</v>
      </c>
      <c r="D5635" s="254">
        <v>10.98</v>
      </c>
      <c r="E5635"/>
      <c r="F5635"/>
      <c r="G5635"/>
      <c r="H5635"/>
      <c r="I5635" s="489"/>
      <c r="J5635" s="1095"/>
      <c r="K5635" s="1095"/>
      <c r="L5635" s="1095"/>
      <c r="M5635" s="1095"/>
    </row>
    <row r="5636" spans="1:13" x14ac:dyDescent="0.25">
      <c r="A5636">
        <v>5502361</v>
      </c>
      <c r="B5636" t="s">
        <v>12678</v>
      </c>
      <c r="C5636" t="s">
        <v>2596</v>
      </c>
      <c r="D5636" s="254">
        <v>21.37</v>
      </c>
      <c r="E5636"/>
      <c r="F5636"/>
      <c r="G5636"/>
      <c r="H5636"/>
      <c r="I5636" s="489"/>
      <c r="J5636" s="1095"/>
      <c r="K5636" s="1095"/>
      <c r="L5636" s="1095"/>
      <c r="M5636" s="1095"/>
    </row>
    <row r="5637" spans="1:13" x14ac:dyDescent="0.25">
      <c r="A5637">
        <v>5502595</v>
      </c>
      <c r="B5637" t="s">
        <v>12679</v>
      </c>
      <c r="C5637" t="s">
        <v>2596</v>
      </c>
      <c r="D5637" s="254">
        <v>14.2</v>
      </c>
      <c r="E5637"/>
      <c r="F5637"/>
      <c r="G5637"/>
      <c r="H5637"/>
      <c r="I5637" s="489"/>
      <c r="J5637" s="1095"/>
      <c r="K5637" s="1095"/>
      <c r="L5637" s="1095"/>
      <c r="M5637" s="1095"/>
    </row>
    <row r="5638" spans="1:13" x14ac:dyDescent="0.25">
      <c r="A5638">
        <v>5502387</v>
      </c>
      <c r="B5638" t="s">
        <v>12680</v>
      </c>
      <c r="C5638" t="s">
        <v>2596</v>
      </c>
      <c r="D5638" s="254">
        <v>19.21</v>
      </c>
      <c r="E5638"/>
      <c r="F5638"/>
      <c r="G5638"/>
      <c r="H5638"/>
      <c r="I5638" s="489"/>
      <c r="J5638" s="1095"/>
      <c r="K5638" s="1095"/>
      <c r="L5638" s="1095"/>
      <c r="M5638" s="1095"/>
    </row>
    <row r="5639" spans="1:13" x14ac:dyDescent="0.25">
      <c r="A5639">
        <v>5502621</v>
      </c>
      <c r="B5639" t="s">
        <v>12681</v>
      </c>
      <c r="C5639" t="s">
        <v>2596</v>
      </c>
      <c r="D5639" s="254">
        <v>11.85</v>
      </c>
      <c r="E5639"/>
      <c r="F5639"/>
      <c r="G5639"/>
      <c r="H5639"/>
      <c r="I5639" s="489"/>
      <c r="J5639" s="1095"/>
      <c r="K5639" s="1095"/>
      <c r="L5639" s="1095"/>
      <c r="M5639" s="1095"/>
    </row>
    <row r="5640" spans="1:13" x14ac:dyDescent="0.25">
      <c r="A5640">
        <v>5502413</v>
      </c>
      <c r="B5640" t="s">
        <v>12682</v>
      </c>
      <c r="C5640" t="s">
        <v>2596</v>
      </c>
      <c r="D5640" s="254">
        <v>18.14</v>
      </c>
      <c r="E5640"/>
      <c r="F5640"/>
      <c r="G5640"/>
      <c r="H5640"/>
      <c r="I5640" s="489"/>
      <c r="J5640" s="1095"/>
      <c r="K5640" s="1095"/>
      <c r="L5640" s="1095"/>
      <c r="M5640" s="1095"/>
    </row>
    <row r="5641" spans="1:13" x14ac:dyDescent="0.25">
      <c r="A5641">
        <v>5502647</v>
      </c>
      <c r="B5641" t="s">
        <v>12683</v>
      </c>
      <c r="C5641" t="s">
        <v>2596</v>
      </c>
      <c r="D5641" s="254">
        <v>11.27</v>
      </c>
      <c r="E5641"/>
      <c r="F5641"/>
      <c r="G5641"/>
      <c r="H5641"/>
      <c r="I5641" s="489"/>
      <c r="J5641" s="1095"/>
      <c r="K5641" s="1095"/>
      <c r="L5641" s="1095"/>
      <c r="M5641" s="1095"/>
    </row>
    <row r="5642" spans="1:13" x14ac:dyDescent="0.25">
      <c r="A5642">
        <v>5502362</v>
      </c>
      <c r="B5642" t="s">
        <v>12684</v>
      </c>
      <c r="C5642" t="s">
        <v>2596</v>
      </c>
      <c r="D5642" s="254">
        <v>22.84</v>
      </c>
      <c r="E5642"/>
      <c r="F5642"/>
      <c r="G5642"/>
      <c r="H5642"/>
      <c r="I5642" s="489"/>
      <c r="J5642" s="1095"/>
      <c r="K5642" s="1095"/>
      <c r="L5642" s="1095"/>
      <c r="M5642" s="1095"/>
    </row>
    <row r="5643" spans="1:13" x14ac:dyDescent="0.25">
      <c r="A5643">
        <v>5502596</v>
      </c>
      <c r="B5643" t="s">
        <v>12685</v>
      </c>
      <c r="C5643" t="s">
        <v>2596</v>
      </c>
      <c r="D5643" s="254">
        <v>15.11</v>
      </c>
      <c r="E5643"/>
      <c r="F5643"/>
      <c r="G5643"/>
      <c r="H5643"/>
      <c r="I5643" s="489"/>
      <c r="J5643" s="1095"/>
      <c r="K5643" s="1095"/>
      <c r="L5643" s="1095"/>
      <c r="M5643" s="1095"/>
    </row>
    <row r="5644" spans="1:13" x14ac:dyDescent="0.25">
      <c r="A5644">
        <v>5502388</v>
      </c>
      <c r="B5644" t="s">
        <v>12686</v>
      </c>
      <c r="C5644" t="s">
        <v>2596</v>
      </c>
      <c r="D5644" s="254">
        <v>19.75</v>
      </c>
      <c r="E5644"/>
      <c r="F5644"/>
      <c r="G5644"/>
      <c r="H5644"/>
      <c r="I5644" s="489"/>
      <c r="J5644" s="1095"/>
      <c r="K5644" s="1095"/>
      <c r="L5644" s="1095"/>
      <c r="M5644" s="1095"/>
    </row>
    <row r="5645" spans="1:13" x14ac:dyDescent="0.25">
      <c r="A5645">
        <v>5502622</v>
      </c>
      <c r="B5645" t="s">
        <v>12687</v>
      </c>
      <c r="C5645" t="s">
        <v>2596</v>
      </c>
      <c r="D5645" s="254">
        <v>12.44</v>
      </c>
      <c r="E5645"/>
      <c r="F5645"/>
      <c r="G5645"/>
      <c r="H5645"/>
      <c r="I5645" s="489"/>
      <c r="J5645" s="1095"/>
      <c r="K5645" s="1095"/>
      <c r="L5645" s="1095"/>
      <c r="M5645" s="1095"/>
    </row>
    <row r="5646" spans="1:13" x14ac:dyDescent="0.25">
      <c r="A5646">
        <v>5502414</v>
      </c>
      <c r="B5646" t="s">
        <v>12688</v>
      </c>
      <c r="C5646" t="s">
        <v>2596</v>
      </c>
      <c r="D5646" s="254">
        <v>19.149999999999999</v>
      </c>
      <c r="E5646"/>
      <c r="F5646"/>
      <c r="G5646"/>
      <c r="H5646"/>
      <c r="I5646" s="489"/>
      <c r="J5646" s="1095"/>
      <c r="K5646" s="1095"/>
      <c r="L5646" s="1095"/>
      <c r="M5646" s="1095"/>
    </row>
    <row r="5647" spans="1:13" x14ac:dyDescent="0.25">
      <c r="A5647">
        <v>5502648</v>
      </c>
      <c r="B5647" t="s">
        <v>12689</v>
      </c>
      <c r="C5647" t="s">
        <v>2596</v>
      </c>
      <c r="D5647" s="254">
        <v>11.78</v>
      </c>
      <c r="E5647"/>
      <c r="F5647"/>
      <c r="G5647"/>
      <c r="H5647"/>
      <c r="I5647" s="489"/>
      <c r="J5647" s="1095"/>
      <c r="K5647" s="1095"/>
      <c r="L5647" s="1095"/>
      <c r="M5647" s="1095"/>
    </row>
    <row r="5648" spans="1:13" x14ac:dyDescent="0.25">
      <c r="A5648">
        <v>5502352</v>
      </c>
      <c r="B5648" t="s">
        <v>12690</v>
      </c>
      <c r="C5648" t="s">
        <v>2596</v>
      </c>
      <c r="D5648" s="254">
        <v>17</v>
      </c>
      <c r="E5648"/>
      <c r="F5648"/>
      <c r="G5648"/>
      <c r="H5648"/>
      <c r="I5648" s="489"/>
      <c r="J5648" s="1095"/>
      <c r="K5648" s="1095"/>
      <c r="L5648" s="1095"/>
      <c r="M5648" s="1095"/>
    </row>
    <row r="5649" spans="1:13" x14ac:dyDescent="0.25">
      <c r="A5649">
        <v>5502586</v>
      </c>
      <c r="B5649" t="s">
        <v>12691</v>
      </c>
      <c r="C5649" t="s">
        <v>2596</v>
      </c>
      <c r="D5649" s="254">
        <v>9.49</v>
      </c>
      <c r="E5649"/>
      <c r="F5649"/>
      <c r="G5649"/>
      <c r="H5649"/>
      <c r="I5649" s="489"/>
      <c r="J5649" s="1095"/>
      <c r="K5649" s="1095"/>
      <c r="L5649" s="1095"/>
      <c r="M5649" s="1095"/>
    </row>
    <row r="5650" spans="1:13" x14ac:dyDescent="0.25">
      <c r="A5650">
        <v>5502378</v>
      </c>
      <c r="B5650" t="s">
        <v>12692</v>
      </c>
      <c r="C5650" t="s">
        <v>2596</v>
      </c>
      <c r="D5650" s="254">
        <v>15.99</v>
      </c>
      <c r="E5650"/>
      <c r="F5650"/>
      <c r="G5650"/>
      <c r="H5650"/>
      <c r="I5650" s="489"/>
      <c r="J5650" s="1095"/>
      <c r="K5650" s="1095"/>
      <c r="L5650" s="1095"/>
      <c r="M5650" s="1095"/>
    </row>
    <row r="5651" spans="1:13" x14ac:dyDescent="0.25">
      <c r="A5651">
        <v>5502612</v>
      </c>
      <c r="B5651" t="s">
        <v>6339</v>
      </c>
      <c r="C5651" t="s">
        <v>2596</v>
      </c>
      <c r="D5651" s="254">
        <v>8.9499999999999993</v>
      </c>
      <c r="E5651"/>
      <c r="F5651"/>
      <c r="G5651"/>
      <c r="H5651"/>
      <c r="I5651" s="489"/>
      <c r="J5651" s="1095"/>
      <c r="K5651" s="1095"/>
      <c r="L5651" s="1095"/>
      <c r="M5651" s="1095"/>
    </row>
    <row r="5652" spans="1:13" x14ac:dyDescent="0.25">
      <c r="A5652">
        <v>5502404</v>
      </c>
      <c r="B5652" t="s">
        <v>12693</v>
      </c>
      <c r="C5652" t="s">
        <v>2596</v>
      </c>
      <c r="D5652" s="254">
        <v>15.83</v>
      </c>
      <c r="E5652"/>
      <c r="F5652"/>
      <c r="G5652"/>
      <c r="H5652"/>
      <c r="I5652" s="489"/>
      <c r="J5652" s="1095"/>
      <c r="K5652" s="1095"/>
      <c r="L5652" s="1095"/>
      <c r="M5652" s="1095"/>
    </row>
    <row r="5653" spans="1:13" x14ac:dyDescent="0.25">
      <c r="A5653">
        <v>5502638</v>
      </c>
      <c r="B5653" t="s">
        <v>12694</v>
      </c>
      <c r="C5653" t="s">
        <v>2596</v>
      </c>
      <c r="D5653" s="254">
        <v>8.7799999999999994</v>
      </c>
      <c r="E5653"/>
      <c r="F5653"/>
      <c r="G5653"/>
      <c r="H5653"/>
      <c r="I5653" s="489"/>
      <c r="J5653" s="1095"/>
      <c r="K5653" s="1095"/>
      <c r="L5653" s="1095"/>
      <c r="M5653" s="1095"/>
    </row>
    <row r="5654" spans="1:13" x14ac:dyDescent="0.25">
      <c r="A5654">
        <v>5502353</v>
      </c>
      <c r="B5654" t="s">
        <v>12695</v>
      </c>
      <c r="C5654" t="s">
        <v>2596</v>
      </c>
      <c r="D5654" s="254">
        <v>17.43</v>
      </c>
      <c r="E5654"/>
      <c r="F5654"/>
      <c r="G5654"/>
      <c r="H5654"/>
      <c r="I5654" s="489"/>
      <c r="J5654" s="1095"/>
      <c r="K5654" s="1095"/>
      <c r="L5654" s="1095"/>
      <c r="M5654" s="1095"/>
    </row>
    <row r="5655" spans="1:13" x14ac:dyDescent="0.25">
      <c r="A5655">
        <v>5502587</v>
      </c>
      <c r="B5655" t="s">
        <v>12696</v>
      </c>
      <c r="C5655" t="s">
        <v>2596</v>
      </c>
      <c r="D5655" s="254">
        <v>9.93</v>
      </c>
      <c r="E5655"/>
      <c r="F5655"/>
      <c r="G5655"/>
      <c r="H5655"/>
      <c r="I5655" s="489"/>
      <c r="J5655" s="1095"/>
      <c r="K5655" s="1095"/>
      <c r="L5655" s="1095"/>
      <c r="M5655" s="1095"/>
    </row>
    <row r="5656" spans="1:13" x14ac:dyDescent="0.25">
      <c r="A5656">
        <v>5502379</v>
      </c>
      <c r="B5656" t="s">
        <v>12697</v>
      </c>
      <c r="C5656" t="s">
        <v>2596</v>
      </c>
      <c r="D5656" s="254">
        <v>16.32</v>
      </c>
      <c r="E5656"/>
      <c r="F5656"/>
      <c r="G5656"/>
      <c r="H5656"/>
      <c r="I5656" s="489"/>
      <c r="J5656" s="1095"/>
      <c r="K5656" s="1095"/>
      <c r="L5656" s="1095"/>
      <c r="M5656" s="1095"/>
    </row>
    <row r="5657" spans="1:13" x14ac:dyDescent="0.25">
      <c r="A5657">
        <v>5502613</v>
      </c>
      <c r="B5657" t="s">
        <v>6340</v>
      </c>
      <c r="C5657" t="s">
        <v>2596</v>
      </c>
      <c r="D5657" s="254">
        <v>9.27</v>
      </c>
      <c r="E5657"/>
      <c r="F5657"/>
      <c r="G5657"/>
      <c r="H5657"/>
      <c r="I5657" s="489"/>
      <c r="J5657" s="1095"/>
      <c r="K5657" s="1095"/>
      <c r="L5657" s="1095"/>
      <c r="M5657" s="1095"/>
    </row>
    <row r="5658" spans="1:13" x14ac:dyDescent="0.25">
      <c r="A5658">
        <v>5502405</v>
      </c>
      <c r="B5658" t="s">
        <v>12698</v>
      </c>
      <c r="C5658" t="s">
        <v>2596</v>
      </c>
      <c r="D5658" s="254">
        <v>16.07</v>
      </c>
      <c r="E5658"/>
      <c r="F5658"/>
      <c r="G5658"/>
      <c r="H5658"/>
      <c r="I5658" s="489"/>
      <c r="J5658" s="1095"/>
      <c r="K5658" s="1095"/>
      <c r="L5658" s="1095"/>
      <c r="M5658" s="1095"/>
    </row>
    <row r="5659" spans="1:13" x14ac:dyDescent="0.25">
      <c r="A5659">
        <v>5502639</v>
      </c>
      <c r="B5659" t="s">
        <v>12699</v>
      </c>
      <c r="C5659" t="s">
        <v>2596</v>
      </c>
      <c r="D5659" s="254">
        <v>9.06</v>
      </c>
      <c r="E5659"/>
      <c r="F5659"/>
      <c r="G5659"/>
      <c r="H5659"/>
      <c r="I5659" s="489"/>
      <c r="J5659" s="1095"/>
      <c r="K5659" s="1095"/>
      <c r="L5659" s="1095"/>
      <c r="M5659" s="1095"/>
    </row>
    <row r="5660" spans="1:13" x14ac:dyDescent="0.25">
      <c r="A5660">
        <v>5502351</v>
      </c>
      <c r="B5660" t="s">
        <v>12700</v>
      </c>
      <c r="C5660" t="s">
        <v>2596</v>
      </c>
      <c r="D5660" s="254">
        <v>15.99</v>
      </c>
      <c r="E5660"/>
      <c r="F5660"/>
      <c r="G5660"/>
      <c r="H5660"/>
      <c r="I5660" s="489"/>
      <c r="J5660" s="1095"/>
      <c r="K5660" s="1095"/>
      <c r="L5660" s="1095"/>
      <c r="M5660" s="1095"/>
    </row>
    <row r="5661" spans="1:13" x14ac:dyDescent="0.25">
      <c r="A5661">
        <v>5502585</v>
      </c>
      <c r="B5661" t="s">
        <v>12701</v>
      </c>
      <c r="C5661" t="s">
        <v>2596</v>
      </c>
      <c r="D5661" s="254">
        <v>8.9499999999999993</v>
      </c>
      <c r="E5661"/>
      <c r="F5661"/>
      <c r="G5661"/>
      <c r="H5661"/>
      <c r="I5661" s="489"/>
      <c r="J5661" s="1095"/>
      <c r="K5661" s="1095"/>
      <c r="L5661" s="1095"/>
      <c r="M5661" s="1095"/>
    </row>
    <row r="5662" spans="1:13" x14ac:dyDescent="0.25">
      <c r="A5662">
        <v>5502377</v>
      </c>
      <c r="B5662" t="s">
        <v>12702</v>
      </c>
      <c r="C5662" t="s">
        <v>2596</v>
      </c>
      <c r="D5662" s="254">
        <v>15.67</v>
      </c>
      <c r="E5662"/>
      <c r="F5662"/>
      <c r="G5662"/>
      <c r="H5662"/>
      <c r="I5662" s="489"/>
      <c r="J5662" s="1095"/>
      <c r="K5662" s="1095"/>
      <c r="L5662" s="1095"/>
      <c r="M5662" s="1095"/>
    </row>
    <row r="5663" spans="1:13" x14ac:dyDescent="0.25">
      <c r="A5663">
        <v>5502611</v>
      </c>
      <c r="B5663" t="s">
        <v>6338</v>
      </c>
      <c r="C5663" t="s">
        <v>2596</v>
      </c>
      <c r="D5663" s="254">
        <v>8.6199999999999992</v>
      </c>
      <c r="E5663"/>
      <c r="F5663"/>
      <c r="G5663"/>
      <c r="H5663"/>
      <c r="I5663" s="489"/>
      <c r="J5663" s="1095"/>
      <c r="K5663" s="1095"/>
      <c r="L5663" s="1095"/>
      <c r="M5663" s="1095"/>
    </row>
    <row r="5664" spans="1:13" x14ac:dyDescent="0.25">
      <c r="A5664">
        <v>5502403</v>
      </c>
      <c r="B5664" t="s">
        <v>12703</v>
      </c>
      <c r="C5664" t="s">
        <v>2596</v>
      </c>
      <c r="D5664" s="254">
        <v>15.55</v>
      </c>
      <c r="E5664"/>
      <c r="F5664"/>
      <c r="G5664"/>
      <c r="H5664"/>
      <c r="I5664" s="489"/>
      <c r="J5664" s="1095"/>
      <c r="K5664" s="1095"/>
      <c r="L5664" s="1095"/>
      <c r="M5664" s="1095"/>
    </row>
    <row r="5665" spans="1:13" x14ac:dyDescent="0.25">
      <c r="A5665">
        <v>5502637</v>
      </c>
      <c r="B5665" t="s">
        <v>12704</v>
      </c>
      <c r="C5665" t="s">
        <v>2596</v>
      </c>
      <c r="D5665" s="254">
        <v>8.51</v>
      </c>
      <c r="E5665"/>
      <c r="F5665"/>
      <c r="G5665"/>
      <c r="H5665"/>
      <c r="I5665" s="489"/>
      <c r="J5665" s="1095"/>
      <c r="K5665" s="1095"/>
      <c r="L5665" s="1095"/>
      <c r="M5665" s="1095"/>
    </row>
    <row r="5666" spans="1:13" x14ac:dyDescent="0.25">
      <c r="A5666">
        <v>5502187</v>
      </c>
      <c r="B5666" t="s">
        <v>6342</v>
      </c>
      <c r="C5666" t="s">
        <v>2596</v>
      </c>
      <c r="D5666" s="254">
        <v>7.73</v>
      </c>
      <c r="E5666"/>
      <c r="F5666"/>
      <c r="G5666"/>
      <c r="H5666"/>
      <c r="I5666" s="489"/>
      <c r="J5666" s="1095"/>
      <c r="K5666" s="1095"/>
      <c r="L5666" s="1095"/>
      <c r="M5666" s="1095"/>
    </row>
    <row r="5667" spans="1:13" x14ac:dyDescent="0.25">
      <c r="A5667">
        <v>5502354</v>
      </c>
      <c r="B5667" t="s">
        <v>12705</v>
      </c>
      <c r="C5667" t="s">
        <v>2596</v>
      </c>
      <c r="D5667" s="254">
        <v>17.87</v>
      </c>
      <c r="E5667"/>
      <c r="F5667"/>
      <c r="G5667"/>
      <c r="H5667"/>
      <c r="I5667" s="489"/>
      <c r="J5667" s="1095"/>
      <c r="K5667" s="1095"/>
      <c r="L5667" s="1095"/>
      <c r="M5667" s="1095"/>
    </row>
    <row r="5668" spans="1:13" x14ac:dyDescent="0.25">
      <c r="A5668">
        <v>5502588</v>
      </c>
      <c r="B5668" t="s">
        <v>12706</v>
      </c>
      <c r="C5668" t="s">
        <v>2596</v>
      </c>
      <c r="D5668" s="254">
        <v>10.98</v>
      </c>
      <c r="E5668"/>
      <c r="F5668"/>
      <c r="G5668"/>
      <c r="H5668"/>
      <c r="I5668" s="489"/>
      <c r="J5668" s="1095"/>
      <c r="K5668" s="1095"/>
      <c r="L5668" s="1095"/>
      <c r="M5668" s="1095"/>
    </row>
    <row r="5669" spans="1:13" x14ac:dyDescent="0.25">
      <c r="A5669">
        <v>5502380</v>
      </c>
      <c r="B5669" t="s">
        <v>12707</v>
      </c>
      <c r="C5669" t="s">
        <v>2596</v>
      </c>
      <c r="D5669" s="254">
        <v>17.059999999999999</v>
      </c>
      <c r="E5669"/>
      <c r="F5669"/>
      <c r="G5669"/>
      <c r="H5669"/>
      <c r="I5669" s="489"/>
      <c r="J5669" s="1095"/>
      <c r="K5669" s="1095"/>
      <c r="L5669" s="1095"/>
      <c r="M5669" s="1095"/>
    </row>
    <row r="5670" spans="1:13" x14ac:dyDescent="0.25">
      <c r="A5670">
        <v>5502614</v>
      </c>
      <c r="B5670" t="s">
        <v>6341</v>
      </c>
      <c r="C5670" t="s">
        <v>2596</v>
      </c>
      <c r="D5670" s="254">
        <v>9.49</v>
      </c>
      <c r="E5670"/>
      <c r="F5670"/>
      <c r="G5670"/>
      <c r="H5670"/>
      <c r="I5670" s="489"/>
      <c r="J5670" s="1095"/>
      <c r="K5670" s="1095"/>
      <c r="L5670" s="1095"/>
      <c r="M5670" s="1095"/>
    </row>
    <row r="5671" spans="1:13" x14ac:dyDescent="0.25">
      <c r="A5671">
        <v>5502406</v>
      </c>
      <c r="B5671" t="s">
        <v>12708</v>
      </c>
      <c r="C5671" t="s">
        <v>2596</v>
      </c>
      <c r="D5671" s="254">
        <v>16.28</v>
      </c>
      <c r="E5671"/>
      <c r="F5671"/>
      <c r="G5671"/>
      <c r="H5671"/>
      <c r="I5671" s="489"/>
      <c r="J5671" s="1095"/>
      <c r="K5671" s="1095"/>
      <c r="L5671" s="1095"/>
      <c r="M5671" s="1095"/>
    </row>
    <row r="5672" spans="1:13" x14ac:dyDescent="0.25">
      <c r="A5672">
        <v>5502640</v>
      </c>
      <c r="B5672" t="s">
        <v>12709</v>
      </c>
      <c r="C5672" t="s">
        <v>2596</v>
      </c>
      <c r="D5672" s="254">
        <v>9.27</v>
      </c>
      <c r="E5672"/>
      <c r="F5672"/>
      <c r="G5672"/>
      <c r="H5672"/>
      <c r="I5672" s="489"/>
      <c r="J5672" s="1095"/>
      <c r="K5672" s="1095"/>
      <c r="L5672" s="1095"/>
      <c r="M5672" s="1095"/>
    </row>
    <row r="5673" spans="1:13" x14ac:dyDescent="0.25">
      <c r="A5673">
        <v>5502355</v>
      </c>
      <c r="B5673" t="s">
        <v>12710</v>
      </c>
      <c r="C5673" t="s">
        <v>2596</v>
      </c>
      <c r="D5673" s="254">
        <v>18.190000000000001</v>
      </c>
      <c r="E5673"/>
      <c r="F5673"/>
      <c r="G5673"/>
      <c r="H5673"/>
      <c r="I5673" s="489"/>
      <c r="J5673" s="1095"/>
      <c r="K5673" s="1095"/>
      <c r="L5673" s="1095"/>
      <c r="M5673" s="1095"/>
    </row>
    <row r="5674" spans="1:13" x14ac:dyDescent="0.25">
      <c r="A5674">
        <v>5502589</v>
      </c>
      <c r="B5674" t="s">
        <v>12711</v>
      </c>
      <c r="C5674" t="s">
        <v>2596</v>
      </c>
      <c r="D5674" s="254">
        <v>11.35</v>
      </c>
      <c r="E5674"/>
      <c r="F5674"/>
      <c r="G5674"/>
      <c r="H5674"/>
      <c r="I5674" s="489"/>
      <c r="J5674" s="1095"/>
      <c r="K5674" s="1095"/>
      <c r="L5674" s="1095"/>
      <c r="M5674" s="1095"/>
    </row>
    <row r="5675" spans="1:13" x14ac:dyDescent="0.25">
      <c r="A5675">
        <v>5502381</v>
      </c>
      <c r="B5675" t="s">
        <v>12712</v>
      </c>
      <c r="C5675" t="s">
        <v>2596</v>
      </c>
      <c r="D5675" s="254">
        <v>17.27</v>
      </c>
      <c r="E5675"/>
      <c r="F5675"/>
      <c r="G5675"/>
      <c r="H5675"/>
      <c r="I5675" s="489"/>
      <c r="J5675" s="1095"/>
      <c r="K5675" s="1095"/>
      <c r="L5675" s="1095"/>
      <c r="M5675" s="1095"/>
    </row>
    <row r="5676" spans="1:13" x14ac:dyDescent="0.25">
      <c r="A5676">
        <v>5502615</v>
      </c>
      <c r="B5676" t="s">
        <v>12713</v>
      </c>
      <c r="C5676" t="s">
        <v>2596</v>
      </c>
      <c r="D5676" s="254">
        <v>9.77</v>
      </c>
      <c r="E5676"/>
      <c r="F5676"/>
      <c r="G5676"/>
      <c r="H5676"/>
      <c r="I5676" s="489"/>
      <c r="J5676" s="1095"/>
      <c r="K5676" s="1095"/>
      <c r="L5676" s="1095"/>
      <c r="M5676" s="1095"/>
    </row>
    <row r="5677" spans="1:13" x14ac:dyDescent="0.25">
      <c r="A5677">
        <v>5502407</v>
      </c>
      <c r="B5677" t="s">
        <v>12714</v>
      </c>
      <c r="C5677" t="s">
        <v>2596</v>
      </c>
      <c r="D5677" s="254">
        <v>16.95</v>
      </c>
      <c r="E5677"/>
      <c r="F5677"/>
      <c r="G5677"/>
      <c r="H5677"/>
      <c r="I5677" s="489"/>
      <c r="J5677" s="1095"/>
      <c r="K5677" s="1095"/>
      <c r="L5677" s="1095"/>
      <c r="M5677" s="1095"/>
    </row>
    <row r="5678" spans="1:13" x14ac:dyDescent="0.25">
      <c r="A5678">
        <v>5502641</v>
      </c>
      <c r="B5678" t="s">
        <v>12715</v>
      </c>
      <c r="C5678" t="s">
        <v>2596</v>
      </c>
      <c r="D5678" s="254">
        <v>9.44</v>
      </c>
      <c r="E5678"/>
      <c r="F5678"/>
      <c r="G5678"/>
      <c r="H5678"/>
      <c r="I5678" s="489"/>
      <c r="J5678" s="1095"/>
      <c r="K5678" s="1095"/>
      <c r="L5678" s="1095"/>
      <c r="M5678" s="1095"/>
    </row>
    <row r="5679" spans="1:13" x14ac:dyDescent="0.25">
      <c r="A5679">
        <v>5502880</v>
      </c>
      <c r="B5679" t="s">
        <v>12716</v>
      </c>
      <c r="C5679" t="s">
        <v>2596</v>
      </c>
      <c r="D5679" s="254">
        <v>16.25</v>
      </c>
      <c r="E5679"/>
      <c r="F5679"/>
      <c r="G5679"/>
      <c r="H5679"/>
      <c r="I5679" s="489"/>
      <c r="J5679" s="1095"/>
      <c r="K5679" s="1095"/>
      <c r="L5679" s="1095"/>
      <c r="M5679" s="1095"/>
    </row>
    <row r="5680" spans="1:13" x14ac:dyDescent="0.25">
      <c r="A5680">
        <v>5502857</v>
      </c>
      <c r="B5680" t="s">
        <v>12717</v>
      </c>
      <c r="C5680" t="s">
        <v>2596</v>
      </c>
      <c r="D5680" s="254">
        <v>23.31</v>
      </c>
      <c r="E5680"/>
      <c r="F5680"/>
      <c r="G5680"/>
      <c r="H5680"/>
      <c r="I5680" s="489"/>
      <c r="J5680" s="1095"/>
      <c r="K5680" s="1095"/>
      <c r="L5680" s="1095"/>
      <c r="M5680" s="1095"/>
    </row>
    <row r="5681" spans="1:13" x14ac:dyDescent="0.25">
      <c r="A5681">
        <v>5502881</v>
      </c>
      <c r="B5681" t="s">
        <v>12718</v>
      </c>
      <c r="C5681" t="s">
        <v>2596</v>
      </c>
      <c r="D5681" s="254">
        <v>12.73</v>
      </c>
      <c r="E5681"/>
      <c r="F5681"/>
      <c r="G5681"/>
      <c r="H5681"/>
      <c r="I5681" s="489"/>
      <c r="J5681" s="1095"/>
      <c r="K5681" s="1095"/>
      <c r="L5681" s="1095"/>
      <c r="M5681" s="1095"/>
    </row>
    <row r="5682" spans="1:13" x14ac:dyDescent="0.25">
      <c r="A5682">
        <v>5502859</v>
      </c>
      <c r="B5682" t="s">
        <v>12719</v>
      </c>
      <c r="C5682" t="s">
        <v>2596</v>
      </c>
      <c r="D5682" s="254">
        <v>19.350000000000001</v>
      </c>
      <c r="E5682"/>
      <c r="F5682"/>
      <c r="G5682"/>
      <c r="H5682"/>
      <c r="I5682" s="489"/>
      <c r="J5682" s="1095"/>
      <c r="K5682" s="1095"/>
      <c r="L5682" s="1095"/>
      <c r="M5682" s="1095"/>
    </row>
    <row r="5683" spans="1:13" x14ac:dyDescent="0.25">
      <c r="A5683">
        <v>5502882</v>
      </c>
      <c r="B5683" t="s">
        <v>12720</v>
      </c>
      <c r="C5683" t="s">
        <v>2596</v>
      </c>
      <c r="D5683" s="254">
        <v>12</v>
      </c>
      <c r="E5683"/>
      <c r="F5683"/>
      <c r="G5683"/>
      <c r="H5683"/>
      <c r="I5683" s="489"/>
      <c r="J5683" s="1095"/>
      <c r="K5683" s="1095"/>
      <c r="L5683" s="1095"/>
      <c r="M5683" s="1095"/>
    </row>
    <row r="5684" spans="1:13" x14ac:dyDescent="0.25">
      <c r="A5684">
        <v>5502858</v>
      </c>
      <c r="B5684" t="s">
        <v>12721</v>
      </c>
      <c r="C5684" t="s">
        <v>2596</v>
      </c>
      <c r="D5684" s="254">
        <v>20.56</v>
      </c>
      <c r="E5684"/>
      <c r="F5684"/>
      <c r="G5684"/>
      <c r="H5684"/>
      <c r="I5684" s="489"/>
      <c r="J5684" s="1095"/>
      <c r="K5684" s="1095"/>
      <c r="L5684" s="1095"/>
      <c r="M5684" s="1095"/>
    </row>
    <row r="5685" spans="1:13" x14ac:dyDescent="0.25">
      <c r="A5685">
        <v>5502747</v>
      </c>
      <c r="B5685" t="s">
        <v>12722</v>
      </c>
      <c r="C5685" t="s">
        <v>2596</v>
      </c>
      <c r="D5685" s="254">
        <v>45.93</v>
      </c>
      <c r="E5685"/>
      <c r="F5685"/>
      <c r="G5685"/>
      <c r="H5685"/>
      <c r="I5685" s="489"/>
      <c r="J5685" s="1095"/>
      <c r="K5685" s="1095"/>
      <c r="L5685" s="1095"/>
      <c r="M5685" s="1095"/>
    </row>
    <row r="5686" spans="1:13" x14ac:dyDescent="0.25">
      <c r="A5686">
        <v>5502773</v>
      </c>
      <c r="B5686" t="s">
        <v>12723</v>
      </c>
      <c r="C5686" t="s">
        <v>2596</v>
      </c>
      <c r="D5686" s="254">
        <v>44.11</v>
      </c>
      <c r="E5686"/>
      <c r="F5686"/>
      <c r="G5686"/>
      <c r="H5686"/>
      <c r="I5686" s="489"/>
      <c r="J5686" s="1095"/>
      <c r="K5686" s="1095"/>
      <c r="L5686" s="1095"/>
      <c r="M5686" s="1095"/>
    </row>
    <row r="5687" spans="1:13" x14ac:dyDescent="0.25">
      <c r="A5687">
        <v>5502799</v>
      </c>
      <c r="B5687" t="s">
        <v>12724</v>
      </c>
      <c r="C5687" t="s">
        <v>2596</v>
      </c>
      <c r="D5687" s="254">
        <v>43.54</v>
      </c>
      <c r="E5687"/>
      <c r="F5687"/>
      <c r="G5687"/>
      <c r="H5687"/>
      <c r="I5687" s="489"/>
      <c r="J5687" s="1095"/>
      <c r="K5687" s="1095"/>
      <c r="L5687" s="1095"/>
      <c r="M5687" s="1095"/>
    </row>
    <row r="5688" spans="1:13" x14ac:dyDescent="0.25">
      <c r="A5688">
        <v>5502748</v>
      </c>
      <c r="B5688" t="s">
        <v>12725</v>
      </c>
      <c r="C5688" t="s">
        <v>2596</v>
      </c>
      <c r="D5688" s="254">
        <v>46.5</v>
      </c>
      <c r="E5688"/>
      <c r="F5688"/>
      <c r="G5688"/>
      <c r="H5688"/>
      <c r="I5688" s="489"/>
      <c r="J5688" s="1095"/>
      <c r="K5688" s="1095"/>
      <c r="L5688" s="1095"/>
      <c r="M5688" s="1095"/>
    </row>
    <row r="5689" spans="1:13" x14ac:dyDescent="0.25">
      <c r="A5689">
        <v>5502774</v>
      </c>
      <c r="B5689" t="s">
        <v>12726</v>
      </c>
      <c r="C5689" t="s">
        <v>2596</v>
      </c>
      <c r="D5689" s="254">
        <v>44.45</v>
      </c>
      <c r="E5689"/>
      <c r="F5689"/>
      <c r="G5689"/>
      <c r="H5689"/>
      <c r="I5689" s="489"/>
      <c r="J5689" s="1095"/>
      <c r="K5689" s="1095"/>
      <c r="L5689" s="1095"/>
      <c r="M5689" s="1095"/>
    </row>
    <row r="5690" spans="1:13" x14ac:dyDescent="0.25">
      <c r="A5690">
        <v>5502800</v>
      </c>
      <c r="B5690" t="s">
        <v>12727</v>
      </c>
      <c r="C5690" t="s">
        <v>2596</v>
      </c>
      <c r="D5690" s="254">
        <v>43.88</v>
      </c>
      <c r="E5690"/>
      <c r="F5690"/>
      <c r="G5690"/>
      <c r="H5690"/>
      <c r="I5690" s="489"/>
      <c r="J5690" s="1095"/>
      <c r="K5690" s="1095"/>
      <c r="L5690" s="1095"/>
      <c r="M5690" s="1095"/>
    </row>
    <row r="5691" spans="1:13" x14ac:dyDescent="0.25">
      <c r="A5691">
        <v>5502749</v>
      </c>
      <c r="B5691" t="s">
        <v>12728</v>
      </c>
      <c r="C5691" t="s">
        <v>2596</v>
      </c>
      <c r="D5691" s="254">
        <v>46.96</v>
      </c>
      <c r="E5691"/>
      <c r="F5691"/>
      <c r="G5691"/>
      <c r="H5691"/>
      <c r="I5691" s="489"/>
      <c r="J5691" s="1095"/>
      <c r="K5691" s="1095"/>
      <c r="L5691" s="1095"/>
      <c r="M5691" s="1095"/>
    </row>
    <row r="5692" spans="1:13" x14ac:dyDescent="0.25">
      <c r="A5692">
        <v>5502775</v>
      </c>
      <c r="B5692" t="s">
        <v>12729</v>
      </c>
      <c r="C5692" t="s">
        <v>2596</v>
      </c>
      <c r="D5692" s="254">
        <v>44.79</v>
      </c>
      <c r="E5692"/>
      <c r="F5692"/>
      <c r="G5692"/>
      <c r="H5692"/>
      <c r="I5692" s="489"/>
      <c r="J5692" s="1095"/>
      <c r="K5692" s="1095"/>
      <c r="L5692" s="1095"/>
      <c r="M5692" s="1095"/>
    </row>
    <row r="5693" spans="1:13" x14ac:dyDescent="0.25">
      <c r="A5693">
        <v>5502801</v>
      </c>
      <c r="B5693" t="s">
        <v>12730</v>
      </c>
      <c r="C5693" t="s">
        <v>2596</v>
      </c>
      <c r="D5693" s="254">
        <v>44.11</v>
      </c>
      <c r="E5693"/>
      <c r="F5693"/>
      <c r="G5693"/>
      <c r="H5693"/>
      <c r="I5693" s="489"/>
      <c r="J5693" s="1095"/>
      <c r="K5693" s="1095"/>
      <c r="L5693" s="1095"/>
      <c r="M5693" s="1095"/>
    </row>
    <row r="5694" spans="1:13" x14ac:dyDescent="0.25">
      <c r="A5694">
        <v>5502750</v>
      </c>
      <c r="B5694" t="s">
        <v>12731</v>
      </c>
      <c r="C5694" t="s">
        <v>2596</v>
      </c>
      <c r="D5694" s="254">
        <v>48.99</v>
      </c>
      <c r="E5694"/>
      <c r="F5694"/>
      <c r="G5694"/>
      <c r="H5694"/>
      <c r="I5694" s="489"/>
      <c r="J5694" s="1095"/>
      <c r="K5694" s="1095"/>
      <c r="L5694" s="1095"/>
      <c r="M5694" s="1095"/>
    </row>
    <row r="5695" spans="1:13" x14ac:dyDescent="0.25">
      <c r="A5695">
        <v>5502776</v>
      </c>
      <c r="B5695" t="s">
        <v>12732</v>
      </c>
      <c r="C5695" t="s">
        <v>2596</v>
      </c>
      <c r="D5695" s="254">
        <v>45.13</v>
      </c>
      <c r="E5695"/>
      <c r="F5695"/>
      <c r="G5695"/>
      <c r="H5695"/>
      <c r="I5695" s="489"/>
      <c r="J5695" s="1095"/>
      <c r="K5695" s="1095"/>
      <c r="L5695" s="1095"/>
      <c r="M5695" s="1095"/>
    </row>
    <row r="5696" spans="1:13" x14ac:dyDescent="0.25">
      <c r="A5696">
        <v>5502802</v>
      </c>
      <c r="B5696" t="s">
        <v>12733</v>
      </c>
      <c r="C5696" t="s">
        <v>2596</v>
      </c>
      <c r="D5696" s="254">
        <v>44.45</v>
      </c>
      <c r="E5696"/>
      <c r="F5696"/>
      <c r="G5696"/>
      <c r="H5696"/>
      <c r="I5696" s="489"/>
      <c r="J5696" s="1095"/>
      <c r="K5696" s="1095"/>
      <c r="L5696" s="1095"/>
      <c r="M5696" s="1095"/>
    </row>
    <row r="5697" spans="1:13" x14ac:dyDescent="0.25">
      <c r="A5697">
        <v>5502751</v>
      </c>
      <c r="B5697" t="s">
        <v>12734</v>
      </c>
      <c r="C5697" t="s">
        <v>2596</v>
      </c>
      <c r="D5697" s="254">
        <v>49.6</v>
      </c>
      <c r="E5697"/>
      <c r="F5697"/>
      <c r="G5697"/>
      <c r="H5697"/>
      <c r="I5697" s="489"/>
      <c r="J5697" s="1095"/>
      <c r="K5697" s="1095"/>
      <c r="L5697" s="1095"/>
      <c r="M5697" s="1095"/>
    </row>
    <row r="5698" spans="1:13" x14ac:dyDescent="0.25">
      <c r="A5698">
        <v>5502777</v>
      </c>
      <c r="B5698" t="s">
        <v>12735</v>
      </c>
      <c r="C5698" t="s">
        <v>2596</v>
      </c>
      <c r="D5698" s="254">
        <v>45.48</v>
      </c>
      <c r="E5698"/>
      <c r="F5698"/>
      <c r="G5698"/>
      <c r="H5698"/>
      <c r="I5698" s="489"/>
      <c r="J5698" s="1095"/>
      <c r="K5698" s="1095"/>
      <c r="L5698" s="1095"/>
      <c r="M5698" s="1095"/>
    </row>
    <row r="5699" spans="1:13" x14ac:dyDescent="0.25">
      <c r="A5699">
        <v>5502803</v>
      </c>
      <c r="B5699" t="s">
        <v>12736</v>
      </c>
      <c r="C5699" t="s">
        <v>2596</v>
      </c>
      <c r="D5699" s="254">
        <v>44.68</v>
      </c>
      <c r="E5699"/>
      <c r="F5699"/>
      <c r="G5699"/>
      <c r="H5699"/>
      <c r="I5699" s="489"/>
      <c r="J5699" s="1095"/>
      <c r="K5699" s="1095"/>
      <c r="L5699" s="1095"/>
      <c r="M5699" s="1095"/>
    </row>
    <row r="5700" spans="1:13" x14ac:dyDescent="0.25">
      <c r="A5700">
        <v>5502752</v>
      </c>
      <c r="B5700" t="s">
        <v>12737</v>
      </c>
      <c r="C5700" t="s">
        <v>2596</v>
      </c>
      <c r="D5700" s="254">
        <v>50.52</v>
      </c>
      <c r="E5700"/>
      <c r="F5700"/>
      <c r="G5700"/>
      <c r="H5700"/>
      <c r="I5700" s="489"/>
      <c r="J5700" s="1095"/>
      <c r="K5700" s="1095"/>
      <c r="L5700" s="1095"/>
      <c r="M5700" s="1095"/>
    </row>
    <row r="5701" spans="1:13" x14ac:dyDescent="0.25">
      <c r="A5701">
        <v>5502778</v>
      </c>
      <c r="B5701" t="s">
        <v>12738</v>
      </c>
      <c r="C5701" t="s">
        <v>2596</v>
      </c>
      <c r="D5701" s="254">
        <v>46.16</v>
      </c>
      <c r="E5701"/>
      <c r="F5701"/>
      <c r="G5701"/>
      <c r="H5701"/>
      <c r="I5701" s="489"/>
      <c r="J5701" s="1095"/>
      <c r="K5701" s="1095"/>
      <c r="L5701" s="1095"/>
      <c r="M5701" s="1095"/>
    </row>
    <row r="5702" spans="1:13" x14ac:dyDescent="0.25">
      <c r="A5702">
        <v>5502804</v>
      </c>
      <c r="B5702" t="s">
        <v>12739</v>
      </c>
      <c r="C5702" t="s">
        <v>2596</v>
      </c>
      <c r="D5702" s="254">
        <v>45.25</v>
      </c>
      <c r="E5702"/>
      <c r="F5702"/>
      <c r="G5702"/>
      <c r="H5702"/>
      <c r="I5702" s="489"/>
      <c r="J5702" s="1095"/>
      <c r="K5702" s="1095"/>
      <c r="L5702" s="1095"/>
      <c r="M5702" s="1095"/>
    </row>
    <row r="5703" spans="1:13" x14ac:dyDescent="0.25">
      <c r="A5703">
        <v>5502753</v>
      </c>
      <c r="B5703" t="s">
        <v>12740</v>
      </c>
      <c r="C5703" t="s">
        <v>2596</v>
      </c>
      <c r="D5703" s="254">
        <v>52.04</v>
      </c>
      <c r="E5703"/>
      <c r="F5703"/>
      <c r="G5703"/>
      <c r="H5703"/>
      <c r="I5703" s="489"/>
      <c r="J5703" s="1095"/>
      <c r="K5703" s="1095"/>
      <c r="L5703" s="1095"/>
      <c r="M5703" s="1095"/>
    </row>
    <row r="5704" spans="1:13" x14ac:dyDescent="0.25">
      <c r="A5704">
        <v>5502779</v>
      </c>
      <c r="B5704" t="s">
        <v>12741</v>
      </c>
      <c r="C5704" t="s">
        <v>2596</v>
      </c>
      <c r="D5704" s="254">
        <v>48.69</v>
      </c>
      <c r="E5704"/>
      <c r="F5704"/>
      <c r="G5704"/>
      <c r="H5704"/>
      <c r="I5704" s="489"/>
      <c r="J5704" s="1095"/>
      <c r="K5704" s="1095"/>
      <c r="L5704" s="1095"/>
      <c r="M5704" s="1095"/>
    </row>
    <row r="5705" spans="1:13" x14ac:dyDescent="0.25">
      <c r="A5705">
        <v>5502805</v>
      </c>
      <c r="B5705" t="s">
        <v>12742</v>
      </c>
      <c r="C5705" t="s">
        <v>2596</v>
      </c>
      <c r="D5705" s="254">
        <v>46.05</v>
      </c>
      <c r="E5705"/>
      <c r="F5705"/>
      <c r="G5705"/>
      <c r="H5705"/>
      <c r="I5705" s="489"/>
      <c r="J5705" s="1095"/>
      <c r="K5705" s="1095"/>
      <c r="L5705" s="1095"/>
      <c r="M5705" s="1095"/>
    </row>
    <row r="5706" spans="1:13" x14ac:dyDescent="0.25">
      <c r="A5706">
        <v>5502743</v>
      </c>
      <c r="B5706" t="s">
        <v>12743</v>
      </c>
      <c r="C5706" t="s">
        <v>2596</v>
      </c>
      <c r="D5706" s="254">
        <v>43.31</v>
      </c>
      <c r="E5706"/>
      <c r="F5706"/>
      <c r="G5706"/>
      <c r="H5706"/>
      <c r="I5706" s="489"/>
      <c r="J5706" s="1095"/>
      <c r="K5706" s="1095"/>
      <c r="L5706" s="1095"/>
      <c r="M5706" s="1095"/>
    </row>
    <row r="5707" spans="1:13" x14ac:dyDescent="0.25">
      <c r="A5707">
        <v>5502769</v>
      </c>
      <c r="B5707" t="s">
        <v>6347</v>
      </c>
      <c r="C5707" t="s">
        <v>2596</v>
      </c>
      <c r="D5707" s="254">
        <v>40.97</v>
      </c>
      <c r="E5707"/>
      <c r="F5707"/>
      <c r="G5707"/>
      <c r="H5707"/>
      <c r="I5707" s="489"/>
      <c r="J5707" s="1095"/>
      <c r="K5707" s="1095"/>
      <c r="L5707" s="1095"/>
      <c r="M5707" s="1095"/>
    </row>
    <row r="5708" spans="1:13" x14ac:dyDescent="0.25">
      <c r="A5708">
        <v>5502795</v>
      </c>
      <c r="B5708" t="s">
        <v>12744</v>
      </c>
      <c r="C5708" t="s">
        <v>2596</v>
      </c>
      <c r="D5708" s="254">
        <v>40.74</v>
      </c>
      <c r="E5708"/>
      <c r="F5708"/>
      <c r="G5708"/>
      <c r="H5708"/>
      <c r="I5708" s="489"/>
      <c r="J5708" s="1095"/>
      <c r="K5708" s="1095"/>
      <c r="L5708" s="1095"/>
      <c r="M5708" s="1095"/>
    </row>
    <row r="5709" spans="1:13" x14ac:dyDescent="0.25">
      <c r="A5709">
        <v>5502744</v>
      </c>
      <c r="B5709" t="s">
        <v>12745</v>
      </c>
      <c r="C5709" t="s">
        <v>2596</v>
      </c>
      <c r="D5709" s="254">
        <v>44.11</v>
      </c>
      <c r="E5709"/>
      <c r="F5709"/>
      <c r="G5709"/>
      <c r="H5709"/>
      <c r="I5709" s="489"/>
      <c r="J5709" s="1095"/>
      <c r="K5709" s="1095"/>
      <c r="L5709" s="1095"/>
      <c r="M5709" s="1095"/>
    </row>
    <row r="5710" spans="1:13" x14ac:dyDescent="0.25">
      <c r="A5710">
        <v>5502770</v>
      </c>
      <c r="B5710" t="s">
        <v>6348</v>
      </c>
      <c r="C5710" t="s">
        <v>2596</v>
      </c>
      <c r="D5710" s="254">
        <v>41.5</v>
      </c>
      <c r="E5710"/>
      <c r="F5710"/>
      <c r="G5710"/>
      <c r="H5710"/>
      <c r="I5710" s="489"/>
      <c r="J5710" s="1095"/>
      <c r="K5710" s="1095"/>
      <c r="L5710" s="1095"/>
      <c r="M5710" s="1095"/>
    </row>
    <row r="5711" spans="1:13" x14ac:dyDescent="0.25">
      <c r="A5711">
        <v>5502796</v>
      </c>
      <c r="B5711" t="s">
        <v>12746</v>
      </c>
      <c r="C5711" t="s">
        <v>2596</v>
      </c>
      <c r="D5711" s="254">
        <v>41.12</v>
      </c>
      <c r="E5711"/>
      <c r="F5711"/>
      <c r="G5711"/>
      <c r="H5711"/>
      <c r="I5711" s="489"/>
      <c r="J5711" s="1095"/>
      <c r="K5711" s="1095"/>
      <c r="L5711" s="1095"/>
      <c r="M5711" s="1095"/>
    </row>
    <row r="5712" spans="1:13" x14ac:dyDescent="0.25">
      <c r="A5712">
        <v>5502742</v>
      </c>
      <c r="B5712" t="s">
        <v>12747</v>
      </c>
      <c r="C5712" t="s">
        <v>2596</v>
      </c>
      <c r="D5712" s="254">
        <v>40.97</v>
      </c>
      <c r="E5712"/>
      <c r="F5712"/>
      <c r="G5712"/>
      <c r="H5712"/>
      <c r="I5712" s="489"/>
      <c r="J5712" s="1095"/>
      <c r="K5712" s="1095"/>
      <c r="L5712" s="1095"/>
      <c r="M5712" s="1095"/>
    </row>
    <row r="5713" spans="1:13" x14ac:dyDescent="0.25">
      <c r="A5713">
        <v>5502768</v>
      </c>
      <c r="B5713" t="s">
        <v>6346</v>
      </c>
      <c r="C5713" t="s">
        <v>2596</v>
      </c>
      <c r="D5713" s="254">
        <v>40.44</v>
      </c>
      <c r="E5713"/>
      <c r="F5713"/>
      <c r="G5713"/>
      <c r="H5713"/>
      <c r="I5713" s="489"/>
      <c r="J5713" s="1095"/>
      <c r="K5713" s="1095"/>
      <c r="L5713" s="1095"/>
      <c r="M5713" s="1095"/>
    </row>
    <row r="5714" spans="1:13" x14ac:dyDescent="0.25">
      <c r="A5714">
        <v>5502794</v>
      </c>
      <c r="B5714" t="s">
        <v>12748</v>
      </c>
      <c r="C5714" t="s">
        <v>2596</v>
      </c>
      <c r="D5714" s="254">
        <v>40.21</v>
      </c>
      <c r="E5714"/>
      <c r="F5714"/>
      <c r="G5714"/>
      <c r="H5714"/>
      <c r="I5714" s="489"/>
      <c r="J5714" s="1095"/>
      <c r="K5714" s="1095"/>
      <c r="L5714" s="1095"/>
      <c r="M5714" s="1095"/>
    </row>
    <row r="5715" spans="1:13" x14ac:dyDescent="0.25">
      <c r="A5715">
        <v>5502745</v>
      </c>
      <c r="B5715" t="s">
        <v>12749</v>
      </c>
      <c r="C5715" t="s">
        <v>2596</v>
      </c>
      <c r="D5715" s="254">
        <v>44.79</v>
      </c>
      <c r="E5715"/>
      <c r="F5715"/>
      <c r="G5715"/>
      <c r="H5715"/>
      <c r="I5715" s="489"/>
      <c r="J5715" s="1095"/>
      <c r="K5715" s="1095"/>
      <c r="L5715" s="1095"/>
      <c r="M5715" s="1095"/>
    </row>
    <row r="5716" spans="1:13" x14ac:dyDescent="0.25">
      <c r="A5716">
        <v>5502771</v>
      </c>
      <c r="B5716" t="s">
        <v>6349</v>
      </c>
      <c r="C5716" t="s">
        <v>2596</v>
      </c>
      <c r="D5716" s="254">
        <v>43.42</v>
      </c>
      <c r="E5716"/>
      <c r="F5716"/>
      <c r="G5716"/>
      <c r="H5716"/>
      <c r="I5716" s="489"/>
      <c r="J5716" s="1095"/>
      <c r="K5716" s="1095"/>
      <c r="L5716" s="1095"/>
      <c r="M5716" s="1095"/>
    </row>
    <row r="5717" spans="1:13" x14ac:dyDescent="0.25">
      <c r="A5717">
        <v>5502797</v>
      </c>
      <c r="B5717" t="s">
        <v>12750</v>
      </c>
      <c r="C5717" t="s">
        <v>2596</v>
      </c>
      <c r="D5717" s="254">
        <v>41.43</v>
      </c>
      <c r="E5717"/>
      <c r="F5717"/>
      <c r="G5717"/>
      <c r="H5717"/>
      <c r="I5717" s="489"/>
      <c r="J5717" s="1095"/>
      <c r="K5717" s="1095"/>
      <c r="L5717" s="1095"/>
      <c r="M5717" s="1095"/>
    </row>
    <row r="5718" spans="1:13" x14ac:dyDescent="0.25">
      <c r="A5718">
        <v>5502746</v>
      </c>
      <c r="B5718" t="s">
        <v>12751</v>
      </c>
      <c r="C5718" t="s">
        <v>2596</v>
      </c>
      <c r="D5718" s="254">
        <v>45.36</v>
      </c>
      <c r="E5718"/>
      <c r="F5718"/>
      <c r="G5718"/>
      <c r="H5718"/>
      <c r="I5718" s="489"/>
      <c r="J5718" s="1095"/>
      <c r="K5718" s="1095"/>
      <c r="L5718" s="1095"/>
      <c r="M5718" s="1095"/>
    </row>
    <row r="5719" spans="1:13" x14ac:dyDescent="0.25">
      <c r="A5719">
        <v>5502772</v>
      </c>
      <c r="B5719" t="s">
        <v>12752</v>
      </c>
      <c r="C5719" t="s">
        <v>2596</v>
      </c>
      <c r="D5719" s="254">
        <v>43.77</v>
      </c>
      <c r="E5719"/>
      <c r="F5719"/>
      <c r="G5719"/>
      <c r="H5719"/>
      <c r="I5719" s="489"/>
      <c r="J5719" s="1095"/>
      <c r="K5719" s="1095"/>
      <c r="L5719" s="1095"/>
      <c r="M5719" s="1095"/>
    </row>
    <row r="5720" spans="1:13" x14ac:dyDescent="0.25">
      <c r="A5720">
        <v>5502798</v>
      </c>
      <c r="B5720" t="s">
        <v>12753</v>
      </c>
      <c r="C5720" t="s">
        <v>2596</v>
      </c>
      <c r="D5720" s="254">
        <v>41.81</v>
      </c>
      <c r="E5720"/>
      <c r="F5720"/>
      <c r="G5720"/>
      <c r="H5720"/>
      <c r="I5720" s="489"/>
      <c r="J5720" s="1095"/>
      <c r="K5720" s="1095"/>
      <c r="L5720" s="1095"/>
      <c r="M5720" s="1095"/>
    </row>
    <row r="5721" spans="1:13" x14ac:dyDescent="0.25">
      <c r="A5721">
        <v>5502886</v>
      </c>
      <c r="B5721" t="s">
        <v>12754</v>
      </c>
      <c r="C5721" t="s">
        <v>2596</v>
      </c>
      <c r="D5721" s="254">
        <v>54.38</v>
      </c>
      <c r="E5721"/>
      <c r="F5721"/>
      <c r="G5721"/>
      <c r="H5721"/>
      <c r="I5721" s="489"/>
      <c r="J5721" s="1095"/>
      <c r="K5721" s="1095"/>
      <c r="L5721" s="1095"/>
      <c r="M5721" s="1095"/>
    </row>
    <row r="5722" spans="1:13" x14ac:dyDescent="0.25">
      <c r="A5722">
        <v>5502887</v>
      </c>
      <c r="B5722" t="s">
        <v>6350</v>
      </c>
      <c r="C5722" t="s">
        <v>2596</v>
      </c>
      <c r="D5722" s="254">
        <v>49.15</v>
      </c>
      <c r="E5722"/>
      <c r="F5722"/>
      <c r="G5722"/>
      <c r="H5722"/>
      <c r="I5722" s="489"/>
      <c r="J5722" s="1095"/>
      <c r="K5722" s="1095"/>
      <c r="L5722" s="1095"/>
      <c r="M5722" s="1095"/>
    </row>
    <row r="5723" spans="1:13" x14ac:dyDescent="0.25">
      <c r="A5723">
        <v>5502888</v>
      </c>
      <c r="B5723" t="s">
        <v>12755</v>
      </c>
      <c r="C5723" t="s">
        <v>2596</v>
      </c>
      <c r="D5723" s="254">
        <v>46.5</v>
      </c>
      <c r="E5723"/>
      <c r="F5723"/>
      <c r="G5723"/>
      <c r="H5723"/>
      <c r="I5723" s="489"/>
      <c r="J5723" s="1095"/>
      <c r="K5723" s="1095"/>
      <c r="L5723" s="1095"/>
      <c r="M5723" s="1095"/>
    </row>
    <row r="5724" spans="1:13" x14ac:dyDescent="0.25">
      <c r="A5724">
        <v>5502820</v>
      </c>
      <c r="B5724" t="s">
        <v>12756</v>
      </c>
      <c r="C5724" t="s">
        <v>2596</v>
      </c>
      <c r="D5724" s="254">
        <v>7.44</v>
      </c>
      <c r="E5724"/>
      <c r="F5724"/>
      <c r="G5724"/>
      <c r="H5724"/>
      <c r="I5724" s="489"/>
      <c r="J5724" s="1095"/>
      <c r="K5724" s="1095"/>
      <c r="L5724" s="1095"/>
      <c r="M5724" s="1095"/>
    </row>
    <row r="5725" spans="1:13" x14ac:dyDescent="0.25">
      <c r="A5725">
        <v>5502904</v>
      </c>
      <c r="B5725" t="s">
        <v>12757</v>
      </c>
      <c r="C5725" t="s">
        <v>2596</v>
      </c>
      <c r="D5725" s="254">
        <v>21.8</v>
      </c>
      <c r="E5725"/>
      <c r="F5725"/>
      <c r="G5725"/>
      <c r="H5725"/>
      <c r="I5725" s="489"/>
      <c r="J5725" s="1095"/>
      <c r="K5725" s="1095"/>
      <c r="L5725" s="1095"/>
      <c r="M5725" s="1095"/>
    </row>
    <row r="5726" spans="1:13" x14ac:dyDescent="0.25">
      <c r="A5726">
        <v>5502930</v>
      </c>
      <c r="B5726" t="s">
        <v>12758</v>
      </c>
      <c r="C5726" t="s">
        <v>2596</v>
      </c>
      <c r="D5726" s="254">
        <v>20.61</v>
      </c>
      <c r="E5726"/>
      <c r="F5726"/>
      <c r="G5726"/>
      <c r="H5726"/>
      <c r="I5726" s="489"/>
      <c r="J5726" s="1095"/>
      <c r="K5726" s="1095"/>
      <c r="L5726" s="1095"/>
      <c r="M5726" s="1095"/>
    </row>
    <row r="5727" spans="1:13" x14ac:dyDescent="0.25">
      <c r="A5727">
        <v>5502956</v>
      </c>
      <c r="B5727" t="s">
        <v>12759</v>
      </c>
      <c r="C5727" t="s">
        <v>2596</v>
      </c>
      <c r="D5727" s="254">
        <v>20.18</v>
      </c>
      <c r="E5727"/>
      <c r="F5727"/>
      <c r="G5727"/>
      <c r="H5727"/>
      <c r="I5727" s="489"/>
      <c r="J5727" s="1095"/>
      <c r="K5727" s="1095"/>
      <c r="L5727" s="1095"/>
      <c r="M5727" s="1095"/>
    </row>
    <row r="5728" spans="1:13" x14ac:dyDescent="0.25">
      <c r="A5728">
        <v>5502905</v>
      </c>
      <c r="B5728" t="s">
        <v>12760</v>
      </c>
      <c r="C5728" t="s">
        <v>2596</v>
      </c>
      <c r="D5728" s="254">
        <v>24.11</v>
      </c>
      <c r="E5728"/>
      <c r="F5728"/>
      <c r="G5728"/>
      <c r="H5728"/>
      <c r="I5728" s="489"/>
      <c r="J5728" s="1095"/>
      <c r="K5728" s="1095"/>
      <c r="L5728" s="1095"/>
      <c r="M5728" s="1095"/>
    </row>
    <row r="5729" spans="1:13" x14ac:dyDescent="0.25">
      <c r="A5729">
        <v>5502931</v>
      </c>
      <c r="B5729" t="s">
        <v>12761</v>
      </c>
      <c r="C5729" t="s">
        <v>2596</v>
      </c>
      <c r="D5729" s="254">
        <v>20.82</v>
      </c>
      <c r="E5729"/>
      <c r="F5729"/>
      <c r="G5729"/>
      <c r="H5729"/>
      <c r="I5729" s="489"/>
      <c r="J5729" s="1095"/>
      <c r="K5729" s="1095"/>
      <c r="L5729" s="1095"/>
      <c r="M5729" s="1095"/>
    </row>
    <row r="5730" spans="1:13" x14ac:dyDescent="0.25">
      <c r="A5730">
        <v>5502957</v>
      </c>
      <c r="B5730" t="s">
        <v>12762</v>
      </c>
      <c r="C5730" t="s">
        <v>2596</v>
      </c>
      <c r="D5730" s="254">
        <v>20.39</v>
      </c>
      <c r="E5730"/>
      <c r="F5730"/>
      <c r="G5730"/>
      <c r="H5730"/>
      <c r="I5730" s="489"/>
      <c r="J5730" s="1095"/>
      <c r="K5730" s="1095"/>
      <c r="L5730" s="1095"/>
      <c r="M5730" s="1095"/>
    </row>
    <row r="5731" spans="1:13" x14ac:dyDescent="0.25">
      <c r="A5731">
        <v>5502906</v>
      </c>
      <c r="B5731" t="s">
        <v>12763</v>
      </c>
      <c r="C5731" t="s">
        <v>2596</v>
      </c>
      <c r="D5731" s="254">
        <v>24.44</v>
      </c>
      <c r="E5731"/>
      <c r="F5731"/>
      <c r="G5731"/>
      <c r="H5731"/>
      <c r="I5731" s="489"/>
      <c r="J5731" s="1095"/>
      <c r="K5731" s="1095"/>
      <c r="L5731" s="1095"/>
      <c r="M5731" s="1095"/>
    </row>
    <row r="5732" spans="1:13" x14ac:dyDescent="0.25">
      <c r="A5732">
        <v>5502932</v>
      </c>
      <c r="B5732" t="s">
        <v>12764</v>
      </c>
      <c r="C5732" t="s">
        <v>2596</v>
      </c>
      <c r="D5732" s="254">
        <v>21.04</v>
      </c>
      <c r="E5732"/>
      <c r="F5732"/>
      <c r="G5732"/>
      <c r="H5732"/>
      <c r="I5732" s="489"/>
      <c r="J5732" s="1095"/>
      <c r="K5732" s="1095"/>
      <c r="L5732" s="1095"/>
      <c r="M5732" s="1095"/>
    </row>
    <row r="5733" spans="1:13" x14ac:dyDescent="0.25">
      <c r="A5733">
        <v>5502958</v>
      </c>
      <c r="B5733" t="s">
        <v>12765</v>
      </c>
      <c r="C5733" t="s">
        <v>2596</v>
      </c>
      <c r="D5733" s="254">
        <v>20.61</v>
      </c>
      <c r="E5733"/>
      <c r="F5733"/>
      <c r="G5733"/>
      <c r="H5733"/>
      <c r="I5733" s="489"/>
      <c r="J5733" s="1095"/>
      <c r="K5733" s="1095"/>
      <c r="L5733" s="1095"/>
      <c r="M5733" s="1095"/>
    </row>
    <row r="5734" spans="1:13" x14ac:dyDescent="0.25">
      <c r="A5734">
        <v>5502907</v>
      </c>
      <c r="B5734" t="s">
        <v>12766</v>
      </c>
      <c r="C5734" t="s">
        <v>2596</v>
      </c>
      <c r="D5734" s="254">
        <v>24.92</v>
      </c>
      <c r="E5734"/>
      <c r="F5734"/>
      <c r="G5734"/>
      <c r="H5734"/>
      <c r="I5734" s="489"/>
      <c r="J5734" s="1095"/>
      <c r="K5734" s="1095"/>
      <c r="L5734" s="1095"/>
      <c r="M5734" s="1095"/>
    </row>
    <row r="5735" spans="1:13" x14ac:dyDescent="0.25">
      <c r="A5735">
        <v>5502933</v>
      </c>
      <c r="B5735" t="s">
        <v>12767</v>
      </c>
      <c r="C5735" t="s">
        <v>2596</v>
      </c>
      <c r="D5735" s="254">
        <v>21.36</v>
      </c>
      <c r="E5735"/>
      <c r="F5735"/>
      <c r="G5735"/>
      <c r="H5735"/>
      <c r="I5735" s="489"/>
      <c r="J5735" s="1095"/>
      <c r="K5735" s="1095"/>
      <c r="L5735" s="1095"/>
      <c r="M5735" s="1095"/>
    </row>
    <row r="5736" spans="1:13" x14ac:dyDescent="0.25">
      <c r="A5736">
        <v>5502959</v>
      </c>
      <c r="B5736" t="s">
        <v>12768</v>
      </c>
      <c r="C5736" t="s">
        <v>2596</v>
      </c>
      <c r="D5736" s="254">
        <v>20.82</v>
      </c>
      <c r="E5736"/>
      <c r="F5736"/>
      <c r="G5736"/>
      <c r="H5736"/>
      <c r="I5736" s="489"/>
      <c r="J5736" s="1095"/>
      <c r="K5736" s="1095"/>
      <c r="L5736" s="1095"/>
      <c r="M5736" s="1095"/>
    </row>
    <row r="5737" spans="1:13" x14ac:dyDescent="0.25">
      <c r="A5737">
        <v>5502908</v>
      </c>
      <c r="B5737" t="s">
        <v>12769</v>
      </c>
      <c r="C5737" t="s">
        <v>2596</v>
      </c>
      <c r="D5737" s="254">
        <v>25.25</v>
      </c>
      <c r="E5737"/>
      <c r="F5737"/>
      <c r="G5737"/>
      <c r="H5737"/>
      <c r="I5737" s="489"/>
      <c r="J5737" s="1095"/>
      <c r="K5737" s="1095"/>
      <c r="L5737" s="1095"/>
      <c r="M5737" s="1095"/>
    </row>
    <row r="5738" spans="1:13" x14ac:dyDescent="0.25">
      <c r="A5738">
        <v>5502934</v>
      </c>
      <c r="B5738" t="s">
        <v>12770</v>
      </c>
      <c r="C5738" t="s">
        <v>2596</v>
      </c>
      <c r="D5738" s="254">
        <v>21.58</v>
      </c>
      <c r="E5738"/>
      <c r="F5738"/>
      <c r="G5738"/>
      <c r="H5738"/>
      <c r="I5738" s="489"/>
      <c r="J5738" s="1095"/>
      <c r="K5738" s="1095"/>
      <c r="L5738" s="1095"/>
      <c r="M5738" s="1095"/>
    </row>
    <row r="5739" spans="1:13" x14ac:dyDescent="0.25">
      <c r="A5739">
        <v>5502960</v>
      </c>
      <c r="B5739" t="s">
        <v>12771</v>
      </c>
      <c r="C5739" t="s">
        <v>2596</v>
      </c>
      <c r="D5739" s="254">
        <v>20.93</v>
      </c>
      <c r="E5739"/>
      <c r="F5739"/>
      <c r="G5739"/>
      <c r="H5739"/>
      <c r="I5739" s="489"/>
      <c r="J5739" s="1095"/>
      <c r="K5739" s="1095"/>
      <c r="L5739" s="1095"/>
      <c r="M5739" s="1095"/>
    </row>
    <row r="5740" spans="1:13" x14ac:dyDescent="0.25">
      <c r="A5740">
        <v>5502909</v>
      </c>
      <c r="B5740" t="s">
        <v>12772</v>
      </c>
      <c r="C5740" t="s">
        <v>2596</v>
      </c>
      <c r="D5740" s="254">
        <v>25.9</v>
      </c>
      <c r="E5740"/>
      <c r="F5740"/>
      <c r="G5740"/>
      <c r="H5740"/>
      <c r="I5740" s="489"/>
      <c r="J5740" s="1095"/>
      <c r="K5740" s="1095"/>
      <c r="L5740" s="1095"/>
      <c r="M5740" s="1095"/>
    </row>
    <row r="5741" spans="1:13" x14ac:dyDescent="0.25">
      <c r="A5741">
        <v>5502935</v>
      </c>
      <c r="B5741" t="s">
        <v>12773</v>
      </c>
      <c r="C5741" t="s">
        <v>2596</v>
      </c>
      <c r="D5741" s="254">
        <v>22.01</v>
      </c>
      <c r="E5741"/>
      <c r="F5741"/>
      <c r="G5741"/>
      <c r="H5741"/>
      <c r="I5741" s="489"/>
      <c r="J5741" s="1095"/>
      <c r="K5741" s="1095"/>
      <c r="L5741" s="1095"/>
      <c r="M5741" s="1095"/>
    </row>
    <row r="5742" spans="1:13" x14ac:dyDescent="0.25">
      <c r="A5742">
        <v>5502961</v>
      </c>
      <c r="B5742" t="s">
        <v>12774</v>
      </c>
      <c r="C5742" t="s">
        <v>2596</v>
      </c>
      <c r="D5742" s="254">
        <v>21.36</v>
      </c>
      <c r="E5742"/>
      <c r="F5742"/>
      <c r="G5742"/>
      <c r="H5742"/>
      <c r="I5742" s="489"/>
      <c r="J5742" s="1095"/>
      <c r="K5742" s="1095"/>
      <c r="L5742" s="1095"/>
      <c r="M5742" s="1095"/>
    </row>
    <row r="5743" spans="1:13" x14ac:dyDescent="0.25">
      <c r="A5743">
        <v>5502910</v>
      </c>
      <c r="B5743" t="s">
        <v>12775</v>
      </c>
      <c r="C5743" t="s">
        <v>2596</v>
      </c>
      <c r="D5743" s="254">
        <v>27.03</v>
      </c>
      <c r="E5743"/>
      <c r="F5743"/>
      <c r="G5743"/>
      <c r="H5743"/>
      <c r="I5743" s="489"/>
      <c r="J5743" s="1095"/>
      <c r="K5743" s="1095"/>
      <c r="L5743" s="1095"/>
      <c r="M5743" s="1095"/>
    </row>
    <row r="5744" spans="1:13" x14ac:dyDescent="0.25">
      <c r="A5744">
        <v>5502936</v>
      </c>
      <c r="B5744" t="s">
        <v>12776</v>
      </c>
      <c r="C5744" t="s">
        <v>2596</v>
      </c>
      <c r="D5744" s="254">
        <v>24.6</v>
      </c>
      <c r="E5744"/>
      <c r="F5744"/>
      <c r="G5744"/>
      <c r="H5744"/>
      <c r="I5744" s="489"/>
      <c r="J5744" s="1095"/>
      <c r="K5744" s="1095"/>
      <c r="L5744" s="1095"/>
      <c r="M5744" s="1095"/>
    </row>
    <row r="5745" spans="1:13" x14ac:dyDescent="0.25">
      <c r="A5745">
        <v>5502962</v>
      </c>
      <c r="B5745" t="s">
        <v>12777</v>
      </c>
      <c r="C5745" t="s">
        <v>2596</v>
      </c>
      <c r="D5745" s="254">
        <v>21.9</v>
      </c>
      <c r="E5745"/>
      <c r="F5745"/>
      <c r="G5745"/>
      <c r="H5745"/>
      <c r="I5745" s="489"/>
      <c r="J5745" s="1095"/>
      <c r="K5745" s="1095"/>
      <c r="L5745" s="1095"/>
      <c r="M5745" s="1095"/>
    </row>
    <row r="5746" spans="1:13" x14ac:dyDescent="0.25">
      <c r="A5746">
        <v>5502900</v>
      </c>
      <c r="B5746" t="s">
        <v>12778</v>
      </c>
      <c r="C5746" t="s">
        <v>2596</v>
      </c>
      <c r="D5746" s="254">
        <v>20.07</v>
      </c>
      <c r="E5746"/>
      <c r="F5746"/>
      <c r="G5746"/>
      <c r="H5746"/>
      <c r="I5746" s="489"/>
      <c r="J5746" s="1095"/>
      <c r="K5746" s="1095"/>
      <c r="L5746" s="1095"/>
      <c r="M5746" s="1095"/>
    </row>
    <row r="5747" spans="1:13" x14ac:dyDescent="0.25">
      <c r="A5747">
        <v>5502926</v>
      </c>
      <c r="B5747" t="s">
        <v>12779</v>
      </c>
      <c r="C5747" t="s">
        <v>2596</v>
      </c>
      <c r="D5747" s="254">
        <v>19.420000000000002</v>
      </c>
      <c r="E5747"/>
      <c r="F5747"/>
      <c r="G5747"/>
      <c r="H5747"/>
      <c r="I5747" s="489"/>
      <c r="J5747" s="1095"/>
      <c r="K5747" s="1095"/>
      <c r="L5747" s="1095"/>
      <c r="M5747" s="1095"/>
    </row>
    <row r="5748" spans="1:13" x14ac:dyDescent="0.25">
      <c r="A5748">
        <v>5502952</v>
      </c>
      <c r="B5748" t="s">
        <v>12780</v>
      </c>
      <c r="C5748" t="s">
        <v>2596</v>
      </c>
      <c r="D5748" s="254">
        <v>19.2</v>
      </c>
      <c r="E5748"/>
      <c r="F5748"/>
      <c r="G5748"/>
      <c r="H5748"/>
      <c r="I5748" s="489"/>
      <c r="J5748" s="1095"/>
      <c r="K5748" s="1095"/>
      <c r="L5748" s="1095"/>
      <c r="M5748" s="1095"/>
    </row>
    <row r="5749" spans="1:13" x14ac:dyDescent="0.25">
      <c r="A5749">
        <v>5502901</v>
      </c>
      <c r="B5749" t="s">
        <v>12781</v>
      </c>
      <c r="C5749" t="s">
        <v>2596</v>
      </c>
      <c r="D5749" s="254">
        <v>20.5</v>
      </c>
      <c r="E5749"/>
      <c r="F5749"/>
      <c r="G5749"/>
      <c r="H5749"/>
      <c r="I5749" s="489"/>
      <c r="J5749" s="1095"/>
      <c r="K5749" s="1095"/>
      <c r="L5749" s="1095"/>
      <c r="M5749" s="1095"/>
    </row>
    <row r="5750" spans="1:13" x14ac:dyDescent="0.25">
      <c r="A5750">
        <v>5502927</v>
      </c>
      <c r="B5750" t="s">
        <v>12782</v>
      </c>
      <c r="C5750" t="s">
        <v>2596</v>
      </c>
      <c r="D5750" s="254">
        <v>19.739999999999998</v>
      </c>
      <c r="E5750"/>
      <c r="F5750"/>
      <c r="G5750"/>
      <c r="H5750"/>
      <c r="I5750" s="489"/>
      <c r="J5750" s="1095"/>
      <c r="K5750" s="1095"/>
      <c r="L5750" s="1095"/>
      <c r="M5750" s="1095"/>
    </row>
    <row r="5751" spans="1:13" x14ac:dyDescent="0.25">
      <c r="A5751">
        <v>5502953</v>
      </c>
      <c r="B5751" t="s">
        <v>12783</v>
      </c>
      <c r="C5751" t="s">
        <v>2596</v>
      </c>
      <c r="D5751" s="254">
        <v>19.53</v>
      </c>
      <c r="E5751"/>
      <c r="F5751"/>
      <c r="G5751"/>
      <c r="H5751"/>
      <c r="I5751" s="489"/>
      <c r="J5751" s="1095"/>
      <c r="K5751" s="1095"/>
      <c r="L5751" s="1095"/>
      <c r="M5751" s="1095"/>
    </row>
    <row r="5752" spans="1:13" x14ac:dyDescent="0.25">
      <c r="A5752">
        <v>5502899</v>
      </c>
      <c r="B5752" t="s">
        <v>12784</v>
      </c>
      <c r="C5752" t="s">
        <v>2596</v>
      </c>
      <c r="D5752" s="254">
        <v>19.420000000000002</v>
      </c>
      <c r="E5752"/>
      <c r="F5752"/>
      <c r="G5752"/>
      <c r="H5752"/>
      <c r="I5752" s="489"/>
      <c r="J5752" s="1095"/>
      <c r="K5752" s="1095"/>
      <c r="L5752" s="1095"/>
      <c r="M5752" s="1095"/>
    </row>
    <row r="5753" spans="1:13" x14ac:dyDescent="0.25">
      <c r="A5753">
        <v>5502925</v>
      </c>
      <c r="B5753" t="s">
        <v>12785</v>
      </c>
      <c r="C5753" t="s">
        <v>2596</v>
      </c>
      <c r="D5753" s="254">
        <v>19.100000000000001</v>
      </c>
      <c r="E5753"/>
      <c r="F5753"/>
      <c r="G5753"/>
      <c r="H5753"/>
      <c r="I5753" s="489"/>
      <c r="J5753" s="1095"/>
      <c r="K5753" s="1095"/>
      <c r="L5753" s="1095"/>
      <c r="M5753" s="1095"/>
    </row>
    <row r="5754" spans="1:13" x14ac:dyDescent="0.25">
      <c r="A5754">
        <v>5502951</v>
      </c>
      <c r="B5754" t="s">
        <v>12786</v>
      </c>
      <c r="C5754" t="s">
        <v>2596</v>
      </c>
      <c r="D5754" s="254">
        <v>18.88</v>
      </c>
      <c r="E5754"/>
      <c r="F5754"/>
      <c r="G5754"/>
      <c r="H5754"/>
      <c r="I5754" s="489"/>
      <c r="J5754" s="1095"/>
      <c r="K5754" s="1095"/>
      <c r="L5754" s="1095"/>
      <c r="M5754" s="1095"/>
    </row>
    <row r="5755" spans="1:13" x14ac:dyDescent="0.25">
      <c r="A5755">
        <v>5502902</v>
      </c>
      <c r="B5755" t="s">
        <v>12787</v>
      </c>
      <c r="C5755" t="s">
        <v>2596</v>
      </c>
      <c r="D5755" s="254">
        <v>21.04</v>
      </c>
      <c r="E5755"/>
      <c r="F5755"/>
      <c r="G5755"/>
      <c r="H5755"/>
      <c r="I5755" s="489"/>
      <c r="J5755" s="1095"/>
      <c r="K5755" s="1095"/>
      <c r="L5755" s="1095"/>
      <c r="M5755" s="1095"/>
    </row>
    <row r="5756" spans="1:13" x14ac:dyDescent="0.25">
      <c r="A5756">
        <v>5502928</v>
      </c>
      <c r="B5756" t="s">
        <v>12788</v>
      </c>
      <c r="C5756" t="s">
        <v>2596</v>
      </c>
      <c r="D5756" s="254">
        <v>20.07</v>
      </c>
      <c r="E5756"/>
      <c r="F5756"/>
      <c r="G5756"/>
      <c r="H5756"/>
      <c r="I5756" s="489"/>
      <c r="J5756" s="1095"/>
      <c r="K5756" s="1095"/>
      <c r="L5756" s="1095"/>
      <c r="M5756" s="1095"/>
    </row>
    <row r="5757" spans="1:13" x14ac:dyDescent="0.25">
      <c r="A5757">
        <v>5502954</v>
      </c>
      <c r="B5757" t="s">
        <v>12789</v>
      </c>
      <c r="C5757" t="s">
        <v>2596</v>
      </c>
      <c r="D5757" s="254">
        <v>19.739999999999998</v>
      </c>
      <c r="E5757"/>
      <c r="F5757"/>
      <c r="G5757"/>
      <c r="H5757"/>
      <c r="I5757" s="489"/>
      <c r="J5757" s="1095"/>
      <c r="K5757" s="1095"/>
      <c r="L5757" s="1095"/>
      <c r="M5757" s="1095"/>
    </row>
    <row r="5758" spans="1:13" x14ac:dyDescent="0.25">
      <c r="A5758">
        <v>5502903</v>
      </c>
      <c r="B5758" t="s">
        <v>12790</v>
      </c>
      <c r="C5758" t="s">
        <v>2596</v>
      </c>
      <c r="D5758" s="254">
        <v>21.36</v>
      </c>
      <c r="E5758"/>
      <c r="F5758"/>
      <c r="G5758"/>
      <c r="H5758"/>
      <c r="I5758" s="489"/>
      <c r="J5758" s="1095"/>
      <c r="K5758" s="1095"/>
      <c r="L5758" s="1095"/>
      <c r="M5758" s="1095"/>
    </row>
    <row r="5759" spans="1:13" x14ac:dyDescent="0.25">
      <c r="A5759">
        <v>5502929</v>
      </c>
      <c r="B5759" t="s">
        <v>12791</v>
      </c>
      <c r="C5759" t="s">
        <v>2596</v>
      </c>
      <c r="D5759" s="254">
        <v>20.28</v>
      </c>
      <c r="E5759"/>
      <c r="F5759"/>
      <c r="G5759"/>
      <c r="H5759"/>
      <c r="I5759" s="489"/>
      <c r="J5759" s="1095"/>
      <c r="K5759" s="1095"/>
      <c r="L5759" s="1095"/>
      <c r="M5759" s="1095"/>
    </row>
    <row r="5760" spans="1:13" x14ac:dyDescent="0.25">
      <c r="A5760">
        <v>5502955</v>
      </c>
      <c r="B5760" t="s">
        <v>12792</v>
      </c>
      <c r="C5760" t="s">
        <v>2596</v>
      </c>
      <c r="D5760" s="254">
        <v>19.96</v>
      </c>
      <c r="E5760"/>
      <c r="F5760"/>
      <c r="G5760"/>
      <c r="H5760"/>
      <c r="I5760" s="489"/>
      <c r="J5760" s="1095"/>
      <c r="K5760" s="1095"/>
      <c r="L5760" s="1095"/>
      <c r="M5760" s="1095"/>
    </row>
    <row r="5761" spans="1:13" x14ac:dyDescent="0.25">
      <c r="A5761">
        <v>5502889</v>
      </c>
      <c r="B5761" t="s">
        <v>12793</v>
      </c>
      <c r="C5761" t="s">
        <v>2596</v>
      </c>
      <c r="D5761" s="254">
        <v>27.52</v>
      </c>
      <c r="E5761"/>
      <c r="F5761"/>
      <c r="G5761"/>
      <c r="H5761"/>
      <c r="I5761" s="489"/>
      <c r="J5761" s="1095"/>
      <c r="K5761" s="1095"/>
      <c r="L5761" s="1095"/>
      <c r="M5761" s="1095"/>
    </row>
    <row r="5762" spans="1:13" x14ac:dyDescent="0.25">
      <c r="A5762">
        <v>5502996</v>
      </c>
      <c r="B5762" t="s">
        <v>12794</v>
      </c>
      <c r="C5762" t="s">
        <v>2596</v>
      </c>
      <c r="D5762" s="254">
        <v>24.92</v>
      </c>
      <c r="E5762"/>
      <c r="F5762"/>
      <c r="G5762"/>
      <c r="H5762"/>
      <c r="I5762" s="489"/>
      <c r="J5762" s="1095"/>
      <c r="K5762" s="1095"/>
      <c r="L5762" s="1095"/>
      <c r="M5762" s="1095"/>
    </row>
    <row r="5763" spans="1:13" x14ac:dyDescent="0.25">
      <c r="A5763">
        <v>5502997</v>
      </c>
      <c r="B5763" t="s">
        <v>12795</v>
      </c>
      <c r="C5763" t="s">
        <v>2596</v>
      </c>
      <c r="D5763" s="254">
        <v>24.11</v>
      </c>
      <c r="E5763"/>
      <c r="F5763"/>
      <c r="G5763"/>
      <c r="H5763"/>
      <c r="I5763" s="489"/>
      <c r="J5763" s="1095"/>
      <c r="K5763" s="1095"/>
      <c r="L5763" s="1095"/>
      <c r="M5763" s="1095"/>
    </row>
    <row r="5764" spans="1:13" x14ac:dyDescent="0.25">
      <c r="A5764">
        <v>5501716</v>
      </c>
      <c r="B5764" t="s">
        <v>12796</v>
      </c>
      <c r="C5764" t="s">
        <v>2596</v>
      </c>
      <c r="D5764" s="254">
        <v>21.42</v>
      </c>
      <c r="E5764"/>
      <c r="F5764"/>
      <c r="G5764"/>
      <c r="H5764"/>
      <c r="I5764" s="489"/>
      <c r="J5764" s="1095"/>
      <c r="K5764" s="1095"/>
      <c r="L5764" s="1095"/>
      <c r="M5764" s="1095"/>
    </row>
    <row r="5765" spans="1:13" x14ac:dyDescent="0.25">
      <c r="A5765">
        <v>5501717</v>
      </c>
      <c r="B5765" t="s">
        <v>12797</v>
      </c>
      <c r="C5765" t="s">
        <v>2596</v>
      </c>
      <c r="D5765" s="254">
        <v>24.13</v>
      </c>
      <c r="E5765"/>
      <c r="F5765"/>
      <c r="G5765"/>
      <c r="H5765"/>
      <c r="I5765" s="489"/>
      <c r="J5765" s="1095"/>
      <c r="K5765" s="1095"/>
      <c r="L5765" s="1095"/>
      <c r="M5765" s="1095"/>
    </row>
    <row r="5766" spans="1:13" x14ac:dyDescent="0.25">
      <c r="A5766">
        <v>5501712</v>
      </c>
      <c r="B5766" t="s">
        <v>12798</v>
      </c>
      <c r="C5766" t="s">
        <v>2596</v>
      </c>
      <c r="D5766" s="254">
        <v>12.41</v>
      </c>
      <c r="E5766"/>
      <c r="F5766"/>
      <c r="G5766"/>
      <c r="H5766"/>
      <c r="I5766" s="489"/>
      <c r="J5766" s="1095"/>
      <c r="K5766" s="1095"/>
      <c r="L5766" s="1095"/>
      <c r="M5766" s="1095"/>
    </row>
    <row r="5767" spans="1:13" x14ac:dyDescent="0.25">
      <c r="A5767">
        <v>5501713</v>
      </c>
      <c r="B5767" t="s">
        <v>12799</v>
      </c>
      <c r="C5767" t="s">
        <v>2596</v>
      </c>
      <c r="D5767" s="254">
        <v>13.86</v>
      </c>
      <c r="E5767"/>
      <c r="F5767"/>
      <c r="G5767"/>
      <c r="H5767"/>
      <c r="I5767" s="489"/>
      <c r="J5767" s="1095"/>
      <c r="K5767" s="1095"/>
      <c r="L5767" s="1095"/>
      <c r="M5767" s="1095"/>
    </row>
    <row r="5768" spans="1:13" x14ac:dyDescent="0.25">
      <c r="A5768">
        <v>5501711</v>
      </c>
      <c r="B5768" t="s">
        <v>12800</v>
      </c>
      <c r="C5768" t="s">
        <v>2596</v>
      </c>
      <c r="D5768" s="254">
        <v>9.9700000000000006</v>
      </c>
      <c r="E5768"/>
      <c r="F5768"/>
      <c r="G5768"/>
      <c r="H5768"/>
      <c r="I5768" s="489"/>
      <c r="J5768" s="1095"/>
      <c r="K5768" s="1095"/>
      <c r="L5768" s="1095"/>
      <c r="M5768" s="1095"/>
    </row>
    <row r="5769" spans="1:13" x14ac:dyDescent="0.25">
      <c r="A5769">
        <v>5501710</v>
      </c>
      <c r="B5769" t="s">
        <v>12801</v>
      </c>
      <c r="C5769" t="s">
        <v>2596</v>
      </c>
      <c r="D5769" s="254">
        <v>3.06</v>
      </c>
      <c r="E5769"/>
      <c r="F5769"/>
      <c r="G5769"/>
      <c r="H5769"/>
      <c r="I5769" s="489"/>
      <c r="J5769" s="1095"/>
      <c r="K5769" s="1095"/>
      <c r="L5769" s="1095"/>
      <c r="M5769" s="1095"/>
    </row>
    <row r="5770" spans="1:13" x14ac:dyDescent="0.25">
      <c r="A5770">
        <v>5501714</v>
      </c>
      <c r="B5770" t="s">
        <v>12802</v>
      </c>
      <c r="C5770" t="s">
        <v>2596</v>
      </c>
      <c r="D5770" s="254">
        <v>16.27</v>
      </c>
      <c r="E5770"/>
      <c r="F5770"/>
      <c r="G5770"/>
      <c r="H5770"/>
      <c r="I5770" s="489"/>
      <c r="J5770" s="1095"/>
      <c r="K5770" s="1095"/>
      <c r="L5770" s="1095"/>
      <c r="M5770" s="1095"/>
    </row>
    <row r="5771" spans="1:13" x14ac:dyDescent="0.25">
      <c r="A5771">
        <v>5501715</v>
      </c>
      <c r="B5771" t="s">
        <v>12803</v>
      </c>
      <c r="C5771" t="s">
        <v>2596</v>
      </c>
      <c r="D5771" s="254">
        <v>18.71</v>
      </c>
      <c r="E5771"/>
      <c r="F5771"/>
      <c r="G5771"/>
      <c r="H5771"/>
      <c r="I5771" s="489"/>
      <c r="J5771" s="1095"/>
      <c r="K5771" s="1095"/>
      <c r="L5771" s="1095"/>
      <c r="M5771" s="1095"/>
    </row>
    <row r="5772" spans="1:13" x14ac:dyDescent="0.25">
      <c r="A5772">
        <v>5502986</v>
      </c>
      <c r="B5772" t="s">
        <v>12804</v>
      </c>
      <c r="C5772" t="s">
        <v>2596</v>
      </c>
      <c r="D5772" s="254">
        <v>2.73</v>
      </c>
      <c r="E5772"/>
      <c r="F5772"/>
      <c r="G5772"/>
      <c r="H5772"/>
      <c r="I5772" s="489"/>
      <c r="J5772" s="1095"/>
      <c r="K5772" s="1095"/>
      <c r="L5772" s="1095"/>
      <c r="M5772" s="1095"/>
    </row>
    <row r="5773" spans="1:13" x14ac:dyDescent="0.25">
      <c r="A5773">
        <v>5502977</v>
      </c>
      <c r="B5773" t="s">
        <v>12805</v>
      </c>
      <c r="C5773" t="s">
        <v>2596</v>
      </c>
      <c r="D5773" s="254">
        <v>8.1300000000000008</v>
      </c>
      <c r="E5773"/>
      <c r="F5773"/>
      <c r="G5773"/>
      <c r="H5773"/>
      <c r="I5773" s="489"/>
      <c r="J5773" s="1095"/>
      <c r="K5773" s="1095"/>
      <c r="L5773" s="1095"/>
      <c r="M5773" s="1095"/>
    </row>
    <row r="5774" spans="1:13" x14ac:dyDescent="0.25">
      <c r="A5774">
        <v>5502985</v>
      </c>
      <c r="B5774" t="s">
        <v>12806</v>
      </c>
      <c r="C5774" t="s">
        <v>2595</v>
      </c>
      <c r="D5774" s="254">
        <v>0.48</v>
      </c>
      <c r="E5774"/>
      <c r="F5774"/>
      <c r="G5774"/>
      <c r="H5774"/>
      <c r="I5774" s="489"/>
      <c r="J5774" s="1095"/>
      <c r="K5774" s="1095"/>
      <c r="L5774" s="1095"/>
      <c r="M5774" s="1095"/>
    </row>
    <row r="5775" spans="1:13" x14ac:dyDescent="0.25">
      <c r="A5775">
        <v>5503018</v>
      </c>
      <c r="B5775" t="s">
        <v>12807</v>
      </c>
      <c r="C5775" t="s">
        <v>9248</v>
      </c>
      <c r="D5775" s="254">
        <v>58.11</v>
      </c>
      <c r="E5775"/>
      <c r="F5775"/>
      <c r="G5775"/>
      <c r="H5775"/>
      <c r="I5775" s="489"/>
      <c r="J5775" s="1095"/>
      <c r="K5775" s="1095"/>
      <c r="L5775" s="1095"/>
      <c r="M5775" s="1095"/>
    </row>
    <row r="5776" spans="1:13" x14ac:dyDescent="0.25">
      <c r="A5776">
        <v>5519542</v>
      </c>
      <c r="B5776" t="s">
        <v>12808</v>
      </c>
      <c r="C5776" t="s">
        <v>2596</v>
      </c>
      <c r="D5776" s="254">
        <v>0</v>
      </c>
      <c r="E5776"/>
      <c r="F5776"/>
      <c r="G5776"/>
      <c r="H5776"/>
      <c r="I5776" s="489"/>
      <c r="J5776" s="1095"/>
      <c r="K5776" s="1095"/>
      <c r="L5776" s="1095"/>
      <c r="M5776" s="1095"/>
    </row>
    <row r="5777" spans="1:13" x14ac:dyDescent="0.25">
      <c r="A5777">
        <v>5505768</v>
      </c>
      <c r="B5777" t="s">
        <v>12809</v>
      </c>
      <c r="C5777" t="s">
        <v>2595</v>
      </c>
      <c r="D5777" s="254">
        <v>92.51</v>
      </c>
      <c r="E5777"/>
      <c r="F5777"/>
      <c r="G5777"/>
      <c r="H5777"/>
      <c r="I5777" s="489"/>
      <c r="J5777" s="1095"/>
      <c r="K5777" s="1095"/>
      <c r="L5777" s="1095"/>
      <c r="M5777" s="1095"/>
    </row>
    <row r="5778" spans="1:13" x14ac:dyDescent="0.25">
      <c r="A5778">
        <v>5503020</v>
      </c>
      <c r="B5778" t="s">
        <v>12810</v>
      </c>
      <c r="C5778" t="s">
        <v>9248</v>
      </c>
      <c r="D5778" s="254">
        <v>338.49</v>
      </c>
      <c r="E5778"/>
      <c r="F5778"/>
      <c r="G5778"/>
      <c r="H5778"/>
      <c r="I5778" s="489"/>
      <c r="J5778" s="1095"/>
      <c r="K5778" s="1095"/>
      <c r="L5778" s="1095"/>
      <c r="M5778" s="1095"/>
    </row>
    <row r="5779" spans="1:13" x14ac:dyDescent="0.25">
      <c r="A5779">
        <v>5605798</v>
      </c>
      <c r="B5779" t="s">
        <v>12811</v>
      </c>
      <c r="C5779" t="s">
        <v>2598</v>
      </c>
      <c r="D5779" s="254">
        <v>93.14</v>
      </c>
      <c r="E5779"/>
      <c r="F5779"/>
      <c r="G5779"/>
      <c r="H5779"/>
      <c r="I5779" s="489"/>
      <c r="J5779" s="1095"/>
      <c r="K5779" s="1095"/>
      <c r="L5779" s="1095"/>
      <c r="M5779" s="1095"/>
    </row>
    <row r="5780" spans="1:13" x14ac:dyDescent="0.25">
      <c r="A5780">
        <v>5605925</v>
      </c>
      <c r="B5780" t="s">
        <v>12812</v>
      </c>
      <c r="C5780" t="s">
        <v>2598</v>
      </c>
      <c r="D5780" s="254">
        <v>89.4</v>
      </c>
      <c r="E5780"/>
      <c r="F5780"/>
      <c r="G5780"/>
      <c r="H5780"/>
      <c r="I5780" s="489"/>
      <c r="J5780" s="1095"/>
      <c r="K5780" s="1095"/>
      <c r="L5780" s="1095"/>
      <c r="M5780" s="1095"/>
    </row>
    <row r="5781" spans="1:13" x14ac:dyDescent="0.25">
      <c r="A5781">
        <v>5605799</v>
      </c>
      <c r="B5781" t="s">
        <v>12813</v>
      </c>
      <c r="C5781" t="s">
        <v>2598</v>
      </c>
      <c r="D5781" s="254">
        <v>100.33</v>
      </c>
      <c r="E5781"/>
      <c r="F5781"/>
      <c r="G5781"/>
      <c r="H5781"/>
      <c r="I5781" s="489"/>
      <c r="J5781" s="1095"/>
      <c r="K5781" s="1095"/>
      <c r="L5781" s="1095"/>
      <c r="M5781" s="1095"/>
    </row>
    <row r="5782" spans="1:13" x14ac:dyDescent="0.25">
      <c r="A5782">
        <v>5605800</v>
      </c>
      <c r="B5782" t="s">
        <v>12814</v>
      </c>
      <c r="C5782" t="s">
        <v>2598</v>
      </c>
      <c r="D5782" s="254">
        <v>110.49</v>
      </c>
      <c r="E5782"/>
      <c r="F5782"/>
      <c r="G5782"/>
      <c r="H5782"/>
      <c r="I5782" s="489"/>
      <c r="J5782" s="1095"/>
      <c r="K5782" s="1095"/>
      <c r="L5782" s="1095"/>
      <c r="M5782" s="1095"/>
    </row>
    <row r="5783" spans="1:13" x14ac:dyDescent="0.25">
      <c r="A5783">
        <v>5605894</v>
      </c>
      <c r="B5783" t="s">
        <v>12815</v>
      </c>
      <c r="C5783" t="s">
        <v>2598</v>
      </c>
      <c r="D5783" s="254">
        <v>50.17</v>
      </c>
      <c r="E5783"/>
      <c r="F5783"/>
      <c r="G5783"/>
      <c r="H5783"/>
      <c r="I5783" s="489"/>
      <c r="J5783" s="1095"/>
      <c r="K5783" s="1095"/>
      <c r="L5783" s="1095"/>
      <c r="M5783" s="1095"/>
    </row>
    <row r="5784" spans="1:13" x14ac:dyDescent="0.25">
      <c r="A5784">
        <v>5605895</v>
      </c>
      <c r="B5784" t="s">
        <v>12816</v>
      </c>
      <c r="C5784" t="s">
        <v>2598</v>
      </c>
      <c r="D5784" s="254">
        <v>55.24</v>
      </c>
      <c r="E5784"/>
      <c r="F5784"/>
      <c r="G5784"/>
      <c r="H5784"/>
      <c r="I5784" s="489"/>
      <c r="J5784" s="1095"/>
      <c r="K5784" s="1095"/>
      <c r="L5784" s="1095"/>
      <c r="M5784" s="1095"/>
    </row>
    <row r="5785" spans="1:13" x14ac:dyDescent="0.25">
      <c r="A5785">
        <v>5605896</v>
      </c>
      <c r="B5785" t="s">
        <v>12817</v>
      </c>
      <c r="C5785" t="s">
        <v>2598</v>
      </c>
      <c r="D5785" s="254">
        <v>62.87</v>
      </c>
      <c r="E5785"/>
      <c r="F5785"/>
      <c r="G5785"/>
      <c r="H5785"/>
      <c r="I5785" s="489"/>
      <c r="J5785" s="1095"/>
      <c r="K5785" s="1095"/>
      <c r="L5785" s="1095"/>
      <c r="M5785" s="1095"/>
    </row>
    <row r="5786" spans="1:13" x14ac:dyDescent="0.25">
      <c r="A5786">
        <v>5605911</v>
      </c>
      <c r="B5786" t="s">
        <v>12818</v>
      </c>
      <c r="C5786" t="s">
        <v>2598</v>
      </c>
      <c r="D5786" s="254">
        <v>30.6</v>
      </c>
      <c r="E5786"/>
      <c r="F5786"/>
      <c r="G5786"/>
      <c r="H5786"/>
      <c r="I5786" s="489"/>
      <c r="J5786" s="1095"/>
      <c r="K5786" s="1095"/>
      <c r="L5786" s="1095"/>
      <c r="M5786" s="1095"/>
    </row>
    <row r="5787" spans="1:13" x14ac:dyDescent="0.25">
      <c r="A5787">
        <v>5605912</v>
      </c>
      <c r="B5787" t="s">
        <v>12819</v>
      </c>
      <c r="C5787" t="s">
        <v>2598</v>
      </c>
      <c r="D5787" s="254">
        <v>52.42</v>
      </c>
      <c r="E5787"/>
      <c r="F5787"/>
      <c r="G5787"/>
      <c r="H5787"/>
      <c r="I5787" s="489"/>
      <c r="J5787" s="1095"/>
      <c r="K5787" s="1095"/>
      <c r="L5787" s="1095"/>
      <c r="M5787" s="1095"/>
    </row>
    <row r="5788" spans="1:13" x14ac:dyDescent="0.25">
      <c r="A5788">
        <v>5605938</v>
      </c>
      <c r="B5788" t="s">
        <v>12820</v>
      </c>
      <c r="C5788" t="s">
        <v>2598</v>
      </c>
      <c r="D5788" s="254">
        <v>20.87</v>
      </c>
      <c r="E5788"/>
      <c r="F5788"/>
      <c r="G5788"/>
      <c r="H5788"/>
      <c r="I5788" s="489"/>
      <c r="J5788" s="1095"/>
      <c r="K5788" s="1095"/>
      <c r="L5788" s="1095"/>
      <c r="M5788" s="1095"/>
    </row>
    <row r="5789" spans="1:13" x14ac:dyDescent="0.25">
      <c r="A5789">
        <v>5605939</v>
      </c>
      <c r="B5789" t="s">
        <v>12821</v>
      </c>
      <c r="C5789" t="s">
        <v>2598</v>
      </c>
      <c r="D5789" s="254">
        <v>25.09</v>
      </c>
      <c r="E5789"/>
      <c r="F5789"/>
      <c r="G5789"/>
      <c r="H5789"/>
      <c r="I5789" s="489"/>
      <c r="J5789" s="1095"/>
      <c r="K5789" s="1095"/>
      <c r="L5789" s="1095"/>
      <c r="M5789" s="1095"/>
    </row>
    <row r="5790" spans="1:13" x14ac:dyDescent="0.25">
      <c r="A5790">
        <v>5605940</v>
      </c>
      <c r="B5790" t="s">
        <v>12822</v>
      </c>
      <c r="C5790" t="s">
        <v>2598</v>
      </c>
      <c r="D5790" s="254">
        <v>56.84</v>
      </c>
      <c r="E5790"/>
      <c r="F5790"/>
      <c r="G5790"/>
      <c r="H5790"/>
      <c r="I5790" s="489"/>
      <c r="J5790" s="1095"/>
      <c r="K5790" s="1095"/>
      <c r="L5790" s="1095"/>
      <c r="M5790" s="1095"/>
    </row>
    <row r="5791" spans="1:13" x14ac:dyDescent="0.25">
      <c r="A5791">
        <v>5605942</v>
      </c>
      <c r="B5791" t="s">
        <v>12823</v>
      </c>
      <c r="C5791" t="s">
        <v>2595</v>
      </c>
      <c r="D5791" s="254">
        <v>43.87</v>
      </c>
      <c r="E5791"/>
      <c r="F5791"/>
      <c r="G5791"/>
      <c r="H5791"/>
      <c r="I5791" s="489"/>
      <c r="J5791" s="1095"/>
      <c r="K5791" s="1095"/>
      <c r="L5791" s="1095"/>
      <c r="M5791" s="1095"/>
    </row>
    <row r="5792" spans="1:13" x14ac:dyDescent="0.25">
      <c r="A5792">
        <v>5605955</v>
      </c>
      <c r="B5792" t="s">
        <v>13841</v>
      </c>
      <c r="C5792" t="s">
        <v>2640</v>
      </c>
      <c r="D5792" s="254">
        <v>535.58000000000004</v>
      </c>
      <c r="E5792"/>
      <c r="F5792"/>
      <c r="G5792"/>
      <c r="H5792"/>
      <c r="I5792" s="489"/>
      <c r="J5792" s="1095"/>
      <c r="K5792" s="1095"/>
      <c r="L5792" s="1095"/>
      <c r="M5792" s="1095"/>
    </row>
    <row r="5793" spans="1:13" x14ac:dyDescent="0.25">
      <c r="A5793">
        <v>5605956</v>
      </c>
      <c r="B5793" t="s">
        <v>13842</v>
      </c>
      <c r="C5793" t="s">
        <v>2640</v>
      </c>
      <c r="D5793" s="254">
        <v>633.54999999999995</v>
      </c>
      <c r="E5793"/>
      <c r="F5793"/>
      <c r="G5793"/>
      <c r="H5793"/>
      <c r="I5793" s="489"/>
      <c r="J5793" s="1095"/>
      <c r="K5793" s="1095"/>
      <c r="L5793" s="1095"/>
      <c r="M5793" s="1095"/>
    </row>
    <row r="5794" spans="1:13" x14ac:dyDescent="0.25">
      <c r="A5794">
        <v>5605953</v>
      </c>
      <c r="B5794" t="s">
        <v>13843</v>
      </c>
      <c r="C5794" t="s">
        <v>2640</v>
      </c>
      <c r="D5794" s="254">
        <v>384.87</v>
      </c>
      <c r="E5794"/>
      <c r="F5794"/>
      <c r="G5794"/>
      <c r="H5794"/>
      <c r="I5794" s="489"/>
      <c r="J5794" s="1095"/>
      <c r="K5794" s="1095"/>
      <c r="L5794" s="1095"/>
      <c r="M5794" s="1095"/>
    </row>
    <row r="5795" spans="1:13" x14ac:dyDescent="0.25">
      <c r="A5795">
        <v>5605954</v>
      </c>
      <c r="B5795" t="s">
        <v>13844</v>
      </c>
      <c r="C5795" t="s">
        <v>2640</v>
      </c>
      <c r="D5795" s="254">
        <v>463.19</v>
      </c>
      <c r="E5795"/>
      <c r="F5795"/>
      <c r="G5795"/>
      <c r="H5795"/>
      <c r="I5795" s="489"/>
      <c r="J5795" s="1095"/>
      <c r="K5795" s="1095"/>
      <c r="L5795" s="1095"/>
      <c r="M5795" s="1095"/>
    </row>
    <row r="5796" spans="1:13" x14ac:dyDescent="0.25">
      <c r="A5796">
        <v>5605909</v>
      </c>
      <c r="B5796" t="s">
        <v>13845</v>
      </c>
      <c r="C5796" t="s">
        <v>2640</v>
      </c>
      <c r="D5796" s="254">
        <v>439.94</v>
      </c>
      <c r="E5796"/>
      <c r="F5796"/>
      <c r="G5796"/>
      <c r="H5796"/>
      <c r="I5796" s="489"/>
      <c r="J5796" s="1095"/>
      <c r="K5796" s="1095"/>
      <c r="L5796" s="1095"/>
      <c r="M5796" s="1095"/>
    </row>
    <row r="5797" spans="1:13" x14ac:dyDescent="0.25">
      <c r="A5797">
        <v>5605908</v>
      </c>
      <c r="B5797" t="s">
        <v>13846</v>
      </c>
      <c r="C5797" t="s">
        <v>2640</v>
      </c>
      <c r="D5797" s="254">
        <v>439.94</v>
      </c>
      <c r="E5797"/>
      <c r="F5797"/>
      <c r="G5797"/>
      <c r="H5797"/>
      <c r="I5797" s="489"/>
      <c r="J5797" s="1095"/>
      <c r="K5797" s="1095"/>
      <c r="L5797" s="1095"/>
      <c r="M5797" s="1095"/>
    </row>
    <row r="5798" spans="1:13" x14ac:dyDescent="0.25">
      <c r="A5798">
        <v>5605907</v>
      </c>
      <c r="B5798" t="s">
        <v>13847</v>
      </c>
      <c r="C5798" t="s">
        <v>2640</v>
      </c>
      <c r="D5798" s="254">
        <v>424.42</v>
      </c>
      <c r="E5798"/>
      <c r="F5798"/>
      <c r="G5798"/>
      <c r="H5798"/>
      <c r="I5798" s="489"/>
      <c r="J5798" s="1095"/>
      <c r="K5798" s="1095"/>
      <c r="L5798" s="1095"/>
      <c r="M5798" s="1095"/>
    </row>
    <row r="5799" spans="1:13" x14ac:dyDescent="0.25">
      <c r="A5799">
        <v>5605906</v>
      </c>
      <c r="B5799" t="s">
        <v>13848</v>
      </c>
      <c r="C5799" t="s">
        <v>2640</v>
      </c>
      <c r="D5799" s="254">
        <v>561.6</v>
      </c>
      <c r="E5799"/>
      <c r="F5799"/>
      <c r="G5799"/>
      <c r="H5799"/>
      <c r="I5799" s="489"/>
      <c r="J5799" s="1095"/>
      <c r="K5799" s="1095"/>
      <c r="L5799" s="1095"/>
      <c r="M5799" s="1095"/>
    </row>
    <row r="5800" spans="1:13" x14ac:dyDescent="0.25">
      <c r="A5800">
        <v>5605905</v>
      </c>
      <c r="B5800" t="s">
        <v>13849</v>
      </c>
      <c r="C5800" t="s">
        <v>2640</v>
      </c>
      <c r="D5800" s="254">
        <v>564.61</v>
      </c>
      <c r="E5800"/>
      <c r="F5800"/>
      <c r="G5800"/>
      <c r="H5800"/>
      <c r="I5800" s="489"/>
      <c r="J5800" s="1095"/>
      <c r="K5800" s="1095"/>
      <c r="L5800" s="1095"/>
      <c r="M5800" s="1095"/>
    </row>
    <row r="5801" spans="1:13" x14ac:dyDescent="0.25">
      <c r="A5801">
        <v>5605944</v>
      </c>
      <c r="B5801" t="s">
        <v>13850</v>
      </c>
      <c r="C5801" t="s">
        <v>2640</v>
      </c>
      <c r="D5801" s="254">
        <v>399.6</v>
      </c>
      <c r="E5801"/>
      <c r="F5801"/>
      <c r="G5801"/>
      <c r="H5801"/>
      <c r="I5801" s="489"/>
      <c r="J5801" s="1095"/>
      <c r="K5801" s="1095"/>
      <c r="L5801" s="1095"/>
      <c r="M5801" s="1095"/>
    </row>
    <row r="5802" spans="1:13" x14ac:dyDescent="0.25">
      <c r="A5802">
        <v>5605910</v>
      </c>
      <c r="B5802" t="s">
        <v>13851</v>
      </c>
      <c r="C5802" t="s">
        <v>2640</v>
      </c>
      <c r="D5802" s="254">
        <v>395.62</v>
      </c>
      <c r="E5802"/>
      <c r="F5802"/>
      <c r="G5802"/>
      <c r="H5802"/>
      <c r="I5802" s="489"/>
      <c r="J5802" s="1095"/>
      <c r="K5802" s="1095"/>
      <c r="L5802" s="1095"/>
      <c r="M5802" s="1095"/>
    </row>
    <row r="5803" spans="1:13" x14ac:dyDescent="0.25">
      <c r="A5803">
        <v>5605946</v>
      </c>
      <c r="B5803" t="s">
        <v>13852</v>
      </c>
      <c r="C5803" t="s">
        <v>2640</v>
      </c>
      <c r="D5803" s="254">
        <v>424.42</v>
      </c>
      <c r="E5803"/>
      <c r="F5803"/>
      <c r="G5803"/>
      <c r="H5803"/>
      <c r="I5803" s="489"/>
      <c r="J5803" s="1095"/>
      <c r="K5803" s="1095"/>
      <c r="L5803" s="1095"/>
      <c r="M5803" s="1095"/>
    </row>
    <row r="5804" spans="1:13" x14ac:dyDescent="0.25">
      <c r="A5804">
        <v>5605947</v>
      </c>
      <c r="B5804" t="s">
        <v>13853</v>
      </c>
      <c r="C5804" t="s">
        <v>2640</v>
      </c>
      <c r="D5804" s="254">
        <v>505.71</v>
      </c>
      <c r="E5804"/>
      <c r="F5804"/>
      <c r="G5804"/>
      <c r="H5804"/>
      <c r="I5804" s="489"/>
      <c r="J5804" s="1095"/>
      <c r="K5804" s="1095"/>
      <c r="L5804" s="1095"/>
      <c r="M5804" s="1095"/>
    </row>
    <row r="5805" spans="1:13" x14ac:dyDescent="0.25">
      <c r="A5805">
        <v>5605948</v>
      </c>
      <c r="B5805" t="s">
        <v>13854</v>
      </c>
      <c r="C5805" t="s">
        <v>2640</v>
      </c>
      <c r="D5805" s="254">
        <v>564.61</v>
      </c>
      <c r="E5805"/>
      <c r="F5805"/>
      <c r="G5805"/>
      <c r="H5805"/>
      <c r="I5805" s="489"/>
      <c r="J5805" s="1095"/>
      <c r="K5805" s="1095"/>
      <c r="L5805" s="1095"/>
      <c r="M5805" s="1095"/>
    </row>
    <row r="5806" spans="1:13" x14ac:dyDescent="0.25">
      <c r="A5806">
        <v>5605949</v>
      </c>
      <c r="B5806" t="s">
        <v>13855</v>
      </c>
      <c r="C5806" t="s">
        <v>2640</v>
      </c>
      <c r="D5806" s="254">
        <v>856.79</v>
      </c>
      <c r="E5806"/>
      <c r="F5806"/>
      <c r="G5806"/>
      <c r="H5806"/>
      <c r="I5806" s="489"/>
      <c r="J5806" s="1095"/>
      <c r="K5806" s="1095"/>
      <c r="L5806" s="1095"/>
      <c r="M5806" s="1095"/>
    </row>
    <row r="5807" spans="1:13" x14ac:dyDescent="0.25">
      <c r="A5807">
        <v>5605950</v>
      </c>
      <c r="B5807" t="s">
        <v>13856</v>
      </c>
      <c r="C5807" t="s">
        <v>2640</v>
      </c>
      <c r="D5807" s="254">
        <v>1035.01</v>
      </c>
      <c r="E5807"/>
      <c r="F5807"/>
      <c r="G5807"/>
      <c r="H5807"/>
      <c r="I5807" s="489"/>
      <c r="J5807" s="1095"/>
      <c r="K5807" s="1095"/>
      <c r="L5807" s="1095"/>
      <c r="M5807" s="1095"/>
    </row>
    <row r="5808" spans="1:13" x14ac:dyDescent="0.25">
      <c r="A5808">
        <v>5605951</v>
      </c>
      <c r="B5808" t="s">
        <v>13857</v>
      </c>
      <c r="C5808" t="s">
        <v>2640</v>
      </c>
      <c r="D5808" s="254">
        <v>1644.11</v>
      </c>
      <c r="E5808"/>
      <c r="F5808"/>
      <c r="G5808"/>
      <c r="H5808"/>
      <c r="I5808" s="489"/>
      <c r="J5808" s="1095"/>
      <c r="K5808" s="1095"/>
      <c r="L5808" s="1095"/>
      <c r="M5808" s="1095"/>
    </row>
    <row r="5809" spans="1:13" x14ac:dyDescent="0.25">
      <c r="A5809">
        <v>5605952</v>
      </c>
      <c r="B5809" t="s">
        <v>13858</v>
      </c>
      <c r="C5809" t="s">
        <v>2640</v>
      </c>
      <c r="D5809" s="254">
        <v>2593.5100000000002</v>
      </c>
      <c r="E5809"/>
      <c r="F5809"/>
      <c r="G5809"/>
      <c r="H5809"/>
      <c r="I5809" s="489"/>
      <c r="J5809" s="1095"/>
      <c r="K5809" s="1095"/>
      <c r="L5809" s="1095"/>
      <c r="M5809" s="1095"/>
    </row>
    <row r="5810" spans="1:13" x14ac:dyDescent="0.25">
      <c r="A5810">
        <v>5605945</v>
      </c>
      <c r="B5810" t="s">
        <v>13859</v>
      </c>
      <c r="C5810" t="s">
        <v>2640</v>
      </c>
      <c r="D5810" s="254">
        <v>418.04</v>
      </c>
      <c r="E5810"/>
      <c r="F5810"/>
      <c r="G5810"/>
      <c r="H5810"/>
      <c r="I5810" s="489"/>
      <c r="J5810" s="1095"/>
      <c r="K5810" s="1095"/>
      <c r="L5810" s="1095"/>
      <c r="M5810" s="1095"/>
    </row>
    <row r="5811" spans="1:13" x14ac:dyDescent="0.25">
      <c r="A5811">
        <v>5605932</v>
      </c>
      <c r="B5811" t="s">
        <v>12824</v>
      </c>
      <c r="C5811" t="s">
        <v>2598</v>
      </c>
      <c r="D5811" s="254">
        <v>114.17</v>
      </c>
      <c r="E5811"/>
      <c r="F5811"/>
      <c r="G5811"/>
      <c r="H5811"/>
      <c r="I5811" s="489"/>
      <c r="J5811" s="1095"/>
      <c r="K5811" s="1095"/>
      <c r="L5811" s="1095"/>
      <c r="M5811" s="1095"/>
    </row>
    <row r="5812" spans="1:13" x14ac:dyDescent="0.25">
      <c r="A5812">
        <v>5605934</v>
      </c>
      <c r="B5812" t="s">
        <v>12825</v>
      </c>
      <c r="C5812" t="s">
        <v>2598</v>
      </c>
      <c r="D5812" s="254">
        <v>129.25</v>
      </c>
      <c r="E5812"/>
      <c r="F5812"/>
      <c r="G5812"/>
      <c r="H5812"/>
      <c r="I5812" s="489"/>
      <c r="J5812" s="1095"/>
      <c r="K5812" s="1095"/>
      <c r="L5812" s="1095"/>
      <c r="M5812" s="1095"/>
    </row>
    <row r="5813" spans="1:13" x14ac:dyDescent="0.25">
      <c r="A5813">
        <v>5605928</v>
      </c>
      <c r="B5813" t="s">
        <v>12826</v>
      </c>
      <c r="C5813" t="s">
        <v>2598</v>
      </c>
      <c r="D5813" s="254">
        <v>150.01</v>
      </c>
      <c r="E5813"/>
      <c r="F5813"/>
      <c r="G5813"/>
      <c r="H5813"/>
      <c r="I5813" s="489"/>
      <c r="J5813" s="1095"/>
      <c r="K5813" s="1095"/>
      <c r="L5813" s="1095"/>
      <c r="M5813" s="1095"/>
    </row>
    <row r="5814" spans="1:13" x14ac:dyDescent="0.25">
      <c r="A5814">
        <v>5605935</v>
      </c>
      <c r="B5814" t="s">
        <v>12827</v>
      </c>
      <c r="C5814" t="s">
        <v>2598</v>
      </c>
      <c r="D5814" s="254">
        <v>140.01</v>
      </c>
      <c r="E5814"/>
      <c r="F5814"/>
      <c r="G5814"/>
      <c r="H5814"/>
      <c r="I5814" s="489"/>
      <c r="J5814" s="1095"/>
      <c r="K5814" s="1095"/>
      <c r="L5814" s="1095"/>
      <c r="M5814" s="1095"/>
    </row>
    <row r="5815" spans="1:13" x14ac:dyDescent="0.25">
      <c r="A5815">
        <v>5605936</v>
      </c>
      <c r="B5815" t="s">
        <v>12828</v>
      </c>
      <c r="C5815" t="s">
        <v>2598</v>
      </c>
      <c r="D5815" s="254">
        <v>203.67</v>
      </c>
      <c r="E5815"/>
      <c r="F5815"/>
      <c r="G5815"/>
      <c r="H5815"/>
      <c r="I5815" s="489"/>
      <c r="J5815" s="1095"/>
      <c r="K5815" s="1095"/>
      <c r="L5815" s="1095"/>
      <c r="M5815" s="1095"/>
    </row>
    <row r="5816" spans="1:13" x14ac:dyDescent="0.25">
      <c r="A5816">
        <v>5605937</v>
      </c>
      <c r="B5816" t="s">
        <v>12829</v>
      </c>
      <c r="C5816" t="s">
        <v>2598</v>
      </c>
      <c r="D5816" s="254">
        <v>249.99</v>
      </c>
      <c r="E5816"/>
      <c r="F5816"/>
      <c r="G5816"/>
      <c r="H5816"/>
      <c r="I5816" s="489"/>
      <c r="J5816" s="1095"/>
      <c r="K5816" s="1095"/>
      <c r="L5816" s="1095"/>
      <c r="M5816" s="1095"/>
    </row>
    <row r="5817" spans="1:13" x14ac:dyDescent="0.25">
      <c r="A5817">
        <v>5605957</v>
      </c>
      <c r="B5817" t="s">
        <v>12830</v>
      </c>
      <c r="C5817" t="s">
        <v>2598</v>
      </c>
      <c r="D5817" s="254">
        <v>186.7</v>
      </c>
      <c r="E5817"/>
      <c r="F5817"/>
      <c r="G5817"/>
      <c r="H5817"/>
      <c r="I5817" s="489"/>
      <c r="J5817" s="1095"/>
      <c r="K5817" s="1095"/>
      <c r="L5817" s="1095"/>
      <c r="M5817" s="1095"/>
    </row>
    <row r="5818" spans="1:13" x14ac:dyDescent="0.25">
      <c r="A5818">
        <v>5605958</v>
      </c>
      <c r="B5818" t="s">
        <v>12831</v>
      </c>
      <c r="C5818" t="s">
        <v>2598</v>
      </c>
      <c r="D5818" s="254">
        <v>212.06</v>
      </c>
      <c r="E5818"/>
      <c r="F5818"/>
      <c r="G5818"/>
      <c r="H5818"/>
      <c r="I5818" s="489"/>
      <c r="J5818" s="1095"/>
      <c r="K5818" s="1095"/>
      <c r="L5818" s="1095"/>
      <c r="M5818" s="1095"/>
    </row>
    <row r="5819" spans="1:13" x14ac:dyDescent="0.25">
      <c r="A5819">
        <v>5605959</v>
      </c>
      <c r="B5819" t="s">
        <v>12832</v>
      </c>
      <c r="C5819" t="s">
        <v>2598</v>
      </c>
      <c r="D5819" s="254">
        <v>249.37</v>
      </c>
      <c r="E5819"/>
      <c r="F5819"/>
      <c r="G5819"/>
      <c r="H5819"/>
      <c r="I5819" s="489"/>
      <c r="J5819" s="1095"/>
      <c r="K5819" s="1095"/>
      <c r="L5819" s="1095"/>
      <c r="M5819" s="1095"/>
    </row>
    <row r="5820" spans="1:13" x14ac:dyDescent="0.25">
      <c r="A5820">
        <v>5605960</v>
      </c>
      <c r="B5820" t="s">
        <v>12833</v>
      </c>
      <c r="C5820" t="s">
        <v>2598</v>
      </c>
      <c r="D5820" s="254">
        <v>286.43</v>
      </c>
      <c r="E5820"/>
      <c r="F5820"/>
      <c r="G5820"/>
      <c r="H5820"/>
      <c r="I5820" s="489"/>
      <c r="J5820" s="1095"/>
      <c r="K5820" s="1095"/>
      <c r="L5820" s="1095"/>
      <c r="M5820" s="1095"/>
    </row>
    <row r="5821" spans="1:13" x14ac:dyDescent="0.25">
      <c r="A5821">
        <v>5605961</v>
      </c>
      <c r="B5821" t="s">
        <v>12834</v>
      </c>
      <c r="C5821" t="s">
        <v>2598</v>
      </c>
      <c r="D5821" s="254">
        <v>404.99</v>
      </c>
      <c r="E5821"/>
      <c r="F5821"/>
      <c r="G5821"/>
      <c r="H5821"/>
      <c r="I5821" s="489"/>
      <c r="J5821" s="1095"/>
      <c r="K5821" s="1095"/>
      <c r="L5821" s="1095"/>
      <c r="M5821" s="1095"/>
    </row>
    <row r="5822" spans="1:13" x14ac:dyDescent="0.25">
      <c r="A5822">
        <v>5605885</v>
      </c>
      <c r="B5822" t="s">
        <v>12835</v>
      </c>
      <c r="C5822" t="s">
        <v>2598</v>
      </c>
      <c r="D5822" s="254">
        <v>235.49</v>
      </c>
      <c r="E5822"/>
      <c r="F5822"/>
      <c r="G5822"/>
      <c r="H5822"/>
      <c r="I5822" s="489"/>
      <c r="J5822" s="1095"/>
      <c r="K5822" s="1095"/>
      <c r="L5822" s="1095"/>
      <c r="M5822" s="1095"/>
    </row>
    <row r="5823" spans="1:13" x14ac:dyDescent="0.25">
      <c r="A5823">
        <v>5605886</v>
      </c>
      <c r="B5823" t="s">
        <v>12836</v>
      </c>
      <c r="C5823" t="s">
        <v>2598</v>
      </c>
      <c r="D5823" s="254">
        <v>257.58</v>
      </c>
      <c r="E5823"/>
      <c r="F5823"/>
      <c r="G5823"/>
      <c r="H5823"/>
      <c r="I5823" s="489"/>
      <c r="J5823" s="1095"/>
      <c r="K5823" s="1095"/>
      <c r="L5823" s="1095"/>
      <c r="M5823" s="1095"/>
    </row>
    <row r="5824" spans="1:13" x14ac:dyDescent="0.25">
      <c r="A5824">
        <v>5605883</v>
      </c>
      <c r="B5824" t="s">
        <v>12837</v>
      </c>
      <c r="C5824" t="s">
        <v>2598</v>
      </c>
      <c r="D5824" s="254">
        <v>186.03</v>
      </c>
      <c r="E5824"/>
      <c r="F5824"/>
      <c r="G5824"/>
      <c r="H5824"/>
      <c r="I5824" s="489"/>
      <c r="J5824" s="1095"/>
      <c r="K5824" s="1095"/>
      <c r="L5824" s="1095"/>
      <c r="M5824" s="1095"/>
    </row>
    <row r="5825" spans="1:13" x14ac:dyDescent="0.25">
      <c r="A5825">
        <v>5605884</v>
      </c>
      <c r="B5825" t="s">
        <v>12838</v>
      </c>
      <c r="C5825" t="s">
        <v>2598</v>
      </c>
      <c r="D5825" s="254">
        <v>208.12</v>
      </c>
      <c r="E5825"/>
      <c r="F5825"/>
      <c r="G5825"/>
      <c r="H5825"/>
      <c r="I5825" s="489"/>
      <c r="J5825" s="1095"/>
      <c r="K5825" s="1095"/>
      <c r="L5825" s="1095"/>
      <c r="M5825" s="1095"/>
    </row>
    <row r="5826" spans="1:13" x14ac:dyDescent="0.25">
      <c r="A5826">
        <v>5605962</v>
      </c>
      <c r="B5826" t="s">
        <v>12839</v>
      </c>
      <c r="C5826" t="s">
        <v>2598</v>
      </c>
      <c r="D5826" s="254">
        <v>161.47</v>
      </c>
      <c r="E5826"/>
      <c r="F5826"/>
      <c r="G5826"/>
      <c r="H5826"/>
      <c r="I5826" s="489"/>
      <c r="J5826" s="1095"/>
      <c r="K5826" s="1095"/>
      <c r="L5826" s="1095"/>
      <c r="M5826" s="1095"/>
    </row>
    <row r="5827" spans="1:13" x14ac:dyDescent="0.25">
      <c r="A5827">
        <v>5605881</v>
      </c>
      <c r="B5827" t="s">
        <v>12840</v>
      </c>
      <c r="C5827" t="s">
        <v>2598</v>
      </c>
      <c r="D5827" s="254">
        <v>211.27</v>
      </c>
      <c r="E5827"/>
      <c r="F5827"/>
      <c r="G5827"/>
      <c r="H5827"/>
      <c r="I5827" s="489"/>
      <c r="J5827" s="1095"/>
      <c r="K5827" s="1095"/>
      <c r="L5827" s="1095"/>
      <c r="M5827" s="1095"/>
    </row>
    <row r="5828" spans="1:13" x14ac:dyDescent="0.25">
      <c r="A5828">
        <v>5605882</v>
      </c>
      <c r="B5828" t="s">
        <v>12841</v>
      </c>
      <c r="C5828" t="s">
        <v>2598</v>
      </c>
      <c r="D5828" s="254">
        <v>363.25</v>
      </c>
      <c r="E5828"/>
      <c r="F5828"/>
      <c r="G5828"/>
      <c r="H5828"/>
      <c r="I5828" s="489"/>
      <c r="J5828" s="1095"/>
      <c r="K5828" s="1095"/>
      <c r="L5828" s="1095"/>
      <c r="M5828" s="1095"/>
    </row>
    <row r="5829" spans="1:13" x14ac:dyDescent="0.25">
      <c r="A5829">
        <v>5605963</v>
      </c>
      <c r="B5829" t="s">
        <v>12842</v>
      </c>
      <c r="C5829" t="s">
        <v>2598</v>
      </c>
      <c r="D5829" s="254">
        <v>250.04</v>
      </c>
      <c r="E5829"/>
      <c r="F5829"/>
      <c r="G5829"/>
      <c r="H5829"/>
      <c r="I5829" s="489"/>
      <c r="J5829" s="1095"/>
      <c r="K5829" s="1095"/>
      <c r="L5829" s="1095"/>
      <c r="M5829" s="1095"/>
    </row>
    <row r="5830" spans="1:13" x14ac:dyDescent="0.25">
      <c r="A5830">
        <v>5605964</v>
      </c>
      <c r="B5830" t="s">
        <v>12843</v>
      </c>
      <c r="C5830" t="s">
        <v>2598</v>
      </c>
      <c r="D5830" s="254">
        <v>283.10000000000002</v>
      </c>
      <c r="E5830"/>
      <c r="F5830"/>
      <c r="G5830"/>
      <c r="H5830"/>
      <c r="I5830" s="489"/>
      <c r="J5830" s="1095"/>
      <c r="K5830" s="1095"/>
      <c r="L5830" s="1095"/>
      <c r="M5830" s="1095"/>
    </row>
    <row r="5831" spans="1:13" x14ac:dyDescent="0.25">
      <c r="A5831">
        <v>5605965</v>
      </c>
      <c r="B5831" t="s">
        <v>12844</v>
      </c>
      <c r="C5831" t="s">
        <v>2598</v>
      </c>
      <c r="D5831" s="254">
        <v>316.47000000000003</v>
      </c>
      <c r="E5831"/>
      <c r="F5831"/>
      <c r="G5831"/>
      <c r="H5831"/>
      <c r="I5831" s="489"/>
      <c r="J5831" s="1095"/>
      <c r="K5831" s="1095"/>
      <c r="L5831" s="1095"/>
      <c r="M5831" s="1095"/>
    </row>
    <row r="5832" spans="1:13" x14ac:dyDescent="0.25">
      <c r="A5832">
        <v>5605966</v>
      </c>
      <c r="B5832" t="s">
        <v>12845</v>
      </c>
      <c r="C5832" t="s">
        <v>2598</v>
      </c>
      <c r="D5832" s="254">
        <v>420</v>
      </c>
      <c r="E5832"/>
      <c r="F5832"/>
      <c r="G5832"/>
      <c r="H5832"/>
      <c r="I5832" s="489"/>
      <c r="J5832" s="1095"/>
      <c r="K5832" s="1095"/>
      <c r="L5832" s="1095"/>
      <c r="M5832" s="1095"/>
    </row>
    <row r="5833" spans="1:13" x14ac:dyDescent="0.25">
      <c r="A5833">
        <v>5605967</v>
      </c>
      <c r="B5833" t="s">
        <v>12846</v>
      </c>
      <c r="C5833" t="s">
        <v>2598</v>
      </c>
      <c r="D5833" s="254">
        <v>476.44</v>
      </c>
      <c r="E5833"/>
      <c r="F5833"/>
      <c r="G5833"/>
      <c r="H5833"/>
      <c r="I5833" s="489"/>
      <c r="J5833" s="1095"/>
      <c r="K5833" s="1095"/>
      <c r="L5833" s="1095"/>
      <c r="M5833" s="1095"/>
    </row>
    <row r="5834" spans="1:13" x14ac:dyDescent="0.25">
      <c r="A5834">
        <v>5605968</v>
      </c>
      <c r="B5834" t="s">
        <v>12847</v>
      </c>
      <c r="C5834" t="s">
        <v>2598</v>
      </c>
      <c r="D5834" s="254">
        <v>581.11</v>
      </c>
      <c r="E5834"/>
      <c r="F5834"/>
      <c r="G5834"/>
      <c r="H5834"/>
      <c r="I5834" s="489"/>
      <c r="J5834" s="1095"/>
      <c r="K5834" s="1095"/>
      <c r="L5834" s="1095"/>
      <c r="M5834" s="1095"/>
    </row>
    <row r="5835" spans="1:13" x14ac:dyDescent="0.25">
      <c r="A5835">
        <v>5605969</v>
      </c>
      <c r="B5835" t="s">
        <v>12848</v>
      </c>
      <c r="C5835" t="s">
        <v>2598</v>
      </c>
      <c r="D5835" s="254">
        <v>633.59</v>
      </c>
      <c r="E5835"/>
      <c r="F5835"/>
      <c r="G5835"/>
      <c r="H5835"/>
      <c r="I5835" s="489"/>
      <c r="J5835" s="1095"/>
      <c r="K5835" s="1095"/>
      <c r="L5835" s="1095"/>
      <c r="M5835" s="1095"/>
    </row>
    <row r="5836" spans="1:13" x14ac:dyDescent="0.25">
      <c r="A5836">
        <v>5909130</v>
      </c>
      <c r="B5836" t="s">
        <v>12849</v>
      </c>
      <c r="C5836" t="s">
        <v>2695</v>
      </c>
      <c r="D5836" s="254">
        <v>28</v>
      </c>
      <c r="E5836"/>
      <c r="F5836"/>
      <c r="G5836"/>
      <c r="H5836"/>
      <c r="I5836" s="489"/>
      <c r="J5836" s="1095"/>
      <c r="K5836" s="1095"/>
      <c r="L5836" s="1095"/>
      <c r="M5836" s="1095"/>
    </row>
    <row r="5837" spans="1:13" x14ac:dyDescent="0.25">
      <c r="A5837">
        <v>5914703</v>
      </c>
      <c r="B5837" t="s">
        <v>12850</v>
      </c>
      <c r="C5837" t="s">
        <v>2695</v>
      </c>
      <c r="D5837" s="254">
        <v>6.37</v>
      </c>
      <c r="E5837"/>
      <c r="F5837"/>
      <c r="G5837"/>
      <c r="H5837"/>
      <c r="I5837" s="489"/>
      <c r="J5837" s="1095"/>
      <c r="K5837" s="1095"/>
      <c r="L5837" s="1095"/>
      <c r="M5837" s="1095"/>
    </row>
    <row r="5838" spans="1:13" x14ac:dyDescent="0.25">
      <c r="A5838">
        <v>5914704</v>
      </c>
      <c r="B5838" t="s">
        <v>12851</v>
      </c>
      <c r="C5838" t="s">
        <v>2695</v>
      </c>
      <c r="D5838" s="254">
        <v>6.35</v>
      </c>
      <c r="E5838"/>
      <c r="F5838"/>
      <c r="G5838"/>
      <c r="H5838"/>
      <c r="I5838" s="489"/>
      <c r="J5838" s="1095"/>
      <c r="K5838" s="1095"/>
      <c r="L5838" s="1095"/>
      <c r="M5838" s="1095"/>
    </row>
    <row r="5839" spans="1:13" x14ac:dyDescent="0.25">
      <c r="A5839">
        <v>5914710</v>
      </c>
      <c r="B5839" t="s">
        <v>12852</v>
      </c>
      <c r="C5839" t="s">
        <v>2695</v>
      </c>
      <c r="D5839" s="254">
        <v>12.06</v>
      </c>
      <c r="E5839"/>
      <c r="F5839"/>
      <c r="G5839"/>
      <c r="H5839"/>
      <c r="I5839" s="489"/>
      <c r="J5839" s="1095"/>
      <c r="K5839" s="1095"/>
      <c r="L5839" s="1095"/>
      <c r="M5839" s="1095"/>
    </row>
    <row r="5840" spans="1:13" x14ac:dyDescent="0.25">
      <c r="A5840">
        <v>5914711</v>
      </c>
      <c r="B5840" t="s">
        <v>12853</v>
      </c>
      <c r="C5840" t="s">
        <v>2695</v>
      </c>
      <c r="D5840" s="254">
        <v>11.14</v>
      </c>
      <c r="E5840"/>
      <c r="F5840"/>
      <c r="G5840"/>
      <c r="H5840"/>
      <c r="I5840" s="489"/>
      <c r="J5840" s="1095"/>
      <c r="K5840" s="1095"/>
      <c r="L5840" s="1095"/>
      <c r="M5840" s="1095"/>
    </row>
    <row r="5841" spans="1:13" x14ac:dyDescent="0.25">
      <c r="A5841">
        <v>5914712</v>
      </c>
      <c r="B5841" t="s">
        <v>12854</v>
      </c>
      <c r="C5841" t="s">
        <v>2695</v>
      </c>
      <c r="D5841" s="254">
        <v>10.94</v>
      </c>
      <c r="E5841"/>
      <c r="F5841"/>
      <c r="G5841"/>
      <c r="H5841"/>
      <c r="I5841" s="489"/>
      <c r="J5841" s="1095"/>
      <c r="K5841" s="1095"/>
      <c r="L5841" s="1095"/>
      <c r="M5841" s="1095"/>
    </row>
    <row r="5842" spans="1:13" x14ac:dyDescent="0.25">
      <c r="A5842">
        <v>5915369</v>
      </c>
      <c r="B5842" t="s">
        <v>12855</v>
      </c>
      <c r="C5842" t="s">
        <v>2640</v>
      </c>
      <c r="D5842" s="254">
        <v>6707.85</v>
      </c>
      <c r="E5842"/>
      <c r="F5842"/>
      <c r="G5842"/>
      <c r="H5842"/>
      <c r="I5842" s="489"/>
      <c r="J5842" s="1095"/>
      <c r="K5842" s="1095"/>
      <c r="L5842" s="1095"/>
      <c r="M5842" s="1095"/>
    </row>
    <row r="5843" spans="1:13" x14ac:dyDescent="0.25">
      <c r="A5843">
        <v>5915401</v>
      </c>
      <c r="B5843" t="s">
        <v>12856</v>
      </c>
      <c r="C5843" t="s">
        <v>2640</v>
      </c>
      <c r="D5843" s="254">
        <v>6137.53</v>
      </c>
      <c r="E5843"/>
      <c r="F5843"/>
      <c r="G5843"/>
      <c r="H5843"/>
      <c r="I5843" s="489"/>
      <c r="J5843" s="1095"/>
      <c r="K5843" s="1095"/>
      <c r="L5843" s="1095"/>
      <c r="M5843" s="1095"/>
    </row>
    <row r="5844" spans="1:13" x14ac:dyDescent="0.25">
      <c r="A5844">
        <v>5915402</v>
      </c>
      <c r="B5844" t="s">
        <v>12857</v>
      </c>
      <c r="C5844" t="s">
        <v>2640</v>
      </c>
      <c r="D5844" s="254">
        <v>3687.24</v>
      </c>
      <c r="E5844"/>
      <c r="F5844"/>
      <c r="G5844"/>
      <c r="H5844"/>
      <c r="I5844" s="489"/>
      <c r="J5844" s="1095"/>
      <c r="K5844" s="1095"/>
      <c r="L5844" s="1095"/>
      <c r="M5844" s="1095"/>
    </row>
    <row r="5845" spans="1:13" x14ac:dyDescent="0.25">
      <c r="A5845">
        <v>5915400</v>
      </c>
      <c r="B5845" t="s">
        <v>12858</v>
      </c>
      <c r="C5845" t="s">
        <v>2640</v>
      </c>
      <c r="D5845" s="254">
        <v>3251.41</v>
      </c>
      <c r="E5845"/>
      <c r="F5845"/>
      <c r="G5845"/>
      <c r="H5845"/>
      <c r="I5845" s="489"/>
      <c r="J5845" s="1095"/>
      <c r="K5845" s="1095"/>
      <c r="L5845" s="1095"/>
      <c r="M5845" s="1095"/>
    </row>
    <row r="5846" spans="1:13" x14ac:dyDescent="0.25">
      <c r="A5846">
        <v>5914651</v>
      </c>
      <c r="B5846" t="s">
        <v>12859</v>
      </c>
      <c r="C5846" t="s">
        <v>2695</v>
      </c>
      <c r="D5846" s="254">
        <v>2.68</v>
      </c>
      <c r="E5846"/>
      <c r="F5846"/>
      <c r="G5846"/>
      <c r="H5846"/>
      <c r="I5846" s="489"/>
      <c r="J5846" s="1095"/>
      <c r="K5846" s="1095"/>
      <c r="L5846" s="1095"/>
      <c r="M5846" s="1095"/>
    </row>
    <row r="5847" spans="1:13" x14ac:dyDescent="0.25">
      <c r="A5847">
        <v>5914648</v>
      </c>
      <c r="B5847" t="s">
        <v>12860</v>
      </c>
      <c r="C5847" t="s">
        <v>2695</v>
      </c>
      <c r="D5847" s="254">
        <v>8.1</v>
      </c>
      <c r="E5847"/>
      <c r="F5847"/>
      <c r="G5847"/>
      <c r="H5847"/>
      <c r="I5847" s="489"/>
      <c r="J5847" s="1095"/>
      <c r="K5847" s="1095"/>
      <c r="L5847" s="1095"/>
      <c r="M5847" s="1095"/>
    </row>
    <row r="5848" spans="1:13" x14ac:dyDescent="0.25">
      <c r="A5848">
        <v>5914647</v>
      </c>
      <c r="B5848" t="s">
        <v>12861</v>
      </c>
      <c r="C5848" t="s">
        <v>2695</v>
      </c>
      <c r="D5848" s="254">
        <v>1.85</v>
      </c>
      <c r="E5848"/>
      <c r="F5848"/>
      <c r="G5848"/>
      <c r="H5848"/>
      <c r="I5848" s="489"/>
      <c r="J5848" s="1095"/>
      <c r="K5848" s="1095"/>
      <c r="L5848" s="1095"/>
      <c r="M5848" s="1095"/>
    </row>
    <row r="5849" spans="1:13" x14ac:dyDescent="0.25">
      <c r="A5849">
        <v>5915411</v>
      </c>
      <c r="B5849" t="s">
        <v>12862</v>
      </c>
      <c r="C5849" t="s">
        <v>2695</v>
      </c>
      <c r="D5849" s="254">
        <v>3.56</v>
      </c>
      <c r="E5849"/>
      <c r="F5849"/>
      <c r="G5849"/>
      <c r="H5849"/>
      <c r="I5849" s="489"/>
      <c r="J5849" s="1095"/>
      <c r="K5849" s="1095"/>
      <c r="L5849" s="1095"/>
      <c r="M5849" s="1095"/>
    </row>
    <row r="5850" spans="1:13" x14ac:dyDescent="0.25">
      <c r="A5850">
        <v>5915409</v>
      </c>
      <c r="B5850" t="s">
        <v>12863</v>
      </c>
      <c r="C5850" t="s">
        <v>2695</v>
      </c>
      <c r="D5850" s="254">
        <v>8.98</v>
      </c>
      <c r="E5850"/>
      <c r="F5850"/>
      <c r="G5850"/>
      <c r="H5850"/>
      <c r="I5850" s="489"/>
      <c r="J5850" s="1095"/>
      <c r="K5850" s="1095"/>
      <c r="L5850" s="1095"/>
      <c r="M5850" s="1095"/>
    </row>
    <row r="5851" spans="1:13" x14ac:dyDescent="0.25">
      <c r="A5851">
        <v>5915407</v>
      </c>
      <c r="B5851" t="s">
        <v>12864</v>
      </c>
      <c r="C5851" t="s">
        <v>2695</v>
      </c>
      <c r="D5851" s="254">
        <v>2.74</v>
      </c>
      <c r="E5851"/>
      <c r="F5851"/>
      <c r="G5851"/>
      <c r="H5851"/>
      <c r="I5851" s="489"/>
      <c r="J5851" s="1095"/>
      <c r="K5851" s="1095"/>
      <c r="L5851" s="1095"/>
      <c r="M5851" s="1095"/>
    </row>
    <row r="5852" spans="1:13" x14ac:dyDescent="0.25">
      <c r="A5852">
        <v>5914354</v>
      </c>
      <c r="B5852" t="s">
        <v>12865</v>
      </c>
      <c r="C5852" t="s">
        <v>2695</v>
      </c>
      <c r="D5852" s="254">
        <v>1.93</v>
      </c>
      <c r="E5852"/>
      <c r="F5852"/>
      <c r="G5852"/>
      <c r="H5852"/>
      <c r="I5852" s="489"/>
      <c r="J5852" s="1095"/>
      <c r="K5852" s="1095"/>
      <c r="L5852" s="1095"/>
      <c r="M5852" s="1095"/>
    </row>
    <row r="5853" spans="1:13" x14ac:dyDescent="0.25">
      <c r="A5853">
        <v>5915406</v>
      </c>
      <c r="B5853" t="s">
        <v>12866</v>
      </c>
      <c r="C5853" t="s">
        <v>2695</v>
      </c>
      <c r="D5853" s="254">
        <v>9.73</v>
      </c>
      <c r="E5853"/>
      <c r="F5853"/>
      <c r="G5853"/>
      <c r="H5853"/>
      <c r="I5853" s="489"/>
      <c r="J5853" s="1095"/>
      <c r="K5853" s="1095"/>
      <c r="L5853" s="1095"/>
      <c r="M5853" s="1095"/>
    </row>
    <row r="5854" spans="1:13" x14ac:dyDescent="0.25">
      <c r="A5854">
        <v>5914652</v>
      </c>
      <c r="B5854" t="s">
        <v>12867</v>
      </c>
      <c r="C5854" t="s">
        <v>2695</v>
      </c>
      <c r="D5854" s="254">
        <v>3.57</v>
      </c>
      <c r="E5854"/>
      <c r="F5854"/>
      <c r="G5854"/>
      <c r="H5854"/>
      <c r="I5854" s="489"/>
      <c r="J5854" s="1095"/>
      <c r="K5854" s="1095"/>
      <c r="L5854" s="1095"/>
      <c r="M5854" s="1095"/>
    </row>
    <row r="5855" spans="1:13" x14ac:dyDescent="0.25">
      <c r="A5855">
        <v>5915417</v>
      </c>
      <c r="B5855" t="s">
        <v>12868</v>
      </c>
      <c r="C5855" t="s">
        <v>2695</v>
      </c>
      <c r="D5855" s="254">
        <v>5.62</v>
      </c>
      <c r="E5855"/>
      <c r="F5855"/>
      <c r="G5855"/>
      <c r="H5855"/>
      <c r="I5855" s="489"/>
      <c r="J5855" s="1095"/>
      <c r="K5855" s="1095"/>
      <c r="L5855" s="1095"/>
      <c r="M5855" s="1095"/>
    </row>
    <row r="5856" spans="1:13" x14ac:dyDescent="0.25">
      <c r="A5856">
        <v>5915414</v>
      </c>
      <c r="B5856" t="s">
        <v>12869</v>
      </c>
      <c r="C5856" t="s">
        <v>2695</v>
      </c>
      <c r="D5856" s="254">
        <v>2.92</v>
      </c>
      <c r="E5856"/>
      <c r="F5856"/>
      <c r="G5856"/>
      <c r="H5856"/>
      <c r="I5856" s="489"/>
      <c r="J5856" s="1095"/>
      <c r="K5856" s="1095"/>
      <c r="L5856" s="1095"/>
      <c r="M5856" s="1095"/>
    </row>
    <row r="5857" spans="1:13" x14ac:dyDescent="0.25">
      <c r="A5857">
        <v>5914351</v>
      </c>
      <c r="B5857" t="s">
        <v>12870</v>
      </c>
      <c r="C5857" t="s">
        <v>2695</v>
      </c>
      <c r="D5857" s="254">
        <v>2.63</v>
      </c>
      <c r="E5857"/>
      <c r="F5857"/>
      <c r="G5857"/>
      <c r="H5857"/>
      <c r="I5857" s="489"/>
      <c r="J5857" s="1095"/>
      <c r="K5857" s="1095"/>
      <c r="L5857" s="1095"/>
      <c r="M5857" s="1095"/>
    </row>
    <row r="5858" spans="1:13" x14ac:dyDescent="0.25">
      <c r="A5858">
        <v>5914645</v>
      </c>
      <c r="B5858" t="s">
        <v>12871</v>
      </c>
      <c r="C5858" t="s">
        <v>2695</v>
      </c>
      <c r="D5858" s="254">
        <v>3.07</v>
      </c>
      <c r="E5858"/>
      <c r="F5858"/>
      <c r="G5858"/>
      <c r="H5858"/>
      <c r="I5858" s="489"/>
      <c r="J5858" s="1095"/>
      <c r="K5858" s="1095"/>
      <c r="L5858" s="1095"/>
      <c r="M5858" s="1095"/>
    </row>
    <row r="5859" spans="1:13" x14ac:dyDescent="0.25">
      <c r="A5859">
        <v>5914642</v>
      </c>
      <c r="B5859" t="s">
        <v>12872</v>
      </c>
      <c r="C5859" t="s">
        <v>2695</v>
      </c>
      <c r="D5859" s="254">
        <v>6.02</v>
      </c>
      <c r="E5859"/>
      <c r="F5859"/>
      <c r="G5859"/>
      <c r="H5859"/>
      <c r="I5859" s="489"/>
      <c r="J5859" s="1095"/>
      <c r="K5859" s="1095"/>
      <c r="L5859" s="1095"/>
      <c r="M5859" s="1095"/>
    </row>
    <row r="5860" spans="1:13" x14ac:dyDescent="0.25">
      <c r="A5860">
        <v>5914641</v>
      </c>
      <c r="B5860" t="s">
        <v>12873</v>
      </c>
      <c r="C5860" t="s">
        <v>2695</v>
      </c>
      <c r="D5860" s="254">
        <v>2.11</v>
      </c>
      <c r="E5860"/>
      <c r="F5860"/>
      <c r="G5860"/>
      <c r="H5860"/>
      <c r="I5860" s="489"/>
      <c r="J5860" s="1095"/>
      <c r="K5860" s="1095"/>
      <c r="L5860" s="1095"/>
      <c r="M5860" s="1095"/>
    </row>
    <row r="5861" spans="1:13" x14ac:dyDescent="0.25">
      <c r="A5861">
        <v>5915456</v>
      </c>
      <c r="B5861" t="s">
        <v>12874</v>
      </c>
      <c r="C5861" t="s">
        <v>2695</v>
      </c>
      <c r="D5861" s="254">
        <v>3.94</v>
      </c>
      <c r="E5861"/>
      <c r="F5861"/>
      <c r="G5861"/>
      <c r="H5861"/>
      <c r="I5861" s="489"/>
      <c r="J5861" s="1095"/>
      <c r="K5861" s="1095"/>
      <c r="L5861" s="1095"/>
      <c r="M5861" s="1095"/>
    </row>
    <row r="5862" spans="1:13" x14ac:dyDescent="0.25">
      <c r="A5862">
        <v>5915454</v>
      </c>
      <c r="B5862" t="s">
        <v>12875</v>
      </c>
      <c r="C5862" t="s">
        <v>2695</v>
      </c>
      <c r="D5862" s="254">
        <v>6.89</v>
      </c>
      <c r="E5862"/>
      <c r="F5862"/>
      <c r="G5862"/>
      <c r="H5862"/>
      <c r="I5862" s="489"/>
      <c r="J5862" s="1095"/>
      <c r="K5862" s="1095"/>
      <c r="L5862" s="1095"/>
      <c r="M5862" s="1095"/>
    </row>
    <row r="5863" spans="1:13" x14ac:dyDescent="0.25">
      <c r="A5863">
        <v>5915399</v>
      </c>
      <c r="B5863" t="s">
        <v>12876</v>
      </c>
      <c r="C5863" t="s">
        <v>2695</v>
      </c>
      <c r="D5863" s="254">
        <v>2.98</v>
      </c>
      <c r="E5863"/>
      <c r="F5863"/>
      <c r="G5863"/>
      <c r="H5863"/>
      <c r="I5863" s="489"/>
      <c r="J5863" s="1095"/>
      <c r="K5863" s="1095"/>
      <c r="L5863" s="1095"/>
      <c r="M5863" s="1095"/>
    </row>
    <row r="5864" spans="1:13" x14ac:dyDescent="0.25">
      <c r="A5864">
        <v>5914353</v>
      </c>
      <c r="B5864" t="s">
        <v>12877</v>
      </c>
      <c r="C5864" t="s">
        <v>2695</v>
      </c>
      <c r="D5864" s="254">
        <v>1.6</v>
      </c>
      <c r="E5864"/>
      <c r="F5864"/>
      <c r="G5864"/>
      <c r="H5864"/>
      <c r="I5864" s="489"/>
      <c r="J5864" s="1095"/>
      <c r="K5864" s="1095"/>
      <c r="L5864" s="1095"/>
      <c r="M5864" s="1095"/>
    </row>
    <row r="5865" spans="1:13" x14ac:dyDescent="0.25">
      <c r="A5865">
        <v>5915470</v>
      </c>
      <c r="B5865" t="s">
        <v>12878</v>
      </c>
      <c r="C5865" t="s">
        <v>2695</v>
      </c>
      <c r="D5865" s="254">
        <v>2.41</v>
      </c>
      <c r="E5865"/>
      <c r="F5865"/>
      <c r="G5865"/>
      <c r="H5865"/>
      <c r="I5865" s="489"/>
      <c r="J5865" s="1095"/>
      <c r="K5865" s="1095"/>
      <c r="L5865" s="1095"/>
      <c r="M5865" s="1095"/>
    </row>
    <row r="5866" spans="1:13" x14ac:dyDescent="0.25">
      <c r="A5866">
        <v>5915459</v>
      </c>
      <c r="B5866" t="s">
        <v>12879</v>
      </c>
      <c r="C5866" t="s">
        <v>2695</v>
      </c>
      <c r="D5866" s="254">
        <v>7.61</v>
      </c>
      <c r="E5866"/>
      <c r="F5866"/>
      <c r="G5866"/>
      <c r="H5866"/>
      <c r="I5866" s="489"/>
      <c r="J5866" s="1095"/>
      <c r="K5866" s="1095"/>
      <c r="L5866" s="1095"/>
      <c r="M5866" s="1095"/>
    </row>
    <row r="5867" spans="1:13" x14ac:dyDescent="0.25">
      <c r="A5867">
        <v>5915476</v>
      </c>
      <c r="B5867" t="s">
        <v>12880</v>
      </c>
      <c r="C5867" t="s">
        <v>2695</v>
      </c>
      <c r="D5867" s="254">
        <v>29.41</v>
      </c>
      <c r="E5867"/>
      <c r="F5867"/>
      <c r="G5867"/>
      <c r="H5867"/>
      <c r="I5867" s="489"/>
      <c r="J5867" s="1095"/>
      <c r="K5867" s="1095"/>
      <c r="L5867" s="1095"/>
      <c r="M5867" s="1095"/>
    </row>
    <row r="5868" spans="1:13" x14ac:dyDescent="0.25">
      <c r="A5868">
        <v>5914702</v>
      </c>
      <c r="B5868" t="s">
        <v>12881</v>
      </c>
      <c r="C5868" t="s">
        <v>2695</v>
      </c>
      <c r="D5868" s="254">
        <v>16.54</v>
      </c>
      <c r="E5868"/>
      <c r="F5868"/>
      <c r="G5868"/>
      <c r="H5868"/>
      <c r="I5868" s="489"/>
      <c r="J5868" s="1095"/>
      <c r="K5868" s="1095"/>
      <c r="L5868" s="1095"/>
      <c r="M5868" s="1095"/>
    </row>
    <row r="5869" spans="1:13" x14ac:dyDescent="0.25">
      <c r="A5869">
        <v>5914701</v>
      </c>
      <c r="B5869" t="s">
        <v>12882</v>
      </c>
      <c r="C5869" t="s">
        <v>2695</v>
      </c>
      <c r="D5869" s="254">
        <v>16.63</v>
      </c>
      <c r="E5869"/>
      <c r="F5869"/>
      <c r="G5869"/>
      <c r="H5869"/>
      <c r="I5869" s="489"/>
      <c r="J5869" s="1095"/>
      <c r="K5869" s="1095"/>
      <c r="L5869" s="1095"/>
      <c r="M5869" s="1095"/>
    </row>
    <row r="5870" spans="1:13" x14ac:dyDescent="0.25">
      <c r="A5870">
        <v>5906592</v>
      </c>
      <c r="B5870" t="s">
        <v>12883</v>
      </c>
      <c r="C5870" t="s">
        <v>2640</v>
      </c>
      <c r="D5870" s="254">
        <v>33.4</v>
      </c>
      <c r="E5870"/>
      <c r="F5870"/>
      <c r="G5870"/>
      <c r="H5870"/>
      <c r="I5870" s="489"/>
      <c r="J5870" s="1095"/>
      <c r="K5870" s="1095"/>
      <c r="L5870" s="1095"/>
      <c r="M5870" s="1095"/>
    </row>
    <row r="5871" spans="1:13" x14ac:dyDescent="0.25">
      <c r="A5871">
        <v>5906591</v>
      </c>
      <c r="B5871" t="s">
        <v>12884</v>
      </c>
      <c r="C5871" t="s">
        <v>2640</v>
      </c>
      <c r="D5871" s="254">
        <v>31.48</v>
      </c>
      <c r="E5871"/>
      <c r="F5871"/>
      <c r="G5871"/>
      <c r="H5871"/>
      <c r="I5871" s="489"/>
      <c r="J5871" s="1095"/>
      <c r="K5871" s="1095"/>
      <c r="L5871" s="1095"/>
      <c r="M5871" s="1095"/>
    </row>
    <row r="5872" spans="1:13" x14ac:dyDescent="0.25">
      <c r="A5872">
        <v>5914653</v>
      </c>
      <c r="B5872" t="s">
        <v>12885</v>
      </c>
      <c r="C5872" t="s">
        <v>2695</v>
      </c>
      <c r="D5872" s="254">
        <v>4.03</v>
      </c>
      <c r="E5872"/>
      <c r="F5872"/>
      <c r="G5872"/>
      <c r="H5872"/>
      <c r="I5872" s="489"/>
      <c r="J5872" s="1095"/>
      <c r="K5872" s="1095"/>
      <c r="L5872" s="1095"/>
      <c r="M5872" s="1095"/>
    </row>
    <row r="5873" spans="1:13" x14ac:dyDescent="0.25">
      <c r="A5873">
        <v>5915405</v>
      </c>
      <c r="B5873" t="s">
        <v>12886</v>
      </c>
      <c r="C5873" t="s">
        <v>2695</v>
      </c>
      <c r="D5873" s="254">
        <v>6.23</v>
      </c>
      <c r="E5873"/>
      <c r="F5873"/>
      <c r="G5873"/>
      <c r="H5873"/>
      <c r="I5873" s="489"/>
      <c r="J5873" s="1095"/>
      <c r="K5873" s="1095"/>
      <c r="L5873" s="1095"/>
      <c r="M5873" s="1095"/>
    </row>
    <row r="5874" spans="1:13" x14ac:dyDescent="0.25">
      <c r="A5874">
        <v>5914657</v>
      </c>
      <c r="B5874" t="s">
        <v>12887</v>
      </c>
      <c r="C5874" t="s">
        <v>2695</v>
      </c>
      <c r="D5874" s="254">
        <v>19.420000000000002</v>
      </c>
      <c r="E5874"/>
      <c r="F5874"/>
      <c r="G5874"/>
      <c r="H5874"/>
      <c r="I5874" s="489"/>
      <c r="J5874" s="1095"/>
      <c r="K5874" s="1095"/>
      <c r="L5874" s="1095"/>
      <c r="M5874" s="1095"/>
    </row>
    <row r="5875" spans="1:13" x14ac:dyDescent="0.25">
      <c r="A5875">
        <v>5914363</v>
      </c>
      <c r="B5875" t="s">
        <v>13860</v>
      </c>
      <c r="C5875" t="s">
        <v>2695</v>
      </c>
      <c r="D5875" s="254">
        <v>20.190000000000001</v>
      </c>
      <c r="E5875"/>
      <c r="F5875"/>
      <c r="G5875"/>
      <c r="H5875"/>
      <c r="I5875" s="489"/>
      <c r="J5875" s="1095"/>
      <c r="K5875" s="1095"/>
      <c r="L5875" s="1095"/>
      <c r="M5875" s="1095"/>
    </row>
    <row r="5876" spans="1:13" x14ac:dyDescent="0.25">
      <c r="A5876">
        <v>5914646</v>
      </c>
      <c r="B5876" t="s">
        <v>12888</v>
      </c>
      <c r="C5876" t="s">
        <v>2695</v>
      </c>
      <c r="D5876" s="254">
        <v>9.09</v>
      </c>
      <c r="E5876"/>
      <c r="F5876"/>
      <c r="G5876"/>
      <c r="H5876"/>
      <c r="I5876" s="489"/>
      <c r="J5876" s="1095"/>
      <c r="K5876" s="1095"/>
      <c r="L5876" s="1095"/>
      <c r="M5876" s="1095"/>
    </row>
    <row r="5877" spans="1:13" x14ac:dyDescent="0.25">
      <c r="A5877">
        <v>5919535</v>
      </c>
      <c r="B5877" t="s">
        <v>12889</v>
      </c>
      <c r="C5877" t="s">
        <v>2695</v>
      </c>
      <c r="D5877" s="254">
        <v>20.99</v>
      </c>
      <c r="E5877"/>
      <c r="F5877"/>
      <c r="G5877"/>
      <c r="H5877"/>
      <c r="I5877" s="489"/>
      <c r="J5877" s="1095"/>
      <c r="K5877" s="1095"/>
      <c r="L5877" s="1095"/>
      <c r="M5877" s="1095"/>
    </row>
    <row r="5878" spans="1:13" x14ac:dyDescent="0.25">
      <c r="A5878">
        <v>5919533</v>
      </c>
      <c r="B5878" t="s">
        <v>13861</v>
      </c>
      <c r="C5878" t="s">
        <v>2695</v>
      </c>
      <c r="D5878" s="254">
        <v>69.06</v>
      </c>
      <c r="E5878"/>
      <c r="F5878"/>
      <c r="G5878"/>
      <c r="H5878"/>
      <c r="I5878" s="489"/>
      <c r="J5878" s="1095"/>
      <c r="K5878" s="1095"/>
      <c r="L5878" s="1095"/>
      <c r="M5878" s="1095"/>
    </row>
    <row r="5879" spans="1:13" x14ac:dyDescent="0.25">
      <c r="A5879">
        <v>5919534</v>
      </c>
      <c r="B5879" t="s">
        <v>12890</v>
      </c>
      <c r="C5879" t="s">
        <v>2695</v>
      </c>
      <c r="D5879" s="254">
        <v>63.11</v>
      </c>
      <c r="E5879"/>
      <c r="F5879"/>
      <c r="G5879"/>
      <c r="H5879"/>
      <c r="I5879" s="489"/>
      <c r="J5879" s="1095"/>
      <c r="K5879" s="1095"/>
      <c r="L5879" s="1095"/>
      <c r="M5879" s="1095"/>
    </row>
    <row r="5880" spans="1:13" x14ac:dyDescent="0.25">
      <c r="A5880">
        <v>5909007</v>
      </c>
      <c r="B5880" t="s">
        <v>12891</v>
      </c>
      <c r="C5880" t="s">
        <v>2695</v>
      </c>
      <c r="D5880" s="254">
        <v>19.239999999999998</v>
      </c>
      <c r="E5880"/>
      <c r="F5880"/>
      <c r="G5880"/>
      <c r="H5880"/>
      <c r="I5880" s="489"/>
      <c r="J5880" s="1095"/>
      <c r="K5880" s="1095"/>
      <c r="L5880" s="1095"/>
      <c r="M5880" s="1095"/>
    </row>
    <row r="5881" spans="1:13" x14ac:dyDescent="0.25">
      <c r="A5881">
        <v>5919538</v>
      </c>
      <c r="B5881" t="s">
        <v>12892</v>
      </c>
      <c r="C5881" t="s">
        <v>2695</v>
      </c>
      <c r="D5881" s="254">
        <v>16.39</v>
      </c>
      <c r="E5881"/>
      <c r="F5881"/>
      <c r="G5881"/>
      <c r="H5881"/>
      <c r="I5881" s="489"/>
      <c r="J5881" s="1095"/>
      <c r="K5881" s="1095"/>
      <c r="L5881" s="1095"/>
      <c r="M5881" s="1095"/>
    </row>
    <row r="5882" spans="1:13" x14ac:dyDescent="0.25">
      <c r="A5882">
        <v>5919540</v>
      </c>
      <c r="B5882" t="s">
        <v>12893</v>
      </c>
      <c r="C5882" t="s">
        <v>2695</v>
      </c>
      <c r="D5882" s="254">
        <v>3.41</v>
      </c>
      <c r="E5882"/>
      <c r="F5882"/>
      <c r="G5882"/>
      <c r="H5882"/>
      <c r="I5882" s="489"/>
      <c r="J5882" s="1095"/>
      <c r="K5882" s="1095"/>
      <c r="L5882" s="1095"/>
      <c r="M5882" s="1095"/>
    </row>
    <row r="5883" spans="1:13" x14ac:dyDescent="0.25">
      <c r="A5883">
        <v>5914705</v>
      </c>
      <c r="B5883" t="s">
        <v>12894</v>
      </c>
      <c r="C5883" t="s">
        <v>2695</v>
      </c>
      <c r="D5883" s="254">
        <v>24.13</v>
      </c>
      <c r="E5883"/>
      <c r="F5883"/>
      <c r="G5883"/>
      <c r="H5883"/>
      <c r="I5883" s="489"/>
      <c r="J5883" s="1095"/>
      <c r="K5883" s="1095"/>
      <c r="L5883" s="1095"/>
      <c r="M5883" s="1095"/>
    </row>
    <row r="5884" spans="1:13" x14ac:dyDescent="0.25">
      <c r="A5884">
        <v>5914706</v>
      </c>
      <c r="B5884" t="s">
        <v>12895</v>
      </c>
      <c r="C5884" t="s">
        <v>2695</v>
      </c>
      <c r="D5884" s="254">
        <v>22.28</v>
      </c>
      <c r="E5884"/>
      <c r="F5884"/>
      <c r="G5884"/>
      <c r="H5884"/>
      <c r="I5884" s="489"/>
      <c r="J5884" s="1095"/>
      <c r="K5884" s="1095"/>
      <c r="L5884" s="1095"/>
      <c r="M5884" s="1095"/>
    </row>
    <row r="5885" spans="1:13" x14ac:dyDescent="0.25">
      <c r="A5885">
        <v>5914707</v>
      </c>
      <c r="B5885" t="s">
        <v>12896</v>
      </c>
      <c r="C5885" t="s">
        <v>2695</v>
      </c>
      <c r="D5885" s="254">
        <v>21.88</v>
      </c>
      <c r="E5885"/>
      <c r="F5885"/>
      <c r="G5885"/>
      <c r="H5885"/>
      <c r="I5885" s="489"/>
      <c r="J5885" s="1095"/>
      <c r="K5885" s="1095"/>
      <c r="L5885" s="1095"/>
      <c r="M5885" s="1095"/>
    </row>
    <row r="5886" spans="1:13" x14ac:dyDescent="0.25">
      <c r="A5886">
        <v>5914677</v>
      </c>
      <c r="B5886" t="s">
        <v>12897</v>
      </c>
      <c r="C5886" t="s">
        <v>2695</v>
      </c>
      <c r="D5886" s="254">
        <v>33.229999999999997</v>
      </c>
      <c r="E5886"/>
      <c r="F5886"/>
      <c r="G5886"/>
      <c r="H5886"/>
      <c r="I5886" s="489"/>
      <c r="J5886" s="1095"/>
      <c r="K5886" s="1095"/>
      <c r="L5886" s="1095"/>
      <c r="M5886" s="1095"/>
    </row>
    <row r="5887" spans="1:13" x14ac:dyDescent="0.25">
      <c r="A5887">
        <v>5914676</v>
      </c>
      <c r="B5887" t="s">
        <v>12898</v>
      </c>
      <c r="C5887" t="s">
        <v>2695</v>
      </c>
      <c r="D5887" s="254">
        <v>27.46</v>
      </c>
      <c r="E5887"/>
      <c r="F5887"/>
      <c r="G5887"/>
      <c r="H5887"/>
      <c r="I5887" s="489"/>
      <c r="J5887" s="1095"/>
      <c r="K5887" s="1095"/>
      <c r="L5887" s="1095"/>
      <c r="M5887" s="1095"/>
    </row>
    <row r="5888" spans="1:13" x14ac:dyDescent="0.25">
      <c r="A5888">
        <v>5915440</v>
      </c>
      <c r="B5888" t="s">
        <v>12899</v>
      </c>
      <c r="C5888" t="s">
        <v>2695</v>
      </c>
      <c r="D5888" s="254">
        <v>3.01</v>
      </c>
      <c r="E5888"/>
      <c r="F5888"/>
      <c r="G5888"/>
      <c r="H5888"/>
      <c r="I5888" s="489"/>
      <c r="J5888" s="1095"/>
      <c r="K5888" s="1095"/>
      <c r="L5888" s="1095"/>
      <c r="M5888" s="1095"/>
    </row>
    <row r="5889" spans="1:13" x14ac:dyDescent="0.25">
      <c r="A5889">
        <v>5914352</v>
      </c>
      <c r="B5889" t="s">
        <v>12900</v>
      </c>
      <c r="C5889" t="s">
        <v>2695</v>
      </c>
      <c r="D5889" s="254">
        <v>4.58</v>
      </c>
      <c r="E5889"/>
      <c r="F5889"/>
      <c r="G5889"/>
      <c r="H5889"/>
      <c r="I5889" s="489"/>
      <c r="J5889" s="1095"/>
      <c r="K5889" s="1095"/>
      <c r="L5889" s="1095"/>
      <c r="M5889" s="1095"/>
    </row>
    <row r="5890" spans="1:13" x14ac:dyDescent="0.25">
      <c r="A5890">
        <v>5914339</v>
      </c>
      <c r="B5890" t="s">
        <v>12901</v>
      </c>
      <c r="C5890" t="s">
        <v>2695</v>
      </c>
      <c r="D5890" s="254">
        <v>8.9600000000000009</v>
      </c>
      <c r="E5890"/>
      <c r="F5890"/>
      <c r="G5890"/>
      <c r="H5890"/>
      <c r="I5890" s="489"/>
      <c r="J5890" s="1095"/>
      <c r="K5890" s="1095"/>
      <c r="L5890" s="1095"/>
      <c r="M5890" s="1095"/>
    </row>
    <row r="5891" spans="1:13" x14ac:dyDescent="0.25">
      <c r="A5891">
        <v>5914678</v>
      </c>
      <c r="B5891" t="s">
        <v>12902</v>
      </c>
      <c r="C5891" t="s">
        <v>2695</v>
      </c>
      <c r="D5891" s="254">
        <v>41.26</v>
      </c>
      <c r="E5891"/>
      <c r="F5891"/>
      <c r="G5891"/>
      <c r="H5891"/>
      <c r="I5891" s="489"/>
      <c r="J5891" s="1095"/>
      <c r="K5891" s="1095"/>
      <c r="L5891" s="1095"/>
      <c r="M5891" s="1095"/>
    </row>
    <row r="5892" spans="1:13" x14ac:dyDescent="0.25">
      <c r="A5892">
        <v>5914679</v>
      </c>
      <c r="B5892" t="s">
        <v>12903</v>
      </c>
      <c r="C5892" t="s">
        <v>2695</v>
      </c>
      <c r="D5892" s="254">
        <v>66.290000000000006</v>
      </c>
      <c r="E5892"/>
      <c r="F5892"/>
      <c r="G5892"/>
      <c r="H5892"/>
      <c r="I5892" s="489"/>
      <c r="J5892" s="1095"/>
      <c r="K5892" s="1095"/>
      <c r="L5892" s="1095"/>
      <c r="M5892" s="1095"/>
    </row>
    <row r="5893" spans="1:13" x14ac:dyDescent="0.25">
      <c r="A5893">
        <v>5914681</v>
      </c>
      <c r="B5893" t="s">
        <v>12904</v>
      </c>
      <c r="C5893" t="s">
        <v>2695</v>
      </c>
      <c r="D5893" s="254">
        <v>79.08</v>
      </c>
      <c r="E5893"/>
      <c r="F5893"/>
      <c r="G5893"/>
      <c r="H5893"/>
      <c r="I5893" s="489"/>
      <c r="J5893" s="1095"/>
      <c r="K5893" s="1095"/>
      <c r="L5893" s="1095"/>
      <c r="M5893" s="1095"/>
    </row>
    <row r="5894" spans="1:13" x14ac:dyDescent="0.25">
      <c r="A5894">
        <v>5914680</v>
      </c>
      <c r="B5894" t="s">
        <v>12905</v>
      </c>
      <c r="C5894" t="s">
        <v>2695</v>
      </c>
      <c r="D5894" s="254">
        <v>55</v>
      </c>
      <c r="E5894"/>
      <c r="F5894"/>
      <c r="G5894"/>
      <c r="H5894"/>
      <c r="I5894" s="489"/>
      <c r="J5894" s="1095"/>
      <c r="K5894" s="1095"/>
      <c r="L5894" s="1095"/>
      <c r="M5894" s="1095"/>
    </row>
    <row r="5895" spans="1:13" x14ac:dyDescent="0.25">
      <c r="A5895">
        <v>5915015</v>
      </c>
      <c r="B5895" t="s">
        <v>12906</v>
      </c>
      <c r="C5895" t="s">
        <v>2695</v>
      </c>
      <c r="D5895" s="254">
        <v>23.56</v>
      </c>
      <c r="E5895"/>
      <c r="F5895"/>
      <c r="G5895"/>
      <c r="H5895"/>
      <c r="I5895" s="489"/>
      <c r="J5895" s="1095"/>
      <c r="K5895" s="1095"/>
      <c r="L5895" s="1095"/>
      <c r="M5895" s="1095"/>
    </row>
    <row r="5896" spans="1:13" x14ac:dyDescent="0.25">
      <c r="A5896">
        <v>5915373</v>
      </c>
      <c r="B5896" t="s">
        <v>12907</v>
      </c>
      <c r="C5896" t="s">
        <v>2695</v>
      </c>
      <c r="D5896" s="254">
        <v>19.36</v>
      </c>
      <c r="E5896"/>
      <c r="F5896"/>
      <c r="G5896"/>
      <c r="H5896"/>
      <c r="I5896" s="489"/>
      <c r="J5896" s="1095"/>
      <c r="K5896" s="1095"/>
      <c r="L5896" s="1095"/>
      <c r="M5896" s="1095"/>
    </row>
    <row r="5897" spans="1:13" x14ac:dyDescent="0.25">
      <c r="A5897">
        <v>5914333</v>
      </c>
      <c r="B5897" t="s">
        <v>12908</v>
      </c>
      <c r="C5897" t="s">
        <v>2695</v>
      </c>
      <c r="D5897" s="254">
        <v>35.85</v>
      </c>
      <c r="E5897"/>
      <c r="F5897"/>
      <c r="G5897"/>
      <c r="H5897"/>
      <c r="I5897" s="489"/>
      <c r="J5897" s="1095"/>
      <c r="K5897" s="1095"/>
      <c r="L5897" s="1095"/>
      <c r="M5897" s="1095"/>
    </row>
    <row r="5898" spans="1:13" x14ac:dyDescent="0.25">
      <c r="A5898">
        <v>5914655</v>
      </c>
      <c r="B5898" t="s">
        <v>12909</v>
      </c>
      <c r="C5898" t="s">
        <v>2695</v>
      </c>
      <c r="D5898" s="254">
        <v>35.39</v>
      </c>
      <c r="E5898"/>
      <c r="F5898"/>
      <c r="G5898"/>
      <c r="H5898"/>
      <c r="I5898" s="489"/>
      <c r="J5898" s="1095"/>
      <c r="K5898" s="1095"/>
      <c r="L5898" s="1095"/>
      <c r="M5898" s="1095"/>
    </row>
    <row r="5899" spans="1:13" x14ac:dyDescent="0.25">
      <c r="A5899">
        <v>5915474</v>
      </c>
      <c r="B5899" t="s">
        <v>12910</v>
      </c>
      <c r="C5899" t="s">
        <v>2695</v>
      </c>
      <c r="D5899" s="254">
        <v>30.65</v>
      </c>
      <c r="E5899"/>
      <c r="F5899"/>
      <c r="G5899"/>
      <c r="H5899"/>
      <c r="I5899" s="489"/>
      <c r="J5899" s="1095"/>
      <c r="K5899" s="1095"/>
      <c r="L5899" s="1095"/>
      <c r="M5899" s="1095"/>
    </row>
    <row r="5900" spans="1:13" x14ac:dyDescent="0.25">
      <c r="A5900">
        <v>5914654</v>
      </c>
      <c r="B5900" t="s">
        <v>12911</v>
      </c>
      <c r="C5900" t="s">
        <v>2695</v>
      </c>
      <c r="D5900" s="254">
        <v>27.76</v>
      </c>
      <c r="E5900"/>
      <c r="F5900"/>
      <c r="G5900"/>
      <c r="H5900"/>
      <c r="I5900" s="489"/>
      <c r="J5900" s="1095"/>
      <c r="K5900" s="1095"/>
      <c r="L5900" s="1095"/>
      <c r="M5900" s="1095"/>
    </row>
    <row r="5901" spans="1:13" x14ac:dyDescent="0.25">
      <c r="A5901">
        <v>5914686</v>
      </c>
      <c r="B5901" t="s">
        <v>12912</v>
      </c>
      <c r="C5901" t="s">
        <v>2695</v>
      </c>
      <c r="D5901" s="254">
        <v>29.04</v>
      </c>
      <c r="E5901"/>
      <c r="F5901"/>
      <c r="G5901"/>
      <c r="H5901"/>
      <c r="I5901" s="489"/>
      <c r="J5901" s="1095"/>
      <c r="K5901" s="1095"/>
      <c r="L5901" s="1095"/>
      <c r="M5901" s="1095"/>
    </row>
    <row r="5902" spans="1:13" x14ac:dyDescent="0.25">
      <c r="A5902">
        <v>5914685</v>
      </c>
      <c r="B5902" t="s">
        <v>12913</v>
      </c>
      <c r="C5902" t="s">
        <v>2695</v>
      </c>
      <c r="D5902" s="254">
        <v>29.24</v>
      </c>
      <c r="E5902"/>
      <c r="F5902"/>
      <c r="G5902"/>
      <c r="H5902"/>
      <c r="I5902" s="489"/>
      <c r="J5902" s="1095"/>
      <c r="K5902" s="1095"/>
      <c r="L5902" s="1095"/>
      <c r="M5902" s="1095"/>
    </row>
    <row r="5903" spans="1:13" x14ac:dyDescent="0.25">
      <c r="A5903">
        <v>5914682</v>
      </c>
      <c r="B5903" t="s">
        <v>12914</v>
      </c>
      <c r="C5903" t="s">
        <v>2695</v>
      </c>
      <c r="D5903" s="254">
        <v>37.840000000000003</v>
      </c>
      <c r="E5903"/>
      <c r="F5903"/>
      <c r="G5903"/>
      <c r="H5903"/>
      <c r="I5903" s="489"/>
      <c r="J5903" s="1095"/>
      <c r="K5903" s="1095"/>
      <c r="L5903" s="1095"/>
      <c r="M5903" s="1095"/>
    </row>
    <row r="5904" spans="1:13" x14ac:dyDescent="0.25">
      <c r="A5904">
        <v>5914683</v>
      </c>
      <c r="B5904" t="s">
        <v>12915</v>
      </c>
      <c r="C5904" t="s">
        <v>2695</v>
      </c>
      <c r="D5904" s="254">
        <v>43.49</v>
      </c>
      <c r="E5904"/>
      <c r="F5904"/>
      <c r="G5904"/>
      <c r="H5904"/>
      <c r="I5904" s="489"/>
      <c r="J5904" s="1095"/>
      <c r="K5904" s="1095"/>
      <c r="L5904" s="1095"/>
      <c r="M5904" s="1095"/>
    </row>
    <row r="5905" spans="1:13" x14ac:dyDescent="0.25">
      <c r="A5905">
        <v>5914684</v>
      </c>
      <c r="B5905" t="s">
        <v>12916</v>
      </c>
      <c r="C5905" t="s">
        <v>2695</v>
      </c>
      <c r="D5905" s="254">
        <v>32.79</v>
      </c>
      <c r="E5905"/>
      <c r="F5905"/>
      <c r="G5905"/>
      <c r="H5905"/>
      <c r="I5905" s="489"/>
      <c r="J5905" s="1095"/>
      <c r="K5905" s="1095"/>
      <c r="L5905" s="1095"/>
      <c r="M5905" s="1095"/>
    </row>
    <row r="5906" spans="1:13" x14ac:dyDescent="0.25">
      <c r="A5906">
        <v>5914675</v>
      </c>
      <c r="B5906" t="s">
        <v>12917</v>
      </c>
      <c r="C5906" t="s">
        <v>2695</v>
      </c>
      <c r="D5906" s="254">
        <v>3.17</v>
      </c>
      <c r="E5906"/>
      <c r="F5906"/>
      <c r="G5906"/>
      <c r="H5906"/>
      <c r="I5906" s="489"/>
      <c r="J5906" s="1095"/>
      <c r="K5906" s="1095"/>
      <c r="L5906" s="1095"/>
      <c r="M5906" s="1095"/>
    </row>
    <row r="5907" spans="1:13" x14ac:dyDescent="0.25">
      <c r="A5907">
        <v>5915433</v>
      </c>
      <c r="B5907" t="s">
        <v>12918</v>
      </c>
      <c r="C5907" t="s">
        <v>2695</v>
      </c>
      <c r="D5907" s="254">
        <v>35.57</v>
      </c>
      <c r="E5907"/>
      <c r="F5907"/>
      <c r="G5907"/>
      <c r="H5907"/>
      <c r="I5907" s="489"/>
      <c r="J5907" s="1095"/>
      <c r="K5907" s="1095"/>
      <c r="L5907" s="1095"/>
      <c r="M5907" s="1095"/>
    </row>
    <row r="5908" spans="1:13" x14ac:dyDescent="0.25">
      <c r="A5908">
        <v>5914650</v>
      </c>
      <c r="B5908" t="s">
        <v>12919</v>
      </c>
      <c r="C5908" t="s">
        <v>2695</v>
      </c>
      <c r="D5908" s="254">
        <v>11.82</v>
      </c>
      <c r="E5908"/>
      <c r="F5908"/>
      <c r="G5908"/>
      <c r="H5908"/>
      <c r="I5908" s="489"/>
      <c r="J5908" s="1095"/>
      <c r="K5908" s="1095"/>
      <c r="L5908" s="1095"/>
      <c r="M5908" s="1095"/>
    </row>
    <row r="5909" spans="1:13" x14ac:dyDescent="0.25">
      <c r="A5909">
        <v>5914358</v>
      </c>
      <c r="B5909" t="s">
        <v>12920</v>
      </c>
      <c r="C5909" t="s">
        <v>2695</v>
      </c>
      <c r="D5909" s="254">
        <v>9.4</v>
      </c>
      <c r="E5909"/>
      <c r="F5909"/>
      <c r="G5909"/>
      <c r="H5909"/>
      <c r="I5909" s="489"/>
      <c r="J5909" s="1095"/>
      <c r="K5909" s="1095"/>
      <c r="L5909" s="1095"/>
      <c r="M5909" s="1095"/>
    </row>
    <row r="5910" spans="1:13" x14ac:dyDescent="0.25">
      <c r="A5910">
        <v>5915421</v>
      </c>
      <c r="B5910" t="s">
        <v>12921</v>
      </c>
      <c r="C5910" t="s">
        <v>2695</v>
      </c>
      <c r="D5910" s="254">
        <v>27.25</v>
      </c>
      <c r="E5910"/>
      <c r="F5910"/>
      <c r="G5910"/>
      <c r="H5910"/>
      <c r="I5910" s="489"/>
      <c r="J5910" s="1095"/>
      <c r="K5910" s="1095"/>
      <c r="L5910" s="1095"/>
      <c r="M5910" s="1095"/>
    </row>
    <row r="5911" spans="1:13" x14ac:dyDescent="0.25">
      <c r="A5911">
        <v>5914649</v>
      </c>
      <c r="B5911" t="s">
        <v>12922</v>
      </c>
      <c r="C5911" t="s">
        <v>2695</v>
      </c>
      <c r="D5911" s="254">
        <v>8.15</v>
      </c>
      <c r="E5911"/>
      <c r="F5911"/>
      <c r="G5911"/>
      <c r="H5911"/>
      <c r="I5911" s="489"/>
      <c r="J5911" s="1095"/>
      <c r="K5911" s="1095"/>
      <c r="L5911" s="1095"/>
      <c r="M5911" s="1095"/>
    </row>
    <row r="5912" spans="1:13" x14ac:dyDescent="0.25">
      <c r="A5912">
        <v>5914643</v>
      </c>
      <c r="B5912" t="s">
        <v>12923</v>
      </c>
      <c r="C5912" t="s">
        <v>2695</v>
      </c>
      <c r="D5912" s="254">
        <v>5.79</v>
      </c>
      <c r="E5912"/>
      <c r="F5912"/>
      <c r="G5912"/>
      <c r="H5912"/>
      <c r="I5912" s="489"/>
      <c r="J5912" s="1095"/>
      <c r="K5912" s="1095"/>
      <c r="L5912" s="1095"/>
      <c r="M5912" s="1095"/>
    </row>
    <row r="5913" spans="1:13" x14ac:dyDescent="0.25">
      <c r="A5913">
        <v>5914328</v>
      </c>
      <c r="B5913" t="s">
        <v>12924</v>
      </c>
      <c r="C5913" t="s">
        <v>2695</v>
      </c>
      <c r="D5913" s="254">
        <v>27.86</v>
      </c>
      <c r="E5913"/>
      <c r="F5913"/>
      <c r="G5913"/>
      <c r="H5913"/>
      <c r="I5913" s="489"/>
      <c r="J5913" s="1095"/>
      <c r="K5913" s="1095"/>
      <c r="L5913" s="1095"/>
      <c r="M5913" s="1095"/>
    </row>
    <row r="5914" spans="1:13" x14ac:dyDescent="0.25">
      <c r="A5914">
        <v>5914610</v>
      </c>
      <c r="B5914" t="s">
        <v>12925</v>
      </c>
      <c r="C5914" t="s">
        <v>2695</v>
      </c>
      <c r="D5914" s="254">
        <v>40.32</v>
      </c>
      <c r="E5914"/>
      <c r="F5914"/>
      <c r="G5914"/>
      <c r="H5914"/>
      <c r="I5914" s="489"/>
      <c r="J5914" s="1095"/>
      <c r="K5914" s="1095"/>
      <c r="L5914" s="1095"/>
      <c r="M5914" s="1095"/>
    </row>
    <row r="5915" spans="1:13" x14ac:dyDescent="0.25">
      <c r="A5915">
        <v>5915408</v>
      </c>
      <c r="B5915" t="s">
        <v>12926</v>
      </c>
      <c r="C5915" t="s">
        <v>2695</v>
      </c>
      <c r="D5915" s="254">
        <v>6.19</v>
      </c>
      <c r="E5915"/>
      <c r="F5915"/>
      <c r="G5915"/>
      <c r="H5915"/>
      <c r="I5915" s="489"/>
      <c r="J5915" s="1095"/>
      <c r="K5915" s="1095"/>
      <c r="L5915" s="1095"/>
      <c r="M5915" s="1095"/>
    </row>
    <row r="5916" spans="1:13" x14ac:dyDescent="0.25">
      <c r="A5916">
        <v>5915306</v>
      </c>
      <c r="B5916" t="s">
        <v>12927</v>
      </c>
      <c r="C5916" t="s">
        <v>2640</v>
      </c>
      <c r="D5916" s="254">
        <v>36.659999999999997</v>
      </c>
      <c r="E5916"/>
      <c r="F5916"/>
      <c r="G5916"/>
      <c r="H5916"/>
      <c r="I5916" s="489"/>
      <c r="J5916" s="1095"/>
      <c r="K5916" s="1095"/>
      <c r="L5916" s="1095"/>
      <c r="M5916" s="1095"/>
    </row>
    <row r="5917" spans="1:13" x14ac:dyDescent="0.25">
      <c r="A5917">
        <v>5914708</v>
      </c>
      <c r="B5917" t="s">
        <v>12928</v>
      </c>
      <c r="C5917" t="s">
        <v>2695</v>
      </c>
      <c r="D5917" s="254">
        <v>46.55</v>
      </c>
      <c r="E5917"/>
      <c r="F5917"/>
      <c r="G5917"/>
      <c r="H5917"/>
      <c r="I5917" s="489"/>
      <c r="J5917" s="1095"/>
      <c r="K5917" s="1095"/>
      <c r="L5917" s="1095"/>
      <c r="M5917" s="1095"/>
    </row>
    <row r="5918" spans="1:13" x14ac:dyDescent="0.25">
      <c r="A5918">
        <v>5914687</v>
      </c>
      <c r="B5918" t="s">
        <v>12929</v>
      </c>
      <c r="C5918" t="s">
        <v>2695</v>
      </c>
      <c r="D5918" s="254">
        <v>45.97</v>
      </c>
      <c r="E5918"/>
      <c r="F5918"/>
      <c r="G5918"/>
      <c r="H5918"/>
      <c r="I5918" s="489"/>
      <c r="J5918" s="1095"/>
      <c r="K5918" s="1095"/>
      <c r="L5918" s="1095"/>
      <c r="M5918" s="1095"/>
    </row>
    <row r="5919" spans="1:13" x14ac:dyDescent="0.25">
      <c r="A5919">
        <v>5914709</v>
      </c>
      <c r="B5919" t="s">
        <v>12930</v>
      </c>
      <c r="C5919" t="s">
        <v>2695</v>
      </c>
      <c r="D5919" s="254">
        <v>49.57</v>
      </c>
      <c r="E5919"/>
      <c r="F5919"/>
      <c r="G5919"/>
      <c r="H5919"/>
      <c r="I5919" s="489"/>
      <c r="J5919" s="1095"/>
      <c r="K5919" s="1095"/>
      <c r="L5919" s="1095"/>
      <c r="M5919" s="1095"/>
    </row>
    <row r="5920" spans="1:13" x14ac:dyDescent="0.25">
      <c r="A5920">
        <v>5914688</v>
      </c>
      <c r="B5920" t="s">
        <v>12931</v>
      </c>
      <c r="C5920" t="s">
        <v>2695</v>
      </c>
      <c r="D5920" s="254">
        <v>48.15</v>
      </c>
      <c r="E5920"/>
      <c r="F5920"/>
      <c r="G5920"/>
      <c r="H5920"/>
      <c r="I5920" s="489"/>
      <c r="J5920" s="1095"/>
      <c r="K5920" s="1095"/>
      <c r="L5920" s="1095"/>
      <c r="M5920" s="1095"/>
    </row>
    <row r="5921" spans="1:13" x14ac:dyDescent="0.25">
      <c r="A5921">
        <v>5914695</v>
      </c>
      <c r="B5921" t="s">
        <v>12932</v>
      </c>
      <c r="C5921" t="s">
        <v>2695</v>
      </c>
      <c r="D5921" s="254">
        <v>36.53</v>
      </c>
      <c r="E5921"/>
      <c r="F5921"/>
      <c r="G5921"/>
      <c r="H5921"/>
      <c r="I5921" s="489"/>
      <c r="J5921" s="1095"/>
      <c r="K5921" s="1095"/>
      <c r="L5921" s="1095"/>
      <c r="M5921" s="1095"/>
    </row>
    <row r="5922" spans="1:13" x14ac:dyDescent="0.25">
      <c r="A5922">
        <v>5914689</v>
      </c>
      <c r="B5922" t="s">
        <v>12933</v>
      </c>
      <c r="C5922" t="s">
        <v>2695</v>
      </c>
      <c r="D5922" s="254">
        <v>36.07</v>
      </c>
      <c r="E5922"/>
      <c r="F5922"/>
      <c r="G5922"/>
      <c r="H5922"/>
      <c r="I5922" s="489"/>
      <c r="J5922" s="1095"/>
      <c r="K5922" s="1095"/>
      <c r="L5922" s="1095"/>
      <c r="M5922" s="1095"/>
    </row>
    <row r="5923" spans="1:13" x14ac:dyDescent="0.25">
      <c r="A5923">
        <v>5914696</v>
      </c>
      <c r="B5923" t="s">
        <v>12934</v>
      </c>
      <c r="C5923" t="s">
        <v>2695</v>
      </c>
      <c r="D5923" s="254">
        <v>38.89</v>
      </c>
      <c r="E5923"/>
      <c r="F5923"/>
      <c r="G5923"/>
      <c r="H5923"/>
      <c r="I5923" s="489"/>
      <c r="J5923" s="1095"/>
      <c r="K5923" s="1095"/>
      <c r="L5923" s="1095"/>
      <c r="M5923" s="1095"/>
    </row>
    <row r="5924" spans="1:13" x14ac:dyDescent="0.25">
      <c r="A5924">
        <v>5914690</v>
      </c>
      <c r="B5924" t="s">
        <v>12935</v>
      </c>
      <c r="C5924" t="s">
        <v>2695</v>
      </c>
      <c r="D5924" s="254">
        <v>37.78</v>
      </c>
      <c r="E5924"/>
      <c r="F5924"/>
      <c r="G5924"/>
      <c r="H5924"/>
      <c r="I5924" s="489"/>
      <c r="J5924" s="1095"/>
      <c r="K5924" s="1095"/>
      <c r="L5924" s="1095"/>
      <c r="M5924" s="1095"/>
    </row>
    <row r="5925" spans="1:13" x14ac:dyDescent="0.25">
      <c r="A5925">
        <v>5914697</v>
      </c>
      <c r="B5925" t="s">
        <v>12936</v>
      </c>
      <c r="C5925" t="s">
        <v>2695</v>
      </c>
      <c r="D5925" s="254">
        <v>30.83</v>
      </c>
      <c r="E5925"/>
      <c r="F5925"/>
      <c r="G5925"/>
      <c r="H5925"/>
      <c r="I5925" s="489"/>
      <c r="J5925" s="1095"/>
      <c r="K5925" s="1095"/>
      <c r="L5925" s="1095"/>
      <c r="M5925" s="1095"/>
    </row>
    <row r="5926" spans="1:13" x14ac:dyDescent="0.25">
      <c r="A5926">
        <v>5914691</v>
      </c>
      <c r="B5926" t="s">
        <v>12937</v>
      </c>
      <c r="C5926" t="s">
        <v>2695</v>
      </c>
      <c r="D5926" s="254">
        <v>30.45</v>
      </c>
      <c r="E5926"/>
      <c r="F5926"/>
      <c r="G5926"/>
      <c r="H5926"/>
      <c r="I5926" s="489"/>
      <c r="J5926" s="1095"/>
      <c r="K5926" s="1095"/>
      <c r="L5926" s="1095"/>
      <c r="M5926" s="1095"/>
    </row>
    <row r="5927" spans="1:13" x14ac:dyDescent="0.25">
      <c r="A5927">
        <v>5914698</v>
      </c>
      <c r="B5927" t="s">
        <v>12938</v>
      </c>
      <c r="C5927" t="s">
        <v>2695</v>
      </c>
      <c r="D5927" s="254">
        <v>32.83</v>
      </c>
      <c r="E5927"/>
      <c r="F5927"/>
      <c r="G5927"/>
      <c r="H5927"/>
      <c r="I5927" s="489"/>
      <c r="J5927" s="1095"/>
      <c r="K5927" s="1095"/>
      <c r="L5927" s="1095"/>
      <c r="M5927" s="1095"/>
    </row>
    <row r="5928" spans="1:13" x14ac:dyDescent="0.25">
      <c r="A5928">
        <v>5914692</v>
      </c>
      <c r="B5928" t="s">
        <v>12939</v>
      </c>
      <c r="C5928" t="s">
        <v>2695</v>
      </c>
      <c r="D5928" s="254">
        <v>31.89</v>
      </c>
      <c r="E5928"/>
      <c r="F5928"/>
      <c r="G5928"/>
      <c r="H5928"/>
      <c r="I5928" s="489"/>
      <c r="J5928" s="1095"/>
      <c r="K5928" s="1095"/>
      <c r="L5928" s="1095"/>
      <c r="M5928" s="1095"/>
    </row>
    <row r="5929" spans="1:13" x14ac:dyDescent="0.25">
      <c r="A5929">
        <v>5914699</v>
      </c>
      <c r="B5929" t="s">
        <v>12940</v>
      </c>
      <c r="C5929" t="s">
        <v>2695</v>
      </c>
      <c r="D5929" s="254">
        <v>34.520000000000003</v>
      </c>
      <c r="E5929"/>
      <c r="F5929"/>
      <c r="G5929"/>
      <c r="H5929"/>
      <c r="I5929" s="489"/>
      <c r="J5929" s="1095"/>
      <c r="K5929" s="1095"/>
      <c r="L5929" s="1095"/>
      <c r="M5929" s="1095"/>
    </row>
    <row r="5930" spans="1:13" x14ac:dyDescent="0.25">
      <c r="A5930">
        <v>5914693</v>
      </c>
      <c r="B5930" t="s">
        <v>12941</v>
      </c>
      <c r="C5930" t="s">
        <v>2695</v>
      </c>
      <c r="D5930" s="254">
        <v>34.090000000000003</v>
      </c>
      <c r="E5930"/>
      <c r="F5930"/>
      <c r="G5930"/>
      <c r="H5930"/>
      <c r="I5930" s="489"/>
      <c r="J5930" s="1095"/>
      <c r="K5930" s="1095"/>
      <c r="L5930" s="1095"/>
      <c r="M5930" s="1095"/>
    </row>
    <row r="5931" spans="1:13" x14ac:dyDescent="0.25">
      <c r="A5931">
        <v>5914700</v>
      </c>
      <c r="B5931" t="s">
        <v>12942</v>
      </c>
      <c r="C5931" t="s">
        <v>2695</v>
      </c>
      <c r="D5931" s="254">
        <v>36.76</v>
      </c>
      <c r="E5931"/>
      <c r="F5931"/>
      <c r="G5931"/>
      <c r="H5931"/>
      <c r="I5931" s="489"/>
      <c r="J5931" s="1095"/>
      <c r="K5931" s="1095"/>
      <c r="L5931" s="1095"/>
      <c r="M5931" s="1095"/>
    </row>
    <row r="5932" spans="1:13" x14ac:dyDescent="0.25">
      <c r="A5932">
        <v>5914694</v>
      </c>
      <c r="B5932" t="s">
        <v>12943</v>
      </c>
      <c r="C5932" t="s">
        <v>2695</v>
      </c>
      <c r="D5932" s="254">
        <v>35.71</v>
      </c>
      <c r="E5932"/>
      <c r="F5932"/>
      <c r="G5932"/>
      <c r="H5932"/>
      <c r="I5932" s="489"/>
      <c r="J5932" s="1095"/>
      <c r="K5932" s="1095"/>
      <c r="L5932" s="1095"/>
      <c r="M5932" s="1095"/>
    </row>
    <row r="5933" spans="1:13" x14ac:dyDescent="0.25">
      <c r="A5933">
        <v>5915441</v>
      </c>
      <c r="B5933" t="s">
        <v>12944</v>
      </c>
      <c r="C5933" t="s">
        <v>2695</v>
      </c>
      <c r="D5933" s="254">
        <v>105.66</v>
      </c>
      <c r="E5933"/>
      <c r="F5933"/>
      <c r="G5933"/>
      <c r="H5933"/>
      <c r="I5933" s="489"/>
      <c r="J5933" s="1095"/>
      <c r="K5933" s="1095"/>
      <c r="L5933" s="1095"/>
      <c r="M5933" s="1095"/>
    </row>
    <row r="5934" spans="1:13" x14ac:dyDescent="0.25">
      <c r="A5934">
        <v>5901639</v>
      </c>
      <c r="B5934" t="s">
        <v>12945</v>
      </c>
      <c r="C5934" t="s">
        <v>12946</v>
      </c>
      <c r="D5934" s="254">
        <v>0.96</v>
      </c>
      <c r="E5934"/>
      <c r="F5934"/>
      <c r="G5934"/>
      <c r="H5934"/>
      <c r="I5934" s="489"/>
      <c r="J5934" s="1095"/>
      <c r="K5934" s="1095"/>
      <c r="L5934" s="1095"/>
      <c r="M5934" s="1095"/>
    </row>
    <row r="5935" spans="1:13" x14ac:dyDescent="0.25">
      <c r="A5935">
        <v>5901638</v>
      </c>
      <c r="B5935" t="s">
        <v>12947</v>
      </c>
      <c r="C5935" t="s">
        <v>12946</v>
      </c>
      <c r="D5935" s="254">
        <v>0.77</v>
      </c>
      <c r="E5935"/>
      <c r="F5935"/>
      <c r="G5935"/>
      <c r="H5935"/>
      <c r="I5935" s="489"/>
      <c r="J5935" s="1095"/>
      <c r="K5935" s="1095"/>
      <c r="L5935" s="1095"/>
      <c r="M5935" s="1095"/>
    </row>
    <row r="5936" spans="1:13" x14ac:dyDescent="0.25">
      <c r="A5936">
        <v>5901640</v>
      </c>
      <c r="B5936" t="s">
        <v>12948</v>
      </c>
      <c r="C5936" t="s">
        <v>12946</v>
      </c>
      <c r="D5936" s="254">
        <v>0.61</v>
      </c>
      <c r="E5936"/>
      <c r="F5936"/>
      <c r="G5936"/>
      <c r="H5936"/>
      <c r="I5936" s="489"/>
      <c r="J5936" s="1095"/>
      <c r="K5936" s="1095"/>
      <c r="L5936" s="1095"/>
      <c r="M5936" s="1095"/>
    </row>
    <row r="5937" spans="1:13" x14ac:dyDescent="0.25">
      <c r="A5937">
        <v>5914359</v>
      </c>
      <c r="B5937" t="s">
        <v>12949</v>
      </c>
      <c r="C5937" t="s">
        <v>12946</v>
      </c>
      <c r="D5937" s="254">
        <v>1.32</v>
      </c>
      <c r="E5937"/>
      <c r="F5937"/>
      <c r="G5937"/>
      <c r="H5937"/>
      <c r="I5937" s="489"/>
      <c r="J5937" s="1095"/>
      <c r="K5937" s="1095"/>
      <c r="L5937" s="1095"/>
      <c r="M5937" s="1095"/>
    </row>
    <row r="5938" spans="1:13" x14ac:dyDescent="0.25">
      <c r="A5938">
        <v>5914374</v>
      </c>
      <c r="B5938" t="s">
        <v>6258</v>
      </c>
      <c r="C5938" t="s">
        <v>12946</v>
      </c>
      <c r="D5938" s="254">
        <v>1.05</v>
      </c>
      <c r="E5938"/>
      <c r="F5938"/>
      <c r="G5938"/>
      <c r="H5938"/>
      <c r="I5938" s="489"/>
      <c r="J5938" s="1095"/>
      <c r="K5938" s="1095"/>
      <c r="L5938" s="1095"/>
      <c r="M5938" s="1095"/>
    </row>
    <row r="5939" spans="1:13" x14ac:dyDescent="0.25">
      <c r="A5939">
        <v>5914389</v>
      </c>
      <c r="B5939" t="s">
        <v>6330</v>
      </c>
      <c r="C5939" t="s">
        <v>12946</v>
      </c>
      <c r="D5939" s="254">
        <v>0.84</v>
      </c>
      <c r="E5939"/>
      <c r="F5939"/>
      <c r="G5939"/>
      <c r="H5939"/>
      <c r="I5939" s="489"/>
      <c r="J5939" s="1095"/>
      <c r="K5939" s="1095"/>
      <c r="L5939" s="1095"/>
      <c r="M5939" s="1095"/>
    </row>
    <row r="5940" spans="1:13" x14ac:dyDescent="0.25">
      <c r="A5940">
        <v>5915319</v>
      </c>
      <c r="B5940" t="s">
        <v>12950</v>
      </c>
      <c r="C5940" t="s">
        <v>12946</v>
      </c>
      <c r="D5940" s="254">
        <v>0.96</v>
      </c>
      <c r="E5940"/>
      <c r="F5940"/>
      <c r="G5940"/>
      <c r="H5940"/>
      <c r="I5940" s="489"/>
      <c r="J5940" s="1095"/>
      <c r="K5940" s="1095"/>
      <c r="L5940" s="1095"/>
      <c r="M5940" s="1095"/>
    </row>
    <row r="5941" spans="1:13" x14ac:dyDescent="0.25">
      <c r="A5941">
        <v>5915320</v>
      </c>
      <c r="B5941" t="s">
        <v>12951</v>
      </c>
      <c r="C5941" t="s">
        <v>12946</v>
      </c>
      <c r="D5941" s="254">
        <v>0.77</v>
      </c>
      <c r="E5941"/>
      <c r="F5941"/>
      <c r="G5941"/>
      <c r="H5941"/>
      <c r="I5941" s="489"/>
      <c r="J5941" s="1095"/>
      <c r="K5941" s="1095"/>
      <c r="L5941" s="1095"/>
      <c r="M5941" s="1095"/>
    </row>
    <row r="5942" spans="1:13" x14ac:dyDescent="0.25">
      <c r="A5942">
        <v>5915321</v>
      </c>
      <c r="B5942" t="s">
        <v>12952</v>
      </c>
      <c r="C5942" t="s">
        <v>12946</v>
      </c>
      <c r="D5942" s="254">
        <v>0.61</v>
      </c>
      <c r="E5942"/>
      <c r="F5942"/>
      <c r="G5942"/>
      <c r="H5942"/>
      <c r="I5942" s="489"/>
      <c r="J5942" s="1095"/>
      <c r="K5942" s="1095"/>
      <c r="L5942" s="1095"/>
      <c r="M5942" s="1095"/>
    </row>
    <row r="5943" spans="1:13" x14ac:dyDescent="0.25">
      <c r="A5943">
        <v>5914314</v>
      </c>
      <c r="B5943" t="s">
        <v>12953</v>
      </c>
      <c r="C5943" t="s">
        <v>12946</v>
      </c>
      <c r="D5943" s="254">
        <v>1.39</v>
      </c>
      <c r="E5943"/>
      <c r="F5943"/>
      <c r="G5943"/>
      <c r="H5943"/>
      <c r="I5943" s="489"/>
      <c r="J5943" s="1095"/>
      <c r="K5943" s="1095"/>
      <c r="L5943" s="1095"/>
      <c r="M5943" s="1095"/>
    </row>
    <row r="5944" spans="1:13" x14ac:dyDescent="0.25">
      <c r="A5944">
        <v>5914329</v>
      </c>
      <c r="B5944" t="s">
        <v>12954</v>
      </c>
      <c r="C5944" t="s">
        <v>12946</v>
      </c>
      <c r="D5944" s="254">
        <v>1.1100000000000001</v>
      </c>
      <c r="E5944"/>
      <c r="F5944"/>
      <c r="G5944"/>
      <c r="H5944"/>
      <c r="I5944" s="489"/>
      <c r="J5944" s="1095"/>
      <c r="K5944" s="1095"/>
      <c r="L5944" s="1095"/>
      <c r="M5944" s="1095"/>
    </row>
    <row r="5945" spans="1:13" x14ac:dyDescent="0.25">
      <c r="A5945">
        <v>5914344</v>
      </c>
      <c r="B5945" t="s">
        <v>12955</v>
      </c>
      <c r="C5945" t="s">
        <v>12946</v>
      </c>
      <c r="D5945" s="254">
        <v>0.89</v>
      </c>
      <c r="E5945"/>
      <c r="F5945"/>
      <c r="G5945"/>
      <c r="H5945"/>
      <c r="I5945" s="489"/>
      <c r="J5945" s="1095"/>
      <c r="K5945" s="1095"/>
      <c r="L5945" s="1095"/>
      <c r="M5945" s="1095"/>
    </row>
    <row r="5946" spans="1:13" x14ac:dyDescent="0.25">
      <c r="A5946">
        <v>5914539</v>
      </c>
      <c r="B5946" t="s">
        <v>12956</v>
      </c>
      <c r="C5946" t="s">
        <v>12946</v>
      </c>
      <c r="D5946" s="254">
        <v>1.1000000000000001</v>
      </c>
      <c r="E5946"/>
      <c r="F5946"/>
      <c r="G5946"/>
      <c r="H5946"/>
      <c r="I5946" s="489"/>
      <c r="J5946" s="1095"/>
      <c r="K5946" s="1095"/>
      <c r="L5946" s="1095"/>
      <c r="M5946" s="1095"/>
    </row>
    <row r="5947" spans="1:13" x14ac:dyDescent="0.25">
      <c r="A5947">
        <v>5914554</v>
      </c>
      <c r="B5947" t="s">
        <v>12957</v>
      </c>
      <c r="C5947" t="s">
        <v>12946</v>
      </c>
      <c r="D5947" s="254">
        <v>0.88</v>
      </c>
      <c r="E5947"/>
      <c r="F5947"/>
      <c r="G5947"/>
      <c r="H5947"/>
      <c r="I5947" s="489"/>
      <c r="J5947" s="1095"/>
      <c r="K5947" s="1095"/>
      <c r="L5947" s="1095"/>
      <c r="M5947" s="1095"/>
    </row>
    <row r="5948" spans="1:13" x14ac:dyDescent="0.25">
      <c r="A5948">
        <v>5914569</v>
      </c>
      <c r="B5948" t="s">
        <v>12958</v>
      </c>
      <c r="C5948" t="s">
        <v>12946</v>
      </c>
      <c r="D5948" s="254">
        <v>0.7</v>
      </c>
      <c r="E5948"/>
      <c r="F5948"/>
      <c r="G5948"/>
      <c r="H5948"/>
      <c r="I5948" s="489"/>
      <c r="J5948" s="1095"/>
      <c r="K5948" s="1095"/>
      <c r="L5948" s="1095"/>
      <c r="M5948" s="1095"/>
    </row>
    <row r="5949" spans="1:13" x14ac:dyDescent="0.25">
      <c r="A5949">
        <v>5915012</v>
      </c>
      <c r="B5949" t="s">
        <v>12959</v>
      </c>
      <c r="C5949" t="s">
        <v>12946</v>
      </c>
      <c r="D5949" s="254">
        <v>2.4700000000000002</v>
      </c>
      <c r="E5949"/>
      <c r="F5949"/>
      <c r="G5949"/>
      <c r="H5949"/>
      <c r="I5949" s="489"/>
      <c r="J5949" s="1095"/>
      <c r="K5949" s="1095"/>
      <c r="L5949" s="1095"/>
      <c r="M5949" s="1095"/>
    </row>
    <row r="5950" spans="1:13" x14ac:dyDescent="0.25">
      <c r="A5950">
        <v>5915013</v>
      </c>
      <c r="B5950" t="s">
        <v>12960</v>
      </c>
      <c r="C5950" t="s">
        <v>12946</v>
      </c>
      <c r="D5950" s="254">
        <v>1.97</v>
      </c>
      <c r="E5950"/>
      <c r="F5950"/>
      <c r="G5950"/>
      <c r="H5950"/>
      <c r="I5950" s="489"/>
      <c r="J5950" s="1095"/>
      <c r="K5950" s="1095"/>
      <c r="L5950" s="1095"/>
      <c r="M5950" s="1095"/>
    </row>
    <row r="5951" spans="1:13" x14ac:dyDescent="0.25">
      <c r="A5951">
        <v>5915014</v>
      </c>
      <c r="B5951" t="s">
        <v>12961</v>
      </c>
      <c r="C5951" t="s">
        <v>12946</v>
      </c>
      <c r="D5951" s="254">
        <v>1.58</v>
      </c>
      <c r="E5951"/>
      <c r="F5951"/>
      <c r="G5951"/>
      <c r="H5951"/>
      <c r="I5951" s="489"/>
      <c r="J5951" s="1095"/>
      <c r="K5951" s="1095"/>
      <c r="L5951" s="1095"/>
      <c r="M5951" s="1095"/>
    </row>
    <row r="5952" spans="1:13" x14ac:dyDescent="0.25">
      <c r="A5952">
        <v>5914584</v>
      </c>
      <c r="B5952" t="s">
        <v>12962</v>
      </c>
      <c r="C5952" t="s">
        <v>12946</v>
      </c>
      <c r="D5952" s="254">
        <v>3</v>
      </c>
      <c r="E5952"/>
      <c r="F5952"/>
      <c r="G5952"/>
      <c r="H5952"/>
      <c r="I5952" s="489"/>
      <c r="J5952" s="1095"/>
      <c r="K5952" s="1095"/>
      <c r="L5952" s="1095"/>
      <c r="M5952" s="1095"/>
    </row>
    <row r="5953" spans="1:13" x14ac:dyDescent="0.25">
      <c r="A5953">
        <v>5914599</v>
      </c>
      <c r="B5953" t="s">
        <v>12963</v>
      </c>
      <c r="C5953" t="s">
        <v>12946</v>
      </c>
      <c r="D5953" s="254">
        <v>2.4</v>
      </c>
      <c r="E5953"/>
      <c r="F5953"/>
      <c r="G5953"/>
      <c r="H5953"/>
      <c r="I5953" s="489"/>
      <c r="J5953" s="1095"/>
      <c r="K5953" s="1095"/>
      <c r="L5953" s="1095"/>
      <c r="M5953" s="1095"/>
    </row>
    <row r="5954" spans="1:13" x14ac:dyDescent="0.25">
      <c r="A5954">
        <v>5914614</v>
      </c>
      <c r="B5954" t="s">
        <v>12964</v>
      </c>
      <c r="C5954" t="s">
        <v>12946</v>
      </c>
      <c r="D5954" s="254">
        <v>1.93</v>
      </c>
      <c r="E5954"/>
      <c r="F5954"/>
      <c r="G5954"/>
      <c r="H5954"/>
      <c r="I5954" s="489"/>
      <c r="J5954" s="1095"/>
      <c r="K5954" s="1095"/>
      <c r="L5954" s="1095"/>
      <c r="M5954" s="1095"/>
    </row>
    <row r="5955" spans="1:13" x14ac:dyDescent="0.25">
      <c r="A5955">
        <v>5914581</v>
      </c>
      <c r="B5955" t="s">
        <v>12965</v>
      </c>
      <c r="C5955" t="s">
        <v>12946</v>
      </c>
      <c r="D5955" s="254">
        <v>2.69</v>
      </c>
      <c r="E5955"/>
      <c r="F5955"/>
      <c r="G5955"/>
      <c r="H5955"/>
      <c r="I5955" s="489"/>
      <c r="J5955" s="1095"/>
      <c r="K5955" s="1095"/>
      <c r="L5955" s="1095"/>
      <c r="M5955" s="1095"/>
    </row>
    <row r="5956" spans="1:13" x14ac:dyDescent="0.25">
      <c r="A5956">
        <v>5914582</v>
      </c>
      <c r="B5956" t="s">
        <v>12966</v>
      </c>
      <c r="C5956" t="s">
        <v>12946</v>
      </c>
      <c r="D5956" s="254">
        <v>2.15</v>
      </c>
      <c r="E5956"/>
      <c r="F5956"/>
      <c r="G5956"/>
      <c r="H5956"/>
      <c r="I5956" s="489"/>
      <c r="J5956" s="1095"/>
      <c r="K5956" s="1095"/>
      <c r="L5956" s="1095"/>
      <c r="M5956" s="1095"/>
    </row>
    <row r="5957" spans="1:13" x14ac:dyDescent="0.25">
      <c r="A5957">
        <v>5914583</v>
      </c>
      <c r="B5957" t="s">
        <v>12967</v>
      </c>
      <c r="C5957" t="s">
        <v>12946</v>
      </c>
      <c r="D5957" s="254">
        <v>1.72</v>
      </c>
      <c r="E5957"/>
      <c r="F5957"/>
      <c r="G5957"/>
      <c r="H5957"/>
      <c r="I5957" s="489"/>
      <c r="J5957" s="1095"/>
      <c r="K5957" s="1095"/>
      <c r="L5957" s="1095"/>
      <c r="M5957" s="1095"/>
    </row>
    <row r="5958" spans="1:13" x14ac:dyDescent="0.25">
      <c r="A5958">
        <v>5914449</v>
      </c>
      <c r="B5958" t="s">
        <v>12968</v>
      </c>
      <c r="C5958" t="s">
        <v>12946</v>
      </c>
      <c r="D5958" s="254">
        <v>1.26</v>
      </c>
      <c r="E5958"/>
      <c r="F5958"/>
      <c r="G5958"/>
      <c r="H5958"/>
      <c r="I5958" s="489"/>
      <c r="J5958" s="1095"/>
      <c r="K5958" s="1095"/>
      <c r="L5958" s="1095"/>
      <c r="M5958" s="1095"/>
    </row>
    <row r="5959" spans="1:13" x14ac:dyDescent="0.25">
      <c r="A5959">
        <v>5914464</v>
      </c>
      <c r="B5959" t="s">
        <v>12969</v>
      </c>
      <c r="C5959" t="s">
        <v>12946</v>
      </c>
      <c r="D5959" s="254">
        <v>1.01</v>
      </c>
      <c r="E5959"/>
      <c r="F5959"/>
      <c r="G5959"/>
      <c r="H5959"/>
      <c r="I5959" s="489"/>
      <c r="J5959" s="1095"/>
      <c r="K5959" s="1095"/>
      <c r="L5959" s="1095"/>
      <c r="M5959" s="1095"/>
    </row>
    <row r="5960" spans="1:13" x14ac:dyDescent="0.25">
      <c r="A5960">
        <v>5914479</v>
      </c>
      <c r="B5960" t="s">
        <v>12970</v>
      </c>
      <c r="C5960" t="s">
        <v>12946</v>
      </c>
      <c r="D5960" s="254">
        <v>0.81</v>
      </c>
      <c r="E5960"/>
      <c r="F5960"/>
      <c r="G5960"/>
      <c r="H5960"/>
      <c r="I5960" s="489"/>
      <c r="J5960" s="1095"/>
      <c r="K5960" s="1095"/>
      <c r="L5960" s="1095"/>
      <c r="M5960" s="1095"/>
    </row>
    <row r="5961" spans="1:13" x14ac:dyDescent="0.25">
      <c r="A5961">
        <v>5915322</v>
      </c>
      <c r="B5961" t="s">
        <v>12971</v>
      </c>
      <c r="C5961" t="s">
        <v>12946</v>
      </c>
      <c r="D5961" s="254">
        <v>1.98</v>
      </c>
      <c r="E5961"/>
      <c r="F5961"/>
      <c r="G5961"/>
      <c r="H5961"/>
      <c r="I5961" s="489"/>
      <c r="J5961" s="1095"/>
      <c r="K5961" s="1095"/>
      <c r="L5961" s="1095"/>
      <c r="M5961" s="1095"/>
    </row>
    <row r="5962" spans="1:13" x14ac:dyDescent="0.25">
      <c r="A5962">
        <v>5915323</v>
      </c>
      <c r="B5962" t="s">
        <v>12972</v>
      </c>
      <c r="C5962" t="s">
        <v>12946</v>
      </c>
      <c r="D5962" s="254">
        <v>1.58</v>
      </c>
      <c r="E5962"/>
      <c r="F5962"/>
      <c r="G5962"/>
      <c r="H5962"/>
      <c r="I5962" s="489"/>
      <c r="J5962" s="1095"/>
      <c r="K5962" s="1095"/>
      <c r="L5962" s="1095"/>
      <c r="M5962" s="1095"/>
    </row>
    <row r="5963" spans="1:13" x14ac:dyDescent="0.25">
      <c r="A5963">
        <v>5915324</v>
      </c>
      <c r="B5963" t="s">
        <v>12973</v>
      </c>
      <c r="C5963" t="s">
        <v>12946</v>
      </c>
      <c r="D5963" s="254">
        <v>1.27</v>
      </c>
      <c r="E5963"/>
      <c r="F5963"/>
      <c r="G5963"/>
      <c r="H5963"/>
      <c r="I5963" s="489"/>
      <c r="J5963" s="1095"/>
      <c r="K5963" s="1095"/>
      <c r="L5963" s="1095"/>
      <c r="M5963" s="1095"/>
    </row>
    <row r="5964" spans="1:13" x14ac:dyDescent="0.25">
      <c r="A5964">
        <v>5914404</v>
      </c>
      <c r="B5964" t="s">
        <v>12974</v>
      </c>
      <c r="C5964" t="s">
        <v>12946</v>
      </c>
      <c r="D5964" s="254">
        <v>1.27</v>
      </c>
      <c r="E5964"/>
      <c r="F5964"/>
      <c r="G5964"/>
      <c r="H5964"/>
      <c r="I5964" s="489"/>
      <c r="J5964" s="1095"/>
      <c r="K5964" s="1095"/>
      <c r="L5964" s="1095"/>
      <c r="M5964" s="1095"/>
    </row>
    <row r="5965" spans="1:13" x14ac:dyDescent="0.25">
      <c r="A5965">
        <v>5914419</v>
      </c>
      <c r="B5965" t="s">
        <v>12975</v>
      </c>
      <c r="C5965" t="s">
        <v>12946</v>
      </c>
      <c r="D5965" s="254">
        <v>1.02</v>
      </c>
      <c r="E5965"/>
      <c r="F5965"/>
      <c r="G5965"/>
      <c r="H5965"/>
      <c r="I5965" s="489"/>
      <c r="J5965" s="1095"/>
      <c r="K5965" s="1095"/>
      <c r="L5965" s="1095"/>
      <c r="M5965" s="1095"/>
    </row>
    <row r="5966" spans="1:13" x14ac:dyDescent="0.25">
      <c r="A5966">
        <v>5914434</v>
      </c>
      <c r="B5966" t="s">
        <v>12976</v>
      </c>
      <c r="C5966" t="s">
        <v>12946</v>
      </c>
      <c r="D5966" s="254">
        <v>0.81</v>
      </c>
      <c r="E5966"/>
      <c r="F5966"/>
      <c r="G5966"/>
      <c r="H5966"/>
      <c r="I5966" s="489"/>
      <c r="J5966" s="1095"/>
      <c r="K5966" s="1095"/>
      <c r="L5966" s="1095"/>
      <c r="M5966" s="1095"/>
    </row>
    <row r="5967" spans="1:13" x14ac:dyDescent="0.25">
      <c r="A5967">
        <v>5914635</v>
      </c>
      <c r="B5967" t="s">
        <v>12977</v>
      </c>
      <c r="C5967" t="s">
        <v>12946</v>
      </c>
      <c r="D5967" s="254">
        <v>1.22</v>
      </c>
      <c r="E5967"/>
      <c r="F5967"/>
      <c r="G5967"/>
      <c r="H5967"/>
      <c r="I5967" s="489"/>
      <c r="J5967" s="1095"/>
      <c r="K5967" s="1095"/>
      <c r="L5967" s="1095"/>
      <c r="M5967" s="1095"/>
    </row>
    <row r="5968" spans="1:13" x14ac:dyDescent="0.25">
      <c r="A5968">
        <v>5914636</v>
      </c>
      <c r="B5968" t="s">
        <v>12978</v>
      </c>
      <c r="C5968" t="s">
        <v>12946</v>
      </c>
      <c r="D5968" s="254">
        <v>0.97</v>
      </c>
      <c r="E5968"/>
      <c r="F5968"/>
      <c r="G5968"/>
      <c r="H5968"/>
      <c r="I5968" s="489"/>
      <c r="J5968" s="1095"/>
      <c r="K5968" s="1095"/>
      <c r="L5968" s="1095"/>
      <c r="M5968" s="1095"/>
    </row>
    <row r="5969" spans="1:13" x14ac:dyDescent="0.25">
      <c r="A5969">
        <v>5914637</v>
      </c>
      <c r="B5969" t="s">
        <v>12979</v>
      </c>
      <c r="C5969" t="s">
        <v>12946</v>
      </c>
      <c r="D5969" s="254">
        <v>0.78</v>
      </c>
      <c r="E5969"/>
      <c r="F5969"/>
      <c r="G5969"/>
      <c r="H5969"/>
      <c r="I5969" s="489"/>
      <c r="J5969" s="1095"/>
      <c r="K5969" s="1095"/>
      <c r="L5969" s="1095"/>
      <c r="M5969" s="1095"/>
    </row>
    <row r="5970" spans="1:13" x14ac:dyDescent="0.25">
      <c r="A5970">
        <v>5914638</v>
      </c>
      <c r="B5970" t="s">
        <v>12980</v>
      </c>
      <c r="C5970" t="s">
        <v>12946</v>
      </c>
      <c r="D5970" s="254">
        <v>0.98</v>
      </c>
      <c r="E5970"/>
      <c r="F5970"/>
      <c r="G5970"/>
      <c r="H5970"/>
      <c r="I5970" s="489"/>
      <c r="J5970" s="1095"/>
      <c r="K5970" s="1095"/>
      <c r="L5970" s="1095"/>
      <c r="M5970" s="1095"/>
    </row>
    <row r="5971" spans="1:13" x14ac:dyDescent="0.25">
      <c r="A5971">
        <v>5914639</v>
      </c>
      <c r="B5971" t="s">
        <v>12981</v>
      </c>
      <c r="C5971" t="s">
        <v>12946</v>
      </c>
      <c r="D5971" s="254">
        <v>0.79</v>
      </c>
      <c r="E5971"/>
      <c r="F5971"/>
      <c r="G5971"/>
      <c r="H5971"/>
      <c r="I5971" s="489"/>
      <c r="J5971" s="1095"/>
      <c r="K5971" s="1095"/>
      <c r="L5971" s="1095"/>
      <c r="M5971" s="1095"/>
    </row>
    <row r="5972" spans="1:13" x14ac:dyDescent="0.25">
      <c r="A5972">
        <v>5914640</v>
      </c>
      <c r="B5972" t="s">
        <v>12982</v>
      </c>
      <c r="C5972" t="s">
        <v>12946</v>
      </c>
      <c r="D5972" s="254">
        <v>0.63</v>
      </c>
      <c r="E5972"/>
      <c r="F5972"/>
      <c r="G5972"/>
      <c r="H5972"/>
      <c r="I5972" s="489"/>
      <c r="J5972" s="1095"/>
      <c r="K5972" s="1095"/>
      <c r="L5972" s="1095"/>
      <c r="M5972" s="1095"/>
    </row>
    <row r="5973" spans="1:13" x14ac:dyDescent="0.25">
      <c r="A5973">
        <v>5915466</v>
      </c>
      <c r="B5973" t="s">
        <v>12983</v>
      </c>
      <c r="C5973" t="s">
        <v>12946</v>
      </c>
      <c r="D5973" s="254">
        <v>2.35</v>
      </c>
      <c r="E5973"/>
      <c r="F5973"/>
      <c r="G5973"/>
      <c r="H5973"/>
      <c r="I5973" s="489"/>
      <c r="J5973" s="1095"/>
      <c r="K5973" s="1095"/>
      <c r="L5973" s="1095"/>
      <c r="M5973" s="1095"/>
    </row>
    <row r="5974" spans="1:13" x14ac:dyDescent="0.25">
      <c r="A5974">
        <v>5915467</v>
      </c>
      <c r="B5974" t="s">
        <v>12984</v>
      </c>
      <c r="C5974" t="s">
        <v>12946</v>
      </c>
      <c r="D5974" s="254">
        <v>1.88</v>
      </c>
      <c r="E5974"/>
      <c r="F5974"/>
      <c r="G5974"/>
      <c r="H5974"/>
      <c r="I5974" s="489"/>
      <c r="J5974" s="1095"/>
      <c r="K5974" s="1095"/>
      <c r="L5974" s="1095"/>
      <c r="M5974" s="1095"/>
    </row>
    <row r="5975" spans="1:13" x14ac:dyDescent="0.25">
      <c r="A5975">
        <v>5915468</v>
      </c>
      <c r="B5975" t="s">
        <v>12985</v>
      </c>
      <c r="C5975" t="s">
        <v>12946</v>
      </c>
      <c r="D5975" s="254">
        <v>1.51</v>
      </c>
      <c r="E5975"/>
      <c r="F5975"/>
      <c r="G5975"/>
      <c r="H5975"/>
      <c r="I5975" s="489"/>
      <c r="J5975" s="1095"/>
      <c r="K5975" s="1095"/>
      <c r="L5975" s="1095"/>
      <c r="M5975" s="1095"/>
    </row>
    <row r="5976" spans="1:13" x14ac:dyDescent="0.25">
      <c r="A5976">
        <v>5914617</v>
      </c>
      <c r="B5976" t="s">
        <v>12986</v>
      </c>
      <c r="C5976" t="s">
        <v>12946</v>
      </c>
      <c r="D5976" s="254">
        <v>1.82</v>
      </c>
      <c r="E5976"/>
      <c r="F5976"/>
      <c r="G5976"/>
      <c r="H5976"/>
      <c r="I5976" s="489"/>
      <c r="J5976" s="1095"/>
      <c r="K5976" s="1095"/>
      <c r="L5976" s="1095"/>
      <c r="M5976" s="1095"/>
    </row>
    <row r="5977" spans="1:13" x14ac:dyDescent="0.25">
      <c r="A5977">
        <v>5914618</v>
      </c>
      <c r="B5977" t="s">
        <v>12987</v>
      </c>
      <c r="C5977" t="s">
        <v>12946</v>
      </c>
      <c r="D5977" s="254">
        <v>1.46</v>
      </c>
      <c r="E5977"/>
      <c r="F5977"/>
      <c r="G5977"/>
      <c r="H5977"/>
      <c r="I5977" s="489"/>
      <c r="J5977" s="1095"/>
      <c r="K5977" s="1095"/>
      <c r="L5977" s="1095"/>
      <c r="M5977" s="1095"/>
    </row>
    <row r="5978" spans="1:13" x14ac:dyDescent="0.25">
      <c r="A5978">
        <v>5914619</v>
      </c>
      <c r="B5978" t="s">
        <v>12988</v>
      </c>
      <c r="C5978" t="s">
        <v>12946</v>
      </c>
      <c r="D5978" s="254">
        <v>1.17</v>
      </c>
      <c r="E5978"/>
      <c r="F5978"/>
      <c r="G5978"/>
      <c r="H5978"/>
      <c r="I5978" s="489"/>
      <c r="J5978" s="1095"/>
      <c r="K5978" s="1095"/>
      <c r="L5978" s="1095"/>
      <c r="M5978" s="1095"/>
    </row>
    <row r="5979" spans="1:13" x14ac:dyDescent="0.25">
      <c r="A5979">
        <v>5915451</v>
      </c>
      <c r="B5979" t="s">
        <v>12989</v>
      </c>
      <c r="C5979" t="s">
        <v>12946</v>
      </c>
      <c r="D5979" s="254">
        <v>2.98</v>
      </c>
      <c r="E5979"/>
      <c r="F5979"/>
      <c r="G5979"/>
      <c r="H5979"/>
      <c r="I5979" s="489"/>
      <c r="J5979" s="1095"/>
      <c r="K5979" s="1095"/>
      <c r="L5979" s="1095"/>
      <c r="M5979" s="1095"/>
    </row>
    <row r="5980" spans="1:13" x14ac:dyDescent="0.25">
      <c r="A5980">
        <v>5915452</v>
      </c>
      <c r="B5980" t="s">
        <v>12990</v>
      </c>
      <c r="C5980" t="s">
        <v>12946</v>
      </c>
      <c r="D5980" s="254">
        <v>2.39</v>
      </c>
      <c r="E5980"/>
      <c r="F5980"/>
      <c r="G5980"/>
      <c r="H5980"/>
      <c r="I5980" s="489"/>
      <c r="J5980" s="1095"/>
      <c r="K5980" s="1095"/>
      <c r="L5980" s="1095"/>
      <c r="M5980" s="1095"/>
    </row>
    <row r="5981" spans="1:13" x14ac:dyDescent="0.25">
      <c r="A5981">
        <v>5915453</v>
      </c>
      <c r="B5981" t="s">
        <v>12991</v>
      </c>
      <c r="C5981" t="s">
        <v>12946</v>
      </c>
      <c r="D5981" s="254">
        <v>1.91</v>
      </c>
      <c r="E5981"/>
      <c r="F5981"/>
      <c r="G5981"/>
      <c r="H5981"/>
      <c r="I5981" s="489"/>
      <c r="J5981" s="1095"/>
      <c r="K5981" s="1095"/>
      <c r="L5981" s="1095"/>
      <c r="M5981" s="1095"/>
    </row>
    <row r="5982" spans="1:13" x14ac:dyDescent="0.25">
      <c r="A5982">
        <v>5915448</v>
      </c>
      <c r="B5982" t="s">
        <v>12992</v>
      </c>
      <c r="C5982" t="s">
        <v>12946</v>
      </c>
      <c r="D5982" s="254">
        <v>2.29</v>
      </c>
      <c r="E5982"/>
      <c r="F5982"/>
      <c r="G5982"/>
      <c r="H5982"/>
      <c r="I5982" s="489"/>
      <c r="J5982" s="1095"/>
      <c r="K5982" s="1095"/>
      <c r="L5982" s="1095"/>
      <c r="M5982" s="1095"/>
    </row>
    <row r="5983" spans="1:13" x14ac:dyDescent="0.25">
      <c r="A5983">
        <v>5915449</v>
      </c>
      <c r="B5983" t="s">
        <v>12993</v>
      </c>
      <c r="C5983" t="s">
        <v>12946</v>
      </c>
      <c r="D5983" s="254">
        <v>1.83</v>
      </c>
      <c r="E5983"/>
      <c r="F5983"/>
      <c r="G5983"/>
      <c r="H5983"/>
      <c r="I5983" s="489"/>
      <c r="J5983" s="1095"/>
      <c r="K5983" s="1095"/>
      <c r="L5983" s="1095"/>
      <c r="M5983" s="1095"/>
    </row>
    <row r="5984" spans="1:13" x14ac:dyDescent="0.25">
      <c r="A5984">
        <v>5915450</v>
      </c>
      <c r="B5984" t="s">
        <v>12994</v>
      </c>
      <c r="C5984" t="s">
        <v>12946</v>
      </c>
      <c r="D5984" s="254">
        <v>1.47</v>
      </c>
      <c r="E5984"/>
      <c r="F5984"/>
      <c r="G5984"/>
      <c r="H5984"/>
      <c r="I5984" s="489"/>
      <c r="J5984" s="1095"/>
      <c r="K5984" s="1095"/>
      <c r="L5984" s="1095"/>
      <c r="M5984" s="1095"/>
    </row>
    <row r="5985" spans="1:13" x14ac:dyDescent="0.25">
      <c r="A5985">
        <v>5901641</v>
      </c>
      <c r="B5985" t="s">
        <v>12995</v>
      </c>
      <c r="C5985" t="s">
        <v>12996</v>
      </c>
      <c r="D5985" s="254">
        <v>0.79</v>
      </c>
      <c r="E5985"/>
      <c r="F5985"/>
      <c r="G5985"/>
      <c r="H5985"/>
      <c r="I5985" s="489"/>
      <c r="J5985" s="1095"/>
      <c r="K5985" s="1095"/>
      <c r="L5985" s="1095"/>
      <c r="M5985" s="1095"/>
    </row>
    <row r="5986" spans="1:13" x14ac:dyDescent="0.25">
      <c r="A5986">
        <v>5901642</v>
      </c>
      <c r="B5986" t="s">
        <v>12997</v>
      </c>
      <c r="C5986" t="s">
        <v>12996</v>
      </c>
      <c r="D5986" s="254">
        <v>0.28999999999999998</v>
      </c>
      <c r="E5986"/>
      <c r="F5986"/>
      <c r="G5986"/>
      <c r="H5986"/>
      <c r="I5986" s="489"/>
      <c r="J5986" s="1095"/>
      <c r="K5986" s="1095"/>
      <c r="L5986" s="1095"/>
      <c r="M5986" s="1095"/>
    </row>
    <row r="5987" spans="1:13" x14ac:dyDescent="0.25">
      <c r="A5987">
        <v>5901643</v>
      </c>
      <c r="B5987" t="s">
        <v>12998</v>
      </c>
      <c r="C5987" t="s">
        <v>12996</v>
      </c>
      <c r="D5987" s="254">
        <v>0.28000000000000003</v>
      </c>
      <c r="E5987"/>
      <c r="F5987"/>
      <c r="G5987"/>
      <c r="H5987"/>
      <c r="I5987" s="489"/>
      <c r="J5987" s="1095"/>
      <c r="K5987" s="1095"/>
      <c r="L5987" s="1095"/>
      <c r="M5987" s="1095"/>
    </row>
    <row r="5988" spans="1:13" x14ac:dyDescent="0.25">
      <c r="A5988">
        <v>5901644</v>
      </c>
      <c r="B5988" t="s">
        <v>12999</v>
      </c>
      <c r="C5988" t="s">
        <v>12996</v>
      </c>
      <c r="D5988" s="254">
        <v>0.67</v>
      </c>
      <c r="E5988"/>
      <c r="F5988"/>
      <c r="G5988"/>
      <c r="H5988"/>
      <c r="I5988" s="489"/>
      <c r="J5988" s="1095"/>
      <c r="K5988" s="1095"/>
      <c r="L5988" s="1095"/>
      <c r="M5988" s="1095"/>
    </row>
    <row r="5989" spans="1:13" x14ac:dyDescent="0.25">
      <c r="A5989">
        <v>5901645</v>
      </c>
      <c r="B5989" t="s">
        <v>13000</v>
      </c>
      <c r="C5989" t="s">
        <v>12996</v>
      </c>
      <c r="D5989" s="254">
        <v>0.27</v>
      </c>
      <c r="E5989"/>
      <c r="F5989"/>
      <c r="G5989"/>
      <c r="H5989"/>
      <c r="I5989" s="489"/>
      <c r="J5989" s="1095"/>
      <c r="K5989" s="1095"/>
      <c r="L5989" s="1095"/>
      <c r="M5989" s="1095"/>
    </row>
    <row r="5990" spans="1:13" x14ac:dyDescent="0.25">
      <c r="A5990">
        <v>5901646</v>
      </c>
      <c r="B5990" t="s">
        <v>13001</v>
      </c>
      <c r="C5990" t="s">
        <v>12996</v>
      </c>
      <c r="D5990" s="254">
        <v>0.56000000000000005</v>
      </c>
      <c r="E5990"/>
      <c r="F5990"/>
      <c r="G5990"/>
      <c r="H5990"/>
      <c r="I5990" s="489"/>
      <c r="J5990" s="1095"/>
      <c r="K5990" s="1095"/>
      <c r="L5990" s="1095"/>
      <c r="M5990" s="1095"/>
    </row>
    <row r="5991" spans="1:13" x14ac:dyDescent="0.25">
      <c r="A5991">
        <v>5901647</v>
      </c>
      <c r="B5991" t="s">
        <v>13002</v>
      </c>
      <c r="C5991" t="s">
        <v>12996</v>
      </c>
      <c r="D5991" s="254">
        <v>0.47</v>
      </c>
      <c r="E5991"/>
      <c r="F5991"/>
      <c r="G5991"/>
      <c r="H5991"/>
      <c r="I5991" s="489"/>
      <c r="J5991" s="1095"/>
      <c r="K5991" s="1095"/>
      <c r="L5991" s="1095"/>
      <c r="M5991" s="1095"/>
    </row>
    <row r="5992" spans="1:13" x14ac:dyDescent="0.25">
      <c r="A5992">
        <v>5901648</v>
      </c>
      <c r="B5992" t="s">
        <v>13003</v>
      </c>
      <c r="C5992" t="s">
        <v>12996</v>
      </c>
      <c r="D5992" s="254">
        <v>0.42</v>
      </c>
      <c r="E5992"/>
      <c r="F5992"/>
      <c r="G5992"/>
      <c r="H5992"/>
      <c r="I5992" s="489"/>
      <c r="J5992" s="1095"/>
      <c r="K5992" s="1095"/>
      <c r="L5992" s="1095"/>
      <c r="M5992" s="1095"/>
    </row>
    <row r="5993" spans="1:13" x14ac:dyDescent="0.25">
      <c r="A5993">
        <v>5901649</v>
      </c>
      <c r="B5993" t="s">
        <v>13004</v>
      </c>
      <c r="C5993" t="s">
        <v>12996</v>
      </c>
      <c r="D5993" s="254">
        <v>1.06</v>
      </c>
      <c r="E5993"/>
      <c r="F5993"/>
      <c r="G5993"/>
      <c r="H5993"/>
      <c r="I5993" s="489"/>
      <c r="J5993" s="1095"/>
      <c r="K5993" s="1095"/>
      <c r="L5993" s="1095"/>
      <c r="M5993" s="1095"/>
    </row>
    <row r="5994" spans="1:13" x14ac:dyDescent="0.25">
      <c r="A5994">
        <v>5901650</v>
      </c>
      <c r="B5994" t="s">
        <v>13005</v>
      </c>
      <c r="C5994" t="s">
        <v>12996</v>
      </c>
      <c r="D5994" s="254">
        <v>0.77</v>
      </c>
      <c r="E5994"/>
      <c r="F5994"/>
      <c r="G5994"/>
      <c r="H5994"/>
      <c r="I5994" s="489"/>
      <c r="J5994" s="1095"/>
      <c r="K5994" s="1095"/>
      <c r="L5994" s="1095"/>
      <c r="M5994" s="1095"/>
    </row>
    <row r="5995" spans="1:13" x14ac:dyDescent="0.25">
      <c r="A5995">
        <v>5901651</v>
      </c>
      <c r="B5995" t="s">
        <v>13006</v>
      </c>
      <c r="C5995" t="s">
        <v>12996</v>
      </c>
      <c r="D5995" s="254">
        <v>0.28000000000000003</v>
      </c>
      <c r="E5995"/>
      <c r="F5995"/>
      <c r="G5995"/>
      <c r="H5995"/>
      <c r="I5995" s="489"/>
      <c r="J5995" s="1095"/>
      <c r="K5995" s="1095"/>
      <c r="L5995" s="1095"/>
      <c r="M5995" s="1095"/>
    </row>
    <row r="5996" spans="1:13" x14ac:dyDescent="0.25">
      <c r="A5996">
        <v>5901652</v>
      </c>
      <c r="B5996" t="s">
        <v>13007</v>
      </c>
      <c r="C5996" t="s">
        <v>12996</v>
      </c>
      <c r="D5996" s="254">
        <v>0.27</v>
      </c>
      <c r="E5996"/>
      <c r="F5996"/>
      <c r="G5996"/>
      <c r="H5996"/>
      <c r="I5996" s="489"/>
      <c r="J5996" s="1095"/>
      <c r="K5996" s="1095"/>
      <c r="L5996" s="1095"/>
      <c r="M5996" s="1095"/>
    </row>
    <row r="5997" spans="1:13" x14ac:dyDescent="0.25">
      <c r="A5997">
        <v>5901653</v>
      </c>
      <c r="B5997" t="s">
        <v>13008</v>
      </c>
      <c r="C5997" t="s">
        <v>12996</v>
      </c>
      <c r="D5997" s="254">
        <v>0.66</v>
      </c>
      <c r="E5997"/>
      <c r="F5997"/>
      <c r="G5997"/>
      <c r="H5997"/>
      <c r="I5997" s="489"/>
      <c r="J5997" s="1095"/>
      <c r="K5997" s="1095"/>
      <c r="L5997" s="1095"/>
      <c r="M5997" s="1095"/>
    </row>
    <row r="5998" spans="1:13" x14ac:dyDescent="0.25">
      <c r="A5998">
        <v>5901654</v>
      </c>
      <c r="B5998" t="s">
        <v>13009</v>
      </c>
      <c r="C5998" t="s">
        <v>12996</v>
      </c>
      <c r="D5998" s="254">
        <v>0.27</v>
      </c>
      <c r="E5998"/>
      <c r="F5998"/>
      <c r="G5998"/>
      <c r="H5998"/>
      <c r="I5998" s="489"/>
      <c r="J5998" s="1095"/>
      <c r="K5998" s="1095"/>
      <c r="L5998" s="1095"/>
      <c r="M5998" s="1095"/>
    </row>
    <row r="5999" spans="1:13" x14ac:dyDescent="0.25">
      <c r="A5999">
        <v>5901655</v>
      </c>
      <c r="B5999" t="s">
        <v>13010</v>
      </c>
      <c r="C5999" t="s">
        <v>12996</v>
      </c>
      <c r="D5999" s="254">
        <v>0.54</v>
      </c>
      <c r="E5999"/>
      <c r="F5999"/>
      <c r="G5999"/>
      <c r="H5999"/>
      <c r="I5999" s="489"/>
      <c r="J5999" s="1095"/>
      <c r="K5999" s="1095"/>
      <c r="L5999" s="1095"/>
      <c r="M5999" s="1095"/>
    </row>
    <row r="6000" spans="1:13" x14ac:dyDescent="0.25">
      <c r="A6000">
        <v>5901656</v>
      </c>
      <c r="B6000" t="s">
        <v>13011</v>
      </c>
      <c r="C6000" t="s">
        <v>12996</v>
      </c>
      <c r="D6000" s="254">
        <v>0.45</v>
      </c>
      <c r="E6000"/>
      <c r="F6000"/>
      <c r="G6000"/>
      <c r="H6000"/>
      <c r="I6000" s="489"/>
      <c r="J6000" s="1095"/>
      <c r="K6000" s="1095"/>
      <c r="L6000" s="1095"/>
      <c r="M6000" s="1095"/>
    </row>
    <row r="6001" spans="1:13" x14ac:dyDescent="0.25">
      <c r="A6001">
        <v>5901657</v>
      </c>
      <c r="B6001" t="s">
        <v>13012</v>
      </c>
      <c r="C6001" t="s">
        <v>12996</v>
      </c>
      <c r="D6001" s="254">
        <v>0.41</v>
      </c>
      <c r="E6001"/>
      <c r="F6001"/>
      <c r="G6001"/>
      <c r="H6001"/>
      <c r="I6001" s="489"/>
      <c r="J6001" s="1095"/>
      <c r="K6001" s="1095"/>
      <c r="L6001" s="1095"/>
      <c r="M6001" s="1095"/>
    </row>
    <row r="6002" spans="1:13" x14ac:dyDescent="0.25">
      <c r="A6002">
        <v>5901658</v>
      </c>
      <c r="B6002" t="s">
        <v>13013</v>
      </c>
      <c r="C6002" t="s">
        <v>12996</v>
      </c>
      <c r="D6002" s="254">
        <v>1.03</v>
      </c>
      <c r="E6002"/>
      <c r="F6002"/>
      <c r="G6002"/>
      <c r="H6002"/>
      <c r="I6002" s="489"/>
      <c r="J6002" s="1095"/>
      <c r="K6002" s="1095"/>
      <c r="L6002" s="1095"/>
      <c r="M6002" s="1095"/>
    </row>
    <row r="6003" spans="1:13" x14ac:dyDescent="0.25">
      <c r="A6003">
        <v>5901659</v>
      </c>
      <c r="B6003" t="s">
        <v>13014</v>
      </c>
      <c r="C6003" t="s">
        <v>12996</v>
      </c>
      <c r="D6003" s="254">
        <v>0.78</v>
      </c>
      <c r="E6003"/>
      <c r="F6003"/>
      <c r="G6003"/>
      <c r="H6003"/>
      <c r="I6003" s="489"/>
      <c r="J6003" s="1095"/>
      <c r="K6003" s="1095"/>
      <c r="L6003" s="1095"/>
      <c r="M6003" s="1095"/>
    </row>
    <row r="6004" spans="1:13" x14ac:dyDescent="0.25">
      <c r="A6004">
        <v>5901660</v>
      </c>
      <c r="B6004" t="s">
        <v>13015</v>
      </c>
      <c r="C6004" t="s">
        <v>12996</v>
      </c>
      <c r="D6004" s="254">
        <v>0.28000000000000003</v>
      </c>
      <c r="E6004"/>
      <c r="F6004"/>
      <c r="G6004"/>
      <c r="H6004"/>
      <c r="I6004" s="489"/>
      <c r="J6004" s="1095"/>
      <c r="K6004" s="1095"/>
      <c r="L6004" s="1095"/>
      <c r="M6004" s="1095"/>
    </row>
    <row r="6005" spans="1:13" x14ac:dyDescent="0.25">
      <c r="A6005">
        <v>5901661</v>
      </c>
      <c r="B6005" t="s">
        <v>13016</v>
      </c>
      <c r="C6005" t="s">
        <v>12996</v>
      </c>
      <c r="D6005" s="254">
        <v>0.27</v>
      </c>
      <c r="E6005"/>
      <c r="F6005"/>
      <c r="G6005"/>
      <c r="H6005"/>
      <c r="I6005" s="489"/>
      <c r="J6005" s="1095"/>
      <c r="K6005" s="1095"/>
      <c r="L6005" s="1095"/>
      <c r="M6005" s="1095"/>
    </row>
    <row r="6006" spans="1:13" x14ac:dyDescent="0.25">
      <c r="A6006">
        <v>5901662</v>
      </c>
      <c r="B6006" t="s">
        <v>13017</v>
      </c>
      <c r="C6006" t="s">
        <v>12996</v>
      </c>
      <c r="D6006" s="254">
        <v>0.66</v>
      </c>
      <c r="E6006"/>
      <c r="F6006"/>
      <c r="G6006"/>
      <c r="H6006"/>
      <c r="I6006" s="489"/>
      <c r="J6006" s="1095"/>
      <c r="K6006" s="1095"/>
      <c r="L6006" s="1095"/>
      <c r="M6006" s="1095"/>
    </row>
    <row r="6007" spans="1:13" x14ac:dyDescent="0.25">
      <c r="A6007">
        <v>5901663</v>
      </c>
      <c r="B6007" t="s">
        <v>13018</v>
      </c>
      <c r="C6007" t="s">
        <v>12996</v>
      </c>
      <c r="D6007" s="254">
        <v>0.27</v>
      </c>
      <c r="E6007"/>
      <c r="F6007"/>
      <c r="G6007"/>
      <c r="H6007"/>
      <c r="I6007" s="489"/>
      <c r="J6007" s="1095"/>
      <c r="K6007" s="1095"/>
      <c r="L6007" s="1095"/>
      <c r="M6007" s="1095"/>
    </row>
    <row r="6008" spans="1:13" x14ac:dyDescent="0.25">
      <c r="A6008">
        <v>5901664</v>
      </c>
      <c r="B6008" t="s">
        <v>13019</v>
      </c>
      <c r="C6008" t="s">
        <v>12996</v>
      </c>
      <c r="D6008" s="254">
        <v>0.55000000000000004</v>
      </c>
      <c r="E6008"/>
      <c r="F6008"/>
      <c r="G6008"/>
      <c r="H6008"/>
      <c r="I6008" s="489"/>
      <c r="J6008" s="1095"/>
      <c r="K6008" s="1095"/>
      <c r="L6008" s="1095"/>
      <c r="M6008" s="1095"/>
    </row>
    <row r="6009" spans="1:13" x14ac:dyDescent="0.25">
      <c r="A6009">
        <v>5901665</v>
      </c>
      <c r="B6009" t="s">
        <v>13020</v>
      </c>
      <c r="C6009" t="s">
        <v>12996</v>
      </c>
      <c r="D6009" s="254">
        <v>0.46</v>
      </c>
      <c r="E6009"/>
      <c r="F6009"/>
      <c r="G6009"/>
      <c r="H6009"/>
      <c r="I6009" s="489"/>
      <c r="J6009" s="1095"/>
      <c r="K6009" s="1095"/>
      <c r="L6009" s="1095"/>
      <c r="M6009" s="1095"/>
    </row>
    <row r="6010" spans="1:13" x14ac:dyDescent="0.25">
      <c r="A6010">
        <v>5901666</v>
      </c>
      <c r="B6010" t="s">
        <v>13021</v>
      </c>
      <c r="C6010" t="s">
        <v>12996</v>
      </c>
      <c r="D6010" s="254">
        <v>0.41</v>
      </c>
      <c r="E6010"/>
      <c r="F6010"/>
      <c r="G6010"/>
      <c r="H6010"/>
      <c r="I6010" s="489"/>
      <c r="J6010" s="1095"/>
      <c r="K6010" s="1095"/>
      <c r="L6010" s="1095"/>
      <c r="M6010" s="1095"/>
    </row>
    <row r="6011" spans="1:13" x14ac:dyDescent="0.25">
      <c r="A6011">
        <v>5901667</v>
      </c>
      <c r="B6011" t="s">
        <v>13022</v>
      </c>
      <c r="C6011" t="s">
        <v>12996</v>
      </c>
      <c r="D6011" s="254">
        <v>1.04</v>
      </c>
      <c r="E6011"/>
      <c r="F6011"/>
      <c r="G6011"/>
      <c r="H6011"/>
      <c r="I6011" s="489"/>
      <c r="J6011" s="1095"/>
      <c r="K6011" s="1095"/>
      <c r="L6011" s="1095"/>
      <c r="M6011" s="1095"/>
    </row>
    <row r="6012" spans="1:13" x14ac:dyDescent="0.25">
      <c r="A6012">
        <v>5914511</v>
      </c>
      <c r="B6012" t="s">
        <v>13023</v>
      </c>
      <c r="C6012" t="s">
        <v>12946</v>
      </c>
      <c r="D6012" s="254">
        <v>0.31</v>
      </c>
      <c r="E6012"/>
      <c r="F6012"/>
      <c r="G6012"/>
      <c r="H6012"/>
      <c r="I6012" s="489"/>
      <c r="J6012" s="1095"/>
      <c r="K6012" s="1095"/>
      <c r="L6012" s="1095"/>
      <c r="M6012" s="1095"/>
    </row>
    <row r="6013" spans="1:13" x14ac:dyDescent="0.25">
      <c r="A6013">
        <v>5914510</v>
      </c>
      <c r="B6013" t="s">
        <v>13024</v>
      </c>
      <c r="C6013" t="s">
        <v>12946</v>
      </c>
      <c r="D6013" s="254">
        <v>0.27</v>
      </c>
      <c r="E6013"/>
      <c r="F6013"/>
      <c r="G6013"/>
      <c r="H6013"/>
      <c r="I6013" s="489"/>
      <c r="J6013" s="1095"/>
      <c r="K6013" s="1095"/>
      <c r="L6013" s="1095"/>
      <c r="M6013" s="1095"/>
    </row>
    <row r="6014" spans="1:13" x14ac:dyDescent="0.25">
      <c r="A6014">
        <v>5906597</v>
      </c>
      <c r="B6014" t="s">
        <v>13025</v>
      </c>
      <c r="C6014" t="s">
        <v>13026</v>
      </c>
      <c r="D6014" s="254">
        <v>14.42</v>
      </c>
      <c r="E6014"/>
      <c r="F6014"/>
      <c r="G6014"/>
      <c r="H6014"/>
      <c r="I6014" s="489"/>
      <c r="J6014" s="1095"/>
      <c r="K6014" s="1095"/>
      <c r="L6014" s="1095"/>
      <c r="M6014" s="1095"/>
    </row>
    <row r="6015" spans="1:13" x14ac:dyDescent="0.25">
      <c r="A6015">
        <v>5906598</v>
      </c>
      <c r="B6015" t="s">
        <v>13027</v>
      </c>
      <c r="C6015" t="s">
        <v>13026</v>
      </c>
      <c r="D6015" s="254">
        <v>11.54</v>
      </c>
      <c r="E6015"/>
      <c r="F6015"/>
      <c r="G6015"/>
      <c r="H6015"/>
      <c r="I6015" s="489"/>
      <c r="J6015" s="1095"/>
      <c r="K6015" s="1095"/>
      <c r="L6015" s="1095"/>
      <c r="M6015" s="1095"/>
    </row>
    <row r="6016" spans="1:13" x14ac:dyDescent="0.25">
      <c r="A6016">
        <v>5906599</v>
      </c>
      <c r="B6016" t="s">
        <v>13028</v>
      </c>
      <c r="C6016" t="s">
        <v>13026</v>
      </c>
      <c r="D6016" s="254">
        <v>9.25</v>
      </c>
      <c r="E6016"/>
      <c r="F6016"/>
      <c r="G6016"/>
      <c r="H6016"/>
      <c r="I6016" s="489"/>
      <c r="J6016" s="1095"/>
      <c r="K6016" s="1095"/>
      <c r="L6016" s="1095"/>
      <c r="M6016" s="1095"/>
    </row>
    <row r="6017" spans="1:13" x14ac:dyDescent="0.25">
      <c r="A6017">
        <v>5906594</v>
      </c>
      <c r="B6017" t="s">
        <v>13029</v>
      </c>
      <c r="C6017" t="s">
        <v>13026</v>
      </c>
      <c r="D6017" s="254">
        <v>9.61</v>
      </c>
      <c r="E6017"/>
      <c r="F6017"/>
      <c r="G6017"/>
      <c r="H6017"/>
      <c r="I6017" s="489"/>
      <c r="J6017" s="1095"/>
      <c r="K6017" s="1095"/>
      <c r="L6017" s="1095"/>
      <c r="M6017" s="1095"/>
    </row>
    <row r="6018" spans="1:13" x14ac:dyDescent="0.25">
      <c r="A6018">
        <v>5906595</v>
      </c>
      <c r="B6018" t="s">
        <v>13030</v>
      </c>
      <c r="C6018" t="s">
        <v>13026</v>
      </c>
      <c r="D6018" s="254">
        <v>7.69</v>
      </c>
      <c r="E6018"/>
      <c r="F6018"/>
      <c r="G6018"/>
      <c r="H6018"/>
      <c r="I6018" s="489"/>
      <c r="J6018" s="1095"/>
      <c r="K6018" s="1095"/>
      <c r="L6018" s="1095"/>
      <c r="M6018" s="1095"/>
    </row>
    <row r="6019" spans="1:13" x14ac:dyDescent="0.25">
      <c r="A6019">
        <v>5906596</v>
      </c>
      <c r="B6019" t="s">
        <v>13031</v>
      </c>
      <c r="C6019" t="s">
        <v>13026</v>
      </c>
      <c r="D6019" s="254">
        <v>6.17</v>
      </c>
      <c r="E6019"/>
      <c r="F6019"/>
      <c r="G6019"/>
      <c r="H6019"/>
      <c r="I6019" s="489"/>
      <c r="J6019" s="1095"/>
      <c r="K6019" s="1095"/>
      <c r="L6019" s="1095"/>
      <c r="M6019" s="1095"/>
    </row>
    <row r="6020" spans="1:13" x14ac:dyDescent="0.25">
      <c r="A6020">
        <v>5901668</v>
      </c>
      <c r="B6020" t="s">
        <v>13032</v>
      </c>
      <c r="C6020" t="s">
        <v>12996</v>
      </c>
      <c r="D6020" s="254">
        <v>0.8</v>
      </c>
      <c r="E6020"/>
      <c r="F6020"/>
      <c r="G6020"/>
      <c r="H6020"/>
      <c r="I6020" s="489"/>
      <c r="J6020" s="1095"/>
      <c r="K6020" s="1095"/>
      <c r="L6020" s="1095"/>
      <c r="M6020" s="1095"/>
    </row>
    <row r="6021" spans="1:13" x14ac:dyDescent="0.25">
      <c r="A6021">
        <v>5901669</v>
      </c>
      <c r="B6021" t="s">
        <v>13033</v>
      </c>
      <c r="C6021" t="s">
        <v>12996</v>
      </c>
      <c r="D6021" s="254">
        <v>0.28999999999999998</v>
      </c>
      <c r="E6021"/>
      <c r="F6021"/>
      <c r="G6021"/>
      <c r="H6021"/>
      <c r="I6021" s="489"/>
      <c r="J6021" s="1095"/>
      <c r="K6021" s="1095"/>
      <c r="L6021" s="1095"/>
      <c r="M6021" s="1095"/>
    </row>
    <row r="6022" spans="1:13" x14ac:dyDescent="0.25">
      <c r="A6022">
        <v>5901670</v>
      </c>
      <c r="B6022" t="s">
        <v>13034</v>
      </c>
      <c r="C6022" t="s">
        <v>12996</v>
      </c>
      <c r="D6022" s="254">
        <v>0.28000000000000003</v>
      </c>
      <c r="E6022"/>
      <c r="F6022"/>
      <c r="G6022"/>
      <c r="H6022"/>
      <c r="I6022" s="489"/>
      <c r="J6022" s="1095"/>
      <c r="K6022" s="1095"/>
      <c r="L6022" s="1095"/>
      <c r="M6022" s="1095"/>
    </row>
    <row r="6023" spans="1:13" x14ac:dyDescent="0.25">
      <c r="A6023">
        <v>5901671</v>
      </c>
      <c r="B6023" t="s">
        <v>13035</v>
      </c>
      <c r="C6023" t="s">
        <v>12996</v>
      </c>
      <c r="D6023" s="254">
        <v>0.68</v>
      </c>
      <c r="E6023"/>
      <c r="F6023"/>
      <c r="G6023"/>
      <c r="H6023"/>
      <c r="I6023" s="489"/>
      <c r="J6023" s="1095"/>
      <c r="K6023" s="1095"/>
      <c r="L6023" s="1095"/>
      <c r="M6023" s="1095"/>
    </row>
    <row r="6024" spans="1:13" x14ac:dyDescent="0.25">
      <c r="A6024">
        <v>5901672</v>
      </c>
      <c r="B6024" t="s">
        <v>13036</v>
      </c>
      <c r="C6024" t="s">
        <v>12996</v>
      </c>
      <c r="D6024" s="254">
        <v>0.27</v>
      </c>
      <c r="E6024"/>
      <c r="F6024"/>
      <c r="G6024"/>
      <c r="H6024"/>
      <c r="I6024" s="489"/>
      <c r="J6024" s="1095"/>
      <c r="K6024" s="1095"/>
      <c r="L6024" s="1095"/>
      <c r="M6024" s="1095"/>
    </row>
    <row r="6025" spans="1:13" x14ac:dyDescent="0.25">
      <c r="A6025">
        <v>5901673</v>
      </c>
      <c r="B6025" t="s">
        <v>13037</v>
      </c>
      <c r="C6025" t="s">
        <v>12996</v>
      </c>
      <c r="D6025" s="254">
        <v>0.56000000000000005</v>
      </c>
      <c r="E6025"/>
      <c r="F6025"/>
      <c r="G6025"/>
      <c r="H6025"/>
      <c r="I6025" s="489"/>
      <c r="J6025" s="1095"/>
      <c r="K6025" s="1095"/>
      <c r="L6025" s="1095"/>
      <c r="M6025" s="1095"/>
    </row>
    <row r="6026" spans="1:13" x14ac:dyDescent="0.25">
      <c r="A6026">
        <v>5901674</v>
      </c>
      <c r="B6026" t="s">
        <v>13038</v>
      </c>
      <c r="C6026" t="s">
        <v>12996</v>
      </c>
      <c r="D6026" s="254">
        <v>0.47</v>
      </c>
      <c r="E6026"/>
      <c r="F6026"/>
      <c r="G6026"/>
      <c r="H6026"/>
      <c r="I6026" s="489"/>
      <c r="J6026" s="1095"/>
      <c r="K6026" s="1095"/>
      <c r="L6026" s="1095"/>
      <c r="M6026" s="1095"/>
    </row>
    <row r="6027" spans="1:13" x14ac:dyDescent="0.25">
      <c r="A6027">
        <v>5901675</v>
      </c>
      <c r="B6027" t="s">
        <v>13039</v>
      </c>
      <c r="C6027" t="s">
        <v>12996</v>
      </c>
      <c r="D6027" s="254">
        <v>0.42</v>
      </c>
      <c r="E6027"/>
      <c r="F6027"/>
      <c r="G6027"/>
      <c r="H6027"/>
      <c r="I6027" s="489"/>
      <c r="J6027" s="1095"/>
      <c r="K6027" s="1095"/>
      <c r="L6027" s="1095"/>
      <c r="M6027" s="1095"/>
    </row>
    <row r="6028" spans="1:13" x14ac:dyDescent="0.25">
      <c r="A6028">
        <v>5901676</v>
      </c>
      <c r="B6028" t="s">
        <v>13040</v>
      </c>
      <c r="C6028" t="s">
        <v>12996</v>
      </c>
      <c r="D6028" s="254">
        <v>1.07</v>
      </c>
      <c r="E6028"/>
      <c r="F6028"/>
      <c r="G6028"/>
      <c r="H6028"/>
      <c r="I6028" s="489"/>
      <c r="J6028" s="1095"/>
      <c r="K6028" s="1095"/>
      <c r="L6028" s="1095"/>
      <c r="M6028" s="1095"/>
    </row>
    <row r="6029" spans="1:13" x14ac:dyDescent="0.25">
      <c r="A6029">
        <v>5901677</v>
      </c>
      <c r="B6029" t="s">
        <v>13041</v>
      </c>
      <c r="C6029" t="s">
        <v>12996</v>
      </c>
      <c r="D6029" s="254">
        <v>0.78</v>
      </c>
      <c r="E6029"/>
      <c r="F6029"/>
      <c r="G6029"/>
      <c r="H6029"/>
      <c r="I6029" s="489"/>
      <c r="J6029" s="1095"/>
      <c r="K6029" s="1095"/>
      <c r="L6029" s="1095"/>
      <c r="M6029" s="1095"/>
    </row>
    <row r="6030" spans="1:13" x14ac:dyDescent="0.25">
      <c r="A6030">
        <v>5901678</v>
      </c>
      <c r="B6030" t="s">
        <v>13042</v>
      </c>
      <c r="C6030" t="s">
        <v>12996</v>
      </c>
      <c r="D6030" s="254">
        <v>0.28999999999999998</v>
      </c>
      <c r="E6030"/>
      <c r="F6030"/>
      <c r="G6030"/>
      <c r="H6030"/>
      <c r="I6030" s="489"/>
      <c r="J6030" s="1095"/>
      <c r="K6030" s="1095"/>
      <c r="L6030" s="1095"/>
      <c r="M6030" s="1095"/>
    </row>
    <row r="6031" spans="1:13" x14ac:dyDescent="0.25">
      <c r="A6031">
        <v>5901679</v>
      </c>
      <c r="B6031" t="s">
        <v>13043</v>
      </c>
      <c r="C6031" t="s">
        <v>12996</v>
      </c>
      <c r="D6031" s="254">
        <v>0.27</v>
      </c>
      <c r="E6031"/>
      <c r="F6031"/>
      <c r="G6031"/>
      <c r="H6031"/>
      <c r="I6031" s="489"/>
      <c r="J6031" s="1095"/>
      <c r="K6031" s="1095"/>
      <c r="L6031" s="1095"/>
      <c r="M6031" s="1095"/>
    </row>
    <row r="6032" spans="1:13" x14ac:dyDescent="0.25">
      <c r="A6032">
        <v>5901680</v>
      </c>
      <c r="B6032" t="s">
        <v>13044</v>
      </c>
      <c r="C6032" t="s">
        <v>12996</v>
      </c>
      <c r="D6032" s="254">
        <v>0.67</v>
      </c>
      <c r="E6032"/>
      <c r="F6032"/>
      <c r="G6032"/>
      <c r="H6032"/>
      <c r="I6032" s="489"/>
      <c r="J6032" s="1095"/>
      <c r="K6032" s="1095"/>
      <c r="L6032" s="1095"/>
      <c r="M6032" s="1095"/>
    </row>
    <row r="6033" spans="1:13" x14ac:dyDescent="0.25">
      <c r="A6033">
        <v>5901681</v>
      </c>
      <c r="B6033" t="s">
        <v>13045</v>
      </c>
      <c r="C6033" t="s">
        <v>12996</v>
      </c>
      <c r="D6033" s="254">
        <v>0.27</v>
      </c>
      <c r="E6033"/>
      <c r="F6033"/>
      <c r="G6033"/>
      <c r="H6033"/>
      <c r="I6033" s="489"/>
      <c r="J6033" s="1095"/>
      <c r="K6033" s="1095"/>
      <c r="L6033" s="1095"/>
      <c r="M6033" s="1095"/>
    </row>
    <row r="6034" spans="1:13" x14ac:dyDescent="0.25">
      <c r="A6034">
        <v>5901682</v>
      </c>
      <c r="B6034" t="s">
        <v>13046</v>
      </c>
      <c r="C6034" t="s">
        <v>12996</v>
      </c>
      <c r="D6034" s="254">
        <v>0.55000000000000004</v>
      </c>
      <c r="E6034"/>
      <c r="F6034"/>
      <c r="G6034"/>
      <c r="H6034"/>
      <c r="I6034" s="489"/>
      <c r="J6034" s="1095"/>
      <c r="K6034" s="1095"/>
      <c r="L6034" s="1095"/>
      <c r="M6034" s="1095"/>
    </row>
    <row r="6035" spans="1:13" x14ac:dyDescent="0.25">
      <c r="A6035">
        <v>5901683</v>
      </c>
      <c r="B6035" t="s">
        <v>13047</v>
      </c>
      <c r="C6035" t="s">
        <v>12996</v>
      </c>
      <c r="D6035" s="254">
        <v>0.46</v>
      </c>
      <c r="E6035"/>
      <c r="F6035"/>
      <c r="G6035"/>
      <c r="H6035"/>
      <c r="I6035" s="489"/>
      <c r="J6035" s="1095"/>
      <c r="K6035" s="1095"/>
      <c r="L6035" s="1095"/>
      <c r="M6035" s="1095"/>
    </row>
    <row r="6036" spans="1:13" x14ac:dyDescent="0.25">
      <c r="A6036">
        <v>5901684</v>
      </c>
      <c r="B6036" t="s">
        <v>13048</v>
      </c>
      <c r="C6036" t="s">
        <v>12996</v>
      </c>
      <c r="D6036" s="254">
        <v>0.42</v>
      </c>
      <c r="E6036"/>
      <c r="F6036"/>
      <c r="G6036"/>
      <c r="H6036"/>
      <c r="I6036" s="489"/>
      <c r="J6036" s="1095"/>
      <c r="K6036" s="1095"/>
      <c r="L6036" s="1095"/>
      <c r="M6036" s="1095"/>
    </row>
    <row r="6037" spans="1:13" x14ac:dyDescent="0.25">
      <c r="A6037">
        <v>5901685</v>
      </c>
      <c r="B6037" t="s">
        <v>13049</v>
      </c>
      <c r="C6037" t="s">
        <v>12996</v>
      </c>
      <c r="D6037" s="254">
        <v>1.05</v>
      </c>
      <c r="E6037"/>
      <c r="F6037"/>
      <c r="G6037"/>
      <c r="H6037"/>
      <c r="I6037" s="489"/>
      <c r="J6037" s="1095"/>
      <c r="K6037" s="1095"/>
      <c r="L6037" s="1095"/>
      <c r="M6037" s="1095"/>
    </row>
    <row r="6038" spans="1:13" x14ac:dyDescent="0.25">
      <c r="A6038">
        <v>5914360</v>
      </c>
      <c r="B6038" t="s">
        <v>13050</v>
      </c>
      <c r="C6038" t="s">
        <v>12946</v>
      </c>
      <c r="D6038" s="254">
        <v>1.28</v>
      </c>
      <c r="E6038"/>
      <c r="F6038"/>
      <c r="G6038"/>
      <c r="H6038"/>
      <c r="I6038" s="489"/>
      <c r="J6038" s="1095"/>
      <c r="K6038" s="1095"/>
      <c r="L6038" s="1095"/>
      <c r="M6038" s="1095"/>
    </row>
    <row r="6039" spans="1:13" x14ac:dyDescent="0.25">
      <c r="A6039">
        <v>5914361</v>
      </c>
      <c r="B6039" t="s">
        <v>13051</v>
      </c>
      <c r="C6039" t="s">
        <v>12946</v>
      </c>
      <c r="D6039" s="254">
        <v>1.02</v>
      </c>
      <c r="E6039"/>
      <c r="F6039"/>
      <c r="G6039"/>
      <c r="H6039"/>
      <c r="I6039" s="489"/>
      <c r="J6039" s="1095"/>
      <c r="K6039" s="1095"/>
      <c r="L6039" s="1095"/>
      <c r="M6039" s="1095"/>
    </row>
    <row r="6040" spans="1:13" x14ac:dyDescent="0.25">
      <c r="A6040">
        <v>5914362</v>
      </c>
      <c r="B6040" t="s">
        <v>13052</v>
      </c>
      <c r="C6040" t="s">
        <v>12946</v>
      </c>
      <c r="D6040" s="254">
        <v>0.82</v>
      </c>
      <c r="E6040"/>
      <c r="F6040"/>
      <c r="G6040"/>
      <c r="H6040"/>
      <c r="I6040" s="489"/>
      <c r="J6040" s="1095"/>
      <c r="K6040" s="1095"/>
      <c r="L6040" s="1095"/>
      <c r="M6040" s="1095"/>
    </row>
    <row r="6041" spans="1:13" x14ac:dyDescent="0.25">
      <c r="A6041">
        <v>5914364</v>
      </c>
      <c r="B6041" t="s">
        <v>13862</v>
      </c>
      <c r="C6041" t="s">
        <v>12946</v>
      </c>
      <c r="D6041" s="254">
        <v>1.05</v>
      </c>
      <c r="E6041"/>
      <c r="F6041"/>
      <c r="G6041"/>
      <c r="H6041"/>
      <c r="I6041" s="489"/>
      <c r="J6041" s="1095"/>
      <c r="K6041" s="1095"/>
      <c r="L6041" s="1095"/>
      <c r="M6041" s="1095"/>
    </row>
    <row r="6042" spans="1:13" x14ac:dyDescent="0.25">
      <c r="A6042">
        <v>5914365</v>
      </c>
      <c r="B6042" t="s">
        <v>13863</v>
      </c>
      <c r="C6042" t="s">
        <v>12946</v>
      </c>
      <c r="D6042" s="254">
        <v>0.84</v>
      </c>
      <c r="E6042"/>
      <c r="F6042"/>
      <c r="G6042"/>
      <c r="H6042"/>
      <c r="I6042" s="489"/>
      <c r="J6042" s="1095"/>
      <c r="K6042" s="1095"/>
      <c r="L6042" s="1095"/>
      <c r="M6042" s="1095"/>
    </row>
    <row r="6043" spans="1:13" x14ac:dyDescent="0.25">
      <c r="A6043">
        <v>5914366</v>
      </c>
      <c r="B6043" t="s">
        <v>13864</v>
      </c>
      <c r="C6043" t="s">
        <v>12946</v>
      </c>
      <c r="D6043" s="254">
        <v>0.67</v>
      </c>
      <c r="E6043"/>
      <c r="F6043"/>
      <c r="G6043"/>
      <c r="H6043"/>
      <c r="I6043" s="489"/>
      <c r="J6043" s="1095"/>
      <c r="K6043" s="1095"/>
      <c r="L6043" s="1095"/>
      <c r="M6043" s="1095"/>
    </row>
    <row r="6044" spans="1:13" x14ac:dyDescent="0.25">
      <c r="A6044">
        <v>5914315</v>
      </c>
      <c r="B6044" t="s">
        <v>13053</v>
      </c>
      <c r="C6044" t="s">
        <v>12946</v>
      </c>
      <c r="D6044" s="254">
        <v>1.1599999999999999</v>
      </c>
      <c r="E6044"/>
      <c r="F6044"/>
      <c r="G6044"/>
      <c r="H6044"/>
      <c r="I6044" s="489"/>
      <c r="J6044" s="1095"/>
      <c r="K6044" s="1095"/>
      <c r="L6044" s="1095"/>
      <c r="M6044" s="1095"/>
    </row>
    <row r="6045" spans="1:13" x14ac:dyDescent="0.25">
      <c r="A6045">
        <v>5914330</v>
      </c>
      <c r="B6045" t="s">
        <v>13054</v>
      </c>
      <c r="C6045" t="s">
        <v>12946</v>
      </c>
      <c r="D6045" s="254">
        <v>0.93</v>
      </c>
      <c r="E6045"/>
      <c r="F6045"/>
      <c r="G6045"/>
      <c r="H6045"/>
      <c r="I6045" s="489"/>
      <c r="J6045" s="1095"/>
      <c r="K6045" s="1095"/>
      <c r="L6045" s="1095"/>
      <c r="M6045" s="1095"/>
    </row>
    <row r="6046" spans="1:13" x14ac:dyDescent="0.25">
      <c r="A6046">
        <v>5914345</v>
      </c>
      <c r="B6046" t="s">
        <v>13055</v>
      </c>
      <c r="C6046" t="s">
        <v>12946</v>
      </c>
      <c r="D6046" s="254">
        <v>0.74</v>
      </c>
      <c r="E6046"/>
      <c r="F6046"/>
      <c r="G6046"/>
      <c r="H6046"/>
      <c r="I6046" s="489"/>
      <c r="J6046" s="1095"/>
      <c r="K6046" s="1095"/>
      <c r="L6046" s="1095"/>
      <c r="M6046" s="1095"/>
    </row>
    <row r="6047" spans="1:13" x14ac:dyDescent="0.25">
      <c r="A6047">
        <v>5914367</v>
      </c>
      <c r="B6047" t="s">
        <v>13056</v>
      </c>
      <c r="C6047" t="s">
        <v>12946</v>
      </c>
      <c r="D6047" s="254">
        <v>2.02</v>
      </c>
      <c r="E6047"/>
      <c r="F6047"/>
      <c r="G6047"/>
      <c r="H6047"/>
      <c r="I6047" s="489"/>
      <c r="J6047" s="1095"/>
      <c r="K6047" s="1095"/>
      <c r="L6047" s="1095"/>
      <c r="M6047" s="1095"/>
    </row>
    <row r="6048" spans="1:13" x14ac:dyDescent="0.25">
      <c r="A6048">
        <v>5914368</v>
      </c>
      <c r="B6048" t="s">
        <v>13057</v>
      </c>
      <c r="C6048" t="s">
        <v>12946</v>
      </c>
      <c r="D6048" s="254">
        <v>1.61</v>
      </c>
      <c r="E6048"/>
      <c r="F6048"/>
      <c r="G6048"/>
      <c r="H6048"/>
      <c r="I6048" s="489"/>
      <c r="J6048" s="1095"/>
      <c r="K6048" s="1095"/>
      <c r="L6048" s="1095"/>
      <c r="M6048" s="1095"/>
    </row>
    <row r="6049" spans="1:13" x14ac:dyDescent="0.25">
      <c r="A6049">
        <v>5914369</v>
      </c>
      <c r="B6049" t="s">
        <v>13058</v>
      </c>
      <c r="C6049" t="s">
        <v>12946</v>
      </c>
      <c r="D6049" s="254">
        <v>1.29</v>
      </c>
      <c r="E6049"/>
      <c r="F6049"/>
      <c r="G6049"/>
      <c r="H6049"/>
      <c r="I6049" s="489"/>
      <c r="J6049" s="1095"/>
      <c r="K6049" s="1095"/>
      <c r="L6049" s="1095"/>
      <c r="M6049" s="1095"/>
    </row>
    <row r="6050" spans="1:13" x14ac:dyDescent="0.25">
      <c r="A6050">
        <v>5914489</v>
      </c>
      <c r="B6050" t="s">
        <v>13059</v>
      </c>
      <c r="C6050" t="s">
        <v>12946</v>
      </c>
      <c r="D6050" s="254">
        <v>0.3</v>
      </c>
      <c r="E6050"/>
      <c r="F6050"/>
      <c r="G6050"/>
      <c r="H6050"/>
      <c r="I6050" s="489"/>
      <c r="J6050" s="1095"/>
      <c r="K6050" s="1095"/>
      <c r="L6050" s="1095"/>
      <c r="M6050" s="1095"/>
    </row>
    <row r="6051" spans="1:13" x14ac:dyDescent="0.25">
      <c r="A6051">
        <v>5914491</v>
      </c>
      <c r="B6051" t="s">
        <v>13060</v>
      </c>
      <c r="C6051" t="s">
        <v>12946</v>
      </c>
      <c r="D6051" s="254">
        <v>0.32</v>
      </c>
      <c r="E6051"/>
      <c r="F6051"/>
      <c r="G6051"/>
      <c r="H6051"/>
      <c r="I6051" s="489"/>
      <c r="J6051" s="1095"/>
      <c r="K6051" s="1095"/>
      <c r="L6051" s="1095"/>
      <c r="M6051" s="1095"/>
    </row>
    <row r="6052" spans="1:13" x14ac:dyDescent="0.25">
      <c r="A6052">
        <v>5914490</v>
      </c>
      <c r="B6052" t="s">
        <v>13061</v>
      </c>
      <c r="C6052" t="s">
        <v>12946</v>
      </c>
      <c r="D6052" s="254">
        <v>0.27</v>
      </c>
      <c r="E6052"/>
      <c r="F6052"/>
      <c r="G6052"/>
      <c r="H6052"/>
      <c r="I6052" s="489"/>
      <c r="J6052" s="1095"/>
      <c r="K6052" s="1095"/>
      <c r="L6052" s="1095"/>
      <c r="M6052" s="1095"/>
    </row>
    <row r="6053" spans="1:13" x14ac:dyDescent="0.25">
      <c r="A6053">
        <v>5914495</v>
      </c>
      <c r="B6053" t="s">
        <v>13062</v>
      </c>
      <c r="C6053" t="s">
        <v>12946</v>
      </c>
      <c r="D6053" s="254">
        <v>1.9</v>
      </c>
      <c r="E6053"/>
      <c r="F6053"/>
      <c r="G6053"/>
      <c r="H6053"/>
      <c r="I6053" s="489"/>
      <c r="J6053" s="1095"/>
      <c r="K6053" s="1095"/>
      <c r="L6053" s="1095"/>
      <c r="M6053" s="1095"/>
    </row>
    <row r="6054" spans="1:13" x14ac:dyDescent="0.25">
      <c r="A6054">
        <v>5914494</v>
      </c>
      <c r="B6054" t="s">
        <v>13063</v>
      </c>
      <c r="C6054" t="s">
        <v>12946</v>
      </c>
      <c r="D6054" s="254">
        <v>4.26</v>
      </c>
      <c r="E6054"/>
      <c r="F6054"/>
      <c r="G6054"/>
      <c r="H6054"/>
      <c r="I6054" s="489"/>
      <c r="J6054" s="1095"/>
      <c r="K6054" s="1095"/>
      <c r="L6054" s="1095"/>
      <c r="M6054" s="1095"/>
    </row>
    <row r="6055" spans="1:13" x14ac:dyDescent="0.25">
      <c r="A6055">
        <v>5914487</v>
      </c>
      <c r="B6055" t="s">
        <v>13064</v>
      </c>
      <c r="C6055" t="s">
        <v>12946</v>
      </c>
      <c r="D6055" s="254">
        <v>0.27</v>
      </c>
      <c r="E6055"/>
      <c r="F6055"/>
      <c r="G6055"/>
      <c r="H6055"/>
      <c r="I6055" s="489"/>
      <c r="J6055" s="1095"/>
      <c r="K6055" s="1095"/>
      <c r="L6055" s="1095"/>
      <c r="M6055" s="1095"/>
    </row>
    <row r="6056" spans="1:13" x14ac:dyDescent="0.25">
      <c r="A6056">
        <v>5914488</v>
      </c>
      <c r="B6056" t="s">
        <v>13065</v>
      </c>
      <c r="C6056" t="s">
        <v>12946</v>
      </c>
      <c r="D6056" s="254">
        <v>0.32</v>
      </c>
      <c r="E6056"/>
      <c r="F6056"/>
      <c r="G6056"/>
      <c r="H6056"/>
      <c r="I6056" s="489"/>
      <c r="J6056" s="1095"/>
      <c r="K6056" s="1095"/>
      <c r="L6056" s="1095"/>
      <c r="M6056" s="1095"/>
    </row>
    <row r="6057" spans="1:13" x14ac:dyDescent="0.25">
      <c r="A6057">
        <v>5914493</v>
      </c>
      <c r="B6057" t="s">
        <v>13066</v>
      </c>
      <c r="C6057" t="s">
        <v>12946</v>
      </c>
      <c r="D6057" s="254">
        <v>7.06</v>
      </c>
      <c r="E6057"/>
      <c r="F6057"/>
      <c r="G6057"/>
      <c r="H6057"/>
      <c r="I6057" s="489"/>
      <c r="J6057" s="1095"/>
      <c r="K6057" s="1095"/>
      <c r="L6057" s="1095"/>
      <c r="M6057" s="1095"/>
    </row>
    <row r="6058" spans="1:13" x14ac:dyDescent="0.25">
      <c r="A6058">
        <v>5914492</v>
      </c>
      <c r="B6058" t="s">
        <v>13067</v>
      </c>
      <c r="C6058" t="s">
        <v>12946</v>
      </c>
      <c r="D6058" s="254">
        <v>16.920000000000002</v>
      </c>
      <c r="E6058"/>
      <c r="F6058"/>
      <c r="G6058"/>
      <c r="H6058"/>
      <c r="I6058" s="489"/>
      <c r="J6058" s="1095"/>
      <c r="K6058" s="1095"/>
      <c r="L6058" s="1095"/>
      <c r="M6058" s="1095"/>
    </row>
    <row r="6059" spans="1:13" x14ac:dyDescent="0.25">
      <c r="A6059">
        <v>5914482</v>
      </c>
      <c r="B6059" t="s">
        <v>13068</v>
      </c>
      <c r="C6059" t="s">
        <v>12946</v>
      </c>
      <c r="D6059" s="254">
        <v>0.74</v>
      </c>
      <c r="E6059"/>
      <c r="F6059"/>
      <c r="G6059"/>
      <c r="H6059"/>
      <c r="I6059" s="489"/>
      <c r="J6059" s="1095"/>
      <c r="K6059" s="1095"/>
      <c r="L6059" s="1095"/>
      <c r="M6059" s="1095"/>
    </row>
    <row r="6060" spans="1:13" x14ac:dyDescent="0.25">
      <c r="A6060">
        <v>5914483</v>
      </c>
      <c r="B6060" t="s">
        <v>13069</v>
      </c>
      <c r="C6060" t="s">
        <v>12946</v>
      </c>
      <c r="D6060" s="254">
        <v>0.53</v>
      </c>
      <c r="E6060"/>
      <c r="F6060"/>
      <c r="G6060"/>
      <c r="H6060"/>
      <c r="I6060" s="489"/>
      <c r="J6060" s="1095"/>
      <c r="K6060" s="1095"/>
      <c r="L6060" s="1095"/>
      <c r="M6060" s="1095"/>
    </row>
    <row r="6061" spans="1:13" x14ac:dyDescent="0.25">
      <c r="A6061">
        <v>5914480</v>
      </c>
      <c r="B6061" t="s">
        <v>13070</v>
      </c>
      <c r="C6061" t="s">
        <v>12946</v>
      </c>
      <c r="D6061" s="254">
        <v>0.78</v>
      </c>
      <c r="E6061"/>
      <c r="F6061"/>
      <c r="G6061"/>
      <c r="H6061"/>
      <c r="I6061" s="489"/>
      <c r="J6061" s="1095"/>
      <c r="K6061" s="1095"/>
      <c r="L6061" s="1095"/>
      <c r="M6061" s="1095"/>
    </row>
    <row r="6062" spans="1:13" x14ac:dyDescent="0.25">
      <c r="A6062">
        <v>5914481</v>
      </c>
      <c r="B6062" t="s">
        <v>13071</v>
      </c>
      <c r="C6062" t="s">
        <v>12946</v>
      </c>
      <c r="D6062" s="254">
        <v>0.51</v>
      </c>
      <c r="E6062"/>
      <c r="F6062"/>
      <c r="G6062"/>
      <c r="H6062"/>
      <c r="I6062" s="489"/>
      <c r="J6062" s="1095"/>
      <c r="K6062" s="1095"/>
      <c r="L6062" s="1095"/>
      <c r="M6062" s="1095"/>
    </row>
    <row r="6063" spans="1:13" x14ac:dyDescent="0.25">
      <c r="A6063">
        <v>5914485</v>
      </c>
      <c r="B6063" t="s">
        <v>13072</v>
      </c>
      <c r="C6063" t="s">
        <v>12946</v>
      </c>
      <c r="D6063" s="254">
        <v>4.8600000000000003</v>
      </c>
      <c r="E6063"/>
      <c r="F6063"/>
      <c r="G6063"/>
      <c r="H6063"/>
      <c r="I6063" s="489"/>
      <c r="J6063" s="1095"/>
      <c r="K6063" s="1095"/>
      <c r="L6063" s="1095"/>
      <c r="M6063" s="1095"/>
    </row>
    <row r="6064" spans="1:13" x14ac:dyDescent="0.25">
      <c r="A6064">
        <v>5914486</v>
      </c>
      <c r="B6064" t="s">
        <v>13073</v>
      </c>
      <c r="C6064" t="s">
        <v>12946</v>
      </c>
      <c r="D6064" s="254">
        <v>6.09</v>
      </c>
      <c r="E6064"/>
      <c r="F6064"/>
      <c r="G6064"/>
      <c r="H6064"/>
      <c r="I6064" s="489"/>
      <c r="J6064" s="1095"/>
      <c r="K6064" s="1095"/>
      <c r="L6064" s="1095"/>
      <c r="M6064" s="1095"/>
    </row>
    <row r="6065" spans="1:13" x14ac:dyDescent="0.25">
      <c r="A6065">
        <v>5914484</v>
      </c>
      <c r="B6065" t="s">
        <v>13074</v>
      </c>
      <c r="C6065" t="s">
        <v>12946</v>
      </c>
      <c r="D6065" s="254">
        <v>4.21</v>
      </c>
      <c r="E6065"/>
      <c r="F6065"/>
      <c r="G6065"/>
      <c r="H6065"/>
      <c r="I6065" s="489"/>
      <c r="J6065" s="1095"/>
      <c r="K6065" s="1095"/>
      <c r="L6065" s="1095"/>
      <c r="M6065" s="1095"/>
    </row>
    <row r="6066" spans="1:13" x14ac:dyDescent="0.25">
      <c r="A6066">
        <v>5914620</v>
      </c>
      <c r="B6066" t="s">
        <v>13075</v>
      </c>
      <c r="C6066" t="s">
        <v>12946</v>
      </c>
      <c r="D6066" s="254">
        <v>3.12</v>
      </c>
      <c r="E6066"/>
      <c r="F6066"/>
      <c r="G6066"/>
      <c r="H6066"/>
      <c r="I6066" s="489"/>
      <c r="J6066" s="1095"/>
      <c r="K6066" s="1095"/>
      <c r="L6066" s="1095"/>
      <c r="M6066" s="1095"/>
    </row>
    <row r="6067" spans="1:13" x14ac:dyDescent="0.25">
      <c r="A6067">
        <v>5914621</v>
      </c>
      <c r="B6067" t="s">
        <v>13076</v>
      </c>
      <c r="C6067" t="s">
        <v>12946</v>
      </c>
      <c r="D6067" s="254">
        <v>2.5</v>
      </c>
      <c r="E6067"/>
      <c r="F6067"/>
      <c r="G6067"/>
      <c r="H6067"/>
      <c r="I6067" s="489"/>
      <c r="J6067" s="1095"/>
      <c r="K6067" s="1095"/>
      <c r="L6067" s="1095"/>
      <c r="M6067" s="1095"/>
    </row>
    <row r="6068" spans="1:13" x14ac:dyDescent="0.25">
      <c r="A6068">
        <v>5914622</v>
      </c>
      <c r="B6068" t="s">
        <v>13077</v>
      </c>
      <c r="C6068" t="s">
        <v>12946</v>
      </c>
      <c r="D6068" s="254">
        <v>2</v>
      </c>
      <c r="E6068"/>
      <c r="F6068"/>
      <c r="G6068"/>
      <c r="H6068"/>
      <c r="I6068" s="489"/>
      <c r="J6068" s="1095"/>
      <c r="K6068" s="1095"/>
      <c r="L6068" s="1095"/>
      <c r="M6068" s="1095"/>
    </row>
    <row r="6069" spans="1:13" x14ac:dyDescent="0.25">
      <c r="A6069">
        <v>5901695</v>
      </c>
      <c r="B6069" t="s">
        <v>13078</v>
      </c>
      <c r="C6069" t="s">
        <v>12996</v>
      </c>
      <c r="D6069" s="254">
        <v>0.74</v>
      </c>
      <c r="E6069"/>
      <c r="F6069"/>
      <c r="G6069"/>
      <c r="H6069"/>
      <c r="I6069" s="489"/>
      <c r="J6069" s="1095"/>
      <c r="K6069" s="1095"/>
      <c r="L6069" s="1095"/>
      <c r="M6069" s="1095"/>
    </row>
    <row r="6070" spans="1:13" x14ac:dyDescent="0.25">
      <c r="A6070">
        <v>5901696</v>
      </c>
      <c r="B6070" t="s">
        <v>13079</v>
      </c>
      <c r="C6070" t="s">
        <v>12996</v>
      </c>
      <c r="D6070" s="254">
        <v>0.55000000000000004</v>
      </c>
      <c r="E6070"/>
      <c r="F6070"/>
      <c r="G6070"/>
      <c r="H6070"/>
      <c r="I6070" s="489"/>
      <c r="J6070" s="1095"/>
      <c r="K6070" s="1095"/>
      <c r="L6070" s="1095"/>
      <c r="M6070" s="1095"/>
    </row>
    <row r="6071" spans="1:13" x14ac:dyDescent="0.25">
      <c r="A6071">
        <v>5901697</v>
      </c>
      <c r="B6071" t="s">
        <v>13080</v>
      </c>
      <c r="C6071" t="s">
        <v>12996</v>
      </c>
      <c r="D6071" s="254">
        <v>2.67</v>
      </c>
      <c r="E6071"/>
      <c r="F6071"/>
      <c r="G6071"/>
      <c r="H6071"/>
      <c r="I6071" s="489"/>
      <c r="J6071" s="1095"/>
      <c r="K6071" s="1095"/>
      <c r="L6071" s="1095"/>
      <c r="M6071" s="1095"/>
    </row>
    <row r="6072" spans="1:13" x14ac:dyDescent="0.25">
      <c r="A6072">
        <v>5901698</v>
      </c>
      <c r="B6072" t="s">
        <v>13081</v>
      </c>
      <c r="C6072" t="s">
        <v>12996</v>
      </c>
      <c r="D6072" s="254">
        <v>2.67</v>
      </c>
      <c r="E6072"/>
      <c r="F6072"/>
      <c r="G6072"/>
      <c r="H6072"/>
      <c r="I6072" s="489"/>
      <c r="J6072" s="1095"/>
      <c r="K6072" s="1095"/>
      <c r="L6072" s="1095"/>
      <c r="M6072" s="1095"/>
    </row>
    <row r="6073" spans="1:13" x14ac:dyDescent="0.25">
      <c r="A6073">
        <v>5916654</v>
      </c>
      <c r="B6073" t="s">
        <v>13082</v>
      </c>
      <c r="C6073" t="s">
        <v>12996</v>
      </c>
      <c r="D6073" s="254">
        <v>1.33</v>
      </c>
      <c r="E6073"/>
      <c r="F6073"/>
      <c r="G6073"/>
      <c r="H6073"/>
      <c r="I6073" s="489"/>
      <c r="J6073" s="1095"/>
      <c r="K6073" s="1095"/>
      <c r="L6073" s="1095"/>
      <c r="M6073" s="1095"/>
    </row>
    <row r="6074" spans="1:13" x14ac:dyDescent="0.25">
      <c r="A6074">
        <v>5916637</v>
      </c>
      <c r="B6074" t="s">
        <v>13083</v>
      </c>
      <c r="C6074" t="s">
        <v>12996</v>
      </c>
      <c r="D6074" s="254">
        <v>8.18</v>
      </c>
      <c r="E6074"/>
      <c r="F6074"/>
      <c r="G6074"/>
      <c r="H6074"/>
      <c r="I6074" s="489"/>
      <c r="J6074" s="1095"/>
      <c r="K6074" s="1095"/>
      <c r="L6074" s="1095"/>
      <c r="M6074" s="1095"/>
    </row>
    <row r="6075" spans="1:13" x14ac:dyDescent="0.25">
      <c r="A6075">
        <v>5916618</v>
      </c>
      <c r="B6075" t="s">
        <v>13084</v>
      </c>
      <c r="C6075" t="s">
        <v>12996</v>
      </c>
      <c r="D6075" s="254">
        <v>8.18</v>
      </c>
      <c r="E6075"/>
      <c r="F6075"/>
      <c r="G6075"/>
      <c r="H6075"/>
      <c r="I6075" s="489"/>
      <c r="J6075" s="1095"/>
      <c r="K6075" s="1095"/>
      <c r="L6075" s="1095"/>
      <c r="M6075" s="1095"/>
    </row>
    <row r="6076" spans="1:13" x14ac:dyDescent="0.25">
      <c r="A6076">
        <v>5914334</v>
      </c>
      <c r="B6076" t="s">
        <v>13085</v>
      </c>
      <c r="C6076" t="s">
        <v>12946</v>
      </c>
      <c r="D6076" s="254">
        <v>1.31</v>
      </c>
      <c r="E6076"/>
      <c r="F6076"/>
      <c r="G6076"/>
      <c r="H6076"/>
      <c r="I6076" s="489"/>
      <c r="J6076" s="1095"/>
      <c r="K6076" s="1095"/>
      <c r="L6076" s="1095"/>
      <c r="M6076" s="1095"/>
    </row>
    <row r="6077" spans="1:13" x14ac:dyDescent="0.25">
      <c r="A6077">
        <v>5914335</v>
      </c>
      <c r="B6077" t="s">
        <v>13086</v>
      </c>
      <c r="C6077" t="s">
        <v>12946</v>
      </c>
      <c r="D6077" s="254">
        <v>1.05</v>
      </c>
      <c r="E6077"/>
      <c r="F6077"/>
      <c r="G6077"/>
      <c r="H6077"/>
      <c r="I6077" s="489"/>
      <c r="J6077" s="1095"/>
      <c r="K6077" s="1095"/>
      <c r="L6077" s="1095"/>
      <c r="M6077" s="1095"/>
    </row>
    <row r="6078" spans="1:13" x14ac:dyDescent="0.25">
      <c r="A6078">
        <v>5914336</v>
      </c>
      <c r="B6078" t="s">
        <v>13087</v>
      </c>
      <c r="C6078" t="s">
        <v>12946</v>
      </c>
      <c r="D6078" s="254">
        <v>0.84</v>
      </c>
      <c r="E6078"/>
      <c r="F6078"/>
      <c r="G6078"/>
      <c r="H6078"/>
      <c r="I6078" s="489"/>
      <c r="J6078" s="1095"/>
      <c r="K6078" s="1095"/>
      <c r="L6078" s="1095"/>
      <c r="M6078" s="1095"/>
    </row>
    <row r="6079" spans="1:13" x14ac:dyDescent="0.25">
      <c r="A6079">
        <v>5914346</v>
      </c>
      <c r="B6079" t="s">
        <v>13088</v>
      </c>
      <c r="C6079" t="s">
        <v>12946</v>
      </c>
      <c r="D6079" s="254">
        <v>1.99</v>
      </c>
      <c r="E6079"/>
      <c r="F6079"/>
      <c r="G6079"/>
      <c r="H6079"/>
      <c r="I6079" s="489"/>
      <c r="J6079" s="1095"/>
      <c r="K6079" s="1095"/>
      <c r="L6079" s="1095"/>
      <c r="M6079" s="1095"/>
    </row>
    <row r="6080" spans="1:13" x14ac:dyDescent="0.25">
      <c r="A6080">
        <v>5914347</v>
      </c>
      <c r="B6080" t="s">
        <v>13089</v>
      </c>
      <c r="C6080" t="s">
        <v>12946</v>
      </c>
      <c r="D6080" s="254">
        <v>1.59</v>
      </c>
      <c r="E6080"/>
      <c r="F6080"/>
      <c r="G6080"/>
      <c r="H6080"/>
      <c r="I6080" s="489"/>
      <c r="J6080" s="1095"/>
      <c r="K6080" s="1095"/>
      <c r="L6080" s="1095"/>
      <c r="M6080" s="1095"/>
    </row>
    <row r="6081" spans="1:13" x14ac:dyDescent="0.25">
      <c r="A6081">
        <v>5914348</v>
      </c>
      <c r="B6081" t="s">
        <v>13090</v>
      </c>
      <c r="C6081" t="s">
        <v>12946</v>
      </c>
      <c r="D6081" s="254">
        <v>1.28</v>
      </c>
      <c r="E6081"/>
      <c r="F6081"/>
      <c r="G6081"/>
      <c r="H6081"/>
      <c r="I6081" s="489"/>
      <c r="J6081" s="1095"/>
      <c r="K6081" s="1095"/>
      <c r="L6081" s="1095"/>
      <c r="M6081" s="1095"/>
    </row>
    <row r="6082" spans="1:13" x14ac:dyDescent="0.25">
      <c r="A6082">
        <v>5914611</v>
      </c>
      <c r="B6082" t="s">
        <v>13091</v>
      </c>
      <c r="C6082" t="s">
        <v>12946</v>
      </c>
      <c r="D6082" s="254">
        <v>2.14</v>
      </c>
      <c r="E6082"/>
      <c r="F6082"/>
      <c r="G6082"/>
      <c r="H6082"/>
      <c r="I6082" s="489"/>
      <c r="J6082" s="1095"/>
      <c r="K6082" s="1095"/>
      <c r="L6082" s="1095"/>
      <c r="M6082" s="1095"/>
    </row>
    <row r="6083" spans="1:13" x14ac:dyDescent="0.25">
      <c r="A6083">
        <v>5914613</v>
      </c>
      <c r="B6083" t="s">
        <v>13092</v>
      </c>
      <c r="C6083" t="s">
        <v>12946</v>
      </c>
      <c r="D6083" s="254">
        <v>1.71</v>
      </c>
      <c r="E6083"/>
      <c r="F6083"/>
      <c r="G6083"/>
      <c r="H6083"/>
      <c r="I6083" s="489"/>
      <c r="J6083" s="1095"/>
      <c r="K6083" s="1095"/>
      <c r="L6083" s="1095"/>
      <c r="M6083" s="1095"/>
    </row>
    <row r="6084" spans="1:13" x14ac:dyDescent="0.25">
      <c r="A6084">
        <v>5914612</v>
      </c>
      <c r="B6084" t="s">
        <v>13093</v>
      </c>
      <c r="C6084" t="s">
        <v>12946</v>
      </c>
      <c r="D6084" s="254">
        <v>1.37</v>
      </c>
      <c r="E6084"/>
      <c r="F6084"/>
      <c r="G6084"/>
      <c r="H6084"/>
      <c r="I6084" s="489"/>
      <c r="J6084" s="1095"/>
      <c r="K6084" s="1095"/>
      <c r="L6084" s="1095"/>
      <c r="M6084" s="1095"/>
    </row>
    <row r="6085" spans="1:13" x14ac:dyDescent="0.25">
      <c r="A6085">
        <v>5901686</v>
      </c>
      <c r="B6085" t="s">
        <v>13094</v>
      </c>
      <c r="C6085" t="s">
        <v>12996</v>
      </c>
      <c r="D6085" s="254">
        <v>2.27</v>
      </c>
      <c r="E6085"/>
      <c r="F6085"/>
      <c r="G6085"/>
      <c r="H6085"/>
      <c r="I6085" s="489"/>
      <c r="J6085" s="1095"/>
      <c r="K6085" s="1095"/>
      <c r="L6085" s="1095"/>
      <c r="M6085" s="1095"/>
    </row>
    <row r="6086" spans="1:13" x14ac:dyDescent="0.25">
      <c r="A6086">
        <v>5901687</v>
      </c>
      <c r="B6086" t="s">
        <v>13095</v>
      </c>
      <c r="C6086" t="s">
        <v>12996</v>
      </c>
      <c r="D6086" s="254">
        <v>0.83</v>
      </c>
      <c r="E6086"/>
      <c r="F6086"/>
      <c r="G6086"/>
      <c r="H6086"/>
      <c r="I6086" s="489"/>
      <c r="J6086" s="1095"/>
      <c r="K6086" s="1095"/>
      <c r="L6086" s="1095"/>
      <c r="M6086" s="1095"/>
    </row>
    <row r="6087" spans="1:13" x14ac:dyDescent="0.25">
      <c r="A6087">
        <v>5901688</v>
      </c>
      <c r="B6087" t="s">
        <v>13096</v>
      </c>
      <c r="C6087" t="s">
        <v>12996</v>
      </c>
      <c r="D6087" s="254">
        <v>0.79</v>
      </c>
      <c r="E6087"/>
      <c r="F6087"/>
      <c r="G6087"/>
      <c r="H6087"/>
      <c r="I6087" s="489"/>
      <c r="J6087" s="1095"/>
      <c r="K6087" s="1095"/>
      <c r="L6087" s="1095"/>
      <c r="M6087" s="1095"/>
    </row>
    <row r="6088" spans="1:13" x14ac:dyDescent="0.25">
      <c r="A6088">
        <v>5901689</v>
      </c>
      <c r="B6088" t="s">
        <v>13097</v>
      </c>
      <c r="C6088" t="s">
        <v>12996</v>
      </c>
      <c r="D6088" s="254">
        <v>1.93</v>
      </c>
      <c r="E6088"/>
      <c r="F6088"/>
      <c r="G6088"/>
      <c r="H6088"/>
      <c r="I6088" s="489"/>
      <c r="J6088" s="1095"/>
      <c r="K6088" s="1095"/>
      <c r="L6088" s="1095"/>
      <c r="M6088" s="1095"/>
    </row>
    <row r="6089" spans="1:13" x14ac:dyDescent="0.25">
      <c r="A6089">
        <v>5901690</v>
      </c>
      <c r="B6089" t="s">
        <v>13098</v>
      </c>
      <c r="C6089" t="s">
        <v>12996</v>
      </c>
      <c r="D6089" s="254">
        <v>0.78</v>
      </c>
      <c r="E6089"/>
      <c r="F6089"/>
      <c r="G6089"/>
      <c r="H6089"/>
      <c r="I6089" s="489"/>
      <c r="J6089" s="1095"/>
      <c r="K6089" s="1095"/>
      <c r="L6089" s="1095"/>
      <c r="M6089" s="1095"/>
    </row>
    <row r="6090" spans="1:13" x14ac:dyDescent="0.25">
      <c r="A6090">
        <v>5901691</v>
      </c>
      <c r="B6090" t="s">
        <v>13099</v>
      </c>
      <c r="C6090" t="s">
        <v>12996</v>
      </c>
      <c r="D6090" s="254">
        <v>1.59</v>
      </c>
      <c r="E6090"/>
      <c r="F6090"/>
      <c r="G6090"/>
      <c r="H6090"/>
      <c r="I6090" s="489"/>
      <c r="J6090" s="1095"/>
      <c r="K6090" s="1095"/>
      <c r="L6090" s="1095"/>
      <c r="M6090" s="1095"/>
    </row>
    <row r="6091" spans="1:13" x14ac:dyDescent="0.25">
      <c r="A6091">
        <v>5901692</v>
      </c>
      <c r="B6091" t="s">
        <v>13100</v>
      </c>
      <c r="C6091" t="s">
        <v>12996</v>
      </c>
      <c r="D6091" s="254">
        <v>1.33</v>
      </c>
      <c r="E6091"/>
      <c r="F6091"/>
      <c r="G6091"/>
      <c r="H6091"/>
      <c r="I6091" s="489"/>
      <c r="J6091" s="1095"/>
      <c r="K6091" s="1095"/>
      <c r="L6091" s="1095"/>
      <c r="M6091" s="1095"/>
    </row>
    <row r="6092" spans="1:13" x14ac:dyDescent="0.25">
      <c r="A6092">
        <v>5901693</v>
      </c>
      <c r="B6092" t="s">
        <v>13101</v>
      </c>
      <c r="C6092" t="s">
        <v>12996</v>
      </c>
      <c r="D6092" s="254">
        <v>1.2</v>
      </c>
      <c r="E6092"/>
      <c r="F6092"/>
      <c r="G6092"/>
      <c r="H6092"/>
      <c r="I6092" s="489"/>
      <c r="J6092" s="1095"/>
      <c r="K6092" s="1095"/>
      <c r="L6092" s="1095"/>
      <c r="M6092" s="1095"/>
    </row>
    <row r="6093" spans="1:13" x14ac:dyDescent="0.25">
      <c r="A6093">
        <v>5901694</v>
      </c>
      <c r="B6093" t="s">
        <v>13102</v>
      </c>
      <c r="C6093" t="s">
        <v>12996</v>
      </c>
      <c r="D6093" s="254">
        <v>3.03</v>
      </c>
      <c r="E6093"/>
      <c r="F6093"/>
      <c r="G6093"/>
      <c r="H6093"/>
      <c r="I6093" s="489"/>
      <c r="J6093" s="1095"/>
      <c r="K6093" s="1095"/>
      <c r="L6093" s="1095"/>
      <c r="M6093" s="1095"/>
    </row>
    <row r="6094" spans="1:13" x14ac:dyDescent="0.25">
      <c r="A6094">
        <v>5914512</v>
      </c>
      <c r="B6094" t="s">
        <v>13103</v>
      </c>
      <c r="C6094" t="s">
        <v>12946</v>
      </c>
      <c r="D6094" s="254">
        <v>1.71</v>
      </c>
      <c r="E6094"/>
      <c r="F6094"/>
      <c r="G6094"/>
      <c r="H6094"/>
      <c r="I6094" s="489"/>
      <c r="J6094" s="1095"/>
      <c r="K6094" s="1095"/>
      <c r="L6094" s="1095"/>
      <c r="M6094" s="1095"/>
    </row>
    <row r="6095" spans="1:13" x14ac:dyDescent="0.25">
      <c r="A6095">
        <v>5914496</v>
      </c>
      <c r="B6095" t="s">
        <v>13104</v>
      </c>
      <c r="C6095" t="s">
        <v>12946</v>
      </c>
      <c r="D6095" s="254">
        <v>1.32</v>
      </c>
      <c r="E6095"/>
      <c r="F6095"/>
      <c r="G6095"/>
      <c r="H6095"/>
      <c r="I6095" s="489"/>
      <c r="J6095" s="1095"/>
      <c r="K6095" s="1095"/>
      <c r="L6095" s="1095"/>
      <c r="M6095" s="1095"/>
    </row>
    <row r="6096" spans="1:13" x14ac:dyDescent="0.25">
      <c r="A6096">
        <v>5914513</v>
      </c>
      <c r="B6096" t="s">
        <v>13105</v>
      </c>
      <c r="C6096" t="s">
        <v>12946</v>
      </c>
      <c r="D6096" s="254">
        <v>0.92</v>
      </c>
      <c r="E6096"/>
      <c r="F6096"/>
      <c r="G6096"/>
      <c r="H6096"/>
      <c r="I6096" s="489"/>
      <c r="J6096" s="1095"/>
      <c r="K6096" s="1095"/>
      <c r="L6096" s="1095"/>
      <c r="M6096" s="1095"/>
    </row>
    <row r="6097" spans="1:13" x14ac:dyDescent="0.25">
      <c r="A6097">
        <v>5914497</v>
      </c>
      <c r="B6097" t="s">
        <v>13106</v>
      </c>
      <c r="C6097" t="s">
        <v>12946</v>
      </c>
      <c r="D6097" s="254">
        <v>0.7</v>
      </c>
      <c r="E6097"/>
      <c r="F6097"/>
      <c r="G6097"/>
      <c r="H6097"/>
      <c r="I6097" s="489"/>
      <c r="J6097" s="1095"/>
      <c r="K6097" s="1095"/>
      <c r="L6097" s="1095"/>
      <c r="M6097" s="1095"/>
    </row>
    <row r="6098" spans="1:13" x14ac:dyDescent="0.25">
      <c r="A6098">
        <v>5914500</v>
      </c>
      <c r="B6098" t="s">
        <v>13107</v>
      </c>
      <c r="C6098" t="s">
        <v>12946</v>
      </c>
      <c r="D6098" s="254">
        <v>1.34</v>
      </c>
      <c r="E6098"/>
      <c r="F6098"/>
      <c r="G6098"/>
      <c r="H6098"/>
      <c r="I6098" s="489"/>
      <c r="J6098" s="1095"/>
      <c r="K6098" s="1095"/>
      <c r="L6098" s="1095"/>
      <c r="M6098" s="1095"/>
    </row>
    <row r="6099" spans="1:13" x14ac:dyDescent="0.25">
      <c r="A6099">
        <v>5914498</v>
      </c>
      <c r="B6099" t="s">
        <v>13108</v>
      </c>
      <c r="C6099" t="s">
        <v>12946</v>
      </c>
      <c r="D6099" s="254">
        <v>1.03</v>
      </c>
      <c r="E6099"/>
      <c r="F6099"/>
      <c r="G6099"/>
      <c r="H6099"/>
      <c r="I6099" s="489"/>
      <c r="J6099" s="1095"/>
      <c r="K6099" s="1095"/>
      <c r="L6099" s="1095"/>
      <c r="M6099" s="1095"/>
    </row>
    <row r="6100" spans="1:13" x14ac:dyDescent="0.25">
      <c r="A6100">
        <v>5914501</v>
      </c>
      <c r="B6100" t="s">
        <v>13109</v>
      </c>
      <c r="C6100" t="s">
        <v>12946</v>
      </c>
      <c r="D6100" s="254">
        <v>0.72</v>
      </c>
      <c r="E6100"/>
      <c r="F6100"/>
      <c r="G6100"/>
      <c r="H6100"/>
      <c r="I6100" s="489"/>
      <c r="J6100" s="1095"/>
      <c r="K6100" s="1095"/>
      <c r="L6100" s="1095"/>
      <c r="M6100" s="1095"/>
    </row>
    <row r="6101" spans="1:13" x14ac:dyDescent="0.25">
      <c r="A6101">
        <v>5914499</v>
      </c>
      <c r="B6101" t="s">
        <v>13110</v>
      </c>
      <c r="C6101" t="s">
        <v>12946</v>
      </c>
      <c r="D6101" s="254">
        <v>0.55000000000000004</v>
      </c>
      <c r="E6101"/>
      <c r="F6101"/>
      <c r="G6101"/>
      <c r="H6101"/>
      <c r="I6101" s="489"/>
      <c r="J6101" s="1095"/>
      <c r="K6101" s="1095"/>
      <c r="L6101" s="1095"/>
      <c r="M6101" s="1095"/>
    </row>
    <row r="6102" spans="1:13" x14ac:dyDescent="0.25">
      <c r="A6102">
        <v>5914504</v>
      </c>
      <c r="B6102" t="s">
        <v>13111</v>
      </c>
      <c r="C6102" t="s">
        <v>12946</v>
      </c>
      <c r="D6102" s="254">
        <v>1.1299999999999999</v>
      </c>
      <c r="E6102"/>
      <c r="F6102"/>
      <c r="G6102"/>
      <c r="H6102"/>
      <c r="I6102" s="489"/>
      <c r="J6102" s="1095"/>
      <c r="K6102" s="1095"/>
      <c r="L6102" s="1095"/>
      <c r="M6102" s="1095"/>
    </row>
    <row r="6103" spans="1:13" x14ac:dyDescent="0.25">
      <c r="A6103">
        <v>5914502</v>
      </c>
      <c r="B6103" t="s">
        <v>13112</v>
      </c>
      <c r="C6103" t="s">
        <v>12946</v>
      </c>
      <c r="D6103" s="254">
        <v>0.87</v>
      </c>
      <c r="E6103"/>
      <c r="F6103"/>
      <c r="G6103"/>
      <c r="H6103"/>
      <c r="I6103" s="489"/>
      <c r="J6103" s="1095"/>
      <c r="K6103" s="1095"/>
      <c r="L6103" s="1095"/>
      <c r="M6103" s="1095"/>
    </row>
    <row r="6104" spans="1:13" x14ac:dyDescent="0.25">
      <c r="A6104">
        <v>5914505</v>
      </c>
      <c r="B6104" t="s">
        <v>13113</v>
      </c>
      <c r="C6104" t="s">
        <v>12946</v>
      </c>
      <c r="D6104" s="254">
        <v>0.61</v>
      </c>
      <c r="E6104"/>
      <c r="F6104"/>
      <c r="G6104"/>
      <c r="H6104"/>
      <c r="I6104" s="489"/>
      <c r="J6104" s="1095"/>
      <c r="K6104" s="1095"/>
      <c r="L6104" s="1095"/>
      <c r="M6104" s="1095"/>
    </row>
    <row r="6105" spans="1:13" x14ac:dyDescent="0.25">
      <c r="A6105">
        <v>5914503</v>
      </c>
      <c r="B6105" t="s">
        <v>13114</v>
      </c>
      <c r="C6105" t="s">
        <v>12946</v>
      </c>
      <c r="D6105" s="254">
        <v>0.46</v>
      </c>
      <c r="E6105"/>
      <c r="F6105"/>
      <c r="G6105"/>
      <c r="H6105"/>
      <c r="I6105" s="489"/>
      <c r="J6105" s="1095"/>
      <c r="K6105" s="1095"/>
      <c r="L6105" s="1095"/>
      <c r="M6105" s="1095"/>
    </row>
    <row r="6106" spans="1:13" x14ac:dyDescent="0.25">
      <c r="A6106">
        <v>5914508</v>
      </c>
      <c r="B6106" t="s">
        <v>13115</v>
      </c>
      <c r="C6106" t="s">
        <v>12946</v>
      </c>
      <c r="D6106" s="254">
        <v>1.27</v>
      </c>
      <c r="E6106"/>
      <c r="F6106"/>
      <c r="G6106"/>
      <c r="H6106"/>
      <c r="I6106" s="489"/>
      <c r="J6106" s="1095"/>
      <c r="K6106" s="1095"/>
      <c r="L6106" s="1095"/>
      <c r="M6106" s="1095"/>
    </row>
    <row r="6107" spans="1:13" x14ac:dyDescent="0.25">
      <c r="A6107">
        <v>5914506</v>
      </c>
      <c r="B6107" t="s">
        <v>13116</v>
      </c>
      <c r="C6107" t="s">
        <v>12946</v>
      </c>
      <c r="D6107" s="254">
        <v>0.98</v>
      </c>
      <c r="E6107"/>
      <c r="F6107"/>
      <c r="G6107"/>
      <c r="H6107"/>
      <c r="I6107" s="489"/>
      <c r="J6107" s="1095"/>
      <c r="K6107" s="1095"/>
      <c r="L6107" s="1095"/>
      <c r="M6107" s="1095"/>
    </row>
    <row r="6108" spans="1:13" x14ac:dyDescent="0.25">
      <c r="A6108">
        <v>5914509</v>
      </c>
      <c r="B6108" t="s">
        <v>13117</v>
      </c>
      <c r="C6108" t="s">
        <v>12946</v>
      </c>
      <c r="D6108" s="254">
        <v>0.68</v>
      </c>
      <c r="E6108"/>
      <c r="F6108"/>
      <c r="G6108"/>
      <c r="H6108"/>
      <c r="I6108" s="489"/>
      <c r="J6108" s="1095"/>
      <c r="K6108" s="1095"/>
      <c r="L6108" s="1095"/>
      <c r="M6108" s="1095"/>
    </row>
    <row r="6109" spans="1:13" x14ac:dyDescent="0.25">
      <c r="A6109">
        <v>5914507</v>
      </c>
      <c r="B6109" t="s">
        <v>13118</v>
      </c>
      <c r="C6109" t="s">
        <v>12946</v>
      </c>
      <c r="D6109" s="254">
        <v>0.52</v>
      </c>
      <c r="E6109"/>
      <c r="F6109"/>
      <c r="G6109"/>
      <c r="H6109"/>
      <c r="I6109" s="489"/>
      <c r="J6109" s="1095"/>
      <c r="K6109" s="1095"/>
      <c r="L6109" s="1095"/>
      <c r="M6109" s="1095"/>
    </row>
    <row r="6110" spans="1:13" x14ac:dyDescent="0.25">
      <c r="A6110">
        <v>5915491</v>
      </c>
      <c r="B6110" t="s">
        <v>13119</v>
      </c>
      <c r="C6110" t="s">
        <v>9248</v>
      </c>
      <c r="D6110" s="254">
        <v>20.09</v>
      </c>
      <c r="E6110"/>
      <c r="F6110"/>
      <c r="G6110"/>
      <c r="H6110"/>
      <c r="I6110" s="489"/>
      <c r="J6110" s="1095"/>
      <c r="K6110" s="1095"/>
      <c r="L6110" s="1095"/>
      <c r="M6110" s="1095"/>
    </row>
    <row r="6111" spans="1:13" x14ac:dyDescent="0.25">
      <c r="A6111">
        <v>5915492</v>
      </c>
      <c r="B6111" t="s">
        <v>13120</v>
      </c>
      <c r="C6111" t="s">
        <v>9248</v>
      </c>
      <c r="D6111" s="254">
        <v>16.07</v>
      </c>
      <c r="E6111"/>
      <c r="F6111"/>
      <c r="G6111"/>
      <c r="H6111"/>
      <c r="I6111" s="489"/>
      <c r="J6111" s="1095"/>
      <c r="K6111" s="1095"/>
      <c r="L6111" s="1095"/>
      <c r="M6111" s="1095"/>
    </row>
    <row r="6112" spans="1:13" x14ac:dyDescent="0.25">
      <c r="A6112">
        <v>5915493</v>
      </c>
      <c r="B6112" t="s">
        <v>13121</v>
      </c>
      <c r="C6112" t="s">
        <v>9248</v>
      </c>
      <c r="D6112" s="254">
        <v>12.89</v>
      </c>
      <c r="E6112"/>
      <c r="F6112"/>
      <c r="G6112"/>
      <c r="H6112"/>
      <c r="I6112" s="489"/>
      <c r="J6112" s="1095"/>
      <c r="K6112" s="1095"/>
      <c r="L6112" s="1095"/>
      <c r="M6112" s="1095"/>
    </row>
    <row r="6113" spans="1:13" x14ac:dyDescent="0.25">
      <c r="A6113">
        <v>5915488</v>
      </c>
      <c r="B6113" t="s">
        <v>13122</v>
      </c>
      <c r="C6113" t="s">
        <v>9248</v>
      </c>
      <c r="D6113" s="254">
        <v>15.21</v>
      </c>
      <c r="E6113"/>
      <c r="F6113"/>
      <c r="G6113"/>
      <c r="H6113"/>
      <c r="I6113" s="489"/>
      <c r="J6113" s="1095"/>
      <c r="K6113" s="1095"/>
      <c r="L6113" s="1095"/>
      <c r="M6113" s="1095"/>
    </row>
    <row r="6114" spans="1:13" x14ac:dyDescent="0.25">
      <c r="A6114">
        <v>5915489</v>
      </c>
      <c r="B6114" t="s">
        <v>13123</v>
      </c>
      <c r="C6114" t="s">
        <v>9248</v>
      </c>
      <c r="D6114" s="254">
        <v>12.17</v>
      </c>
      <c r="E6114"/>
      <c r="F6114"/>
      <c r="G6114"/>
      <c r="H6114"/>
      <c r="I6114" s="489"/>
      <c r="J6114" s="1095"/>
      <c r="K6114" s="1095"/>
      <c r="L6114" s="1095"/>
      <c r="M6114" s="1095"/>
    </row>
    <row r="6115" spans="1:13" x14ac:dyDescent="0.25">
      <c r="A6115">
        <v>5915490</v>
      </c>
      <c r="B6115" t="s">
        <v>13124</v>
      </c>
      <c r="C6115" t="s">
        <v>9248</v>
      </c>
      <c r="D6115" s="254">
        <v>9.76</v>
      </c>
      <c r="E6115"/>
      <c r="F6115"/>
      <c r="G6115"/>
      <c r="H6115"/>
      <c r="I6115" s="489"/>
      <c r="J6115" s="1095"/>
      <c r="K6115" s="1095"/>
      <c r="L6115" s="1095"/>
      <c r="M6115" s="1095"/>
    </row>
    <row r="6116" spans="1:13" x14ac:dyDescent="0.25">
      <c r="A6116">
        <v>5915494</v>
      </c>
      <c r="B6116" t="s">
        <v>13125</v>
      </c>
      <c r="C6116" t="s">
        <v>9248</v>
      </c>
      <c r="D6116" s="254">
        <v>33.979999999999997</v>
      </c>
      <c r="E6116"/>
      <c r="F6116"/>
      <c r="G6116"/>
      <c r="H6116"/>
      <c r="I6116" s="489"/>
      <c r="J6116" s="1095"/>
      <c r="K6116" s="1095"/>
      <c r="L6116" s="1095"/>
      <c r="M6116" s="1095"/>
    </row>
    <row r="6117" spans="1:13" x14ac:dyDescent="0.25">
      <c r="A6117">
        <v>5915495</v>
      </c>
      <c r="B6117" t="s">
        <v>13126</v>
      </c>
      <c r="C6117" t="s">
        <v>9248</v>
      </c>
      <c r="D6117" s="254">
        <v>27.19</v>
      </c>
      <c r="E6117"/>
      <c r="F6117"/>
      <c r="G6117"/>
      <c r="H6117"/>
      <c r="I6117" s="489"/>
      <c r="J6117" s="1095"/>
      <c r="K6117" s="1095"/>
      <c r="L6117" s="1095"/>
      <c r="M6117" s="1095"/>
    </row>
    <row r="6118" spans="1:13" x14ac:dyDescent="0.25">
      <c r="A6118">
        <v>5915496</v>
      </c>
      <c r="B6118" t="s">
        <v>13127</v>
      </c>
      <c r="C6118" t="s">
        <v>9248</v>
      </c>
      <c r="D6118" s="254">
        <v>21.79</v>
      </c>
      <c r="E6118"/>
      <c r="F6118"/>
      <c r="G6118"/>
      <c r="H6118"/>
      <c r="I6118" s="489"/>
      <c r="J6118" s="1095"/>
      <c r="K6118" s="1095"/>
      <c r="L6118" s="1095"/>
      <c r="M6118" s="1095"/>
    </row>
    <row r="6119" spans="1:13" x14ac:dyDescent="0.25">
      <c r="A6119">
        <v>5915325</v>
      </c>
      <c r="B6119" t="s">
        <v>13128</v>
      </c>
      <c r="C6119" t="s">
        <v>9248</v>
      </c>
      <c r="D6119" s="254">
        <v>76.540000000000006</v>
      </c>
      <c r="E6119"/>
      <c r="F6119"/>
      <c r="G6119"/>
      <c r="H6119"/>
      <c r="I6119" s="489"/>
      <c r="J6119" s="1095"/>
      <c r="K6119" s="1095"/>
      <c r="L6119" s="1095"/>
      <c r="M6119" s="1095"/>
    </row>
    <row r="6120" spans="1:13" x14ac:dyDescent="0.25">
      <c r="A6120">
        <v>5915326</v>
      </c>
      <c r="B6120" t="s">
        <v>13129</v>
      </c>
      <c r="C6120" t="s">
        <v>9248</v>
      </c>
      <c r="D6120" s="254">
        <v>61.2</v>
      </c>
      <c r="E6120"/>
      <c r="F6120"/>
      <c r="G6120"/>
      <c r="H6120"/>
      <c r="I6120" s="489"/>
      <c r="J6120" s="1095"/>
      <c r="K6120" s="1095"/>
      <c r="L6120" s="1095"/>
      <c r="M6120" s="1095"/>
    </row>
    <row r="6121" spans="1:13" x14ac:dyDescent="0.25">
      <c r="A6121">
        <v>5915327</v>
      </c>
      <c r="B6121" t="s">
        <v>13130</v>
      </c>
      <c r="C6121" t="s">
        <v>9248</v>
      </c>
      <c r="D6121" s="254">
        <v>49.09</v>
      </c>
      <c r="E6121"/>
      <c r="F6121"/>
      <c r="G6121"/>
      <c r="H6121"/>
      <c r="I6121" s="489"/>
      <c r="J6121" s="1095"/>
      <c r="K6121" s="1095"/>
      <c r="L6121" s="1095"/>
      <c r="M6121" s="1095"/>
    </row>
    <row r="6122" spans="1:13" x14ac:dyDescent="0.25">
      <c r="A6122">
        <v>5915328</v>
      </c>
      <c r="B6122" t="s">
        <v>13131</v>
      </c>
      <c r="C6122" t="s">
        <v>9248</v>
      </c>
      <c r="D6122" s="254">
        <v>88.57</v>
      </c>
      <c r="E6122"/>
      <c r="F6122"/>
      <c r="G6122"/>
      <c r="H6122"/>
      <c r="I6122" s="489"/>
      <c r="J6122" s="1095"/>
      <c r="K6122" s="1095"/>
      <c r="L6122" s="1095"/>
      <c r="M6122" s="1095"/>
    </row>
    <row r="6123" spans="1:13" x14ac:dyDescent="0.25">
      <c r="A6123">
        <v>5915329</v>
      </c>
      <c r="B6123" t="s">
        <v>13132</v>
      </c>
      <c r="C6123" t="s">
        <v>9248</v>
      </c>
      <c r="D6123" s="254">
        <v>70.819999999999993</v>
      </c>
      <c r="E6123"/>
      <c r="F6123"/>
      <c r="G6123"/>
      <c r="H6123"/>
      <c r="I6123" s="489"/>
      <c r="J6123" s="1095"/>
      <c r="K6123" s="1095"/>
      <c r="L6123" s="1095"/>
      <c r="M6123" s="1095"/>
    </row>
    <row r="6124" spans="1:13" x14ac:dyDescent="0.25">
      <c r="A6124">
        <v>5915330</v>
      </c>
      <c r="B6124" t="s">
        <v>13133</v>
      </c>
      <c r="C6124" t="s">
        <v>9248</v>
      </c>
      <c r="D6124" s="254">
        <v>56.8</v>
      </c>
      <c r="E6124"/>
      <c r="F6124"/>
      <c r="G6124"/>
      <c r="H6124"/>
      <c r="I6124" s="489"/>
      <c r="J6124" s="1095"/>
      <c r="K6124" s="1095"/>
      <c r="L6124" s="1095"/>
      <c r="M6124" s="1095"/>
    </row>
    <row r="6125" spans="1:13" x14ac:dyDescent="0.25">
      <c r="A6125">
        <v>5915331</v>
      </c>
      <c r="B6125" t="s">
        <v>13134</v>
      </c>
      <c r="C6125" t="s">
        <v>9248</v>
      </c>
      <c r="D6125" s="254">
        <v>167.14</v>
      </c>
      <c r="E6125"/>
      <c r="F6125"/>
      <c r="G6125"/>
      <c r="H6125"/>
      <c r="I6125" s="489"/>
      <c r="J6125" s="1095"/>
      <c r="K6125" s="1095"/>
      <c r="L6125" s="1095"/>
      <c r="M6125" s="1095"/>
    </row>
    <row r="6126" spans="1:13" x14ac:dyDescent="0.25">
      <c r="A6126">
        <v>5915332</v>
      </c>
      <c r="B6126" t="s">
        <v>13135</v>
      </c>
      <c r="C6126" t="s">
        <v>9248</v>
      </c>
      <c r="D6126" s="254">
        <v>133.65</v>
      </c>
      <c r="E6126"/>
      <c r="F6126"/>
      <c r="G6126"/>
      <c r="H6126"/>
      <c r="I6126" s="489"/>
      <c r="J6126" s="1095"/>
      <c r="K6126" s="1095"/>
      <c r="L6126" s="1095"/>
      <c r="M6126" s="1095"/>
    </row>
    <row r="6127" spans="1:13" x14ac:dyDescent="0.25">
      <c r="A6127">
        <v>5915333</v>
      </c>
      <c r="B6127" t="s">
        <v>13136</v>
      </c>
      <c r="C6127" t="s">
        <v>9248</v>
      </c>
      <c r="D6127" s="254">
        <v>107.2</v>
      </c>
      <c r="E6127"/>
      <c r="F6127"/>
      <c r="G6127"/>
      <c r="H6127"/>
      <c r="I6127" s="489"/>
      <c r="J6127" s="1095"/>
      <c r="K6127" s="1095"/>
      <c r="L6127" s="1095"/>
      <c r="M6127" s="1095"/>
    </row>
    <row r="6128" spans="1:13" x14ac:dyDescent="0.25">
      <c r="A6128">
        <v>5915364</v>
      </c>
      <c r="B6128" t="s">
        <v>13137</v>
      </c>
      <c r="C6128" t="s">
        <v>9248</v>
      </c>
      <c r="D6128" s="254">
        <v>187.37</v>
      </c>
      <c r="E6128"/>
      <c r="F6128"/>
      <c r="G6128"/>
      <c r="H6128"/>
      <c r="I6128" s="489"/>
      <c r="J6128" s="1095"/>
      <c r="K6128" s="1095"/>
      <c r="L6128" s="1095"/>
      <c r="M6128" s="1095"/>
    </row>
    <row r="6129" spans="1:13" x14ac:dyDescent="0.25">
      <c r="A6129">
        <v>5915365</v>
      </c>
      <c r="B6129" t="s">
        <v>13138</v>
      </c>
      <c r="C6129" t="s">
        <v>9248</v>
      </c>
      <c r="D6129" s="254">
        <v>149.82</v>
      </c>
      <c r="E6129"/>
      <c r="F6129"/>
      <c r="G6129"/>
      <c r="H6129"/>
      <c r="I6129" s="489"/>
      <c r="J6129" s="1095"/>
      <c r="K6129" s="1095"/>
      <c r="L6129" s="1095"/>
      <c r="M6129" s="1095"/>
    </row>
    <row r="6130" spans="1:13" x14ac:dyDescent="0.25">
      <c r="A6130">
        <v>5915361</v>
      </c>
      <c r="B6130" t="s">
        <v>13139</v>
      </c>
      <c r="C6130" t="s">
        <v>9248</v>
      </c>
      <c r="D6130" s="254">
        <v>120.17</v>
      </c>
      <c r="E6130"/>
      <c r="F6130"/>
      <c r="G6130"/>
      <c r="H6130"/>
      <c r="I6130" s="489"/>
      <c r="J6130" s="1095"/>
      <c r="K6130" s="1095"/>
      <c r="L6130" s="1095"/>
      <c r="M6130" s="1095"/>
    </row>
    <row r="6131" spans="1:13" x14ac:dyDescent="0.25">
      <c r="A6131">
        <v>5919716</v>
      </c>
      <c r="B6131" t="s">
        <v>13140</v>
      </c>
      <c r="C6131" t="s">
        <v>9248</v>
      </c>
      <c r="D6131" s="254">
        <v>239.26</v>
      </c>
      <c r="E6131"/>
      <c r="F6131"/>
      <c r="G6131"/>
      <c r="H6131"/>
      <c r="I6131" s="489"/>
      <c r="J6131" s="1095"/>
      <c r="K6131" s="1095"/>
      <c r="L6131" s="1095"/>
      <c r="M6131" s="1095"/>
    </row>
    <row r="6132" spans="1:13" x14ac:dyDescent="0.25">
      <c r="A6132">
        <v>5919717</v>
      </c>
      <c r="B6132" t="s">
        <v>13141</v>
      </c>
      <c r="C6132" t="s">
        <v>9248</v>
      </c>
      <c r="D6132" s="254">
        <v>210.63</v>
      </c>
      <c r="E6132"/>
      <c r="F6132"/>
      <c r="G6132"/>
      <c r="H6132"/>
      <c r="I6132" s="489"/>
      <c r="J6132" s="1095"/>
      <c r="K6132" s="1095"/>
      <c r="L6132" s="1095"/>
      <c r="M6132" s="1095"/>
    </row>
    <row r="6133" spans="1:13" x14ac:dyDescent="0.25">
      <c r="A6133">
        <v>6106220</v>
      </c>
      <c r="B6133" t="s">
        <v>13142</v>
      </c>
      <c r="C6133" t="s">
        <v>2716</v>
      </c>
      <c r="D6133" s="254">
        <v>13.59</v>
      </c>
      <c r="E6133"/>
      <c r="F6133"/>
      <c r="G6133"/>
      <c r="H6133"/>
      <c r="I6133" s="489"/>
      <c r="J6133" s="1095"/>
      <c r="K6133" s="1095"/>
      <c r="L6133" s="1095"/>
      <c r="M6133" s="1095"/>
    </row>
    <row r="6134" spans="1:13" x14ac:dyDescent="0.25">
      <c r="A6134">
        <v>6106218</v>
      </c>
      <c r="B6134" t="s">
        <v>13143</v>
      </c>
      <c r="C6134" t="s">
        <v>2640</v>
      </c>
      <c r="D6134" s="254">
        <v>511.72</v>
      </c>
      <c r="E6134"/>
      <c r="F6134"/>
      <c r="G6134"/>
      <c r="H6134"/>
      <c r="I6134" s="489"/>
      <c r="J6134" s="1095"/>
      <c r="K6134" s="1095"/>
      <c r="L6134" s="1095"/>
      <c r="M6134" s="1095"/>
    </row>
    <row r="6135" spans="1:13" x14ac:dyDescent="0.25">
      <c r="A6135">
        <v>6106189</v>
      </c>
      <c r="B6135" t="s">
        <v>13144</v>
      </c>
      <c r="C6135" t="s">
        <v>2596</v>
      </c>
      <c r="D6135" s="254">
        <v>5388.4</v>
      </c>
      <c r="E6135"/>
      <c r="F6135"/>
      <c r="G6135"/>
      <c r="H6135"/>
      <c r="I6135" s="489"/>
      <c r="J6135" s="1095"/>
      <c r="K6135" s="1095"/>
      <c r="L6135" s="1095"/>
      <c r="M6135" s="1095"/>
    </row>
    <row r="6136" spans="1:13" x14ac:dyDescent="0.25">
      <c r="A6136">
        <v>6106188</v>
      </c>
      <c r="B6136" t="s">
        <v>13145</v>
      </c>
      <c r="C6136" t="s">
        <v>2596</v>
      </c>
      <c r="D6136" s="254">
        <v>3685.42</v>
      </c>
      <c r="E6136"/>
      <c r="F6136"/>
      <c r="G6136"/>
      <c r="H6136"/>
      <c r="I6136" s="489"/>
      <c r="J6136" s="1095"/>
      <c r="K6136" s="1095"/>
      <c r="L6136" s="1095"/>
      <c r="M6136" s="1095"/>
    </row>
    <row r="6137" spans="1:13" x14ac:dyDescent="0.25">
      <c r="A6137">
        <v>6106201</v>
      </c>
      <c r="B6137" t="s">
        <v>13146</v>
      </c>
      <c r="C6137" t="s">
        <v>2596</v>
      </c>
      <c r="D6137" s="254">
        <v>7973.36</v>
      </c>
      <c r="E6137"/>
      <c r="F6137"/>
      <c r="G6137"/>
      <c r="H6137"/>
      <c r="I6137" s="489"/>
      <c r="J6137" s="1095"/>
      <c r="K6137" s="1095"/>
      <c r="L6137" s="1095"/>
      <c r="M6137" s="1095"/>
    </row>
    <row r="6138" spans="1:13" x14ac:dyDescent="0.25">
      <c r="A6138">
        <v>6106200</v>
      </c>
      <c r="B6138" t="s">
        <v>13147</v>
      </c>
      <c r="C6138" t="s">
        <v>2596</v>
      </c>
      <c r="D6138" s="254">
        <v>5704.45</v>
      </c>
      <c r="E6138"/>
      <c r="F6138"/>
      <c r="G6138"/>
      <c r="H6138"/>
      <c r="I6138" s="489"/>
      <c r="J6138" s="1095"/>
      <c r="K6138" s="1095"/>
      <c r="L6138" s="1095"/>
      <c r="M6138" s="1095"/>
    </row>
    <row r="6139" spans="1:13" x14ac:dyDescent="0.25">
      <c r="A6139">
        <v>6106338</v>
      </c>
      <c r="B6139" t="s">
        <v>13148</v>
      </c>
      <c r="C6139" t="s">
        <v>2596</v>
      </c>
      <c r="D6139" s="254">
        <v>12443.05</v>
      </c>
      <c r="E6139"/>
      <c r="F6139"/>
      <c r="G6139"/>
      <c r="H6139"/>
      <c r="I6139" s="489"/>
      <c r="J6139" s="1095"/>
      <c r="K6139" s="1095"/>
      <c r="L6139" s="1095"/>
      <c r="M6139" s="1095"/>
    </row>
    <row r="6140" spans="1:13" x14ac:dyDescent="0.25">
      <c r="A6140">
        <v>6106337</v>
      </c>
      <c r="B6140" t="s">
        <v>13149</v>
      </c>
      <c r="C6140" t="s">
        <v>2596</v>
      </c>
      <c r="D6140" s="254">
        <v>9308.1299999999992</v>
      </c>
      <c r="E6140"/>
      <c r="F6140"/>
      <c r="G6140"/>
      <c r="H6140"/>
      <c r="I6140" s="489"/>
      <c r="J6140" s="1095"/>
      <c r="K6140" s="1095"/>
      <c r="L6140" s="1095"/>
      <c r="M6140" s="1095"/>
    </row>
    <row r="6141" spans="1:13" x14ac:dyDescent="0.25">
      <c r="A6141">
        <v>6106213</v>
      </c>
      <c r="B6141" t="s">
        <v>13150</v>
      </c>
      <c r="C6141" t="s">
        <v>2596</v>
      </c>
      <c r="D6141" s="254">
        <v>13293.43</v>
      </c>
      <c r="E6141"/>
      <c r="F6141"/>
      <c r="G6141"/>
      <c r="H6141"/>
      <c r="I6141" s="489"/>
      <c r="J6141" s="1095"/>
      <c r="K6141" s="1095"/>
      <c r="L6141" s="1095"/>
      <c r="M6141" s="1095"/>
    </row>
    <row r="6142" spans="1:13" x14ac:dyDescent="0.25">
      <c r="A6142">
        <v>6106212</v>
      </c>
      <c r="B6142" t="s">
        <v>13151</v>
      </c>
      <c r="C6142" t="s">
        <v>2596</v>
      </c>
      <c r="D6142" s="254">
        <v>9948.84</v>
      </c>
      <c r="E6142"/>
      <c r="F6142"/>
      <c r="G6142"/>
      <c r="H6142"/>
      <c r="I6142" s="489"/>
      <c r="J6142" s="1095"/>
      <c r="K6142" s="1095"/>
      <c r="L6142" s="1095"/>
      <c r="M6142" s="1095"/>
    </row>
    <row r="6143" spans="1:13" x14ac:dyDescent="0.25">
      <c r="A6143">
        <v>6106183</v>
      </c>
      <c r="B6143" t="s">
        <v>13152</v>
      </c>
      <c r="C6143" t="s">
        <v>2596</v>
      </c>
      <c r="D6143" s="254">
        <v>292.08</v>
      </c>
      <c r="E6143"/>
      <c r="F6143"/>
      <c r="G6143"/>
      <c r="H6143"/>
      <c r="I6143" s="489"/>
      <c r="J6143" s="1095"/>
      <c r="K6143" s="1095"/>
      <c r="L6143" s="1095"/>
      <c r="M6143" s="1095"/>
    </row>
    <row r="6144" spans="1:13" x14ac:dyDescent="0.25">
      <c r="A6144">
        <v>6106182</v>
      </c>
      <c r="B6144" t="s">
        <v>13153</v>
      </c>
      <c r="C6144" t="s">
        <v>2596</v>
      </c>
      <c r="D6144" s="254">
        <v>250.35</v>
      </c>
      <c r="E6144"/>
      <c r="F6144"/>
      <c r="G6144"/>
      <c r="H6144"/>
      <c r="I6144" s="489"/>
      <c r="J6144" s="1095"/>
      <c r="K6144" s="1095"/>
      <c r="L6144" s="1095"/>
      <c r="M6144" s="1095"/>
    </row>
    <row r="6145" spans="1:13" x14ac:dyDescent="0.25">
      <c r="A6145">
        <v>6106194</v>
      </c>
      <c r="B6145" t="s">
        <v>13154</v>
      </c>
      <c r="C6145" t="s">
        <v>2596</v>
      </c>
      <c r="D6145" s="254">
        <v>674.06</v>
      </c>
      <c r="E6145"/>
      <c r="F6145"/>
      <c r="G6145"/>
      <c r="H6145"/>
      <c r="I6145" s="489"/>
      <c r="J6145" s="1095"/>
      <c r="K6145" s="1095"/>
      <c r="L6145" s="1095"/>
      <c r="M6145" s="1095"/>
    </row>
    <row r="6146" spans="1:13" x14ac:dyDescent="0.25">
      <c r="A6146">
        <v>6106195</v>
      </c>
      <c r="B6146" t="s">
        <v>13155</v>
      </c>
      <c r="C6146" t="s">
        <v>2596</v>
      </c>
      <c r="D6146" s="254">
        <v>747.57</v>
      </c>
      <c r="E6146"/>
      <c r="F6146"/>
      <c r="G6146"/>
      <c r="H6146"/>
      <c r="I6146" s="489"/>
      <c r="J6146" s="1095"/>
      <c r="K6146" s="1095"/>
      <c r="L6146" s="1095"/>
      <c r="M6146" s="1095"/>
    </row>
    <row r="6147" spans="1:13" x14ac:dyDescent="0.25">
      <c r="A6147">
        <v>6106331</v>
      </c>
      <c r="B6147" t="s">
        <v>13156</v>
      </c>
      <c r="C6147" t="s">
        <v>2596</v>
      </c>
      <c r="D6147" s="254">
        <v>1757.96</v>
      </c>
      <c r="E6147"/>
      <c r="F6147"/>
      <c r="G6147"/>
      <c r="H6147"/>
      <c r="I6147" s="489"/>
      <c r="J6147" s="1095"/>
      <c r="K6147" s="1095"/>
      <c r="L6147" s="1095"/>
      <c r="M6147" s="1095"/>
    </row>
    <row r="6148" spans="1:13" x14ac:dyDescent="0.25">
      <c r="A6148">
        <v>6106332</v>
      </c>
      <c r="B6148" t="s">
        <v>13157</v>
      </c>
      <c r="C6148" t="s">
        <v>2596</v>
      </c>
      <c r="D6148" s="254">
        <v>1872.55</v>
      </c>
      <c r="E6148"/>
      <c r="F6148"/>
      <c r="G6148"/>
      <c r="H6148"/>
      <c r="I6148" s="489"/>
      <c r="J6148" s="1095"/>
      <c r="K6148" s="1095"/>
      <c r="L6148" s="1095"/>
      <c r="M6148" s="1095"/>
    </row>
    <row r="6149" spans="1:13" x14ac:dyDescent="0.25">
      <c r="A6149">
        <v>6106206</v>
      </c>
      <c r="B6149" t="s">
        <v>13158</v>
      </c>
      <c r="C6149" t="s">
        <v>2596</v>
      </c>
      <c r="D6149" s="254">
        <v>1961.8</v>
      </c>
      <c r="E6149"/>
      <c r="F6149"/>
      <c r="G6149"/>
      <c r="H6149"/>
      <c r="I6149" s="489"/>
      <c r="J6149" s="1095"/>
      <c r="K6149" s="1095"/>
      <c r="L6149" s="1095"/>
      <c r="M6149" s="1095"/>
    </row>
    <row r="6150" spans="1:13" x14ac:dyDescent="0.25">
      <c r="A6150">
        <v>6106207</v>
      </c>
      <c r="B6150" t="s">
        <v>13159</v>
      </c>
      <c r="C6150" t="s">
        <v>2596</v>
      </c>
      <c r="D6150" s="254">
        <v>2088.42</v>
      </c>
      <c r="E6150"/>
      <c r="F6150"/>
      <c r="G6150"/>
      <c r="H6150"/>
      <c r="I6150" s="489"/>
      <c r="J6150" s="1095"/>
      <c r="K6150" s="1095"/>
      <c r="L6150" s="1095"/>
      <c r="M6150" s="1095"/>
    </row>
    <row r="6151" spans="1:13" x14ac:dyDescent="0.25">
      <c r="A6151">
        <v>6106316</v>
      </c>
      <c r="B6151" t="s">
        <v>13160</v>
      </c>
      <c r="C6151" t="s">
        <v>2596</v>
      </c>
      <c r="D6151" s="254">
        <v>5388.4</v>
      </c>
      <c r="E6151"/>
      <c r="F6151"/>
      <c r="G6151"/>
      <c r="H6151"/>
      <c r="I6151" s="489"/>
      <c r="J6151" s="1095"/>
      <c r="K6151" s="1095"/>
      <c r="L6151" s="1095"/>
      <c r="M6151" s="1095"/>
    </row>
    <row r="6152" spans="1:13" x14ac:dyDescent="0.25">
      <c r="A6152">
        <v>6106315</v>
      </c>
      <c r="B6152" t="s">
        <v>13161</v>
      </c>
      <c r="C6152" t="s">
        <v>2596</v>
      </c>
      <c r="D6152" s="254">
        <v>3685.42</v>
      </c>
      <c r="E6152"/>
      <c r="F6152"/>
      <c r="G6152"/>
      <c r="H6152"/>
      <c r="I6152" s="489"/>
      <c r="J6152" s="1095"/>
      <c r="K6152" s="1095"/>
      <c r="L6152" s="1095"/>
      <c r="M6152" s="1095"/>
    </row>
    <row r="6153" spans="1:13" x14ac:dyDescent="0.25">
      <c r="A6153">
        <v>6106319</v>
      </c>
      <c r="B6153" t="s">
        <v>13162</v>
      </c>
      <c r="C6153" t="s">
        <v>2596</v>
      </c>
      <c r="D6153" s="254">
        <v>7973.36</v>
      </c>
      <c r="E6153"/>
      <c r="F6153"/>
      <c r="G6153"/>
      <c r="H6153"/>
      <c r="I6153" s="489"/>
      <c r="J6153" s="1095"/>
      <c r="K6153" s="1095"/>
      <c r="L6153" s="1095"/>
      <c r="M6153" s="1095"/>
    </row>
    <row r="6154" spans="1:13" x14ac:dyDescent="0.25">
      <c r="A6154">
        <v>6106318</v>
      </c>
      <c r="B6154" t="s">
        <v>13163</v>
      </c>
      <c r="C6154" t="s">
        <v>2596</v>
      </c>
      <c r="D6154" s="254">
        <v>5697.46</v>
      </c>
      <c r="E6154"/>
      <c r="F6154"/>
      <c r="G6154"/>
      <c r="H6154"/>
      <c r="I6154" s="489"/>
      <c r="J6154" s="1095"/>
      <c r="K6154" s="1095"/>
      <c r="L6154" s="1095"/>
      <c r="M6154" s="1095"/>
    </row>
    <row r="6155" spans="1:13" x14ac:dyDescent="0.25">
      <c r="A6155">
        <v>6106322</v>
      </c>
      <c r="B6155" t="s">
        <v>13164</v>
      </c>
      <c r="C6155" t="s">
        <v>2596</v>
      </c>
      <c r="D6155" s="254">
        <v>13293.35</v>
      </c>
      <c r="E6155"/>
      <c r="F6155"/>
      <c r="G6155"/>
      <c r="H6155"/>
      <c r="I6155" s="489"/>
      <c r="J6155" s="1095"/>
      <c r="K6155" s="1095"/>
      <c r="L6155" s="1095"/>
      <c r="M6155" s="1095"/>
    </row>
    <row r="6156" spans="1:13" x14ac:dyDescent="0.25">
      <c r="A6156">
        <v>6106321</v>
      </c>
      <c r="B6156" t="s">
        <v>13165</v>
      </c>
      <c r="C6156" t="s">
        <v>2596</v>
      </c>
      <c r="D6156" s="254">
        <v>9948.85</v>
      </c>
      <c r="E6156"/>
      <c r="F6156"/>
      <c r="G6156"/>
      <c r="H6156"/>
      <c r="I6156" s="489"/>
      <c r="J6156" s="1095"/>
      <c r="K6156" s="1095"/>
      <c r="L6156" s="1095"/>
      <c r="M6156" s="1095"/>
    </row>
    <row r="6157" spans="1:13" x14ac:dyDescent="0.25">
      <c r="A6157">
        <v>6106222</v>
      </c>
      <c r="B6157" t="s">
        <v>13166</v>
      </c>
      <c r="C6157" t="s">
        <v>2596</v>
      </c>
      <c r="D6157" s="254">
        <v>292.08</v>
      </c>
      <c r="E6157"/>
      <c r="F6157"/>
      <c r="G6157"/>
      <c r="H6157"/>
      <c r="I6157" s="489"/>
      <c r="J6157" s="1095"/>
      <c r="K6157" s="1095"/>
      <c r="L6157" s="1095"/>
      <c r="M6157" s="1095"/>
    </row>
    <row r="6158" spans="1:13" x14ac:dyDescent="0.25">
      <c r="A6158">
        <v>6106221</v>
      </c>
      <c r="B6158" t="s">
        <v>13167</v>
      </c>
      <c r="C6158" t="s">
        <v>2596</v>
      </c>
      <c r="D6158" s="254">
        <v>250.35</v>
      </c>
      <c r="E6158"/>
      <c r="F6158"/>
      <c r="G6158"/>
      <c r="H6158"/>
      <c r="I6158" s="489"/>
      <c r="J6158" s="1095"/>
      <c r="K6158" s="1095"/>
      <c r="L6158" s="1095"/>
      <c r="M6158" s="1095"/>
    </row>
    <row r="6159" spans="1:13" x14ac:dyDescent="0.25">
      <c r="A6159">
        <v>6106224</v>
      </c>
      <c r="B6159" t="s">
        <v>13168</v>
      </c>
      <c r="C6159" t="s">
        <v>2596</v>
      </c>
      <c r="D6159" s="254">
        <v>674.06</v>
      </c>
      <c r="E6159"/>
      <c r="F6159"/>
      <c r="G6159"/>
      <c r="H6159"/>
      <c r="I6159" s="489"/>
      <c r="J6159" s="1095"/>
      <c r="K6159" s="1095"/>
      <c r="L6159" s="1095"/>
      <c r="M6159" s="1095"/>
    </row>
    <row r="6160" spans="1:13" x14ac:dyDescent="0.25">
      <c r="A6160">
        <v>6106225</v>
      </c>
      <c r="B6160" t="s">
        <v>13169</v>
      </c>
      <c r="C6160" t="s">
        <v>2596</v>
      </c>
      <c r="D6160" s="254">
        <v>747.57</v>
      </c>
      <c r="E6160"/>
      <c r="F6160"/>
      <c r="G6160"/>
      <c r="H6160"/>
      <c r="I6160" s="489"/>
      <c r="J6160" s="1095"/>
      <c r="K6160" s="1095"/>
      <c r="L6160" s="1095"/>
      <c r="M6160" s="1095"/>
    </row>
    <row r="6161" spans="1:13" x14ac:dyDescent="0.25">
      <c r="A6161">
        <v>6106228</v>
      </c>
      <c r="B6161" t="s">
        <v>13170</v>
      </c>
      <c r="C6161" t="s">
        <v>2596</v>
      </c>
      <c r="D6161" s="254">
        <v>1661.76</v>
      </c>
      <c r="E6161"/>
      <c r="F6161"/>
      <c r="G6161"/>
      <c r="H6161"/>
      <c r="I6161" s="489"/>
      <c r="J6161" s="1095"/>
      <c r="K6161" s="1095"/>
      <c r="L6161" s="1095"/>
      <c r="M6161" s="1095"/>
    </row>
    <row r="6162" spans="1:13" x14ac:dyDescent="0.25">
      <c r="A6162">
        <v>6106229</v>
      </c>
      <c r="B6162" t="s">
        <v>13171</v>
      </c>
      <c r="C6162" t="s">
        <v>2596</v>
      </c>
      <c r="D6162" s="254">
        <v>1766.96</v>
      </c>
      <c r="E6162"/>
      <c r="F6162"/>
      <c r="G6162"/>
      <c r="H6162"/>
      <c r="I6162" s="489"/>
      <c r="J6162" s="1095"/>
      <c r="K6162" s="1095"/>
      <c r="L6162" s="1095"/>
      <c r="M6162" s="1095"/>
    </row>
    <row r="6163" spans="1:13" x14ac:dyDescent="0.25">
      <c r="A6163">
        <v>6106328</v>
      </c>
      <c r="B6163" t="s">
        <v>13172</v>
      </c>
      <c r="C6163" t="s">
        <v>2596</v>
      </c>
      <c r="D6163" s="254">
        <v>131.86000000000001</v>
      </c>
      <c r="E6163"/>
      <c r="F6163"/>
      <c r="G6163"/>
      <c r="H6163"/>
      <c r="I6163" s="489"/>
      <c r="J6163" s="1095"/>
      <c r="K6163" s="1095"/>
      <c r="L6163" s="1095"/>
      <c r="M6163" s="1095"/>
    </row>
    <row r="6164" spans="1:13" x14ac:dyDescent="0.25">
      <c r="A6164">
        <v>6106330</v>
      </c>
      <c r="B6164" t="s">
        <v>13173</v>
      </c>
      <c r="C6164" t="s">
        <v>2596</v>
      </c>
      <c r="D6164" s="254">
        <v>655.30999999999995</v>
      </c>
      <c r="E6164"/>
      <c r="F6164"/>
      <c r="G6164"/>
      <c r="H6164"/>
      <c r="I6164" s="489"/>
      <c r="J6164" s="1095"/>
      <c r="K6164" s="1095"/>
      <c r="L6164" s="1095"/>
      <c r="M6164" s="1095"/>
    </row>
    <row r="6165" spans="1:13" x14ac:dyDescent="0.25">
      <c r="A6165">
        <v>6106326</v>
      </c>
      <c r="B6165" t="s">
        <v>13174</v>
      </c>
      <c r="C6165" t="s">
        <v>2596</v>
      </c>
      <c r="D6165" s="254">
        <v>54.39</v>
      </c>
      <c r="E6165"/>
      <c r="F6165"/>
      <c r="G6165"/>
      <c r="H6165"/>
      <c r="I6165" s="489"/>
      <c r="J6165" s="1095"/>
      <c r="K6165" s="1095"/>
      <c r="L6165" s="1095"/>
      <c r="M6165" s="1095"/>
    </row>
    <row r="6166" spans="1:13" x14ac:dyDescent="0.25">
      <c r="A6166">
        <v>6106324</v>
      </c>
      <c r="B6166" t="s">
        <v>13175</v>
      </c>
      <c r="C6166" t="s">
        <v>2596</v>
      </c>
      <c r="D6166" s="254">
        <v>34.43</v>
      </c>
      <c r="E6166"/>
      <c r="F6166"/>
      <c r="G6166"/>
      <c r="H6166"/>
      <c r="I6166" s="489"/>
      <c r="J6166" s="1095"/>
      <c r="K6166" s="1095"/>
      <c r="L6166" s="1095"/>
      <c r="M6166" s="1095"/>
    </row>
    <row r="6167" spans="1:13" x14ac:dyDescent="0.25">
      <c r="A6167">
        <v>6106327</v>
      </c>
      <c r="B6167" t="s">
        <v>13176</v>
      </c>
      <c r="C6167" t="s">
        <v>2596</v>
      </c>
      <c r="D6167" s="254">
        <v>131.80000000000001</v>
      </c>
      <c r="E6167"/>
      <c r="F6167"/>
      <c r="G6167"/>
      <c r="H6167"/>
      <c r="I6167" s="489"/>
      <c r="J6167" s="1095"/>
      <c r="K6167" s="1095"/>
      <c r="L6167" s="1095"/>
      <c r="M6167" s="1095"/>
    </row>
    <row r="6168" spans="1:13" x14ac:dyDescent="0.25">
      <c r="A6168">
        <v>6106329</v>
      </c>
      <c r="B6168" t="s">
        <v>13177</v>
      </c>
      <c r="C6168" t="s">
        <v>2596</v>
      </c>
      <c r="D6168" s="254">
        <v>656.16</v>
      </c>
      <c r="E6168"/>
      <c r="F6168"/>
      <c r="G6168"/>
      <c r="H6168"/>
      <c r="I6168" s="489"/>
      <c r="J6168" s="1095"/>
      <c r="K6168" s="1095"/>
      <c r="L6168" s="1095"/>
      <c r="M6168" s="1095"/>
    </row>
    <row r="6169" spans="1:13" x14ac:dyDescent="0.25">
      <c r="A6169">
        <v>6106325</v>
      </c>
      <c r="B6169" t="s">
        <v>13178</v>
      </c>
      <c r="C6169" t="s">
        <v>2596</v>
      </c>
      <c r="D6169" s="254">
        <v>54.52</v>
      </c>
      <c r="E6169"/>
      <c r="F6169"/>
      <c r="G6169"/>
      <c r="H6169"/>
      <c r="I6169" s="489"/>
      <c r="J6169" s="1095"/>
      <c r="K6169" s="1095"/>
      <c r="L6169" s="1095"/>
      <c r="M6169" s="1095"/>
    </row>
    <row r="6170" spans="1:13" x14ac:dyDescent="0.25">
      <c r="A6170">
        <v>6208126</v>
      </c>
      <c r="B6170" t="s">
        <v>13865</v>
      </c>
      <c r="C6170" t="s">
        <v>2716</v>
      </c>
      <c r="D6170" s="254">
        <v>24.6</v>
      </c>
      <c r="E6170"/>
      <c r="F6170"/>
      <c r="G6170"/>
      <c r="H6170"/>
      <c r="I6170" s="489"/>
      <c r="J6170" s="1095"/>
      <c r="K6170" s="1095"/>
      <c r="L6170" s="1095"/>
      <c r="M6170" s="1095"/>
    </row>
    <row r="6171" spans="1:13" x14ac:dyDescent="0.25">
      <c r="A6171">
        <v>6205797</v>
      </c>
      <c r="B6171" t="s">
        <v>13179</v>
      </c>
      <c r="C6171" t="s">
        <v>2716</v>
      </c>
      <c r="D6171" s="254">
        <v>15.2</v>
      </c>
      <c r="E6171"/>
      <c r="F6171"/>
      <c r="G6171"/>
      <c r="H6171"/>
      <c r="I6171" s="489"/>
      <c r="J6171" s="1095"/>
      <c r="K6171" s="1095"/>
      <c r="L6171" s="1095"/>
      <c r="M6171" s="1095"/>
    </row>
    <row r="6172" spans="1:13" x14ac:dyDescent="0.25">
      <c r="A6172">
        <v>6205791</v>
      </c>
      <c r="B6172" t="s">
        <v>13180</v>
      </c>
      <c r="C6172" t="s">
        <v>2598</v>
      </c>
      <c r="D6172" s="254">
        <v>331.98</v>
      </c>
      <c r="E6172"/>
      <c r="F6172"/>
      <c r="G6172"/>
      <c r="H6172"/>
      <c r="I6172" s="489"/>
      <c r="J6172" s="1095"/>
      <c r="K6172" s="1095"/>
      <c r="L6172" s="1095"/>
      <c r="M6172" s="1095"/>
    </row>
    <row r="6173" spans="1:13" x14ac:dyDescent="0.25">
      <c r="A6173">
        <v>6205792</v>
      </c>
      <c r="B6173" t="s">
        <v>13181</v>
      </c>
      <c r="C6173" t="s">
        <v>2598</v>
      </c>
      <c r="D6173" s="254">
        <v>399.46</v>
      </c>
      <c r="E6173"/>
      <c r="F6173"/>
      <c r="G6173"/>
      <c r="H6173"/>
      <c r="I6173" s="489"/>
      <c r="J6173" s="1095"/>
      <c r="K6173" s="1095"/>
      <c r="L6173" s="1095"/>
      <c r="M6173" s="1095"/>
    </row>
    <row r="6174" spans="1:13" x14ac:dyDescent="0.25">
      <c r="A6174">
        <v>6205793</v>
      </c>
      <c r="B6174" t="s">
        <v>13182</v>
      </c>
      <c r="C6174" t="s">
        <v>2598</v>
      </c>
      <c r="D6174" s="254">
        <v>470.94</v>
      </c>
      <c r="E6174"/>
      <c r="F6174"/>
      <c r="G6174"/>
      <c r="H6174"/>
      <c r="I6174" s="489"/>
      <c r="J6174" s="1095"/>
      <c r="K6174" s="1095"/>
      <c r="L6174" s="1095"/>
      <c r="M6174" s="1095"/>
    </row>
    <row r="6175" spans="1:13" x14ac:dyDescent="0.25">
      <c r="A6175">
        <v>6205796</v>
      </c>
      <c r="B6175" t="s">
        <v>13183</v>
      </c>
      <c r="C6175" t="s">
        <v>2598</v>
      </c>
      <c r="D6175" s="254">
        <v>841.51</v>
      </c>
      <c r="E6175"/>
      <c r="F6175"/>
      <c r="G6175"/>
      <c r="H6175"/>
      <c r="I6175" s="489"/>
      <c r="J6175" s="1095"/>
      <c r="K6175" s="1095"/>
      <c r="L6175" s="1095"/>
      <c r="M6175" s="1095"/>
    </row>
    <row r="6176" spans="1:13" x14ac:dyDescent="0.25">
      <c r="A6176">
        <v>6219451</v>
      </c>
      <c r="B6176" t="s">
        <v>13184</v>
      </c>
      <c r="C6176" t="s">
        <v>2598</v>
      </c>
      <c r="D6176" s="254">
        <v>908.06</v>
      </c>
      <c r="E6176"/>
      <c r="F6176"/>
      <c r="G6176"/>
      <c r="H6176"/>
      <c r="I6176" s="489"/>
      <c r="J6176" s="1095"/>
      <c r="K6176" s="1095"/>
      <c r="L6176" s="1095"/>
      <c r="M6176" s="1095"/>
    </row>
    <row r="6177" spans="1:13" x14ac:dyDescent="0.25">
      <c r="A6177">
        <v>6219452</v>
      </c>
      <c r="B6177" t="s">
        <v>13185</v>
      </c>
      <c r="C6177" t="s">
        <v>2598</v>
      </c>
      <c r="D6177" s="254">
        <v>978.6</v>
      </c>
      <c r="E6177"/>
      <c r="F6177"/>
      <c r="G6177"/>
      <c r="H6177"/>
      <c r="I6177" s="489"/>
      <c r="J6177" s="1095"/>
      <c r="K6177" s="1095"/>
      <c r="L6177" s="1095"/>
      <c r="M6177" s="1095"/>
    </row>
    <row r="6178" spans="1:13" x14ac:dyDescent="0.25">
      <c r="A6178">
        <v>6205794</v>
      </c>
      <c r="B6178" t="s">
        <v>13186</v>
      </c>
      <c r="C6178" t="s">
        <v>2598</v>
      </c>
      <c r="D6178" s="254">
        <v>720.41</v>
      </c>
      <c r="E6178"/>
      <c r="F6178"/>
      <c r="G6178"/>
      <c r="H6178"/>
      <c r="I6178" s="489"/>
      <c r="J6178" s="1095"/>
      <c r="K6178" s="1095"/>
      <c r="L6178" s="1095"/>
      <c r="M6178" s="1095"/>
    </row>
    <row r="6179" spans="1:13" x14ac:dyDescent="0.25">
      <c r="A6179">
        <v>6205795</v>
      </c>
      <c r="B6179" t="s">
        <v>13187</v>
      </c>
      <c r="C6179" t="s">
        <v>2598</v>
      </c>
      <c r="D6179" s="254">
        <v>778.96</v>
      </c>
      <c r="E6179"/>
      <c r="F6179"/>
      <c r="G6179"/>
      <c r="H6179"/>
      <c r="I6179" s="489"/>
      <c r="J6179" s="1095"/>
      <c r="K6179" s="1095"/>
      <c r="L6179" s="1095"/>
      <c r="M6179" s="1095"/>
    </row>
    <row r="6180" spans="1:13" x14ac:dyDescent="0.25">
      <c r="A6180">
        <v>6219521</v>
      </c>
      <c r="B6180" t="s">
        <v>13188</v>
      </c>
      <c r="C6180" t="s">
        <v>2596</v>
      </c>
      <c r="D6180" s="254">
        <v>162.58000000000001</v>
      </c>
      <c r="E6180"/>
      <c r="F6180"/>
      <c r="G6180"/>
      <c r="H6180"/>
      <c r="I6180" s="489"/>
      <c r="J6180" s="1095"/>
      <c r="K6180" s="1095"/>
      <c r="L6180" s="1095"/>
      <c r="M6180" s="1095"/>
    </row>
    <row r="6181" spans="1:13" x14ac:dyDescent="0.25">
      <c r="A6181">
        <v>6219527</v>
      </c>
      <c r="B6181" t="s">
        <v>13189</v>
      </c>
      <c r="C6181" t="s">
        <v>2595</v>
      </c>
      <c r="D6181" s="254">
        <v>471.04</v>
      </c>
      <c r="E6181"/>
      <c r="F6181"/>
      <c r="G6181"/>
      <c r="H6181"/>
      <c r="I6181" s="489"/>
      <c r="J6181" s="1095"/>
      <c r="K6181" s="1095"/>
      <c r="L6181" s="1095"/>
      <c r="M6181" s="1095"/>
    </row>
    <row r="6182" spans="1:13" x14ac:dyDescent="0.25">
      <c r="A6182">
        <v>6219526</v>
      </c>
      <c r="B6182" t="s">
        <v>13190</v>
      </c>
      <c r="C6182" t="s">
        <v>2598</v>
      </c>
      <c r="D6182" s="254">
        <v>58.23</v>
      </c>
      <c r="E6182"/>
      <c r="F6182"/>
      <c r="G6182"/>
      <c r="H6182"/>
      <c r="I6182" s="489"/>
      <c r="J6182" s="1095"/>
      <c r="K6182" s="1095"/>
      <c r="L6182" s="1095"/>
      <c r="M6182" s="1095"/>
    </row>
    <row r="6183" spans="1:13" x14ac:dyDescent="0.25">
      <c r="A6183">
        <v>6219525</v>
      </c>
      <c r="B6183" t="s">
        <v>13191</v>
      </c>
      <c r="C6183" t="s">
        <v>2598</v>
      </c>
      <c r="D6183" s="254">
        <v>54.43</v>
      </c>
      <c r="E6183"/>
      <c r="F6183"/>
      <c r="G6183"/>
      <c r="H6183"/>
      <c r="I6183" s="489"/>
      <c r="J6183" s="1095"/>
      <c r="K6183" s="1095"/>
      <c r="L6183" s="1095"/>
      <c r="M6183" s="1095"/>
    </row>
    <row r="6184" spans="1:13" x14ac:dyDescent="0.25">
      <c r="A6184">
        <v>6219508</v>
      </c>
      <c r="B6184" t="s">
        <v>13192</v>
      </c>
      <c r="C6184" t="s">
        <v>2598</v>
      </c>
      <c r="D6184" s="254">
        <v>352.4</v>
      </c>
      <c r="E6184"/>
      <c r="F6184"/>
      <c r="G6184"/>
      <c r="H6184"/>
      <c r="I6184" s="489"/>
      <c r="J6184" s="1095"/>
      <c r="K6184" s="1095"/>
      <c r="L6184" s="1095"/>
      <c r="M6184" s="1095"/>
    </row>
    <row r="6185" spans="1:13" x14ac:dyDescent="0.25">
      <c r="A6185">
        <v>6219511</v>
      </c>
      <c r="B6185" t="s">
        <v>13193</v>
      </c>
      <c r="C6185" t="s">
        <v>2598</v>
      </c>
      <c r="D6185" s="254">
        <v>285.33</v>
      </c>
      <c r="E6185"/>
      <c r="F6185"/>
      <c r="G6185"/>
      <c r="H6185"/>
      <c r="I6185" s="489"/>
      <c r="J6185" s="1095"/>
      <c r="K6185" s="1095"/>
      <c r="L6185" s="1095"/>
      <c r="M6185" s="1095"/>
    </row>
    <row r="6186" spans="1:13" x14ac:dyDescent="0.25">
      <c r="A6186">
        <v>6219500</v>
      </c>
      <c r="B6186" t="s">
        <v>13194</v>
      </c>
      <c r="C6186" t="s">
        <v>2596</v>
      </c>
      <c r="D6186" s="254">
        <v>125.81</v>
      </c>
      <c r="E6186"/>
      <c r="F6186"/>
      <c r="G6186"/>
      <c r="H6186"/>
      <c r="I6186" s="489"/>
      <c r="J6186" s="1095"/>
      <c r="K6186" s="1095"/>
      <c r="L6186" s="1095"/>
      <c r="M6186" s="1095"/>
    </row>
    <row r="6187" spans="1:13" x14ac:dyDescent="0.25">
      <c r="A6187">
        <v>6219418</v>
      </c>
      <c r="B6187" t="s">
        <v>13195</v>
      </c>
      <c r="C6187" t="s">
        <v>2596</v>
      </c>
      <c r="D6187" s="254">
        <v>270.76</v>
      </c>
      <c r="E6187"/>
      <c r="F6187"/>
      <c r="G6187"/>
      <c r="H6187"/>
      <c r="I6187" s="489"/>
      <c r="J6187" s="1095"/>
      <c r="K6187" s="1095"/>
      <c r="L6187" s="1095"/>
      <c r="M6187" s="1095"/>
    </row>
    <row r="6188" spans="1:13" x14ac:dyDescent="0.25">
      <c r="A6188">
        <v>6219412</v>
      </c>
      <c r="B6188" t="s">
        <v>13196</v>
      </c>
      <c r="C6188" t="s">
        <v>2596</v>
      </c>
      <c r="D6188" s="254">
        <v>191.47</v>
      </c>
      <c r="E6188"/>
      <c r="F6188"/>
      <c r="G6188"/>
      <c r="H6188"/>
      <c r="I6188" s="489"/>
      <c r="J6188" s="1095"/>
      <c r="K6188" s="1095"/>
      <c r="L6188" s="1095"/>
      <c r="M6188" s="1095"/>
    </row>
    <row r="6189" spans="1:13" x14ac:dyDescent="0.25">
      <c r="A6189">
        <v>6219406</v>
      </c>
      <c r="B6189" t="s">
        <v>13197</v>
      </c>
      <c r="C6189" t="s">
        <v>2596</v>
      </c>
      <c r="D6189" s="254">
        <v>134.97999999999999</v>
      </c>
      <c r="E6189"/>
      <c r="F6189"/>
      <c r="G6189"/>
      <c r="H6189"/>
      <c r="I6189" s="489"/>
      <c r="J6189" s="1095"/>
      <c r="K6189" s="1095"/>
      <c r="L6189" s="1095"/>
      <c r="M6189" s="1095"/>
    </row>
    <row r="6190" spans="1:13" x14ac:dyDescent="0.25">
      <c r="A6190">
        <v>6219501</v>
      </c>
      <c r="B6190" t="s">
        <v>13198</v>
      </c>
      <c r="C6190" t="s">
        <v>2596</v>
      </c>
      <c r="D6190" s="254">
        <v>135.93</v>
      </c>
      <c r="E6190"/>
      <c r="F6190"/>
      <c r="G6190"/>
      <c r="H6190"/>
      <c r="I6190" s="489"/>
      <c r="J6190" s="1095"/>
      <c r="K6190" s="1095"/>
      <c r="L6190" s="1095"/>
      <c r="M6190" s="1095"/>
    </row>
    <row r="6191" spans="1:13" x14ac:dyDescent="0.25">
      <c r="A6191">
        <v>6219419</v>
      </c>
      <c r="B6191" t="s">
        <v>13199</v>
      </c>
      <c r="C6191" t="s">
        <v>2596</v>
      </c>
      <c r="D6191" s="254">
        <v>297.58</v>
      </c>
      <c r="E6191"/>
      <c r="F6191"/>
      <c r="G6191"/>
      <c r="H6191"/>
      <c r="I6191" s="489"/>
      <c r="J6191" s="1095"/>
      <c r="K6191" s="1095"/>
      <c r="L6191" s="1095"/>
      <c r="M6191" s="1095"/>
    </row>
    <row r="6192" spans="1:13" x14ac:dyDescent="0.25">
      <c r="A6192">
        <v>6219413</v>
      </c>
      <c r="B6192" t="s">
        <v>13200</v>
      </c>
      <c r="C6192" t="s">
        <v>2596</v>
      </c>
      <c r="D6192" s="254">
        <v>208.81</v>
      </c>
      <c r="E6192"/>
      <c r="F6192"/>
      <c r="G6192"/>
      <c r="H6192"/>
      <c r="I6192" s="489"/>
      <c r="J6192" s="1095"/>
      <c r="K6192" s="1095"/>
      <c r="L6192" s="1095"/>
      <c r="M6192" s="1095"/>
    </row>
    <row r="6193" spans="1:13" x14ac:dyDescent="0.25">
      <c r="A6193">
        <v>6219407</v>
      </c>
      <c r="B6193" t="s">
        <v>13201</v>
      </c>
      <c r="C6193" t="s">
        <v>2596</v>
      </c>
      <c r="D6193" s="254">
        <v>146.01</v>
      </c>
      <c r="E6193"/>
      <c r="F6193"/>
      <c r="G6193"/>
      <c r="H6193"/>
      <c r="I6193" s="489"/>
      <c r="J6193" s="1095"/>
      <c r="K6193" s="1095"/>
      <c r="L6193" s="1095"/>
      <c r="M6193" s="1095"/>
    </row>
    <row r="6194" spans="1:13" x14ac:dyDescent="0.25">
      <c r="A6194">
        <v>6219502</v>
      </c>
      <c r="B6194" t="s">
        <v>13202</v>
      </c>
      <c r="C6194" t="s">
        <v>2596</v>
      </c>
      <c r="D6194" s="254">
        <v>146.71</v>
      </c>
      <c r="E6194"/>
      <c r="F6194"/>
      <c r="G6194"/>
      <c r="H6194"/>
      <c r="I6194" s="489"/>
      <c r="J6194" s="1095"/>
      <c r="K6194" s="1095"/>
      <c r="L6194" s="1095"/>
      <c r="M6194" s="1095"/>
    </row>
    <row r="6195" spans="1:13" x14ac:dyDescent="0.25">
      <c r="A6195">
        <v>6219420</v>
      </c>
      <c r="B6195" t="s">
        <v>13203</v>
      </c>
      <c r="C6195" t="s">
        <v>2596</v>
      </c>
      <c r="D6195" s="254">
        <v>332.93</v>
      </c>
      <c r="E6195"/>
      <c r="F6195"/>
      <c r="G6195"/>
      <c r="H6195"/>
      <c r="I6195" s="489"/>
      <c r="J6195" s="1095"/>
      <c r="K6195" s="1095"/>
      <c r="L6195" s="1095"/>
      <c r="M6195" s="1095"/>
    </row>
    <row r="6196" spans="1:13" x14ac:dyDescent="0.25">
      <c r="A6196">
        <v>6219414</v>
      </c>
      <c r="B6196" t="s">
        <v>13204</v>
      </c>
      <c r="C6196" t="s">
        <v>2596</v>
      </c>
      <c r="D6196" s="254">
        <v>229.28</v>
      </c>
      <c r="E6196"/>
      <c r="F6196"/>
      <c r="G6196"/>
      <c r="H6196"/>
      <c r="I6196" s="489"/>
      <c r="J6196" s="1095"/>
      <c r="K6196" s="1095"/>
      <c r="L6196" s="1095"/>
      <c r="M6196" s="1095"/>
    </row>
    <row r="6197" spans="1:13" x14ac:dyDescent="0.25">
      <c r="A6197">
        <v>6219408</v>
      </c>
      <c r="B6197" t="s">
        <v>13205</v>
      </c>
      <c r="C6197" t="s">
        <v>2596</v>
      </c>
      <c r="D6197" s="254">
        <v>157.59</v>
      </c>
      <c r="E6197"/>
      <c r="F6197"/>
      <c r="G6197"/>
      <c r="H6197"/>
      <c r="I6197" s="489"/>
      <c r="J6197" s="1095"/>
      <c r="K6197" s="1095"/>
      <c r="L6197" s="1095"/>
      <c r="M6197" s="1095"/>
    </row>
    <row r="6198" spans="1:13" x14ac:dyDescent="0.25">
      <c r="A6198">
        <v>6219503</v>
      </c>
      <c r="B6198" t="s">
        <v>13206</v>
      </c>
      <c r="C6198" t="s">
        <v>2596</v>
      </c>
      <c r="D6198" s="254">
        <v>169.47</v>
      </c>
      <c r="E6198"/>
      <c r="F6198"/>
      <c r="G6198"/>
      <c r="H6198"/>
      <c r="I6198" s="489"/>
      <c r="J6198" s="1095"/>
      <c r="K6198" s="1095"/>
      <c r="L6198" s="1095"/>
      <c r="M6198" s="1095"/>
    </row>
    <row r="6199" spans="1:13" x14ac:dyDescent="0.25">
      <c r="A6199">
        <v>6219421</v>
      </c>
      <c r="B6199" t="s">
        <v>13207</v>
      </c>
      <c r="C6199" t="s">
        <v>2596</v>
      </c>
      <c r="D6199" s="254">
        <v>395.16</v>
      </c>
      <c r="E6199"/>
      <c r="F6199"/>
      <c r="G6199"/>
      <c r="H6199"/>
      <c r="I6199" s="489"/>
      <c r="J6199" s="1095"/>
      <c r="K6199" s="1095"/>
      <c r="L6199" s="1095"/>
      <c r="M6199" s="1095"/>
    </row>
    <row r="6200" spans="1:13" x14ac:dyDescent="0.25">
      <c r="A6200">
        <v>6219415</v>
      </c>
      <c r="B6200" t="s">
        <v>13208</v>
      </c>
      <c r="C6200" t="s">
        <v>2596</v>
      </c>
      <c r="D6200" s="254">
        <v>267.61</v>
      </c>
      <c r="E6200"/>
      <c r="F6200"/>
      <c r="G6200"/>
      <c r="H6200"/>
      <c r="I6200" s="489"/>
      <c r="J6200" s="1095"/>
      <c r="K6200" s="1095"/>
      <c r="L6200" s="1095"/>
      <c r="M6200" s="1095"/>
    </row>
    <row r="6201" spans="1:13" x14ac:dyDescent="0.25">
      <c r="A6201">
        <v>6219409</v>
      </c>
      <c r="B6201" t="s">
        <v>13209</v>
      </c>
      <c r="C6201" t="s">
        <v>2596</v>
      </c>
      <c r="D6201" s="254">
        <v>183.33</v>
      </c>
      <c r="E6201"/>
      <c r="F6201"/>
      <c r="G6201"/>
      <c r="H6201"/>
      <c r="I6201" s="489"/>
      <c r="J6201" s="1095"/>
      <c r="K6201" s="1095"/>
      <c r="L6201" s="1095"/>
      <c r="M6201" s="1095"/>
    </row>
    <row r="6202" spans="1:13" x14ac:dyDescent="0.25">
      <c r="A6202">
        <v>6219518</v>
      </c>
      <c r="B6202" t="s">
        <v>13210</v>
      </c>
      <c r="C6202" t="s">
        <v>2596</v>
      </c>
      <c r="D6202" s="254">
        <v>52.48</v>
      </c>
      <c r="E6202"/>
      <c r="F6202"/>
      <c r="G6202"/>
      <c r="H6202"/>
      <c r="I6202" s="489"/>
      <c r="J6202" s="1095"/>
      <c r="K6202" s="1095"/>
      <c r="L6202" s="1095"/>
      <c r="M6202" s="1095"/>
    </row>
    <row r="6203" spans="1:13" x14ac:dyDescent="0.25">
      <c r="A6203">
        <v>6219504</v>
      </c>
      <c r="B6203" t="s">
        <v>13211</v>
      </c>
      <c r="C6203" t="s">
        <v>2596</v>
      </c>
      <c r="D6203" s="254">
        <v>113.09</v>
      </c>
      <c r="E6203"/>
      <c r="F6203"/>
      <c r="G6203"/>
      <c r="H6203"/>
      <c r="I6203" s="489"/>
      <c r="J6203" s="1095"/>
      <c r="K6203" s="1095"/>
      <c r="L6203" s="1095"/>
      <c r="M6203" s="1095"/>
    </row>
    <row r="6204" spans="1:13" x14ac:dyDescent="0.25">
      <c r="A6204">
        <v>6219422</v>
      </c>
      <c r="B6204" t="s">
        <v>13212</v>
      </c>
      <c r="C6204" t="s">
        <v>2596</v>
      </c>
      <c r="D6204" s="254">
        <v>249.14</v>
      </c>
      <c r="E6204"/>
      <c r="F6204"/>
      <c r="G6204"/>
      <c r="H6204"/>
      <c r="I6204" s="489"/>
      <c r="J6204" s="1095"/>
      <c r="K6204" s="1095"/>
      <c r="L6204" s="1095"/>
      <c r="M6204" s="1095"/>
    </row>
    <row r="6205" spans="1:13" x14ac:dyDescent="0.25">
      <c r="A6205">
        <v>6219416</v>
      </c>
      <c r="B6205" t="s">
        <v>13213</v>
      </c>
      <c r="C6205" t="s">
        <v>2596</v>
      </c>
      <c r="D6205" s="254">
        <v>191.94</v>
      </c>
      <c r="E6205"/>
      <c r="F6205"/>
      <c r="G6205"/>
      <c r="H6205"/>
      <c r="I6205" s="489"/>
      <c r="J6205" s="1095"/>
      <c r="K6205" s="1095"/>
      <c r="L6205" s="1095"/>
      <c r="M6205" s="1095"/>
    </row>
    <row r="6206" spans="1:13" x14ac:dyDescent="0.25">
      <c r="A6206">
        <v>6219410</v>
      </c>
      <c r="B6206" t="s">
        <v>13214</v>
      </c>
      <c r="C6206" t="s">
        <v>2596</v>
      </c>
      <c r="D6206" s="254">
        <v>134.61000000000001</v>
      </c>
      <c r="E6206"/>
      <c r="F6206"/>
      <c r="G6206"/>
      <c r="H6206"/>
      <c r="I6206" s="489"/>
      <c r="J6206" s="1095"/>
      <c r="K6206" s="1095"/>
      <c r="L6206" s="1095"/>
      <c r="M6206" s="1095"/>
    </row>
    <row r="6207" spans="1:13" x14ac:dyDescent="0.25">
      <c r="A6207">
        <v>6219505</v>
      </c>
      <c r="B6207" t="s">
        <v>13215</v>
      </c>
      <c r="C6207" t="s">
        <v>2596</v>
      </c>
      <c r="D6207" s="254">
        <v>97.99</v>
      </c>
      <c r="E6207"/>
      <c r="F6207"/>
      <c r="G6207"/>
      <c r="H6207"/>
      <c r="I6207" s="489"/>
      <c r="J6207" s="1095"/>
      <c r="K6207" s="1095"/>
      <c r="L6207" s="1095"/>
      <c r="M6207" s="1095"/>
    </row>
    <row r="6208" spans="1:13" x14ac:dyDescent="0.25">
      <c r="A6208">
        <v>6219423</v>
      </c>
      <c r="B6208" t="s">
        <v>13216</v>
      </c>
      <c r="C6208" t="s">
        <v>2596</v>
      </c>
      <c r="D6208" s="254">
        <v>228.49</v>
      </c>
      <c r="E6208"/>
      <c r="F6208"/>
      <c r="G6208"/>
      <c r="H6208"/>
      <c r="I6208" s="489"/>
      <c r="J6208" s="1095"/>
      <c r="K6208" s="1095"/>
      <c r="L6208" s="1095"/>
      <c r="M6208" s="1095"/>
    </row>
    <row r="6209" spans="1:13" x14ac:dyDescent="0.25">
      <c r="A6209">
        <v>6219417</v>
      </c>
      <c r="B6209" t="s">
        <v>13217</v>
      </c>
      <c r="C6209" t="s">
        <v>2596</v>
      </c>
      <c r="D6209" s="254">
        <v>173.5</v>
      </c>
      <c r="E6209"/>
      <c r="F6209"/>
      <c r="G6209"/>
      <c r="H6209"/>
      <c r="I6209" s="489"/>
      <c r="J6209" s="1095"/>
      <c r="K6209" s="1095"/>
      <c r="L6209" s="1095"/>
      <c r="M6209" s="1095"/>
    </row>
    <row r="6210" spans="1:13" x14ac:dyDescent="0.25">
      <c r="A6210">
        <v>6219411</v>
      </c>
      <c r="B6210" t="s">
        <v>13218</v>
      </c>
      <c r="C6210" t="s">
        <v>2596</v>
      </c>
      <c r="D6210" s="254">
        <v>118.44</v>
      </c>
      <c r="E6210"/>
      <c r="F6210"/>
      <c r="G6210"/>
      <c r="H6210"/>
      <c r="I6210" s="489"/>
      <c r="J6210" s="1095"/>
      <c r="K6210" s="1095"/>
      <c r="L6210" s="1095"/>
      <c r="M6210" s="1095"/>
    </row>
    <row r="6211" spans="1:13" x14ac:dyDescent="0.25">
      <c r="A6211">
        <v>6219520</v>
      </c>
      <c r="B6211" t="s">
        <v>13219</v>
      </c>
      <c r="C6211" t="s">
        <v>2595</v>
      </c>
      <c r="D6211" s="254">
        <v>54.5</v>
      </c>
      <c r="E6211"/>
      <c r="F6211"/>
      <c r="G6211"/>
      <c r="H6211"/>
      <c r="I6211" s="489"/>
      <c r="J6211" s="1095"/>
      <c r="K6211" s="1095"/>
      <c r="L6211" s="1095"/>
      <c r="M6211" s="1095"/>
    </row>
    <row r="6212" spans="1:13" x14ac:dyDescent="0.25">
      <c r="A6212">
        <v>6219433</v>
      </c>
      <c r="B6212" t="s">
        <v>13220</v>
      </c>
      <c r="C6212" t="s">
        <v>2598</v>
      </c>
      <c r="D6212" s="254">
        <v>110.05</v>
      </c>
      <c r="E6212"/>
      <c r="F6212"/>
      <c r="G6212"/>
      <c r="H6212"/>
      <c r="I6212" s="489"/>
      <c r="J6212" s="1095"/>
      <c r="K6212" s="1095"/>
      <c r="L6212" s="1095"/>
      <c r="M6212" s="1095"/>
    </row>
    <row r="6213" spans="1:13" x14ac:dyDescent="0.25">
      <c r="A6213">
        <v>6205801</v>
      </c>
      <c r="B6213" t="s">
        <v>13221</v>
      </c>
      <c r="C6213" t="s">
        <v>2598</v>
      </c>
      <c r="D6213" s="254">
        <v>73.95</v>
      </c>
      <c r="E6213"/>
      <c r="F6213"/>
      <c r="G6213"/>
      <c r="H6213"/>
      <c r="I6213" s="489"/>
      <c r="J6213" s="1095"/>
      <c r="K6213" s="1095"/>
      <c r="L6213" s="1095"/>
      <c r="M6213" s="1095"/>
    </row>
    <row r="6214" spans="1:13" x14ac:dyDescent="0.25">
      <c r="A6214">
        <v>6219524</v>
      </c>
      <c r="B6214" t="s">
        <v>13222</v>
      </c>
      <c r="C6214" t="s">
        <v>2640</v>
      </c>
      <c r="D6214" s="254">
        <v>11.42</v>
      </c>
      <c r="E6214"/>
      <c r="F6214"/>
      <c r="G6214"/>
      <c r="H6214"/>
      <c r="I6214" s="489"/>
      <c r="J6214" s="1095"/>
      <c r="K6214" s="1095"/>
      <c r="L6214" s="1095"/>
      <c r="M6214" s="1095"/>
    </row>
    <row r="6215" spans="1:13" x14ac:dyDescent="0.25">
      <c r="A6215">
        <v>6416036</v>
      </c>
      <c r="B6215" t="s">
        <v>13223</v>
      </c>
      <c r="C6215" t="s">
        <v>2596</v>
      </c>
      <c r="D6215" s="254">
        <v>130.46</v>
      </c>
      <c r="E6215"/>
      <c r="F6215"/>
      <c r="G6215"/>
      <c r="H6215"/>
      <c r="I6215" s="489"/>
      <c r="J6215" s="1095"/>
      <c r="K6215" s="1095"/>
      <c r="L6215" s="1095"/>
      <c r="M6215" s="1095"/>
    </row>
    <row r="6216" spans="1:13" x14ac:dyDescent="0.25">
      <c r="A6216">
        <v>6416038</v>
      </c>
      <c r="B6216" t="s">
        <v>13224</v>
      </c>
      <c r="C6216" t="s">
        <v>2596</v>
      </c>
      <c r="D6216" s="254">
        <v>68.7</v>
      </c>
      <c r="E6216"/>
      <c r="F6216"/>
      <c r="G6216"/>
      <c r="H6216"/>
      <c r="I6216" s="489"/>
      <c r="J6216" s="1095"/>
      <c r="K6216" s="1095"/>
      <c r="L6216" s="1095"/>
      <c r="M6216" s="1095"/>
    </row>
    <row r="6217" spans="1:13" x14ac:dyDescent="0.25">
      <c r="A6217">
        <v>6416037</v>
      </c>
      <c r="B6217" t="s">
        <v>13225</v>
      </c>
      <c r="C6217" t="s">
        <v>2596</v>
      </c>
      <c r="D6217" s="254">
        <v>140.61000000000001</v>
      </c>
      <c r="E6217"/>
      <c r="F6217"/>
      <c r="G6217"/>
      <c r="H6217"/>
      <c r="I6217" s="489"/>
      <c r="J6217" s="1095"/>
      <c r="K6217" s="1095"/>
      <c r="L6217" s="1095"/>
      <c r="M6217" s="1095"/>
    </row>
    <row r="6218" spans="1:13" x14ac:dyDescent="0.25">
      <c r="A6218">
        <v>6416035</v>
      </c>
      <c r="B6218" t="s">
        <v>13226</v>
      </c>
      <c r="C6218" t="s">
        <v>2596</v>
      </c>
      <c r="D6218" s="254">
        <v>78.44</v>
      </c>
      <c r="E6218"/>
      <c r="F6218"/>
      <c r="G6218"/>
      <c r="H6218"/>
      <c r="I6218" s="489"/>
      <c r="J6218" s="1095"/>
      <c r="K6218" s="1095"/>
      <c r="L6218" s="1095"/>
      <c r="M6218" s="1095"/>
    </row>
    <row r="6219" spans="1:13" x14ac:dyDescent="0.25">
      <c r="A6219">
        <v>6416076</v>
      </c>
      <c r="B6219" t="s">
        <v>13227</v>
      </c>
      <c r="C6219" t="s">
        <v>2695</v>
      </c>
      <c r="D6219" s="254">
        <v>182.42</v>
      </c>
      <c r="E6219"/>
      <c r="F6219"/>
      <c r="G6219"/>
      <c r="H6219"/>
      <c r="I6219" s="489"/>
      <c r="J6219" s="1095"/>
      <c r="K6219" s="1095"/>
      <c r="L6219" s="1095"/>
      <c r="M6219" s="1095"/>
    </row>
    <row r="6220" spans="1:13" x14ac:dyDescent="0.25">
      <c r="A6220">
        <v>6416075</v>
      </c>
      <c r="B6220" t="s">
        <v>13228</v>
      </c>
      <c r="C6220" t="s">
        <v>2695</v>
      </c>
      <c r="D6220" s="254">
        <v>113.17</v>
      </c>
      <c r="E6220"/>
      <c r="F6220"/>
      <c r="G6220"/>
      <c r="H6220"/>
      <c r="I6220" s="489"/>
      <c r="J6220" s="1095"/>
      <c r="K6220" s="1095"/>
      <c r="L6220" s="1095"/>
      <c r="M6220" s="1095"/>
    </row>
    <row r="6221" spans="1:13" x14ac:dyDescent="0.25">
      <c r="A6221">
        <v>6416226</v>
      </c>
      <c r="B6221" t="s">
        <v>13229</v>
      </c>
      <c r="C6221" t="s">
        <v>2695</v>
      </c>
      <c r="D6221" s="254">
        <v>173.04</v>
      </c>
      <c r="E6221"/>
      <c r="F6221"/>
      <c r="G6221"/>
      <c r="H6221"/>
      <c r="I6221" s="489"/>
      <c r="J6221" s="1095"/>
      <c r="K6221" s="1095"/>
      <c r="L6221" s="1095"/>
      <c r="M6221" s="1095"/>
    </row>
    <row r="6222" spans="1:13" x14ac:dyDescent="0.25">
      <c r="A6222">
        <v>6416225</v>
      </c>
      <c r="B6222" t="s">
        <v>13230</v>
      </c>
      <c r="C6222" t="s">
        <v>2695</v>
      </c>
      <c r="D6222" s="254">
        <v>102.26</v>
      </c>
      <c r="E6222"/>
      <c r="F6222"/>
      <c r="G6222"/>
      <c r="H6222"/>
      <c r="I6222" s="489"/>
      <c r="J6222" s="1095"/>
      <c r="K6222" s="1095"/>
      <c r="L6222" s="1095"/>
      <c r="M6222" s="1095"/>
    </row>
    <row r="6223" spans="1:13" x14ac:dyDescent="0.25">
      <c r="A6223">
        <v>6416084</v>
      </c>
      <c r="B6223" t="s">
        <v>13231</v>
      </c>
      <c r="C6223" t="s">
        <v>2695</v>
      </c>
      <c r="D6223" s="254">
        <v>175.76</v>
      </c>
      <c r="E6223"/>
      <c r="F6223"/>
      <c r="G6223"/>
      <c r="H6223"/>
      <c r="I6223" s="489"/>
      <c r="J6223" s="1095"/>
      <c r="K6223" s="1095"/>
      <c r="L6223" s="1095"/>
      <c r="M6223" s="1095"/>
    </row>
    <row r="6224" spans="1:13" x14ac:dyDescent="0.25">
      <c r="A6224">
        <v>6416083</v>
      </c>
      <c r="B6224" t="s">
        <v>13232</v>
      </c>
      <c r="C6224" t="s">
        <v>2695</v>
      </c>
      <c r="D6224" s="254">
        <v>102.99</v>
      </c>
      <c r="E6224"/>
      <c r="F6224"/>
      <c r="G6224"/>
      <c r="H6224"/>
      <c r="I6224" s="489"/>
      <c r="J6224" s="1095"/>
      <c r="K6224" s="1095"/>
      <c r="L6224" s="1095"/>
      <c r="M6224" s="1095"/>
    </row>
    <row r="6225" spans="1:13" x14ac:dyDescent="0.25">
      <c r="A6225">
        <v>6416234</v>
      </c>
      <c r="B6225" t="s">
        <v>13233</v>
      </c>
      <c r="C6225" t="s">
        <v>2695</v>
      </c>
      <c r="D6225" s="254">
        <v>180.99</v>
      </c>
      <c r="E6225"/>
      <c r="F6225"/>
      <c r="G6225"/>
      <c r="H6225"/>
      <c r="I6225" s="489"/>
      <c r="J6225" s="1095"/>
      <c r="K6225" s="1095"/>
      <c r="L6225" s="1095"/>
      <c r="M6225" s="1095"/>
    </row>
    <row r="6226" spans="1:13" x14ac:dyDescent="0.25">
      <c r="A6226">
        <v>6416233</v>
      </c>
      <c r="B6226" t="s">
        <v>13234</v>
      </c>
      <c r="C6226" t="s">
        <v>2695</v>
      </c>
      <c r="D6226" s="254">
        <v>109.53</v>
      </c>
      <c r="E6226"/>
      <c r="F6226"/>
      <c r="G6226"/>
      <c r="H6226"/>
      <c r="I6226" s="489"/>
      <c r="J6226" s="1095"/>
      <c r="K6226" s="1095"/>
      <c r="L6226" s="1095"/>
      <c r="M6226" s="1095"/>
    </row>
    <row r="6227" spans="1:13" x14ac:dyDescent="0.25">
      <c r="A6227">
        <v>6416236</v>
      </c>
      <c r="B6227" t="s">
        <v>13235</v>
      </c>
      <c r="C6227" t="s">
        <v>2695</v>
      </c>
      <c r="D6227" s="254">
        <v>184.39</v>
      </c>
      <c r="E6227"/>
      <c r="F6227"/>
      <c r="G6227"/>
      <c r="H6227"/>
      <c r="I6227" s="489"/>
      <c r="J6227" s="1095"/>
      <c r="K6227" s="1095"/>
      <c r="L6227" s="1095"/>
      <c r="M6227" s="1095"/>
    </row>
    <row r="6228" spans="1:13" x14ac:dyDescent="0.25">
      <c r="A6228">
        <v>6416235</v>
      </c>
      <c r="B6228" t="s">
        <v>13236</v>
      </c>
      <c r="C6228" t="s">
        <v>2695</v>
      </c>
      <c r="D6228" s="254">
        <v>113.84</v>
      </c>
      <c r="E6228"/>
      <c r="F6228"/>
      <c r="G6228"/>
      <c r="H6228"/>
      <c r="I6228" s="489"/>
      <c r="J6228" s="1095"/>
      <c r="K6228" s="1095"/>
      <c r="L6228" s="1095"/>
      <c r="M6228" s="1095"/>
    </row>
    <row r="6229" spans="1:13" x14ac:dyDescent="0.25">
      <c r="A6229">
        <v>6416040</v>
      </c>
      <c r="B6229" t="s">
        <v>13237</v>
      </c>
      <c r="C6229" t="s">
        <v>2596</v>
      </c>
      <c r="D6229" s="254">
        <v>188.83</v>
      </c>
      <c r="E6229"/>
      <c r="F6229"/>
      <c r="G6229"/>
      <c r="H6229"/>
      <c r="I6229" s="489"/>
      <c r="J6229" s="1095"/>
      <c r="K6229" s="1095"/>
      <c r="L6229" s="1095"/>
      <c r="M6229" s="1095"/>
    </row>
    <row r="6230" spans="1:13" x14ac:dyDescent="0.25">
      <c r="A6230">
        <v>6416039</v>
      </c>
      <c r="B6230" t="s">
        <v>13238</v>
      </c>
      <c r="C6230" t="s">
        <v>2596</v>
      </c>
      <c r="D6230" s="254">
        <v>93.24</v>
      </c>
      <c r="E6230"/>
      <c r="F6230"/>
      <c r="G6230"/>
      <c r="H6230"/>
      <c r="I6230" s="489"/>
      <c r="J6230" s="1095"/>
      <c r="K6230" s="1095"/>
      <c r="L6230" s="1095"/>
      <c r="M6230" s="1095"/>
    </row>
    <row r="6231" spans="1:13" x14ac:dyDescent="0.25">
      <c r="A6231">
        <v>6416042</v>
      </c>
      <c r="B6231" t="s">
        <v>13239</v>
      </c>
      <c r="C6231" t="s">
        <v>2596</v>
      </c>
      <c r="D6231" s="254">
        <v>236.2</v>
      </c>
      <c r="E6231"/>
      <c r="F6231"/>
      <c r="G6231"/>
      <c r="H6231"/>
      <c r="I6231" s="489"/>
      <c r="J6231" s="1095"/>
      <c r="K6231" s="1095"/>
      <c r="L6231" s="1095"/>
      <c r="M6231" s="1095"/>
    </row>
    <row r="6232" spans="1:13" x14ac:dyDescent="0.25">
      <c r="A6232">
        <v>6416041</v>
      </c>
      <c r="B6232" t="s">
        <v>13240</v>
      </c>
      <c r="C6232" t="s">
        <v>2596</v>
      </c>
      <c r="D6232" s="254">
        <v>143.24</v>
      </c>
      <c r="E6232"/>
      <c r="F6232"/>
      <c r="G6232"/>
      <c r="H6232"/>
      <c r="I6232" s="489"/>
      <c r="J6232" s="1095"/>
      <c r="K6232" s="1095"/>
      <c r="L6232" s="1095"/>
      <c r="M6232" s="1095"/>
    </row>
    <row r="6233" spans="1:13" x14ac:dyDescent="0.25">
      <c r="A6233">
        <v>6416080</v>
      </c>
      <c r="B6233" t="s">
        <v>13241</v>
      </c>
      <c r="C6233" t="s">
        <v>2695</v>
      </c>
      <c r="D6233" s="254">
        <v>175.59</v>
      </c>
      <c r="E6233"/>
      <c r="F6233"/>
      <c r="G6233"/>
      <c r="H6233"/>
      <c r="I6233" s="489"/>
      <c r="J6233" s="1095"/>
      <c r="K6233" s="1095"/>
      <c r="L6233" s="1095"/>
      <c r="M6233" s="1095"/>
    </row>
    <row r="6234" spans="1:13" x14ac:dyDescent="0.25">
      <c r="A6234">
        <v>6416079</v>
      </c>
      <c r="B6234" t="s">
        <v>13242</v>
      </c>
      <c r="C6234" t="s">
        <v>2695</v>
      </c>
      <c r="D6234" s="254">
        <v>123.96</v>
      </c>
      <c r="E6234"/>
      <c r="F6234"/>
      <c r="G6234"/>
      <c r="H6234"/>
      <c r="I6234" s="489"/>
      <c r="J6234" s="1095"/>
      <c r="K6234" s="1095"/>
      <c r="L6234" s="1095"/>
      <c r="M6234" s="1095"/>
    </row>
    <row r="6235" spans="1:13" x14ac:dyDescent="0.25">
      <c r="A6235">
        <v>6416143</v>
      </c>
      <c r="B6235" t="s">
        <v>13243</v>
      </c>
      <c r="C6235" t="s">
        <v>2695</v>
      </c>
      <c r="D6235" s="254">
        <v>179.56</v>
      </c>
      <c r="E6235"/>
      <c r="F6235"/>
      <c r="G6235"/>
      <c r="H6235"/>
      <c r="I6235" s="489"/>
      <c r="J6235" s="1095"/>
      <c r="K6235" s="1095"/>
      <c r="L6235" s="1095"/>
      <c r="M6235" s="1095"/>
    </row>
    <row r="6236" spans="1:13" x14ac:dyDescent="0.25">
      <c r="A6236">
        <v>6416262</v>
      </c>
      <c r="B6236" t="s">
        <v>13244</v>
      </c>
      <c r="C6236" t="s">
        <v>2695</v>
      </c>
      <c r="D6236" s="254">
        <v>126.49</v>
      </c>
      <c r="E6236"/>
      <c r="F6236"/>
      <c r="G6236"/>
      <c r="H6236"/>
      <c r="I6236" s="489"/>
      <c r="J6236" s="1095"/>
      <c r="K6236" s="1095"/>
      <c r="L6236" s="1095"/>
      <c r="M6236" s="1095"/>
    </row>
    <row r="6237" spans="1:13" x14ac:dyDescent="0.25">
      <c r="A6237">
        <v>6416078</v>
      </c>
      <c r="B6237" t="s">
        <v>13245</v>
      </c>
      <c r="C6237" t="s">
        <v>2695</v>
      </c>
      <c r="D6237" s="254">
        <v>181.83</v>
      </c>
      <c r="E6237"/>
      <c r="F6237"/>
      <c r="G6237"/>
      <c r="H6237"/>
      <c r="I6237" s="489"/>
      <c r="J6237" s="1095"/>
      <c r="K6237" s="1095"/>
      <c r="L6237" s="1095"/>
      <c r="M6237" s="1095"/>
    </row>
    <row r="6238" spans="1:13" x14ac:dyDescent="0.25">
      <c r="A6238">
        <v>6416077</v>
      </c>
      <c r="B6238" t="s">
        <v>13246</v>
      </c>
      <c r="C6238" t="s">
        <v>2695</v>
      </c>
      <c r="D6238" s="254">
        <v>124.74</v>
      </c>
      <c r="E6238"/>
      <c r="F6238"/>
      <c r="G6238"/>
      <c r="H6238"/>
      <c r="I6238" s="489"/>
      <c r="J6238" s="1095"/>
      <c r="K6238" s="1095"/>
      <c r="L6238" s="1095"/>
      <c r="M6238" s="1095"/>
    </row>
    <row r="6239" spans="1:13" x14ac:dyDescent="0.25">
      <c r="A6239">
        <v>6416088</v>
      </c>
      <c r="B6239" t="s">
        <v>13247</v>
      </c>
      <c r="C6239" t="s">
        <v>2695</v>
      </c>
      <c r="D6239" s="254">
        <v>176.49</v>
      </c>
      <c r="E6239"/>
      <c r="F6239"/>
      <c r="G6239"/>
      <c r="H6239"/>
      <c r="I6239" s="489"/>
      <c r="J6239" s="1095"/>
      <c r="K6239" s="1095"/>
      <c r="L6239" s="1095"/>
      <c r="M6239" s="1095"/>
    </row>
    <row r="6240" spans="1:13" x14ac:dyDescent="0.25">
      <c r="A6240">
        <v>6416087</v>
      </c>
      <c r="B6240" t="s">
        <v>13248</v>
      </c>
      <c r="C6240" t="s">
        <v>2695</v>
      </c>
      <c r="D6240" s="254">
        <v>124.18</v>
      </c>
      <c r="E6240"/>
      <c r="F6240"/>
      <c r="G6240"/>
      <c r="H6240"/>
      <c r="I6240" s="489"/>
      <c r="J6240" s="1095"/>
      <c r="K6240" s="1095"/>
      <c r="L6240" s="1095"/>
      <c r="M6240" s="1095"/>
    </row>
    <row r="6241" spans="1:13" x14ac:dyDescent="0.25">
      <c r="A6241">
        <v>6416246</v>
      </c>
      <c r="B6241" t="s">
        <v>13249</v>
      </c>
      <c r="C6241" t="s">
        <v>2695</v>
      </c>
      <c r="D6241" s="254">
        <v>180.05</v>
      </c>
      <c r="E6241"/>
      <c r="F6241"/>
      <c r="G6241"/>
      <c r="H6241"/>
      <c r="I6241" s="489"/>
      <c r="J6241" s="1095"/>
      <c r="K6241" s="1095"/>
      <c r="L6241" s="1095"/>
      <c r="M6241" s="1095"/>
    </row>
    <row r="6242" spans="1:13" x14ac:dyDescent="0.25">
      <c r="A6242">
        <v>6416245</v>
      </c>
      <c r="B6242" t="s">
        <v>13250</v>
      </c>
      <c r="C6242" t="s">
        <v>2695</v>
      </c>
      <c r="D6242" s="254">
        <v>126.73</v>
      </c>
      <c r="E6242"/>
      <c r="F6242"/>
      <c r="G6242"/>
      <c r="H6242"/>
      <c r="I6242" s="489"/>
      <c r="J6242" s="1095"/>
      <c r="K6242" s="1095"/>
      <c r="L6242" s="1095"/>
      <c r="M6242" s="1095"/>
    </row>
    <row r="6243" spans="1:13" x14ac:dyDescent="0.25">
      <c r="A6243">
        <v>6416248</v>
      </c>
      <c r="B6243" t="s">
        <v>13251</v>
      </c>
      <c r="C6243" t="s">
        <v>2695</v>
      </c>
      <c r="D6243" s="254">
        <v>188.43</v>
      </c>
      <c r="E6243"/>
      <c r="F6243"/>
      <c r="G6243"/>
      <c r="H6243"/>
      <c r="I6243" s="489"/>
      <c r="J6243" s="1095"/>
      <c r="K6243" s="1095"/>
      <c r="L6243" s="1095"/>
      <c r="M6243" s="1095"/>
    </row>
    <row r="6244" spans="1:13" x14ac:dyDescent="0.25">
      <c r="A6244">
        <v>6416247</v>
      </c>
      <c r="B6244" t="s">
        <v>13252</v>
      </c>
      <c r="C6244" t="s">
        <v>2695</v>
      </c>
      <c r="D6244" s="254">
        <v>129.15</v>
      </c>
      <c r="E6244"/>
      <c r="F6244"/>
      <c r="G6244"/>
      <c r="H6244"/>
      <c r="I6244" s="489"/>
      <c r="J6244" s="1095"/>
      <c r="K6244" s="1095"/>
      <c r="L6244" s="1095"/>
      <c r="M6244" s="1095"/>
    </row>
    <row r="6245" spans="1:13" x14ac:dyDescent="0.25">
      <c r="A6245">
        <v>6416214</v>
      </c>
      <c r="B6245" t="s">
        <v>13253</v>
      </c>
      <c r="C6245" t="s">
        <v>2695</v>
      </c>
      <c r="D6245" s="254">
        <v>217.3</v>
      </c>
      <c r="E6245"/>
      <c r="F6245"/>
      <c r="G6245"/>
      <c r="H6245"/>
      <c r="I6245" s="489"/>
      <c r="J6245" s="1095"/>
      <c r="K6245" s="1095"/>
      <c r="L6245" s="1095"/>
      <c r="M6245" s="1095"/>
    </row>
    <row r="6246" spans="1:13" x14ac:dyDescent="0.25">
      <c r="A6246">
        <v>6416218</v>
      </c>
      <c r="B6246" t="s">
        <v>13254</v>
      </c>
      <c r="C6246" t="s">
        <v>2695</v>
      </c>
      <c r="D6246" s="254">
        <v>178.01</v>
      </c>
      <c r="E6246"/>
      <c r="F6246"/>
      <c r="G6246"/>
      <c r="H6246"/>
      <c r="I6246" s="489"/>
      <c r="J6246" s="1095"/>
      <c r="K6246" s="1095"/>
      <c r="L6246" s="1095"/>
      <c r="M6246" s="1095"/>
    </row>
    <row r="6247" spans="1:13" x14ac:dyDescent="0.25">
      <c r="A6247">
        <v>6416211</v>
      </c>
      <c r="B6247" t="s">
        <v>13255</v>
      </c>
      <c r="C6247" t="s">
        <v>2695</v>
      </c>
      <c r="D6247" s="254">
        <v>217.46</v>
      </c>
      <c r="E6247"/>
      <c r="F6247"/>
      <c r="G6247"/>
      <c r="H6247"/>
      <c r="I6247" s="489"/>
      <c r="J6247" s="1095"/>
      <c r="K6247" s="1095"/>
      <c r="L6247" s="1095"/>
      <c r="M6247" s="1095"/>
    </row>
    <row r="6248" spans="1:13" x14ac:dyDescent="0.25">
      <c r="A6248">
        <v>6416215</v>
      </c>
      <c r="B6248" t="s">
        <v>13256</v>
      </c>
      <c r="C6248" t="s">
        <v>2695</v>
      </c>
      <c r="D6248" s="254">
        <v>178.54</v>
      </c>
      <c r="E6248"/>
      <c r="F6248"/>
      <c r="G6248"/>
      <c r="H6248"/>
      <c r="I6248" s="489"/>
      <c r="J6248" s="1095"/>
      <c r="K6248" s="1095"/>
      <c r="L6248" s="1095"/>
      <c r="M6248" s="1095"/>
    </row>
    <row r="6249" spans="1:13" x14ac:dyDescent="0.25">
      <c r="A6249">
        <v>6416212</v>
      </c>
      <c r="B6249" t="s">
        <v>13257</v>
      </c>
      <c r="C6249" t="s">
        <v>2695</v>
      </c>
      <c r="D6249" s="254">
        <v>220.77</v>
      </c>
      <c r="E6249"/>
      <c r="F6249"/>
      <c r="G6249"/>
      <c r="H6249"/>
      <c r="I6249" s="489"/>
      <c r="J6249" s="1095"/>
      <c r="K6249" s="1095"/>
      <c r="L6249" s="1095"/>
      <c r="M6249" s="1095"/>
    </row>
    <row r="6250" spans="1:13" x14ac:dyDescent="0.25">
      <c r="A6250">
        <v>6416216</v>
      </c>
      <c r="B6250" t="s">
        <v>13258</v>
      </c>
      <c r="C6250" t="s">
        <v>2695</v>
      </c>
      <c r="D6250" s="254">
        <v>182.45</v>
      </c>
      <c r="E6250"/>
      <c r="F6250"/>
      <c r="G6250"/>
      <c r="H6250"/>
      <c r="I6250" s="489"/>
      <c r="J6250" s="1095"/>
      <c r="K6250" s="1095"/>
      <c r="L6250" s="1095"/>
      <c r="M6250" s="1095"/>
    </row>
    <row r="6251" spans="1:13" x14ac:dyDescent="0.25">
      <c r="A6251">
        <v>6416213</v>
      </c>
      <c r="B6251" t="s">
        <v>13259</v>
      </c>
      <c r="C6251" t="s">
        <v>2695</v>
      </c>
      <c r="D6251" s="254">
        <v>221.87</v>
      </c>
      <c r="E6251"/>
      <c r="F6251"/>
      <c r="G6251"/>
      <c r="H6251"/>
      <c r="I6251" s="489"/>
      <c r="J6251" s="1095"/>
      <c r="K6251" s="1095"/>
      <c r="L6251" s="1095"/>
      <c r="M6251" s="1095"/>
    </row>
    <row r="6252" spans="1:13" x14ac:dyDescent="0.25">
      <c r="A6252">
        <v>6416217</v>
      </c>
      <c r="B6252" t="s">
        <v>13260</v>
      </c>
      <c r="C6252" t="s">
        <v>2695</v>
      </c>
      <c r="D6252" s="254">
        <v>184.39</v>
      </c>
      <c r="E6252"/>
      <c r="F6252"/>
      <c r="G6252"/>
      <c r="H6252"/>
      <c r="I6252" s="489"/>
      <c r="J6252" s="1095"/>
      <c r="K6252" s="1095"/>
      <c r="L6252" s="1095"/>
      <c r="M6252" s="1095"/>
    </row>
    <row r="6253" spans="1:13" x14ac:dyDescent="0.25">
      <c r="A6253">
        <v>6416289</v>
      </c>
      <c r="B6253" t="s">
        <v>13261</v>
      </c>
      <c r="C6253" t="s">
        <v>2596</v>
      </c>
      <c r="D6253" s="254">
        <v>111.78</v>
      </c>
      <c r="E6253"/>
      <c r="F6253"/>
      <c r="G6253"/>
      <c r="H6253"/>
      <c r="I6253" s="489"/>
      <c r="J6253" s="1095"/>
      <c r="K6253" s="1095"/>
      <c r="L6253" s="1095"/>
      <c r="M6253" s="1095"/>
    </row>
    <row r="6254" spans="1:13" x14ac:dyDescent="0.25">
      <c r="A6254">
        <v>6416098</v>
      </c>
      <c r="B6254" t="s">
        <v>13262</v>
      </c>
      <c r="C6254" t="s">
        <v>2695</v>
      </c>
      <c r="D6254" s="254">
        <v>151.35</v>
      </c>
      <c r="E6254"/>
      <c r="F6254"/>
      <c r="G6254"/>
      <c r="H6254"/>
      <c r="I6254" s="489"/>
      <c r="J6254" s="1095"/>
      <c r="K6254" s="1095"/>
      <c r="L6254" s="1095"/>
      <c r="M6254" s="1095"/>
    </row>
    <row r="6255" spans="1:13" x14ac:dyDescent="0.25">
      <c r="A6255">
        <v>6416097</v>
      </c>
      <c r="B6255" t="s">
        <v>13263</v>
      </c>
      <c r="C6255" t="s">
        <v>2695</v>
      </c>
      <c r="D6255" s="254">
        <v>125.26</v>
      </c>
      <c r="E6255"/>
      <c r="F6255"/>
      <c r="G6255"/>
      <c r="H6255"/>
      <c r="I6255" s="489"/>
      <c r="J6255" s="1095"/>
      <c r="K6255" s="1095"/>
      <c r="L6255" s="1095"/>
      <c r="M6255" s="1095"/>
    </row>
    <row r="6256" spans="1:13" x14ac:dyDescent="0.25">
      <c r="A6256">
        <v>6416258</v>
      </c>
      <c r="B6256" t="s">
        <v>13264</v>
      </c>
      <c r="C6256" t="s">
        <v>2695</v>
      </c>
      <c r="D6256" s="254">
        <v>164.63</v>
      </c>
      <c r="E6256"/>
      <c r="F6256"/>
      <c r="G6256"/>
      <c r="H6256"/>
      <c r="I6256" s="489"/>
      <c r="J6256" s="1095"/>
      <c r="K6256" s="1095"/>
      <c r="L6256" s="1095"/>
      <c r="M6256" s="1095"/>
    </row>
    <row r="6257" spans="1:13" x14ac:dyDescent="0.25">
      <c r="A6257">
        <v>6416259</v>
      </c>
      <c r="B6257" t="s">
        <v>13265</v>
      </c>
      <c r="C6257" t="s">
        <v>2695</v>
      </c>
      <c r="D6257" s="254">
        <v>126.78</v>
      </c>
      <c r="E6257"/>
      <c r="F6257"/>
      <c r="G6257"/>
      <c r="H6257"/>
      <c r="I6257" s="489"/>
      <c r="J6257" s="1095"/>
      <c r="K6257" s="1095"/>
      <c r="L6257" s="1095"/>
      <c r="M6257" s="1095"/>
    </row>
    <row r="6258" spans="1:13" x14ac:dyDescent="0.25">
      <c r="A6258">
        <v>6416074</v>
      </c>
      <c r="B6258" t="s">
        <v>13266</v>
      </c>
      <c r="C6258" t="s">
        <v>2596</v>
      </c>
      <c r="D6258" s="254">
        <v>226.68</v>
      </c>
      <c r="E6258"/>
      <c r="F6258"/>
      <c r="G6258"/>
      <c r="H6258"/>
      <c r="I6258" s="489"/>
      <c r="J6258" s="1095"/>
      <c r="K6258" s="1095"/>
      <c r="L6258" s="1095"/>
      <c r="M6258" s="1095"/>
    </row>
    <row r="6259" spans="1:13" x14ac:dyDescent="0.25">
      <c r="A6259">
        <v>6416073</v>
      </c>
      <c r="B6259" t="s">
        <v>13267</v>
      </c>
      <c r="C6259" t="s">
        <v>2596</v>
      </c>
      <c r="D6259" s="254">
        <v>114.7</v>
      </c>
      <c r="E6259"/>
      <c r="F6259"/>
      <c r="G6259"/>
      <c r="H6259"/>
      <c r="I6259" s="489"/>
      <c r="J6259" s="1095"/>
      <c r="K6259" s="1095"/>
      <c r="L6259" s="1095"/>
      <c r="M6259" s="1095"/>
    </row>
    <row r="6260" spans="1:13" x14ac:dyDescent="0.25">
      <c r="A6260">
        <v>6416220</v>
      </c>
      <c r="B6260" t="s">
        <v>13268</v>
      </c>
      <c r="C6260" t="s">
        <v>2596</v>
      </c>
      <c r="D6260" s="254">
        <v>228.9</v>
      </c>
      <c r="E6260"/>
      <c r="F6260"/>
      <c r="G6260"/>
      <c r="H6260"/>
      <c r="I6260" s="489"/>
      <c r="J6260" s="1095"/>
      <c r="K6260" s="1095"/>
      <c r="L6260" s="1095"/>
      <c r="M6260" s="1095"/>
    </row>
    <row r="6261" spans="1:13" x14ac:dyDescent="0.25">
      <c r="A6261">
        <v>6416219</v>
      </c>
      <c r="B6261" t="s">
        <v>13269</v>
      </c>
      <c r="C6261" t="s">
        <v>2596</v>
      </c>
      <c r="D6261" s="254">
        <v>111.69</v>
      </c>
      <c r="E6261"/>
      <c r="F6261"/>
      <c r="G6261"/>
      <c r="H6261"/>
      <c r="I6261" s="489"/>
      <c r="J6261" s="1095"/>
      <c r="K6261" s="1095"/>
      <c r="L6261" s="1095"/>
      <c r="M6261" s="1095"/>
    </row>
    <row r="6262" spans="1:13" x14ac:dyDescent="0.25">
      <c r="A6262">
        <v>6416222</v>
      </c>
      <c r="B6262" t="s">
        <v>13270</v>
      </c>
      <c r="C6262" t="s">
        <v>2596</v>
      </c>
      <c r="D6262" s="254">
        <v>240.93</v>
      </c>
      <c r="E6262"/>
      <c r="F6262"/>
      <c r="G6262"/>
      <c r="H6262"/>
      <c r="I6262" s="489"/>
      <c r="J6262" s="1095"/>
      <c r="K6262" s="1095"/>
      <c r="L6262" s="1095"/>
      <c r="M6262" s="1095"/>
    </row>
    <row r="6263" spans="1:13" x14ac:dyDescent="0.25">
      <c r="A6263">
        <v>6416221</v>
      </c>
      <c r="B6263" t="s">
        <v>13271</v>
      </c>
      <c r="C6263" t="s">
        <v>2596</v>
      </c>
      <c r="D6263" s="254">
        <v>125.62</v>
      </c>
      <c r="E6263"/>
      <c r="F6263"/>
      <c r="G6263"/>
      <c r="H6263"/>
      <c r="I6263" s="489"/>
      <c r="J6263" s="1095"/>
      <c r="K6263" s="1095"/>
      <c r="L6263" s="1095"/>
      <c r="M6263" s="1095"/>
    </row>
    <row r="6264" spans="1:13" x14ac:dyDescent="0.25">
      <c r="A6264">
        <v>6416224</v>
      </c>
      <c r="B6264" t="s">
        <v>13272</v>
      </c>
      <c r="C6264" t="s">
        <v>2596</v>
      </c>
      <c r="D6264" s="254">
        <v>243.29</v>
      </c>
      <c r="E6264"/>
      <c r="F6264"/>
      <c r="G6264"/>
      <c r="H6264"/>
      <c r="I6264" s="489"/>
      <c r="J6264" s="1095"/>
      <c r="K6264" s="1095"/>
      <c r="L6264" s="1095"/>
      <c r="M6264" s="1095"/>
    </row>
    <row r="6265" spans="1:13" x14ac:dyDescent="0.25">
      <c r="A6265">
        <v>6416223</v>
      </c>
      <c r="B6265" t="s">
        <v>13273</v>
      </c>
      <c r="C6265" t="s">
        <v>2596</v>
      </c>
      <c r="D6265" s="254">
        <v>122.61</v>
      </c>
      <c r="E6265"/>
      <c r="F6265"/>
      <c r="G6265"/>
      <c r="H6265"/>
      <c r="I6265" s="489"/>
      <c r="J6265" s="1095"/>
      <c r="K6265" s="1095"/>
      <c r="L6265" s="1095"/>
      <c r="M6265" s="1095"/>
    </row>
    <row r="6266" spans="1:13" x14ac:dyDescent="0.25">
      <c r="A6266">
        <v>6416082</v>
      </c>
      <c r="B6266" t="s">
        <v>13274</v>
      </c>
      <c r="C6266" t="s">
        <v>2596</v>
      </c>
      <c r="D6266" s="254">
        <v>226.68</v>
      </c>
      <c r="E6266"/>
      <c r="F6266"/>
      <c r="G6266"/>
      <c r="H6266"/>
      <c r="I6266" s="489"/>
      <c r="J6266" s="1095"/>
      <c r="K6266" s="1095"/>
      <c r="L6266" s="1095"/>
      <c r="M6266" s="1095"/>
    </row>
    <row r="6267" spans="1:13" x14ac:dyDescent="0.25">
      <c r="A6267">
        <v>6416081</v>
      </c>
      <c r="B6267" t="s">
        <v>13275</v>
      </c>
      <c r="C6267" t="s">
        <v>2596</v>
      </c>
      <c r="D6267" s="254">
        <v>114.7</v>
      </c>
      <c r="E6267"/>
      <c r="F6267"/>
      <c r="G6267"/>
      <c r="H6267"/>
      <c r="I6267" s="489"/>
      <c r="J6267" s="1095"/>
      <c r="K6267" s="1095"/>
      <c r="L6267" s="1095"/>
      <c r="M6267" s="1095"/>
    </row>
    <row r="6268" spans="1:13" x14ac:dyDescent="0.25">
      <c r="A6268">
        <v>6416228</v>
      </c>
      <c r="B6268" t="s">
        <v>13276</v>
      </c>
      <c r="C6268" t="s">
        <v>2596</v>
      </c>
      <c r="D6268" s="254">
        <v>228.9</v>
      </c>
      <c r="E6268"/>
      <c r="F6268"/>
      <c r="G6268"/>
      <c r="H6268"/>
      <c r="I6268" s="489"/>
      <c r="J6268" s="1095"/>
      <c r="K6268" s="1095"/>
      <c r="L6268" s="1095"/>
      <c r="M6268" s="1095"/>
    </row>
    <row r="6269" spans="1:13" x14ac:dyDescent="0.25">
      <c r="A6269">
        <v>6416227</v>
      </c>
      <c r="B6269" t="s">
        <v>13277</v>
      </c>
      <c r="C6269" t="s">
        <v>2596</v>
      </c>
      <c r="D6269" s="254">
        <v>111.69</v>
      </c>
      <c r="E6269"/>
      <c r="F6269"/>
      <c r="G6269"/>
      <c r="H6269"/>
      <c r="I6269" s="489"/>
      <c r="J6269" s="1095"/>
      <c r="K6269" s="1095"/>
      <c r="L6269" s="1095"/>
      <c r="M6269" s="1095"/>
    </row>
    <row r="6270" spans="1:13" x14ac:dyDescent="0.25">
      <c r="A6270">
        <v>6416230</v>
      </c>
      <c r="B6270" t="s">
        <v>13278</v>
      </c>
      <c r="C6270" t="s">
        <v>2596</v>
      </c>
      <c r="D6270" s="254">
        <v>239.87</v>
      </c>
      <c r="E6270"/>
      <c r="F6270"/>
      <c r="G6270"/>
      <c r="H6270"/>
      <c r="I6270" s="489"/>
      <c r="J6270" s="1095"/>
      <c r="K6270" s="1095"/>
      <c r="L6270" s="1095"/>
      <c r="M6270" s="1095"/>
    </row>
    <row r="6271" spans="1:13" x14ac:dyDescent="0.25">
      <c r="A6271">
        <v>6416229</v>
      </c>
      <c r="B6271" t="s">
        <v>13279</v>
      </c>
      <c r="C6271" t="s">
        <v>2596</v>
      </c>
      <c r="D6271" s="254">
        <v>125.1</v>
      </c>
      <c r="E6271"/>
      <c r="F6271"/>
      <c r="G6271"/>
      <c r="H6271"/>
      <c r="I6271" s="489"/>
      <c r="J6271" s="1095"/>
      <c r="K6271" s="1095"/>
      <c r="L6271" s="1095"/>
      <c r="M6271" s="1095"/>
    </row>
    <row r="6272" spans="1:13" x14ac:dyDescent="0.25">
      <c r="A6272">
        <v>6416232</v>
      </c>
      <c r="B6272" t="s">
        <v>13280</v>
      </c>
      <c r="C6272" t="s">
        <v>2596</v>
      </c>
      <c r="D6272" s="254">
        <v>242.22</v>
      </c>
      <c r="E6272"/>
      <c r="F6272"/>
      <c r="G6272"/>
      <c r="H6272"/>
      <c r="I6272" s="489"/>
      <c r="J6272" s="1095"/>
      <c r="K6272" s="1095"/>
      <c r="L6272" s="1095"/>
      <c r="M6272" s="1095"/>
    </row>
    <row r="6273" spans="1:13" x14ac:dyDescent="0.25">
      <c r="A6273">
        <v>6416231</v>
      </c>
      <c r="B6273" t="s">
        <v>13281</v>
      </c>
      <c r="C6273" t="s">
        <v>2596</v>
      </c>
      <c r="D6273" s="254">
        <v>122.11</v>
      </c>
      <c r="E6273"/>
      <c r="F6273"/>
      <c r="G6273"/>
      <c r="H6273"/>
      <c r="I6273" s="489"/>
      <c r="J6273" s="1095"/>
      <c r="K6273" s="1095"/>
      <c r="L6273" s="1095"/>
      <c r="M6273" s="1095"/>
    </row>
    <row r="6274" spans="1:13" x14ac:dyDescent="0.25">
      <c r="A6274">
        <v>6416086</v>
      </c>
      <c r="B6274" t="s">
        <v>13282</v>
      </c>
      <c r="C6274" t="s">
        <v>2695</v>
      </c>
      <c r="D6274" s="254">
        <v>174.35</v>
      </c>
      <c r="E6274"/>
      <c r="F6274"/>
      <c r="G6274"/>
      <c r="H6274"/>
      <c r="I6274" s="489"/>
      <c r="J6274" s="1095"/>
      <c r="K6274" s="1095"/>
      <c r="L6274" s="1095"/>
      <c r="M6274" s="1095"/>
    </row>
    <row r="6275" spans="1:13" x14ac:dyDescent="0.25">
      <c r="A6275">
        <v>6416085</v>
      </c>
      <c r="B6275" t="s">
        <v>13283</v>
      </c>
      <c r="C6275" t="s">
        <v>2695</v>
      </c>
      <c r="D6275" s="254">
        <v>123.92</v>
      </c>
      <c r="E6275"/>
      <c r="F6275"/>
      <c r="G6275"/>
      <c r="H6275"/>
      <c r="I6275" s="489"/>
      <c r="J6275" s="1095"/>
      <c r="K6275" s="1095"/>
      <c r="L6275" s="1095"/>
      <c r="M6275" s="1095"/>
    </row>
    <row r="6276" spans="1:13" x14ac:dyDescent="0.25">
      <c r="A6276">
        <v>6416238</v>
      </c>
      <c r="B6276" t="s">
        <v>13284</v>
      </c>
      <c r="C6276" t="s">
        <v>2695</v>
      </c>
      <c r="D6276" s="254">
        <v>166.99</v>
      </c>
      <c r="E6276"/>
      <c r="F6276"/>
      <c r="G6276"/>
      <c r="H6276"/>
      <c r="I6276" s="489"/>
      <c r="J6276" s="1095"/>
      <c r="K6276" s="1095"/>
      <c r="L6276" s="1095"/>
      <c r="M6276" s="1095"/>
    </row>
    <row r="6277" spans="1:13" x14ac:dyDescent="0.25">
      <c r="A6277">
        <v>6416237</v>
      </c>
      <c r="B6277" t="s">
        <v>13285</v>
      </c>
      <c r="C6277" t="s">
        <v>2695</v>
      </c>
      <c r="D6277" s="254">
        <v>114.96</v>
      </c>
      <c r="E6277"/>
      <c r="F6277"/>
      <c r="G6277"/>
      <c r="H6277"/>
      <c r="I6277" s="489"/>
      <c r="J6277" s="1095"/>
      <c r="K6277" s="1095"/>
      <c r="L6277" s="1095"/>
      <c r="M6277" s="1095"/>
    </row>
    <row r="6278" spans="1:13" x14ac:dyDescent="0.25">
      <c r="A6278">
        <v>6416240</v>
      </c>
      <c r="B6278" t="s">
        <v>13286</v>
      </c>
      <c r="C6278" t="s">
        <v>2695</v>
      </c>
      <c r="D6278" s="254">
        <v>177.31</v>
      </c>
      <c r="E6278"/>
      <c r="F6278"/>
      <c r="G6278"/>
      <c r="H6278"/>
      <c r="I6278" s="489"/>
      <c r="J6278" s="1095"/>
      <c r="K6278" s="1095"/>
      <c r="L6278" s="1095"/>
      <c r="M6278" s="1095"/>
    </row>
    <row r="6279" spans="1:13" x14ac:dyDescent="0.25">
      <c r="A6279">
        <v>6416239</v>
      </c>
      <c r="B6279" t="s">
        <v>13287</v>
      </c>
      <c r="C6279" t="s">
        <v>2695</v>
      </c>
      <c r="D6279" s="254">
        <v>122.23</v>
      </c>
      <c r="E6279"/>
      <c r="F6279"/>
      <c r="G6279"/>
      <c r="H6279"/>
      <c r="I6279" s="489"/>
      <c r="J6279" s="1095"/>
      <c r="K6279" s="1095"/>
      <c r="L6279" s="1095"/>
      <c r="M6279" s="1095"/>
    </row>
    <row r="6280" spans="1:13" x14ac:dyDescent="0.25">
      <c r="A6280">
        <v>6416242</v>
      </c>
      <c r="B6280" t="s">
        <v>13288</v>
      </c>
      <c r="C6280" t="s">
        <v>2695</v>
      </c>
      <c r="D6280" s="254">
        <v>175.83</v>
      </c>
      <c r="E6280"/>
      <c r="F6280"/>
      <c r="G6280"/>
      <c r="H6280"/>
      <c r="I6280" s="489"/>
      <c r="J6280" s="1095"/>
      <c r="K6280" s="1095"/>
      <c r="L6280" s="1095"/>
      <c r="M6280" s="1095"/>
    </row>
    <row r="6281" spans="1:13" x14ac:dyDescent="0.25">
      <c r="A6281">
        <v>6416241</v>
      </c>
      <c r="B6281" t="s">
        <v>13289</v>
      </c>
      <c r="C6281" t="s">
        <v>2695</v>
      </c>
      <c r="D6281" s="254">
        <v>128.11000000000001</v>
      </c>
      <c r="E6281"/>
      <c r="F6281"/>
      <c r="G6281"/>
      <c r="H6281"/>
      <c r="I6281" s="489"/>
      <c r="J6281" s="1095"/>
      <c r="K6281" s="1095"/>
      <c r="L6281" s="1095"/>
      <c r="M6281" s="1095"/>
    </row>
    <row r="6282" spans="1:13" x14ac:dyDescent="0.25">
      <c r="A6282">
        <v>6416244</v>
      </c>
      <c r="B6282" t="s">
        <v>13290</v>
      </c>
      <c r="C6282" t="s">
        <v>2695</v>
      </c>
      <c r="D6282" s="254">
        <v>175.76</v>
      </c>
      <c r="E6282"/>
      <c r="F6282"/>
      <c r="G6282"/>
      <c r="H6282"/>
      <c r="I6282" s="489"/>
      <c r="J6282" s="1095"/>
      <c r="K6282" s="1095"/>
      <c r="L6282" s="1095"/>
      <c r="M6282" s="1095"/>
    </row>
    <row r="6283" spans="1:13" x14ac:dyDescent="0.25">
      <c r="A6283">
        <v>6416243</v>
      </c>
      <c r="B6283" t="s">
        <v>13291</v>
      </c>
      <c r="C6283" t="s">
        <v>2695</v>
      </c>
      <c r="D6283" s="254">
        <v>127.72</v>
      </c>
      <c r="E6283"/>
      <c r="F6283"/>
      <c r="G6283"/>
      <c r="H6283"/>
      <c r="I6283" s="489"/>
      <c r="J6283" s="1095"/>
      <c r="K6283" s="1095"/>
      <c r="L6283" s="1095"/>
      <c r="M6283" s="1095"/>
    </row>
    <row r="6284" spans="1:13" x14ac:dyDescent="0.25">
      <c r="A6284">
        <v>6416250</v>
      </c>
      <c r="B6284" t="s">
        <v>13292</v>
      </c>
      <c r="C6284" t="s">
        <v>2596</v>
      </c>
      <c r="D6284" s="254">
        <v>67.09</v>
      </c>
      <c r="E6284"/>
      <c r="F6284"/>
      <c r="G6284"/>
      <c r="H6284"/>
      <c r="I6284" s="489"/>
      <c r="J6284" s="1095"/>
      <c r="K6284" s="1095"/>
      <c r="L6284" s="1095"/>
      <c r="M6284" s="1095"/>
    </row>
    <row r="6285" spans="1:13" x14ac:dyDescent="0.25">
      <c r="A6285">
        <v>6416153</v>
      </c>
      <c r="B6285" t="s">
        <v>13293</v>
      </c>
      <c r="C6285" t="s">
        <v>2596</v>
      </c>
      <c r="D6285" s="254">
        <v>17.39</v>
      </c>
      <c r="E6285"/>
      <c r="F6285"/>
      <c r="G6285"/>
      <c r="H6285"/>
      <c r="I6285" s="489"/>
      <c r="J6285" s="1095"/>
      <c r="K6285" s="1095"/>
      <c r="L6285" s="1095"/>
      <c r="M6285" s="1095"/>
    </row>
    <row r="6286" spans="1:13" x14ac:dyDescent="0.25">
      <c r="A6286">
        <v>6416185</v>
      </c>
      <c r="B6286" t="s">
        <v>13294</v>
      </c>
      <c r="C6286" t="s">
        <v>2596</v>
      </c>
      <c r="D6286" s="254">
        <v>99.54</v>
      </c>
      <c r="E6286"/>
      <c r="F6286"/>
      <c r="G6286"/>
      <c r="H6286"/>
      <c r="I6286" s="489"/>
      <c r="J6286" s="1095"/>
      <c r="K6286" s="1095"/>
      <c r="L6286" s="1095"/>
      <c r="M6286" s="1095"/>
    </row>
    <row r="6287" spans="1:13" x14ac:dyDescent="0.25">
      <c r="A6287">
        <v>6416184</v>
      </c>
      <c r="B6287" t="s">
        <v>13295</v>
      </c>
      <c r="C6287" t="s">
        <v>2596</v>
      </c>
      <c r="D6287" s="254">
        <v>72.88</v>
      </c>
      <c r="E6287"/>
      <c r="F6287"/>
      <c r="G6287"/>
      <c r="H6287"/>
      <c r="I6287" s="489"/>
      <c r="J6287" s="1095"/>
      <c r="K6287" s="1095"/>
      <c r="L6287" s="1095"/>
      <c r="M6287" s="1095"/>
    </row>
    <row r="6288" spans="1:13" x14ac:dyDescent="0.25">
      <c r="A6288">
        <v>6416030</v>
      </c>
      <c r="B6288" t="s">
        <v>13296</v>
      </c>
      <c r="C6288" t="s">
        <v>2596</v>
      </c>
      <c r="D6288" s="254">
        <v>61.86</v>
      </c>
      <c r="E6288"/>
      <c r="F6288"/>
      <c r="G6288"/>
      <c r="H6288"/>
      <c r="I6288" s="489"/>
      <c r="J6288" s="1095"/>
      <c r="K6288" s="1095"/>
      <c r="L6288" s="1095"/>
      <c r="M6288" s="1095"/>
    </row>
    <row r="6289" spans="1:13" x14ac:dyDescent="0.25">
      <c r="A6289">
        <v>6416029</v>
      </c>
      <c r="B6289" t="s">
        <v>13297</v>
      </c>
      <c r="C6289" t="s">
        <v>2596</v>
      </c>
      <c r="D6289" s="254">
        <v>34.380000000000003</v>
      </c>
      <c r="E6289"/>
      <c r="F6289"/>
      <c r="G6289"/>
      <c r="H6289"/>
      <c r="I6289" s="489"/>
      <c r="J6289" s="1095"/>
      <c r="K6289" s="1095"/>
      <c r="L6289" s="1095"/>
      <c r="M6289" s="1095"/>
    </row>
    <row r="6290" spans="1:13" x14ac:dyDescent="0.25">
      <c r="A6290">
        <v>6416056</v>
      </c>
      <c r="B6290" t="s">
        <v>13298</v>
      </c>
      <c r="C6290" t="s">
        <v>2596</v>
      </c>
      <c r="D6290" s="254">
        <v>99.47</v>
      </c>
      <c r="E6290"/>
      <c r="F6290"/>
      <c r="G6290"/>
      <c r="H6290"/>
      <c r="I6290" s="489"/>
      <c r="J6290" s="1095"/>
      <c r="K6290" s="1095"/>
      <c r="L6290" s="1095"/>
      <c r="M6290" s="1095"/>
    </row>
    <row r="6291" spans="1:13" x14ac:dyDescent="0.25">
      <c r="A6291">
        <v>6416278</v>
      </c>
      <c r="B6291" t="s">
        <v>13299</v>
      </c>
      <c r="C6291" t="s">
        <v>2596</v>
      </c>
      <c r="D6291" s="254">
        <v>23.39</v>
      </c>
      <c r="E6291"/>
      <c r="F6291"/>
      <c r="G6291"/>
      <c r="H6291"/>
      <c r="I6291" s="489"/>
      <c r="J6291" s="1095"/>
      <c r="K6291" s="1095"/>
      <c r="L6291" s="1095"/>
      <c r="M6291" s="1095"/>
    </row>
    <row r="6292" spans="1:13" x14ac:dyDescent="0.25">
      <c r="A6292">
        <v>6416047</v>
      </c>
      <c r="B6292" t="s">
        <v>13300</v>
      </c>
      <c r="C6292" t="s">
        <v>2596</v>
      </c>
      <c r="D6292" s="254">
        <v>49.65</v>
      </c>
      <c r="E6292"/>
      <c r="F6292"/>
      <c r="G6292"/>
      <c r="H6292"/>
      <c r="I6292" s="489"/>
      <c r="J6292" s="1095"/>
      <c r="K6292" s="1095"/>
      <c r="L6292" s="1095"/>
      <c r="M6292" s="1095"/>
    </row>
    <row r="6293" spans="1:13" x14ac:dyDescent="0.25">
      <c r="A6293">
        <v>6416090</v>
      </c>
      <c r="B6293" t="s">
        <v>13301</v>
      </c>
      <c r="C6293" t="s">
        <v>2596</v>
      </c>
      <c r="D6293" s="254">
        <v>394.68</v>
      </c>
      <c r="E6293"/>
      <c r="F6293"/>
      <c r="G6293"/>
      <c r="H6293"/>
      <c r="I6293" s="489"/>
      <c r="J6293" s="1095"/>
      <c r="K6293" s="1095"/>
      <c r="L6293" s="1095"/>
      <c r="M6293" s="1095"/>
    </row>
    <row r="6294" spans="1:13" x14ac:dyDescent="0.25">
      <c r="A6294">
        <v>6416089</v>
      </c>
      <c r="B6294" t="s">
        <v>13302</v>
      </c>
      <c r="C6294" t="s">
        <v>2596</v>
      </c>
      <c r="D6294" s="254">
        <v>285.20999999999998</v>
      </c>
      <c r="E6294"/>
      <c r="F6294"/>
      <c r="G6294"/>
      <c r="H6294"/>
      <c r="I6294" s="489"/>
      <c r="J6294" s="1095"/>
      <c r="K6294" s="1095"/>
      <c r="L6294" s="1095"/>
      <c r="M6294" s="1095"/>
    </row>
    <row r="6295" spans="1:13" x14ac:dyDescent="0.25">
      <c r="A6295">
        <v>6416094</v>
      </c>
      <c r="B6295" t="s">
        <v>13303</v>
      </c>
      <c r="C6295" t="s">
        <v>2596</v>
      </c>
      <c r="D6295" s="254">
        <v>312.33999999999997</v>
      </c>
      <c r="E6295"/>
      <c r="F6295"/>
      <c r="G6295"/>
      <c r="H6295"/>
      <c r="I6295" s="489"/>
      <c r="J6295" s="1095"/>
      <c r="K6295" s="1095"/>
      <c r="L6295" s="1095"/>
      <c r="M6295" s="1095"/>
    </row>
    <row r="6296" spans="1:13" x14ac:dyDescent="0.25">
      <c r="A6296">
        <v>6416093</v>
      </c>
      <c r="B6296" t="s">
        <v>13304</v>
      </c>
      <c r="C6296" t="s">
        <v>2596</v>
      </c>
      <c r="D6296" s="254">
        <v>218.19</v>
      </c>
      <c r="E6296"/>
      <c r="F6296"/>
      <c r="G6296"/>
      <c r="H6296"/>
      <c r="I6296" s="489"/>
      <c r="J6296" s="1095"/>
      <c r="K6296" s="1095"/>
      <c r="L6296" s="1095"/>
      <c r="M6296" s="1095"/>
    </row>
    <row r="6297" spans="1:13" x14ac:dyDescent="0.25">
      <c r="A6297">
        <v>6416092</v>
      </c>
      <c r="B6297" t="s">
        <v>13305</v>
      </c>
      <c r="C6297" t="s">
        <v>2596</v>
      </c>
      <c r="D6297" s="254">
        <v>259.82</v>
      </c>
      <c r="E6297"/>
      <c r="F6297"/>
      <c r="G6297"/>
      <c r="H6297"/>
      <c r="I6297" s="489"/>
      <c r="J6297" s="1095"/>
      <c r="K6297" s="1095"/>
      <c r="L6297" s="1095"/>
      <c r="M6297" s="1095"/>
    </row>
    <row r="6298" spans="1:13" x14ac:dyDescent="0.25">
      <c r="A6298">
        <v>6416091</v>
      </c>
      <c r="B6298" t="s">
        <v>13306</v>
      </c>
      <c r="C6298" t="s">
        <v>2596</v>
      </c>
      <c r="D6298" s="254">
        <v>161.4</v>
      </c>
      <c r="E6298"/>
      <c r="F6298"/>
      <c r="G6298"/>
      <c r="H6298"/>
      <c r="I6298" s="489"/>
      <c r="J6298" s="1095"/>
      <c r="K6298" s="1095"/>
      <c r="L6298" s="1095"/>
      <c r="M6298" s="1095"/>
    </row>
    <row r="6299" spans="1:13" x14ac:dyDescent="0.25">
      <c r="A6299">
        <v>6817809</v>
      </c>
      <c r="B6299" t="s">
        <v>13307</v>
      </c>
      <c r="C6299" t="s">
        <v>2598</v>
      </c>
      <c r="D6299" s="254">
        <v>1210.07</v>
      </c>
      <c r="E6299"/>
      <c r="F6299"/>
      <c r="G6299"/>
      <c r="H6299"/>
      <c r="I6299" s="489"/>
      <c r="J6299" s="1095"/>
      <c r="K6299" s="1095"/>
      <c r="L6299" s="1095"/>
      <c r="M6299" s="1095"/>
    </row>
    <row r="6300" spans="1:13" x14ac:dyDescent="0.25">
      <c r="A6300">
        <v>6817810</v>
      </c>
      <c r="B6300" t="s">
        <v>13308</v>
      </c>
      <c r="C6300" t="s">
        <v>2598</v>
      </c>
      <c r="D6300" s="254">
        <v>1102.1400000000001</v>
      </c>
      <c r="E6300"/>
      <c r="F6300"/>
      <c r="G6300"/>
      <c r="H6300"/>
      <c r="I6300" s="489"/>
      <c r="J6300" s="1095"/>
      <c r="K6300" s="1095"/>
      <c r="L6300" s="1095"/>
      <c r="M6300" s="1095"/>
    </row>
    <row r="6301" spans="1:13" x14ac:dyDescent="0.25">
      <c r="A6301">
        <v>6817811</v>
      </c>
      <c r="B6301" t="s">
        <v>13309</v>
      </c>
      <c r="C6301" t="s">
        <v>2598</v>
      </c>
      <c r="D6301" s="254">
        <v>1293.26</v>
      </c>
      <c r="E6301"/>
      <c r="F6301"/>
      <c r="G6301"/>
      <c r="H6301"/>
      <c r="I6301" s="489"/>
      <c r="J6301" s="1095"/>
      <c r="K6301" s="1095"/>
      <c r="L6301" s="1095"/>
      <c r="M6301" s="1095"/>
    </row>
    <row r="6302" spans="1:13" x14ac:dyDescent="0.25">
      <c r="A6302">
        <v>6817812</v>
      </c>
      <c r="B6302" t="s">
        <v>13310</v>
      </c>
      <c r="C6302" t="s">
        <v>2598</v>
      </c>
      <c r="D6302" s="254">
        <v>1173.97</v>
      </c>
      <c r="E6302"/>
      <c r="F6302"/>
      <c r="G6302"/>
      <c r="H6302"/>
      <c r="I6302" s="489"/>
      <c r="J6302" s="1095"/>
      <c r="K6302" s="1095"/>
      <c r="L6302" s="1095"/>
      <c r="M6302" s="1095"/>
    </row>
    <row r="6303" spans="1:13" x14ac:dyDescent="0.25">
      <c r="A6303">
        <v>6817813</v>
      </c>
      <c r="B6303" t="s">
        <v>13311</v>
      </c>
      <c r="C6303" t="s">
        <v>2598</v>
      </c>
      <c r="D6303" s="254">
        <v>1998.18</v>
      </c>
      <c r="E6303"/>
      <c r="F6303"/>
      <c r="G6303"/>
      <c r="H6303"/>
      <c r="I6303" s="489"/>
      <c r="J6303" s="1095"/>
      <c r="K6303" s="1095"/>
      <c r="L6303" s="1095"/>
      <c r="M6303" s="1095"/>
    </row>
    <row r="6304" spans="1:13" x14ac:dyDescent="0.25">
      <c r="A6304">
        <v>6817814</v>
      </c>
      <c r="B6304" t="s">
        <v>13312</v>
      </c>
      <c r="C6304" t="s">
        <v>2598</v>
      </c>
      <c r="D6304" s="254">
        <v>1810.73</v>
      </c>
      <c r="E6304"/>
      <c r="F6304"/>
      <c r="G6304"/>
      <c r="H6304"/>
      <c r="I6304" s="489"/>
      <c r="J6304" s="1095"/>
      <c r="K6304" s="1095"/>
      <c r="L6304" s="1095"/>
      <c r="M6304" s="1095"/>
    </row>
    <row r="6305" spans="1:13" x14ac:dyDescent="0.25">
      <c r="A6305">
        <v>6817815</v>
      </c>
      <c r="B6305" t="s">
        <v>13313</v>
      </c>
      <c r="C6305" t="s">
        <v>2598</v>
      </c>
      <c r="D6305" s="254">
        <v>1684.71</v>
      </c>
      <c r="E6305"/>
      <c r="F6305"/>
      <c r="G6305"/>
      <c r="H6305"/>
      <c r="I6305" s="489"/>
      <c r="J6305" s="1095"/>
      <c r="K6305" s="1095"/>
      <c r="L6305" s="1095"/>
      <c r="M6305" s="1095"/>
    </row>
    <row r="6306" spans="1:13" x14ac:dyDescent="0.25">
      <c r="A6306">
        <v>6817816</v>
      </c>
      <c r="B6306" t="s">
        <v>13314</v>
      </c>
      <c r="C6306" t="s">
        <v>2598</v>
      </c>
      <c r="D6306" s="254">
        <v>1497.26</v>
      </c>
      <c r="E6306"/>
      <c r="F6306"/>
      <c r="G6306"/>
      <c r="H6306"/>
      <c r="I6306" s="489"/>
      <c r="J6306" s="1095"/>
      <c r="K6306" s="1095"/>
      <c r="L6306" s="1095"/>
      <c r="M6306" s="1095"/>
    </row>
    <row r="6307" spans="1:13" x14ac:dyDescent="0.25">
      <c r="A6307">
        <v>6817817</v>
      </c>
      <c r="B6307" t="s">
        <v>13315</v>
      </c>
      <c r="C6307" t="s">
        <v>2598</v>
      </c>
      <c r="D6307" s="254">
        <v>1389.81</v>
      </c>
      <c r="E6307"/>
      <c r="F6307"/>
      <c r="G6307"/>
      <c r="H6307"/>
      <c r="I6307" s="489"/>
      <c r="J6307" s="1095"/>
      <c r="K6307" s="1095"/>
      <c r="L6307" s="1095"/>
      <c r="M6307" s="1095"/>
    </row>
    <row r="6308" spans="1:13" x14ac:dyDescent="0.25">
      <c r="A6308">
        <v>6817818</v>
      </c>
      <c r="B6308" t="s">
        <v>13316</v>
      </c>
      <c r="C6308" t="s">
        <v>2598</v>
      </c>
      <c r="D6308" s="254">
        <v>1260.5899999999999</v>
      </c>
      <c r="E6308"/>
      <c r="F6308"/>
      <c r="G6308"/>
      <c r="H6308"/>
      <c r="I6308" s="489"/>
      <c r="J6308" s="1095"/>
      <c r="K6308" s="1095"/>
      <c r="L6308" s="1095"/>
      <c r="M6308" s="1095"/>
    </row>
    <row r="6309" spans="1:13" x14ac:dyDescent="0.25">
      <c r="A6309">
        <v>6817819</v>
      </c>
      <c r="B6309" t="s">
        <v>13317</v>
      </c>
      <c r="C6309" t="s">
        <v>2598</v>
      </c>
      <c r="D6309" s="254">
        <v>2098.63</v>
      </c>
      <c r="E6309"/>
      <c r="F6309"/>
      <c r="G6309"/>
      <c r="H6309"/>
      <c r="I6309" s="489"/>
      <c r="J6309" s="1095"/>
      <c r="K6309" s="1095"/>
      <c r="L6309" s="1095"/>
      <c r="M6309" s="1095"/>
    </row>
    <row r="6310" spans="1:13" x14ac:dyDescent="0.25">
      <c r="A6310">
        <v>6817820</v>
      </c>
      <c r="B6310" t="s">
        <v>13318</v>
      </c>
      <c r="C6310" t="s">
        <v>2598</v>
      </c>
      <c r="D6310" s="254">
        <v>1896.97</v>
      </c>
      <c r="E6310"/>
      <c r="F6310"/>
      <c r="G6310"/>
      <c r="H6310"/>
      <c r="I6310" s="489"/>
      <c r="J6310" s="1095"/>
      <c r="K6310" s="1095"/>
      <c r="L6310" s="1095"/>
      <c r="M6310" s="1095"/>
    </row>
    <row r="6311" spans="1:13" x14ac:dyDescent="0.25">
      <c r="A6311">
        <v>6817821</v>
      </c>
      <c r="B6311" t="s">
        <v>13319</v>
      </c>
      <c r="C6311" t="s">
        <v>2598</v>
      </c>
      <c r="D6311" s="254">
        <v>1795.51</v>
      </c>
      <c r="E6311"/>
      <c r="F6311"/>
      <c r="G6311"/>
      <c r="H6311"/>
      <c r="I6311" s="489"/>
      <c r="J6311" s="1095"/>
      <c r="K6311" s="1095"/>
      <c r="L6311" s="1095"/>
      <c r="M6311" s="1095"/>
    </row>
    <row r="6312" spans="1:13" x14ac:dyDescent="0.25">
      <c r="A6312">
        <v>6817822</v>
      </c>
      <c r="B6312" t="s">
        <v>13320</v>
      </c>
      <c r="C6312" t="s">
        <v>2598</v>
      </c>
      <c r="D6312" s="254">
        <v>1593.85</v>
      </c>
      <c r="E6312"/>
      <c r="F6312"/>
      <c r="G6312"/>
      <c r="H6312"/>
      <c r="I6312" s="489"/>
      <c r="J6312" s="1095"/>
      <c r="K6312" s="1095"/>
      <c r="L6312" s="1095"/>
      <c r="M6312" s="1095"/>
    </row>
    <row r="6313" spans="1:13" x14ac:dyDescent="0.25">
      <c r="A6313">
        <v>6817823</v>
      </c>
      <c r="B6313" t="s">
        <v>13321</v>
      </c>
      <c r="C6313" t="s">
        <v>2598</v>
      </c>
      <c r="D6313" s="254">
        <v>1490.9</v>
      </c>
      <c r="E6313"/>
      <c r="F6313"/>
      <c r="G6313"/>
      <c r="H6313"/>
      <c r="I6313" s="489"/>
      <c r="J6313" s="1095"/>
      <c r="K6313" s="1095"/>
      <c r="L6313" s="1095"/>
      <c r="M6313" s="1095"/>
    </row>
    <row r="6314" spans="1:13" x14ac:dyDescent="0.25">
      <c r="A6314">
        <v>6817824</v>
      </c>
      <c r="B6314" t="s">
        <v>13322</v>
      </c>
      <c r="C6314" t="s">
        <v>2598</v>
      </c>
      <c r="D6314" s="254">
        <v>1350.31</v>
      </c>
      <c r="E6314"/>
      <c r="F6314"/>
      <c r="G6314"/>
      <c r="H6314"/>
      <c r="I6314" s="489"/>
      <c r="J6314" s="1095"/>
      <c r="K6314" s="1095"/>
      <c r="L6314" s="1095"/>
      <c r="M6314" s="1095"/>
    </row>
    <row r="6315" spans="1:13" x14ac:dyDescent="0.25">
      <c r="A6315">
        <v>6817825</v>
      </c>
      <c r="B6315" t="s">
        <v>13323</v>
      </c>
      <c r="C6315" t="s">
        <v>2598</v>
      </c>
      <c r="D6315" s="254">
        <v>2130.4</v>
      </c>
      <c r="E6315"/>
      <c r="F6315"/>
      <c r="G6315"/>
      <c r="H6315"/>
      <c r="I6315" s="489"/>
      <c r="J6315" s="1095"/>
      <c r="K6315" s="1095"/>
      <c r="L6315" s="1095"/>
      <c r="M6315" s="1095"/>
    </row>
    <row r="6316" spans="1:13" x14ac:dyDescent="0.25">
      <c r="A6316">
        <v>6817826</v>
      </c>
      <c r="B6316" t="s">
        <v>13324</v>
      </c>
      <c r="C6316" t="s">
        <v>2598</v>
      </c>
      <c r="D6316" s="254">
        <v>1914.55</v>
      </c>
      <c r="E6316"/>
      <c r="F6316"/>
      <c r="G6316"/>
      <c r="H6316"/>
      <c r="I6316" s="489"/>
      <c r="J6316" s="1095"/>
      <c r="K6316" s="1095"/>
      <c r="L6316" s="1095"/>
      <c r="M6316" s="1095"/>
    </row>
    <row r="6317" spans="1:13" x14ac:dyDescent="0.25">
      <c r="A6317">
        <v>6817827</v>
      </c>
      <c r="B6317" t="s">
        <v>13325</v>
      </c>
      <c r="C6317" t="s">
        <v>2598</v>
      </c>
      <c r="D6317" s="254">
        <v>1906.3</v>
      </c>
      <c r="E6317"/>
      <c r="F6317"/>
      <c r="G6317"/>
      <c r="H6317"/>
      <c r="I6317" s="489"/>
      <c r="J6317" s="1095"/>
      <c r="K6317" s="1095"/>
      <c r="L6317" s="1095"/>
      <c r="M6317" s="1095"/>
    </row>
    <row r="6318" spans="1:13" x14ac:dyDescent="0.25">
      <c r="A6318">
        <v>6817828</v>
      </c>
      <c r="B6318" t="s">
        <v>13326</v>
      </c>
      <c r="C6318" t="s">
        <v>2598</v>
      </c>
      <c r="D6318" s="254">
        <v>1690.45</v>
      </c>
      <c r="E6318"/>
      <c r="F6318"/>
      <c r="G6318"/>
      <c r="H6318"/>
      <c r="I6318" s="489"/>
      <c r="J6318" s="1095"/>
      <c r="K6318" s="1095"/>
      <c r="L6318" s="1095"/>
      <c r="M6318" s="1095"/>
    </row>
    <row r="6319" spans="1:13" x14ac:dyDescent="0.25">
      <c r="A6319">
        <v>6817753</v>
      </c>
      <c r="B6319" t="s">
        <v>13327</v>
      </c>
      <c r="C6319" t="s">
        <v>2598</v>
      </c>
      <c r="D6319" s="254">
        <v>1643.63</v>
      </c>
      <c r="E6319"/>
      <c r="F6319"/>
      <c r="G6319"/>
      <c r="H6319"/>
      <c r="I6319" s="489"/>
      <c r="J6319" s="1095"/>
      <c r="K6319" s="1095"/>
      <c r="L6319" s="1095"/>
      <c r="M6319" s="1095"/>
    </row>
    <row r="6320" spans="1:13" x14ac:dyDescent="0.25">
      <c r="A6320">
        <v>6817754</v>
      </c>
      <c r="B6320" t="s">
        <v>13328</v>
      </c>
      <c r="C6320" t="s">
        <v>2598</v>
      </c>
      <c r="D6320" s="254">
        <v>1491.68</v>
      </c>
      <c r="E6320"/>
      <c r="F6320"/>
      <c r="G6320"/>
      <c r="H6320"/>
      <c r="I6320" s="489"/>
      <c r="J6320" s="1095"/>
      <c r="K6320" s="1095"/>
      <c r="L6320" s="1095"/>
      <c r="M6320" s="1095"/>
    </row>
    <row r="6321" spans="1:13" x14ac:dyDescent="0.25">
      <c r="A6321">
        <v>6817755</v>
      </c>
      <c r="B6321" t="s">
        <v>13329</v>
      </c>
      <c r="C6321" t="s">
        <v>2598</v>
      </c>
      <c r="D6321" s="254">
        <v>1574.38</v>
      </c>
      <c r="E6321"/>
      <c r="F6321"/>
      <c r="G6321"/>
      <c r="H6321"/>
      <c r="I6321" s="489"/>
      <c r="J6321" s="1095"/>
      <c r="K6321" s="1095"/>
      <c r="L6321" s="1095"/>
      <c r="M6321" s="1095"/>
    </row>
    <row r="6322" spans="1:13" x14ac:dyDescent="0.25">
      <c r="A6322">
        <v>6817756</v>
      </c>
      <c r="B6322" t="s">
        <v>13330</v>
      </c>
      <c r="C6322" t="s">
        <v>2598</v>
      </c>
      <c r="D6322" s="254">
        <v>1422.42</v>
      </c>
      <c r="E6322"/>
      <c r="F6322"/>
      <c r="G6322"/>
      <c r="H6322"/>
      <c r="I6322" s="489"/>
      <c r="J6322" s="1095"/>
      <c r="K6322" s="1095"/>
      <c r="L6322" s="1095"/>
      <c r="M6322" s="1095"/>
    </row>
    <row r="6323" spans="1:13" x14ac:dyDescent="0.25">
      <c r="A6323">
        <v>6817763</v>
      </c>
      <c r="B6323" t="s">
        <v>13331</v>
      </c>
      <c r="C6323" t="s">
        <v>2598</v>
      </c>
      <c r="D6323" s="254">
        <v>1951.25</v>
      </c>
      <c r="E6323"/>
      <c r="F6323"/>
      <c r="G6323"/>
      <c r="H6323"/>
      <c r="I6323" s="489"/>
      <c r="J6323" s="1095"/>
      <c r="K6323" s="1095"/>
      <c r="L6323" s="1095"/>
      <c r="M6323" s="1095"/>
    </row>
    <row r="6324" spans="1:13" x14ac:dyDescent="0.25">
      <c r="A6324">
        <v>6817764</v>
      </c>
      <c r="B6324" t="s">
        <v>13332</v>
      </c>
      <c r="C6324" t="s">
        <v>2598</v>
      </c>
      <c r="D6324" s="254">
        <v>1750.41</v>
      </c>
      <c r="E6324"/>
      <c r="F6324"/>
      <c r="G6324"/>
      <c r="H6324"/>
      <c r="I6324" s="489"/>
      <c r="J6324" s="1095"/>
      <c r="K6324" s="1095"/>
      <c r="L6324" s="1095"/>
      <c r="M6324" s="1095"/>
    </row>
    <row r="6325" spans="1:13" x14ac:dyDescent="0.25">
      <c r="A6325">
        <v>6817765</v>
      </c>
      <c r="B6325" t="s">
        <v>13333</v>
      </c>
      <c r="C6325" t="s">
        <v>2598</v>
      </c>
      <c r="D6325" s="254">
        <v>2249.9299999999998</v>
      </c>
      <c r="E6325"/>
      <c r="F6325"/>
      <c r="G6325"/>
      <c r="H6325"/>
      <c r="I6325" s="489"/>
      <c r="J6325" s="1095"/>
      <c r="K6325" s="1095"/>
      <c r="L6325" s="1095"/>
      <c r="M6325" s="1095"/>
    </row>
    <row r="6326" spans="1:13" x14ac:dyDescent="0.25">
      <c r="A6326">
        <v>6817766</v>
      </c>
      <c r="B6326" t="s">
        <v>13334</v>
      </c>
      <c r="C6326" t="s">
        <v>2598</v>
      </c>
      <c r="D6326" s="254">
        <v>2065.5500000000002</v>
      </c>
      <c r="E6326"/>
      <c r="F6326"/>
      <c r="G6326"/>
      <c r="H6326"/>
      <c r="I6326" s="489"/>
      <c r="J6326" s="1095"/>
      <c r="K6326" s="1095"/>
      <c r="L6326" s="1095"/>
      <c r="M6326" s="1095"/>
    </row>
    <row r="6327" spans="1:13" x14ac:dyDescent="0.25">
      <c r="A6327">
        <v>6817757</v>
      </c>
      <c r="B6327" t="s">
        <v>13335</v>
      </c>
      <c r="C6327" t="s">
        <v>2598</v>
      </c>
      <c r="D6327" s="254">
        <v>1574.38</v>
      </c>
      <c r="E6327"/>
      <c r="F6327"/>
      <c r="G6327"/>
      <c r="H6327"/>
      <c r="I6327" s="489"/>
      <c r="J6327" s="1095"/>
      <c r="K6327" s="1095"/>
      <c r="L6327" s="1095"/>
      <c r="M6327" s="1095"/>
    </row>
    <row r="6328" spans="1:13" x14ac:dyDescent="0.25">
      <c r="A6328">
        <v>6817758</v>
      </c>
      <c r="B6328" t="s">
        <v>13336</v>
      </c>
      <c r="C6328" t="s">
        <v>2598</v>
      </c>
      <c r="D6328" s="254">
        <v>1422.42</v>
      </c>
      <c r="E6328"/>
      <c r="F6328"/>
      <c r="G6328"/>
      <c r="H6328"/>
      <c r="I6328" s="489"/>
      <c r="J6328" s="1095"/>
      <c r="K6328" s="1095"/>
      <c r="L6328" s="1095"/>
      <c r="M6328" s="1095"/>
    </row>
    <row r="6329" spans="1:13" x14ac:dyDescent="0.25">
      <c r="A6329">
        <v>6817759</v>
      </c>
      <c r="B6329" t="s">
        <v>13337</v>
      </c>
      <c r="C6329" t="s">
        <v>2598</v>
      </c>
      <c r="D6329" s="254">
        <v>1707.53</v>
      </c>
      <c r="E6329"/>
      <c r="F6329"/>
      <c r="G6329"/>
      <c r="H6329"/>
      <c r="I6329" s="489"/>
      <c r="J6329" s="1095"/>
      <c r="K6329" s="1095"/>
      <c r="L6329" s="1095"/>
      <c r="M6329" s="1095"/>
    </row>
    <row r="6330" spans="1:13" x14ac:dyDescent="0.25">
      <c r="A6330">
        <v>6817760</v>
      </c>
      <c r="B6330" t="s">
        <v>13338</v>
      </c>
      <c r="C6330" t="s">
        <v>2598</v>
      </c>
      <c r="D6330" s="254">
        <v>1558.3</v>
      </c>
      <c r="E6330"/>
      <c r="F6330"/>
      <c r="G6330"/>
      <c r="H6330"/>
      <c r="I6330" s="489"/>
      <c r="J6330" s="1095"/>
      <c r="K6330" s="1095"/>
      <c r="L6330" s="1095"/>
      <c r="M6330" s="1095"/>
    </row>
    <row r="6331" spans="1:13" x14ac:dyDescent="0.25">
      <c r="A6331">
        <v>6817761</v>
      </c>
      <c r="B6331" t="s">
        <v>13339</v>
      </c>
      <c r="C6331" t="s">
        <v>2598</v>
      </c>
      <c r="D6331" s="254">
        <v>2066.1799999999998</v>
      </c>
      <c r="E6331"/>
      <c r="F6331"/>
      <c r="G6331"/>
      <c r="H6331"/>
      <c r="I6331" s="489"/>
      <c r="J6331" s="1095"/>
      <c r="K6331" s="1095"/>
      <c r="L6331" s="1095"/>
      <c r="M6331" s="1095"/>
    </row>
    <row r="6332" spans="1:13" x14ac:dyDescent="0.25">
      <c r="A6332">
        <v>6817762</v>
      </c>
      <c r="B6332" t="s">
        <v>13340</v>
      </c>
      <c r="C6332" t="s">
        <v>2598</v>
      </c>
      <c r="D6332" s="254">
        <v>1865.34</v>
      </c>
      <c r="E6332"/>
      <c r="F6332"/>
      <c r="G6332"/>
      <c r="H6332"/>
      <c r="I6332" s="489"/>
      <c r="J6332" s="1095"/>
      <c r="K6332" s="1095"/>
      <c r="L6332" s="1095"/>
      <c r="M6332" s="1095"/>
    </row>
    <row r="6333" spans="1:13" x14ac:dyDescent="0.25">
      <c r="A6333">
        <v>6817767</v>
      </c>
      <c r="B6333" t="s">
        <v>13341</v>
      </c>
      <c r="C6333" t="s">
        <v>2598</v>
      </c>
      <c r="D6333" s="254">
        <v>2391.62</v>
      </c>
      <c r="E6333"/>
      <c r="F6333"/>
      <c r="G6333"/>
      <c r="H6333"/>
      <c r="I6333" s="489"/>
      <c r="J6333" s="1095"/>
      <c r="K6333" s="1095"/>
      <c r="L6333" s="1095"/>
      <c r="M6333" s="1095"/>
    </row>
    <row r="6334" spans="1:13" x14ac:dyDescent="0.25">
      <c r="A6334">
        <v>6817768</v>
      </c>
      <c r="B6334" t="s">
        <v>13342</v>
      </c>
      <c r="C6334" t="s">
        <v>2598</v>
      </c>
      <c r="D6334" s="254">
        <v>2197.06</v>
      </c>
      <c r="E6334"/>
      <c r="F6334"/>
      <c r="G6334"/>
      <c r="H6334"/>
      <c r="I6334" s="489"/>
      <c r="J6334" s="1095"/>
      <c r="K6334" s="1095"/>
      <c r="L6334" s="1095"/>
      <c r="M6334" s="1095"/>
    </row>
    <row r="6335" spans="1:13" x14ac:dyDescent="0.25">
      <c r="A6335">
        <v>6817769</v>
      </c>
      <c r="B6335" t="s">
        <v>13343</v>
      </c>
      <c r="C6335" t="s">
        <v>2598</v>
      </c>
      <c r="D6335" s="254">
        <v>2019.55</v>
      </c>
      <c r="E6335"/>
      <c r="F6335"/>
      <c r="G6335"/>
      <c r="H6335"/>
      <c r="I6335" s="489"/>
      <c r="J6335" s="1095"/>
      <c r="K6335" s="1095"/>
      <c r="L6335" s="1095"/>
      <c r="M6335" s="1095"/>
    </row>
    <row r="6336" spans="1:13" x14ac:dyDescent="0.25">
      <c r="A6336">
        <v>6817770</v>
      </c>
      <c r="B6336" t="s">
        <v>13344</v>
      </c>
      <c r="C6336" t="s">
        <v>2598</v>
      </c>
      <c r="D6336" s="254">
        <v>1824.99</v>
      </c>
      <c r="E6336"/>
      <c r="F6336"/>
      <c r="G6336"/>
      <c r="H6336"/>
      <c r="I6336" s="489"/>
      <c r="J6336" s="1095"/>
      <c r="K6336" s="1095"/>
      <c r="L6336" s="1095"/>
      <c r="M6336" s="1095"/>
    </row>
    <row r="6337" spans="1:13" x14ac:dyDescent="0.25">
      <c r="A6337">
        <v>6817777</v>
      </c>
      <c r="B6337" t="s">
        <v>13345</v>
      </c>
      <c r="C6337" t="s">
        <v>2598</v>
      </c>
      <c r="D6337" s="254">
        <v>3232.62</v>
      </c>
      <c r="E6337"/>
      <c r="F6337"/>
      <c r="G6337"/>
      <c r="H6337"/>
      <c r="I6337" s="489"/>
      <c r="J6337" s="1095"/>
      <c r="K6337" s="1095"/>
      <c r="L6337" s="1095"/>
      <c r="M6337" s="1095"/>
    </row>
    <row r="6338" spans="1:13" x14ac:dyDescent="0.25">
      <c r="A6338">
        <v>6817778</v>
      </c>
      <c r="B6338" t="s">
        <v>13346</v>
      </c>
      <c r="C6338" t="s">
        <v>2598</v>
      </c>
      <c r="D6338" s="254">
        <v>3004.83</v>
      </c>
      <c r="E6338"/>
      <c r="F6338"/>
      <c r="G6338"/>
      <c r="H6338"/>
      <c r="I6338" s="489"/>
      <c r="J6338" s="1095"/>
      <c r="K6338" s="1095"/>
      <c r="L6338" s="1095"/>
      <c r="M6338" s="1095"/>
    </row>
    <row r="6339" spans="1:13" x14ac:dyDescent="0.25">
      <c r="A6339">
        <v>6817779</v>
      </c>
      <c r="B6339" t="s">
        <v>13347</v>
      </c>
      <c r="C6339" t="s">
        <v>2598</v>
      </c>
      <c r="D6339" s="254">
        <v>3784.98</v>
      </c>
      <c r="E6339"/>
      <c r="F6339"/>
      <c r="G6339"/>
      <c r="H6339"/>
      <c r="I6339" s="489"/>
      <c r="J6339" s="1095"/>
      <c r="K6339" s="1095"/>
      <c r="L6339" s="1095"/>
      <c r="M6339" s="1095"/>
    </row>
    <row r="6340" spans="1:13" x14ac:dyDescent="0.25">
      <c r="A6340">
        <v>6817780</v>
      </c>
      <c r="B6340" t="s">
        <v>13348</v>
      </c>
      <c r="C6340" t="s">
        <v>2598</v>
      </c>
      <c r="D6340" s="254">
        <v>3496.52</v>
      </c>
      <c r="E6340"/>
      <c r="F6340"/>
      <c r="G6340"/>
      <c r="H6340"/>
      <c r="I6340" s="489"/>
      <c r="J6340" s="1095"/>
      <c r="K6340" s="1095"/>
      <c r="L6340" s="1095"/>
      <c r="M6340" s="1095"/>
    </row>
    <row r="6341" spans="1:13" x14ac:dyDescent="0.25">
      <c r="A6341">
        <v>6817771</v>
      </c>
      <c r="B6341" t="s">
        <v>13349</v>
      </c>
      <c r="C6341" t="s">
        <v>2598</v>
      </c>
      <c r="D6341" s="254">
        <v>2305.84</v>
      </c>
      <c r="E6341"/>
      <c r="F6341"/>
      <c r="G6341"/>
      <c r="H6341"/>
      <c r="I6341" s="489"/>
      <c r="J6341" s="1095"/>
      <c r="K6341" s="1095"/>
      <c r="L6341" s="1095"/>
      <c r="M6341" s="1095"/>
    </row>
    <row r="6342" spans="1:13" x14ac:dyDescent="0.25">
      <c r="A6342">
        <v>6817772</v>
      </c>
      <c r="B6342" t="s">
        <v>13350</v>
      </c>
      <c r="C6342" t="s">
        <v>2598</v>
      </c>
      <c r="D6342" s="254">
        <v>2114.77</v>
      </c>
      <c r="E6342"/>
      <c r="F6342"/>
      <c r="G6342"/>
      <c r="H6342"/>
      <c r="I6342" s="489"/>
      <c r="J6342" s="1095"/>
      <c r="K6342" s="1095"/>
      <c r="L6342" s="1095"/>
      <c r="M6342" s="1095"/>
    </row>
    <row r="6343" spans="1:13" x14ac:dyDescent="0.25">
      <c r="A6343">
        <v>6817773</v>
      </c>
      <c r="B6343" t="s">
        <v>13351</v>
      </c>
      <c r="C6343" t="s">
        <v>2598</v>
      </c>
      <c r="D6343" s="254">
        <v>2736.32</v>
      </c>
      <c r="E6343"/>
      <c r="F6343"/>
      <c r="G6343"/>
      <c r="H6343"/>
      <c r="I6343" s="489"/>
      <c r="J6343" s="1095"/>
      <c r="K6343" s="1095"/>
      <c r="L6343" s="1095"/>
      <c r="M6343" s="1095"/>
    </row>
    <row r="6344" spans="1:13" x14ac:dyDescent="0.25">
      <c r="A6344">
        <v>6817774</v>
      </c>
      <c r="B6344" t="s">
        <v>13352</v>
      </c>
      <c r="C6344" t="s">
        <v>2598</v>
      </c>
      <c r="D6344" s="254">
        <v>2479.6999999999998</v>
      </c>
      <c r="E6344"/>
      <c r="F6344"/>
      <c r="G6344"/>
      <c r="H6344"/>
      <c r="I6344" s="489"/>
      <c r="J6344" s="1095"/>
      <c r="K6344" s="1095"/>
      <c r="L6344" s="1095"/>
      <c r="M6344" s="1095"/>
    </row>
    <row r="6345" spans="1:13" x14ac:dyDescent="0.25">
      <c r="A6345">
        <v>6817775</v>
      </c>
      <c r="B6345" t="s">
        <v>13353</v>
      </c>
      <c r="C6345" t="s">
        <v>2598</v>
      </c>
      <c r="D6345" s="254">
        <v>2980.71</v>
      </c>
      <c r="E6345"/>
      <c r="F6345"/>
      <c r="G6345"/>
      <c r="H6345"/>
      <c r="I6345" s="489"/>
      <c r="J6345" s="1095"/>
      <c r="K6345" s="1095"/>
      <c r="L6345" s="1095"/>
      <c r="M6345" s="1095"/>
    </row>
    <row r="6346" spans="1:13" x14ac:dyDescent="0.25">
      <c r="A6346">
        <v>6817776</v>
      </c>
      <c r="B6346" t="s">
        <v>13354</v>
      </c>
      <c r="C6346" t="s">
        <v>2598</v>
      </c>
      <c r="D6346" s="254">
        <v>2745.12</v>
      </c>
      <c r="E6346"/>
      <c r="F6346"/>
      <c r="G6346"/>
      <c r="H6346"/>
      <c r="I6346" s="489"/>
      <c r="J6346" s="1095"/>
      <c r="K6346" s="1095"/>
      <c r="L6346" s="1095"/>
      <c r="M6346" s="1095"/>
    </row>
    <row r="6347" spans="1:13" x14ac:dyDescent="0.25">
      <c r="A6347">
        <v>6817781</v>
      </c>
      <c r="B6347" t="s">
        <v>13355</v>
      </c>
      <c r="C6347" t="s">
        <v>2598</v>
      </c>
      <c r="D6347" s="254">
        <v>3264.42</v>
      </c>
      <c r="E6347"/>
      <c r="F6347"/>
      <c r="G6347"/>
      <c r="H6347"/>
      <c r="I6347" s="489"/>
      <c r="J6347" s="1095"/>
      <c r="K6347" s="1095"/>
      <c r="L6347" s="1095"/>
      <c r="M6347" s="1095"/>
    </row>
    <row r="6348" spans="1:13" x14ac:dyDescent="0.25">
      <c r="A6348">
        <v>6817782</v>
      </c>
      <c r="B6348" t="s">
        <v>13356</v>
      </c>
      <c r="C6348" t="s">
        <v>2598</v>
      </c>
      <c r="D6348" s="254">
        <v>3027.27</v>
      </c>
      <c r="E6348"/>
      <c r="F6348"/>
      <c r="G6348"/>
      <c r="H6348"/>
      <c r="I6348" s="489"/>
      <c r="J6348" s="1095"/>
      <c r="K6348" s="1095"/>
      <c r="L6348" s="1095"/>
      <c r="M6348" s="1095"/>
    </row>
    <row r="6349" spans="1:13" x14ac:dyDescent="0.25">
      <c r="A6349">
        <v>6817783</v>
      </c>
      <c r="B6349" t="s">
        <v>13357</v>
      </c>
      <c r="C6349" t="s">
        <v>2598</v>
      </c>
      <c r="D6349" s="254">
        <v>2668.27</v>
      </c>
      <c r="E6349"/>
      <c r="F6349"/>
      <c r="G6349"/>
      <c r="H6349"/>
      <c r="I6349" s="489"/>
      <c r="J6349" s="1095"/>
      <c r="K6349" s="1095"/>
      <c r="L6349" s="1095"/>
      <c r="M6349" s="1095"/>
    </row>
    <row r="6350" spans="1:13" x14ac:dyDescent="0.25">
      <c r="A6350">
        <v>6817784</v>
      </c>
      <c r="B6350" t="s">
        <v>13358</v>
      </c>
      <c r="C6350" t="s">
        <v>2598</v>
      </c>
      <c r="D6350" s="254">
        <v>2431.11</v>
      </c>
      <c r="E6350"/>
      <c r="F6350"/>
      <c r="G6350"/>
      <c r="H6350"/>
      <c r="I6350" s="489"/>
      <c r="J6350" s="1095"/>
      <c r="K6350" s="1095"/>
      <c r="L6350" s="1095"/>
      <c r="M6350" s="1095"/>
    </row>
    <row r="6351" spans="1:13" x14ac:dyDescent="0.25">
      <c r="A6351">
        <v>6817791</v>
      </c>
      <c r="B6351" t="s">
        <v>13359</v>
      </c>
      <c r="C6351" t="s">
        <v>2598</v>
      </c>
      <c r="D6351" s="254">
        <v>4692.87</v>
      </c>
      <c r="E6351"/>
      <c r="F6351"/>
      <c r="G6351"/>
      <c r="H6351"/>
      <c r="I6351" s="489"/>
      <c r="J6351" s="1095"/>
      <c r="K6351" s="1095"/>
      <c r="L6351" s="1095"/>
      <c r="M6351" s="1095"/>
    </row>
    <row r="6352" spans="1:13" x14ac:dyDescent="0.25">
      <c r="A6352">
        <v>6817792</v>
      </c>
      <c r="B6352" t="s">
        <v>13360</v>
      </c>
      <c r="C6352" t="s">
        <v>2598</v>
      </c>
      <c r="D6352" s="254">
        <v>4342.51</v>
      </c>
      <c r="E6352"/>
      <c r="F6352"/>
      <c r="G6352"/>
      <c r="H6352"/>
      <c r="I6352" s="489"/>
      <c r="J6352" s="1095"/>
      <c r="K6352" s="1095"/>
      <c r="L6352" s="1095"/>
      <c r="M6352" s="1095"/>
    </row>
    <row r="6353" spans="1:13" x14ac:dyDescent="0.25">
      <c r="A6353">
        <v>6817793</v>
      </c>
      <c r="B6353" t="s">
        <v>13361</v>
      </c>
      <c r="C6353" t="s">
        <v>2598</v>
      </c>
      <c r="D6353" s="254">
        <v>5344.1</v>
      </c>
      <c r="E6353"/>
      <c r="F6353"/>
      <c r="G6353"/>
      <c r="H6353"/>
      <c r="I6353" s="489"/>
      <c r="J6353" s="1095"/>
      <c r="K6353" s="1095"/>
      <c r="L6353" s="1095"/>
      <c r="M6353" s="1095"/>
    </row>
    <row r="6354" spans="1:13" x14ac:dyDescent="0.25">
      <c r="A6354">
        <v>6817794</v>
      </c>
      <c r="B6354" t="s">
        <v>13362</v>
      </c>
      <c r="C6354" t="s">
        <v>2598</v>
      </c>
      <c r="D6354" s="254">
        <v>4993.74</v>
      </c>
      <c r="E6354"/>
      <c r="F6354"/>
      <c r="G6354"/>
      <c r="H6354"/>
      <c r="I6354" s="489"/>
      <c r="J6354" s="1095"/>
      <c r="K6354" s="1095"/>
      <c r="L6354" s="1095"/>
      <c r="M6354" s="1095"/>
    </row>
    <row r="6355" spans="1:13" x14ac:dyDescent="0.25">
      <c r="A6355">
        <v>6817785</v>
      </c>
      <c r="B6355" t="s">
        <v>13363</v>
      </c>
      <c r="C6355" t="s">
        <v>2598</v>
      </c>
      <c r="D6355" s="254">
        <v>3351</v>
      </c>
      <c r="E6355"/>
      <c r="F6355"/>
      <c r="G6355"/>
      <c r="H6355"/>
      <c r="I6355" s="489"/>
      <c r="J6355" s="1095"/>
      <c r="K6355" s="1095"/>
      <c r="L6355" s="1095"/>
      <c r="M6355" s="1095"/>
    </row>
    <row r="6356" spans="1:13" x14ac:dyDescent="0.25">
      <c r="A6356">
        <v>6817786</v>
      </c>
      <c r="B6356" t="s">
        <v>13364</v>
      </c>
      <c r="C6356" t="s">
        <v>2598</v>
      </c>
      <c r="D6356" s="254">
        <v>3038.58</v>
      </c>
      <c r="E6356"/>
      <c r="F6356"/>
      <c r="G6356"/>
      <c r="H6356"/>
      <c r="I6356" s="489"/>
      <c r="J6356" s="1095"/>
      <c r="K6356" s="1095"/>
      <c r="L6356" s="1095"/>
      <c r="M6356" s="1095"/>
    </row>
    <row r="6357" spans="1:13" x14ac:dyDescent="0.25">
      <c r="A6357">
        <v>6817787</v>
      </c>
      <c r="B6357" t="s">
        <v>13365</v>
      </c>
      <c r="C6357" t="s">
        <v>2598</v>
      </c>
      <c r="D6357" s="254">
        <v>3857.01</v>
      </c>
      <c r="E6357"/>
      <c r="F6357"/>
      <c r="G6357"/>
      <c r="H6357"/>
      <c r="I6357" s="489"/>
      <c r="J6357" s="1095"/>
      <c r="K6357" s="1095"/>
      <c r="L6357" s="1095"/>
      <c r="M6357" s="1095"/>
    </row>
    <row r="6358" spans="1:13" x14ac:dyDescent="0.25">
      <c r="A6358">
        <v>6817788</v>
      </c>
      <c r="B6358" t="s">
        <v>13366</v>
      </c>
      <c r="C6358" t="s">
        <v>2598</v>
      </c>
      <c r="D6358" s="254">
        <v>3570.2</v>
      </c>
      <c r="E6358"/>
      <c r="F6358"/>
      <c r="G6358"/>
      <c r="H6358"/>
      <c r="I6358" s="489"/>
      <c r="J6358" s="1095"/>
      <c r="K6358" s="1095"/>
      <c r="L6358" s="1095"/>
      <c r="M6358" s="1095"/>
    </row>
    <row r="6359" spans="1:13" x14ac:dyDescent="0.25">
      <c r="A6359">
        <v>6817789</v>
      </c>
      <c r="B6359" t="s">
        <v>13367</v>
      </c>
      <c r="C6359" t="s">
        <v>2598</v>
      </c>
      <c r="D6359" s="254">
        <v>4301.97</v>
      </c>
      <c r="E6359"/>
      <c r="F6359"/>
      <c r="G6359"/>
      <c r="H6359"/>
      <c r="I6359" s="489"/>
      <c r="J6359" s="1095"/>
      <c r="K6359" s="1095"/>
      <c r="L6359" s="1095"/>
      <c r="M6359" s="1095"/>
    </row>
    <row r="6360" spans="1:13" x14ac:dyDescent="0.25">
      <c r="A6360">
        <v>6817790</v>
      </c>
      <c r="B6360" t="s">
        <v>13368</v>
      </c>
      <c r="C6360" t="s">
        <v>2598</v>
      </c>
      <c r="D6360" s="254">
        <v>4024.66</v>
      </c>
      <c r="E6360"/>
      <c r="F6360"/>
      <c r="G6360"/>
      <c r="H6360"/>
      <c r="I6360" s="489"/>
      <c r="J6360" s="1095"/>
      <c r="K6360" s="1095"/>
      <c r="L6360" s="1095"/>
      <c r="M6360" s="1095"/>
    </row>
    <row r="6361" spans="1:13" x14ac:dyDescent="0.25">
      <c r="A6361">
        <v>6817795</v>
      </c>
      <c r="B6361" t="s">
        <v>13369</v>
      </c>
      <c r="C6361" t="s">
        <v>2598</v>
      </c>
      <c r="D6361" s="254">
        <v>4190.95</v>
      </c>
      <c r="E6361"/>
      <c r="F6361"/>
      <c r="G6361"/>
      <c r="H6361"/>
      <c r="I6361" s="489"/>
      <c r="J6361" s="1095"/>
      <c r="K6361" s="1095"/>
      <c r="L6361" s="1095"/>
      <c r="M6361" s="1095"/>
    </row>
    <row r="6362" spans="1:13" x14ac:dyDescent="0.25">
      <c r="A6362">
        <v>6817796</v>
      </c>
      <c r="B6362" t="s">
        <v>13370</v>
      </c>
      <c r="C6362" t="s">
        <v>2598</v>
      </c>
      <c r="D6362" s="254">
        <v>3916.2</v>
      </c>
      <c r="E6362"/>
      <c r="F6362"/>
      <c r="G6362"/>
      <c r="H6362"/>
      <c r="I6362" s="489"/>
      <c r="J6362" s="1095"/>
      <c r="K6362" s="1095"/>
      <c r="L6362" s="1095"/>
      <c r="M6362" s="1095"/>
    </row>
    <row r="6363" spans="1:13" x14ac:dyDescent="0.25">
      <c r="A6363">
        <v>6817797</v>
      </c>
      <c r="B6363" t="s">
        <v>13371</v>
      </c>
      <c r="C6363" t="s">
        <v>2598</v>
      </c>
      <c r="D6363" s="254">
        <v>3575.31</v>
      </c>
      <c r="E6363"/>
      <c r="F6363"/>
      <c r="G6363"/>
      <c r="H6363"/>
      <c r="I6363" s="489"/>
      <c r="J6363" s="1095"/>
      <c r="K6363" s="1095"/>
      <c r="L6363" s="1095"/>
      <c r="M6363" s="1095"/>
    </row>
    <row r="6364" spans="1:13" x14ac:dyDescent="0.25">
      <c r="A6364">
        <v>6817798</v>
      </c>
      <c r="B6364" t="s">
        <v>13372</v>
      </c>
      <c r="C6364" t="s">
        <v>2598</v>
      </c>
      <c r="D6364" s="254">
        <v>3300.56</v>
      </c>
      <c r="E6364"/>
      <c r="F6364"/>
      <c r="G6364"/>
      <c r="H6364"/>
      <c r="I6364" s="489"/>
      <c r="J6364" s="1095"/>
      <c r="K6364" s="1095"/>
      <c r="L6364" s="1095"/>
      <c r="M6364" s="1095"/>
    </row>
    <row r="6365" spans="1:13" x14ac:dyDescent="0.25">
      <c r="A6365">
        <v>6817805</v>
      </c>
      <c r="B6365" t="s">
        <v>13373</v>
      </c>
      <c r="C6365" t="s">
        <v>2598</v>
      </c>
      <c r="D6365" s="254">
        <v>6625.16</v>
      </c>
      <c r="E6365"/>
      <c r="F6365"/>
      <c r="G6365"/>
      <c r="H6365"/>
      <c r="I6365" s="489"/>
      <c r="J6365" s="1095"/>
      <c r="K6365" s="1095"/>
      <c r="L6365" s="1095"/>
      <c r="M6365" s="1095"/>
    </row>
    <row r="6366" spans="1:13" x14ac:dyDescent="0.25">
      <c r="A6366">
        <v>6817806</v>
      </c>
      <c r="B6366" t="s">
        <v>13374</v>
      </c>
      <c r="C6366" t="s">
        <v>2598</v>
      </c>
      <c r="D6366" s="254">
        <v>6212.91</v>
      </c>
      <c r="E6366"/>
      <c r="F6366"/>
      <c r="G6366"/>
      <c r="H6366"/>
      <c r="I6366" s="489"/>
      <c r="J6366" s="1095"/>
      <c r="K6366" s="1095"/>
      <c r="L6366" s="1095"/>
      <c r="M6366" s="1095"/>
    </row>
    <row r="6367" spans="1:13" x14ac:dyDescent="0.25">
      <c r="A6367">
        <v>6817807</v>
      </c>
      <c r="B6367" t="s">
        <v>13375</v>
      </c>
      <c r="C6367" t="s">
        <v>2598</v>
      </c>
      <c r="D6367" s="254">
        <v>7348.09</v>
      </c>
      <c r="E6367"/>
      <c r="F6367"/>
      <c r="G6367"/>
      <c r="H6367"/>
      <c r="I6367" s="489"/>
      <c r="J6367" s="1095"/>
      <c r="K6367" s="1095"/>
      <c r="L6367" s="1095"/>
      <c r="M6367" s="1095"/>
    </row>
    <row r="6368" spans="1:13" x14ac:dyDescent="0.25">
      <c r="A6368">
        <v>6817808</v>
      </c>
      <c r="B6368" t="s">
        <v>13376</v>
      </c>
      <c r="C6368" t="s">
        <v>2598</v>
      </c>
      <c r="D6368" s="254">
        <v>6935.84</v>
      </c>
      <c r="E6368"/>
      <c r="F6368"/>
      <c r="G6368"/>
      <c r="H6368"/>
      <c r="I6368" s="489"/>
      <c r="J6368" s="1095"/>
      <c r="K6368" s="1095"/>
      <c r="L6368" s="1095"/>
      <c r="M6368" s="1095"/>
    </row>
    <row r="6369" spans="1:13" x14ac:dyDescent="0.25">
      <c r="A6369">
        <v>6817799</v>
      </c>
      <c r="B6369" t="s">
        <v>13377</v>
      </c>
      <c r="C6369" t="s">
        <v>2598</v>
      </c>
      <c r="D6369" s="254">
        <v>4421.3900000000003</v>
      </c>
      <c r="E6369"/>
      <c r="F6369"/>
      <c r="G6369"/>
      <c r="H6369"/>
      <c r="I6369" s="489"/>
      <c r="J6369" s="1095"/>
      <c r="K6369" s="1095"/>
      <c r="L6369" s="1095"/>
      <c r="M6369" s="1095"/>
    </row>
    <row r="6370" spans="1:13" x14ac:dyDescent="0.25">
      <c r="A6370">
        <v>6817800</v>
      </c>
      <c r="B6370" t="s">
        <v>13378</v>
      </c>
      <c r="C6370" t="s">
        <v>2598</v>
      </c>
      <c r="D6370" s="254">
        <v>4053.19</v>
      </c>
      <c r="E6370"/>
      <c r="F6370"/>
      <c r="G6370"/>
      <c r="H6370"/>
      <c r="I6370" s="489"/>
      <c r="J6370" s="1095"/>
      <c r="K6370" s="1095"/>
      <c r="L6370" s="1095"/>
      <c r="M6370" s="1095"/>
    </row>
    <row r="6371" spans="1:13" x14ac:dyDescent="0.25">
      <c r="A6371">
        <v>6817801</v>
      </c>
      <c r="B6371" t="s">
        <v>13379</v>
      </c>
      <c r="C6371" t="s">
        <v>2598</v>
      </c>
      <c r="D6371" s="254">
        <v>5332.69</v>
      </c>
      <c r="E6371"/>
      <c r="F6371"/>
      <c r="G6371"/>
      <c r="H6371"/>
      <c r="I6371" s="489"/>
      <c r="J6371" s="1095"/>
      <c r="K6371" s="1095"/>
      <c r="L6371" s="1095"/>
      <c r="M6371" s="1095"/>
    </row>
    <row r="6372" spans="1:13" x14ac:dyDescent="0.25">
      <c r="A6372">
        <v>6817802</v>
      </c>
      <c r="B6372" t="s">
        <v>13380</v>
      </c>
      <c r="C6372" t="s">
        <v>2598</v>
      </c>
      <c r="D6372" s="254">
        <v>5005.8500000000004</v>
      </c>
      <c r="E6372"/>
      <c r="F6372"/>
      <c r="G6372"/>
      <c r="H6372"/>
      <c r="I6372" s="489"/>
      <c r="J6372" s="1095"/>
      <c r="K6372" s="1095"/>
      <c r="L6372" s="1095"/>
      <c r="M6372" s="1095"/>
    </row>
    <row r="6373" spans="1:13" x14ac:dyDescent="0.25">
      <c r="A6373">
        <v>6817803</v>
      </c>
      <c r="B6373" t="s">
        <v>13381</v>
      </c>
      <c r="C6373" t="s">
        <v>2598</v>
      </c>
      <c r="D6373" s="254">
        <v>5980.66</v>
      </c>
      <c r="E6373"/>
      <c r="F6373"/>
      <c r="G6373"/>
      <c r="H6373"/>
      <c r="I6373" s="489"/>
      <c r="J6373" s="1095"/>
      <c r="K6373" s="1095"/>
      <c r="L6373" s="1095"/>
      <c r="M6373" s="1095"/>
    </row>
    <row r="6374" spans="1:13" x14ac:dyDescent="0.25">
      <c r="A6374">
        <v>6817804</v>
      </c>
      <c r="B6374" t="s">
        <v>13382</v>
      </c>
      <c r="C6374" t="s">
        <v>2598</v>
      </c>
      <c r="D6374" s="254">
        <v>5568.4</v>
      </c>
      <c r="E6374"/>
      <c r="F6374"/>
      <c r="G6374"/>
      <c r="H6374"/>
      <c r="I6374" s="489"/>
      <c r="J6374" s="1095"/>
      <c r="K6374" s="1095"/>
      <c r="L6374" s="1095"/>
      <c r="M6374" s="1095"/>
    </row>
    <row r="6375" spans="1:13" x14ac:dyDescent="0.25">
      <c r="A6375">
        <v>6817885</v>
      </c>
      <c r="B6375" t="s">
        <v>6269</v>
      </c>
      <c r="C6375" t="s">
        <v>2598</v>
      </c>
      <c r="D6375" s="254">
        <v>1463.65</v>
      </c>
      <c r="E6375"/>
      <c r="F6375"/>
      <c r="G6375"/>
      <c r="H6375"/>
      <c r="I6375" s="489"/>
      <c r="J6375" s="1095"/>
      <c r="K6375" s="1095"/>
      <c r="L6375" s="1095"/>
      <c r="M6375" s="1095"/>
    </row>
    <row r="6376" spans="1:13" x14ac:dyDescent="0.25">
      <c r="A6376">
        <v>6817886</v>
      </c>
      <c r="B6376" t="s">
        <v>13383</v>
      </c>
      <c r="C6376" t="s">
        <v>2598</v>
      </c>
      <c r="D6376" s="254">
        <v>1313.62</v>
      </c>
      <c r="E6376"/>
      <c r="F6376"/>
      <c r="G6376"/>
      <c r="H6376"/>
      <c r="I6376" s="489"/>
      <c r="J6376" s="1095"/>
      <c r="K6376" s="1095"/>
      <c r="L6376" s="1095"/>
      <c r="M6376" s="1095"/>
    </row>
    <row r="6377" spans="1:13" x14ac:dyDescent="0.25">
      <c r="A6377">
        <v>6817887</v>
      </c>
      <c r="B6377" t="s">
        <v>13384</v>
      </c>
      <c r="C6377" t="s">
        <v>2598</v>
      </c>
      <c r="D6377" s="254">
        <v>1588.85</v>
      </c>
      <c r="E6377"/>
      <c r="F6377"/>
      <c r="G6377"/>
      <c r="H6377"/>
      <c r="I6377" s="489"/>
      <c r="J6377" s="1095"/>
      <c r="K6377" s="1095"/>
      <c r="L6377" s="1095"/>
      <c r="M6377" s="1095"/>
    </row>
    <row r="6378" spans="1:13" x14ac:dyDescent="0.25">
      <c r="A6378">
        <v>6817888</v>
      </c>
      <c r="B6378" t="s">
        <v>13385</v>
      </c>
      <c r="C6378" t="s">
        <v>2598</v>
      </c>
      <c r="D6378" s="254">
        <v>1417.49</v>
      </c>
      <c r="E6378"/>
      <c r="F6378"/>
      <c r="G6378"/>
      <c r="H6378"/>
      <c r="I6378" s="489"/>
      <c r="J6378" s="1095"/>
      <c r="K6378" s="1095"/>
      <c r="L6378" s="1095"/>
      <c r="M6378" s="1095"/>
    </row>
    <row r="6379" spans="1:13" x14ac:dyDescent="0.25">
      <c r="A6379">
        <v>6817889</v>
      </c>
      <c r="B6379" t="s">
        <v>6270</v>
      </c>
      <c r="C6379" t="s">
        <v>2598</v>
      </c>
      <c r="D6379" s="254">
        <v>2334.66</v>
      </c>
      <c r="E6379"/>
      <c r="F6379"/>
      <c r="G6379"/>
      <c r="H6379"/>
      <c r="I6379" s="489"/>
      <c r="J6379" s="1095"/>
      <c r="K6379" s="1095"/>
      <c r="L6379" s="1095"/>
      <c r="M6379" s="1095"/>
    </row>
    <row r="6380" spans="1:13" x14ac:dyDescent="0.25">
      <c r="A6380">
        <v>6817890</v>
      </c>
      <c r="B6380" t="s">
        <v>13386</v>
      </c>
      <c r="C6380" t="s">
        <v>2598</v>
      </c>
      <c r="D6380" s="254">
        <v>2093.44</v>
      </c>
      <c r="E6380"/>
      <c r="F6380"/>
      <c r="G6380"/>
      <c r="H6380"/>
      <c r="I6380" s="489"/>
      <c r="J6380" s="1095"/>
      <c r="K6380" s="1095"/>
      <c r="L6380" s="1095"/>
      <c r="M6380" s="1095"/>
    </row>
    <row r="6381" spans="1:13" x14ac:dyDescent="0.25">
      <c r="A6381">
        <v>6817891</v>
      </c>
      <c r="B6381" t="s">
        <v>13387</v>
      </c>
      <c r="C6381" t="s">
        <v>2598</v>
      </c>
      <c r="D6381" s="254">
        <v>2021.19</v>
      </c>
      <c r="E6381"/>
      <c r="F6381"/>
      <c r="G6381"/>
      <c r="H6381"/>
      <c r="I6381" s="489"/>
      <c r="J6381" s="1095"/>
      <c r="K6381" s="1095"/>
      <c r="L6381" s="1095"/>
      <c r="M6381" s="1095"/>
    </row>
    <row r="6382" spans="1:13" x14ac:dyDescent="0.25">
      <c r="A6382">
        <v>6817892</v>
      </c>
      <c r="B6382" t="s">
        <v>13388</v>
      </c>
      <c r="C6382" t="s">
        <v>2598</v>
      </c>
      <c r="D6382" s="254">
        <v>1779.97</v>
      </c>
      <c r="E6382"/>
      <c r="F6382"/>
      <c r="G6382"/>
      <c r="H6382"/>
      <c r="I6382" s="489"/>
      <c r="J6382" s="1095"/>
      <c r="K6382" s="1095"/>
      <c r="L6382" s="1095"/>
      <c r="M6382" s="1095"/>
    </row>
    <row r="6383" spans="1:13" x14ac:dyDescent="0.25">
      <c r="A6383">
        <v>6817893</v>
      </c>
      <c r="B6383" t="s">
        <v>13389</v>
      </c>
      <c r="C6383" t="s">
        <v>2598</v>
      </c>
      <c r="D6383" s="254">
        <v>1766.14</v>
      </c>
      <c r="E6383"/>
      <c r="F6383"/>
      <c r="G6383"/>
      <c r="H6383"/>
      <c r="I6383" s="489"/>
      <c r="J6383" s="1095"/>
      <c r="K6383" s="1095"/>
      <c r="L6383" s="1095"/>
      <c r="M6383" s="1095"/>
    </row>
    <row r="6384" spans="1:13" x14ac:dyDescent="0.25">
      <c r="A6384">
        <v>6817894</v>
      </c>
      <c r="B6384" t="s">
        <v>13390</v>
      </c>
      <c r="C6384" t="s">
        <v>2598</v>
      </c>
      <c r="D6384" s="254">
        <v>1572.01</v>
      </c>
      <c r="E6384"/>
      <c r="F6384"/>
      <c r="G6384"/>
      <c r="H6384"/>
      <c r="I6384" s="489"/>
      <c r="J6384" s="1095"/>
      <c r="K6384" s="1095"/>
      <c r="L6384" s="1095"/>
      <c r="M6384" s="1095"/>
    </row>
    <row r="6385" spans="1:13" x14ac:dyDescent="0.25">
      <c r="A6385">
        <v>6817895</v>
      </c>
      <c r="B6385" t="s">
        <v>13391</v>
      </c>
      <c r="C6385" t="s">
        <v>2598</v>
      </c>
      <c r="D6385" s="254">
        <v>2501.7600000000002</v>
      </c>
      <c r="E6385"/>
      <c r="F6385"/>
      <c r="G6385"/>
      <c r="H6385"/>
      <c r="I6385" s="489"/>
      <c r="J6385" s="1095"/>
      <c r="K6385" s="1095"/>
      <c r="L6385" s="1095"/>
      <c r="M6385" s="1095"/>
    </row>
    <row r="6386" spans="1:13" x14ac:dyDescent="0.25">
      <c r="A6386">
        <v>6817896</v>
      </c>
      <c r="B6386" t="s">
        <v>13392</v>
      </c>
      <c r="C6386" t="s">
        <v>2598</v>
      </c>
      <c r="D6386" s="254">
        <v>2234.87</v>
      </c>
      <c r="E6386"/>
      <c r="F6386"/>
      <c r="G6386"/>
      <c r="H6386"/>
      <c r="I6386" s="489"/>
      <c r="J6386" s="1095"/>
      <c r="K6386" s="1095"/>
      <c r="L6386" s="1095"/>
      <c r="M6386" s="1095"/>
    </row>
    <row r="6387" spans="1:13" x14ac:dyDescent="0.25">
      <c r="A6387">
        <v>6817897</v>
      </c>
      <c r="B6387" t="s">
        <v>13393</v>
      </c>
      <c r="C6387" t="s">
        <v>2598</v>
      </c>
      <c r="D6387" s="254">
        <v>2198.64</v>
      </c>
      <c r="E6387"/>
      <c r="F6387"/>
      <c r="G6387"/>
      <c r="H6387"/>
      <c r="I6387" s="489"/>
      <c r="J6387" s="1095"/>
      <c r="K6387" s="1095"/>
      <c r="L6387" s="1095"/>
      <c r="M6387" s="1095"/>
    </row>
    <row r="6388" spans="1:13" x14ac:dyDescent="0.25">
      <c r="A6388">
        <v>6817898</v>
      </c>
      <c r="B6388" t="s">
        <v>13394</v>
      </c>
      <c r="C6388" t="s">
        <v>2598</v>
      </c>
      <c r="D6388" s="254">
        <v>1931.75</v>
      </c>
      <c r="E6388"/>
      <c r="F6388"/>
      <c r="G6388"/>
      <c r="H6388"/>
      <c r="I6388" s="489"/>
      <c r="J6388" s="1095"/>
      <c r="K6388" s="1095"/>
      <c r="L6388" s="1095"/>
      <c r="M6388" s="1095"/>
    </row>
    <row r="6389" spans="1:13" x14ac:dyDescent="0.25">
      <c r="A6389">
        <v>6817899</v>
      </c>
      <c r="B6389" t="s">
        <v>13395</v>
      </c>
      <c r="C6389" t="s">
        <v>2598</v>
      </c>
      <c r="D6389" s="254">
        <v>1933.08</v>
      </c>
      <c r="E6389"/>
      <c r="F6389"/>
      <c r="G6389"/>
      <c r="H6389"/>
      <c r="I6389" s="489"/>
      <c r="J6389" s="1095"/>
      <c r="K6389" s="1095"/>
      <c r="L6389" s="1095"/>
      <c r="M6389" s="1095"/>
    </row>
    <row r="6390" spans="1:13" x14ac:dyDescent="0.25">
      <c r="A6390">
        <v>6817900</v>
      </c>
      <c r="B6390" t="s">
        <v>13396</v>
      </c>
      <c r="C6390" t="s">
        <v>2598</v>
      </c>
      <c r="D6390" s="254">
        <v>1716.23</v>
      </c>
      <c r="E6390"/>
      <c r="F6390"/>
      <c r="G6390"/>
      <c r="H6390"/>
      <c r="I6390" s="489"/>
      <c r="J6390" s="1095"/>
      <c r="K6390" s="1095"/>
      <c r="L6390" s="1095"/>
      <c r="M6390" s="1095"/>
    </row>
    <row r="6391" spans="1:13" x14ac:dyDescent="0.25">
      <c r="A6391">
        <v>6817901</v>
      </c>
      <c r="B6391" t="s">
        <v>13397</v>
      </c>
      <c r="C6391" t="s">
        <v>2598</v>
      </c>
      <c r="D6391" s="254">
        <v>2603.7199999999998</v>
      </c>
      <c r="E6391"/>
      <c r="F6391"/>
      <c r="G6391"/>
      <c r="H6391"/>
      <c r="I6391" s="489"/>
      <c r="J6391" s="1095"/>
      <c r="K6391" s="1095"/>
      <c r="L6391" s="1095"/>
      <c r="M6391" s="1095"/>
    </row>
    <row r="6392" spans="1:13" x14ac:dyDescent="0.25">
      <c r="A6392">
        <v>6817902</v>
      </c>
      <c r="B6392" t="s">
        <v>13398</v>
      </c>
      <c r="C6392" t="s">
        <v>2598</v>
      </c>
      <c r="D6392" s="254">
        <v>2309.92</v>
      </c>
      <c r="E6392"/>
      <c r="F6392"/>
      <c r="G6392"/>
      <c r="H6392"/>
      <c r="I6392" s="489"/>
      <c r="J6392" s="1095"/>
      <c r="K6392" s="1095"/>
      <c r="L6392" s="1095"/>
      <c r="M6392" s="1095"/>
    </row>
    <row r="6393" spans="1:13" x14ac:dyDescent="0.25">
      <c r="A6393">
        <v>6817903</v>
      </c>
      <c r="B6393" t="s">
        <v>13399</v>
      </c>
      <c r="C6393" t="s">
        <v>2598</v>
      </c>
      <c r="D6393" s="254">
        <v>2379.62</v>
      </c>
      <c r="E6393"/>
      <c r="F6393"/>
      <c r="G6393"/>
      <c r="H6393"/>
      <c r="I6393" s="489"/>
      <c r="J6393" s="1095"/>
      <c r="K6393" s="1095"/>
      <c r="L6393" s="1095"/>
      <c r="M6393" s="1095"/>
    </row>
    <row r="6394" spans="1:13" x14ac:dyDescent="0.25">
      <c r="A6394">
        <v>6817904</v>
      </c>
      <c r="B6394" t="s">
        <v>13400</v>
      </c>
      <c r="C6394" t="s">
        <v>2598</v>
      </c>
      <c r="D6394" s="254">
        <v>2085.8200000000002</v>
      </c>
      <c r="E6394"/>
      <c r="F6394"/>
      <c r="G6394"/>
      <c r="H6394"/>
      <c r="I6394" s="489"/>
      <c r="J6394" s="1095"/>
      <c r="K6394" s="1095"/>
      <c r="L6394" s="1095"/>
      <c r="M6394" s="1095"/>
    </row>
    <row r="6395" spans="1:13" x14ac:dyDescent="0.25">
      <c r="A6395">
        <v>6817829</v>
      </c>
      <c r="B6395" t="s">
        <v>13401</v>
      </c>
      <c r="C6395" t="s">
        <v>2598</v>
      </c>
      <c r="D6395" s="254">
        <v>1959.33</v>
      </c>
      <c r="E6395"/>
      <c r="F6395"/>
      <c r="G6395"/>
      <c r="H6395"/>
      <c r="I6395" s="489"/>
      <c r="J6395" s="1095"/>
      <c r="K6395" s="1095"/>
      <c r="L6395" s="1095"/>
      <c r="M6395" s="1095"/>
    </row>
    <row r="6396" spans="1:13" x14ac:dyDescent="0.25">
      <c r="A6396">
        <v>6817830</v>
      </c>
      <c r="B6396" t="s">
        <v>13402</v>
      </c>
      <c r="C6396" t="s">
        <v>2598</v>
      </c>
      <c r="D6396" s="254">
        <v>1764.82</v>
      </c>
      <c r="E6396"/>
      <c r="F6396"/>
      <c r="G6396"/>
      <c r="H6396"/>
      <c r="I6396" s="489"/>
      <c r="J6396" s="1095"/>
      <c r="K6396" s="1095"/>
      <c r="L6396" s="1095"/>
      <c r="M6396" s="1095"/>
    </row>
    <row r="6397" spans="1:13" x14ac:dyDescent="0.25">
      <c r="A6397">
        <v>6817831</v>
      </c>
      <c r="B6397" t="s">
        <v>13403</v>
      </c>
      <c r="C6397" t="s">
        <v>2598</v>
      </c>
      <c r="D6397" s="254">
        <v>1890.08</v>
      </c>
      <c r="E6397"/>
      <c r="F6397"/>
      <c r="G6397"/>
      <c r="H6397"/>
      <c r="I6397" s="489"/>
      <c r="J6397" s="1095"/>
      <c r="K6397" s="1095"/>
      <c r="L6397" s="1095"/>
      <c r="M6397" s="1095"/>
    </row>
    <row r="6398" spans="1:13" x14ac:dyDescent="0.25">
      <c r="A6398">
        <v>6817832</v>
      </c>
      <c r="B6398" t="s">
        <v>13404</v>
      </c>
      <c r="C6398" t="s">
        <v>2598</v>
      </c>
      <c r="D6398" s="254">
        <v>1695.56</v>
      </c>
      <c r="E6398"/>
      <c r="F6398"/>
      <c r="G6398"/>
      <c r="H6398"/>
      <c r="I6398" s="489"/>
      <c r="J6398" s="1095"/>
      <c r="K6398" s="1095"/>
      <c r="L6398" s="1095"/>
      <c r="M6398" s="1095"/>
    </row>
    <row r="6399" spans="1:13" x14ac:dyDescent="0.25">
      <c r="A6399">
        <v>6817839</v>
      </c>
      <c r="B6399" t="s">
        <v>13405</v>
      </c>
      <c r="C6399" t="s">
        <v>2598</v>
      </c>
      <c r="D6399" s="254">
        <v>2273.13</v>
      </c>
      <c r="E6399"/>
      <c r="F6399"/>
      <c r="G6399"/>
      <c r="H6399"/>
      <c r="I6399" s="489"/>
      <c r="J6399" s="1095"/>
      <c r="K6399" s="1095"/>
      <c r="L6399" s="1095"/>
      <c r="M6399" s="1095"/>
    </row>
    <row r="6400" spans="1:13" x14ac:dyDescent="0.25">
      <c r="A6400">
        <v>6817840</v>
      </c>
      <c r="B6400" t="s">
        <v>13406</v>
      </c>
      <c r="C6400" t="s">
        <v>2598</v>
      </c>
      <c r="D6400" s="254">
        <v>2028.32</v>
      </c>
      <c r="E6400"/>
      <c r="F6400"/>
      <c r="G6400"/>
      <c r="H6400"/>
      <c r="I6400" s="489"/>
      <c r="J6400" s="1095"/>
      <c r="K6400" s="1095"/>
      <c r="L6400" s="1095"/>
      <c r="M6400" s="1095"/>
    </row>
    <row r="6401" spans="1:13" x14ac:dyDescent="0.25">
      <c r="A6401">
        <v>6817841</v>
      </c>
      <c r="B6401" t="s">
        <v>13407</v>
      </c>
      <c r="C6401" t="s">
        <v>2598</v>
      </c>
      <c r="D6401" s="254">
        <v>2571.81</v>
      </c>
      <c r="E6401"/>
      <c r="F6401"/>
      <c r="G6401"/>
      <c r="H6401"/>
      <c r="I6401" s="489"/>
      <c r="J6401" s="1095"/>
      <c r="K6401" s="1095"/>
      <c r="L6401" s="1095"/>
      <c r="M6401" s="1095"/>
    </row>
    <row r="6402" spans="1:13" x14ac:dyDescent="0.25">
      <c r="A6402">
        <v>6817842</v>
      </c>
      <c r="B6402" t="s">
        <v>13408</v>
      </c>
      <c r="C6402" t="s">
        <v>2598</v>
      </c>
      <c r="D6402" s="254">
        <v>2343.46</v>
      </c>
      <c r="E6402"/>
      <c r="F6402"/>
      <c r="G6402"/>
      <c r="H6402"/>
      <c r="I6402" s="489"/>
      <c r="J6402" s="1095"/>
      <c r="K6402" s="1095"/>
      <c r="L6402" s="1095"/>
      <c r="M6402" s="1095"/>
    </row>
    <row r="6403" spans="1:13" x14ac:dyDescent="0.25">
      <c r="A6403">
        <v>6817833</v>
      </c>
      <c r="B6403" t="s">
        <v>13409</v>
      </c>
      <c r="C6403" t="s">
        <v>2598</v>
      </c>
      <c r="D6403" s="254">
        <v>1890.08</v>
      </c>
      <c r="E6403"/>
      <c r="F6403"/>
      <c r="G6403"/>
      <c r="H6403"/>
      <c r="I6403" s="489"/>
      <c r="J6403" s="1095"/>
      <c r="K6403" s="1095"/>
      <c r="L6403" s="1095"/>
      <c r="M6403" s="1095"/>
    </row>
    <row r="6404" spans="1:13" x14ac:dyDescent="0.25">
      <c r="A6404">
        <v>6817834</v>
      </c>
      <c r="B6404" t="s">
        <v>13410</v>
      </c>
      <c r="C6404" t="s">
        <v>2598</v>
      </c>
      <c r="D6404" s="254">
        <v>1695.56</v>
      </c>
      <c r="E6404"/>
      <c r="F6404"/>
      <c r="G6404"/>
      <c r="H6404"/>
      <c r="I6404" s="489"/>
      <c r="J6404" s="1095"/>
      <c r="K6404" s="1095"/>
      <c r="L6404" s="1095"/>
      <c r="M6404" s="1095"/>
    </row>
    <row r="6405" spans="1:13" x14ac:dyDescent="0.25">
      <c r="A6405">
        <v>6817835</v>
      </c>
      <c r="B6405" t="s">
        <v>13411</v>
      </c>
      <c r="C6405" t="s">
        <v>2598</v>
      </c>
      <c r="D6405" s="254">
        <v>2023.23</v>
      </c>
      <c r="E6405"/>
      <c r="F6405"/>
      <c r="G6405"/>
      <c r="H6405"/>
      <c r="I6405" s="489"/>
      <c r="J6405" s="1095"/>
      <c r="K6405" s="1095"/>
      <c r="L6405" s="1095"/>
      <c r="M6405" s="1095"/>
    </row>
    <row r="6406" spans="1:13" x14ac:dyDescent="0.25">
      <c r="A6406">
        <v>6817836</v>
      </c>
      <c r="B6406" t="s">
        <v>13412</v>
      </c>
      <c r="C6406" t="s">
        <v>2598</v>
      </c>
      <c r="D6406" s="254">
        <v>1831.44</v>
      </c>
      <c r="E6406"/>
      <c r="F6406"/>
      <c r="G6406"/>
      <c r="H6406"/>
      <c r="I6406" s="489"/>
      <c r="J6406" s="1095"/>
      <c r="K6406" s="1095"/>
      <c r="L6406" s="1095"/>
      <c r="M6406" s="1095"/>
    </row>
    <row r="6407" spans="1:13" x14ac:dyDescent="0.25">
      <c r="A6407">
        <v>6817837</v>
      </c>
      <c r="B6407" t="s">
        <v>13413</v>
      </c>
      <c r="C6407" t="s">
        <v>2598</v>
      </c>
      <c r="D6407" s="254">
        <v>2388.06</v>
      </c>
      <c r="E6407"/>
      <c r="F6407"/>
      <c r="G6407"/>
      <c r="H6407"/>
      <c r="I6407" s="489"/>
      <c r="J6407" s="1095"/>
      <c r="K6407" s="1095"/>
      <c r="L6407" s="1095"/>
      <c r="M6407" s="1095"/>
    </row>
    <row r="6408" spans="1:13" x14ac:dyDescent="0.25">
      <c r="A6408">
        <v>6817838</v>
      </c>
      <c r="B6408" t="s">
        <v>13414</v>
      </c>
      <c r="C6408" t="s">
        <v>2598</v>
      </c>
      <c r="D6408" s="254">
        <v>2143.25</v>
      </c>
      <c r="E6408"/>
      <c r="F6408"/>
      <c r="G6408"/>
      <c r="H6408"/>
      <c r="I6408" s="489"/>
      <c r="J6408" s="1095"/>
      <c r="K6408" s="1095"/>
      <c r="L6408" s="1095"/>
      <c r="M6408" s="1095"/>
    </row>
    <row r="6409" spans="1:13" x14ac:dyDescent="0.25">
      <c r="A6409">
        <v>6817843</v>
      </c>
      <c r="B6409" t="s">
        <v>13415</v>
      </c>
      <c r="C6409" t="s">
        <v>2598</v>
      </c>
      <c r="D6409" s="254">
        <v>2773.9</v>
      </c>
      <c r="E6409"/>
      <c r="F6409"/>
      <c r="G6409"/>
      <c r="H6409"/>
      <c r="I6409" s="489"/>
      <c r="J6409" s="1095"/>
      <c r="K6409" s="1095"/>
      <c r="L6409" s="1095"/>
      <c r="M6409" s="1095"/>
    </row>
    <row r="6410" spans="1:13" x14ac:dyDescent="0.25">
      <c r="A6410">
        <v>6817844</v>
      </c>
      <c r="B6410" t="s">
        <v>13416</v>
      </c>
      <c r="C6410" t="s">
        <v>2598</v>
      </c>
      <c r="D6410" s="254">
        <v>2526.39</v>
      </c>
      <c r="E6410"/>
      <c r="F6410"/>
      <c r="G6410"/>
      <c r="H6410"/>
      <c r="I6410" s="489"/>
      <c r="J6410" s="1095"/>
      <c r="K6410" s="1095"/>
      <c r="L6410" s="1095"/>
      <c r="M6410" s="1095"/>
    </row>
    <row r="6411" spans="1:13" x14ac:dyDescent="0.25">
      <c r="A6411">
        <v>6817845</v>
      </c>
      <c r="B6411" t="s">
        <v>13417</v>
      </c>
      <c r="C6411" t="s">
        <v>2598</v>
      </c>
      <c r="D6411" s="254">
        <v>2401.83</v>
      </c>
      <c r="E6411"/>
      <c r="F6411"/>
      <c r="G6411"/>
      <c r="H6411"/>
      <c r="I6411" s="489"/>
      <c r="J6411" s="1095"/>
      <c r="K6411" s="1095"/>
      <c r="L6411" s="1095"/>
      <c r="M6411" s="1095"/>
    </row>
    <row r="6412" spans="1:13" x14ac:dyDescent="0.25">
      <c r="A6412">
        <v>6817846</v>
      </c>
      <c r="B6412" t="s">
        <v>13418</v>
      </c>
      <c r="C6412" t="s">
        <v>2598</v>
      </c>
      <c r="D6412" s="254">
        <v>2154.3200000000002</v>
      </c>
      <c r="E6412"/>
      <c r="F6412"/>
      <c r="G6412"/>
      <c r="H6412"/>
      <c r="I6412" s="489"/>
      <c r="J6412" s="1095"/>
      <c r="K6412" s="1095"/>
      <c r="L6412" s="1095"/>
      <c r="M6412" s="1095"/>
    </row>
    <row r="6413" spans="1:13" x14ac:dyDescent="0.25">
      <c r="A6413">
        <v>6817853</v>
      </c>
      <c r="B6413" t="s">
        <v>13419</v>
      </c>
      <c r="C6413" t="s">
        <v>2598</v>
      </c>
      <c r="D6413" s="254">
        <v>3625.42</v>
      </c>
      <c r="E6413"/>
      <c r="F6413"/>
      <c r="G6413"/>
      <c r="H6413"/>
      <c r="I6413" s="489"/>
      <c r="J6413" s="1095"/>
      <c r="K6413" s="1095"/>
      <c r="L6413" s="1095"/>
      <c r="M6413" s="1095"/>
    </row>
    <row r="6414" spans="1:13" x14ac:dyDescent="0.25">
      <c r="A6414">
        <v>6817854</v>
      </c>
      <c r="B6414" t="s">
        <v>13420</v>
      </c>
      <c r="C6414" t="s">
        <v>2598</v>
      </c>
      <c r="D6414" s="254">
        <v>3341.88</v>
      </c>
      <c r="E6414"/>
      <c r="F6414"/>
      <c r="G6414"/>
      <c r="H6414"/>
      <c r="I6414" s="489"/>
      <c r="J6414" s="1095"/>
      <c r="K6414" s="1095"/>
      <c r="L6414" s="1095"/>
      <c r="M6414" s="1095"/>
    </row>
    <row r="6415" spans="1:13" x14ac:dyDescent="0.25">
      <c r="A6415">
        <v>6817855</v>
      </c>
      <c r="B6415" t="s">
        <v>13421</v>
      </c>
      <c r="C6415" t="s">
        <v>2598</v>
      </c>
      <c r="D6415" s="254">
        <v>4179.63</v>
      </c>
      <c r="E6415"/>
      <c r="F6415"/>
      <c r="G6415"/>
      <c r="H6415"/>
      <c r="I6415" s="489"/>
      <c r="J6415" s="1095"/>
      <c r="K6415" s="1095"/>
      <c r="L6415" s="1095"/>
      <c r="M6415" s="1095"/>
    </row>
    <row r="6416" spans="1:13" x14ac:dyDescent="0.25">
      <c r="A6416">
        <v>6817856</v>
      </c>
      <c r="B6416" t="s">
        <v>13422</v>
      </c>
      <c r="C6416" t="s">
        <v>2598</v>
      </c>
      <c r="D6416" s="254">
        <v>3835.37</v>
      </c>
      <c r="E6416"/>
      <c r="F6416"/>
      <c r="G6416"/>
      <c r="H6416"/>
      <c r="I6416" s="489"/>
      <c r="J6416" s="1095"/>
      <c r="K6416" s="1095"/>
      <c r="L6416" s="1095"/>
      <c r="M6416" s="1095"/>
    </row>
    <row r="6417" spans="1:13" x14ac:dyDescent="0.25">
      <c r="A6417">
        <v>6817847</v>
      </c>
      <c r="B6417" t="s">
        <v>13423</v>
      </c>
      <c r="C6417" t="s">
        <v>2598</v>
      </c>
      <c r="D6417" s="254">
        <v>2692.46</v>
      </c>
      <c r="E6417"/>
      <c r="F6417"/>
      <c r="G6417"/>
      <c r="H6417"/>
      <c r="I6417" s="489"/>
      <c r="J6417" s="1095"/>
      <c r="K6417" s="1095"/>
      <c r="L6417" s="1095"/>
      <c r="M6417" s="1095"/>
    </row>
    <row r="6418" spans="1:13" x14ac:dyDescent="0.25">
      <c r="A6418">
        <v>6817848</v>
      </c>
      <c r="B6418" t="s">
        <v>13424</v>
      </c>
      <c r="C6418" t="s">
        <v>2598</v>
      </c>
      <c r="D6418" s="254">
        <v>2447.06</v>
      </c>
      <c r="E6418"/>
      <c r="F6418"/>
      <c r="G6418"/>
      <c r="H6418"/>
      <c r="I6418" s="489"/>
      <c r="J6418" s="1095"/>
      <c r="K6418" s="1095"/>
      <c r="L6418" s="1095"/>
      <c r="M6418" s="1095"/>
    </row>
    <row r="6419" spans="1:13" x14ac:dyDescent="0.25">
      <c r="A6419">
        <v>6817849</v>
      </c>
      <c r="B6419" t="s">
        <v>13425</v>
      </c>
      <c r="C6419" t="s">
        <v>2598</v>
      </c>
      <c r="D6419" s="254">
        <v>3124.78</v>
      </c>
      <c r="E6419"/>
      <c r="F6419"/>
      <c r="G6419"/>
      <c r="H6419"/>
      <c r="I6419" s="489"/>
      <c r="J6419" s="1095"/>
      <c r="K6419" s="1095"/>
      <c r="L6419" s="1095"/>
      <c r="M6419" s="1095"/>
    </row>
    <row r="6420" spans="1:13" x14ac:dyDescent="0.25">
      <c r="A6420">
        <v>6817850</v>
      </c>
      <c r="B6420" t="s">
        <v>13426</v>
      </c>
      <c r="C6420" t="s">
        <v>2598</v>
      </c>
      <c r="D6420" s="254">
        <v>2813.79</v>
      </c>
      <c r="E6420"/>
      <c r="F6420"/>
      <c r="G6420"/>
      <c r="H6420"/>
      <c r="I6420" s="489"/>
      <c r="J6420" s="1095"/>
      <c r="K6420" s="1095"/>
      <c r="L6420" s="1095"/>
      <c r="M6420" s="1095"/>
    </row>
    <row r="6421" spans="1:13" x14ac:dyDescent="0.25">
      <c r="A6421">
        <v>6817851</v>
      </c>
      <c r="B6421" t="s">
        <v>13427</v>
      </c>
      <c r="C6421" t="s">
        <v>2598</v>
      </c>
      <c r="D6421" s="254">
        <v>3373.51</v>
      </c>
      <c r="E6421"/>
      <c r="F6421"/>
      <c r="G6421"/>
      <c r="H6421"/>
      <c r="I6421" s="489"/>
      <c r="J6421" s="1095"/>
      <c r="K6421" s="1095"/>
      <c r="L6421" s="1095"/>
      <c r="M6421" s="1095"/>
    </row>
    <row r="6422" spans="1:13" x14ac:dyDescent="0.25">
      <c r="A6422">
        <v>6817852</v>
      </c>
      <c r="B6422" t="s">
        <v>13428</v>
      </c>
      <c r="C6422" t="s">
        <v>2598</v>
      </c>
      <c r="D6422" s="254">
        <v>3082.17</v>
      </c>
      <c r="E6422"/>
      <c r="F6422"/>
      <c r="G6422"/>
      <c r="H6422"/>
      <c r="I6422" s="489"/>
      <c r="J6422" s="1095"/>
      <c r="K6422" s="1095"/>
      <c r="L6422" s="1095"/>
      <c r="M6422" s="1095"/>
    </row>
    <row r="6423" spans="1:13" x14ac:dyDescent="0.25">
      <c r="A6423">
        <v>6817857</v>
      </c>
      <c r="B6423" t="s">
        <v>6271</v>
      </c>
      <c r="C6423" t="s">
        <v>2598</v>
      </c>
      <c r="D6423" s="254">
        <v>3722.78</v>
      </c>
      <c r="E6423"/>
      <c r="F6423"/>
      <c r="G6423"/>
      <c r="H6423"/>
      <c r="I6423" s="489"/>
      <c r="J6423" s="1095"/>
      <c r="K6423" s="1095"/>
      <c r="L6423" s="1095"/>
      <c r="M6423" s="1095"/>
    </row>
    <row r="6424" spans="1:13" x14ac:dyDescent="0.25">
      <c r="A6424">
        <v>6817858</v>
      </c>
      <c r="B6424" t="s">
        <v>13429</v>
      </c>
      <c r="C6424" t="s">
        <v>2598</v>
      </c>
      <c r="D6424" s="254">
        <v>3419.39</v>
      </c>
      <c r="E6424"/>
      <c r="F6424"/>
      <c r="G6424"/>
      <c r="H6424"/>
      <c r="I6424" s="489"/>
      <c r="J6424" s="1095"/>
      <c r="K6424" s="1095"/>
      <c r="L6424" s="1095"/>
      <c r="M6424" s="1095"/>
    </row>
    <row r="6425" spans="1:13" x14ac:dyDescent="0.25">
      <c r="A6425">
        <v>6817859</v>
      </c>
      <c r="B6425" t="s">
        <v>13430</v>
      </c>
      <c r="C6425" t="s">
        <v>2598</v>
      </c>
      <c r="D6425" s="254">
        <v>3126.63</v>
      </c>
      <c r="E6425"/>
      <c r="F6425"/>
      <c r="G6425"/>
      <c r="H6425"/>
      <c r="I6425" s="489"/>
      <c r="J6425" s="1095"/>
      <c r="K6425" s="1095"/>
      <c r="L6425" s="1095"/>
      <c r="M6425" s="1095"/>
    </row>
    <row r="6426" spans="1:13" x14ac:dyDescent="0.25">
      <c r="A6426">
        <v>6817860</v>
      </c>
      <c r="B6426" t="s">
        <v>13431</v>
      </c>
      <c r="C6426" t="s">
        <v>2598</v>
      </c>
      <c r="D6426" s="254">
        <v>2823.23</v>
      </c>
      <c r="E6426"/>
      <c r="F6426"/>
      <c r="G6426"/>
      <c r="H6426"/>
      <c r="I6426" s="489"/>
      <c r="J6426" s="1095"/>
      <c r="K6426" s="1095"/>
      <c r="L6426" s="1095"/>
      <c r="M6426" s="1095"/>
    </row>
    <row r="6427" spans="1:13" x14ac:dyDescent="0.25">
      <c r="A6427">
        <v>6817867</v>
      </c>
      <c r="B6427" t="s">
        <v>13432</v>
      </c>
      <c r="C6427" t="s">
        <v>2598</v>
      </c>
      <c r="D6427" s="254">
        <v>5163.6000000000004</v>
      </c>
      <c r="E6427"/>
      <c r="F6427"/>
      <c r="G6427"/>
      <c r="H6427"/>
      <c r="I6427" s="489"/>
      <c r="J6427" s="1095"/>
      <c r="K6427" s="1095"/>
      <c r="L6427" s="1095"/>
      <c r="M6427" s="1095"/>
    </row>
    <row r="6428" spans="1:13" x14ac:dyDescent="0.25">
      <c r="A6428">
        <v>6817868</v>
      </c>
      <c r="B6428" t="s">
        <v>13433</v>
      </c>
      <c r="C6428" t="s">
        <v>2598</v>
      </c>
      <c r="D6428" s="254">
        <v>4744.1499999999996</v>
      </c>
      <c r="E6428"/>
      <c r="F6428"/>
      <c r="G6428"/>
      <c r="H6428"/>
      <c r="I6428" s="489"/>
      <c r="J6428" s="1095"/>
      <c r="K6428" s="1095"/>
      <c r="L6428" s="1095"/>
      <c r="M6428" s="1095"/>
    </row>
    <row r="6429" spans="1:13" x14ac:dyDescent="0.25">
      <c r="A6429">
        <v>6817869</v>
      </c>
      <c r="B6429" t="s">
        <v>13434</v>
      </c>
      <c r="C6429" t="s">
        <v>2598</v>
      </c>
      <c r="D6429" s="254">
        <v>5819.17</v>
      </c>
      <c r="E6429"/>
      <c r="F6429"/>
      <c r="G6429"/>
      <c r="H6429"/>
      <c r="I6429" s="489"/>
      <c r="J6429" s="1095"/>
      <c r="K6429" s="1095"/>
      <c r="L6429" s="1095"/>
      <c r="M6429" s="1095"/>
    </row>
    <row r="6430" spans="1:13" x14ac:dyDescent="0.25">
      <c r="A6430">
        <v>6817870</v>
      </c>
      <c r="B6430" t="s">
        <v>13435</v>
      </c>
      <c r="C6430" t="s">
        <v>2598</v>
      </c>
      <c r="D6430" s="254">
        <v>5398.35</v>
      </c>
      <c r="E6430"/>
      <c r="F6430"/>
      <c r="G6430"/>
      <c r="H6430"/>
      <c r="I6430" s="489"/>
      <c r="J6430" s="1095"/>
      <c r="K6430" s="1095"/>
      <c r="L6430" s="1095"/>
      <c r="M6430" s="1095"/>
    </row>
    <row r="6431" spans="1:13" x14ac:dyDescent="0.25">
      <c r="A6431">
        <v>6817861</v>
      </c>
      <c r="B6431" t="s">
        <v>13436</v>
      </c>
      <c r="C6431" t="s">
        <v>2598</v>
      </c>
      <c r="D6431" s="254">
        <v>3811.21</v>
      </c>
      <c r="E6431"/>
      <c r="F6431"/>
      <c r="G6431"/>
      <c r="H6431"/>
      <c r="I6431" s="489"/>
      <c r="J6431" s="1095"/>
      <c r="K6431" s="1095"/>
      <c r="L6431" s="1095"/>
      <c r="M6431" s="1095"/>
    </row>
    <row r="6432" spans="1:13" x14ac:dyDescent="0.25">
      <c r="A6432">
        <v>6817862</v>
      </c>
      <c r="B6432" t="s">
        <v>13437</v>
      </c>
      <c r="C6432" t="s">
        <v>2598</v>
      </c>
      <c r="D6432" s="254">
        <v>3432.5</v>
      </c>
      <c r="E6432"/>
      <c r="F6432"/>
      <c r="G6432"/>
      <c r="H6432"/>
      <c r="I6432" s="489"/>
      <c r="J6432" s="1095"/>
      <c r="K6432" s="1095"/>
      <c r="L6432" s="1095"/>
      <c r="M6432" s="1095"/>
    </row>
    <row r="6433" spans="1:13" x14ac:dyDescent="0.25">
      <c r="A6433">
        <v>6817863</v>
      </c>
      <c r="B6433" t="s">
        <v>13438</v>
      </c>
      <c r="C6433" t="s">
        <v>2598</v>
      </c>
      <c r="D6433" s="254">
        <v>4321.5600000000004</v>
      </c>
      <c r="E6433"/>
      <c r="F6433"/>
      <c r="G6433"/>
      <c r="H6433"/>
      <c r="I6433" s="489"/>
      <c r="J6433" s="1095"/>
      <c r="K6433" s="1095"/>
      <c r="L6433" s="1095"/>
      <c r="M6433" s="1095"/>
    </row>
    <row r="6434" spans="1:13" x14ac:dyDescent="0.25">
      <c r="A6434">
        <v>6817864</v>
      </c>
      <c r="B6434" t="s">
        <v>13439</v>
      </c>
      <c r="C6434" t="s">
        <v>2598</v>
      </c>
      <c r="D6434" s="254">
        <v>3967.08</v>
      </c>
      <c r="E6434"/>
      <c r="F6434"/>
      <c r="G6434"/>
      <c r="H6434"/>
      <c r="I6434" s="489"/>
      <c r="J6434" s="1095"/>
      <c r="K6434" s="1095"/>
      <c r="L6434" s="1095"/>
      <c r="M6434" s="1095"/>
    </row>
    <row r="6435" spans="1:13" x14ac:dyDescent="0.25">
      <c r="A6435">
        <v>6817865</v>
      </c>
      <c r="B6435" t="s">
        <v>13440</v>
      </c>
      <c r="C6435" t="s">
        <v>2598</v>
      </c>
      <c r="D6435" s="254">
        <v>4766.5200000000004</v>
      </c>
      <c r="E6435"/>
      <c r="F6435"/>
      <c r="G6435"/>
      <c r="H6435"/>
      <c r="I6435" s="489"/>
      <c r="J6435" s="1095"/>
      <c r="K6435" s="1095"/>
      <c r="L6435" s="1095"/>
      <c r="M6435" s="1095"/>
    </row>
    <row r="6436" spans="1:13" x14ac:dyDescent="0.25">
      <c r="A6436">
        <v>6817866</v>
      </c>
      <c r="B6436" t="s">
        <v>13441</v>
      </c>
      <c r="C6436" t="s">
        <v>2598</v>
      </c>
      <c r="D6436" s="254">
        <v>4421.54</v>
      </c>
      <c r="E6436"/>
      <c r="F6436"/>
      <c r="G6436"/>
      <c r="H6436"/>
      <c r="I6436" s="489"/>
      <c r="J6436" s="1095"/>
      <c r="K6436" s="1095"/>
      <c r="L6436" s="1095"/>
      <c r="M6436" s="1095"/>
    </row>
    <row r="6437" spans="1:13" x14ac:dyDescent="0.25">
      <c r="A6437">
        <v>6817871</v>
      </c>
      <c r="B6437" t="s">
        <v>13442</v>
      </c>
      <c r="C6437" t="s">
        <v>2598</v>
      </c>
      <c r="D6437" s="254">
        <v>4744.62</v>
      </c>
      <c r="E6437"/>
      <c r="F6437"/>
      <c r="G6437"/>
      <c r="H6437"/>
      <c r="I6437" s="489"/>
      <c r="J6437" s="1095"/>
      <c r="K6437" s="1095"/>
      <c r="L6437" s="1095"/>
      <c r="M6437" s="1095"/>
    </row>
    <row r="6438" spans="1:13" x14ac:dyDescent="0.25">
      <c r="A6438">
        <v>6817872</v>
      </c>
      <c r="B6438" t="s">
        <v>13443</v>
      </c>
      <c r="C6438" t="s">
        <v>2598</v>
      </c>
      <c r="D6438" s="254">
        <v>4391.84</v>
      </c>
      <c r="E6438"/>
      <c r="F6438"/>
      <c r="G6438"/>
      <c r="H6438"/>
      <c r="I6438" s="489"/>
      <c r="J6438" s="1095"/>
      <c r="K6438" s="1095"/>
      <c r="L6438" s="1095"/>
      <c r="M6438" s="1095"/>
    </row>
    <row r="6439" spans="1:13" x14ac:dyDescent="0.25">
      <c r="A6439">
        <v>6817873</v>
      </c>
      <c r="B6439" t="s">
        <v>13444</v>
      </c>
      <c r="C6439" t="s">
        <v>2598</v>
      </c>
      <c r="D6439" s="254">
        <v>4128.9799999999996</v>
      </c>
      <c r="E6439"/>
      <c r="F6439"/>
      <c r="G6439"/>
      <c r="H6439"/>
      <c r="I6439" s="489"/>
      <c r="J6439" s="1095"/>
      <c r="K6439" s="1095"/>
      <c r="L6439" s="1095"/>
      <c r="M6439" s="1095"/>
    </row>
    <row r="6440" spans="1:13" x14ac:dyDescent="0.25">
      <c r="A6440">
        <v>6817874</v>
      </c>
      <c r="B6440" t="s">
        <v>13445</v>
      </c>
      <c r="C6440" t="s">
        <v>2598</v>
      </c>
      <c r="D6440" s="254">
        <v>3776.2</v>
      </c>
      <c r="E6440"/>
      <c r="F6440"/>
      <c r="G6440"/>
      <c r="H6440"/>
      <c r="I6440" s="489"/>
      <c r="J6440" s="1095"/>
      <c r="K6440" s="1095"/>
      <c r="L6440" s="1095"/>
      <c r="M6440" s="1095"/>
    </row>
    <row r="6441" spans="1:13" x14ac:dyDescent="0.25">
      <c r="A6441">
        <v>6817881</v>
      </c>
      <c r="B6441" t="s">
        <v>13446</v>
      </c>
      <c r="C6441" t="s">
        <v>2598</v>
      </c>
      <c r="D6441" s="254">
        <v>7191.07</v>
      </c>
      <c r="E6441"/>
      <c r="F6441"/>
      <c r="G6441"/>
      <c r="H6441"/>
      <c r="I6441" s="489"/>
      <c r="J6441" s="1095"/>
      <c r="K6441" s="1095"/>
      <c r="L6441" s="1095"/>
      <c r="M6441" s="1095"/>
    </row>
    <row r="6442" spans="1:13" x14ac:dyDescent="0.25">
      <c r="A6442">
        <v>6817882</v>
      </c>
      <c r="B6442" t="s">
        <v>13447</v>
      </c>
      <c r="C6442" t="s">
        <v>2598</v>
      </c>
      <c r="D6442" s="254">
        <v>6697.99</v>
      </c>
      <c r="E6442"/>
      <c r="F6442"/>
      <c r="G6442"/>
      <c r="H6442"/>
      <c r="I6442" s="489"/>
      <c r="J6442" s="1095"/>
      <c r="K6442" s="1095"/>
      <c r="L6442" s="1095"/>
      <c r="M6442" s="1095"/>
    </row>
    <row r="6443" spans="1:13" x14ac:dyDescent="0.25">
      <c r="A6443">
        <v>6817883</v>
      </c>
      <c r="B6443" t="s">
        <v>13448</v>
      </c>
      <c r="C6443" t="s">
        <v>2598</v>
      </c>
      <c r="D6443" s="254">
        <v>7918.34</v>
      </c>
      <c r="E6443"/>
      <c r="F6443"/>
      <c r="G6443"/>
      <c r="H6443"/>
      <c r="I6443" s="489"/>
      <c r="J6443" s="1095"/>
      <c r="K6443" s="1095"/>
      <c r="L6443" s="1095"/>
      <c r="M6443" s="1095"/>
    </row>
    <row r="6444" spans="1:13" x14ac:dyDescent="0.25">
      <c r="A6444">
        <v>6817884</v>
      </c>
      <c r="B6444" t="s">
        <v>13449</v>
      </c>
      <c r="C6444" t="s">
        <v>2598</v>
      </c>
      <c r="D6444" s="254">
        <v>7423.88</v>
      </c>
      <c r="E6444"/>
      <c r="F6444"/>
      <c r="G6444"/>
      <c r="H6444"/>
      <c r="I6444" s="489"/>
      <c r="J6444" s="1095"/>
      <c r="K6444" s="1095"/>
      <c r="L6444" s="1095"/>
      <c r="M6444" s="1095"/>
    </row>
    <row r="6445" spans="1:13" x14ac:dyDescent="0.25">
      <c r="A6445">
        <v>6817875</v>
      </c>
      <c r="B6445" t="s">
        <v>13450</v>
      </c>
      <c r="C6445" t="s">
        <v>2598</v>
      </c>
      <c r="D6445" s="254">
        <v>4981.24</v>
      </c>
      <c r="E6445"/>
      <c r="F6445"/>
      <c r="G6445"/>
      <c r="H6445"/>
      <c r="I6445" s="489"/>
      <c r="J6445" s="1095"/>
      <c r="K6445" s="1095"/>
      <c r="L6445" s="1095"/>
      <c r="M6445" s="1095"/>
    </row>
    <row r="6446" spans="1:13" x14ac:dyDescent="0.25">
      <c r="A6446">
        <v>6817876</v>
      </c>
      <c r="B6446" t="s">
        <v>13451</v>
      </c>
      <c r="C6446" t="s">
        <v>2598</v>
      </c>
      <c r="D6446" s="254">
        <v>4533.59</v>
      </c>
      <c r="E6446"/>
      <c r="F6446"/>
      <c r="G6446"/>
      <c r="H6446"/>
      <c r="I6446" s="489"/>
      <c r="J6446" s="1095"/>
      <c r="K6446" s="1095"/>
      <c r="L6446" s="1095"/>
      <c r="M6446" s="1095"/>
    </row>
    <row r="6447" spans="1:13" x14ac:dyDescent="0.25">
      <c r="A6447">
        <v>6817877</v>
      </c>
      <c r="B6447" t="s">
        <v>13452</v>
      </c>
      <c r="C6447" t="s">
        <v>2598</v>
      </c>
      <c r="D6447" s="254">
        <v>5892.54</v>
      </c>
      <c r="E6447"/>
      <c r="F6447"/>
      <c r="G6447"/>
      <c r="H6447"/>
      <c r="I6447" s="489"/>
      <c r="J6447" s="1095"/>
      <c r="K6447" s="1095"/>
      <c r="L6447" s="1095"/>
      <c r="M6447" s="1095"/>
    </row>
    <row r="6448" spans="1:13" x14ac:dyDescent="0.25">
      <c r="A6448">
        <v>6817878</v>
      </c>
      <c r="B6448" t="s">
        <v>13453</v>
      </c>
      <c r="C6448" t="s">
        <v>2598</v>
      </c>
      <c r="D6448" s="254">
        <v>5486.25</v>
      </c>
      <c r="E6448"/>
      <c r="F6448"/>
      <c r="G6448"/>
      <c r="H6448"/>
      <c r="I6448" s="489"/>
      <c r="J6448" s="1095"/>
      <c r="K6448" s="1095"/>
      <c r="L6448" s="1095"/>
      <c r="M6448" s="1095"/>
    </row>
    <row r="6449" spans="1:13" x14ac:dyDescent="0.25">
      <c r="A6449">
        <v>6817879</v>
      </c>
      <c r="B6449" t="s">
        <v>13454</v>
      </c>
      <c r="C6449" t="s">
        <v>2598</v>
      </c>
      <c r="D6449" s="254">
        <v>6546.69</v>
      </c>
      <c r="E6449"/>
      <c r="F6449"/>
      <c r="G6449"/>
      <c r="H6449"/>
      <c r="I6449" s="489"/>
      <c r="J6449" s="1095"/>
      <c r="K6449" s="1095"/>
      <c r="L6449" s="1095"/>
      <c r="M6449" s="1095"/>
    </row>
    <row r="6450" spans="1:13" x14ac:dyDescent="0.25">
      <c r="A6450">
        <v>6817880</v>
      </c>
      <c r="B6450" t="s">
        <v>13455</v>
      </c>
      <c r="C6450" t="s">
        <v>2598</v>
      </c>
      <c r="D6450" s="254">
        <v>6053.56</v>
      </c>
      <c r="E6450"/>
      <c r="F6450"/>
      <c r="G6450"/>
      <c r="H6450"/>
      <c r="I6450" s="489"/>
      <c r="J6450" s="1095"/>
      <c r="K6450" s="1095"/>
      <c r="L6450" s="1095"/>
      <c r="M6450" s="1095"/>
    </row>
    <row r="6451" spans="1:13" x14ac:dyDescent="0.25">
      <c r="A6451">
        <v>7119788</v>
      </c>
      <c r="B6451" t="s">
        <v>13456</v>
      </c>
      <c r="C6451" t="s">
        <v>5725</v>
      </c>
      <c r="D6451" s="254">
        <v>259340.01</v>
      </c>
      <c r="E6451"/>
      <c r="F6451"/>
      <c r="G6451"/>
      <c r="H6451"/>
      <c r="I6451" s="489"/>
      <c r="J6451" s="1095"/>
      <c r="K6451" s="1095"/>
      <c r="L6451" s="1095"/>
      <c r="M6451" s="1095"/>
    </row>
    <row r="6452" spans="1:13" x14ac:dyDescent="0.25">
      <c r="A6452">
        <v>7119714</v>
      </c>
      <c r="B6452" t="s">
        <v>13457</v>
      </c>
      <c r="C6452" t="s">
        <v>2640</v>
      </c>
      <c r="D6452" s="254">
        <v>1814.81</v>
      </c>
      <c r="E6452"/>
      <c r="F6452"/>
      <c r="G6452"/>
      <c r="H6452"/>
      <c r="I6452" s="489"/>
      <c r="J6452" s="1095"/>
      <c r="K6452" s="1095"/>
      <c r="L6452" s="1095"/>
      <c r="M6452" s="1095"/>
    </row>
    <row r="6453" spans="1:13" x14ac:dyDescent="0.25">
      <c r="A6453">
        <v>7119715</v>
      </c>
      <c r="B6453" t="s">
        <v>13458</v>
      </c>
      <c r="C6453" t="s">
        <v>2640</v>
      </c>
      <c r="D6453" s="254">
        <v>1662.46</v>
      </c>
      <c r="E6453"/>
      <c r="F6453"/>
      <c r="G6453"/>
      <c r="H6453"/>
      <c r="I6453" s="489"/>
      <c r="J6453" s="1095"/>
      <c r="K6453" s="1095"/>
      <c r="L6453" s="1095"/>
      <c r="M6453" s="1095"/>
    </row>
    <row r="6454" spans="1:13" x14ac:dyDescent="0.25">
      <c r="A6454">
        <v>7119678</v>
      </c>
      <c r="B6454" t="s">
        <v>13590</v>
      </c>
      <c r="C6454" t="s">
        <v>2695</v>
      </c>
      <c r="D6454" s="254">
        <v>7973.68</v>
      </c>
      <c r="E6454"/>
      <c r="F6454"/>
      <c r="G6454"/>
      <c r="H6454"/>
      <c r="I6454" s="489"/>
      <c r="J6454" s="1095"/>
      <c r="K6454" s="1095"/>
      <c r="L6454" s="1095"/>
      <c r="M6454" s="1095"/>
    </row>
    <row r="6455" spans="1:13" x14ac:dyDescent="0.25">
      <c r="A6455">
        <v>7119712</v>
      </c>
      <c r="B6455" t="s">
        <v>13459</v>
      </c>
      <c r="C6455" t="s">
        <v>2640</v>
      </c>
      <c r="D6455" s="254">
        <v>13908.07</v>
      </c>
      <c r="E6455"/>
      <c r="F6455"/>
      <c r="G6455"/>
      <c r="H6455"/>
      <c r="I6455" s="489"/>
      <c r="J6455" s="1095"/>
      <c r="K6455" s="1095"/>
      <c r="L6455" s="1095"/>
      <c r="M6455" s="1095"/>
    </row>
    <row r="6456" spans="1:13" x14ac:dyDescent="0.25">
      <c r="A6456">
        <v>7119694</v>
      </c>
      <c r="B6456" t="s">
        <v>13460</v>
      </c>
      <c r="C6456" t="s">
        <v>2640</v>
      </c>
      <c r="D6456" s="254">
        <v>8091.76</v>
      </c>
      <c r="E6456"/>
      <c r="F6456"/>
      <c r="G6456"/>
      <c r="H6456"/>
      <c r="I6456" s="489"/>
      <c r="J6456" s="1095"/>
      <c r="K6456" s="1095"/>
      <c r="L6456" s="1095"/>
      <c r="M6456" s="1095"/>
    </row>
    <row r="6457" spans="1:13" x14ac:dyDescent="0.25">
      <c r="A6457">
        <v>7119695</v>
      </c>
      <c r="B6457" t="s">
        <v>13461</v>
      </c>
      <c r="C6457" t="s">
        <v>2640</v>
      </c>
      <c r="D6457" s="254">
        <v>8825.8799999999992</v>
      </c>
      <c r="E6457"/>
      <c r="F6457"/>
      <c r="G6457"/>
      <c r="H6457"/>
      <c r="I6457" s="489"/>
      <c r="J6457" s="1095"/>
      <c r="K6457" s="1095"/>
      <c r="L6457" s="1095"/>
      <c r="M6457" s="1095"/>
    </row>
    <row r="6458" spans="1:13" x14ac:dyDescent="0.25">
      <c r="A6458">
        <v>7119696</v>
      </c>
      <c r="B6458" t="s">
        <v>13462</v>
      </c>
      <c r="C6458" t="s">
        <v>2640</v>
      </c>
      <c r="D6458" s="254">
        <v>14319.03</v>
      </c>
      <c r="E6458"/>
      <c r="F6458"/>
      <c r="G6458"/>
      <c r="H6458"/>
      <c r="I6458" s="489"/>
      <c r="J6458" s="1095"/>
      <c r="K6458" s="1095"/>
      <c r="L6458" s="1095"/>
      <c r="M6458" s="1095"/>
    </row>
    <row r="6459" spans="1:13" x14ac:dyDescent="0.25">
      <c r="A6459">
        <v>7119697</v>
      </c>
      <c r="B6459" t="s">
        <v>13463</v>
      </c>
      <c r="C6459" t="s">
        <v>2640</v>
      </c>
      <c r="D6459" s="254">
        <v>22906.15</v>
      </c>
      <c r="E6459"/>
      <c r="F6459"/>
      <c r="G6459"/>
      <c r="H6459"/>
      <c r="I6459" s="489"/>
      <c r="J6459" s="1095"/>
      <c r="K6459" s="1095"/>
      <c r="L6459" s="1095"/>
      <c r="M6459" s="1095"/>
    </row>
    <row r="6460" spans="1:13" x14ac:dyDescent="0.25">
      <c r="A6460">
        <v>7119698</v>
      </c>
      <c r="B6460" t="s">
        <v>13464</v>
      </c>
      <c r="C6460" t="s">
        <v>2640</v>
      </c>
      <c r="D6460" s="254">
        <v>29141.54</v>
      </c>
      <c r="E6460"/>
      <c r="F6460"/>
      <c r="G6460"/>
      <c r="H6460"/>
      <c r="I6460" s="489"/>
      <c r="J6460" s="1095"/>
      <c r="K6460" s="1095"/>
      <c r="L6460" s="1095"/>
      <c r="M6460" s="1095"/>
    </row>
    <row r="6461" spans="1:13" x14ac:dyDescent="0.25">
      <c r="A6461">
        <v>7119688</v>
      </c>
      <c r="B6461" t="s">
        <v>13465</v>
      </c>
      <c r="C6461" t="s">
        <v>2640</v>
      </c>
      <c r="D6461" s="254">
        <v>10182.9</v>
      </c>
      <c r="E6461"/>
      <c r="F6461"/>
      <c r="G6461"/>
      <c r="H6461"/>
      <c r="I6461" s="489"/>
      <c r="J6461" s="1095"/>
      <c r="K6461" s="1095"/>
      <c r="L6461" s="1095"/>
      <c r="M6461" s="1095"/>
    </row>
    <row r="6462" spans="1:13" x14ac:dyDescent="0.25">
      <c r="A6462">
        <v>7119689</v>
      </c>
      <c r="B6462" t="s">
        <v>13466</v>
      </c>
      <c r="C6462" t="s">
        <v>2640</v>
      </c>
      <c r="D6462" s="254">
        <v>19679.46</v>
      </c>
      <c r="E6462"/>
      <c r="F6462"/>
      <c r="G6462"/>
      <c r="H6462"/>
      <c r="I6462" s="489"/>
      <c r="J6462" s="1095"/>
      <c r="K6462" s="1095"/>
      <c r="L6462" s="1095"/>
      <c r="M6462" s="1095"/>
    </row>
    <row r="6463" spans="1:13" x14ac:dyDescent="0.25">
      <c r="A6463">
        <v>7119690</v>
      </c>
      <c r="B6463" t="s">
        <v>13467</v>
      </c>
      <c r="C6463" t="s">
        <v>2640</v>
      </c>
      <c r="D6463" s="254">
        <v>23472.86</v>
      </c>
      <c r="E6463"/>
      <c r="F6463"/>
      <c r="G6463"/>
      <c r="H6463"/>
      <c r="I6463" s="489"/>
      <c r="J6463" s="1095"/>
      <c r="K6463" s="1095"/>
      <c r="L6463" s="1095"/>
      <c r="M6463" s="1095"/>
    </row>
    <row r="6464" spans="1:13" x14ac:dyDescent="0.25">
      <c r="A6464">
        <v>7119691</v>
      </c>
      <c r="B6464" t="s">
        <v>13468</v>
      </c>
      <c r="C6464" t="s">
        <v>2640</v>
      </c>
      <c r="D6464" s="254">
        <v>32532.21</v>
      </c>
      <c r="E6464"/>
      <c r="F6464"/>
      <c r="G6464"/>
      <c r="H6464"/>
      <c r="I6464" s="489"/>
      <c r="J6464" s="1095"/>
      <c r="K6464" s="1095"/>
      <c r="L6464" s="1095"/>
      <c r="M6464" s="1095"/>
    </row>
    <row r="6465" spans="1:13" x14ac:dyDescent="0.25">
      <c r="A6465">
        <v>7119692</v>
      </c>
      <c r="B6465" t="s">
        <v>13469</v>
      </c>
      <c r="C6465" t="s">
        <v>2640</v>
      </c>
      <c r="D6465" s="254">
        <v>35764.89</v>
      </c>
      <c r="E6465"/>
      <c r="F6465"/>
      <c r="G6465"/>
      <c r="H6465"/>
      <c r="I6465" s="489"/>
      <c r="J6465" s="1095"/>
      <c r="K6465" s="1095"/>
      <c r="L6465" s="1095"/>
      <c r="M6465" s="1095"/>
    </row>
    <row r="6466" spans="1:13" x14ac:dyDescent="0.25">
      <c r="A6466">
        <v>7119693</v>
      </c>
      <c r="B6466" t="s">
        <v>13470</v>
      </c>
      <c r="C6466" t="s">
        <v>2640</v>
      </c>
      <c r="D6466" s="254">
        <v>45452.62</v>
      </c>
      <c r="E6466"/>
      <c r="F6466"/>
      <c r="G6466"/>
      <c r="H6466"/>
      <c r="I6466" s="489"/>
      <c r="J6466" s="1095"/>
      <c r="K6466" s="1095"/>
      <c r="L6466" s="1095"/>
      <c r="M6466" s="1095"/>
    </row>
    <row r="6467" spans="1:13" x14ac:dyDescent="0.25">
      <c r="A6467">
        <v>7119687</v>
      </c>
      <c r="B6467" t="s">
        <v>13471</v>
      </c>
      <c r="C6467" t="s">
        <v>2640</v>
      </c>
      <c r="D6467" s="254">
        <v>5399.24</v>
      </c>
      <c r="E6467"/>
      <c r="F6467"/>
      <c r="G6467"/>
      <c r="H6467"/>
      <c r="I6467" s="489"/>
      <c r="J6467" s="1095"/>
      <c r="K6467" s="1095"/>
      <c r="L6467" s="1095"/>
      <c r="M6467" s="1095"/>
    </row>
    <row r="6468" spans="1:13" x14ac:dyDescent="0.25">
      <c r="A6468">
        <v>7119681</v>
      </c>
      <c r="B6468" t="s">
        <v>13472</v>
      </c>
      <c r="C6468" t="s">
        <v>2640</v>
      </c>
      <c r="D6468" s="254">
        <v>10465.73</v>
      </c>
      <c r="E6468"/>
      <c r="F6468"/>
      <c r="G6468"/>
      <c r="H6468"/>
      <c r="I6468" s="489"/>
      <c r="J6468" s="1095"/>
      <c r="K6468" s="1095"/>
      <c r="L6468" s="1095"/>
      <c r="M6468" s="1095"/>
    </row>
    <row r="6469" spans="1:13" x14ac:dyDescent="0.25">
      <c r="A6469">
        <v>7119682</v>
      </c>
      <c r="B6469" t="s">
        <v>13473</v>
      </c>
      <c r="C6469" t="s">
        <v>2640</v>
      </c>
      <c r="D6469" s="254">
        <v>20153.919999999998</v>
      </c>
      <c r="E6469"/>
      <c r="F6469"/>
      <c r="G6469"/>
      <c r="H6469"/>
      <c r="I6469" s="489"/>
      <c r="J6469" s="1095"/>
      <c r="K6469" s="1095"/>
      <c r="L6469" s="1095"/>
      <c r="M6469" s="1095"/>
    </row>
    <row r="6470" spans="1:13" x14ac:dyDescent="0.25">
      <c r="A6470">
        <v>7119683</v>
      </c>
      <c r="B6470" t="s">
        <v>13474</v>
      </c>
      <c r="C6470" t="s">
        <v>2640</v>
      </c>
      <c r="D6470" s="254">
        <v>24029.08</v>
      </c>
      <c r="E6470"/>
      <c r="F6470"/>
      <c r="G6470"/>
      <c r="H6470"/>
      <c r="I6470" s="489"/>
      <c r="J6470" s="1095"/>
      <c r="K6470" s="1095"/>
      <c r="L6470" s="1095"/>
      <c r="M6470" s="1095"/>
    </row>
    <row r="6471" spans="1:13" x14ac:dyDescent="0.25">
      <c r="A6471">
        <v>7119684</v>
      </c>
      <c r="B6471" t="s">
        <v>13475</v>
      </c>
      <c r="C6471" t="s">
        <v>2640</v>
      </c>
      <c r="D6471" s="254">
        <v>33267.949999999997</v>
      </c>
      <c r="E6471"/>
      <c r="F6471"/>
      <c r="G6471"/>
      <c r="H6471"/>
      <c r="I6471" s="489"/>
      <c r="J6471" s="1095"/>
      <c r="K6471" s="1095"/>
      <c r="L6471" s="1095"/>
      <c r="M6471" s="1095"/>
    </row>
    <row r="6472" spans="1:13" x14ac:dyDescent="0.25">
      <c r="A6472">
        <v>7119685</v>
      </c>
      <c r="B6472" t="s">
        <v>13476</v>
      </c>
      <c r="C6472" t="s">
        <v>2640</v>
      </c>
      <c r="D6472" s="254">
        <v>36563.94</v>
      </c>
      <c r="E6472"/>
      <c r="F6472"/>
      <c r="G6472"/>
      <c r="H6472"/>
      <c r="I6472" s="489"/>
      <c r="J6472" s="1095"/>
      <c r="K6472" s="1095"/>
      <c r="L6472" s="1095"/>
      <c r="M6472" s="1095"/>
    </row>
    <row r="6473" spans="1:13" x14ac:dyDescent="0.25">
      <c r="A6473">
        <v>7119686</v>
      </c>
      <c r="B6473" t="s">
        <v>13477</v>
      </c>
      <c r="C6473" t="s">
        <v>2640</v>
      </c>
      <c r="D6473" s="254">
        <v>46445.42</v>
      </c>
      <c r="E6473"/>
      <c r="F6473"/>
      <c r="G6473"/>
      <c r="H6473"/>
      <c r="I6473" s="489"/>
      <c r="J6473" s="1095"/>
      <c r="K6473" s="1095"/>
      <c r="L6473" s="1095"/>
      <c r="M6473" s="1095"/>
    </row>
    <row r="6474" spans="1:13" x14ac:dyDescent="0.25">
      <c r="A6474">
        <v>7119680</v>
      </c>
      <c r="B6474" t="s">
        <v>13478</v>
      </c>
      <c r="C6474" t="s">
        <v>2640</v>
      </c>
      <c r="D6474" s="254">
        <v>5557.95</v>
      </c>
      <c r="E6474"/>
      <c r="F6474"/>
      <c r="G6474"/>
      <c r="H6474"/>
      <c r="I6474" s="489"/>
      <c r="J6474" s="1095"/>
      <c r="K6474" s="1095"/>
      <c r="L6474" s="1095"/>
      <c r="M6474" s="1095"/>
    </row>
    <row r="6475" spans="1:13" x14ac:dyDescent="0.25">
      <c r="A6475">
        <v>7119710</v>
      </c>
      <c r="B6475" t="s">
        <v>13479</v>
      </c>
      <c r="C6475" t="s">
        <v>2640</v>
      </c>
      <c r="D6475" s="254">
        <v>652.15</v>
      </c>
      <c r="E6475"/>
      <c r="F6475"/>
      <c r="G6475"/>
      <c r="H6475"/>
      <c r="I6475" s="489"/>
      <c r="J6475" s="1095"/>
      <c r="K6475" s="1095"/>
      <c r="L6475" s="1095"/>
      <c r="M6475" s="1095"/>
    </row>
    <row r="6476" spans="1:13" x14ac:dyDescent="0.25">
      <c r="A6476">
        <v>7107375</v>
      </c>
      <c r="B6476" t="s">
        <v>13480</v>
      </c>
      <c r="C6476" t="s">
        <v>2640</v>
      </c>
      <c r="D6476" s="254">
        <v>22265.119999999999</v>
      </c>
      <c r="E6476"/>
      <c r="F6476"/>
      <c r="G6476"/>
      <c r="H6476"/>
      <c r="I6476" s="489"/>
      <c r="J6476" s="1095"/>
      <c r="K6476" s="1095"/>
      <c r="L6476" s="1095"/>
      <c r="M6476" s="1095"/>
    </row>
    <row r="6477" spans="1:13" x14ac:dyDescent="0.25">
      <c r="A6477">
        <v>7107376</v>
      </c>
      <c r="B6477" t="s">
        <v>13481</v>
      </c>
      <c r="C6477" t="s">
        <v>2640</v>
      </c>
      <c r="D6477" s="254">
        <v>39392.559999999998</v>
      </c>
      <c r="E6477"/>
      <c r="F6477"/>
      <c r="G6477"/>
      <c r="H6477"/>
      <c r="I6477" s="489"/>
      <c r="J6477" s="1095"/>
      <c r="K6477" s="1095"/>
      <c r="L6477" s="1095"/>
      <c r="M6477" s="1095"/>
    </row>
    <row r="6478" spans="1:13" x14ac:dyDescent="0.25">
      <c r="A6478">
        <v>7107377</v>
      </c>
      <c r="B6478" t="s">
        <v>13482</v>
      </c>
      <c r="C6478" t="s">
        <v>2640</v>
      </c>
      <c r="D6478" s="254">
        <v>57838.559999999998</v>
      </c>
      <c r="E6478"/>
      <c r="F6478"/>
      <c r="G6478"/>
      <c r="H6478"/>
      <c r="I6478" s="489"/>
      <c r="J6478" s="1095"/>
      <c r="K6478" s="1095"/>
      <c r="L6478" s="1095"/>
      <c r="M6478" s="1095"/>
    </row>
    <row r="6479" spans="1:13" x14ac:dyDescent="0.25">
      <c r="A6479">
        <v>7107374</v>
      </c>
      <c r="B6479" t="s">
        <v>13483</v>
      </c>
      <c r="C6479" t="s">
        <v>2640</v>
      </c>
      <c r="D6479" s="254">
        <v>18496.580000000002</v>
      </c>
      <c r="E6479"/>
      <c r="F6479"/>
      <c r="G6479"/>
      <c r="H6479"/>
      <c r="I6479" s="489"/>
      <c r="J6479" s="1095"/>
      <c r="K6479" s="1095"/>
      <c r="L6479" s="1095"/>
      <c r="M6479" s="1095"/>
    </row>
    <row r="6480" spans="1:13" x14ac:dyDescent="0.25">
      <c r="A6480">
        <v>7119708</v>
      </c>
      <c r="B6480" t="s">
        <v>13484</v>
      </c>
      <c r="C6480" t="s">
        <v>2640</v>
      </c>
      <c r="D6480" s="254">
        <v>107501.86</v>
      </c>
      <c r="E6480"/>
      <c r="F6480"/>
      <c r="G6480"/>
      <c r="H6480"/>
      <c r="I6480" s="489"/>
      <c r="J6480" s="1095"/>
      <c r="K6480" s="1095"/>
      <c r="L6480" s="1095"/>
      <c r="M6480" s="1095"/>
    </row>
    <row r="6481" spans="1:13" x14ac:dyDescent="0.25">
      <c r="A6481">
        <v>7119709</v>
      </c>
      <c r="B6481" t="s">
        <v>13485</v>
      </c>
      <c r="C6481" t="s">
        <v>2640</v>
      </c>
      <c r="D6481" s="254">
        <v>145742.9</v>
      </c>
      <c r="E6481"/>
      <c r="F6481"/>
      <c r="G6481"/>
      <c r="H6481"/>
      <c r="I6481" s="489"/>
      <c r="J6481" s="1095"/>
      <c r="K6481" s="1095"/>
      <c r="L6481" s="1095"/>
      <c r="M6481" s="1095"/>
    </row>
    <row r="6482" spans="1:13" x14ac:dyDescent="0.25">
      <c r="A6482">
        <v>7119706</v>
      </c>
      <c r="B6482" t="s">
        <v>13486</v>
      </c>
      <c r="C6482" t="s">
        <v>2640</v>
      </c>
      <c r="D6482" s="254">
        <v>56542.63</v>
      </c>
      <c r="E6482"/>
      <c r="F6482"/>
      <c r="G6482"/>
      <c r="H6482"/>
      <c r="I6482" s="489"/>
      <c r="J6482" s="1095"/>
      <c r="K6482" s="1095"/>
      <c r="L6482" s="1095"/>
      <c r="M6482" s="1095"/>
    </row>
    <row r="6483" spans="1:13" x14ac:dyDescent="0.25">
      <c r="A6483">
        <v>7119707</v>
      </c>
      <c r="B6483" t="s">
        <v>13487</v>
      </c>
      <c r="C6483" t="s">
        <v>2640</v>
      </c>
      <c r="D6483" s="254">
        <v>131812.09</v>
      </c>
      <c r="E6483"/>
      <c r="F6483"/>
      <c r="G6483"/>
      <c r="H6483"/>
      <c r="I6483" s="489"/>
      <c r="J6483" s="1095"/>
      <c r="K6483" s="1095"/>
      <c r="L6483" s="1095"/>
      <c r="M6483" s="1095"/>
    </row>
    <row r="6484" spans="1:13" x14ac:dyDescent="0.25">
      <c r="A6484">
        <v>7119787</v>
      </c>
      <c r="B6484" t="s">
        <v>13488</v>
      </c>
      <c r="C6484" t="s">
        <v>2595</v>
      </c>
      <c r="D6484" s="254">
        <v>381.63</v>
      </c>
      <c r="E6484"/>
      <c r="F6484"/>
      <c r="G6484"/>
      <c r="H6484"/>
      <c r="I6484" s="489"/>
      <c r="J6484" s="1095"/>
      <c r="K6484" s="1095"/>
      <c r="L6484" s="1095"/>
      <c r="M6484" s="1095"/>
    </row>
    <row r="6485" spans="1:13" x14ac:dyDescent="0.25">
      <c r="A6485">
        <v>7119647</v>
      </c>
      <c r="B6485" t="s">
        <v>13489</v>
      </c>
      <c r="C6485" t="s">
        <v>2640</v>
      </c>
      <c r="D6485" s="254">
        <v>2787.89</v>
      </c>
      <c r="E6485"/>
      <c r="F6485"/>
      <c r="G6485"/>
      <c r="H6485"/>
      <c r="I6485" s="489"/>
      <c r="J6485" s="1095"/>
      <c r="K6485" s="1095"/>
      <c r="L6485" s="1095"/>
      <c r="M6485" s="1095"/>
    </row>
    <row r="6486" spans="1:13" x14ac:dyDescent="0.25">
      <c r="A6486">
        <v>7119679</v>
      </c>
      <c r="B6486" t="s">
        <v>13490</v>
      </c>
      <c r="C6486" t="s">
        <v>2695</v>
      </c>
      <c r="D6486" s="254">
        <v>50.41</v>
      </c>
      <c r="E6486"/>
      <c r="F6486"/>
      <c r="G6486"/>
      <c r="H6486"/>
      <c r="I6486" s="489"/>
      <c r="J6486" s="1095"/>
      <c r="K6486" s="1095"/>
      <c r="L6486" s="1095"/>
      <c r="M6486" s="1095"/>
    </row>
    <row r="6487" spans="1:13" x14ac:dyDescent="0.25">
      <c r="A6487">
        <v>7119711</v>
      </c>
      <c r="B6487" t="s">
        <v>13491</v>
      </c>
      <c r="C6487" t="s">
        <v>2640</v>
      </c>
      <c r="D6487" s="254">
        <v>1240.3599999999999</v>
      </c>
      <c r="E6487"/>
      <c r="F6487"/>
      <c r="G6487"/>
      <c r="H6487"/>
      <c r="I6487" s="489"/>
      <c r="J6487" s="1095"/>
      <c r="K6487" s="1095"/>
      <c r="L6487" s="1095"/>
      <c r="M6487" s="1095"/>
    </row>
    <row r="6488" spans="1:13" x14ac:dyDescent="0.25">
      <c r="A6488">
        <v>7119713</v>
      </c>
      <c r="B6488" t="s">
        <v>13492</v>
      </c>
      <c r="C6488" t="s">
        <v>2640</v>
      </c>
      <c r="D6488" s="254">
        <v>188716.75</v>
      </c>
      <c r="E6488"/>
      <c r="F6488"/>
      <c r="G6488"/>
      <c r="H6488"/>
      <c r="I6488" s="489"/>
      <c r="J6488" s="1095"/>
      <c r="K6488" s="1095"/>
      <c r="L6488" s="1095"/>
      <c r="M6488" s="1095"/>
    </row>
    <row r="6489" spans="1:13" x14ac:dyDescent="0.25">
      <c r="A6489">
        <v>7119646</v>
      </c>
      <c r="B6489" t="s">
        <v>13493</v>
      </c>
      <c r="C6489" t="s">
        <v>2695</v>
      </c>
      <c r="D6489" s="254">
        <v>1073.0899999999999</v>
      </c>
      <c r="E6489"/>
      <c r="F6489"/>
      <c r="G6489"/>
      <c r="H6489"/>
      <c r="I6489" s="489"/>
      <c r="J6489" s="1095"/>
      <c r="K6489" s="1095"/>
      <c r="L6489" s="1095"/>
      <c r="M6489" s="1095"/>
    </row>
    <row r="6490" spans="1:13" x14ac:dyDescent="0.25">
      <c r="A6490">
        <v>7119699</v>
      </c>
      <c r="B6490" t="s">
        <v>13494</v>
      </c>
      <c r="C6490" t="s">
        <v>2595</v>
      </c>
      <c r="D6490" s="254">
        <v>19.7</v>
      </c>
      <c r="E6490"/>
      <c r="F6490"/>
      <c r="G6490"/>
      <c r="H6490"/>
      <c r="I6490" s="489"/>
      <c r="J6490" s="1095"/>
      <c r="K6490" s="1095"/>
      <c r="L6490" s="1095"/>
      <c r="M6490" s="1095"/>
    </row>
    <row r="6491" spans="1:13" x14ac:dyDescent="0.25">
      <c r="A6491">
        <v>7119702</v>
      </c>
      <c r="B6491" t="s">
        <v>13495</v>
      </c>
      <c r="C6491" t="s">
        <v>2595</v>
      </c>
      <c r="D6491" s="254">
        <v>57.12</v>
      </c>
      <c r="E6491"/>
      <c r="F6491"/>
      <c r="G6491"/>
      <c r="H6491"/>
      <c r="I6491" s="489"/>
      <c r="J6491" s="1095"/>
      <c r="K6491" s="1095"/>
      <c r="L6491" s="1095"/>
      <c r="M6491" s="1095"/>
    </row>
    <row r="6492" spans="1:13" x14ac:dyDescent="0.25">
      <c r="A6492">
        <v>7119701</v>
      </c>
      <c r="B6492" t="s">
        <v>13496</v>
      </c>
      <c r="C6492" t="s">
        <v>2595</v>
      </c>
      <c r="D6492" s="254">
        <v>57.12</v>
      </c>
      <c r="E6492"/>
      <c r="F6492"/>
      <c r="G6492"/>
      <c r="H6492"/>
      <c r="I6492" s="489"/>
      <c r="J6492" s="1095"/>
      <c r="K6492" s="1095"/>
      <c r="L6492" s="1095"/>
      <c r="M6492" s="1095"/>
    </row>
    <row r="6493" spans="1:13" x14ac:dyDescent="0.25">
      <c r="A6493">
        <v>7119700</v>
      </c>
      <c r="B6493" t="s">
        <v>13497</v>
      </c>
      <c r="C6493" t="s">
        <v>2595</v>
      </c>
      <c r="D6493" s="254">
        <v>50.57</v>
      </c>
      <c r="E6493"/>
      <c r="F6493"/>
      <c r="G6493"/>
      <c r="H6493"/>
      <c r="I6493" s="489"/>
      <c r="J6493" s="1095"/>
      <c r="K6493" s="1095"/>
      <c r="L6493" s="1095"/>
      <c r="M6493" s="1095"/>
    </row>
    <row r="6494" spans="1:13" x14ac:dyDescent="0.25">
      <c r="A6494"/>
      <c r="B6494"/>
      <c r="C6494"/>
      <c r="D6494" s="254"/>
      <c r="E6494"/>
      <c r="F6494"/>
      <c r="G6494"/>
      <c r="H6494"/>
      <c r="I6494" s="489"/>
      <c r="J6494" s="1095"/>
      <c r="K6494" s="1095"/>
      <c r="L6494" s="1095"/>
      <c r="M6494" s="1095"/>
    </row>
    <row r="6495" spans="1:13" x14ac:dyDescent="0.25">
      <c r="A6495"/>
      <c r="B6495"/>
      <c r="C6495"/>
      <c r="D6495" s="254"/>
      <c r="E6495"/>
      <c r="F6495"/>
      <c r="G6495"/>
      <c r="H6495"/>
      <c r="I6495" s="489"/>
      <c r="J6495" s="1095"/>
      <c r="K6495" s="1095"/>
      <c r="L6495" s="1095"/>
      <c r="M6495" s="1095"/>
    </row>
    <row r="6496" spans="1:13" x14ac:dyDescent="0.25">
      <c r="A6496"/>
      <c r="B6496"/>
      <c r="C6496"/>
      <c r="D6496" s="254"/>
      <c r="E6496"/>
      <c r="F6496"/>
      <c r="G6496"/>
      <c r="H6496"/>
      <c r="I6496" s="489"/>
      <c r="J6496" s="1095"/>
      <c r="K6496" s="1095"/>
      <c r="L6496" s="1095"/>
      <c r="M6496" s="1095"/>
    </row>
    <row r="6497" spans="1:13" x14ac:dyDescent="0.25">
      <c r="A6497"/>
      <c r="B6497"/>
      <c r="C6497"/>
      <c r="D6497" s="254"/>
      <c r="E6497"/>
      <c r="F6497"/>
      <c r="G6497"/>
      <c r="H6497"/>
      <c r="I6497" s="489"/>
      <c r="J6497" s="1095"/>
      <c r="K6497" s="1095"/>
      <c r="L6497" s="1095"/>
      <c r="M6497" s="1095"/>
    </row>
    <row r="6498" spans="1:13" x14ac:dyDescent="0.25">
      <c r="A6498"/>
      <c r="B6498"/>
      <c r="C6498"/>
      <c r="D6498" s="254"/>
      <c r="E6498"/>
      <c r="F6498"/>
      <c r="G6498"/>
      <c r="H6498"/>
      <c r="I6498" s="489"/>
      <c r="J6498" s="1095"/>
      <c r="K6498" s="1095"/>
      <c r="L6498" s="1095"/>
      <c r="M6498" s="1095"/>
    </row>
    <row r="6499" spans="1:13" x14ac:dyDescent="0.25">
      <c r="A6499"/>
      <c r="B6499"/>
      <c r="C6499"/>
      <c r="D6499" s="254"/>
      <c r="E6499"/>
      <c r="F6499"/>
      <c r="G6499"/>
      <c r="H6499"/>
      <c r="I6499" s="489"/>
      <c r="J6499" s="1095"/>
      <c r="K6499" s="1095"/>
      <c r="L6499" s="1095"/>
      <c r="M6499" s="1095"/>
    </row>
    <row r="6500" spans="1:13" x14ac:dyDescent="0.25">
      <c r="A6500"/>
      <c r="B6500"/>
      <c r="C6500"/>
      <c r="D6500" s="254"/>
      <c r="E6500"/>
      <c r="F6500"/>
      <c r="G6500"/>
      <c r="H6500"/>
      <c r="I6500" s="489"/>
      <c r="J6500" s="1095"/>
      <c r="K6500" s="1095"/>
      <c r="L6500" s="1095"/>
      <c r="M6500" s="1095"/>
    </row>
    <row r="6501" spans="1:13" x14ac:dyDescent="0.25">
      <c r="A6501"/>
      <c r="B6501"/>
      <c r="C6501"/>
      <c r="D6501" s="254"/>
      <c r="E6501"/>
      <c r="F6501"/>
      <c r="G6501"/>
      <c r="H6501"/>
      <c r="I6501" s="489"/>
      <c r="J6501" s="1095"/>
      <c r="K6501" s="1095"/>
      <c r="L6501" s="1095"/>
      <c r="M6501" s="1095"/>
    </row>
    <row r="6502" spans="1:13" x14ac:dyDescent="0.25">
      <c r="A6502"/>
      <c r="B6502"/>
      <c r="C6502"/>
      <c r="D6502" s="254"/>
      <c r="E6502"/>
      <c r="F6502"/>
      <c r="G6502"/>
      <c r="H6502"/>
      <c r="I6502" s="489"/>
      <c r="J6502" s="1095"/>
      <c r="K6502" s="1095"/>
      <c r="L6502" s="1095"/>
      <c r="M6502" s="1095"/>
    </row>
    <row r="6503" spans="1:13" x14ac:dyDescent="0.25">
      <c r="A6503"/>
      <c r="B6503"/>
      <c r="C6503"/>
      <c r="D6503" s="254"/>
      <c r="E6503"/>
      <c r="F6503"/>
      <c r="G6503"/>
      <c r="H6503"/>
      <c r="I6503" s="489"/>
      <c r="J6503" s="1095"/>
      <c r="K6503" s="1095"/>
      <c r="L6503" s="1095"/>
      <c r="M6503" s="1095"/>
    </row>
    <row r="6504" spans="1:13" x14ac:dyDescent="0.25">
      <c r="A6504"/>
      <c r="B6504"/>
      <c r="C6504"/>
      <c r="D6504" s="254"/>
      <c r="E6504"/>
      <c r="F6504"/>
      <c r="G6504"/>
      <c r="H6504"/>
      <c r="I6504" s="489"/>
      <c r="J6504" s="1095"/>
      <c r="K6504" s="1095"/>
      <c r="L6504" s="1095"/>
      <c r="M6504" s="1095"/>
    </row>
    <row r="6505" spans="1:13" x14ac:dyDescent="0.25">
      <c r="A6505"/>
      <c r="B6505"/>
      <c r="C6505"/>
      <c r="D6505" s="254"/>
      <c r="E6505"/>
      <c r="F6505"/>
      <c r="G6505"/>
      <c r="H6505"/>
      <c r="I6505" s="489"/>
      <c r="J6505" s="1095"/>
      <c r="K6505" s="1095"/>
      <c r="L6505" s="1095"/>
      <c r="M6505" s="1095"/>
    </row>
    <row r="6506" spans="1:13" x14ac:dyDescent="0.25">
      <c r="A6506"/>
      <c r="B6506"/>
      <c r="C6506"/>
      <c r="D6506" s="254"/>
      <c r="E6506"/>
      <c r="F6506"/>
      <c r="G6506"/>
      <c r="H6506"/>
      <c r="I6506" s="489"/>
      <c r="J6506" s="1095"/>
      <c r="K6506" s="1095"/>
      <c r="L6506" s="1095"/>
      <c r="M6506" s="1095"/>
    </row>
    <row r="6507" spans="1:13" x14ac:dyDescent="0.25">
      <c r="A6507"/>
      <c r="B6507"/>
      <c r="C6507"/>
      <c r="D6507" s="254"/>
      <c r="E6507"/>
      <c r="F6507"/>
      <c r="G6507"/>
      <c r="H6507"/>
      <c r="I6507" s="489"/>
      <c r="J6507" s="1095"/>
      <c r="K6507" s="1095"/>
      <c r="L6507" s="1095"/>
      <c r="M6507" s="1095"/>
    </row>
    <row r="6508" spans="1:13" x14ac:dyDescent="0.25">
      <c r="A6508" t="s">
        <v>13866</v>
      </c>
      <c r="B6508" t="s">
        <v>13867</v>
      </c>
      <c r="C6508" t="s">
        <v>2716</v>
      </c>
      <c r="D6508" s="254">
        <v>9.8000000000000007</v>
      </c>
      <c r="E6508"/>
      <c r="F6508"/>
      <c r="G6508"/>
      <c r="H6508"/>
      <c r="I6508" s="489"/>
      <c r="J6508" s="1095"/>
      <c r="K6508" s="1095"/>
      <c r="L6508" s="1095"/>
      <c r="M6508" s="1095"/>
    </row>
    <row r="6509" spans="1:13" x14ac:dyDescent="0.25">
      <c r="A6509" t="s">
        <v>13868</v>
      </c>
      <c r="B6509" t="s">
        <v>13869</v>
      </c>
      <c r="C6509" t="s">
        <v>2716</v>
      </c>
      <c r="D6509" s="254">
        <v>8.43</v>
      </c>
      <c r="E6509"/>
      <c r="F6509"/>
      <c r="G6509"/>
      <c r="H6509"/>
      <c r="I6509" s="489"/>
      <c r="J6509" s="1095"/>
      <c r="K6509" s="1095"/>
      <c r="L6509" s="1095"/>
      <c r="M6509" s="1095"/>
    </row>
    <row r="6510" spans="1:13" x14ac:dyDescent="0.25">
      <c r="A6510" t="s">
        <v>13870</v>
      </c>
      <c r="B6510" t="s">
        <v>13871</v>
      </c>
      <c r="C6510" t="s">
        <v>2596</v>
      </c>
      <c r="D6510" s="254">
        <v>125.34</v>
      </c>
      <c r="E6510"/>
      <c r="F6510"/>
      <c r="G6510"/>
      <c r="H6510"/>
      <c r="I6510" s="489"/>
      <c r="J6510" s="1095"/>
      <c r="K6510" s="1095"/>
      <c r="L6510" s="1095"/>
      <c r="M6510" s="1095"/>
    </row>
    <row r="6511" spans="1:13" x14ac:dyDescent="0.25">
      <c r="A6511" t="s">
        <v>13872</v>
      </c>
      <c r="B6511" t="s">
        <v>13873</v>
      </c>
      <c r="C6511" t="s">
        <v>2716</v>
      </c>
      <c r="D6511" s="254">
        <v>18.57</v>
      </c>
      <c r="E6511"/>
      <c r="F6511"/>
      <c r="G6511"/>
      <c r="H6511"/>
      <c r="I6511" s="489"/>
      <c r="J6511" s="1095"/>
      <c r="K6511" s="1095"/>
      <c r="L6511" s="1095"/>
      <c r="M6511" s="1095"/>
    </row>
    <row r="6512" spans="1:13" x14ac:dyDescent="0.25">
      <c r="A6512" t="s">
        <v>13874</v>
      </c>
      <c r="B6512" t="s">
        <v>13875</v>
      </c>
      <c r="C6512" t="s">
        <v>2716</v>
      </c>
      <c r="D6512" s="254">
        <v>13.89</v>
      </c>
      <c r="E6512"/>
      <c r="F6512"/>
      <c r="G6512"/>
      <c r="H6512"/>
      <c r="I6512" s="489"/>
      <c r="J6512" s="1095"/>
      <c r="K6512" s="1095"/>
      <c r="L6512" s="1095"/>
      <c r="M6512" s="1095"/>
    </row>
    <row r="6513" spans="1:13" x14ac:dyDescent="0.25">
      <c r="A6513" t="s">
        <v>13876</v>
      </c>
      <c r="B6513" t="s">
        <v>13877</v>
      </c>
      <c r="C6513" t="s">
        <v>13878</v>
      </c>
      <c r="D6513" s="254">
        <v>3.96</v>
      </c>
      <c r="E6513"/>
      <c r="F6513"/>
      <c r="G6513"/>
      <c r="H6513"/>
      <c r="I6513" s="489"/>
      <c r="J6513" s="1095"/>
      <c r="K6513" s="1095"/>
      <c r="L6513" s="1095"/>
      <c r="M6513" s="1095"/>
    </row>
    <row r="6514" spans="1:13" x14ac:dyDescent="0.25">
      <c r="A6514" t="s">
        <v>13879</v>
      </c>
      <c r="B6514" t="s">
        <v>13880</v>
      </c>
      <c r="C6514" t="s">
        <v>2716</v>
      </c>
      <c r="D6514" s="254">
        <v>11.06</v>
      </c>
      <c r="E6514"/>
      <c r="F6514"/>
      <c r="G6514"/>
      <c r="H6514"/>
      <c r="I6514" s="489"/>
      <c r="J6514" s="1095"/>
      <c r="K6514" s="1095"/>
      <c r="L6514" s="1095"/>
      <c r="M6514" s="1095"/>
    </row>
    <row r="6515" spans="1:13" x14ac:dyDescent="0.25">
      <c r="A6515" t="s">
        <v>13881</v>
      </c>
      <c r="B6515" t="s">
        <v>13882</v>
      </c>
      <c r="C6515" t="s">
        <v>2716</v>
      </c>
      <c r="D6515" s="254">
        <v>15.76</v>
      </c>
      <c r="E6515"/>
      <c r="F6515"/>
      <c r="G6515"/>
      <c r="H6515"/>
      <c r="I6515" s="489"/>
      <c r="J6515" s="1095"/>
      <c r="K6515" s="1095"/>
      <c r="L6515" s="1095"/>
      <c r="M6515" s="1095"/>
    </row>
    <row r="6516" spans="1:13" x14ac:dyDescent="0.25">
      <c r="A6516" t="s">
        <v>13883</v>
      </c>
      <c r="B6516" t="s">
        <v>13884</v>
      </c>
      <c r="C6516" t="s">
        <v>2716</v>
      </c>
      <c r="D6516" s="254">
        <v>10.51</v>
      </c>
      <c r="E6516"/>
      <c r="F6516"/>
      <c r="G6516"/>
      <c r="H6516"/>
      <c r="I6516" s="489"/>
      <c r="J6516" s="1095"/>
      <c r="K6516" s="1095"/>
      <c r="L6516" s="1095"/>
      <c r="M6516" s="1095"/>
    </row>
    <row r="6517" spans="1:13" x14ac:dyDescent="0.25">
      <c r="A6517" t="s">
        <v>13885</v>
      </c>
      <c r="B6517" t="s">
        <v>13886</v>
      </c>
      <c r="C6517" t="s">
        <v>2716</v>
      </c>
      <c r="D6517" s="254">
        <v>1.56</v>
      </c>
      <c r="E6517"/>
      <c r="F6517"/>
      <c r="G6517"/>
      <c r="H6517"/>
      <c r="I6517" s="489"/>
      <c r="J6517" s="1095"/>
      <c r="K6517" s="1095"/>
      <c r="L6517" s="1095"/>
      <c r="M6517" s="1095"/>
    </row>
    <row r="6518" spans="1:13" x14ac:dyDescent="0.25">
      <c r="A6518" t="s">
        <v>13887</v>
      </c>
      <c r="B6518" t="s">
        <v>13888</v>
      </c>
      <c r="C6518" t="s">
        <v>2716</v>
      </c>
      <c r="D6518" s="254">
        <v>8.43</v>
      </c>
      <c r="E6518"/>
      <c r="F6518"/>
      <c r="G6518"/>
      <c r="H6518"/>
      <c r="I6518" s="489"/>
      <c r="J6518" s="1095"/>
      <c r="K6518" s="1095"/>
      <c r="L6518" s="1095"/>
      <c r="M6518" s="1095"/>
    </row>
    <row r="6519" spans="1:13" x14ac:dyDescent="0.25">
      <c r="A6519" t="s">
        <v>13889</v>
      </c>
      <c r="B6519" t="s">
        <v>13890</v>
      </c>
      <c r="C6519" t="s">
        <v>2716</v>
      </c>
      <c r="D6519" s="254">
        <v>10.31</v>
      </c>
      <c r="E6519"/>
      <c r="F6519"/>
      <c r="G6519"/>
      <c r="H6519"/>
      <c r="I6519" s="489"/>
      <c r="J6519" s="1095"/>
      <c r="K6519" s="1095"/>
      <c r="L6519" s="1095"/>
      <c r="M6519" s="1095"/>
    </row>
    <row r="6520" spans="1:13" x14ac:dyDescent="0.25">
      <c r="A6520" t="s">
        <v>13891</v>
      </c>
      <c r="B6520" t="s">
        <v>13892</v>
      </c>
      <c r="C6520" t="s">
        <v>2640</v>
      </c>
      <c r="D6520" s="254">
        <v>22.6</v>
      </c>
      <c r="E6520"/>
      <c r="F6520"/>
      <c r="G6520"/>
      <c r="H6520"/>
      <c r="I6520" s="489"/>
      <c r="J6520" s="1095"/>
      <c r="K6520" s="1095"/>
      <c r="L6520" s="1095"/>
      <c r="M6520" s="1095"/>
    </row>
    <row r="6521" spans="1:13" x14ac:dyDescent="0.25">
      <c r="A6521" t="s">
        <v>13893</v>
      </c>
      <c r="B6521" t="s">
        <v>13894</v>
      </c>
      <c r="C6521" t="s">
        <v>2640</v>
      </c>
      <c r="D6521" s="254">
        <v>53.81</v>
      </c>
      <c r="E6521"/>
      <c r="F6521"/>
      <c r="G6521"/>
      <c r="H6521"/>
      <c r="I6521" s="489"/>
      <c r="J6521" s="1095"/>
      <c r="K6521" s="1095"/>
      <c r="L6521" s="1095"/>
      <c r="M6521" s="1095"/>
    </row>
    <row r="6522" spans="1:13" x14ac:dyDescent="0.25">
      <c r="A6522" t="s">
        <v>13895</v>
      </c>
      <c r="B6522" t="s">
        <v>13896</v>
      </c>
      <c r="C6522" t="s">
        <v>2640</v>
      </c>
      <c r="D6522" s="254">
        <v>2.5</v>
      </c>
      <c r="E6522"/>
      <c r="F6522"/>
      <c r="G6522"/>
      <c r="H6522"/>
      <c r="I6522" s="489"/>
      <c r="J6522" s="1095"/>
      <c r="K6522" s="1095"/>
      <c r="L6522" s="1095"/>
      <c r="M6522" s="1095"/>
    </row>
    <row r="6523" spans="1:13" x14ac:dyDescent="0.25">
      <c r="A6523" t="s">
        <v>13897</v>
      </c>
      <c r="B6523" t="s">
        <v>13898</v>
      </c>
      <c r="C6523" t="s">
        <v>2640</v>
      </c>
      <c r="D6523" s="254">
        <v>16.37</v>
      </c>
      <c r="E6523"/>
      <c r="F6523"/>
      <c r="G6523"/>
      <c r="H6523"/>
      <c r="I6523" s="489"/>
      <c r="J6523" s="1095"/>
      <c r="K6523" s="1095"/>
      <c r="L6523" s="1095"/>
      <c r="M6523" s="1095"/>
    </row>
    <row r="6524" spans="1:13" x14ac:dyDescent="0.25">
      <c r="A6524" t="s">
        <v>13899</v>
      </c>
      <c r="B6524" t="s">
        <v>13900</v>
      </c>
      <c r="C6524" t="s">
        <v>2640</v>
      </c>
      <c r="D6524" s="254">
        <v>183</v>
      </c>
      <c r="E6524"/>
      <c r="F6524"/>
      <c r="G6524"/>
      <c r="H6524"/>
      <c r="I6524" s="489"/>
      <c r="J6524" s="1095"/>
      <c r="K6524" s="1095"/>
      <c r="L6524" s="1095"/>
      <c r="M6524" s="1095"/>
    </row>
    <row r="6525" spans="1:13" x14ac:dyDescent="0.25">
      <c r="A6525" t="s">
        <v>13901</v>
      </c>
      <c r="B6525" t="s">
        <v>13902</v>
      </c>
      <c r="C6525" t="s">
        <v>2716</v>
      </c>
      <c r="D6525" s="254">
        <v>8.82</v>
      </c>
      <c r="E6525"/>
      <c r="F6525"/>
      <c r="G6525"/>
      <c r="H6525"/>
      <c r="I6525" s="489"/>
      <c r="J6525" s="1095"/>
      <c r="K6525" s="1095"/>
      <c r="L6525" s="1095"/>
      <c r="M6525" s="1095"/>
    </row>
    <row r="6526" spans="1:13" x14ac:dyDescent="0.25">
      <c r="A6526" t="s">
        <v>13903</v>
      </c>
      <c r="B6526" t="s">
        <v>13904</v>
      </c>
      <c r="C6526" t="s">
        <v>13878</v>
      </c>
      <c r="D6526" s="254">
        <v>23.09</v>
      </c>
      <c r="E6526"/>
      <c r="F6526"/>
      <c r="G6526"/>
      <c r="H6526"/>
      <c r="I6526" s="489"/>
      <c r="J6526" s="1095"/>
      <c r="K6526" s="1095"/>
      <c r="L6526" s="1095"/>
      <c r="M6526" s="1095"/>
    </row>
    <row r="6527" spans="1:13" x14ac:dyDescent="0.25">
      <c r="A6527" t="s">
        <v>13905</v>
      </c>
      <c r="B6527" t="s">
        <v>13906</v>
      </c>
      <c r="C6527" t="s">
        <v>2716</v>
      </c>
      <c r="D6527" s="254">
        <v>50.68</v>
      </c>
      <c r="E6527"/>
      <c r="F6527"/>
      <c r="G6527"/>
      <c r="H6527"/>
      <c r="I6527" s="489"/>
      <c r="J6527" s="1095"/>
      <c r="K6527" s="1095"/>
      <c r="L6527" s="1095"/>
      <c r="M6527" s="1095"/>
    </row>
    <row r="6528" spans="1:13" x14ac:dyDescent="0.25">
      <c r="A6528" t="s">
        <v>13907</v>
      </c>
      <c r="B6528" t="s">
        <v>13908</v>
      </c>
      <c r="C6528" t="s">
        <v>13878</v>
      </c>
      <c r="D6528" s="254">
        <v>5.82</v>
      </c>
      <c r="E6528"/>
      <c r="F6528"/>
      <c r="G6528"/>
      <c r="H6528"/>
      <c r="I6528" s="489"/>
      <c r="J6528" s="1095"/>
      <c r="K6528" s="1095"/>
      <c r="L6528" s="1095"/>
      <c r="M6528" s="1095"/>
    </row>
    <row r="6529" spans="1:13" x14ac:dyDescent="0.25">
      <c r="A6529" t="s">
        <v>13909</v>
      </c>
      <c r="B6529" t="s">
        <v>13910</v>
      </c>
      <c r="C6529" t="s">
        <v>2596</v>
      </c>
      <c r="D6529" s="254">
        <v>134</v>
      </c>
      <c r="E6529"/>
      <c r="F6529"/>
      <c r="G6529"/>
      <c r="H6529"/>
      <c r="I6529" s="489"/>
      <c r="J6529" s="1095"/>
      <c r="K6529" s="1095"/>
      <c r="L6529" s="1095"/>
      <c r="M6529" s="1095"/>
    </row>
    <row r="6530" spans="1:13" x14ac:dyDescent="0.25">
      <c r="A6530" t="s">
        <v>13911</v>
      </c>
      <c r="B6530" t="s">
        <v>13912</v>
      </c>
      <c r="C6530" t="s">
        <v>2716</v>
      </c>
      <c r="D6530" s="254">
        <v>1.52</v>
      </c>
      <c r="E6530"/>
      <c r="F6530"/>
      <c r="G6530"/>
      <c r="H6530"/>
      <c r="I6530" s="489"/>
      <c r="J6530" s="1095"/>
      <c r="K6530" s="1095"/>
      <c r="L6530" s="1095"/>
      <c r="M6530" s="1095"/>
    </row>
    <row r="6531" spans="1:13" x14ac:dyDescent="0.25">
      <c r="A6531" t="s">
        <v>13913</v>
      </c>
      <c r="B6531" t="s">
        <v>13914</v>
      </c>
      <c r="C6531" t="s">
        <v>2716</v>
      </c>
      <c r="D6531" s="254">
        <v>7.87</v>
      </c>
      <c r="E6531"/>
      <c r="F6531"/>
      <c r="G6531"/>
      <c r="H6531"/>
      <c r="I6531" s="489"/>
      <c r="J6531" s="1095"/>
      <c r="K6531" s="1095"/>
      <c r="L6531" s="1095"/>
      <c r="M6531" s="1095"/>
    </row>
    <row r="6532" spans="1:13" x14ac:dyDescent="0.25">
      <c r="A6532" t="s">
        <v>13915</v>
      </c>
      <c r="B6532" t="s">
        <v>13916</v>
      </c>
      <c r="C6532" t="s">
        <v>2716</v>
      </c>
      <c r="D6532" s="254">
        <v>33.29</v>
      </c>
      <c r="E6532"/>
      <c r="F6532"/>
      <c r="G6532"/>
      <c r="H6532"/>
      <c r="I6532" s="489"/>
      <c r="J6532" s="1095"/>
      <c r="K6532" s="1095"/>
      <c r="L6532" s="1095"/>
      <c r="M6532" s="1095"/>
    </row>
    <row r="6533" spans="1:13" x14ac:dyDescent="0.25">
      <c r="A6533" t="s">
        <v>13917</v>
      </c>
      <c r="B6533" t="s">
        <v>13918</v>
      </c>
      <c r="C6533" t="s">
        <v>13878</v>
      </c>
      <c r="D6533" s="254">
        <v>13.02</v>
      </c>
      <c r="E6533"/>
      <c r="F6533"/>
      <c r="G6533"/>
      <c r="H6533"/>
      <c r="I6533" s="489"/>
      <c r="J6533" s="1095"/>
      <c r="K6533" s="1095"/>
      <c r="L6533" s="1095"/>
      <c r="M6533" s="1095"/>
    </row>
    <row r="6534" spans="1:13" x14ac:dyDescent="0.25">
      <c r="A6534" t="s">
        <v>13919</v>
      </c>
      <c r="B6534" t="s">
        <v>13920</v>
      </c>
      <c r="C6534" t="s">
        <v>13878</v>
      </c>
      <c r="D6534" s="254">
        <v>5.92</v>
      </c>
      <c r="E6534"/>
      <c r="F6534"/>
      <c r="G6534"/>
      <c r="H6534"/>
      <c r="I6534" s="489"/>
      <c r="J6534" s="1095"/>
      <c r="K6534" s="1095"/>
      <c r="L6534" s="1095"/>
      <c r="M6534" s="1095"/>
    </row>
    <row r="6535" spans="1:13" x14ac:dyDescent="0.25">
      <c r="A6535" t="s">
        <v>13921</v>
      </c>
      <c r="B6535" t="s">
        <v>13922</v>
      </c>
      <c r="C6535" t="s">
        <v>2640</v>
      </c>
      <c r="D6535" s="254">
        <v>59982.05</v>
      </c>
      <c r="E6535"/>
      <c r="F6535"/>
      <c r="G6535"/>
      <c r="H6535"/>
      <c r="I6535" s="489"/>
      <c r="J6535" s="1095"/>
      <c r="K6535" s="1095"/>
      <c r="L6535" s="1095"/>
      <c r="M6535" s="1095"/>
    </row>
    <row r="6536" spans="1:13" x14ac:dyDescent="0.25">
      <c r="A6536" t="s">
        <v>13923</v>
      </c>
      <c r="B6536" t="s">
        <v>13924</v>
      </c>
      <c r="C6536" t="s">
        <v>2640</v>
      </c>
      <c r="D6536" s="254">
        <v>44986.07</v>
      </c>
      <c r="E6536"/>
      <c r="F6536"/>
      <c r="G6536"/>
      <c r="H6536"/>
      <c r="I6536" s="489"/>
      <c r="J6536" s="1095"/>
      <c r="K6536" s="1095"/>
      <c r="L6536" s="1095"/>
      <c r="M6536" s="1095"/>
    </row>
    <row r="6537" spans="1:13" x14ac:dyDescent="0.25">
      <c r="A6537" t="s">
        <v>13925</v>
      </c>
      <c r="B6537" t="s">
        <v>13926</v>
      </c>
      <c r="C6537" t="s">
        <v>13878</v>
      </c>
      <c r="D6537" s="254">
        <v>7</v>
      </c>
      <c r="E6537"/>
      <c r="F6537"/>
      <c r="G6537"/>
      <c r="H6537"/>
      <c r="I6537" s="489"/>
      <c r="J6537" s="1095"/>
      <c r="K6537" s="1095"/>
      <c r="L6537" s="1095"/>
      <c r="M6537" s="1095"/>
    </row>
    <row r="6538" spans="1:13" x14ac:dyDescent="0.25">
      <c r="A6538" t="s">
        <v>13927</v>
      </c>
      <c r="B6538" t="s">
        <v>13928</v>
      </c>
      <c r="C6538" t="s">
        <v>2716</v>
      </c>
      <c r="D6538" s="254">
        <v>8.69</v>
      </c>
      <c r="E6538"/>
      <c r="F6538"/>
      <c r="G6538"/>
      <c r="H6538"/>
      <c r="I6538" s="489"/>
      <c r="J6538" s="1095"/>
      <c r="K6538" s="1095"/>
      <c r="L6538" s="1095"/>
      <c r="M6538" s="1095"/>
    </row>
    <row r="6539" spans="1:13" x14ac:dyDescent="0.25">
      <c r="A6539" t="s">
        <v>13929</v>
      </c>
      <c r="B6539" t="s">
        <v>13930</v>
      </c>
      <c r="C6539" t="s">
        <v>2640</v>
      </c>
      <c r="D6539" s="254">
        <v>771.27</v>
      </c>
      <c r="E6539"/>
      <c r="F6539"/>
      <c r="G6539"/>
      <c r="H6539"/>
      <c r="I6539" s="489"/>
      <c r="J6539" s="1095"/>
      <c r="K6539" s="1095"/>
      <c r="L6539" s="1095"/>
      <c r="M6539" s="1095"/>
    </row>
    <row r="6540" spans="1:13" x14ac:dyDescent="0.25">
      <c r="A6540" t="s">
        <v>13931</v>
      </c>
      <c r="B6540" t="s">
        <v>13932</v>
      </c>
      <c r="C6540" t="s">
        <v>2640</v>
      </c>
      <c r="D6540" s="254">
        <v>329.96</v>
      </c>
      <c r="E6540"/>
      <c r="F6540"/>
      <c r="G6540"/>
      <c r="H6540"/>
      <c r="I6540" s="489"/>
      <c r="J6540" s="1095"/>
      <c r="K6540" s="1095"/>
      <c r="L6540" s="1095"/>
      <c r="M6540" s="1095"/>
    </row>
    <row r="6541" spans="1:13" x14ac:dyDescent="0.25">
      <c r="A6541" t="s">
        <v>13933</v>
      </c>
      <c r="B6541" t="s">
        <v>13934</v>
      </c>
      <c r="C6541" t="s">
        <v>2640</v>
      </c>
      <c r="D6541" s="254">
        <v>82.38</v>
      </c>
      <c r="E6541"/>
      <c r="F6541"/>
      <c r="G6541"/>
      <c r="H6541"/>
      <c r="I6541" s="489"/>
      <c r="J6541" s="1095"/>
      <c r="K6541" s="1095"/>
      <c r="L6541" s="1095"/>
      <c r="M6541" s="1095"/>
    </row>
    <row r="6542" spans="1:13" x14ac:dyDescent="0.25">
      <c r="A6542" t="s">
        <v>13935</v>
      </c>
      <c r="B6542" t="s">
        <v>13936</v>
      </c>
      <c r="C6542" t="s">
        <v>2640</v>
      </c>
      <c r="D6542" s="254">
        <v>140.46</v>
      </c>
      <c r="E6542"/>
      <c r="F6542"/>
      <c r="G6542"/>
      <c r="H6542"/>
      <c r="I6542" s="489"/>
      <c r="J6542" s="1095"/>
      <c r="K6542" s="1095"/>
      <c r="L6542" s="1095"/>
      <c r="M6542" s="1095"/>
    </row>
    <row r="6543" spans="1:13" x14ac:dyDescent="0.25">
      <c r="A6543" t="s">
        <v>13937</v>
      </c>
      <c r="B6543" t="s">
        <v>13938</v>
      </c>
      <c r="C6543" t="s">
        <v>2640</v>
      </c>
      <c r="D6543" s="254">
        <v>201.81</v>
      </c>
      <c r="E6543"/>
      <c r="F6543"/>
      <c r="G6543"/>
      <c r="H6543"/>
      <c r="I6543" s="489"/>
      <c r="J6543" s="1095"/>
      <c r="K6543" s="1095"/>
      <c r="L6543" s="1095"/>
      <c r="M6543" s="1095"/>
    </row>
    <row r="6544" spans="1:13" x14ac:dyDescent="0.25">
      <c r="A6544" t="s">
        <v>13939</v>
      </c>
      <c r="B6544" t="s">
        <v>13940</v>
      </c>
      <c r="C6544" t="s">
        <v>2716</v>
      </c>
      <c r="D6544" s="254">
        <v>97.36</v>
      </c>
      <c r="E6544"/>
      <c r="F6544"/>
      <c r="G6544"/>
      <c r="H6544"/>
      <c r="I6544" s="489"/>
      <c r="J6544" s="1095"/>
      <c r="K6544" s="1095"/>
      <c r="L6544" s="1095"/>
      <c r="M6544" s="1095"/>
    </row>
    <row r="6545" spans="1:13" x14ac:dyDescent="0.25">
      <c r="A6545" t="s">
        <v>13941</v>
      </c>
      <c r="B6545" t="s">
        <v>13942</v>
      </c>
      <c r="C6545" t="s">
        <v>2640</v>
      </c>
      <c r="D6545" s="254">
        <v>212.45</v>
      </c>
      <c r="E6545"/>
      <c r="F6545"/>
      <c r="G6545"/>
      <c r="H6545"/>
      <c r="I6545" s="489"/>
      <c r="J6545" s="1095"/>
      <c r="K6545" s="1095"/>
      <c r="L6545" s="1095"/>
      <c r="M6545" s="1095"/>
    </row>
    <row r="6546" spans="1:13" x14ac:dyDescent="0.25">
      <c r="A6546" t="s">
        <v>13943</v>
      </c>
      <c r="B6546" t="s">
        <v>13944</v>
      </c>
      <c r="C6546" t="s">
        <v>2598</v>
      </c>
      <c r="D6546" s="254">
        <v>0.11</v>
      </c>
      <c r="E6546"/>
      <c r="F6546"/>
      <c r="G6546"/>
      <c r="H6546"/>
      <c r="I6546" s="489"/>
      <c r="J6546" s="1095"/>
      <c r="K6546" s="1095"/>
      <c r="L6546" s="1095"/>
      <c r="M6546" s="1095"/>
    </row>
    <row r="6547" spans="1:13" x14ac:dyDescent="0.25">
      <c r="A6547" t="s">
        <v>13945</v>
      </c>
      <c r="B6547" t="s">
        <v>13946</v>
      </c>
      <c r="C6547" t="s">
        <v>2598</v>
      </c>
      <c r="D6547" s="254">
        <v>1.89</v>
      </c>
      <c r="E6547"/>
      <c r="F6547"/>
      <c r="G6547"/>
      <c r="H6547"/>
      <c r="I6547" s="489"/>
      <c r="J6547" s="1095"/>
      <c r="K6547" s="1095"/>
      <c r="L6547" s="1095"/>
      <c r="M6547" s="1095"/>
    </row>
    <row r="6548" spans="1:13" x14ac:dyDescent="0.25">
      <c r="A6548" t="s">
        <v>13947</v>
      </c>
      <c r="B6548" t="s">
        <v>13948</v>
      </c>
      <c r="C6548" t="s">
        <v>2598</v>
      </c>
      <c r="D6548" s="254">
        <v>7.0000000000000007E-2</v>
      </c>
      <c r="E6548"/>
      <c r="F6548"/>
      <c r="G6548"/>
      <c r="H6548"/>
      <c r="I6548" s="489"/>
      <c r="J6548" s="1095"/>
      <c r="K6548" s="1095"/>
      <c r="L6548" s="1095"/>
      <c r="M6548" s="1095"/>
    </row>
    <row r="6549" spans="1:13" x14ac:dyDescent="0.25">
      <c r="A6549" t="s">
        <v>13949</v>
      </c>
      <c r="B6549" t="s">
        <v>13950</v>
      </c>
      <c r="C6549" t="s">
        <v>2640</v>
      </c>
      <c r="D6549" s="254">
        <v>1567.57</v>
      </c>
      <c r="E6549"/>
      <c r="F6549"/>
      <c r="G6549"/>
      <c r="H6549"/>
      <c r="I6549" s="489"/>
      <c r="J6549" s="1095"/>
      <c r="K6549" s="1095"/>
      <c r="L6549" s="1095"/>
      <c r="M6549" s="1095"/>
    </row>
    <row r="6550" spans="1:13" x14ac:dyDescent="0.25">
      <c r="A6550" t="s">
        <v>13951</v>
      </c>
      <c r="B6550" t="s">
        <v>13952</v>
      </c>
      <c r="C6550" t="s">
        <v>2640</v>
      </c>
      <c r="D6550" s="254">
        <v>5199.28</v>
      </c>
      <c r="E6550"/>
      <c r="F6550"/>
      <c r="G6550"/>
      <c r="H6550"/>
      <c r="I6550" s="489"/>
      <c r="J6550" s="1095"/>
      <c r="K6550" s="1095"/>
      <c r="L6550" s="1095"/>
      <c r="M6550" s="1095"/>
    </row>
    <row r="6551" spans="1:13" x14ac:dyDescent="0.25">
      <c r="A6551" t="s">
        <v>13953</v>
      </c>
      <c r="B6551" t="s">
        <v>13954</v>
      </c>
      <c r="C6551" t="s">
        <v>2640</v>
      </c>
      <c r="D6551" s="254">
        <v>90774.15</v>
      </c>
      <c r="E6551"/>
      <c r="F6551"/>
      <c r="G6551"/>
      <c r="H6551"/>
      <c r="I6551" s="489"/>
      <c r="J6551" s="1095"/>
      <c r="K6551" s="1095"/>
      <c r="L6551" s="1095"/>
      <c r="M6551" s="1095"/>
    </row>
    <row r="6552" spans="1:13" x14ac:dyDescent="0.25">
      <c r="A6552" t="s">
        <v>13955</v>
      </c>
      <c r="B6552" t="s">
        <v>13956</v>
      </c>
      <c r="C6552" t="s">
        <v>2640</v>
      </c>
      <c r="D6552" s="254">
        <v>94585.55</v>
      </c>
      <c r="E6552"/>
      <c r="F6552"/>
      <c r="G6552"/>
      <c r="H6552"/>
      <c r="I6552" s="489"/>
      <c r="J6552" s="1095"/>
      <c r="K6552" s="1095"/>
      <c r="L6552" s="1095"/>
      <c r="M6552" s="1095"/>
    </row>
    <row r="6553" spans="1:13" x14ac:dyDescent="0.25">
      <c r="A6553" t="s">
        <v>13957</v>
      </c>
      <c r="B6553" t="s">
        <v>13958</v>
      </c>
      <c r="C6553" t="s">
        <v>2640</v>
      </c>
      <c r="D6553" s="254">
        <v>58468.89</v>
      </c>
      <c r="E6553"/>
      <c r="F6553"/>
      <c r="G6553"/>
      <c r="H6553"/>
      <c r="I6553" s="489"/>
      <c r="J6553" s="1095"/>
      <c r="K6553" s="1095"/>
      <c r="L6553" s="1095"/>
      <c r="M6553" s="1095"/>
    </row>
    <row r="6554" spans="1:13" x14ac:dyDescent="0.25">
      <c r="A6554" t="s">
        <v>13959</v>
      </c>
      <c r="B6554" t="s">
        <v>13960</v>
      </c>
      <c r="C6554" t="s">
        <v>2640</v>
      </c>
      <c r="D6554" s="254">
        <v>37404.1</v>
      </c>
      <c r="E6554"/>
      <c r="F6554"/>
      <c r="G6554"/>
      <c r="H6554"/>
      <c r="I6554" s="489"/>
      <c r="J6554" s="1095"/>
      <c r="K6554" s="1095"/>
      <c r="L6554" s="1095"/>
      <c r="M6554" s="1095"/>
    </row>
    <row r="6555" spans="1:13" x14ac:dyDescent="0.25">
      <c r="A6555" t="s">
        <v>13961</v>
      </c>
      <c r="B6555" t="s">
        <v>13962</v>
      </c>
      <c r="C6555" t="s">
        <v>2640</v>
      </c>
      <c r="D6555" s="254">
        <v>37956.980000000003</v>
      </c>
      <c r="E6555"/>
      <c r="F6555"/>
      <c r="G6555"/>
      <c r="H6555"/>
      <c r="I6555" s="489"/>
      <c r="J6555" s="1095"/>
      <c r="K6555" s="1095"/>
      <c r="L6555" s="1095"/>
      <c r="M6555" s="1095"/>
    </row>
    <row r="6556" spans="1:13" x14ac:dyDescent="0.25">
      <c r="A6556" t="s">
        <v>13963</v>
      </c>
      <c r="B6556" t="s">
        <v>13964</v>
      </c>
      <c r="C6556" t="s">
        <v>2640</v>
      </c>
      <c r="D6556" s="254">
        <v>62277.17</v>
      </c>
      <c r="E6556"/>
      <c r="F6556"/>
      <c r="G6556"/>
      <c r="H6556"/>
      <c r="I6556" s="489"/>
      <c r="J6556" s="1095"/>
      <c r="K6556" s="1095"/>
      <c r="L6556" s="1095"/>
      <c r="M6556" s="1095"/>
    </row>
    <row r="6557" spans="1:13" x14ac:dyDescent="0.25">
      <c r="A6557" t="s">
        <v>13965</v>
      </c>
      <c r="B6557" t="s">
        <v>13966</v>
      </c>
      <c r="C6557" t="s">
        <v>2598</v>
      </c>
      <c r="D6557" s="254">
        <v>167.95</v>
      </c>
      <c r="E6557"/>
      <c r="F6557"/>
      <c r="G6557"/>
      <c r="H6557"/>
      <c r="I6557" s="489"/>
      <c r="J6557" s="1095"/>
      <c r="K6557" s="1095"/>
      <c r="L6557" s="1095"/>
      <c r="M6557" s="1095"/>
    </row>
    <row r="6558" spans="1:13" x14ac:dyDescent="0.25">
      <c r="A6558" t="s">
        <v>13967</v>
      </c>
      <c r="B6558" t="s">
        <v>13968</v>
      </c>
      <c r="C6558" t="s">
        <v>2598</v>
      </c>
      <c r="D6558" s="254">
        <v>20.69</v>
      </c>
      <c r="E6558"/>
      <c r="F6558"/>
      <c r="G6558"/>
      <c r="H6558"/>
      <c r="I6558" s="489"/>
      <c r="J6558" s="1095"/>
      <c r="K6558" s="1095"/>
      <c r="L6558" s="1095"/>
      <c r="M6558" s="1095"/>
    </row>
    <row r="6559" spans="1:13" x14ac:dyDescent="0.25">
      <c r="A6559" t="s">
        <v>13969</v>
      </c>
      <c r="B6559" t="s">
        <v>13970</v>
      </c>
      <c r="C6559" t="s">
        <v>2598</v>
      </c>
      <c r="D6559" s="254">
        <v>0.77</v>
      </c>
      <c r="E6559"/>
      <c r="F6559"/>
      <c r="G6559"/>
      <c r="H6559"/>
      <c r="I6559" s="489"/>
      <c r="J6559" s="1095"/>
      <c r="K6559" s="1095"/>
      <c r="L6559" s="1095"/>
      <c r="M6559" s="1095"/>
    </row>
    <row r="6560" spans="1:13" x14ac:dyDescent="0.25">
      <c r="A6560" t="s">
        <v>13971</v>
      </c>
      <c r="B6560" t="s">
        <v>13972</v>
      </c>
      <c r="C6560" t="s">
        <v>2640</v>
      </c>
      <c r="D6560" s="254">
        <v>21959.41</v>
      </c>
      <c r="E6560"/>
      <c r="F6560"/>
      <c r="G6560"/>
      <c r="H6560"/>
      <c r="I6560" s="489"/>
      <c r="J6560" s="1095"/>
      <c r="K6560" s="1095"/>
      <c r="L6560" s="1095"/>
      <c r="M6560" s="1095"/>
    </row>
    <row r="6561" spans="1:13" x14ac:dyDescent="0.25">
      <c r="A6561" t="s">
        <v>13973</v>
      </c>
      <c r="B6561" t="s">
        <v>13974</v>
      </c>
      <c r="C6561" t="s">
        <v>2716</v>
      </c>
      <c r="D6561" s="254">
        <v>16.190000000000001</v>
      </c>
      <c r="E6561"/>
      <c r="F6561"/>
      <c r="G6561"/>
      <c r="H6561"/>
      <c r="I6561" s="489"/>
      <c r="J6561" s="1095"/>
      <c r="K6561" s="1095"/>
      <c r="L6561" s="1095"/>
      <c r="M6561" s="1095"/>
    </row>
    <row r="6562" spans="1:13" x14ac:dyDescent="0.25">
      <c r="A6562" t="s">
        <v>13975</v>
      </c>
      <c r="B6562" t="s">
        <v>13976</v>
      </c>
      <c r="C6562" t="s">
        <v>2640</v>
      </c>
      <c r="D6562" s="254">
        <v>9.67</v>
      </c>
      <c r="E6562"/>
      <c r="F6562"/>
      <c r="G6562"/>
      <c r="H6562"/>
      <c r="I6562" s="489"/>
      <c r="J6562" s="1095"/>
      <c r="K6562" s="1095"/>
      <c r="L6562" s="1095"/>
      <c r="M6562" s="1095"/>
    </row>
    <row r="6563" spans="1:13" x14ac:dyDescent="0.25">
      <c r="A6563" t="s">
        <v>13977</v>
      </c>
      <c r="B6563" t="s">
        <v>13978</v>
      </c>
      <c r="C6563" t="s">
        <v>2640</v>
      </c>
      <c r="D6563" s="254">
        <v>17.809999999999999</v>
      </c>
      <c r="E6563"/>
      <c r="F6563"/>
      <c r="G6563"/>
      <c r="H6563"/>
      <c r="I6563" s="489"/>
      <c r="J6563" s="1095"/>
      <c r="K6563" s="1095"/>
      <c r="L6563" s="1095"/>
      <c r="M6563" s="1095"/>
    </row>
    <row r="6564" spans="1:13" x14ac:dyDescent="0.25">
      <c r="A6564" t="s">
        <v>6417</v>
      </c>
      <c r="B6564" t="s">
        <v>6418</v>
      </c>
      <c r="C6564" t="s">
        <v>2716</v>
      </c>
      <c r="D6564" s="254">
        <v>10.42</v>
      </c>
      <c r="E6564"/>
      <c r="F6564"/>
      <c r="G6564"/>
      <c r="H6564"/>
      <c r="I6564" s="489"/>
      <c r="J6564" s="1095"/>
      <c r="K6564" s="1095"/>
      <c r="L6564" s="1095"/>
      <c r="M6564" s="1095"/>
    </row>
    <row r="6565" spans="1:13" x14ac:dyDescent="0.25">
      <c r="A6565" t="s">
        <v>13979</v>
      </c>
      <c r="B6565" t="s">
        <v>13980</v>
      </c>
      <c r="C6565" t="s">
        <v>2640</v>
      </c>
      <c r="D6565" s="254">
        <v>15.29</v>
      </c>
      <c r="E6565"/>
      <c r="F6565"/>
      <c r="G6565"/>
      <c r="H6565"/>
      <c r="I6565" s="489"/>
      <c r="J6565" s="1095"/>
      <c r="K6565" s="1095"/>
      <c r="L6565" s="1095"/>
      <c r="M6565" s="1095"/>
    </row>
    <row r="6566" spans="1:13" x14ac:dyDescent="0.25">
      <c r="A6566" t="s">
        <v>13981</v>
      </c>
      <c r="B6566" t="s">
        <v>13982</v>
      </c>
      <c r="C6566" t="s">
        <v>2596</v>
      </c>
      <c r="D6566" s="254">
        <v>139.85</v>
      </c>
      <c r="E6566"/>
      <c r="F6566"/>
      <c r="G6566"/>
      <c r="H6566"/>
      <c r="I6566" s="489"/>
      <c r="J6566" s="1095"/>
      <c r="K6566" s="1095"/>
      <c r="L6566" s="1095"/>
      <c r="M6566" s="1095"/>
    </row>
    <row r="6567" spans="1:13" x14ac:dyDescent="0.25">
      <c r="A6567" t="s">
        <v>13983</v>
      </c>
      <c r="B6567" t="s">
        <v>13984</v>
      </c>
      <c r="C6567" t="s">
        <v>2596</v>
      </c>
      <c r="D6567" s="254">
        <v>133.35</v>
      </c>
      <c r="E6567"/>
      <c r="F6567"/>
      <c r="G6567"/>
      <c r="H6567"/>
      <c r="I6567" s="489"/>
      <c r="J6567" s="1095"/>
      <c r="K6567" s="1095"/>
      <c r="L6567" s="1095"/>
      <c r="M6567" s="1095"/>
    </row>
    <row r="6568" spans="1:13" x14ac:dyDescent="0.25">
      <c r="A6568" t="s">
        <v>13985</v>
      </c>
      <c r="B6568" t="s">
        <v>13986</v>
      </c>
      <c r="C6568" t="s">
        <v>2596</v>
      </c>
      <c r="D6568" s="254">
        <v>163.63999999999999</v>
      </c>
      <c r="E6568"/>
      <c r="F6568"/>
      <c r="G6568"/>
      <c r="H6568"/>
      <c r="I6568" s="489"/>
      <c r="J6568" s="1095"/>
      <c r="K6568" s="1095"/>
      <c r="L6568" s="1095"/>
      <c r="M6568" s="1095"/>
    </row>
    <row r="6569" spans="1:13" x14ac:dyDescent="0.25">
      <c r="A6569" t="s">
        <v>13987</v>
      </c>
      <c r="B6569" t="s">
        <v>13988</v>
      </c>
      <c r="C6569" t="s">
        <v>2716</v>
      </c>
      <c r="D6569" s="254">
        <v>1.38</v>
      </c>
      <c r="E6569"/>
      <c r="F6569"/>
      <c r="G6569"/>
      <c r="H6569"/>
      <c r="I6569" s="489"/>
      <c r="J6569" s="1095"/>
      <c r="K6569" s="1095"/>
      <c r="L6569" s="1095"/>
      <c r="M6569" s="1095"/>
    </row>
    <row r="6570" spans="1:13" x14ac:dyDescent="0.25">
      <c r="A6570" t="s">
        <v>13989</v>
      </c>
      <c r="B6570" t="s">
        <v>13990</v>
      </c>
      <c r="C6570" t="s">
        <v>2716</v>
      </c>
      <c r="D6570" s="254">
        <v>1.35</v>
      </c>
      <c r="E6570"/>
      <c r="F6570"/>
      <c r="G6570"/>
      <c r="H6570"/>
      <c r="I6570" s="489"/>
      <c r="J6570" s="1095"/>
      <c r="K6570" s="1095"/>
      <c r="L6570" s="1095"/>
      <c r="M6570" s="1095"/>
    </row>
    <row r="6571" spans="1:13" x14ac:dyDescent="0.25">
      <c r="A6571" t="s">
        <v>13991</v>
      </c>
      <c r="B6571" t="s">
        <v>13992</v>
      </c>
      <c r="C6571" t="s">
        <v>2640</v>
      </c>
      <c r="D6571" s="254">
        <v>340.57</v>
      </c>
      <c r="E6571"/>
      <c r="F6571"/>
      <c r="G6571"/>
      <c r="H6571"/>
      <c r="I6571" s="489"/>
      <c r="J6571" s="1095"/>
      <c r="K6571" s="1095"/>
      <c r="L6571" s="1095"/>
      <c r="M6571" s="1095"/>
    </row>
    <row r="6572" spans="1:13" x14ac:dyDescent="0.25">
      <c r="A6572" t="s">
        <v>13993</v>
      </c>
      <c r="B6572" t="s">
        <v>13994</v>
      </c>
      <c r="C6572" t="s">
        <v>2640</v>
      </c>
      <c r="D6572" s="254">
        <v>505.98</v>
      </c>
      <c r="E6572"/>
      <c r="F6572"/>
      <c r="G6572"/>
      <c r="H6572"/>
      <c r="I6572" s="489"/>
      <c r="J6572" s="1095"/>
      <c r="K6572" s="1095"/>
      <c r="L6572" s="1095"/>
      <c r="M6572" s="1095"/>
    </row>
    <row r="6573" spans="1:13" x14ac:dyDescent="0.25">
      <c r="A6573" t="s">
        <v>13995</v>
      </c>
      <c r="B6573" t="s">
        <v>13996</v>
      </c>
      <c r="C6573" t="s">
        <v>2640</v>
      </c>
      <c r="D6573" s="254">
        <v>586.55999999999995</v>
      </c>
      <c r="E6573"/>
      <c r="F6573"/>
      <c r="G6573"/>
      <c r="H6573"/>
      <c r="I6573" s="489"/>
      <c r="J6573" s="1095"/>
      <c r="K6573" s="1095"/>
      <c r="L6573" s="1095"/>
      <c r="M6573" s="1095"/>
    </row>
    <row r="6574" spans="1:13" x14ac:dyDescent="0.25">
      <c r="A6574" t="s">
        <v>13997</v>
      </c>
      <c r="B6574" t="s">
        <v>13998</v>
      </c>
      <c r="C6574" t="s">
        <v>2640</v>
      </c>
      <c r="D6574" s="254">
        <v>687.62</v>
      </c>
      <c r="E6574"/>
      <c r="F6574"/>
      <c r="G6574"/>
      <c r="H6574"/>
      <c r="I6574" s="489"/>
      <c r="J6574" s="1095"/>
      <c r="K6574" s="1095"/>
      <c r="L6574" s="1095"/>
      <c r="M6574" s="1095"/>
    </row>
    <row r="6575" spans="1:13" x14ac:dyDescent="0.25">
      <c r="A6575" t="s">
        <v>13999</v>
      </c>
      <c r="B6575" t="s">
        <v>14000</v>
      </c>
      <c r="C6575" t="s">
        <v>2640</v>
      </c>
      <c r="D6575" s="254">
        <v>778.4</v>
      </c>
      <c r="E6575"/>
      <c r="F6575"/>
      <c r="G6575"/>
      <c r="H6575"/>
      <c r="I6575" s="489"/>
      <c r="J6575" s="1095"/>
      <c r="K6575" s="1095"/>
      <c r="L6575" s="1095"/>
      <c r="M6575" s="1095"/>
    </row>
    <row r="6576" spans="1:13" s="1093" customFormat="1" x14ac:dyDescent="0.25">
      <c r="A6576" t="s">
        <v>14001</v>
      </c>
      <c r="B6576" t="s">
        <v>14002</v>
      </c>
      <c r="C6576" t="s">
        <v>2640</v>
      </c>
      <c r="D6576" s="254">
        <v>848.39</v>
      </c>
      <c r="E6576"/>
      <c r="F6576"/>
      <c r="G6576"/>
      <c r="H6576"/>
      <c r="I6576" s="489"/>
      <c r="J6576" s="1095"/>
      <c r="K6576" s="1095"/>
      <c r="L6576" s="1095"/>
      <c r="M6576" s="1095"/>
    </row>
    <row r="6577" spans="1:13" x14ac:dyDescent="0.25">
      <c r="A6577" t="s">
        <v>14003</v>
      </c>
      <c r="B6577" t="s">
        <v>14004</v>
      </c>
      <c r="C6577" t="s">
        <v>2640</v>
      </c>
      <c r="D6577" s="254">
        <v>1080.56</v>
      </c>
      <c r="E6577"/>
      <c r="F6577"/>
      <c r="G6577"/>
      <c r="H6577"/>
      <c r="I6577" s="489"/>
      <c r="J6577" s="1095"/>
      <c r="K6577" s="1095"/>
      <c r="L6577" s="1095"/>
      <c r="M6577" s="1095"/>
    </row>
    <row r="6578" spans="1:13" x14ac:dyDescent="0.25">
      <c r="A6578" t="s">
        <v>14005</v>
      </c>
      <c r="B6578" t="s">
        <v>14006</v>
      </c>
      <c r="C6578" t="s">
        <v>2640</v>
      </c>
      <c r="D6578" s="254">
        <v>1494.09</v>
      </c>
      <c r="E6578"/>
      <c r="F6578"/>
      <c r="G6578"/>
      <c r="H6578"/>
      <c r="I6578" s="489"/>
      <c r="J6578" s="1095"/>
      <c r="K6578" s="1095"/>
      <c r="L6578" s="1095"/>
      <c r="M6578" s="1095"/>
    </row>
    <row r="6579" spans="1:13" x14ac:dyDescent="0.25">
      <c r="A6579" t="s">
        <v>14007</v>
      </c>
      <c r="B6579" t="s">
        <v>14008</v>
      </c>
      <c r="C6579" t="s">
        <v>2640</v>
      </c>
      <c r="D6579" s="254">
        <v>1906.38</v>
      </c>
      <c r="E6579"/>
      <c r="F6579"/>
      <c r="G6579"/>
      <c r="H6579"/>
      <c r="I6579" s="489"/>
      <c r="J6579" s="1095"/>
      <c r="K6579" s="1095"/>
      <c r="L6579" s="1095"/>
      <c r="M6579" s="1095"/>
    </row>
    <row r="6580" spans="1:13" x14ac:dyDescent="0.25">
      <c r="A6580" t="s">
        <v>14009</v>
      </c>
      <c r="B6580" t="s">
        <v>14010</v>
      </c>
      <c r="C6580" t="s">
        <v>2598</v>
      </c>
      <c r="D6580" s="254">
        <v>19.010000000000002</v>
      </c>
      <c r="E6580"/>
      <c r="F6580"/>
      <c r="G6580"/>
      <c r="H6580"/>
      <c r="I6580" s="489"/>
      <c r="J6580" s="1095"/>
      <c r="K6580" s="1095"/>
      <c r="L6580" s="1095"/>
      <c r="M6580" s="1095"/>
    </row>
    <row r="6581" spans="1:13" x14ac:dyDescent="0.25">
      <c r="A6581" t="s">
        <v>14011</v>
      </c>
      <c r="B6581" t="s">
        <v>14012</v>
      </c>
      <c r="C6581" t="s">
        <v>14013</v>
      </c>
      <c r="D6581" s="254">
        <v>513.15</v>
      </c>
      <c r="E6581"/>
      <c r="F6581"/>
      <c r="G6581"/>
      <c r="H6581"/>
      <c r="I6581" s="489"/>
      <c r="J6581" s="1095"/>
      <c r="K6581" s="1095"/>
      <c r="L6581" s="1095"/>
      <c r="M6581" s="1095"/>
    </row>
    <row r="6582" spans="1:13" x14ac:dyDescent="0.25">
      <c r="A6582" t="s">
        <v>14014</v>
      </c>
      <c r="B6582" t="s">
        <v>14015</v>
      </c>
      <c r="C6582" t="s">
        <v>2640</v>
      </c>
      <c r="D6582" s="254">
        <v>2457.4899999999998</v>
      </c>
      <c r="E6582"/>
      <c r="F6582"/>
      <c r="G6582"/>
      <c r="H6582"/>
      <c r="I6582" s="489"/>
      <c r="J6582" s="1095"/>
      <c r="K6582" s="1095"/>
      <c r="L6582" s="1095"/>
      <c r="M6582" s="1095"/>
    </row>
    <row r="6583" spans="1:13" x14ac:dyDescent="0.25">
      <c r="A6583" t="s">
        <v>14016</v>
      </c>
      <c r="B6583" t="s">
        <v>14017</v>
      </c>
      <c r="C6583" t="s">
        <v>2640</v>
      </c>
      <c r="D6583" s="254">
        <v>2948.83</v>
      </c>
      <c r="E6583"/>
      <c r="F6583"/>
      <c r="G6583"/>
      <c r="H6583"/>
      <c r="I6583" s="489"/>
      <c r="J6583" s="1095"/>
      <c r="K6583" s="1095"/>
      <c r="L6583" s="1095"/>
      <c r="M6583" s="1095"/>
    </row>
    <row r="6584" spans="1:13" x14ac:dyDescent="0.25">
      <c r="A6584" t="s">
        <v>14018</v>
      </c>
      <c r="B6584" t="s">
        <v>14019</v>
      </c>
      <c r="C6584" t="s">
        <v>2640</v>
      </c>
      <c r="D6584" s="254">
        <v>4061.07</v>
      </c>
      <c r="E6584"/>
      <c r="F6584"/>
      <c r="G6584"/>
      <c r="H6584"/>
      <c r="I6584" s="489"/>
      <c r="J6584" s="1095"/>
      <c r="K6584" s="1095"/>
      <c r="L6584" s="1095"/>
      <c r="M6584" s="1095"/>
    </row>
    <row r="6585" spans="1:13" x14ac:dyDescent="0.25">
      <c r="A6585" t="s">
        <v>14020</v>
      </c>
      <c r="B6585" t="s">
        <v>14021</v>
      </c>
      <c r="C6585" t="s">
        <v>2716</v>
      </c>
      <c r="D6585" s="254">
        <v>7.78</v>
      </c>
      <c r="E6585"/>
      <c r="F6585"/>
      <c r="G6585"/>
      <c r="H6585"/>
      <c r="I6585" s="489"/>
      <c r="J6585" s="1095"/>
      <c r="K6585" s="1095"/>
      <c r="L6585" s="1095"/>
      <c r="M6585" s="1095"/>
    </row>
    <row r="6586" spans="1:13" x14ac:dyDescent="0.25">
      <c r="A6586" t="s">
        <v>14022</v>
      </c>
      <c r="B6586" t="s">
        <v>14023</v>
      </c>
      <c r="C6586" t="s">
        <v>2695</v>
      </c>
      <c r="D6586" s="254" t="s">
        <v>0</v>
      </c>
      <c r="E6586"/>
      <c r="F6586"/>
      <c r="G6586"/>
      <c r="H6586"/>
      <c r="I6586" s="489"/>
      <c r="J6586" s="1095"/>
      <c r="K6586" s="1095"/>
      <c r="L6586" s="1095"/>
      <c r="M6586" s="1095"/>
    </row>
    <row r="6587" spans="1:13" x14ac:dyDescent="0.25">
      <c r="A6587" t="s">
        <v>14024</v>
      </c>
      <c r="B6587" t="s">
        <v>14025</v>
      </c>
      <c r="C6587" t="s">
        <v>2640</v>
      </c>
      <c r="D6587" s="254">
        <v>414.47</v>
      </c>
      <c r="E6587"/>
      <c r="F6587"/>
      <c r="G6587"/>
      <c r="H6587"/>
      <c r="I6587" s="489"/>
      <c r="J6587" s="1095"/>
      <c r="K6587" s="1095"/>
      <c r="L6587" s="1095"/>
      <c r="M6587" s="1095"/>
    </row>
    <row r="6588" spans="1:13" x14ac:dyDescent="0.25">
      <c r="A6588" t="s">
        <v>14026</v>
      </c>
      <c r="B6588" t="s">
        <v>14027</v>
      </c>
      <c r="C6588" t="s">
        <v>2640</v>
      </c>
      <c r="D6588" s="254">
        <v>636.16</v>
      </c>
      <c r="E6588"/>
      <c r="F6588"/>
      <c r="G6588"/>
      <c r="H6588"/>
      <c r="I6588" s="489"/>
      <c r="J6588" s="1095"/>
      <c r="K6588" s="1095"/>
      <c r="L6588" s="1095"/>
      <c r="M6588" s="1095"/>
    </row>
    <row r="6589" spans="1:13" x14ac:dyDescent="0.25">
      <c r="A6589" t="s">
        <v>3913</v>
      </c>
      <c r="B6589" t="s">
        <v>3914</v>
      </c>
      <c r="C6589" t="s">
        <v>2595</v>
      </c>
      <c r="D6589" s="254">
        <v>29.28</v>
      </c>
      <c r="E6589"/>
      <c r="F6589"/>
      <c r="G6589"/>
      <c r="H6589"/>
      <c r="I6589" s="489"/>
      <c r="J6589" s="1095"/>
      <c r="K6589" s="1095"/>
      <c r="L6589" s="1095"/>
      <c r="M6589" s="1095"/>
    </row>
    <row r="6590" spans="1:13" x14ac:dyDescent="0.25">
      <c r="A6590" t="s">
        <v>14028</v>
      </c>
      <c r="B6590" t="s">
        <v>14029</v>
      </c>
      <c r="C6590" t="s">
        <v>2640</v>
      </c>
      <c r="D6590" s="254">
        <v>753.27</v>
      </c>
      <c r="E6590"/>
      <c r="F6590"/>
      <c r="G6590"/>
      <c r="H6590"/>
      <c r="I6590" s="489"/>
      <c r="J6590" s="1095"/>
      <c r="K6590" s="1095"/>
      <c r="L6590" s="1095"/>
      <c r="M6590" s="1095"/>
    </row>
    <row r="6591" spans="1:13" x14ac:dyDescent="0.25">
      <c r="A6591" t="s">
        <v>14030</v>
      </c>
      <c r="B6591" t="s">
        <v>14031</v>
      </c>
      <c r="C6591" t="s">
        <v>2598</v>
      </c>
      <c r="D6591" s="254">
        <v>4.42</v>
      </c>
      <c r="E6591"/>
      <c r="F6591"/>
      <c r="G6591"/>
      <c r="H6591"/>
      <c r="I6591" s="489"/>
      <c r="J6591" s="1095"/>
      <c r="K6591" s="1095"/>
      <c r="L6591" s="1095"/>
      <c r="M6591" s="1095"/>
    </row>
    <row r="6592" spans="1:13" x14ac:dyDescent="0.25">
      <c r="A6592" t="s">
        <v>14032</v>
      </c>
      <c r="B6592" t="s">
        <v>14033</v>
      </c>
      <c r="C6592" t="s">
        <v>2640</v>
      </c>
      <c r="D6592" s="254">
        <v>1155.5999999999999</v>
      </c>
      <c r="E6592"/>
      <c r="F6592"/>
      <c r="G6592"/>
      <c r="H6592"/>
      <c r="I6592" s="489"/>
      <c r="J6592" s="1095"/>
      <c r="K6592" s="1095"/>
      <c r="L6592" s="1095"/>
      <c r="M6592" s="1095"/>
    </row>
    <row r="6593" spans="1:13" x14ac:dyDescent="0.25">
      <c r="A6593" t="s">
        <v>14034</v>
      </c>
      <c r="B6593" t="s">
        <v>14035</v>
      </c>
      <c r="C6593" t="s">
        <v>2640</v>
      </c>
      <c r="D6593" s="254">
        <v>1024.82</v>
      </c>
      <c r="E6593"/>
      <c r="F6593"/>
      <c r="G6593"/>
      <c r="H6593"/>
      <c r="I6593" s="489"/>
      <c r="J6593" s="1095"/>
      <c r="K6593" s="1095"/>
      <c r="L6593" s="1095"/>
      <c r="M6593" s="1095"/>
    </row>
    <row r="6594" spans="1:13" x14ac:dyDescent="0.25">
      <c r="A6594" t="s">
        <v>14036</v>
      </c>
      <c r="B6594" t="s">
        <v>14037</v>
      </c>
      <c r="C6594" t="s">
        <v>2640</v>
      </c>
      <c r="D6594" s="254">
        <v>5336.32</v>
      </c>
      <c r="E6594"/>
      <c r="F6594"/>
      <c r="G6594"/>
      <c r="H6594"/>
      <c r="I6594" s="489"/>
      <c r="J6594" s="1095"/>
      <c r="K6594" s="1095"/>
      <c r="L6594" s="1095"/>
      <c r="M6594" s="1095"/>
    </row>
    <row r="6595" spans="1:13" x14ac:dyDescent="0.25">
      <c r="A6595" t="s">
        <v>14038</v>
      </c>
      <c r="B6595" t="s">
        <v>14039</v>
      </c>
      <c r="C6595" t="s">
        <v>2640</v>
      </c>
      <c r="D6595" s="254">
        <v>1422.59</v>
      </c>
      <c r="E6595"/>
      <c r="F6595"/>
      <c r="G6595"/>
      <c r="H6595"/>
      <c r="I6595" s="489"/>
      <c r="J6595" s="1095"/>
      <c r="K6595" s="1095"/>
      <c r="L6595" s="1095"/>
      <c r="M6595" s="1095"/>
    </row>
    <row r="6596" spans="1:13" x14ac:dyDescent="0.25">
      <c r="A6596" t="s">
        <v>14040</v>
      </c>
      <c r="B6596" t="s">
        <v>14041</v>
      </c>
      <c r="C6596" t="s">
        <v>2640</v>
      </c>
      <c r="D6596" s="254">
        <v>23741.09</v>
      </c>
      <c r="E6596"/>
      <c r="F6596"/>
      <c r="G6596"/>
      <c r="H6596"/>
      <c r="I6596" s="489"/>
      <c r="J6596" s="1095"/>
      <c r="K6596" s="1095"/>
      <c r="L6596" s="1095"/>
      <c r="M6596" s="1095"/>
    </row>
    <row r="6597" spans="1:13" x14ac:dyDescent="0.25">
      <c r="A6597" t="s">
        <v>14042</v>
      </c>
      <c r="B6597" t="s">
        <v>14043</v>
      </c>
      <c r="C6597" t="s">
        <v>2595</v>
      </c>
      <c r="D6597" s="254">
        <v>6.3</v>
      </c>
      <c r="E6597"/>
      <c r="F6597"/>
      <c r="G6597"/>
      <c r="H6597"/>
      <c r="I6597" s="489"/>
      <c r="J6597" s="1095"/>
      <c r="K6597" s="1095"/>
      <c r="L6597" s="1095"/>
      <c r="M6597" s="1095"/>
    </row>
    <row r="6598" spans="1:13" x14ac:dyDescent="0.25">
      <c r="A6598" t="s">
        <v>14044</v>
      </c>
      <c r="B6598" t="s">
        <v>14045</v>
      </c>
      <c r="C6598" t="s">
        <v>2640</v>
      </c>
      <c r="D6598" s="254">
        <v>15113.94</v>
      </c>
      <c r="E6598"/>
      <c r="F6598"/>
      <c r="G6598"/>
      <c r="H6598"/>
      <c r="I6598" s="489"/>
      <c r="J6598" s="1095"/>
      <c r="K6598" s="1095"/>
      <c r="L6598" s="1095"/>
      <c r="M6598" s="1095"/>
    </row>
    <row r="6599" spans="1:13" x14ac:dyDescent="0.25">
      <c r="A6599" t="s">
        <v>14046</v>
      </c>
      <c r="B6599" t="s">
        <v>14047</v>
      </c>
      <c r="C6599" t="s">
        <v>2640</v>
      </c>
      <c r="D6599" s="254">
        <v>15452.56</v>
      </c>
      <c r="E6599"/>
      <c r="F6599"/>
      <c r="G6599"/>
      <c r="H6599"/>
      <c r="I6599" s="489"/>
      <c r="J6599" s="1095"/>
      <c r="K6599" s="1095"/>
      <c r="L6599" s="1095"/>
      <c r="M6599" s="1095"/>
    </row>
    <row r="6600" spans="1:13" x14ac:dyDescent="0.25">
      <c r="A6600" t="s">
        <v>14048</v>
      </c>
      <c r="B6600" t="s">
        <v>14049</v>
      </c>
      <c r="C6600" t="s">
        <v>2640</v>
      </c>
      <c r="D6600" s="254">
        <v>20574.41</v>
      </c>
      <c r="E6600"/>
      <c r="F6600"/>
      <c r="G6600"/>
      <c r="H6600"/>
      <c r="I6600" s="489"/>
      <c r="J6600" s="1095"/>
      <c r="K6600" s="1095"/>
      <c r="L6600" s="1095"/>
      <c r="M6600" s="1095"/>
    </row>
    <row r="6601" spans="1:13" x14ac:dyDescent="0.25">
      <c r="A6601" t="s">
        <v>14050</v>
      </c>
      <c r="B6601" t="s">
        <v>14051</v>
      </c>
      <c r="C6601" t="s">
        <v>2640</v>
      </c>
      <c r="D6601" s="254">
        <v>21253.4</v>
      </c>
      <c r="E6601"/>
      <c r="F6601"/>
      <c r="G6601"/>
      <c r="H6601"/>
      <c r="I6601" s="489"/>
      <c r="J6601" s="1095"/>
      <c r="K6601" s="1095"/>
      <c r="L6601" s="1095"/>
      <c r="M6601" s="1095"/>
    </row>
    <row r="6602" spans="1:13" x14ac:dyDescent="0.25">
      <c r="A6602" t="s">
        <v>14052</v>
      </c>
      <c r="B6602" t="s">
        <v>14053</v>
      </c>
      <c r="C6602" t="s">
        <v>2598</v>
      </c>
      <c r="D6602" s="254">
        <v>364.71</v>
      </c>
      <c r="E6602"/>
      <c r="F6602"/>
      <c r="G6602"/>
      <c r="H6602"/>
      <c r="I6602" s="489"/>
      <c r="J6602" s="1095"/>
      <c r="K6602" s="1095"/>
      <c r="L6602" s="1095"/>
      <c r="M6602" s="1095"/>
    </row>
    <row r="6603" spans="1:13" x14ac:dyDescent="0.25">
      <c r="A6603" t="s">
        <v>14054</v>
      </c>
      <c r="B6603" t="s">
        <v>14055</v>
      </c>
      <c r="C6603" t="s">
        <v>2598</v>
      </c>
      <c r="D6603" s="254">
        <v>2353.83</v>
      </c>
      <c r="E6603"/>
      <c r="F6603"/>
      <c r="G6603"/>
      <c r="H6603"/>
      <c r="I6603" s="489"/>
      <c r="J6603" s="1095"/>
      <c r="K6603" s="1095"/>
      <c r="L6603" s="1095"/>
      <c r="M6603" s="1095"/>
    </row>
    <row r="6604" spans="1:13" x14ac:dyDescent="0.25">
      <c r="A6604" t="s">
        <v>14056</v>
      </c>
      <c r="B6604" t="s">
        <v>14057</v>
      </c>
      <c r="C6604" t="s">
        <v>2598</v>
      </c>
      <c r="D6604" s="254">
        <v>2954.68</v>
      </c>
      <c r="E6604"/>
      <c r="F6604"/>
      <c r="G6604"/>
      <c r="H6604"/>
      <c r="I6604" s="489"/>
      <c r="J6604" s="1095"/>
      <c r="K6604" s="1095"/>
      <c r="L6604" s="1095"/>
      <c r="M6604" s="1095"/>
    </row>
    <row r="6605" spans="1:13" x14ac:dyDescent="0.25">
      <c r="A6605" t="s">
        <v>14058</v>
      </c>
      <c r="B6605" t="s">
        <v>14059</v>
      </c>
      <c r="C6605" t="s">
        <v>2598</v>
      </c>
      <c r="D6605" s="254">
        <v>3307.46</v>
      </c>
      <c r="E6605"/>
      <c r="F6605"/>
      <c r="G6605"/>
      <c r="H6605"/>
      <c r="I6605" s="489"/>
      <c r="J6605" s="1095"/>
      <c r="K6605" s="1095"/>
      <c r="L6605" s="1095"/>
      <c r="M6605" s="1095"/>
    </row>
    <row r="6606" spans="1:13" x14ac:dyDescent="0.25">
      <c r="A6606" t="s">
        <v>14060</v>
      </c>
      <c r="B6606" t="s">
        <v>14061</v>
      </c>
      <c r="C6606" t="s">
        <v>2640</v>
      </c>
      <c r="D6606" s="254">
        <v>3255.95</v>
      </c>
      <c r="E6606"/>
      <c r="F6606"/>
      <c r="G6606"/>
      <c r="H6606"/>
      <c r="I6606" s="489"/>
      <c r="J6606" s="1095"/>
      <c r="K6606" s="1095"/>
      <c r="L6606" s="1095"/>
      <c r="M6606" s="1095"/>
    </row>
    <row r="6607" spans="1:13" x14ac:dyDescent="0.25">
      <c r="A6607" t="s">
        <v>14062</v>
      </c>
      <c r="B6607" t="s">
        <v>14063</v>
      </c>
      <c r="C6607" t="s">
        <v>2640</v>
      </c>
      <c r="D6607" s="254">
        <v>4455.2700000000004</v>
      </c>
      <c r="E6607"/>
      <c r="F6607"/>
      <c r="G6607"/>
      <c r="H6607"/>
      <c r="I6607" s="489"/>
      <c r="J6607" s="1095"/>
      <c r="K6607" s="1095"/>
      <c r="L6607" s="1095"/>
      <c r="M6607" s="1095"/>
    </row>
    <row r="6608" spans="1:13" x14ac:dyDescent="0.25">
      <c r="A6608" t="s">
        <v>14064</v>
      </c>
      <c r="B6608" t="s">
        <v>14065</v>
      </c>
      <c r="C6608" t="s">
        <v>2640</v>
      </c>
      <c r="D6608" s="254">
        <v>5079.17</v>
      </c>
      <c r="E6608"/>
      <c r="F6608"/>
      <c r="G6608"/>
      <c r="H6608"/>
      <c r="I6608" s="489"/>
      <c r="J6608" s="1095"/>
      <c r="K6608" s="1095"/>
      <c r="L6608" s="1095"/>
      <c r="M6608" s="1095"/>
    </row>
    <row r="6609" spans="1:13" x14ac:dyDescent="0.25">
      <c r="A6609" t="s">
        <v>14066</v>
      </c>
      <c r="B6609" t="s">
        <v>14067</v>
      </c>
      <c r="C6609" t="s">
        <v>2640</v>
      </c>
      <c r="D6609" s="254">
        <v>5469</v>
      </c>
      <c r="E6609"/>
      <c r="F6609"/>
      <c r="G6609"/>
      <c r="H6609"/>
      <c r="I6609" s="489"/>
      <c r="J6609" s="1095"/>
      <c r="K6609" s="1095"/>
      <c r="L6609" s="1095"/>
      <c r="M6609" s="1095"/>
    </row>
    <row r="6610" spans="1:13" x14ac:dyDescent="0.25">
      <c r="A6610" t="s">
        <v>14068</v>
      </c>
      <c r="B6610" t="s">
        <v>14069</v>
      </c>
      <c r="C6610" t="s">
        <v>2595</v>
      </c>
      <c r="D6610" s="254">
        <v>4.9000000000000004</v>
      </c>
      <c r="E6610"/>
      <c r="F6610"/>
      <c r="G6610"/>
      <c r="H6610"/>
      <c r="I6610" s="489"/>
      <c r="J6610" s="1095"/>
      <c r="K6610" s="1095"/>
      <c r="L6610" s="1095"/>
      <c r="M6610" s="1095"/>
    </row>
    <row r="6611" spans="1:13" x14ac:dyDescent="0.25">
      <c r="A6611" t="s">
        <v>14070</v>
      </c>
      <c r="B6611" t="s">
        <v>14071</v>
      </c>
      <c r="C6611" t="s">
        <v>2598</v>
      </c>
      <c r="D6611" s="254">
        <v>44.89</v>
      </c>
      <c r="E6611"/>
      <c r="F6611"/>
      <c r="G6611"/>
      <c r="H6611"/>
      <c r="I6611" s="489"/>
      <c r="J6611" s="1095"/>
      <c r="K6611" s="1095"/>
      <c r="L6611" s="1095"/>
      <c r="M6611" s="1095"/>
    </row>
    <row r="6612" spans="1:13" x14ac:dyDescent="0.25">
      <c r="A6612" t="s">
        <v>14072</v>
      </c>
      <c r="B6612" t="s">
        <v>14073</v>
      </c>
      <c r="C6612" t="s">
        <v>2640</v>
      </c>
      <c r="D6612" s="254">
        <v>1855.39</v>
      </c>
      <c r="E6612"/>
      <c r="F6612"/>
      <c r="G6612"/>
      <c r="H6612"/>
      <c r="I6612" s="489"/>
      <c r="J6612" s="1095"/>
      <c r="K6612" s="1095"/>
      <c r="L6612" s="1095"/>
      <c r="M6612" s="1095"/>
    </row>
    <row r="6613" spans="1:13" x14ac:dyDescent="0.25">
      <c r="A6613" t="s">
        <v>14074</v>
      </c>
      <c r="B6613" t="s">
        <v>14075</v>
      </c>
      <c r="C6613" t="s">
        <v>2598</v>
      </c>
      <c r="D6613" s="254">
        <v>204.69</v>
      </c>
      <c r="E6613"/>
      <c r="F6613"/>
      <c r="G6613"/>
      <c r="H6613"/>
      <c r="I6613" s="489"/>
      <c r="J6613" s="1095"/>
      <c r="K6613" s="1095"/>
      <c r="L6613" s="1095"/>
      <c r="M6613" s="1095"/>
    </row>
    <row r="6614" spans="1:13" x14ac:dyDescent="0.25">
      <c r="A6614" t="s">
        <v>14076</v>
      </c>
      <c r="B6614" t="s">
        <v>14077</v>
      </c>
      <c r="C6614" t="s">
        <v>2598</v>
      </c>
      <c r="D6614" s="254">
        <v>221.56</v>
      </c>
      <c r="E6614"/>
      <c r="F6614"/>
      <c r="G6614"/>
      <c r="H6614"/>
      <c r="I6614" s="489"/>
      <c r="J6614" s="1095"/>
      <c r="K6614" s="1095"/>
      <c r="L6614" s="1095"/>
      <c r="M6614" s="1095"/>
    </row>
    <row r="6615" spans="1:13" x14ac:dyDescent="0.25">
      <c r="A6615" t="s">
        <v>14078</v>
      </c>
      <c r="B6615" t="s">
        <v>14079</v>
      </c>
      <c r="C6615" t="s">
        <v>2598</v>
      </c>
      <c r="D6615" s="254">
        <v>336.2</v>
      </c>
      <c r="E6615"/>
      <c r="F6615"/>
      <c r="G6615"/>
      <c r="H6615"/>
      <c r="I6615" s="489"/>
      <c r="J6615" s="1095"/>
      <c r="K6615" s="1095"/>
      <c r="L6615" s="1095"/>
      <c r="M6615" s="1095"/>
    </row>
    <row r="6616" spans="1:13" x14ac:dyDescent="0.25">
      <c r="A6616" t="s">
        <v>14080</v>
      </c>
      <c r="B6616" t="s">
        <v>14081</v>
      </c>
      <c r="C6616" t="s">
        <v>2598</v>
      </c>
      <c r="D6616" s="254">
        <v>490.95</v>
      </c>
      <c r="E6616"/>
      <c r="F6616"/>
      <c r="G6616"/>
      <c r="H6616"/>
      <c r="I6616" s="489"/>
      <c r="J6616" s="1095"/>
      <c r="K6616" s="1095"/>
      <c r="L6616" s="1095"/>
      <c r="M6616" s="1095"/>
    </row>
    <row r="6617" spans="1:13" x14ac:dyDescent="0.25">
      <c r="A6617" t="s">
        <v>14082</v>
      </c>
      <c r="B6617" t="s">
        <v>14083</v>
      </c>
      <c r="C6617" t="s">
        <v>2598</v>
      </c>
      <c r="D6617" s="254">
        <v>650.33000000000004</v>
      </c>
      <c r="E6617"/>
      <c r="F6617"/>
      <c r="G6617"/>
      <c r="H6617"/>
      <c r="I6617" s="489"/>
      <c r="J6617" s="1095"/>
      <c r="K6617" s="1095"/>
      <c r="L6617" s="1095"/>
      <c r="M6617" s="1095"/>
    </row>
    <row r="6618" spans="1:13" x14ac:dyDescent="0.25">
      <c r="A6618" t="s">
        <v>14084</v>
      </c>
      <c r="B6618" t="s">
        <v>14085</v>
      </c>
      <c r="C6618" t="s">
        <v>2598</v>
      </c>
      <c r="D6618" s="254">
        <v>716.9</v>
      </c>
      <c r="E6618"/>
      <c r="F6618"/>
      <c r="G6618"/>
      <c r="H6618"/>
      <c r="I6618" s="489"/>
      <c r="J6618" s="1095"/>
      <c r="K6618" s="1095"/>
      <c r="L6618" s="1095"/>
      <c r="M6618" s="1095"/>
    </row>
    <row r="6619" spans="1:13" x14ac:dyDescent="0.25">
      <c r="A6619" t="s">
        <v>14086</v>
      </c>
      <c r="B6619" t="s">
        <v>14087</v>
      </c>
      <c r="C6619" t="s">
        <v>2598</v>
      </c>
      <c r="D6619" s="254">
        <v>853.85</v>
      </c>
      <c r="E6619"/>
      <c r="F6619"/>
      <c r="G6619"/>
      <c r="H6619"/>
      <c r="I6619" s="489"/>
      <c r="J6619" s="1095"/>
      <c r="K6619" s="1095"/>
      <c r="L6619" s="1095"/>
      <c r="M6619" s="1095"/>
    </row>
    <row r="6620" spans="1:13" x14ac:dyDescent="0.25">
      <c r="A6620" t="s">
        <v>14088</v>
      </c>
      <c r="B6620" t="s">
        <v>14089</v>
      </c>
      <c r="C6620" t="s">
        <v>2640</v>
      </c>
      <c r="D6620" s="254">
        <v>2426.41</v>
      </c>
      <c r="E6620"/>
      <c r="F6620"/>
      <c r="G6620"/>
      <c r="H6620"/>
      <c r="I6620" s="489"/>
      <c r="J6620" s="1095"/>
      <c r="K6620" s="1095"/>
      <c r="L6620" s="1095"/>
      <c r="M6620" s="1095"/>
    </row>
    <row r="6621" spans="1:13" x14ac:dyDescent="0.25">
      <c r="A6621" t="s">
        <v>14090</v>
      </c>
      <c r="B6621" t="s">
        <v>14091</v>
      </c>
      <c r="C6621" t="s">
        <v>2598</v>
      </c>
      <c r="D6621" s="254">
        <v>1145.26</v>
      </c>
      <c r="E6621"/>
      <c r="F6621"/>
      <c r="G6621"/>
      <c r="H6621"/>
      <c r="I6621" s="489"/>
      <c r="J6621" s="1095"/>
      <c r="K6621" s="1095"/>
      <c r="L6621" s="1095"/>
      <c r="M6621" s="1095"/>
    </row>
    <row r="6622" spans="1:13" x14ac:dyDescent="0.25">
      <c r="A6622" t="s">
        <v>14092</v>
      </c>
      <c r="B6622" t="s">
        <v>14093</v>
      </c>
      <c r="C6622" t="s">
        <v>2716</v>
      </c>
      <c r="D6622" s="254">
        <v>2.73</v>
      </c>
      <c r="E6622"/>
      <c r="F6622"/>
      <c r="G6622"/>
      <c r="H6622"/>
      <c r="I6622" s="489"/>
      <c r="J6622" s="1095"/>
      <c r="K6622" s="1095"/>
      <c r="L6622" s="1095"/>
      <c r="M6622" s="1095"/>
    </row>
    <row r="6623" spans="1:13" x14ac:dyDescent="0.25">
      <c r="A6623" t="s">
        <v>14094</v>
      </c>
      <c r="B6623" t="s">
        <v>14095</v>
      </c>
      <c r="C6623" t="s">
        <v>2598</v>
      </c>
      <c r="D6623" s="254">
        <v>1185.52</v>
      </c>
      <c r="E6623"/>
      <c r="F6623"/>
      <c r="G6623"/>
      <c r="H6623"/>
      <c r="I6623" s="489"/>
      <c r="J6623" s="1095"/>
      <c r="K6623" s="1095"/>
      <c r="L6623" s="1095"/>
      <c r="M6623" s="1095"/>
    </row>
    <row r="6624" spans="1:13" x14ac:dyDescent="0.25">
      <c r="A6624" t="s">
        <v>14096</v>
      </c>
      <c r="B6624" t="s">
        <v>14097</v>
      </c>
      <c r="C6624" t="s">
        <v>2598</v>
      </c>
      <c r="D6624" s="254">
        <v>1695.65</v>
      </c>
      <c r="E6624"/>
      <c r="F6624"/>
      <c r="G6624"/>
      <c r="H6624"/>
      <c r="I6624" s="489"/>
      <c r="J6624" s="1095"/>
      <c r="K6624" s="1095"/>
      <c r="L6624" s="1095"/>
      <c r="M6624" s="1095"/>
    </row>
    <row r="6625" spans="1:13" x14ac:dyDescent="0.25">
      <c r="A6625" t="s">
        <v>14098</v>
      </c>
      <c r="B6625" t="s">
        <v>14099</v>
      </c>
      <c r="C6625" t="s">
        <v>2598</v>
      </c>
      <c r="D6625" s="254">
        <v>2239.9699999999998</v>
      </c>
      <c r="E6625"/>
      <c r="F6625"/>
      <c r="G6625"/>
      <c r="H6625"/>
      <c r="I6625" s="489"/>
      <c r="J6625" s="1095"/>
      <c r="K6625" s="1095"/>
      <c r="L6625" s="1095"/>
      <c r="M6625" s="1095"/>
    </row>
    <row r="6626" spans="1:13" x14ac:dyDescent="0.25">
      <c r="A6626" t="s">
        <v>14100</v>
      </c>
      <c r="B6626" t="s">
        <v>14101</v>
      </c>
      <c r="C6626" t="s">
        <v>2598</v>
      </c>
      <c r="D6626" s="254">
        <v>6897.74</v>
      </c>
      <c r="E6626"/>
      <c r="F6626"/>
      <c r="G6626"/>
      <c r="H6626"/>
      <c r="I6626" s="489"/>
      <c r="J6626" s="1095"/>
      <c r="K6626" s="1095"/>
      <c r="L6626" s="1095"/>
      <c r="M6626" s="1095"/>
    </row>
    <row r="6627" spans="1:13" x14ac:dyDescent="0.25">
      <c r="A6627" t="s">
        <v>14102</v>
      </c>
      <c r="B6627" t="s">
        <v>14103</v>
      </c>
      <c r="C6627" t="s">
        <v>2640</v>
      </c>
      <c r="D6627" s="254">
        <v>3111.55</v>
      </c>
      <c r="E6627"/>
      <c r="F6627"/>
      <c r="G6627"/>
      <c r="H6627"/>
      <c r="I6627" s="489"/>
      <c r="J6627" s="1095"/>
      <c r="K6627" s="1095"/>
      <c r="L6627" s="1095"/>
      <c r="M6627" s="1095"/>
    </row>
    <row r="6628" spans="1:13" x14ac:dyDescent="0.25">
      <c r="A6628" t="s">
        <v>14104</v>
      </c>
      <c r="B6628" t="s">
        <v>14105</v>
      </c>
      <c r="C6628" t="s">
        <v>2640</v>
      </c>
      <c r="D6628" s="254">
        <v>4095.93</v>
      </c>
      <c r="E6628"/>
      <c r="F6628"/>
      <c r="G6628"/>
      <c r="H6628"/>
      <c r="I6628" s="489"/>
      <c r="J6628" s="1095"/>
      <c r="K6628" s="1095"/>
      <c r="L6628" s="1095"/>
      <c r="M6628" s="1095"/>
    </row>
    <row r="6629" spans="1:13" x14ac:dyDescent="0.25">
      <c r="A6629" t="s">
        <v>14106</v>
      </c>
      <c r="B6629" t="s">
        <v>14107</v>
      </c>
      <c r="C6629" t="s">
        <v>2598</v>
      </c>
      <c r="D6629" s="254">
        <v>8315.44</v>
      </c>
      <c r="E6629"/>
      <c r="F6629"/>
      <c r="G6629"/>
      <c r="H6629"/>
      <c r="I6629" s="489"/>
      <c r="J6629" s="1095"/>
      <c r="K6629" s="1095"/>
      <c r="L6629" s="1095"/>
      <c r="M6629" s="1095"/>
    </row>
    <row r="6630" spans="1:13" x14ac:dyDescent="0.25">
      <c r="A6630" t="s">
        <v>14108</v>
      </c>
      <c r="B6630" t="s">
        <v>14109</v>
      </c>
      <c r="C6630" t="s">
        <v>2640</v>
      </c>
      <c r="D6630" s="254">
        <v>221.12</v>
      </c>
      <c r="E6630"/>
      <c r="F6630"/>
      <c r="G6630"/>
      <c r="H6630"/>
      <c r="I6630" s="489"/>
      <c r="J6630" s="1095"/>
      <c r="K6630" s="1095"/>
      <c r="L6630" s="1095"/>
      <c r="M6630" s="1095"/>
    </row>
    <row r="6631" spans="1:13" x14ac:dyDescent="0.25">
      <c r="A6631" t="s">
        <v>14110</v>
      </c>
      <c r="B6631" t="s">
        <v>14111</v>
      </c>
      <c r="C6631" t="s">
        <v>2598</v>
      </c>
      <c r="D6631" s="254">
        <v>13785.98</v>
      </c>
      <c r="E6631"/>
      <c r="F6631"/>
      <c r="G6631"/>
      <c r="H6631"/>
      <c r="I6631" s="489"/>
      <c r="J6631" s="1095"/>
      <c r="K6631" s="1095"/>
      <c r="L6631" s="1095"/>
      <c r="M6631" s="1095"/>
    </row>
    <row r="6632" spans="1:13" x14ac:dyDescent="0.25">
      <c r="A6632" t="s">
        <v>14112</v>
      </c>
      <c r="B6632" t="s">
        <v>14113</v>
      </c>
      <c r="C6632" t="s">
        <v>2598</v>
      </c>
      <c r="D6632" s="254">
        <v>19192.669999999998</v>
      </c>
      <c r="E6632"/>
      <c r="F6632"/>
      <c r="G6632"/>
      <c r="H6632"/>
      <c r="I6632" s="489"/>
      <c r="J6632" s="1095"/>
      <c r="K6632" s="1095"/>
      <c r="L6632" s="1095"/>
      <c r="M6632" s="1095"/>
    </row>
    <row r="6633" spans="1:13" x14ac:dyDescent="0.25">
      <c r="A6633" t="s">
        <v>14114</v>
      </c>
      <c r="B6633" t="s">
        <v>14115</v>
      </c>
      <c r="C6633" t="s">
        <v>2640</v>
      </c>
      <c r="D6633" s="254">
        <v>505.11</v>
      </c>
      <c r="E6633"/>
      <c r="F6633"/>
      <c r="G6633"/>
      <c r="H6633"/>
      <c r="I6633" s="489"/>
      <c r="J6633" s="1095"/>
      <c r="K6633" s="1095"/>
      <c r="L6633" s="1095"/>
      <c r="M6633" s="1095"/>
    </row>
    <row r="6634" spans="1:13" x14ac:dyDescent="0.25">
      <c r="A6634" t="s">
        <v>14116</v>
      </c>
      <c r="B6634" t="s">
        <v>14117</v>
      </c>
      <c r="C6634" t="s">
        <v>2640</v>
      </c>
      <c r="D6634" s="254">
        <v>1009.87</v>
      </c>
      <c r="E6634"/>
      <c r="F6634"/>
      <c r="G6634"/>
      <c r="H6634"/>
      <c r="I6634" s="489"/>
      <c r="J6634" s="1095"/>
      <c r="K6634" s="1095"/>
      <c r="L6634" s="1095"/>
      <c r="M6634" s="1095"/>
    </row>
    <row r="6635" spans="1:13" x14ac:dyDescent="0.25">
      <c r="A6635" t="s">
        <v>14118</v>
      </c>
      <c r="B6635" t="s">
        <v>14119</v>
      </c>
      <c r="C6635" t="s">
        <v>2640</v>
      </c>
      <c r="D6635" s="254">
        <v>1104.8599999999999</v>
      </c>
      <c r="E6635"/>
      <c r="F6635"/>
      <c r="G6635"/>
      <c r="H6635"/>
      <c r="I6635" s="489"/>
      <c r="J6635" s="1095"/>
      <c r="K6635" s="1095"/>
      <c r="L6635" s="1095"/>
      <c r="M6635" s="1095"/>
    </row>
    <row r="6636" spans="1:13" x14ac:dyDescent="0.25">
      <c r="A6636" t="s">
        <v>14120</v>
      </c>
      <c r="B6636" t="s">
        <v>14121</v>
      </c>
      <c r="C6636" t="s">
        <v>2640</v>
      </c>
      <c r="D6636" s="254">
        <v>3.56</v>
      </c>
      <c r="E6636"/>
      <c r="F6636"/>
      <c r="G6636"/>
      <c r="H6636"/>
      <c r="I6636" s="489"/>
      <c r="J6636" s="1095"/>
      <c r="K6636" s="1095"/>
      <c r="L6636" s="1095"/>
      <c r="M6636" s="1095"/>
    </row>
    <row r="6637" spans="1:13" x14ac:dyDescent="0.25">
      <c r="A6637" t="s">
        <v>14122</v>
      </c>
      <c r="B6637" t="s">
        <v>14123</v>
      </c>
      <c r="C6637" t="s">
        <v>2640</v>
      </c>
      <c r="D6637" s="254">
        <v>339.98</v>
      </c>
      <c r="E6637"/>
      <c r="F6637"/>
      <c r="G6637"/>
      <c r="H6637"/>
      <c r="I6637" s="489"/>
      <c r="J6637" s="1095"/>
      <c r="K6637" s="1095"/>
      <c r="L6637" s="1095"/>
      <c r="M6637" s="1095"/>
    </row>
    <row r="6638" spans="1:13" x14ac:dyDescent="0.25">
      <c r="A6638" t="s">
        <v>14124</v>
      </c>
      <c r="B6638" t="s">
        <v>14125</v>
      </c>
      <c r="C6638" t="s">
        <v>2640</v>
      </c>
      <c r="D6638" s="254">
        <v>490.7</v>
      </c>
      <c r="E6638"/>
      <c r="F6638"/>
      <c r="G6638"/>
      <c r="H6638"/>
      <c r="I6638" s="489"/>
      <c r="J6638" s="1095"/>
      <c r="K6638" s="1095"/>
      <c r="L6638" s="1095"/>
      <c r="M6638" s="1095"/>
    </row>
    <row r="6639" spans="1:13" x14ac:dyDescent="0.25">
      <c r="A6639" t="s">
        <v>14126</v>
      </c>
      <c r="B6639" t="s">
        <v>14127</v>
      </c>
      <c r="C6639" t="s">
        <v>2598</v>
      </c>
      <c r="D6639" s="254">
        <v>55.54</v>
      </c>
      <c r="E6639"/>
      <c r="F6639"/>
      <c r="G6639"/>
      <c r="H6639"/>
      <c r="I6639" s="489"/>
      <c r="J6639" s="1095"/>
      <c r="K6639" s="1095"/>
      <c r="L6639" s="1095"/>
      <c r="M6639" s="1095"/>
    </row>
    <row r="6640" spans="1:13" x14ac:dyDescent="0.25">
      <c r="A6640" t="s">
        <v>14128</v>
      </c>
      <c r="B6640" t="s">
        <v>14129</v>
      </c>
      <c r="C6640" t="s">
        <v>2598</v>
      </c>
      <c r="D6640" s="254">
        <v>9.75</v>
      </c>
      <c r="E6640"/>
      <c r="F6640"/>
      <c r="G6640"/>
      <c r="H6640"/>
      <c r="I6640" s="489"/>
      <c r="J6640" s="1095"/>
      <c r="K6640" s="1095"/>
      <c r="L6640" s="1095"/>
      <c r="M6640" s="1095"/>
    </row>
    <row r="6641" spans="1:13" x14ac:dyDescent="0.25">
      <c r="A6641" t="s">
        <v>14130</v>
      </c>
      <c r="B6641" t="s">
        <v>14131</v>
      </c>
      <c r="C6641" t="s">
        <v>2640</v>
      </c>
      <c r="D6641" s="254">
        <v>2.81</v>
      </c>
      <c r="E6641"/>
      <c r="F6641"/>
      <c r="G6641"/>
      <c r="H6641"/>
      <c r="I6641" s="489"/>
      <c r="J6641" s="1095"/>
      <c r="K6641" s="1095"/>
      <c r="L6641" s="1095"/>
      <c r="M6641" s="1095"/>
    </row>
    <row r="6642" spans="1:13" x14ac:dyDescent="0.25">
      <c r="A6642" t="s">
        <v>14132</v>
      </c>
      <c r="B6642" t="s">
        <v>14133</v>
      </c>
      <c r="C6642" t="s">
        <v>2598</v>
      </c>
      <c r="D6642" s="254">
        <v>15.81</v>
      </c>
      <c r="E6642"/>
      <c r="F6642"/>
      <c r="G6642"/>
      <c r="H6642"/>
      <c r="I6642" s="489"/>
      <c r="J6642" s="1095"/>
      <c r="K6642" s="1095"/>
      <c r="L6642" s="1095"/>
      <c r="M6642" s="1095"/>
    </row>
    <row r="6643" spans="1:13" x14ac:dyDescent="0.25">
      <c r="A6643" t="s">
        <v>14134</v>
      </c>
      <c r="B6643" t="s">
        <v>14135</v>
      </c>
      <c r="C6643" t="s">
        <v>2598</v>
      </c>
      <c r="D6643" s="254">
        <v>22.58</v>
      </c>
      <c r="E6643"/>
      <c r="F6643"/>
      <c r="G6643"/>
      <c r="H6643"/>
      <c r="I6643" s="489"/>
      <c r="J6643" s="1095"/>
      <c r="K6643" s="1095"/>
      <c r="L6643" s="1095"/>
      <c r="M6643" s="1095"/>
    </row>
    <row r="6644" spans="1:13" x14ac:dyDescent="0.25">
      <c r="A6644" t="s">
        <v>14136</v>
      </c>
      <c r="B6644" t="s">
        <v>14137</v>
      </c>
      <c r="C6644" t="s">
        <v>2595</v>
      </c>
      <c r="D6644" s="254">
        <v>11.93</v>
      </c>
      <c r="E6644"/>
      <c r="F6644"/>
      <c r="G6644"/>
      <c r="H6644"/>
      <c r="I6644" s="489"/>
      <c r="J6644" s="1095"/>
      <c r="K6644" s="1095"/>
      <c r="L6644" s="1095"/>
      <c r="M6644" s="1095"/>
    </row>
    <row r="6645" spans="1:13" x14ac:dyDescent="0.25">
      <c r="A6645" t="s">
        <v>14138</v>
      </c>
      <c r="B6645" t="s">
        <v>14139</v>
      </c>
      <c r="C6645" t="s">
        <v>2640</v>
      </c>
      <c r="D6645" s="254">
        <v>0.19</v>
      </c>
      <c r="E6645"/>
      <c r="F6645"/>
      <c r="G6645"/>
      <c r="H6645"/>
      <c r="I6645" s="489"/>
      <c r="J6645" s="1095"/>
      <c r="K6645" s="1095"/>
      <c r="L6645" s="1095"/>
      <c r="M6645" s="1095"/>
    </row>
    <row r="6646" spans="1:13" x14ac:dyDescent="0.25">
      <c r="A6646" t="s">
        <v>14140</v>
      </c>
      <c r="B6646" t="s">
        <v>14141</v>
      </c>
      <c r="C6646" t="s">
        <v>2640</v>
      </c>
      <c r="D6646" s="254">
        <v>82.14</v>
      </c>
      <c r="E6646"/>
      <c r="F6646"/>
      <c r="G6646"/>
      <c r="H6646"/>
      <c r="I6646" s="489"/>
      <c r="J6646" s="1095"/>
      <c r="K6646" s="1095"/>
      <c r="L6646" s="1095"/>
      <c r="M6646" s="1095"/>
    </row>
    <row r="6647" spans="1:13" x14ac:dyDescent="0.25">
      <c r="A6647" t="s">
        <v>14142</v>
      </c>
      <c r="B6647" t="s">
        <v>14143</v>
      </c>
      <c r="C6647" t="s">
        <v>2640</v>
      </c>
      <c r="D6647" s="254">
        <v>284.39</v>
      </c>
      <c r="E6647"/>
      <c r="F6647"/>
      <c r="G6647"/>
      <c r="H6647"/>
      <c r="I6647" s="489"/>
      <c r="J6647" s="1095"/>
      <c r="K6647" s="1095"/>
      <c r="L6647" s="1095"/>
      <c r="M6647" s="1095"/>
    </row>
    <row r="6648" spans="1:13" x14ac:dyDescent="0.25">
      <c r="A6648" t="s">
        <v>14144</v>
      </c>
      <c r="B6648" t="s">
        <v>14145</v>
      </c>
      <c r="C6648" t="s">
        <v>2640</v>
      </c>
      <c r="D6648" s="254">
        <v>663.15</v>
      </c>
      <c r="E6648"/>
      <c r="F6648"/>
      <c r="G6648"/>
      <c r="H6648"/>
      <c r="I6648" s="489"/>
      <c r="J6648" s="1095"/>
      <c r="K6648" s="1095"/>
      <c r="L6648" s="1095"/>
      <c r="M6648" s="1095"/>
    </row>
    <row r="6649" spans="1:13" x14ac:dyDescent="0.25">
      <c r="A6649" t="s">
        <v>14146</v>
      </c>
      <c r="B6649" t="s">
        <v>14147</v>
      </c>
      <c r="C6649" t="s">
        <v>2640</v>
      </c>
      <c r="D6649" s="254">
        <v>1262.73</v>
      </c>
      <c r="E6649"/>
      <c r="F6649"/>
      <c r="G6649"/>
      <c r="H6649"/>
      <c r="I6649" s="489"/>
      <c r="J6649" s="1095"/>
      <c r="K6649" s="1095"/>
      <c r="L6649" s="1095"/>
      <c r="M6649" s="1095"/>
    </row>
    <row r="6650" spans="1:13" x14ac:dyDescent="0.25">
      <c r="A6650" t="s">
        <v>14148</v>
      </c>
      <c r="B6650" t="s">
        <v>14149</v>
      </c>
      <c r="C6650" t="s">
        <v>2640</v>
      </c>
      <c r="D6650" s="254">
        <v>1357.5</v>
      </c>
      <c r="E6650"/>
      <c r="F6650"/>
      <c r="G6650"/>
      <c r="H6650"/>
      <c r="I6650" s="489"/>
      <c r="J6650" s="1095"/>
      <c r="K6650" s="1095"/>
      <c r="L6650" s="1095"/>
      <c r="M6650" s="1095"/>
    </row>
    <row r="6651" spans="1:13" x14ac:dyDescent="0.25">
      <c r="A6651" t="s">
        <v>6400</v>
      </c>
      <c r="B6651" t="s">
        <v>6402</v>
      </c>
      <c r="C6651" t="s">
        <v>2596</v>
      </c>
      <c r="D6651" s="254">
        <v>121.33</v>
      </c>
      <c r="E6651"/>
      <c r="F6651"/>
      <c r="G6651"/>
      <c r="H6651"/>
      <c r="I6651" s="489"/>
      <c r="J6651" s="1095"/>
      <c r="K6651" s="1095"/>
      <c r="L6651" s="1095"/>
      <c r="M6651" s="1095"/>
    </row>
    <row r="6652" spans="1:13" x14ac:dyDescent="0.25">
      <c r="A6652" t="s">
        <v>6401</v>
      </c>
      <c r="B6652" t="s">
        <v>6403</v>
      </c>
      <c r="C6652" t="s">
        <v>2596</v>
      </c>
      <c r="D6652" s="254">
        <v>119.43</v>
      </c>
      <c r="E6652"/>
      <c r="F6652"/>
      <c r="G6652"/>
      <c r="H6652"/>
      <c r="I6652" s="489"/>
      <c r="J6652" s="1095"/>
      <c r="K6652" s="1095"/>
      <c r="L6652" s="1095"/>
      <c r="M6652" s="1095"/>
    </row>
    <row r="6653" spans="1:13" x14ac:dyDescent="0.25">
      <c r="A6653" t="s">
        <v>14150</v>
      </c>
      <c r="B6653" t="s">
        <v>14151</v>
      </c>
      <c r="C6653" t="s">
        <v>2596</v>
      </c>
      <c r="D6653" s="254">
        <v>117.62</v>
      </c>
      <c r="E6653"/>
      <c r="F6653"/>
      <c r="G6653"/>
      <c r="H6653"/>
      <c r="I6653" s="489"/>
      <c r="J6653" s="1095"/>
      <c r="K6653" s="1095"/>
      <c r="L6653" s="1095"/>
      <c r="M6653" s="1095"/>
    </row>
    <row r="6654" spans="1:13" x14ac:dyDescent="0.25">
      <c r="A6654" t="s">
        <v>14152</v>
      </c>
      <c r="B6654" t="s">
        <v>14153</v>
      </c>
      <c r="C6654" t="s">
        <v>2596</v>
      </c>
      <c r="D6654" s="254">
        <v>13.85</v>
      </c>
      <c r="E6654"/>
      <c r="F6654"/>
      <c r="G6654"/>
      <c r="H6654"/>
      <c r="I6654" s="489"/>
      <c r="J6654" s="1095"/>
      <c r="K6654" s="1095"/>
      <c r="L6654" s="1095"/>
      <c r="M6654" s="1095"/>
    </row>
    <row r="6655" spans="1:13" x14ac:dyDescent="0.25">
      <c r="A6655" t="s">
        <v>14154</v>
      </c>
      <c r="B6655" t="s">
        <v>14155</v>
      </c>
      <c r="C6655" t="s">
        <v>2640</v>
      </c>
      <c r="D6655" s="254">
        <v>0.38</v>
      </c>
      <c r="E6655"/>
      <c r="F6655"/>
      <c r="G6655"/>
      <c r="H6655"/>
      <c r="I6655" s="489"/>
      <c r="J6655" s="1095"/>
      <c r="K6655" s="1095"/>
      <c r="L6655" s="1095"/>
      <c r="M6655" s="1095"/>
    </row>
    <row r="6656" spans="1:13" x14ac:dyDescent="0.25">
      <c r="A6656" t="s">
        <v>14156</v>
      </c>
      <c r="B6656" t="s">
        <v>14157</v>
      </c>
      <c r="C6656" t="s">
        <v>2640</v>
      </c>
      <c r="D6656" s="254">
        <v>356.3</v>
      </c>
      <c r="E6656"/>
      <c r="F6656"/>
      <c r="G6656"/>
      <c r="H6656"/>
      <c r="I6656" s="489"/>
      <c r="J6656" s="1095"/>
      <c r="K6656" s="1095"/>
      <c r="L6656" s="1095"/>
      <c r="M6656" s="1095"/>
    </row>
    <row r="6657" spans="1:13" x14ac:dyDescent="0.25">
      <c r="A6657" t="s">
        <v>14158</v>
      </c>
      <c r="B6657" t="s">
        <v>14159</v>
      </c>
      <c r="C6657" t="s">
        <v>2640</v>
      </c>
      <c r="D6657" s="254">
        <v>1309.42</v>
      </c>
      <c r="E6657"/>
      <c r="F6657"/>
      <c r="G6657"/>
      <c r="H6657"/>
      <c r="I6657" s="489"/>
      <c r="J6657" s="1095"/>
      <c r="K6657" s="1095"/>
      <c r="L6657" s="1095"/>
      <c r="M6657" s="1095"/>
    </row>
    <row r="6658" spans="1:13" x14ac:dyDescent="0.25">
      <c r="A6658" t="s">
        <v>14160</v>
      </c>
      <c r="B6658" t="s">
        <v>14161</v>
      </c>
      <c r="C6658" t="s">
        <v>2640</v>
      </c>
      <c r="D6658" s="254">
        <v>673.36</v>
      </c>
      <c r="E6658"/>
      <c r="F6658"/>
      <c r="G6658"/>
      <c r="H6658"/>
      <c r="I6658" s="489"/>
      <c r="J6658" s="1095"/>
      <c r="K6658" s="1095"/>
      <c r="L6658" s="1095"/>
      <c r="M6658" s="1095"/>
    </row>
    <row r="6659" spans="1:13" x14ac:dyDescent="0.25">
      <c r="A6659" t="s">
        <v>14162</v>
      </c>
      <c r="B6659" t="s">
        <v>14163</v>
      </c>
      <c r="C6659" t="s">
        <v>14164</v>
      </c>
      <c r="D6659" s="254">
        <v>1908.73</v>
      </c>
      <c r="E6659"/>
      <c r="F6659"/>
      <c r="G6659"/>
      <c r="H6659"/>
      <c r="I6659" s="489"/>
      <c r="J6659" s="1095"/>
      <c r="K6659" s="1095"/>
      <c r="L6659" s="1095"/>
      <c r="M6659" s="1095"/>
    </row>
    <row r="6660" spans="1:13" x14ac:dyDescent="0.25">
      <c r="A6660" t="s">
        <v>14165</v>
      </c>
      <c r="B6660" t="s">
        <v>14166</v>
      </c>
      <c r="C6660" t="s">
        <v>2716</v>
      </c>
      <c r="D6660" s="254">
        <v>4.37</v>
      </c>
      <c r="E6660"/>
      <c r="F6660"/>
      <c r="G6660"/>
      <c r="H6660"/>
      <c r="I6660" s="489"/>
      <c r="J6660" s="1095"/>
      <c r="K6660" s="1095"/>
      <c r="L6660" s="1095"/>
      <c r="M6660" s="1095"/>
    </row>
    <row r="6661" spans="1:13" x14ac:dyDescent="0.25">
      <c r="A6661" t="s">
        <v>14167</v>
      </c>
      <c r="B6661" t="s">
        <v>14168</v>
      </c>
      <c r="C6661" t="s">
        <v>2716</v>
      </c>
      <c r="D6661" s="254">
        <v>4.45</v>
      </c>
      <c r="E6661"/>
      <c r="F6661"/>
      <c r="G6661"/>
      <c r="H6661"/>
      <c r="I6661" s="489"/>
      <c r="J6661" s="1095"/>
      <c r="K6661" s="1095"/>
      <c r="L6661" s="1095"/>
      <c r="M6661" s="1095"/>
    </row>
    <row r="6662" spans="1:13" x14ac:dyDescent="0.25">
      <c r="A6662" t="s">
        <v>14169</v>
      </c>
      <c r="B6662" t="s">
        <v>14170</v>
      </c>
      <c r="C6662" t="s">
        <v>2716</v>
      </c>
      <c r="D6662" s="254">
        <v>0.12</v>
      </c>
      <c r="E6662"/>
      <c r="F6662"/>
      <c r="G6662"/>
      <c r="H6662"/>
      <c r="I6662" s="489"/>
      <c r="J6662" s="1095"/>
      <c r="K6662" s="1095"/>
      <c r="L6662" s="1095"/>
      <c r="M6662" s="1095"/>
    </row>
    <row r="6663" spans="1:13" x14ac:dyDescent="0.25">
      <c r="A6663" t="s">
        <v>14171</v>
      </c>
      <c r="B6663" t="s">
        <v>14172</v>
      </c>
      <c r="C6663" t="s">
        <v>2716</v>
      </c>
      <c r="D6663" s="254">
        <v>32.53</v>
      </c>
      <c r="E6663"/>
      <c r="F6663"/>
      <c r="G6663"/>
      <c r="H6663"/>
      <c r="I6663" s="489"/>
      <c r="J6663" s="1095"/>
      <c r="K6663" s="1095"/>
      <c r="L6663" s="1095"/>
      <c r="M6663" s="1095"/>
    </row>
    <row r="6664" spans="1:13" x14ac:dyDescent="0.25">
      <c r="A6664" t="s">
        <v>14173</v>
      </c>
      <c r="B6664" t="s">
        <v>14174</v>
      </c>
      <c r="C6664" t="s">
        <v>2640</v>
      </c>
      <c r="D6664" s="254">
        <v>79.069999999999993</v>
      </c>
      <c r="E6664"/>
      <c r="F6664"/>
      <c r="G6664"/>
      <c r="H6664"/>
      <c r="I6664" s="489"/>
      <c r="J6664" s="1095"/>
      <c r="K6664" s="1095"/>
      <c r="L6664" s="1095"/>
      <c r="M6664" s="1095"/>
    </row>
    <row r="6665" spans="1:13" x14ac:dyDescent="0.25">
      <c r="A6665" t="s">
        <v>14175</v>
      </c>
      <c r="B6665" t="s">
        <v>14176</v>
      </c>
      <c r="C6665" t="s">
        <v>2716</v>
      </c>
      <c r="D6665" s="254">
        <v>0.22</v>
      </c>
      <c r="E6665"/>
      <c r="F6665"/>
      <c r="G6665"/>
      <c r="H6665"/>
      <c r="I6665" s="489"/>
      <c r="J6665" s="1095"/>
      <c r="K6665" s="1095"/>
      <c r="L6665" s="1095"/>
      <c r="M6665" s="1095"/>
    </row>
    <row r="6666" spans="1:13" x14ac:dyDescent="0.25">
      <c r="A6666" t="s">
        <v>14177</v>
      </c>
      <c r="B6666" t="s">
        <v>14178</v>
      </c>
      <c r="C6666" t="s">
        <v>2595</v>
      </c>
      <c r="D6666" s="254">
        <v>200.86</v>
      </c>
      <c r="E6666"/>
      <c r="F6666"/>
      <c r="G6666"/>
      <c r="H6666"/>
      <c r="I6666" s="489"/>
      <c r="J6666" s="1095"/>
      <c r="K6666" s="1095"/>
      <c r="L6666" s="1095"/>
      <c r="M6666" s="1095"/>
    </row>
    <row r="6667" spans="1:13" x14ac:dyDescent="0.25">
      <c r="A6667" t="s">
        <v>14179</v>
      </c>
      <c r="B6667" t="s">
        <v>14180</v>
      </c>
      <c r="C6667" t="s">
        <v>2640</v>
      </c>
      <c r="D6667" s="254">
        <v>517.17999999999995</v>
      </c>
      <c r="E6667"/>
      <c r="F6667"/>
      <c r="G6667"/>
      <c r="H6667"/>
      <c r="I6667" s="489"/>
      <c r="J6667" s="1095"/>
      <c r="K6667" s="1095"/>
      <c r="L6667" s="1095"/>
      <c r="M6667" s="1095"/>
    </row>
    <row r="6668" spans="1:13" x14ac:dyDescent="0.25">
      <c r="A6668" t="s">
        <v>14181</v>
      </c>
      <c r="B6668" t="s">
        <v>14182</v>
      </c>
      <c r="C6668" t="s">
        <v>2640</v>
      </c>
      <c r="D6668" s="254">
        <v>1018.97</v>
      </c>
      <c r="E6668"/>
      <c r="F6668"/>
      <c r="G6668"/>
      <c r="H6668"/>
      <c r="I6668" s="489"/>
      <c r="J6668" s="1095"/>
      <c r="K6668" s="1095"/>
      <c r="L6668" s="1095"/>
      <c r="M6668" s="1095"/>
    </row>
    <row r="6669" spans="1:13" x14ac:dyDescent="0.25">
      <c r="A6669" t="s">
        <v>14183</v>
      </c>
      <c r="B6669" t="s">
        <v>14184</v>
      </c>
      <c r="C6669" t="s">
        <v>2640</v>
      </c>
      <c r="D6669" s="254">
        <v>648.29</v>
      </c>
      <c r="E6669"/>
      <c r="F6669"/>
      <c r="G6669"/>
      <c r="H6669"/>
      <c r="I6669" s="489"/>
      <c r="J6669" s="1095"/>
      <c r="K6669" s="1095"/>
      <c r="L6669" s="1095"/>
      <c r="M6669" s="1095"/>
    </row>
    <row r="6670" spans="1:13" x14ac:dyDescent="0.25">
      <c r="A6670" t="s">
        <v>14185</v>
      </c>
      <c r="B6670" t="s">
        <v>14186</v>
      </c>
      <c r="C6670" t="s">
        <v>2640</v>
      </c>
      <c r="D6670" s="254">
        <v>906.87</v>
      </c>
      <c r="E6670"/>
      <c r="F6670"/>
      <c r="G6670"/>
      <c r="H6670"/>
      <c r="I6670" s="489"/>
      <c r="J6670" s="1095"/>
      <c r="K6670" s="1095"/>
      <c r="L6670" s="1095"/>
      <c r="M6670" s="1095"/>
    </row>
    <row r="6671" spans="1:13" x14ac:dyDescent="0.25">
      <c r="A6671" t="s">
        <v>14187</v>
      </c>
      <c r="B6671" t="s">
        <v>14188</v>
      </c>
      <c r="C6671" t="s">
        <v>2596</v>
      </c>
      <c r="D6671" s="254">
        <v>555.48</v>
      </c>
      <c r="E6671"/>
      <c r="F6671"/>
      <c r="G6671"/>
      <c r="H6671"/>
      <c r="I6671" s="489"/>
      <c r="J6671" s="1095"/>
      <c r="K6671" s="1095"/>
      <c r="L6671" s="1095"/>
      <c r="M6671" s="1095"/>
    </row>
    <row r="6672" spans="1:13" x14ac:dyDescent="0.25">
      <c r="A6672" t="s">
        <v>14189</v>
      </c>
      <c r="B6672" t="s">
        <v>14190</v>
      </c>
      <c r="C6672" t="s">
        <v>2595</v>
      </c>
      <c r="D6672" s="254">
        <v>215.96</v>
      </c>
      <c r="E6672"/>
      <c r="F6672"/>
      <c r="G6672"/>
      <c r="H6672"/>
      <c r="I6672" s="489"/>
      <c r="J6672" s="1095"/>
      <c r="K6672" s="1095"/>
      <c r="L6672" s="1095"/>
      <c r="M6672" s="1095"/>
    </row>
    <row r="6673" spans="1:13" x14ac:dyDescent="0.25">
      <c r="A6673" t="s">
        <v>14191</v>
      </c>
      <c r="B6673" t="s">
        <v>14192</v>
      </c>
      <c r="C6673" t="s">
        <v>2595</v>
      </c>
      <c r="D6673" s="254">
        <v>236.66</v>
      </c>
      <c r="E6673"/>
      <c r="F6673"/>
      <c r="G6673"/>
      <c r="H6673"/>
      <c r="I6673" s="489"/>
      <c r="J6673" s="1095"/>
      <c r="K6673" s="1095"/>
      <c r="L6673" s="1095"/>
      <c r="M6673" s="1095"/>
    </row>
    <row r="6674" spans="1:13" x14ac:dyDescent="0.25">
      <c r="A6674" t="s">
        <v>14193</v>
      </c>
      <c r="B6674" t="s">
        <v>14194</v>
      </c>
      <c r="C6674" t="s">
        <v>14195</v>
      </c>
      <c r="D6674" s="254">
        <v>0.69</v>
      </c>
      <c r="E6674"/>
      <c r="F6674"/>
      <c r="G6674"/>
      <c r="H6674"/>
      <c r="I6674" s="489"/>
      <c r="J6674" s="1095"/>
      <c r="K6674" s="1095"/>
      <c r="L6674" s="1095"/>
      <c r="M6674" s="1095"/>
    </row>
    <row r="6675" spans="1:13" x14ac:dyDescent="0.25">
      <c r="A6675" t="s">
        <v>14196</v>
      </c>
      <c r="B6675" t="s">
        <v>14197</v>
      </c>
      <c r="C6675" t="s">
        <v>2598</v>
      </c>
      <c r="D6675" s="254">
        <v>12.07</v>
      </c>
      <c r="E6675"/>
      <c r="F6675"/>
      <c r="G6675"/>
      <c r="H6675"/>
      <c r="I6675" s="489"/>
      <c r="J6675" s="1095"/>
      <c r="K6675" s="1095"/>
      <c r="L6675" s="1095"/>
      <c r="M6675" s="1095"/>
    </row>
    <row r="6676" spans="1:13" x14ac:dyDescent="0.25">
      <c r="A6676" t="s">
        <v>14198</v>
      </c>
      <c r="B6676" t="s">
        <v>14199</v>
      </c>
      <c r="C6676" t="s">
        <v>2596</v>
      </c>
      <c r="D6676" s="254">
        <v>37.130000000000003</v>
      </c>
      <c r="E6676"/>
      <c r="F6676"/>
      <c r="G6676"/>
      <c r="H6676"/>
      <c r="I6676" s="489"/>
      <c r="J6676" s="1095"/>
      <c r="K6676" s="1095"/>
      <c r="L6676" s="1095"/>
      <c r="M6676" s="1095"/>
    </row>
    <row r="6677" spans="1:13" x14ac:dyDescent="0.25">
      <c r="A6677" t="s">
        <v>14200</v>
      </c>
      <c r="B6677" t="s">
        <v>14201</v>
      </c>
      <c r="C6677" t="s">
        <v>13878</v>
      </c>
      <c r="D6677" s="254">
        <v>61.87</v>
      </c>
      <c r="E6677"/>
      <c r="F6677"/>
      <c r="G6677"/>
      <c r="H6677"/>
      <c r="I6677" s="489"/>
      <c r="J6677" s="1095"/>
      <c r="K6677" s="1095"/>
      <c r="L6677" s="1095"/>
      <c r="M6677" s="1095"/>
    </row>
    <row r="6678" spans="1:13" x14ac:dyDescent="0.25">
      <c r="A6678" t="s">
        <v>14202</v>
      </c>
      <c r="B6678" t="s">
        <v>14203</v>
      </c>
      <c r="C6678" t="s">
        <v>13878</v>
      </c>
      <c r="D6678" s="254">
        <v>23.6</v>
      </c>
      <c r="E6678"/>
      <c r="F6678"/>
      <c r="G6678"/>
      <c r="H6678"/>
      <c r="I6678" s="489"/>
      <c r="J6678" s="1095"/>
      <c r="K6678" s="1095"/>
      <c r="L6678" s="1095"/>
      <c r="M6678" s="1095"/>
    </row>
    <row r="6679" spans="1:13" x14ac:dyDescent="0.25">
      <c r="A6679" t="s">
        <v>14204</v>
      </c>
      <c r="B6679" t="s">
        <v>14205</v>
      </c>
      <c r="C6679" t="s">
        <v>2598</v>
      </c>
      <c r="D6679" s="254">
        <v>4.01</v>
      </c>
      <c r="E6679"/>
      <c r="F6679"/>
      <c r="G6679"/>
      <c r="H6679"/>
      <c r="I6679" s="489"/>
      <c r="J6679" s="1095"/>
      <c r="K6679" s="1095"/>
      <c r="L6679" s="1095"/>
      <c r="M6679" s="1095"/>
    </row>
    <row r="6680" spans="1:13" x14ac:dyDescent="0.25">
      <c r="A6680" t="s">
        <v>14206</v>
      </c>
      <c r="B6680" t="s">
        <v>14207</v>
      </c>
      <c r="C6680" t="s">
        <v>2640</v>
      </c>
      <c r="D6680" s="254">
        <v>29479.58</v>
      </c>
      <c r="E6680"/>
      <c r="F6680"/>
      <c r="G6680"/>
      <c r="H6680"/>
      <c r="I6680" s="489"/>
      <c r="J6680" s="1095"/>
      <c r="K6680" s="1095"/>
      <c r="L6680" s="1095"/>
      <c r="M6680" s="1095"/>
    </row>
    <row r="6681" spans="1:13" x14ac:dyDescent="0.25">
      <c r="A6681" t="s">
        <v>14208</v>
      </c>
      <c r="B6681" t="s">
        <v>14209</v>
      </c>
      <c r="C6681" t="s">
        <v>2640</v>
      </c>
      <c r="D6681" s="254">
        <v>21547.38</v>
      </c>
      <c r="E6681"/>
      <c r="F6681"/>
      <c r="G6681"/>
      <c r="H6681"/>
      <c r="I6681" s="489"/>
      <c r="J6681" s="1095"/>
      <c r="K6681" s="1095"/>
      <c r="L6681" s="1095"/>
      <c r="M6681" s="1095"/>
    </row>
    <row r="6682" spans="1:13" x14ac:dyDescent="0.25">
      <c r="A6682" t="s">
        <v>14210</v>
      </c>
      <c r="B6682" t="s">
        <v>14211</v>
      </c>
      <c r="C6682" t="s">
        <v>2598</v>
      </c>
      <c r="D6682" s="254">
        <v>134.62</v>
      </c>
      <c r="E6682"/>
      <c r="F6682"/>
      <c r="G6682"/>
      <c r="H6682"/>
      <c r="I6682" s="489"/>
      <c r="J6682" s="1095"/>
      <c r="K6682" s="1095"/>
      <c r="L6682" s="1095"/>
      <c r="M6682" s="1095"/>
    </row>
    <row r="6683" spans="1:13" x14ac:dyDescent="0.25">
      <c r="A6683" t="s">
        <v>14212</v>
      </c>
      <c r="B6683" t="s">
        <v>14213</v>
      </c>
      <c r="C6683" t="s">
        <v>2640</v>
      </c>
      <c r="D6683" s="254">
        <v>3650</v>
      </c>
      <c r="E6683"/>
      <c r="F6683"/>
      <c r="G6683"/>
      <c r="H6683"/>
      <c r="I6683" s="489"/>
      <c r="J6683" s="1095"/>
      <c r="K6683" s="1095"/>
      <c r="L6683" s="1095"/>
      <c r="M6683" s="1095"/>
    </row>
    <row r="6684" spans="1:13" x14ac:dyDescent="0.25">
      <c r="A6684" t="s">
        <v>14214</v>
      </c>
      <c r="B6684" t="s">
        <v>14215</v>
      </c>
      <c r="C6684" t="s">
        <v>2640</v>
      </c>
      <c r="D6684" s="254">
        <v>2745</v>
      </c>
      <c r="E6684"/>
      <c r="F6684"/>
      <c r="G6684"/>
      <c r="H6684"/>
      <c r="I6684" s="489"/>
      <c r="J6684" s="1095"/>
      <c r="K6684" s="1095"/>
      <c r="L6684" s="1095"/>
      <c r="M6684" s="1095"/>
    </row>
    <row r="6685" spans="1:13" x14ac:dyDescent="0.25">
      <c r="A6685" t="s">
        <v>14216</v>
      </c>
      <c r="B6685" t="s">
        <v>14217</v>
      </c>
      <c r="C6685" t="s">
        <v>2598</v>
      </c>
      <c r="D6685" s="254">
        <v>34.31</v>
      </c>
      <c r="E6685"/>
      <c r="F6685"/>
      <c r="G6685"/>
      <c r="H6685"/>
      <c r="I6685" s="489"/>
      <c r="J6685" s="1095"/>
      <c r="K6685" s="1095"/>
      <c r="L6685" s="1095"/>
      <c r="M6685" s="1095"/>
    </row>
    <row r="6686" spans="1:13" x14ac:dyDescent="0.25">
      <c r="A6686" t="s">
        <v>14218</v>
      </c>
      <c r="B6686" t="s">
        <v>14219</v>
      </c>
      <c r="C6686" t="s">
        <v>2598</v>
      </c>
      <c r="D6686" s="254">
        <v>14.03</v>
      </c>
      <c r="E6686"/>
      <c r="F6686"/>
      <c r="G6686"/>
      <c r="H6686"/>
      <c r="I6686" s="489"/>
      <c r="J6686" s="1095"/>
      <c r="K6686" s="1095"/>
      <c r="L6686" s="1095"/>
      <c r="M6686" s="1095"/>
    </row>
    <row r="6687" spans="1:13" x14ac:dyDescent="0.25">
      <c r="A6687" t="s">
        <v>5679</v>
      </c>
      <c r="B6687" t="s">
        <v>5680</v>
      </c>
      <c r="C6687" t="s">
        <v>2598</v>
      </c>
      <c r="D6687" s="254">
        <v>8.34</v>
      </c>
      <c r="E6687"/>
      <c r="F6687"/>
      <c r="G6687"/>
      <c r="H6687"/>
      <c r="I6687" s="489"/>
      <c r="J6687" s="1095"/>
      <c r="K6687" s="1095"/>
      <c r="L6687" s="1095"/>
      <c r="M6687" s="1095"/>
    </row>
    <row r="6688" spans="1:13" x14ac:dyDescent="0.25">
      <c r="A6688" t="s">
        <v>14220</v>
      </c>
      <c r="B6688" t="s">
        <v>14221</v>
      </c>
      <c r="C6688" t="s">
        <v>2598</v>
      </c>
      <c r="D6688" s="254">
        <v>11.67</v>
      </c>
      <c r="E6688"/>
      <c r="F6688"/>
      <c r="G6688"/>
      <c r="H6688"/>
      <c r="I6688" s="489"/>
      <c r="J6688" s="1095"/>
      <c r="K6688" s="1095"/>
      <c r="L6688" s="1095"/>
      <c r="M6688" s="1095"/>
    </row>
    <row r="6689" spans="1:13" x14ac:dyDescent="0.25">
      <c r="A6689" t="s">
        <v>14222</v>
      </c>
      <c r="B6689" t="s">
        <v>14223</v>
      </c>
      <c r="C6689" t="s">
        <v>2598</v>
      </c>
      <c r="D6689" s="254">
        <v>5.25</v>
      </c>
      <c r="E6689"/>
      <c r="F6689"/>
      <c r="G6689"/>
      <c r="H6689"/>
      <c r="I6689" s="489"/>
      <c r="J6689" s="1095"/>
      <c r="K6689" s="1095"/>
      <c r="L6689" s="1095"/>
      <c r="M6689" s="1095"/>
    </row>
    <row r="6690" spans="1:13" x14ac:dyDescent="0.25">
      <c r="A6690" t="s">
        <v>6419</v>
      </c>
      <c r="B6690" t="s">
        <v>6420</v>
      </c>
      <c r="C6690" t="s">
        <v>2598</v>
      </c>
      <c r="D6690" s="254">
        <v>3.49</v>
      </c>
      <c r="E6690"/>
      <c r="F6690"/>
      <c r="G6690"/>
      <c r="H6690"/>
      <c r="I6690" s="489"/>
      <c r="J6690" s="1095"/>
      <c r="K6690" s="1095"/>
      <c r="L6690" s="1095"/>
      <c r="M6690" s="1095"/>
    </row>
    <row r="6691" spans="1:13" x14ac:dyDescent="0.25">
      <c r="A6691" t="s">
        <v>14224</v>
      </c>
      <c r="B6691" t="s">
        <v>14225</v>
      </c>
      <c r="C6691" t="s">
        <v>2598</v>
      </c>
      <c r="D6691" s="254">
        <v>5.23</v>
      </c>
      <c r="E6691"/>
      <c r="F6691"/>
      <c r="G6691"/>
      <c r="H6691"/>
      <c r="I6691" s="489"/>
      <c r="J6691" s="1095"/>
      <c r="K6691" s="1095"/>
      <c r="L6691" s="1095"/>
      <c r="M6691" s="1095"/>
    </row>
    <row r="6692" spans="1:13" x14ac:dyDescent="0.25">
      <c r="A6692" t="s">
        <v>14226</v>
      </c>
      <c r="B6692" t="s">
        <v>14227</v>
      </c>
      <c r="C6692" t="s">
        <v>2598</v>
      </c>
      <c r="D6692" s="254">
        <v>3.14</v>
      </c>
      <c r="E6692"/>
      <c r="F6692"/>
      <c r="G6692"/>
      <c r="H6692"/>
      <c r="I6692" s="489"/>
      <c r="J6692" s="1095"/>
      <c r="K6692" s="1095"/>
      <c r="L6692" s="1095"/>
      <c r="M6692" s="1095"/>
    </row>
    <row r="6693" spans="1:13" x14ac:dyDescent="0.25">
      <c r="A6693" t="s">
        <v>14228</v>
      </c>
      <c r="B6693" t="s">
        <v>14229</v>
      </c>
      <c r="C6693" t="s">
        <v>2640</v>
      </c>
      <c r="D6693" s="254">
        <v>182.83</v>
      </c>
      <c r="E6693"/>
      <c r="F6693"/>
      <c r="G6693"/>
      <c r="H6693"/>
      <c r="I6693" s="489"/>
      <c r="J6693" s="1095"/>
      <c r="K6693" s="1095"/>
      <c r="L6693" s="1095"/>
      <c r="M6693" s="1095"/>
    </row>
    <row r="6694" spans="1:13" x14ac:dyDescent="0.25">
      <c r="A6694" t="s">
        <v>14230</v>
      </c>
      <c r="B6694" t="s">
        <v>14231</v>
      </c>
      <c r="C6694" t="s">
        <v>2640</v>
      </c>
      <c r="D6694" s="254">
        <v>170.67</v>
      </c>
      <c r="E6694"/>
      <c r="F6694"/>
      <c r="G6694"/>
      <c r="H6694"/>
      <c r="I6694" s="489"/>
      <c r="J6694" s="1095"/>
      <c r="K6694" s="1095"/>
      <c r="L6694" s="1095"/>
      <c r="M6694" s="1095"/>
    </row>
    <row r="6695" spans="1:13" x14ac:dyDescent="0.25">
      <c r="A6695" t="s">
        <v>14232</v>
      </c>
      <c r="B6695" t="s">
        <v>14233</v>
      </c>
      <c r="C6695" t="s">
        <v>2716</v>
      </c>
      <c r="D6695" s="254">
        <v>0.46</v>
      </c>
      <c r="E6695"/>
      <c r="F6695"/>
      <c r="G6695"/>
      <c r="H6695"/>
      <c r="I6695" s="489"/>
      <c r="J6695" s="1095"/>
      <c r="K6695" s="1095"/>
      <c r="L6695" s="1095"/>
      <c r="M6695" s="1095"/>
    </row>
    <row r="6696" spans="1:13" x14ac:dyDescent="0.25">
      <c r="A6696" t="s">
        <v>14234</v>
      </c>
      <c r="B6696" t="s">
        <v>14235</v>
      </c>
      <c r="C6696" t="s">
        <v>2716</v>
      </c>
      <c r="D6696" s="254">
        <v>0.53</v>
      </c>
      <c r="E6696"/>
      <c r="F6696"/>
      <c r="G6696"/>
      <c r="H6696"/>
      <c r="I6696" s="489"/>
      <c r="J6696" s="1095"/>
      <c r="K6696" s="1095"/>
      <c r="L6696" s="1095"/>
      <c r="M6696" s="1095"/>
    </row>
    <row r="6697" spans="1:13" x14ac:dyDescent="0.25">
      <c r="A6697" t="s">
        <v>14236</v>
      </c>
      <c r="B6697" t="s">
        <v>14237</v>
      </c>
      <c r="C6697" t="s">
        <v>2640</v>
      </c>
      <c r="D6697" s="254">
        <v>257</v>
      </c>
      <c r="E6697"/>
      <c r="F6697"/>
      <c r="G6697"/>
      <c r="H6697"/>
      <c r="I6697" s="489"/>
      <c r="J6697" s="1095"/>
      <c r="K6697" s="1095"/>
      <c r="L6697" s="1095"/>
      <c r="M6697" s="1095"/>
    </row>
    <row r="6698" spans="1:13" x14ac:dyDescent="0.25">
      <c r="A6698" t="s">
        <v>14238</v>
      </c>
      <c r="B6698" t="s">
        <v>14239</v>
      </c>
      <c r="C6698" t="s">
        <v>2640</v>
      </c>
      <c r="D6698" s="254">
        <v>810.12</v>
      </c>
      <c r="E6698"/>
      <c r="F6698"/>
      <c r="G6698"/>
      <c r="H6698"/>
      <c r="I6698" s="489"/>
      <c r="J6698" s="1095"/>
      <c r="K6698" s="1095"/>
      <c r="L6698" s="1095"/>
      <c r="M6698" s="1095"/>
    </row>
    <row r="6699" spans="1:13" x14ac:dyDescent="0.25">
      <c r="A6699" t="s">
        <v>14240</v>
      </c>
      <c r="B6699" t="s">
        <v>14241</v>
      </c>
      <c r="C6699" t="s">
        <v>2640</v>
      </c>
      <c r="D6699" s="254">
        <v>214.17</v>
      </c>
      <c r="E6699"/>
      <c r="F6699"/>
      <c r="G6699"/>
      <c r="H6699"/>
      <c r="I6699" s="489"/>
      <c r="J6699" s="1095"/>
      <c r="K6699" s="1095"/>
      <c r="L6699" s="1095"/>
      <c r="M6699" s="1095"/>
    </row>
    <row r="6700" spans="1:13" x14ac:dyDescent="0.25">
      <c r="A6700" t="s">
        <v>14242</v>
      </c>
      <c r="B6700" t="s">
        <v>14243</v>
      </c>
      <c r="C6700" t="s">
        <v>2640</v>
      </c>
      <c r="D6700" s="254">
        <v>539.89</v>
      </c>
      <c r="E6700"/>
      <c r="F6700"/>
      <c r="G6700"/>
      <c r="H6700"/>
      <c r="I6700" s="489"/>
      <c r="J6700" s="1095"/>
      <c r="K6700" s="1095"/>
      <c r="L6700" s="1095"/>
      <c r="M6700" s="1095"/>
    </row>
    <row r="6701" spans="1:13" x14ac:dyDescent="0.25">
      <c r="A6701" t="s">
        <v>14244</v>
      </c>
      <c r="B6701" t="s">
        <v>14245</v>
      </c>
      <c r="C6701" t="s">
        <v>2640</v>
      </c>
      <c r="D6701" s="254">
        <v>290</v>
      </c>
      <c r="E6701"/>
      <c r="F6701"/>
      <c r="G6701"/>
      <c r="H6701"/>
      <c r="I6701" s="489"/>
      <c r="J6701" s="1095"/>
      <c r="K6701" s="1095"/>
      <c r="L6701" s="1095"/>
      <c r="M6701" s="1095"/>
    </row>
    <row r="6702" spans="1:13" x14ac:dyDescent="0.25">
      <c r="A6702" t="s">
        <v>14246</v>
      </c>
      <c r="B6702" t="s">
        <v>14247</v>
      </c>
      <c r="C6702" t="s">
        <v>2598</v>
      </c>
      <c r="D6702" s="254">
        <v>227.31</v>
      </c>
      <c r="E6702"/>
      <c r="F6702"/>
      <c r="G6702"/>
      <c r="H6702"/>
      <c r="I6702" s="489"/>
      <c r="J6702" s="1095"/>
      <c r="K6702" s="1095"/>
      <c r="L6702" s="1095"/>
      <c r="M6702" s="1095"/>
    </row>
    <row r="6703" spans="1:13" x14ac:dyDescent="0.25">
      <c r="A6703" t="s">
        <v>14248</v>
      </c>
      <c r="B6703" t="s">
        <v>14249</v>
      </c>
      <c r="C6703" t="s">
        <v>2716</v>
      </c>
      <c r="D6703" s="254">
        <v>9.86</v>
      </c>
      <c r="E6703"/>
      <c r="F6703"/>
      <c r="G6703"/>
      <c r="H6703"/>
      <c r="I6703" s="489"/>
      <c r="J6703" s="1095"/>
      <c r="K6703" s="1095"/>
      <c r="L6703" s="1095"/>
      <c r="M6703" s="1095"/>
    </row>
    <row r="6704" spans="1:13" x14ac:dyDescent="0.25">
      <c r="A6704" t="s">
        <v>14250</v>
      </c>
      <c r="B6704" t="s">
        <v>14251</v>
      </c>
      <c r="C6704" t="s">
        <v>2716</v>
      </c>
      <c r="D6704" s="254">
        <v>9.7100000000000009</v>
      </c>
      <c r="E6704"/>
      <c r="F6704"/>
      <c r="G6704"/>
      <c r="H6704"/>
      <c r="I6704" s="489"/>
      <c r="J6704" s="1095"/>
      <c r="K6704" s="1095"/>
      <c r="L6704" s="1095"/>
      <c r="M6704" s="1095"/>
    </row>
    <row r="6705" spans="1:13" x14ac:dyDescent="0.25">
      <c r="A6705" t="s">
        <v>14252</v>
      </c>
      <c r="B6705" t="s">
        <v>14253</v>
      </c>
      <c r="C6705" t="s">
        <v>2595</v>
      </c>
      <c r="D6705" s="254">
        <v>194.19</v>
      </c>
      <c r="E6705"/>
      <c r="F6705"/>
      <c r="G6705"/>
      <c r="H6705"/>
      <c r="I6705" s="489"/>
      <c r="J6705" s="1095"/>
      <c r="K6705" s="1095"/>
      <c r="L6705" s="1095"/>
      <c r="M6705" s="1095"/>
    </row>
    <row r="6706" spans="1:13" x14ac:dyDescent="0.25">
      <c r="A6706" t="s">
        <v>14254</v>
      </c>
      <c r="B6706" t="s">
        <v>14255</v>
      </c>
      <c r="C6706" t="s">
        <v>2640</v>
      </c>
      <c r="D6706" s="254">
        <v>11.14</v>
      </c>
      <c r="E6706"/>
      <c r="F6706"/>
      <c r="G6706"/>
      <c r="H6706"/>
      <c r="I6706" s="489"/>
      <c r="J6706" s="1095"/>
      <c r="K6706" s="1095"/>
      <c r="L6706" s="1095"/>
      <c r="M6706" s="1095"/>
    </row>
    <row r="6707" spans="1:13" x14ac:dyDescent="0.25">
      <c r="A6707" t="s">
        <v>14256</v>
      </c>
      <c r="B6707" t="s">
        <v>14257</v>
      </c>
      <c r="C6707" t="s">
        <v>2640</v>
      </c>
      <c r="D6707" s="254">
        <v>1.81</v>
      </c>
      <c r="E6707"/>
      <c r="F6707"/>
      <c r="G6707"/>
      <c r="H6707"/>
      <c r="I6707" s="489"/>
      <c r="J6707" s="1095"/>
      <c r="K6707" s="1095"/>
      <c r="L6707" s="1095"/>
      <c r="M6707" s="1095"/>
    </row>
    <row r="6708" spans="1:13" x14ac:dyDescent="0.25">
      <c r="A6708" t="s">
        <v>14258</v>
      </c>
      <c r="B6708" t="s">
        <v>14259</v>
      </c>
      <c r="C6708" t="s">
        <v>2640</v>
      </c>
      <c r="D6708" s="254">
        <v>32.85</v>
      </c>
      <c r="E6708"/>
      <c r="F6708"/>
      <c r="G6708"/>
      <c r="H6708"/>
      <c r="I6708" s="489"/>
      <c r="J6708" s="1095"/>
      <c r="K6708" s="1095"/>
      <c r="L6708" s="1095"/>
      <c r="M6708" s="1095"/>
    </row>
    <row r="6709" spans="1:13" x14ac:dyDescent="0.25">
      <c r="A6709" t="s">
        <v>14260</v>
      </c>
      <c r="B6709" t="s">
        <v>14261</v>
      </c>
      <c r="C6709" t="s">
        <v>2640</v>
      </c>
      <c r="D6709" s="254">
        <v>4.8099999999999996</v>
      </c>
      <c r="E6709"/>
      <c r="F6709"/>
      <c r="G6709"/>
      <c r="H6709"/>
      <c r="I6709" s="489"/>
      <c r="J6709" s="1095"/>
      <c r="K6709" s="1095"/>
      <c r="L6709" s="1095"/>
      <c r="M6709" s="1095"/>
    </row>
    <row r="6710" spans="1:13" x14ac:dyDescent="0.25">
      <c r="A6710" t="s">
        <v>14262</v>
      </c>
      <c r="B6710" t="s">
        <v>14263</v>
      </c>
      <c r="C6710" t="s">
        <v>2640</v>
      </c>
      <c r="D6710" s="254">
        <v>17.27</v>
      </c>
      <c r="E6710"/>
      <c r="F6710"/>
      <c r="G6710"/>
      <c r="H6710"/>
      <c r="I6710" s="489"/>
      <c r="J6710" s="1095"/>
      <c r="K6710" s="1095"/>
      <c r="L6710" s="1095"/>
      <c r="M6710" s="1095"/>
    </row>
    <row r="6711" spans="1:13" x14ac:dyDescent="0.25">
      <c r="A6711" t="s">
        <v>14264</v>
      </c>
      <c r="B6711" t="s">
        <v>14265</v>
      </c>
      <c r="C6711" t="s">
        <v>2640</v>
      </c>
      <c r="D6711" s="254">
        <v>47.75</v>
      </c>
      <c r="E6711"/>
      <c r="F6711"/>
      <c r="G6711"/>
      <c r="H6711"/>
      <c r="I6711" s="489"/>
      <c r="J6711" s="1095"/>
      <c r="K6711" s="1095"/>
      <c r="L6711" s="1095"/>
      <c r="M6711" s="1095"/>
    </row>
    <row r="6712" spans="1:13" x14ac:dyDescent="0.25">
      <c r="A6712" t="s">
        <v>14266</v>
      </c>
      <c r="B6712" t="s">
        <v>14267</v>
      </c>
      <c r="C6712" t="s">
        <v>2716</v>
      </c>
      <c r="D6712" s="254">
        <v>9.56</v>
      </c>
      <c r="E6712"/>
      <c r="F6712"/>
      <c r="G6712"/>
      <c r="H6712"/>
      <c r="I6712" s="489"/>
      <c r="J6712" s="1095"/>
      <c r="K6712" s="1095"/>
      <c r="L6712" s="1095"/>
      <c r="M6712" s="1095"/>
    </row>
    <row r="6713" spans="1:13" x14ac:dyDescent="0.25">
      <c r="A6713" t="s">
        <v>14268</v>
      </c>
      <c r="B6713" t="s">
        <v>14269</v>
      </c>
      <c r="C6713" t="s">
        <v>2716</v>
      </c>
      <c r="D6713" s="254">
        <v>0.6</v>
      </c>
      <c r="E6713"/>
      <c r="F6713"/>
      <c r="G6713"/>
      <c r="H6713"/>
      <c r="I6713" s="489"/>
      <c r="J6713" s="1095"/>
      <c r="K6713" s="1095"/>
      <c r="L6713" s="1095"/>
      <c r="M6713" s="1095"/>
    </row>
    <row r="6714" spans="1:13" x14ac:dyDescent="0.25">
      <c r="A6714" t="s">
        <v>14270</v>
      </c>
      <c r="B6714" t="s">
        <v>14271</v>
      </c>
      <c r="C6714" t="s">
        <v>2716</v>
      </c>
      <c r="D6714" s="254">
        <v>12.52</v>
      </c>
      <c r="E6714"/>
      <c r="F6714"/>
      <c r="G6714"/>
      <c r="H6714"/>
      <c r="I6714" s="489"/>
      <c r="J6714" s="1095"/>
      <c r="K6714" s="1095"/>
      <c r="L6714" s="1095"/>
      <c r="M6714" s="1095"/>
    </row>
    <row r="6715" spans="1:13" x14ac:dyDescent="0.25">
      <c r="A6715" t="s">
        <v>14272</v>
      </c>
      <c r="B6715" t="s">
        <v>14273</v>
      </c>
      <c r="C6715" t="s">
        <v>2716</v>
      </c>
      <c r="D6715" s="254">
        <v>13</v>
      </c>
      <c r="E6715"/>
      <c r="F6715"/>
      <c r="G6715"/>
      <c r="H6715"/>
      <c r="I6715" s="489"/>
      <c r="J6715" s="1095"/>
      <c r="K6715" s="1095"/>
      <c r="L6715" s="1095"/>
      <c r="M6715" s="1095"/>
    </row>
    <row r="6716" spans="1:13" x14ac:dyDescent="0.25">
      <c r="A6716" t="s">
        <v>14274</v>
      </c>
      <c r="B6716" t="s">
        <v>14275</v>
      </c>
      <c r="C6716" t="s">
        <v>2598</v>
      </c>
      <c r="D6716" s="254">
        <v>16.38</v>
      </c>
      <c r="E6716"/>
      <c r="F6716"/>
      <c r="G6716"/>
      <c r="H6716"/>
      <c r="I6716" s="489"/>
      <c r="J6716" s="1095"/>
      <c r="K6716" s="1095"/>
      <c r="L6716" s="1095"/>
      <c r="M6716" s="1095"/>
    </row>
    <row r="6717" spans="1:13" x14ac:dyDescent="0.25">
      <c r="A6717" t="s">
        <v>14276</v>
      </c>
      <c r="B6717" t="s">
        <v>14277</v>
      </c>
      <c r="C6717" t="s">
        <v>2598</v>
      </c>
      <c r="D6717" s="254">
        <v>246.58</v>
      </c>
      <c r="E6717"/>
      <c r="F6717"/>
      <c r="G6717"/>
      <c r="H6717"/>
      <c r="I6717" s="489"/>
      <c r="J6717" s="1095"/>
      <c r="K6717" s="1095"/>
      <c r="L6717" s="1095"/>
      <c r="M6717" s="1095"/>
    </row>
    <row r="6718" spans="1:13" x14ac:dyDescent="0.25">
      <c r="A6718" t="s">
        <v>14278</v>
      </c>
      <c r="B6718" t="s">
        <v>14279</v>
      </c>
      <c r="C6718" t="s">
        <v>2595</v>
      </c>
      <c r="D6718" s="254">
        <v>38.25</v>
      </c>
      <c r="E6718"/>
      <c r="F6718"/>
      <c r="G6718"/>
      <c r="H6718"/>
      <c r="I6718" s="489"/>
      <c r="J6718" s="1095"/>
      <c r="K6718" s="1095"/>
      <c r="L6718" s="1095"/>
      <c r="M6718" s="1095"/>
    </row>
    <row r="6719" spans="1:13" x14ac:dyDescent="0.25">
      <c r="A6719" t="s">
        <v>14280</v>
      </c>
      <c r="B6719" t="s">
        <v>14281</v>
      </c>
      <c r="C6719" t="s">
        <v>2595</v>
      </c>
      <c r="D6719" s="254">
        <v>50.1</v>
      </c>
      <c r="E6719"/>
      <c r="F6719"/>
      <c r="G6719"/>
      <c r="H6719"/>
      <c r="I6719" s="489"/>
      <c r="J6719" s="1095"/>
      <c r="K6719" s="1095"/>
      <c r="L6719" s="1095"/>
      <c r="M6719" s="1095"/>
    </row>
    <row r="6720" spans="1:13" x14ac:dyDescent="0.25">
      <c r="A6720" t="s">
        <v>14282</v>
      </c>
      <c r="B6720" t="s">
        <v>14283</v>
      </c>
      <c r="C6720" t="s">
        <v>2640</v>
      </c>
      <c r="D6720" s="254">
        <v>20.13</v>
      </c>
      <c r="E6720"/>
      <c r="F6720"/>
      <c r="G6720"/>
      <c r="H6720"/>
      <c r="I6720" s="489"/>
      <c r="J6720" s="1095"/>
      <c r="K6720" s="1095"/>
      <c r="L6720" s="1095"/>
      <c r="M6720" s="1095"/>
    </row>
    <row r="6721" spans="1:13" x14ac:dyDescent="0.25">
      <c r="A6721" t="s">
        <v>14284</v>
      </c>
      <c r="B6721" t="s">
        <v>14285</v>
      </c>
      <c r="C6721" t="s">
        <v>2640</v>
      </c>
      <c r="D6721" s="254">
        <v>29.73</v>
      </c>
      <c r="E6721"/>
      <c r="F6721"/>
      <c r="G6721"/>
      <c r="H6721"/>
      <c r="I6721" s="489"/>
      <c r="J6721" s="1095"/>
      <c r="K6721" s="1095"/>
      <c r="L6721" s="1095"/>
      <c r="M6721" s="1095"/>
    </row>
    <row r="6722" spans="1:13" x14ac:dyDescent="0.25">
      <c r="A6722" t="s">
        <v>14286</v>
      </c>
      <c r="B6722" t="s">
        <v>14287</v>
      </c>
      <c r="C6722" t="s">
        <v>2595</v>
      </c>
      <c r="D6722" s="254">
        <v>28.35</v>
      </c>
      <c r="E6722"/>
      <c r="F6722"/>
      <c r="G6722"/>
      <c r="H6722"/>
      <c r="I6722" s="489"/>
      <c r="J6722" s="1095"/>
      <c r="K6722" s="1095"/>
      <c r="L6722" s="1095"/>
      <c r="M6722" s="1095"/>
    </row>
    <row r="6723" spans="1:13" x14ac:dyDescent="0.25">
      <c r="A6723" t="s">
        <v>14288</v>
      </c>
      <c r="B6723" t="s">
        <v>14289</v>
      </c>
      <c r="C6723" t="s">
        <v>2595</v>
      </c>
      <c r="D6723" s="254">
        <v>33.74</v>
      </c>
      <c r="E6723"/>
      <c r="F6723"/>
      <c r="G6723"/>
      <c r="H6723"/>
      <c r="I6723" s="489"/>
      <c r="J6723" s="1095"/>
      <c r="K6723" s="1095"/>
      <c r="L6723" s="1095"/>
      <c r="M6723" s="1095"/>
    </row>
    <row r="6724" spans="1:13" x14ac:dyDescent="0.25">
      <c r="A6724" t="s">
        <v>14290</v>
      </c>
      <c r="B6724" t="s">
        <v>14291</v>
      </c>
      <c r="C6724" t="s">
        <v>2595</v>
      </c>
      <c r="D6724" s="254">
        <v>39.36</v>
      </c>
      <c r="E6724"/>
      <c r="F6724"/>
      <c r="G6724"/>
      <c r="H6724"/>
      <c r="I6724" s="489"/>
      <c r="J6724" s="1095"/>
      <c r="K6724" s="1095"/>
      <c r="L6724" s="1095"/>
      <c r="M6724" s="1095"/>
    </row>
    <row r="6725" spans="1:13" x14ac:dyDescent="0.25">
      <c r="A6725" t="s">
        <v>14292</v>
      </c>
      <c r="B6725" t="s">
        <v>14293</v>
      </c>
      <c r="C6725" t="s">
        <v>2595</v>
      </c>
      <c r="D6725" s="254">
        <v>32.299999999999997</v>
      </c>
      <c r="E6725"/>
      <c r="F6725"/>
      <c r="G6725"/>
      <c r="H6725"/>
      <c r="I6725" s="489"/>
      <c r="J6725" s="1095"/>
      <c r="K6725" s="1095"/>
      <c r="L6725" s="1095"/>
      <c r="M6725" s="1095"/>
    </row>
    <row r="6726" spans="1:13" x14ac:dyDescent="0.25">
      <c r="A6726" t="s">
        <v>14294</v>
      </c>
      <c r="B6726" t="s">
        <v>14295</v>
      </c>
      <c r="C6726" t="s">
        <v>2596</v>
      </c>
      <c r="D6726" s="254" t="s">
        <v>0</v>
      </c>
      <c r="E6726"/>
      <c r="F6726"/>
      <c r="G6726"/>
      <c r="H6726"/>
      <c r="I6726" s="489"/>
      <c r="J6726" s="1095"/>
      <c r="K6726" s="1095"/>
      <c r="L6726" s="1095"/>
      <c r="M6726" s="1095"/>
    </row>
    <row r="6727" spans="1:13" x14ac:dyDescent="0.25">
      <c r="A6727" t="s">
        <v>14296</v>
      </c>
      <c r="B6727" t="s">
        <v>14297</v>
      </c>
      <c r="C6727" t="s">
        <v>2596</v>
      </c>
      <c r="D6727" s="254" t="s">
        <v>0</v>
      </c>
      <c r="E6727"/>
      <c r="F6727"/>
      <c r="G6727"/>
      <c r="H6727"/>
      <c r="I6727" s="489"/>
      <c r="J6727" s="1095"/>
      <c r="K6727" s="1095"/>
      <c r="L6727" s="1095"/>
      <c r="M6727" s="1095"/>
    </row>
    <row r="6728" spans="1:13" x14ac:dyDescent="0.25">
      <c r="A6728" t="s">
        <v>14298</v>
      </c>
      <c r="B6728" t="s">
        <v>14299</v>
      </c>
      <c r="C6728" t="s">
        <v>2596</v>
      </c>
      <c r="D6728" s="254" t="s">
        <v>0</v>
      </c>
      <c r="E6728"/>
      <c r="F6728"/>
      <c r="G6728"/>
      <c r="H6728"/>
      <c r="I6728" s="489"/>
      <c r="J6728" s="1095"/>
      <c r="K6728" s="1095"/>
      <c r="L6728" s="1095"/>
      <c r="M6728" s="1095"/>
    </row>
    <row r="6729" spans="1:13" x14ac:dyDescent="0.25">
      <c r="A6729" t="s">
        <v>14300</v>
      </c>
      <c r="B6729" t="s">
        <v>14301</v>
      </c>
      <c r="C6729" t="s">
        <v>2596</v>
      </c>
      <c r="D6729" s="254" t="s">
        <v>0</v>
      </c>
      <c r="E6729"/>
      <c r="F6729"/>
      <c r="G6729"/>
      <c r="H6729"/>
      <c r="I6729" s="489"/>
      <c r="J6729" s="1095"/>
      <c r="K6729" s="1095"/>
      <c r="L6729" s="1095"/>
      <c r="M6729" s="1095"/>
    </row>
    <row r="6730" spans="1:13" x14ac:dyDescent="0.25">
      <c r="A6730" t="s">
        <v>14302</v>
      </c>
      <c r="B6730" t="s">
        <v>14303</v>
      </c>
      <c r="C6730" t="s">
        <v>2595</v>
      </c>
      <c r="D6730" s="254">
        <v>57.4</v>
      </c>
      <c r="E6730"/>
      <c r="F6730"/>
      <c r="G6730"/>
      <c r="H6730"/>
      <c r="I6730" s="489"/>
      <c r="J6730" s="1095"/>
      <c r="K6730" s="1095"/>
      <c r="L6730" s="1095"/>
      <c r="M6730" s="1095"/>
    </row>
    <row r="6731" spans="1:13" x14ac:dyDescent="0.25">
      <c r="A6731" t="s">
        <v>14304</v>
      </c>
      <c r="B6731" t="s">
        <v>14305</v>
      </c>
      <c r="C6731" t="s">
        <v>2640</v>
      </c>
      <c r="D6731" s="254">
        <v>44.61</v>
      </c>
      <c r="E6731"/>
      <c r="F6731"/>
      <c r="G6731"/>
      <c r="H6731"/>
      <c r="I6731" s="489"/>
      <c r="J6731" s="1095"/>
      <c r="K6731" s="1095"/>
      <c r="L6731" s="1095"/>
      <c r="M6731" s="1095"/>
    </row>
    <row r="6732" spans="1:13" x14ac:dyDescent="0.25">
      <c r="A6732" t="s">
        <v>14306</v>
      </c>
      <c r="B6732" t="s">
        <v>14307</v>
      </c>
      <c r="C6732" t="s">
        <v>2640</v>
      </c>
      <c r="D6732" s="254">
        <v>76.52</v>
      </c>
      <c r="E6732"/>
      <c r="F6732"/>
      <c r="G6732"/>
      <c r="H6732"/>
      <c r="I6732" s="489"/>
      <c r="J6732" s="1095"/>
      <c r="K6732" s="1095"/>
      <c r="L6732" s="1095"/>
      <c r="M6732" s="1095"/>
    </row>
    <row r="6733" spans="1:13" x14ac:dyDescent="0.25">
      <c r="A6733" t="s">
        <v>14308</v>
      </c>
      <c r="B6733" t="s">
        <v>14309</v>
      </c>
      <c r="C6733" t="s">
        <v>2640</v>
      </c>
      <c r="D6733" s="254">
        <v>162.38999999999999</v>
      </c>
      <c r="E6733"/>
      <c r="F6733"/>
      <c r="G6733"/>
      <c r="H6733"/>
      <c r="I6733" s="489"/>
      <c r="J6733" s="1095"/>
      <c r="K6733" s="1095"/>
      <c r="L6733" s="1095"/>
      <c r="M6733" s="1095"/>
    </row>
    <row r="6734" spans="1:13" x14ac:dyDescent="0.25">
      <c r="A6734" t="s">
        <v>14310</v>
      </c>
      <c r="B6734" t="s">
        <v>14311</v>
      </c>
      <c r="C6734" t="s">
        <v>2640</v>
      </c>
      <c r="D6734" s="254">
        <v>19.32</v>
      </c>
      <c r="E6734"/>
      <c r="F6734"/>
      <c r="G6734"/>
      <c r="H6734"/>
      <c r="I6734" s="489"/>
      <c r="J6734" s="1095"/>
      <c r="K6734" s="1095"/>
      <c r="L6734" s="1095"/>
      <c r="M6734" s="1095"/>
    </row>
    <row r="6735" spans="1:13" x14ac:dyDescent="0.25">
      <c r="A6735" t="s">
        <v>14312</v>
      </c>
      <c r="B6735" t="s">
        <v>14313</v>
      </c>
      <c r="C6735" t="s">
        <v>2640</v>
      </c>
      <c r="D6735" s="254">
        <v>28.76</v>
      </c>
      <c r="E6735"/>
      <c r="F6735"/>
      <c r="G6735"/>
      <c r="H6735"/>
      <c r="I6735" s="489"/>
      <c r="J6735" s="1095"/>
      <c r="K6735" s="1095"/>
      <c r="L6735" s="1095"/>
      <c r="M6735" s="1095"/>
    </row>
    <row r="6736" spans="1:13" x14ac:dyDescent="0.25">
      <c r="A6736" t="s">
        <v>14314</v>
      </c>
      <c r="B6736" t="s">
        <v>14315</v>
      </c>
      <c r="C6736" t="s">
        <v>2640</v>
      </c>
      <c r="D6736" s="254">
        <v>39.229999999999997</v>
      </c>
      <c r="E6736"/>
      <c r="F6736"/>
      <c r="G6736"/>
      <c r="H6736"/>
      <c r="I6736" s="489"/>
      <c r="J6736" s="1095"/>
      <c r="K6736" s="1095"/>
      <c r="L6736" s="1095"/>
      <c r="M6736" s="1095"/>
    </row>
    <row r="6737" spans="1:13" x14ac:dyDescent="0.25">
      <c r="A6737" t="s">
        <v>14316</v>
      </c>
      <c r="B6737" t="s">
        <v>14317</v>
      </c>
      <c r="C6737" t="s">
        <v>2640</v>
      </c>
      <c r="D6737" s="254">
        <v>59.06</v>
      </c>
      <c r="E6737"/>
      <c r="F6737"/>
      <c r="G6737"/>
      <c r="H6737"/>
      <c r="I6737" s="489"/>
      <c r="J6737" s="1095"/>
      <c r="K6737" s="1095"/>
      <c r="L6737" s="1095"/>
      <c r="M6737" s="1095"/>
    </row>
    <row r="6738" spans="1:13" x14ac:dyDescent="0.25">
      <c r="A6738" t="s">
        <v>14318</v>
      </c>
      <c r="B6738" t="s">
        <v>14319</v>
      </c>
      <c r="C6738" t="s">
        <v>2640</v>
      </c>
      <c r="D6738" s="254">
        <v>90.8</v>
      </c>
      <c r="E6738"/>
      <c r="F6738"/>
      <c r="G6738"/>
      <c r="H6738"/>
      <c r="I6738" s="489"/>
      <c r="J6738" s="1095"/>
      <c r="K6738" s="1095"/>
      <c r="L6738" s="1095"/>
      <c r="M6738" s="1095"/>
    </row>
    <row r="6739" spans="1:13" x14ac:dyDescent="0.25">
      <c r="A6739" t="s">
        <v>14320</v>
      </c>
      <c r="B6739" t="s">
        <v>14321</v>
      </c>
      <c r="C6739" t="s">
        <v>2640</v>
      </c>
      <c r="D6739" s="254">
        <v>5.19</v>
      </c>
      <c r="E6739"/>
      <c r="F6739"/>
      <c r="G6739"/>
      <c r="H6739"/>
      <c r="I6739" s="489"/>
      <c r="J6739" s="1095"/>
      <c r="K6739" s="1095"/>
      <c r="L6739" s="1095"/>
      <c r="M6739" s="1095"/>
    </row>
    <row r="6740" spans="1:13" x14ac:dyDescent="0.25">
      <c r="A6740" t="s">
        <v>14322</v>
      </c>
      <c r="B6740" t="s">
        <v>14323</v>
      </c>
      <c r="C6740" t="s">
        <v>2640</v>
      </c>
      <c r="D6740" s="254">
        <v>8.1300000000000008</v>
      </c>
      <c r="E6740"/>
      <c r="F6740"/>
      <c r="G6740"/>
      <c r="H6740"/>
      <c r="I6740" s="489"/>
      <c r="J6740" s="1095"/>
      <c r="K6740" s="1095"/>
      <c r="L6740" s="1095"/>
      <c r="M6740" s="1095"/>
    </row>
    <row r="6741" spans="1:13" x14ac:dyDescent="0.25">
      <c r="A6741" t="s">
        <v>14324</v>
      </c>
      <c r="B6741" t="s">
        <v>14325</v>
      </c>
      <c r="C6741" t="s">
        <v>2716</v>
      </c>
      <c r="D6741" s="254">
        <v>12.12</v>
      </c>
      <c r="E6741"/>
      <c r="F6741"/>
      <c r="G6741"/>
      <c r="H6741"/>
      <c r="I6741" s="489"/>
      <c r="J6741" s="1095"/>
      <c r="K6741" s="1095"/>
      <c r="L6741" s="1095"/>
      <c r="M6741" s="1095"/>
    </row>
    <row r="6742" spans="1:13" x14ac:dyDescent="0.25">
      <c r="A6742" t="s">
        <v>14326</v>
      </c>
      <c r="B6742" t="s">
        <v>14327</v>
      </c>
      <c r="C6742" t="s">
        <v>2640</v>
      </c>
      <c r="D6742" s="254">
        <v>505.12</v>
      </c>
      <c r="E6742"/>
      <c r="F6742"/>
      <c r="G6742"/>
      <c r="H6742"/>
      <c r="I6742" s="489"/>
      <c r="J6742" s="1095"/>
      <c r="K6742" s="1095"/>
      <c r="L6742" s="1095"/>
      <c r="M6742" s="1095"/>
    </row>
    <row r="6743" spans="1:13" x14ac:dyDescent="0.25">
      <c r="A6743" t="s">
        <v>14328</v>
      </c>
      <c r="B6743" t="s">
        <v>14329</v>
      </c>
      <c r="C6743" t="s">
        <v>2595</v>
      </c>
      <c r="D6743" s="254">
        <v>260.68</v>
      </c>
      <c r="E6743"/>
      <c r="F6743"/>
      <c r="G6743"/>
      <c r="H6743"/>
      <c r="I6743" s="489"/>
      <c r="J6743" s="1095"/>
      <c r="K6743" s="1095"/>
      <c r="L6743" s="1095"/>
      <c r="M6743" s="1095"/>
    </row>
    <row r="6744" spans="1:13" x14ac:dyDescent="0.25">
      <c r="A6744" t="s">
        <v>14330</v>
      </c>
      <c r="B6744" t="s">
        <v>14331</v>
      </c>
      <c r="C6744" t="s">
        <v>2716</v>
      </c>
      <c r="D6744" s="254">
        <v>17.93</v>
      </c>
      <c r="E6744"/>
      <c r="F6744"/>
      <c r="G6744"/>
      <c r="H6744"/>
      <c r="I6744" s="489"/>
      <c r="J6744" s="1095"/>
      <c r="K6744" s="1095"/>
      <c r="L6744" s="1095"/>
      <c r="M6744" s="1095"/>
    </row>
    <row r="6745" spans="1:13" x14ac:dyDescent="0.25">
      <c r="A6745" t="s">
        <v>14332</v>
      </c>
      <c r="B6745" t="s">
        <v>14333</v>
      </c>
      <c r="C6745" t="s">
        <v>2640</v>
      </c>
      <c r="D6745" s="254">
        <v>167.49</v>
      </c>
      <c r="E6745"/>
      <c r="F6745"/>
      <c r="G6745"/>
      <c r="H6745"/>
      <c r="I6745" s="489"/>
      <c r="J6745" s="1095"/>
      <c r="K6745" s="1095"/>
      <c r="L6745" s="1095"/>
      <c r="M6745" s="1095"/>
    </row>
    <row r="6746" spans="1:13" x14ac:dyDescent="0.25">
      <c r="A6746" t="s">
        <v>14334</v>
      </c>
      <c r="B6746" t="s">
        <v>14335</v>
      </c>
      <c r="C6746" t="s">
        <v>2640</v>
      </c>
      <c r="D6746" s="254">
        <v>113.73</v>
      </c>
      <c r="E6746"/>
      <c r="F6746"/>
      <c r="G6746"/>
      <c r="H6746"/>
      <c r="I6746" s="489"/>
      <c r="J6746" s="1095"/>
      <c r="K6746" s="1095"/>
      <c r="L6746" s="1095"/>
      <c r="M6746" s="1095"/>
    </row>
    <row r="6747" spans="1:13" x14ac:dyDescent="0.25">
      <c r="A6747" t="s">
        <v>14336</v>
      </c>
      <c r="B6747" t="s">
        <v>14337</v>
      </c>
      <c r="C6747" t="s">
        <v>2640</v>
      </c>
      <c r="D6747" s="254">
        <v>447.82</v>
      </c>
      <c r="E6747"/>
      <c r="F6747"/>
      <c r="G6747"/>
      <c r="H6747"/>
      <c r="I6747" s="489"/>
      <c r="J6747" s="1095"/>
      <c r="K6747" s="1095"/>
      <c r="L6747" s="1095"/>
      <c r="M6747" s="1095"/>
    </row>
    <row r="6748" spans="1:13" x14ac:dyDescent="0.25">
      <c r="A6748" t="s">
        <v>14338</v>
      </c>
      <c r="B6748" t="s">
        <v>14339</v>
      </c>
      <c r="C6748" t="s">
        <v>2640</v>
      </c>
      <c r="D6748" s="254">
        <v>67.88</v>
      </c>
      <c r="E6748"/>
      <c r="F6748"/>
      <c r="G6748"/>
      <c r="H6748"/>
      <c r="I6748" s="489"/>
      <c r="J6748" s="1095"/>
      <c r="K6748" s="1095"/>
      <c r="L6748" s="1095"/>
      <c r="M6748" s="1095"/>
    </row>
    <row r="6749" spans="1:13" x14ac:dyDescent="0.25">
      <c r="A6749" t="s">
        <v>14340</v>
      </c>
      <c r="B6749" t="s">
        <v>14341</v>
      </c>
      <c r="C6749" t="s">
        <v>2598</v>
      </c>
      <c r="D6749" s="254">
        <v>105.96</v>
      </c>
      <c r="E6749"/>
      <c r="F6749"/>
      <c r="G6749"/>
      <c r="H6749"/>
      <c r="I6749" s="489"/>
      <c r="J6749" s="1095"/>
      <c r="K6749" s="1095"/>
      <c r="L6749" s="1095"/>
      <c r="M6749" s="1095"/>
    </row>
    <row r="6750" spans="1:13" x14ac:dyDescent="0.25">
      <c r="A6750" t="s">
        <v>14342</v>
      </c>
      <c r="B6750" t="s">
        <v>14343</v>
      </c>
      <c r="C6750" t="s">
        <v>2640</v>
      </c>
      <c r="D6750" s="254">
        <v>164.1</v>
      </c>
      <c r="E6750"/>
      <c r="F6750"/>
      <c r="G6750"/>
      <c r="H6750"/>
      <c r="I6750" s="489"/>
      <c r="J6750" s="1095"/>
      <c r="K6750" s="1095"/>
      <c r="L6750" s="1095"/>
      <c r="M6750" s="1095"/>
    </row>
    <row r="6751" spans="1:13" x14ac:dyDescent="0.25">
      <c r="A6751" t="s">
        <v>14344</v>
      </c>
      <c r="B6751" t="s">
        <v>14345</v>
      </c>
      <c r="C6751" t="s">
        <v>2640</v>
      </c>
      <c r="D6751" s="254">
        <v>194.78</v>
      </c>
      <c r="E6751"/>
      <c r="F6751"/>
      <c r="G6751"/>
      <c r="H6751"/>
      <c r="I6751" s="489"/>
      <c r="J6751" s="1095"/>
      <c r="K6751" s="1095"/>
      <c r="L6751" s="1095"/>
      <c r="M6751" s="1095"/>
    </row>
    <row r="6752" spans="1:13" x14ac:dyDescent="0.25">
      <c r="A6752" t="s">
        <v>14346</v>
      </c>
      <c r="B6752" t="s">
        <v>14347</v>
      </c>
      <c r="C6752" t="s">
        <v>2640</v>
      </c>
      <c r="D6752" s="254">
        <v>250.84</v>
      </c>
      <c r="E6752"/>
      <c r="F6752"/>
      <c r="G6752"/>
      <c r="H6752"/>
      <c r="I6752" s="489"/>
      <c r="J6752" s="1095"/>
      <c r="K6752" s="1095"/>
      <c r="L6752" s="1095"/>
      <c r="M6752" s="1095"/>
    </row>
    <row r="6753" spans="1:13" x14ac:dyDescent="0.25">
      <c r="A6753" t="s">
        <v>14348</v>
      </c>
      <c r="B6753" t="s">
        <v>14349</v>
      </c>
      <c r="C6753" t="s">
        <v>2640</v>
      </c>
      <c r="D6753" s="254">
        <v>55.69</v>
      </c>
      <c r="E6753"/>
      <c r="F6753"/>
      <c r="G6753"/>
      <c r="H6753"/>
      <c r="I6753" s="489"/>
      <c r="J6753" s="1095"/>
      <c r="K6753" s="1095"/>
      <c r="L6753" s="1095"/>
      <c r="M6753" s="1095"/>
    </row>
    <row r="6754" spans="1:13" x14ac:dyDescent="0.25">
      <c r="A6754" t="s">
        <v>14350</v>
      </c>
      <c r="B6754" t="s">
        <v>14351</v>
      </c>
      <c r="C6754" t="s">
        <v>2640</v>
      </c>
      <c r="D6754" s="254">
        <v>60.06</v>
      </c>
      <c r="E6754"/>
      <c r="F6754"/>
      <c r="G6754"/>
      <c r="H6754"/>
      <c r="I6754" s="489"/>
      <c r="J6754" s="1095"/>
      <c r="K6754" s="1095"/>
      <c r="L6754" s="1095"/>
      <c r="M6754" s="1095"/>
    </row>
    <row r="6755" spans="1:13" x14ac:dyDescent="0.25">
      <c r="A6755" t="s">
        <v>14352</v>
      </c>
      <c r="B6755" t="s">
        <v>14353</v>
      </c>
      <c r="C6755" t="s">
        <v>2640</v>
      </c>
      <c r="D6755" s="254">
        <v>60.25</v>
      </c>
      <c r="E6755"/>
      <c r="F6755"/>
      <c r="G6755"/>
      <c r="H6755"/>
      <c r="I6755" s="489"/>
      <c r="J6755" s="1095"/>
      <c r="K6755" s="1095"/>
      <c r="L6755" s="1095"/>
      <c r="M6755" s="1095"/>
    </row>
    <row r="6756" spans="1:13" x14ac:dyDescent="0.25">
      <c r="A6756" t="s">
        <v>14354</v>
      </c>
      <c r="B6756" t="s">
        <v>14355</v>
      </c>
      <c r="C6756" t="s">
        <v>2640</v>
      </c>
      <c r="D6756" s="254">
        <v>196.25</v>
      </c>
      <c r="E6756"/>
      <c r="F6756"/>
      <c r="G6756"/>
      <c r="H6756"/>
      <c r="I6756" s="489"/>
      <c r="J6756" s="1095"/>
      <c r="K6756" s="1095"/>
      <c r="L6756" s="1095"/>
      <c r="M6756" s="1095"/>
    </row>
    <row r="6757" spans="1:13" x14ac:dyDescent="0.25">
      <c r="A6757" t="s">
        <v>14356</v>
      </c>
      <c r="B6757" t="s">
        <v>14357</v>
      </c>
      <c r="C6757" t="s">
        <v>2640</v>
      </c>
      <c r="D6757" s="254">
        <v>209.87</v>
      </c>
      <c r="E6757"/>
      <c r="F6757"/>
      <c r="G6757"/>
      <c r="H6757"/>
      <c r="I6757" s="489"/>
      <c r="J6757" s="1095"/>
      <c r="K6757" s="1095"/>
      <c r="L6757" s="1095"/>
      <c r="M6757" s="1095"/>
    </row>
    <row r="6758" spans="1:13" x14ac:dyDescent="0.25">
      <c r="A6758" t="s">
        <v>14358</v>
      </c>
      <c r="B6758" t="s">
        <v>14359</v>
      </c>
      <c r="C6758" t="s">
        <v>2640</v>
      </c>
      <c r="D6758" s="254">
        <v>247.97</v>
      </c>
      <c r="E6758"/>
      <c r="F6758"/>
      <c r="G6758"/>
      <c r="H6758"/>
      <c r="I6758" s="489"/>
      <c r="J6758" s="1095"/>
      <c r="K6758" s="1095"/>
      <c r="L6758" s="1095"/>
      <c r="M6758" s="1095"/>
    </row>
    <row r="6759" spans="1:13" x14ac:dyDescent="0.25">
      <c r="A6759" t="s">
        <v>14360</v>
      </c>
      <c r="B6759" t="s">
        <v>14361</v>
      </c>
      <c r="C6759" t="s">
        <v>2640</v>
      </c>
      <c r="D6759" s="254">
        <v>152.97999999999999</v>
      </c>
      <c r="E6759"/>
      <c r="F6759"/>
      <c r="G6759"/>
      <c r="H6759"/>
      <c r="I6759" s="489"/>
      <c r="J6759" s="1095"/>
      <c r="K6759" s="1095"/>
      <c r="L6759" s="1095"/>
      <c r="M6759" s="1095"/>
    </row>
    <row r="6760" spans="1:13" x14ac:dyDescent="0.25">
      <c r="A6760" t="s">
        <v>14362</v>
      </c>
      <c r="B6760" t="s">
        <v>14363</v>
      </c>
      <c r="C6760" t="s">
        <v>2640</v>
      </c>
      <c r="D6760" s="254">
        <v>242.14</v>
      </c>
      <c r="E6760"/>
      <c r="F6760"/>
      <c r="G6760"/>
      <c r="H6760"/>
      <c r="I6760" s="489"/>
      <c r="J6760" s="1095"/>
      <c r="K6760" s="1095"/>
      <c r="L6760" s="1095"/>
      <c r="M6760" s="1095"/>
    </row>
    <row r="6761" spans="1:13" x14ac:dyDescent="0.25">
      <c r="A6761" t="s">
        <v>14364</v>
      </c>
      <c r="B6761" t="s">
        <v>14365</v>
      </c>
      <c r="C6761" t="s">
        <v>2640</v>
      </c>
      <c r="D6761" s="254">
        <v>321.36</v>
      </c>
      <c r="E6761"/>
      <c r="F6761"/>
      <c r="G6761"/>
      <c r="H6761"/>
      <c r="I6761" s="489"/>
      <c r="J6761" s="1095"/>
      <c r="K6761" s="1095"/>
      <c r="L6761" s="1095"/>
      <c r="M6761" s="1095"/>
    </row>
    <row r="6762" spans="1:13" x14ac:dyDescent="0.25">
      <c r="A6762" t="s">
        <v>14366</v>
      </c>
      <c r="B6762" t="s">
        <v>14367</v>
      </c>
      <c r="C6762" t="s">
        <v>13878</v>
      </c>
      <c r="D6762" s="254">
        <v>13.21</v>
      </c>
      <c r="E6762"/>
      <c r="F6762"/>
      <c r="G6762"/>
      <c r="H6762"/>
      <c r="I6762" s="489"/>
      <c r="J6762" s="1095"/>
      <c r="K6762" s="1095"/>
      <c r="L6762" s="1095"/>
      <c r="M6762" s="1095"/>
    </row>
    <row r="6763" spans="1:13" x14ac:dyDescent="0.25">
      <c r="A6763" t="s">
        <v>14368</v>
      </c>
      <c r="B6763" t="s">
        <v>14369</v>
      </c>
      <c r="C6763" t="s">
        <v>2640</v>
      </c>
      <c r="D6763" s="254">
        <v>62.38</v>
      </c>
      <c r="E6763"/>
      <c r="F6763"/>
      <c r="G6763"/>
      <c r="H6763"/>
      <c r="I6763" s="489"/>
      <c r="J6763" s="1095"/>
      <c r="K6763" s="1095"/>
      <c r="L6763" s="1095"/>
      <c r="M6763" s="1095"/>
    </row>
    <row r="6764" spans="1:13" x14ac:dyDescent="0.25">
      <c r="A6764" t="s">
        <v>14370</v>
      </c>
      <c r="B6764" t="s">
        <v>14371</v>
      </c>
      <c r="C6764" t="s">
        <v>2640</v>
      </c>
      <c r="D6764" s="254">
        <v>106.22</v>
      </c>
      <c r="E6764"/>
      <c r="F6764"/>
      <c r="G6764"/>
      <c r="H6764"/>
      <c r="I6764" s="489"/>
      <c r="J6764" s="1095"/>
      <c r="K6764" s="1095"/>
      <c r="L6764" s="1095"/>
      <c r="M6764" s="1095"/>
    </row>
    <row r="6765" spans="1:13" x14ac:dyDescent="0.25">
      <c r="A6765" t="s">
        <v>14372</v>
      </c>
      <c r="B6765" t="s">
        <v>14373</v>
      </c>
      <c r="C6765" t="s">
        <v>2640</v>
      </c>
      <c r="D6765" s="254">
        <v>159.30000000000001</v>
      </c>
      <c r="E6765"/>
      <c r="F6765"/>
      <c r="G6765"/>
      <c r="H6765"/>
      <c r="I6765" s="489"/>
      <c r="J6765" s="1095"/>
      <c r="K6765" s="1095"/>
      <c r="L6765" s="1095"/>
      <c r="M6765" s="1095"/>
    </row>
    <row r="6766" spans="1:13" x14ac:dyDescent="0.25">
      <c r="A6766" t="s">
        <v>14374</v>
      </c>
      <c r="B6766" t="s">
        <v>14375</v>
      </c>
      <c r="C6766" t="s">
        <v>2640</v>
      </c>
      <c r="D6766" s="254">
        <v>287.45</v>
      </c>
      <c r="E6766"/>
      <c r="F6766"/>
      <c r="G6766"/>
      <c r="H6766"/>
      <c r="I6766" s="489"/>
      <c r="J6766" s="1095"/>
      <c r="K6766" s="1095"/>
      <c r="L6766" s="1095"/>
      <c r="M6766" s="1095"/>
    </row>
    <row r="6767" spans="1:13" x14ac:dyDescent="0.25">
      <c r="A6767" t="s">
        <v>14376</v>
      </c>
      <c r="B6767" t="s">
        <v>14377</v>
      </c>
      <c r="C6767" t="s">
        <v>2640</v>
      </c>
      <c r="D6767" s="254">
        <v>470.7</v>
      </c>
      <c r="E6767"/>
      <c r="F6767"/>
      <c r="G6767"/>
      <c r="H6767"/>
      <c r="I6767" s="489"/>
      <c r="J6767" s="1095"/>
      <c r="K6767" s="1095"/>
      <c r="L6767" s="1095"/>
      <c r="M6767" s="1095"/>
    </row>
    <row r="6768" spans="1:13" x14ac:dyDescent="0.25">
      <c r="A6768" t="s">
        <v>14378</v>
      </c>
      <c r="B6768" t="s">
        <v>14379</v>
      </c>
      <c r="C6768" t="s">
        <v>2640</v>
      </c>
      <c r="D6768" s="254">
        <v>220.95</v>
      </c>
      <c r="E6768"/>
      <c r="F6768"/>
      <c r="G6768"/>
      <c r="H6768"/>
      <c r="I6768" s="489"/>
      <c r="J6768" s="1095"/>
      <c r="K6768" s="1095"/>
      <c r="L6768" s="1095"/>
      <c r="M6768" s="1095"/>
    </row>
    <row r="6769" spans="1:13" x14ac:dyDescent="0.25">
      <c r="A6769" t="s">
        <v>14380</v>
      </c>
      <c r="B6769" t="s">
        <v>14381</v>
      </c>
      <c r="C6769" t="s">
        <v>2640</v>
      </c>
      <c r="D6769" s="254">
        <v>314.62</v>
      </c>
      <c r="E6769"/>
      <c r="F6769"/>
      <c r="G6769"/>
      <c r="H6769"/>
      <c r="I6769" s="489"/>
      <c r="J6769" s="1095"/>
      <c r="K6769" s="1095"/>
      <c r="L6769" s="1095"/>
      <c r="M6769" s="1095"/>
    </row>
    <row r="6770" spans="1:13" x14ac:dyDescent="0.25">
      <c r="A6770" t="s">
        <v>14382</v>
      </c>
      <c r="B6770" t="s">
        <v>14383</v>
      </c>
      <c r="C6770" t="s">
        <v>2640</v>
      </c>
      <c r="D6770" s="254">
        <v>393.29</v>
      </c>
      <c r="E6770"/>
      <c r="F6770"/>
      <c r="G6770"/>
      <c r="H6770"/>
      <c r="I6770" s="489"/>
      <c r="J6770" s="1095"/>
      <c r="K6770" s="1095"/>
      <c r="L6770" s="1095"/>
      <c r="M6770" s="1095"/>
    </row>
    <row r="6771" spans="1:13" x14ac:dyDescent="0.25">
      <c r="A6771" t="s">
        <v>14384</v>
      </c>
      <c r="B6771" t="s">
        <v>14385</v>
      </c>
      <c r="C6771" t="s">
        <v>2640</v>
      </c>
      <c r="D6771" s="254">
        <v>372.59</v>
      </c>
      <c r="E6771"/>
      <c r="F6771"/>
      <c r="G6771"/>
      <c r="H6771"/>
      <c r="I6771" s="489"/>
      <c r="J6771" s="1095"/>
      <c r="K6771" s="1095"/>
      <c r="L6771" s="1095"/>
      <c r="M6771" s="1095"/>
    </row>
    <row r="6772" spans="1:13" x14ac:dyDescent="0.25">
      <c r="A6772" t="s">
        <v>14386</v>
      </c>
      <c r="B6772" t="s">
        <v>14387</v>
      </c>
      <c r="C6772" t="s">
        <v>2640</v>
      </c>
      <c r="D6772" s="254">
        <v>417.26</v>
      </c>
      <c r="E6772"/>
      <c r="F6772"/>
      <c r="G6772"/>
      <c r="H6772"/>
      <c r="I6772" s="489"/>
      <c r="J6772" s="1095"/>
      <c r="K6772" s="1095"/>
      <c r="L6772" s="1095"/>
      <c r="M6772" s="1095"/>
    </row>
    <row r="6773" spans="1:13" x14ac:dyDescent="0.25">
      <c r="A6773" t="s">
        <v>14388</v>
      </c>
      <c r="B6773" t="s">
        <v>14389</v>
      </c>
      <c r="C6773" t="s">
        <v>2640</v>
      </c>
      <c r="D6773" s="254">
        <v>778.51</v>
      </c>
      <c r="E6773"/>
      <c r="F6773"/>
      <c r="G6773"/>
      <c r="H6773"/>
      <c r="I6773" s="489"/>
      <c r="J6773" s="1095"/>
      <c r="K6773" s="1095"/>
      <c r="L6773" s="1095"/>
      <c r="M6773" s="1095"/>
    </row>
    <row r="6774" spans="1:13" x14ac:dyDescent="0.25">
      <c r="A6774" t="s">
        <v>14390</v>
      </c>
      <c r="B6774" t="s">
        <v>14391</v>
      </c>
      <c r="C6774" t="s">
        <v>2640</v>
      </c>
      <c r="D6774" s="254">
        <v>5165.3599999999997</v>
      </c>
      <c r="E6774"/>
      <c r="F6774"/>
      <c r="G6774"/>
      <c r="H6774"/>
      <c r="I6774" s="489"/>
      <c r="J6774" s="1095"/>
      <c r="K6774" s="1095"/>
      <c r="L6774" s="1095"/>
      <c r="M6774" s="1095"/>
    </row>
    <row r="6775" spans="1:13" x14ac:dyDescent="0.25">
      <c r="A6775" t="s">
        <v>14392</v>
      </c>
      <c r="B6775" t="s">
        <v>14393</v>
      </c>
      <c r="C6775" t="s">
        <v>2640</v>
      </c>
      <c r="D6775" s="254">
        <v>854.74</v>
      </c>
      <c r="E6775"/>
      <c r="F6775"/>
      <c r="G6775"/>
      <c r="H6775"/>
      <c r="I6775" s="489"/>
      <c r="J6775" s="1095"/>
      <c r="K6775" s="1095"/>
      <c r="L6775" s="1095"/>
      <c r="M6775" s="1095"/>
    </row>
    <row r="6776" spans="1:13" x14ac:dyDescent="0.25">
      <c r="A6776" t="s">
        <v>14394</v>
      </c>
      <c r="B6776" t="s">
        <v>14395</v>
      </c>
      <c r="C6776" t="s">
        <v>2640</v>
      </c>
      <c r="D6776" s="254">
        <v>1291.3399999999999</v>
      </c>
      <c r="E6776"/>
      <c r="F6776"/>
      <c r="G6776"/>
      <c r="H6776"/>
      <c r="I6776" s="489"/>
      <c r="J6776" s="1095"/>
      <c r="K6776" s="1095"/>
      <c r="L6776" s="1095"/>
      <c r="M6776" s="1095"/>
    </row>
    <row r="6777" spans="1:13" x14ac:dyDescent="0.25">
      <c r="A6777" t="s">
        <v>14396</v>
      </c>
      <c r="B6777" t="s">
        <v>14397</v>
      </c>
      <c r="C6777" t="s">
        <v>2640</v>
      </c>
      <c r="D6777" s="254">
        <v>277.92</v>
      </c>
      <c r="E6777"/>
      <c r="F6777"/>
      <c r="G6777"/>
      <c r="H6777"/>
      <c r="I6777" s="489"/>
      <c r="J6777" s="1095"/>
      <c r="K6777" s="1095"/>
      <c r="L6777" s="1095"/>
      <c r="M6777" s="1095"/>
    </row>
    <row r="6778" spans="1:13" x14ac:dyDescent="0.25">
      <c r="A6778" t="s">
        <v>14398</v>
      </c>
      <c r="B6778" t="s">
        <v>14399</v>
      </c>
      <c r="C6778" t="s">
        <v>2640</v>
      </c>
      <c r="D6778" s="254">
        <v>593.69000000000005</v>
      </c>
      <c r="E6778"/>
      <c r="F6778"/>
      <c r="G6778"/>
      <c r="H6778"/>
      <c r="I6778" s="489"/>
      <c r="J6778" s="1095"/>
      <c r="K6778" s="1095"/>
      <c r="L6778" s="1095"/>
      <c r="M6778" s="1095"/>
    </row>
    <row r="6779" spans="1:13" x14ac:dyDescent="0.25">
      <c r="A6779" t="s">
        <v>14400</v>
      </c>
      <c r="B6779" t="s">
        <v>14401</v>
      </c>
      <c r="C6779" t="s">
        <v>2640</v>
      </c>
      <c r="D6779" s="254">
        <v>6491.16</v>
      </c>
      <c r="E6779"/>
      <c r="F6779"/>
      <c r="G6779"/>
      <c r="H6779"/>
      <c r="I6779" s="489"/>
      <c r="J6779" s="1095"/>
      <c r="K6779" s="1095"/>
      <c r="L6779" s="1095"/>
      <c r="M6779" s="1095"/>
    </row>
    <row r="6780" spans="1:13" x14ac:dyDescent="0.25">
      <c r="A6780" t="s">
        <v>14402</v>
      </c>
      <c r="B6780" t="s">
        <v>14403</v>
      </c>
      <c r="C6780" t="s">
        <v>2640</v>
      </c>
      <c r="D6780" s="254">
        <v>5405.28</v>
      </c>
      <c r="E6780"/>
      <c r="F6780"/>
      <c r="G6780"/>
      <c r="H6780"/>
      <c r="I6780" s="489"/>
      <c r="J6780" s="1095"/>
      <c r="K6780" s="1095"/>
      <c r="L6780" s="1095"/>
      <c r="M6780" s="1095"/>
    </row>
    <row r="6781" spans="1:13" x14ac:dyDescent="0.25">
      <c r="A6781" t="s">
        <v>14404</v>
      </c>
      <c r="B6781" t="s">
        <v>14405</v>
      </c>
      <c r="C6781" t="s">
        <v>2596</v>
      </c>
      <c r="D6781" s="254" t="s">
        <v>0</v>
      </c>
      <c r="E6781"/>
      <c r="F6781"/>
      <c r="G6781"/>
      <c r="H6781"/>
      <c r="I6781" s="489"/>
      <c r="J6781" s="1095"/>
      <c r="K6781" s="1095"/>
      <c r="L6781" s="1095"/>
      <c r="M6781" s="1095"/>
    </row>
    <row r="6782" spans="1:13" x14ac:dyDescent="0.25">
      <c r="A6782" t="s">
        <v>14406</v>
      </c>
      <c r="B6782" t="s">
        <v>14407</v>
      </c>
      <c r="C6782" t="s">
        <v>2716</v>
      </c>
      <c r="D6782" s="254">
        <v>6.85</v>
      </c>
      <c r="E6782"/>
      <c r="F6782"/>
      <c r="G6782"/>
      <c r="H6782"/>
      <c r="I6782" s="489"/>
      <c r="J6782" s="1095"/>
      <c r="K6782" s="1095"/>
      <c r="L6782" s="1095"/>
      <c r="M6782" s="1095"/>
    </row>
    <row r="6783" spans="1:13" x14ac:dyDescent="0.25">
      <c r="A6783" t="s">
        <v>14408</v>
      </c>
      <c r="B6783" t="s">
        <v>14409</v>
      </c>
      <c r="C6783" t="s">
        <v>2640</v>
      </c>
      <c r="D6783" s="254">
        <v>152.68</v>
      </c>
      <c r="E6783"/>
      <c r="F6783"/>
      <c r="G6783"/>
      <c r="H6783"/>
      <c r="I6783" s="489"/>
      <c r="J6783" s="1095"/>
      <c r="K6783" s="1095"/>
      <c r="L6783" s="1095"/>
      <c r="M6783" s="1095"/>
    </row>
    <row r="6784" spans="1:13" x14ac:dyDescent="0.25">
      <c r="A6784" t="s">
        <v>14410</v>
      </c>
      <c r="B6784" t="s">
        <v>14411</v>
      </c>
      <c r="C6784" t="s">
        <v>2640</v>
      </c>
      <c r="D6784" s="254">
        <v>109.09</v>
      </c>
      <c r="E6784"/>
      <c r="F6784"/>
      <c r="G6784"/>
      <c r="H6784"/>
      <c r="I6784" s="489"/>
      <c r="J6784" s="1095"/>
      <c r="K6784" s="1095"/>
      <c r="L6784" s="1095"/>
      <c r="M6784" s="1095"/>
    </row>
    <row r="6785" spans="1:13" x14ac:dyDescent="0.25">
      <c r="A6785" t="s">
        <v>14412</v>
      </c>
      <c r="B6785" t="s">
        <v>14413</v>
      </c>
      <c r="C6785" t="s">
        <v>2640</v>
      </c>
      <c r="D6785" s="254">
        <v>1252.18</v>
      </c>
      <c r="E6785"/>
      <c r="F6785"/>
      <c r="G6785"/>
      <c r="H6785"/>
      <c r="I6785" s="489"/>
      <c r="J6785" s="1095"/>
      <c r="K6785" s="1095"/>
      <c r="L6785" s="1095"/>
      <c r="M6785" s="1095"/>
    </row>
    <row r="6786" spans="1:13" x14ac:dyDescent="0.25">
      <c r="A6786" t="s">
        <v>14414</v>
      </c>
      <c r="B6786" t="s">
        <v>14415</v>
      </c>
      <c r="C6786" t="s">
        <v>2640</v>
      </c>
      <c r="D6786" s="254">
        <v>609.76</v>
      </c>
      <c r="E6786"/>
      <c r="F6786"/>
      <c r="G6786"/>
      <c r="H6786"/>
      <c r="I6786" s="489"/>
      <c r="J6786" s="1095"/>
      <c r="K6786" s="1095"/>
      <c r="L6786" s="1095"/>
      <c r="M6786" s="1095"/>
    </row>
    <row r="6787" spans="1:13" x14ac:dyDescent="0.25">
      <c r="A6787" t="s">
        <v>14416</v>
      </c>
      <c r="B6787" t="s">
        <v>14417</v>
      </c>
      <c r="C6787" t="s">
        <v>2640</v>
      </c>
      <c r="D6787" s="254">
        <v>184.42</v>
      </c>
      <c r="E6787"/>
      <c r="F6787"/>
      <c r="G6787"/>
      <c r="H6787"/>
      <c r="I6787" s="489"/>
      <c r="J6787" s="1095"/>
      <c r="K6787" s="1095"/>
      <c r="L6787" s="1095"/>
      <c r="M6787" s="1095"/>
    </row>
    <row r="6788" spans="1:13" x14ac:dyDescent="0.25">
      <c r="A6788" t="s">
        <v>14418</v>
      </c>
      <c r="B6788" t="s">
        <v>14419</v>
      </c>
      <c r="C6788" t="s">
        <v>2640</v>
      </c>
      <c r="D6788" s="254">
        <v>113.33</v>
      </c>
      <c r="E6788"/>
      <c r="F6788"/>
      <c r="G6788"/>
      <c r="H6788"/>
      <c r="I6788" s="489"/>
      <c r="J6788" s="1095"/>
      <c r="K6788" s="1095"/>
      <c r="L6788" s="1095"/>
      <c r="M6788" s="1095"/>
    </row>
    <row r="6789" spans="1:13" x14ac:dyDescent="0.25">
      <c r="A6789" t="s">
        <v>14420</v>
      </c>
      <c r="B6789" t="s">
        <v>14421</v>
      </c>
      <c r="C6789" t="s">
        <v>2640</v>
      </c>
      <c r="D6789" s="254">
        <v>177.57</v>
      </c>
      <c r="E6789"/>
      <c r="F6789"/>
      <c r="G6789"/>
      <c r="H6789"/>
      <c r="I6789" s="489"/>
      <c r="J6789" s="1095"/>
      <c r="K6789" s="1095"/>
      <c r="L6789" s="1095"/>
      <c r="M6789" s="1095"/>
    </row>
    <row r="6790" spans="1:13" x14ac:dyDescent="0.25">
      <c r="A6790" t="s">
        <v>14422</v>
      </c>
      <c r="B6790" t="s">
        <v>14423</v>
      </c>
      <c r="C6790" t="s">
        <v>2598</v>
      </c>
      <c r="D6790" s="254">
        <v>172.97</v>
      </c>
      <c r="E6790"/>
      <c r="F6790"/>
      <c r="G6790"/>
      <c r="H6790"/>
      <c r="I6790" s="489"/>
      <c r="J6790" s="1095"/>
      <c r="K6790" s="1095"/>
      <c r="L6790" s="1095"/>
      <c r="M6790" s="1095"/>
    </row>
    <row r="6791" spans="1:13" x14ac:dyDescent="0.25">
      <c r="A6791" t="s">
        <v>14424</v>
      </c>
      <c r="B6791" t="s">
        <v>14425</v>
      </c>
      <c r="C6791" t="s">
        <v>2598</v>
      </c>
      <c r="D6791" s="254">
        <v>67.48</v>
      </c>
      <c r="E6791"/>
      <c r="F6791"/>
      <c r="G6791"/>
      <c r="H6791"/>
      <c r="I6791" s="489"/>
      <c r="J6791" s="1095"/>
      <c r="K6791" s="1095"/>
      <c r="L6791" s="1095"/>
      <c r="M6791" s="1095"/>
    </row>
    <row r="6792" spans="1:13" x14ac:dyDescent="0.25">
      <c r="A6792" t="s">
        <v>14426</v>
      </c>
      <c r="B6792" t="s">
        <v>14427</v>
      </c>
      <c r="C6792" t="s">
        <v>2598</v>
      </c>
      <c r="D6792" s="254">
        <v>91.81</v>
      </c>
      <c r="E6792"/>
      <c r="F6792"/>
      <c r="G6792"/>
      <c r="H6792"/>
      <c r="I6792" s="489"/>
      <c r="J6792" s="1095"/>
      <c r="K6792" s="1095"/>
      <c r="L6792" s="1095"/>
      <c r="M6792" s="1095"/>
    </row>
    <row r="6793" spans="1:13" x14ac:dyDescent="0.25">
      <c r="A6793" t="s">
        <v>14428</v>
      </c>
      <c r="B6793" t="s">
        <v>14429</v>
      </c>
      <c r="C6793" t="s">
        <v>2598</v>
      </c>
      <c r="D6793" s="254">
        <v>105.35</v>
      </c>
      <c r="E6793"/>
      <c r="F6793"/>
      <c r="G6793"/>
      <c r="H6793"/>
      <c r="I6793" s="489"/>
      <c r="J6793" s="1095"/>
      <c r="K6793" s="1095"/>
      <c r="L6793" s="1095"/>
      <c r="M6793" s="1095"/>
    </row>
    <row r="6794" spans="1:13" x14ac:dyDescent="0.25">
      <c r="A6794" t="s">
        <v>14430</v>
      </c>
      <c r="B6794" t="s">
        <v>14431</v>
      </c>
      <c r="C6794" t="s">
        <v>2598</v>
      </c>
      <c r="D6794" s="254">
        <v>153</v>
      </c>
      <c r="E6794"/>
      <c r="F6794"/>
      <c r="G6794"/>
      <c r="H6794"/>
      <c r="I6794" s="489"/>
      <c r="J6794" s="1095"/>
      <c r="K6794" s="1095"/>
      <c r="L6794" s="1095"/>
      <c r="M6794" s="1095"/>
    </row>
    <row r="6795" spans="1:13" x14ac:dyDescent="0.25">
      <c r="A6795" t="s">
        <v>14432</v>
      </c>
      <c r="B6795" t="s">
        <v>14433</v>
      </c>
      <c r="C6795" t="s">
        <v>2640</v>
      </c>
      <c r="D6795" s="254">
        <v>8640.49</v>
      </c>
      <c r="E6795"/>
      <c r="F6795"/>
      <c r="G6795"/>
      <c r="H6795"/>
      <c r="I6795" s="489"/>
      <c r="J6795" s="1095"/>
      <c r="K6795" s="1095"/>
      <c r="L6795" s="1095"/>
      <c r="M6795" s="1095"/>
    </row>
    <row r="6796" spans="1:13" x14ac:dyDescent="0.25">
      <c r="A6796" t="s">
        <v>14434</v>
      </c>
      <c r="B6796" t="s">
        <v>14435</v>
      </c>
      <c r="C6796" t="s">
        <v>2640</v>
      </c>
      <c r="D6796" s="254">
        <v>12350.53</v>
      </c>
      <c r="E6796"/>
      <c r="F6796"/>
      <c r="G6796"/>
      <c r="H6796"/>
      <c r="I6796" s="489"/>
      <c r="J6796" s="1095"/>
      <c r="K6796" s="1095"/>
      <c r="L6796" s="1095"/>
      <c r="M6796" s="1095"/>
    </row>
    <row r="6797" spans="1:13" x14ac:dyDescent="0.25">
      <c r="A6797" t="s">
        <v>14436</v>
      </c>
      <c r="B6797" t="s">
        <v>14437</v>
      </c>
      <c r="C6797" t="s">
        <v>2640</v>
      </c>
      <c r="D6797" s="254">
        <v>17565.88</v>
      </c>
      <c r="E6797"/>
      <c r="F6797"/>
      <c r="G6797"/>
      <c r="H6797"/>
      <c r="I6797" s="489"/>
      <c r="J6797" s="1095"/>
      <c r="K6797" s="1095"/>
      <c r="L6797" s="1095"/>
      <c r="M6797" s="1095"/>
    </row>
    <row r="6798" spans="1:13" x14ac:dyDescent="0.25">
      <c r="A6798" t="s">
        <v>14438</v>
      </c>
      <c r="B6798" t="s">
        <v>14439</v>
      </c>
      <c r="C6798" t="s">
        <v>2640</v>
      </c>
      <c r="D6798" s="254">
        <v>30874.54</v>
      </c>
      <c r="E6798"/>
      <c r="F6798"/>
      <c r="G6798"/>
      <c r="H6798"/>
      <c r="I6798" s="489"/>
      <c r="J6798" s="1095"/>
      <c r="K6798" s="1095"/>
      <c r="L6798" s="1095"/>
      <c r="M6798" s="1095"/>
    </row>
    <row r="6799" spans="1:13" x14ac:dyDescent="0.25">
      <c r="A6799" t="s">
        <v>14440</v>
      </c>
      <c r="B6799" t="s">
        <v>14441</v>
      </c>
      <c r="C6799" t="s">
        <v>2598</v>
      </c>
      <c r="D6799" s="254">
        <v>138.53</v>
      </c>
      <c r="E6799"/>
      <c r="F6799"/>
      <c r="G6799"/>
      <c r="H6799"/>
      <c r="I6799" s="489"/>
      <c r="J6799" s="1095"/>
      <c r="K6799" s="1095"/>
      <c r="L6799" s="1095"/>
      <c r="M6799" s="1095"/>
    </row>
    <row r="6800" spans="1:13" x14ac:dyDescent="0.25">
      <c r="A6800" t="s">
        <v>14442</v>
      </c>
      <c r="B6800" t="s">
        <v>14443</v>
      </c>
      <c r="C6800" t="s">
        <v>2598</v>
      </c>
      <c r="D6800" s="254">
        <v>207.58</v>
      </c>
      <c r="E6800"/>
      <c r="F6800"/>
      <c r="G6800"/>
      <c r="H6800"/>
      <c r="I6800" s="489"/>
      <c r="J6800" s="1095"/>
      <c r="K6800" s="1095"/>
      <c r="L6800" s="1095"/>
      <c r="M6800" s="1095"/>
    </row>
    <row r="6801" spans="1:13" x14ac:dyDescent="0.25">
      <c r="A6801" t="s">
        <v>14444</v>
      </c>
      <c r="B6801" t="s">
        <v>14445</v>
      </c>
      <c r="C6801" t="s">
        <v>2716</v>
      </c>
      <c r="D6801" s="254">
        <v>11.45</v>
      </c>
      <c r="E6801"/>
      <c r="F6801"/>
      <c r="G6801"/>
      <c r="H6801"/>
      <c r="I6801" s="489"/>
      <c r="J6801" s="1095"/>
      <c r="K6801" s="1095"/>
      <c r="L6801" s="1095"/>
      <c r="M6801" s="1095"/>
    </row>
    <row r="6802" spans="1:13" x14ac:dyDescent="0.25">
      <c r="A6802" t="s">
        <v>14446</v>
      </c>
      <c r="B6802" t="s">
        <v>14447</v>
      </c>
      <c r="C6802" t="s">
        <v>2598</v>
      </c>
      <c r="D6802" s="254">
        <v>209.41</v>
      </c>
      <c r="E6802"/>
      <c r="F6802"/>
      <c r="G6802"/>
      <c r="H6802"/>
      <c r="I6802" s="489"/>
      <c r="J6802" s="1095"/>
      <c r="K6802" s="1095"/>
      <c r="L6802" s="1095"/>
      <c r="M6802" s="1095"/>
    </row>
    <row r="6803" spans="1:13" x14ac:dyDescent="0.25">
      <c r="A6803" t="s">
        <v>14448</v>
      </c>
      <c r="B6803" t="s">
        <v>14449</v>
      </c>
      <c r="C6803" t="s">
        <v>13878</v>
      </c>
      <c r="D6803" s="254">
        <v>200.4</v>
      </c>
      <c r="E6803"/>
      <c r="F6803"/>
      <c r="G6803"/>
      <c r="H6803"/>
      <c r="I6803" s="489"/>
      <c r="J6803" s="1095"/>
      <c r="K6803" s="1095"/>
      <c r="L6803" s="1095"/>
      <c r="M6803" s="1095"/>
    </row>
    <row r="6804" spans="1:13" x14ac:dyDescent="0.25">
      <c r="A6804" t="s">
        <v>14450</v>
      </c>
      <c r="B6804" t="s">
        <v>14451</v>
      </c>
      <c r="C6804" t="s">
        <v>13878</v>
      </c>
      <c r="D6804" s="254">
        <v>52.34</v>
      </c>
      <c r="E6804"/>
      <c r="F6804"/>
      <c r="G6804"/>
      <c r="H6804"/>
      <c r="I6804" s="489"/>
      <c r="J6804" s="1095"/>
      <c r="K6804" s="1095"/>
      <c r="L6804" s="1095"/>
      <c r="M6804" s="1095"/>
    </row>
    <row r="6805" spans="1:13" x14ac:dyDescent="0.25">
      <c r="A6805" t="s">
        <v>14452</v>
      </c>
      <c r="B6805" t="s">
        <v>14453</v>
      </c>
      <c r="C6805" t="s">
        <v>13878</v>
      </c>
      <c r="D6805" s="254">
        <v>35.71</v>
      </c>
      <c r="E6805"/>
      <c r="F6805"/>
      <c r="G6805"/>
      <c r="H6805"/>
      <c r="I6805" s="489"/>
      <c r="J6805" s="1095"/>
      <c r="K6805" s="1095"/>
      <c r="L6805" s="1095"/>
      <c r="M6805" s="1095"/>
    </row>
    <row r="6806" spans="1:13" x14ac:dyDescent="0.25">
      <c r="A6806" t="s">
        <v>14454</v>
      </c>
      <c r="B6806" t="s">
        <v>14455</v>
      </c>
      <c r="C6806" t="s">
        <v>13878</v>
      </c>
      <c r="D6806" s="254">
        <v>29.02</v>
      </c>
      <c r="E6806"/>
      <c r="F6806"/>
      <c r="G6806"/>
      <c r="H6806"/>
      <c r="I6806" s="489"/>
      <c r="J6806" s="1095"/>
      <c r="K6806" s="1095"/>
      <c r="L6806" s="1095"/>
      <c r="M6806" s="1095"/>
    </row>
    <row r="6807" spans="1:13" x14ac:dyDescent="0.25">
      <c r="A6807" t="s">
        <v>14456</v>
      </c>
      <c r="B6807" t="s">
        <v>14457</v>
      </c>
      <c r="C6807" t="s">
        <v>2598</v>
      </c>
      <c r="D6807" s="254">
        <v>266.60000000000002</v>
      </c>
      <c r="E6807"/>
      <c r="F6807"/>
      <c r="G6807"/>
      <c r="H6807"/>
      <c r="I6807" s="489"/>
      <c r="J6807" s="1095"/>
      <c r="K6807" s="1095"/>
      <c r="L6807" s="1095"/>
      <c r="M6807" s="1095"/>
    </row>
    <row r="6808" spans="1:13" x14ac:dyDescent="0.25">
      <c r="A6808" t="s">
        <v>14458</v>
      </c>
      <c r="B6808" t="s">
        <v>14459</v>
      </c>
      <c r="C6808" t="s">
        <v>13878</v>
      </c>
      <c r="D6808" s="254">
        <v>5.04</v>
      </c>
      <c r="E6808"/>
      <c r="F6808"/>
      <c r="G6808"/>
      <c r="H6808"/>
      <c r="I6808" s="489"/>
      <c r="J6808" s="1095"/>
      <c r="K6808" s="1095"/>
      <c r="L6808" s="1095"/>
      <c r="M6808" s="1095"/>
    </row>
    <row r="6809" spans="1:13" x14ac:dyDescent="0.25">
      <c r="A6809" t="s">
        <v>14460</v>
      </c>
      <c r="B6809" t="s">
        <v>14461</v>
      </c>
      <c r="C6809" t="s">
        <v>2598</v>
      </c>
      <c r="D6809" s="254">
        <v>382.76</v>
      </c>
      <c r="E6809"/>
      <c r="F6809"/>
      <c r="G6809"/>
      <c r="H6809"/>
      <c r="I6809" s="489"/>
      <c r="J6809" s="1095"/>
      <c r="K6809" s="1095"/>
      <c r="L6809" s="1095"/>
      <c r="M6809" s="1095"/>
    </row>
    <row r="6810" spans="1:13" x14ac:dyDescent="0.25">
      <c r="A6810" t="s">
        <v>14462</v>
      </c>
      <c r="B6810" t="s">
        <v>14463</v>
      </c>
      <c r="C6810" t="s">
        <v>2595</v>
      </c>
      <c r="D6810" s="254">
        <v>2.5</v>
      </c>
      <c r="E6810"/>
      <c r="F6810"/>
      <c r="G6810"/>
      <c r="H6810"/>
      <c r="I6810" s="489"/>
      <c r="J6810" s="1095"/>
      <c r="K6810" s="1095"/>
      <c r="L6810" s="1095"/>
      <c r="M6810" s="1095"/>
    </row>
    <row r="6811" spans="1:13" x14ac:dyDescent="0.25">
      <c r="A6811" t="s">
        <v>14464</v>
      </c>
      <c r="B6811" t="s">
        <v>14465</v>
      </c>
      <c r="C6811" t="s">
        <v>2716</v>
      </c>
      <c r="D6811" s="254">
        <v>11.11</v>
      </c>
      <c r="E6811"/>
      <c r="F6811"/>
      <c r="G6811"/>
      <c r="H6811"/>
      <c r="I6811" s="489"/>
      <c r="J6811" s="1095"/>
      <c r="K6811" s="1095"/>
      <c r="L6811" s="1095"/>
      <c r="M6811" s="1095"/>
    </row>
    <row r="6812" spans="1:13" x14ac:dyDescent="0.25">
      <c r="A6812" t="s">
        <v>14466</v>
      </c>
      <c r="B6812" t="s">
        <v>14467</v>
      </c>
      <c r="C6812" t="s">
        <v>2598</v>
      </c>
      <c r="D6812" s="254">
        <v>450.8</v>
      </c>
      <c r="E6812"/>
      <c r="F6812"/>
      <c r="G6812"/>
      <c r="H6812"/>
      <c r="I6812" s="489"/>
      <c r="J6812" s="1095"/>
      <c r="K6812" s="1095"/>
      <c r="L6812" s="1095"/>
      <c r="M6812" s="1095"/>
    </row>
    <row r="6813" spans="1:13" x14ac:dyDescent="0.25">
      <c r="A6813" t="s">
        <v>14468</v>
      </c>
      <c r="B6813" t="s">
        <v>14469</v>
      </c>
      <c r="C6813" t="s">
        <v>2598</v>
      </c>
      <c r="D6813" s="254">
        <v>631.04</v>
      </c>
      <c r="E6813"/>
      <c r="F6813"/>
      <c r="G6813"/>
      <c r="H6813"/>
      <c r="I6813" s="489"/>
      <c r="J6813" s="1095"/>
      <c r="K6813" s="1095"/>
      <c r="L6813" s="1095"/>
      <c r="M6813" s="1095"/>
    </row>
    <row r="6814" spans="1:13" x14ac:dyDescent="0.25">
      <c r="A6814" t="s">
        <v>14470</v>
      </c>
      <c r="B6814" t="s">
        <v>14471</v>
      </c>
      <c r="C6814" t="s">
        <v>2640</v>
      </c>
      <c r="D6814" s="254">
        <v>201.44</v>
      </c>
      <c r="E6814"/>
      <c r="F6814"/>
      <c r="G6814"/>
      <c r="H6814"/>
      <c r="I6814" s="489"/>
      <c r="J6814" s="1095"/>
      <c r="K6814" s="1095"/>
      <c r="L6814" s="1095"/>
      <c r="M6814" s="1095"/>
    </row>
    <row r="6815" spans="1:13" x14ac:dyDescent="0.25">
      <c r="A6815" t="s">
        <v>14472</v>
      </c>
      <c r="B6815" t="s">
        <v>14473</v>
      </c>
      <c r="C6815" t="s">
        <v>2595</v>
      </c>
      <c r="D6815" s="254">
        <v>1.54</v>
      </c>
      <c r="E6815"/>
      <c r="F6815"/>
      <c r="G6815"/>
      <c r="H6815"/>
      <c r="I6815" s="489"/>
      <c r="J6815" s="1095"/>
      <c r="K6815" s="1095"/>
      <c r="L6815" s="1095"/>
      <c r="M6815" s="1095"/>
    </row>
    <row r="6816" spans="1:13" x14ac:dyDescent="0.25">
      <c r="A6816" t="s">
        <v>14474</v>
      </c>
      <c r="B6816" t="s">
        <v>14475</v>
      </c>
      <c r="C6816" t="s">
        <v>2640</v>
      </c>
      <c r="D6816" s="254">
        <v>345.21</v>
      </c>
      <c r="E6816"/>
      <c r="F6816"/>
      <c r="G6816"/>
      <c r="H6816"/>
      <c r="I6816" s="489"/>
      <c r="J6816" s="1095"/>
      <c r="K6816" s="1095"/>
      <c r="L6816" s="1095"/>
      <c r="M6816" s="1095"/>
    </row>
    <row r="6817" spans="1:13" x14ac:dyDescent="0.25">
      <c r="A6817" t="s">
        <v>14476</v>
      </c>
      <c r="B6817" t="s">
        <v>14477</v>
      </c>
      <c r="C6817" t="s">
        <v>2598</v>
      </c>
      <c r="D6817" s="254">
        <v>65.03</v>
      </c>
      <c r="E6817"/>
      <c r="F6817"/>
      <c r="G6817"/>
      <c r="H6817"/>
      <c r="I6817" s="489"/>
      <c r="J6817" s="1095"/>
      <c r="K6817" s="1095"/>
      <c r="L6817" s="1095"/>
      <c r="M6817" s="1095"/>
    </row>
    <row r="6818" spans="1:13" x14ac:dyDescent="0.25">
      <c r="A6818" t="s">
        <v>14478</v>
      </c>
      <c r="B6818" t="s">
        <v>14479</v>
      </c>
      <c r="C6818" t="s">
        <v>2695</v>
      </c>
      <c r="D6818" s="254" t="s">
        <v>0</v>
      </c>
      <c r="E6818"/>
      <c r="F6818"/>
      <c r="G6818"/>
      <c r="H6818"/>
      <c r="I6818" s="489"/>
      <c r="J6818" s="1095"/>
      <c r="K6818" s="1095"/>
      <c r="L6818" s="1095"/>
      <c r="M6818" s="1095"/>
    </row>
    <row r="6819" spans="1:13" x14ac:dyDescent="0.25">
      <c r="A6819" t="s">
        <v>14480</v>
      </c>
      <c r="B6819" t="s">
        <v>14481</v>
      </c>
      <c r="C6819" t="s">
        <v>2695</v>
      </c>
      <c r="D6819" s="254" t="s">
        <v>0</v>
      </c>
      <c r="E6819"/>
      <c r="F6819"/>
      <c r="G6819"/>
      <c r="H6819"/>
      <c r="I6819" s="489"/>
      <c r="J6819" s="1095"/>
      <c r="K6819" s="1095"/>
      <c r="L6819" s="1095"/>
      <c r="M6819" s="1095"/>
    </row>
    <row r="6820" spans="1:13" x14ac:dyDescent="0.25">
      <c r="A6820" t="s">
        <v>14482</v>
      </c>
      <c r="B6820" t="s">
        <v>14483</v>
      </c>
      <c r="C6820" t="s">
        <v>2596</v>
      </c>
      <c r="D6820" s="254">
        <v>349.49</v>
      </c>
      <c r="E6820"/>
      <c r="F6820"/>
      <c r="G6820"/>
      <c r="H6820"/>
      <c r="I6820" s="489"/>
      <c r="J6820" s="1095"/>
      <c r="K6820" s="1095"/>
      <c r="L6820" s="1095"/>
      <c r="M6820" s="1095"/>
    </row>
    <row r="6821" spans="1:13" x14ac:dyDescent="0.25">
      <c r="A6821" t="s">
        <v>6467</v>
      </c>
      <c r="B6821" t="s">
        <v>6468</v>
      </c>
      <c r="C6821" t="s">
        <v>2716</v>
      </c>
      <c r="D6821" s="254">
        <v>28.97</v>
      </c>
      <c r="E6821"/>
      <c r="F6821"/>
      <c r="G6821"/>
      <c r="H6821"/>
      <c r="I6821" s="489"/>
      <c r="J6821" s="1095"/>
      <c r="K6821" s="1095"/>
      <c r="L6821" s="1095"/>
      <c r="M6821" s="1095"/>
    </row>
    <row r="6822" spans="1:13" x14ac:dyDescent="0.25">
      <c r="A6822" t="s">
        <v>6465</v>
      </c>
      <c r="B6822" t="s">
        <v>6466</v>
      </c>
      <c r="C6822" t="s">
        <v>2716</v>
      </c>
      <c r="D6822" s="254">
        <v>23.83</v>
      </c>
      <c r="E6822"/>
      <c r="F6822"/>
      <c r="G6822"/>
      <c r="H6822"/>
      <c r="I6822" s="489"/>
      <c r="J6822" s="1095"/>
      <c r="K6822" s="1095"/>
      <c r="L6822" s="1095"/>
      <c r="M6822" s="1095"/>
    </row>
    <row r="6823" spans="1:13" x14ac:dyDescent="0.25">
      <c r="A6823" t="s">
        <v>14484</v>
      </c>
      <c r="B6823" t="s">
        <v>14485</v>
      </c>
      <c r="C6823" t="s">
        <v>2640</v>
      </c>
      <c r="D6823" s="254">
        <v>38814.76</v>
      </c>
      <c r="E6823"/>
      <c r="F6823"/>
      <c r="G6823"/>
      <c r="H6823"/>
      <c r="I6823" s="489"/>
      <c r="J6823" s="1095"/>
      <c r="K6823" s="1095"/>
      <c r="L6823" s="1095"/>
      <c r="M6823" s="1095"/>
    </row>
    <row r="6824" spans="1:13" x14ac:dyDescent="0.25">
      <c r="A6824" t="s">
        <v>14486</v>
      </c>
      <c r="B6824" t="s">
        <v>14487</v>
      </c>
      <c r="C6824" t="s">
        <v>7525</v>
      </c>
      <c r="D6824" s="254">
        <v>82.8</v>
      </c>
      <c r="E6824"/>
      <c r="F6824"/>
      <c r="G6824"/>
      <c r="H6824"/>
      <c r="I6824" s="489"/>
      <c r="J6824" s="1095"/>
      <c r="K6824" s="1095"/>
      <c r="L6824" s="1095"/>
      <c r="M6824" s="1095"/>
    </row>
    <row r="6825" spans="1:13" x14ac:dyDescent="0.25">
      <c r="A6825" t="s">
        <v>14488</v>
      </c>
      <c r="B6825" t="s">
        <v>14489</v>
      </c>
      <c r="C6825" t="s">
        <v>2598</v>
      </c>
      <c r="D6825" s="254">
        <v>28.68</v>
      </c>
      <c r="E6825"/>
      <c r="F6825"/>
      <c r="G6825"/>
      <c r="H6825"/>
      <c r="I6825" s="489"/>
      <c r="J6825" s="1095"/>
      <c r="K6825" s="1095"/>
      <c r="L6825" s="1095"/>
      <c r="M6825" s="1095"/>
    </row>
    <row r="6826" spans="1:13" x14ac:dyDescent="0.25">
      <c r="A6826" t="s">
        <v>14490</v>
      </c>
      <c r="B6826" t="s">
        <v>14491</v>
      </c>
      <c r="C6826" t="s">
        <v>2640</v>
      </c>
      <c r="D6826" s="254">
        <v>65355.58</v>
      </c>
      <c r="E6826"/>
      <c r="F6826"/>
      <c r="G6826"/>
      <c r="H6826"/>
      <c r="I6826" s="489"/>
      <c r="J6826" s="1095"/>
      <c r="K6826" s="1095"/>
      <c r="L6826" s="1095"/>
      <c r="M6826" s="1095"/>
    </row>
    <row r="6827" spans="1:13" x14ac:dyDescent="0.25">
      <c r="A6827" t="s">
        <v>14492</v>
      </c>
      <c r="B6827" t="s">
        <v>14493</v>
      </c>
      <c r="C6827" t="s">
        <v>2596</v>
      </c>
      <c r="D6827" s="254">
        <v>116.72</v>
      </c>
      <c r="E6827"/>
      <c r="F6827"/>
      <c r="G6827"/>
      <c r="H6827"/>
      <c r="I6827" s="489"/>
      <c r="J6827" s="1095"/>
      <c r="K6827" s="1095"/>
      <c r="L6827" s="1095"/>
      <c r="M6827" s="1095"/>
    </row>
    <row r="6828" spans="1:13" x14ac:dyDescent="0.25">
      <c r="A6828" t="s">
        <v>14494</v>
      </c>
      <c r="B6828" t="s">
        <v>14495</v>
      </c>
      <c r="C6828" t="s">
        <v>2598</v>
      </c>
      <c r="D6828" s="254">
        <v>10.7</v>
      </c>
      <c r="E6828"/>
      <c r="F6828"/>
      <c r="G6828"/>
      <c r="H6828"/>
      <c r="I6828" s="489"/>
      <c r="J6828" s="1095"/>
      <c r="K6828" s="1095"/>
      <c r="L6828" s="1095"/>
      <c r="M6828" s="1095"/>
    </row>
    <row r="6829" spans="1:13" x14ac:dyDescent="0.25">
      <c r="A6829" t="s">
        <v>14496</v>
      </c>
      <c r="B6829" t="s">
        <v>14497</v>
      </c>
      <c r="C6829" t="s">
        <v>2598</v>
      </c>
      <c r="D6829" s="254">
        <v>943.18</v>
      </c>
      <c r="E6829"/>
      <c r="F6829"/>
      <c r="G6829"/>
      <c r="H6829"/>
      <c r="I6829" s="489"/>
      <c r="J6829" s="1095"/>
      <c r="K6829" s="1095"/>
      <c r="L6829" s="1095"/>
      <c r="M6829" s="1095"/>
    </row>
    <row r="6830" spans="1:13" x14ac:dyDescent="0.25">
      <c r="A6830" t="s">
        <v>14498</v>
      </c>
      <c r="B6830" t="s">
        <v>14499</v>
      </c>
      <c r="C6830" t="s">
        <v>2640</v>
      </c>
      <c r="D6830" s="254">
        <v>1.98</v>
      </c>
      <c r="E6830"/>
      <c r="F6830"/>
      <c r="G6830"/>
      <c r="H6830"/>
      <c r="I6830" s="489"/>
      <c r="J6830" s="1095"/>
      <c r="K6830" s="1095"/>
      <c r="L6830" s="1095"/>
      <c r="M6830" s="1095"/>
    </row>
    <row r="6831" spans="1:13" x14ac:dyDescent="0.25">
      <c r="A6831" t="s">
        <v>14500</v>
      </c>
      <c r="B6831" t="s">
        <v>14501</v>
      </c>
      <c r="C6831" t="s">
        <v>2640</v>
      </c>
      <c r="D6831" s="254">
        <v>43334.27</v>
      </c>
      <c r="E6831"/>
      <c r="F6831"/>
      <c r="G6831"/>
      <c r="H6831"/>
      <c r="I6831" s="489"/>
      <c r="J6831" s="1095"/>
      <c r="K6831" s="1095"/>
      <c r="L6831" s="1095"/>
      <c r="M6831" s="1095"/>
    </row>
    <row r="6832" spans="1:13" x14ac:dyDescent="0.25">
      <c r="A6832" t="s">
        <v>14502</v>
      </c>
      <c r="B6832" t="s">
        <v>14503</v>
      </c>
      <c r="C6832" t="s">
        <v>2640</v>
      </c>
      <c r="D6832" s="254">
        <v>72578.44</v>
      </c>
      <c r="E6832"/>
      <c r="F6832"/>
      <c r="G6832"/>
      <c r="H6832"/>
      <c r="I6832" s="489"/>
      <c r="J6832" s="1095"/>
      <c r="K6832" s="1095"/>
      <c r="L6832" s="1095"/>
      <c r="M6832" s="1095"/>
    </row>
    <row r="6833" spans="1:13" x14ac:dyDescent="0.25">
      <c r="A6833" t="s">
        <v>14504</v>
      </c>
      <c r="B6833" t="s">
        <v>14505</v>
      </c>
      <c r="C6833" t="s">
        <v>2640</v>
      </c>
      <c r="D6833" s="254">
        <v>93838.59</v>
      </c>
      <c r="E6833"/>
      <c r="F6833"/>
      <c r="G6833"/>
      <c r="H6833"/>
      <c r="I6833" s="489"/>
      <c r="J6833" s="1095"/>
      <c r="K6833" s="1095"/>
      <c r="L6833" s="1095"/>
      <c r="M6833" s="1095"/>
    </row>
    <row r="6834" spans="1:13" x14ac:dyDescent="0.25">
      <c r="A6834" t="s">
        <v>14506</v>
      </c>
      <c r="B6834" t="s">
        <v>14507</v>
      </c>
      <c r="C6834" t="s">
        <v>2640</v>
      </c>
      <c r="D6834" s="254">
        <v>47362.53</v>
      </c>
      <c r="E6834"/>
      <c r="F6834"/>
      <c r="G6834"/>
      <c r="H6834"/>
      <c r="I6834" s="489"/>
      <c r="J6834" s="1095"/>
      <c r="K6834" s="1095"/>
      <c r="L6834" s="1095"/>
      <c r="M6834" s="1095"/>
    </row>
    <row r="6835" spans="1:13" x14ac:dyDescent="0.25">
      <c r="A6835" t="s">
        <v>14508</v>
      </c>
      <c r="B6835" t="s">
        <v>14509</v>
      </c>
      <c r="C6835" t="s">
        <v>2598</v>
      </c>
      <c r="D6835" s="254">
        <v>2.6</v>
      </c>
      <c r="E6835"/>
      <c r="F6835"/>
      <c r="G6835"/>
      <c r="H6835"/>
      <c r="I6835" s="489"/>
      <c r="J6835" s="1095"/>
      <c r="K6835" s="1095"/>
      <c r="L6835" s="1095"/>
      <c r="M6835" s="1095"/>
    </row>
    <row r="6836" spans="1:13" x14ac:dyDescent="0.25">
      <c r="A6836" t="s">
        <v>14510</v>
      </c>
      <c r="B6836" t="s">
        <v>14511</v>
      </c>
      <c r="C6836" t="s">
        <v>2640</v>
      </c>
      <c r="D6836" s="254">
        <v>1.1499999999999999</v>
      </c>
      <c r="E6836"/>
      <c r="F6836"/>
      <c r="G6836"/>
      <c r="H6836"/>
      <c r="I6836" s="489"/>
      <c r="J6836" s="1095"/>
      <c r="K6836" s="1095"/>
      <c r="L6836" s="1095"/>
      <c r="M6836" s="1095"/>
    </row>
    <row r="6837" spans="1:13" x14ac:dyDescent="0.25">
      <c r="A6837" t="s">
        <v>14512</v>
      </c>
      <c r="B6837" t="s">
        <v>14513</v>
      </c>
      <c r="C6837" t="s">
        <v>2640</v>
      </c>
      <c r="D6837" s="254">
        <v>5312.3</v>
      </c>
      <c r="E6837"/>
      <c r="F6837"/>
      <c r="G6837"/>
      <c r="H6837"/>
      <c r="I6837" s="489"/>
      <c r="J6837" s="1095"/>
      <c r="K6837" s="1095"/>
      <c r="L6837" s="1095"/>
      <c r="M6837" s="1095"/>
    </row>
    <row r="6838" spans="1:13" x14ac:dyDescent="0.25">
      <c r="A6838" t="s">
        <v>14514</v>
      </c>
      <c r="B6838" t="s">
        <v>14515</v>
      </c>
      <c r="C6838" t="s">
        <v>2640</v>
      </c>
      <c r="D6838" s="254">
        <v>79801.3</v>
      </c>
      <c r="E6838"/>
      <c r="F6838"/>
      <c r="G6838"/>
      <c r="H6838"/>
      <c r="I6838" s="489"/>
      <c r="J6838" s="1095"/>
      <c r="K6838" s="1095"/>
      <c r="L6838" s="1095"/>
      <c r="M6838" s="1095"/>
    </row>
    <row r="6839" spans="1:13" x14ac:dyDescent="0.25">
      <c r="A6839" t="s">
        <v>14516</v>
      </c>
      <c r="B6839" t="s">
        <v>14517</v>
      </c>
      <c r="C6839" t="s">
        <v>2640</v>
      </c>
      <c r="D6839" s="254">
        <v>103152.49</v>
      </c>
      <c r="E6839"/>
      <c r="F6839"/>
      <c r="G6839"/>
      <c r="H6839"/>
      <c r="I6839" s="489"/>
      <c r="J6839" s="1095"/>
      <c r="K6839" s="1095"/>
      <c r="L6839" s="1095"/>
      <c r="M6839" s="1095"/>
    </row>
    <row r="6840" spans="1:13" x14ac:dyDescent="0.25">
      <c r="A6840" t="s">
        <v>14518</v>
      </c>
      <c r="B6840" t="s">
        <v>14519</v>
      </c>
      <c r="C6840" t="s">
        <v>2640</v>
      </c>
      <c r="D6840" s="254">
        <v>11.98</v>
      </c>
      <c r="E6840"/>
      <c r="F6840"/>
      <c r="G6840"/>
      <c r="H6840"/>
      <c r="I6840" s="489"/>
      <c r="J6840" s="1095"/>
      <c r="K6840" s="1095"/>
      <c r="L6840" s="1095"/>
      <c r="M6840" s="1095"/>
    </row>
    <row r="6841" spans="1:13" x14ac:dyDescent="0.25">
      <c r="A6841" t="s">
        <v>14520</v>
      </c>
      <c r="B6841" t="s">
        <v>14521</v>
      </c>
      <c r="C6841" t="s">
        <v>2595</v>
      </c>
      <c r="D6841" s="254">
        <v>34.82</v>
      </c>
      <c r="E6841"/>
      <c r="F6841"/>
      <c r="G6841"/>
      <c r="H6841"/>
      <c r="I6841" s="489"/>
      <c r="J6841" s="1095"/>
      <c r="K6841" s="1095"/>
      <c r="L6841" s="1095"/>
      <c r="M6841" s="1095"/>
    </row>
    <row r="6842" spans="1:13" x14ac:dyDescent="0.25">
      <c r="A6842" t="s">
        <v>14522</v>
      </c>
      <c r="B6842" t="s">
        <v>14523</v>
      </c>
      <c r="C6842" t="s">
        <v>2595</v>
      </c>
      <c r="D6842" s="254">
        <v>38.03</v>
      </c>
      <c r="E6842"/>
      <c r="F6842"/>
      <c r="G6842"/>
      <c r="H6842"/>
      <c r="I6842" s="489"/>
      <c r="J6842" s="1095"/>
      <c r="K6842" s="1095"/>
      <c r="L6842" s="1095"/>
      <c r="M6842" s="1095"/>
    </row>
    <row r="6843" spans="1:13" x14ac:dyDescent="0.25">
      <c r="A6843" t="s">
        <v>14524</v>
      </c>
      <c r="B6843" t="s">
        <v>14525</v>
      </c>
      <c r="C6843" t="s">
        <v>2640</v>
      </c>
      <c r="D6843" s="254">
        <v>3.12</v>
      </c>
      <c r="E6843"/>
      <c r="F6843"/>
      <c r="G6843"/>
      <c r="H6843"/>
      <c r="I6843" s="489"/>
      <c r="J6843" s="1095"/>
      <c r="K6843" s="1095"/>
      <c r="L6843" s="1095"/>
      <c r="M6843" s="1095"/>
    </row>
    <row r="6844" spans="1:13" x14ac:dyDescent="0.25">
      <c r="A6844" t="s">
        <v>14526</v>
      </c>
      <c r="B6844" t="s">
        <v>14527</v>
      </c>
      <c r="C6844" t="s">
        <v>2716</v>
      </c>
      <c r="D6844" s="254">
        <v>12.95</v>
      </c>
      <c r="E6844"/>
      <c r="F6844"/>
      <c r="G6844"/>
      <c r="H6844"/>
      <c r="I6844" s="489"/>
      <c r="J6844" s="1095"/>
      <c r="K6844" s="1095"/>
      <c r="L6844" s="1095"/>
      <c r="M6844" s="1095"/>
    </row>
    <row r="6845" spans="1:13" x14ac:dyDescent="0.25">
      <c r="A6845" t="s">
        <v>14528</v>
      </c>
      <c r="B6845" t="s">
        <v>14529</v>
      </c>
      <c r="C6845" t="s">
        <v>14530</v>
      </c>
      <c r="D6845" s="254">
        <v>0.6</v>
      </c>
      <c r="E6845"/>
      <c r="F6845"/>
      <c r="G6845"/>
      <c r="H6845"/>
      <c r="I6845" s="489"/>
      <c r="J6845" s="1095"/>
      <c r="K6845" s="1095"/>
      <c r="L6845" s="1095"/>
      <c r="M6845" s="1095"/>
    </row>
    <row r="6846" spans="1:13" x14ac:dyDescent="0.25">
      <c r="A6846" t="s">
        <v>14531</v>
      </c>
      <c r="B6846" t="s">
        <v>14532</v>
      </c>
      <c r="C6846" t="s">
        <v>2716</v>
      </c>
      <c r="D6846" s="254">
        <v>15.28</v>
      </c>
      <c r="E6846"/>
      <c r="F6846"/>
      <c r="G6846"/>
      <c r="H6846"/>
      <c r="I6846" s="489"/>
      <c r="J6846" s="1095"/>
      <c r="K6846" s="1095"/>
      <c r="L6846" s="1095"/>
      <c r="M6846" s="1095"/>
    </row>
    <row r="6847" spans="1:13" x14ac:dyDescent="0.25">
      <c r="A6847" t="s">
        <v>14533</v>
      </c>
      <c r="B6847" t="s">
        <v>14534</v>
      </c>
      <c r="C6847" t="s">
        <v>14530</v>
      </c>
      <c r="D6847" s="254">
        <v>1.6</v>
      </c>
      <c r="E6847"/>
      <c r="F6847"/>
      <c r="G6847"/>
      <c r="H6847"/>
      <c r="I6847" s="489"/>
      <c r="J6847" s="1095"/>
      <c r="K6847" s="1095"/>
      <c r="L6847" s="1095"/>
      <c r="M6847" s="1095"/>
    </row>
    <row r="6848" spans="1:13" x14ac:dyDescent="0.25">
      <c r="A6848" t="s">
        <v>14535</v>
      </c>
      <c r="B6848" t="s">
        <v>14536</v>
      </c>
      <c r="C6848" t="s">
        <v>2640</v>
      </c>
      <c r="D6848" s="254">
        <v>1.02</v>
      </c>
      <c r="E6848"/>
      <c r="F6848"/>
      <c r="G6848"/>
      <c r="H6848"/>
      <c r="I6848" s="489"/>
      <c r="J6848" s="1095"/>
      <c r="K6848" s="1095"/>
      <c r="L6848" s="1095"/>
      <c r="M6848" s="1095"/>
    </row>
    <row r="6849" spans="1:13" x14ac:dyDescent="0.25">
      <c r="A6849" t="s">
        <v>14537</v>
      </c>
      <c r="B6849" t="s">
        <v>14538</v>
      </c>
      <c r="C6849" t="s">
        <v>2640</v>
      </c>
      <c r="D6849" s="254">
        <v>1.7</v>
      </c>
      <c r="E6849"/>
      <c r="F6849"/>
      <c r="G6849"/>
      <c r="H6849"/>
      <c r="I6849" s="489"/>
      <c r="J6849" s="1095"/>
      <c r="K6849" s="1095"/>
      <c r="L6849" s="1095"/>
      <c r="M6849" s="1095"/>
    </row>
    <row r="6850" spans="1:13" x14ac:dyDescent="0.25">
      <c r="A6850" t="s">
        <v>14539</v>
      </c>
      <c r="B6850" t="s">
        <v>14540</v>
      </c>
      <c r="C6850" t="s">
        <v>2640</v>
      </c>
      <c r="D6850" s="254">
        <v>2.23</v>
      </c>
      <c r="E6850"/>
      <c r="F6850"/>
      <c r="G6850"/>
      <c r="H6850"/>
      <c r="I6850" s="489"/>
      <c r="J6850" s="1095"/>
      <c r="K6850" s="1095"/>
      <c r="L6850" s="1095"/>
      <c r="M6850" s="1095"/>
    </row>
    <row r="6851" spans="1:13" x14ac:dyDescent="0.25">
      <c r="A6851" t="s">
        <v>14541</v>
      </c>
      <c r="B6851" t="s">
        <v>14542</v>
      </c>
      <c r="C6851" t="s">
        <v>2640</v>
      </c>
      <c r="D6851" s="254">
        <v>2.76</v>
      </c>
      <c r="E6851"/>
      <c r="F6851"/>
      <c r="G6851"/>
      <c r="H6851"/>
      <c r="I6851" s="489"/>
      <c r="J6851" s="1095"/>
      <c r="K6851" s="1095"/>
      <c r="L6851" s="1095"/>
      <c r="M6851" s="1095"/>
    </row>
    <row r="6852" spans="1:13" x14ac:dyDescent="0.25">
      <c r="A6852" t="s">
        <v>14543</v>
      </c>
      <c r="B6852" t="s">
        <v>14544</v>
      </c>
      <c r="C6852" t="s">
        <v>2640</v>
      </c>
      <c r="D6852" s="254">
        <v>3.08</v>
      </c>
      <c r="E6852"/>
      <c r="F6852"/>
      <c r="G6852"/>
      <c r="H6852"/>
      <c r="I6852" s="489"/>
      <c r="J6852" s="1095"/>
      <c r="K6852" s="1095"/>
      <c r="L6852" s="1095"/>
      <c r="M6852" s="1095"/>
    </row>
    <row r="6853" spans="1:13" x14ac:dyDescent="0.25">
      <c r="A6853" t="s">
        <v>14545</v>
      </c>
      <c r="B6853" t="s">
        <v>14546</v>
      </c>
      <c r="C6853" t="s">
        <v>2640</v>
      </c>
      <c r="D6853" s="254">
        <v>3.42</v>
      </c>
      <c r="E6853"/>
      <c r="F6853"/>
      <c r="G6853"/>
      <c r="H6853"/>
      <c r="I6853" s="489"/>
      <c r="J6853" s="1095"/>
      <c r="K6853" s="1095"/>
      <c r="L6853" s="1095"/>
      <c r="M6853" s="1095"/>
    </row>
    <row r="6854" spans="1:13" x14ac:dyDescent="0.25">
      <c r="A6854" t="s">
        <v>14547</v>
      </c>
      <c r="B6854" t="s">
        <v>14548</v>
      </c>
      <c r="C6854" t="s">
        <v>2640</v>
      </c>
      <c r="D6854" s="254">
        <v>3.51</v>
      </c>
      <c r="E6854"/>
      <c r="F6854"/>
      <c r="G6854"/>
      <c r="H6854"/>
      <c r="I6854" s="489"/>
      <c r="J6854" s="1095"/>
      <c r="K6854" s="1095"/>
      <c r="L6854" s="1095"/>
      <c r="M6854" s="1095"/>
    </row>
    <row r="6855" spans="1:13" x14ac:dyDescent="0.25">
      <c r="A6855" t="s">
        <v>14549</v>
      </c>
      <c r="B6855" t="s">
        <v>14550</v>
      </c>
      <c r="C6855" t="s">
        <v>2640</v>
      </c>
      <c r="D6855" s="254">
        <v>4.8600000000000003</v>
      </c>
      <c r="E6855"/>
      <c r="F6855"/>
      <c r="G6855"/>
      <c r="H6855"/>
      <c r="I6855" s="489"/>
      <c r="J6855" s="1095"/>
      <c r="K6855" s="1095"/>
      <c r="L6855" s="1095"/>
      <c r="M6855" s="1095"/>
    </row>
    <row r="6856" spans="1:13" x14ac:dyDescent="0.25">
      <c r="A6856" t="s">
        <v>14551</v>
      </c>
      <c r="B6856" t="s">
        <v>14552</v>
      </c>
      <c r="C6856" t="s">
        <v>2640</v>
      </c>
      <c r="D6856" s="254">
        <v>5.81</v>
      </c>
      <c r="E6856"/>
      <c r="F6856"/>
      <c r="G6856"/>
      <c r="H6856"/>
      <c r="I6856" s="489"/>
      <c r="J6856" s="1095"/>
      <c r="K6856" s="1095"/>
      <c r="L6856" s="1095"/>
      <c r="M6856" s="1095"/>
    </row>
    <row r="6857" spans="1:13" x14ac:dyDescent="0.25">
      <c r="A6857" t="s">
        <v>14553</v>
      </c>
      <c r="B6857" t="s">
        <v>14554</v>
      </c>
      <c r="C6857" t="s">
        <v>2640</v>
      </c>
      <c r="D6857" s="254">
        <v>6.34</v>
      </c>
      <c r="E6857"/>
      <c r="F6857"/>
      <c r="G6857"/>
      <c r="H6857"/>
      <c r="I6857" s="489"/>
      <c r="J6857" s="1095"/>
      <c r="K6857" s="1095"/>
      <c r="L6857" s="1095"/>
      <c r="M6857" s="1095"/>
    </row>
    <row r="6858" spans="1:13" x14ac:dyDescent="0.25">
      <c r="A6858" t="s">
        <v>14555</v>
      </c>
      <c r="B6858" t="s">
        <v>14556</v>
      </c>
      <c r="C6858" t="s">
        <v>2640</v>
      </c>
      <c r="D6858" s="254">
        <v>7.1</v>
      </c>
      <c r="E6858"/>
      <c r="F6858"/>
      <c r="G6858"/>
      <c r="H6858"/>
      <c r="I6858" s="489"/>
      <c r="J6858" s="1095"/>
      <c r="K6858" s="1095"/>
      <c r="L6858" s="1095"/>
      <c r="M6858" s="1095"/>
    </row>
    <row r="6859" spans="1:13" x14ac:dyDescent="0.25">
      <c r="A6859" t="s">
        <v>14557</v>
      </c>
      <c r="B6859" t="s">
        <v>14558</v>
      </c>
      <c r="C6859" t="s">
        <v>2640</v>
      </c>
      <c r="D6859" s="254">
        <v>7.74</v>
      </c>
      <c r="E6859"/>
      <c r="F6859"/>
      <c r="G6859"/>
      <c r="H6859"/>
      <c r="I6859" s="489"/>
      <c r="J6859" s="1095"/>
      <c r="K6859" s="1095"/>
      <c r="L6859" s="1095"/>
      <c r="M6859" s="1095"/>
    </row>
    <row r="6860" spans="1:13" x14ac:dyDescent="0.25">
      <c r="A6860" t="s">
        <v>14559</v>
      </c>
      <c r="B6860" t="s">
        <v>14560</v>
      </c>
      <c r="C6860" t="s">
        <v>2640</v>
      </c>
      <c r="D6860" s="254">
        <v>9.92</v>
      </c>
      <c r="E6860"/>
      <c r="F6860"/>
      <c r="G6860"/>
      <c r="H6860"/>
      <c r="I6860" s="489"/>
      <c r="J6860" s="1095"/>
      <c r="K6860" s="1095"/>
      <c r="L6860" s="1095"/>
      <c r="M6860" s="1095"/>
    </row>
    <row r="6861" spans="1:13" x14ac:dyDescent="0.25">
      <c r="A6861" t="s">
        <v>14561</v>
      </c>
      <c r="B6861" t="s">
        <v>14562</v>
      </c>
      <c r="C6861" t="s">
        <v>2640</v>
      </c>
      <c r="D6861" s="254">
        <v>9.94</v>
      </c>
      <c r="E6861"/>
      <c r="F6861"/>
      <c r="G6861"/>
      <c r="H6861"/>
      <c r="I6861" s="489"/>
      <c r="J6861" s="1095"/>
      <c r="K6861" s="1095"/>
      <c r="L6861" s="1095"/>
      <c r="M6861" s="1095"/>
    </row>
    <row r="6862" spans="1:13" x14ac:dyDescent="0.25">
      <c r="A6862" t="s">
        <v>14563</v>
      </c>
      <c r="B6862" t="s">
        <v>14564</v>
      </c>
      <c r="C6862" t="s">
        <v>2598</v>
      </c>
      <c r="D6862" s="254">
        <v>25.45</v>
      </c>
      <c r="E6862"/>
      <c r="F6862"/>
      <c r="G6862"/>
      <c r="H6862"/>
      <c r="I6862" s="489"/>
      <c r="J6862" s="1095"/>
      <c r="K6862" s="1095"/>
      <c r="L6862" s="1095"/>
      <c r="M6862" s="1095"/>
    </row>
    <row r="6863" spans="1:13" x14ac:dyDescent="0.25">
      <c r="A6863" t="s">
        <v>14565</v>
      </c>
      <c r="B6863" t="s">
        <v>14566</v>
      </c>
      <c r="C6863" t="s">
        <v>2598</v>
      </c>
      <c r="D6863" s="254">
        <v>76.540000000000006</v>
      </c>
      <c r="E6863"/>
      <c r="F6863"/>
      <c r="G6863"/>
      <c r="H6863"/>
      <c r="I6863" s="489"/>
      <c r="J6863" s="1095"/>
      <c r="K6863" s="1095"/>
      <c r="L6863" s="1095"/>
      <c r="M6863" s="1095"/>
    </row>
    <row r="6864" spans="1:13" x14ac:dyDescent="0.25">
      <c r="A6864" t="s">
        <v>14567</v>
      </c>
      <c r="B6864" t="s">
        <v>14568</v>
      </c>
      <c r="C6864" t="s">
        <v>2716</v>
      </c>
      <c r="D6864" s="254">
        <v>15.99</v>
      </c>
      <c r="E6864"/>
      <c r="F6864"/>
      <c r="G6864"/>
      <c r="H6864"/>
      <c r="I6864" s="489"/>
      <c r="J6864" s="1095"/>
      <c r="K6864" s="1095"/>
      <c r="L6864" s="1095"/>
      <c r="M6864" s="1095"/>
    </row>
    <row r="6865" spans="1:13" x14ac:dyDescent="0.25">
      <c r="A6865" t="s">
        <v>14569</v>
      </c>
      <c r="B6865" t="s">
        <v>14570</v>
      </c>
      <c r="C6865" t="s">
        <v>2640</v>
      </c>
      <c r="D6865" s="254">
        <v>7.59</v>
      </c>
      <c r="E6865"/>
      <c r="F6865"/>
      <c r="G6865"/>
      <c r="H6865"/>
      <c r="I6865" s="489"/>
      <c r="J6865" s="1095"/>
      <c r="K6865" s="1095"/>
      <c r="L6865" s="1095"/>
      <c r="M6865" s="1095"/>
    </row>
    <row r="6866" spans="1:13" x14ac:dyDescent="0.25">
      <c r="A6866" t="s">
        <v>14571</v>
      </c>
      <c r="B6866" t="s">
        <v>14572</v>
      </c>
      <c r="C6866" t="s">
        <v>2640</v>
      </c>
      <c r="D6866" s="254">
        <v>1.2</v>
      </c>
      <c r="E6866"/>
      <c r="F6866"/>
      <c r="G6866"/>
      <c r="H6866"/>
      <c r="I6866" s="489"/>
      <c r="J6866" s="1095"/>
      <c r="K6866" s="1095"/>
      <c r="L6866" s="1095"/>
      <c r="M6866" s="1095"/>
    </row>
    <row r="6867" spans="1:13" x14ac:dyDescent="0.25">
      <c r="A6867" t="s">
        <v>14573</v>
      </c>
      <c r="B6867" t="s">
        <v>14574</v>
      </c>
      <c r="C6867" t="s">
        <v>2640</v>
      </c>
      <c r="D6867" s="254">
        <v>3.47</v>
      </c>
      <c r="E6867"/>
      <c r="F6867"/>
      <c r="G6867"/>
      <c r="H6867"/>
      <c r="I6867" s="489"/>
      <c r="J6867" s="1095"/>
      <c r="K6867" s="1095"/>
      <c r="L6867" s="1095"/>
      <c r="M6867" s="1095"/>
    </row>
    <row r="6868" spans="1:13" x14ac:dyDescent="0.25">
      <c r="A6868" t="s">
        <v>14575</v>
      </c>
      <c r="B6868" t="s">
        <v>14576</v>
      </c>
      <c r="C6868" t="s">
        <v>2640</v>
      </c>
      <c r="D6868" s="254">
        <v>4.7699999999999996</v>
      </c>
      <c r="E6868"/>
      <c r="F6868"/>
      <c r="G6868"/>
      <c r="H6868"/>
      <c r="I6868" s="489"/>
      <c r="J6868" s="1095"/>
      <c r="K6868" s="1095"/>
      <c r="L6868" s="1095"/>
      <c r="M6868" s="1095"/>
    </row>
    <row r="6869" spans="1:13" x14ac:dyDescent="0.25">
      <c r="A6869" t="s">
        <v>14577</v>
      </c>
      <c r="B6869" t="s">
        <v>14578</v>
      </c>
      <c r="C6869" t="s">
        <v>2595</v>
      </c>
      <c r="D6869" s="254">
        <v>214.75</v>
      </c>
      <c r="E6869"/>
      <c r="F6869"/>
      <c r="G6869"/>
      <c r="H6869"/>
      <c r="I6869" s="489"/>
      <c r="J6869" s="1095"/>
      <c r="K6869" s="1095"/>
      <c r="L6869" s="1095"/>
      <c r="M6869" s="1095"/>
    </row>
    <row r="6870" spans="1:13" x14ac:dyDescent="0.25">
      <c r="A6870" t="s">
        <v>14579</v>
      </c>
      <c r="B6870" t="s">
        <v>14580</v>
      </c>
      <c r="C6870" t="s">
        <v>2716</v>
      </c>
      <c r="D6870" s="254">
        <v>14.98</v>
      </c>
      <c r="E6870"/>
      <c r="F6870"/>
      <c r="G6870"/>
      <c r="H6870"/>
      <c r="I6870" s="489"/>
      <c r="J6870" s="1095"/>
      <c r="K6870" s="1095"/>
      <c r="L6870" s="1095"/>
      <c r="M6870" s="1095"/>
    </row>
    <row r="6871" spans="1:13" x14ac:dyDescent="0.25">
      <c r="A6871" t="s">
        <v>14581</v>
      </c>
      <c r="B6871" t="s">
        <v>14582</v>
      </c>
      <c r="C6871" t="s">
        <v>2640</v>
      </c>
      <c r="D6871" s="254">
        <v>23.53</v>
      </c>
      <c r="E6871"/>
      <c r="F6871"/>
      <c r="G6871"/>
      <c r="H6871"/>
      <c r="I6871" s="489"/>
      <c r="J6871" s="1095"/>
      <c r="K6871" s="1095"/>
      <c r="L6871" s="1095"/>
      <c r="M6871" s="1095"/>
    </row>
    <row r="6872" spans="1:13" x14ac:dyDescent="0.25">
      <c r="A6872" t="s">
        <v>14583</v>
      </c>
      <c r="B6872" t="s">
        <v>14584</v>
      </c>
      <c r="C6872" t="s">
        <v>13878</v>
      </c>
      <c r="D6872" s="254">
        <v>17.16</v>
      </c>
      <c r="E6872"/>
      <c r="F6872"/>
      <c r="G6872"/>
      <c r="H6872"/>
      <c r="I6872" s="489"/>
      <c r="J6872" s="1095"/>
      <c r="K6872" s="1095"/>
      <c r="L6872" s="1095"/>
      <c r="M6872" s="1095"/>
    </row>
    <row r="6873" spans="1:13" x14ac:dyDescent="0.25">
      <c r="A6873" t="s">
        <v>14585</v>
      </c>
      <c r="B6873" t="s">
        <v>14586</v>
      </c>
      <c r="C6873" t="s">
        <v>2596</v>
      </c>
      <c r="D6873" s="254">
        <v>1366.89</v>
      </c>
      <c r="E6873"/>
      <c r="F6873"/>
      <c r="G6873"/>
      <c r="H6873"/>
      <c r="I6873" s="489"/>
      <c r="J6873" s="1095"/>
      <c r="K6873" s="1095"/>
      <c r="L6873" s="1095"/>
      <c r="M6873" s="1095"/>
    </row>
    <row r="6874" spans="1:13" x14ac:dyDescent="0.25">
      <c r="A6874" t="s">
        <v>14587</v>
      </c>
      <c r="B6874" t="s">
        <v>14588</v>
      </c>
      <c r="C6874" t="s">
        <v>2716</v>
      </c>
      <c r="D6874" s="254">
        <v>12.43</v>
      </c>
      <c r="E6874"/>
      <c r="F6874"/>
      <c r="G6874"/>
      <c r="H6874"/>
      <c r="I6874" s="489"/>
      <c r="J6874" s="1095"/>
      <c r="K6874" s="1095"/>
      <c r="L6874" s="1095"/>
      <c r="M6874" s="1095"/>
    </row>
    <row r="6875" spans="1:13" x14ac:dyDescent="0.25">
      <c r="A6875" t="s">
        <v>14589</v>
      </c>
      <c r="B6875" t="s">
        <v>14590</v>
      </c>
      <c r="C6875" t="s">
        <v>2595</v>
      </c>
      <c r="D6875" s="254">
        <v>23.9</v>
      </c>
      <c r="E6875"/>
      <c r="F6875"/>
      <c r="G6875"/>
      <c r="H6875"/>
      <c r="I6875" s="489"/>
      <c r="J6875" s="1095"/>
      <c r="K6875" s="1095"/>
      <c r="L6875" s="1095"/>
      <c r="M6875" s="1095"/>
    </row>
    <row r="6876" spans="1:13" x14ac:dyDescent="0.25">
      <c r="A6876" t="s">
        <v>14591</v>
      </c>
      <c r="B6876" t="s">
        <v>14592</v>
      </c>
      <c r="C6876" t="s">
        <v>2595</v>
      </c>
      <c r="D6876" s="254">
        <v>76.87</v>
      </c>
      <c r="E6876"/>
      <c r="F6876"/>
      <c r="G6876"/>
      <c r="H6876"/>
      <c r="I6876" s="489"/>
      <c r="J6876" s="1095"/>
      <c r="K6876" s="1095"/>
      <c r="L6876" s="1095"/>
      <c r="M6876" s="1095"/>
    </row>
    <row r="6877" spans="1:13" x14ac:dyDescent="0.25">
      <c r="A6877" t="s">
        <v>14593</v>
      </c>
      <c r="B6877" t="s">
        <v>14594</v>
      </c>
      <c r="C6877" t="s">
        <v>2595</v>
      </c>
      <c r="D6877" s="254">
        <v>100.59</v>
      </c>
      <c r="E6877"/>
      <c r="F6877"/>
      <c r="G6877"/>
      <c r="H6877"/>
      <c r="I6877" s="489"/>
      <c r="J6877" s="1095"/>
      <c r="K6877" s="1095"/>
      <c r="L6877" s="1095"/>
      <c r="M6877" s="1095"/>
    </row>
    <row r="6878" spans="1:13" x14ac:dyDescent="0.25">
      <c r="A6878" t="s">
        <v>14595</v>
      </c>
      <c r="B6878" t="s">
        <v>14596</v>
      </c>
      <c r="C6878" t="s">
        <v>2595</v>
      </c>
      <c r="D6878" s="254">
        <v>114.18</v>
      </c>
      <c r="E6878"/>
      <c r="F6878"/>
      <c r="G6878"/>
      <c r="H6878"/>
      <c r="I6878" s="489"/>
      <c r="J6878" s="1095"/>
      <c r="K6878" s="1095"/>
      <c r="L6878" s="1095"/>
      <c r="M6878" s="1095"/>
    </row>
    <row r="6879" spans="1:13" x14ac:dyDescent="0.25">
      <c r="A6879" t="s">
        <v>14597</v>
      </c>
      <c r="B6879" t="s">
        <v>14598</v>
      </c>
      <c r="C6879" t="s">
        <v>2716</v>
      </c>
      <c r="D6879" s="254">
        <v>3.23</v>
      </c>
      <c r="E6879"/>
      <c r="F6879"/>
      <c r="G6879"/>
      <c r="H6879"/>
      <c r="I6879" s="489"/>
      <c r="J6879" s="1095"/>
      <c r="K6879" s="1095"/>
      <c r="L6879" s="1095"/>
      <c r="M6879" s="1095"/>
    </row>
    <row r="6880" spans="1:13" x14ac:dyDescent="0.25">
      <c r="A6880" t="s">
        <v>14599</v>
      </c>
      <c r="B6880" t="s">
        <v>14600</v>
      </c>
      <c r="C6880" t="s">
        <v>2716</v>
      </c>
      <c r="D6880" s="254">
        <v>30.91</v>
      </c>
      <c r="E6880"/>
      <c r="F6880"/>
      <c r="G6880"/>
      <c r="H6880"/>
      <c r="I6880" s="489"/>
      <c r="J6880" s="1095"/>
      <c r="K6880" s="1095"/>
      <c r="L6880" s="1095"/>
      <c r="M6880" s="1095"/>
    </row>
    <row r="6881" spans="1:13" x14ac:dyDescent="0.25">
      <c r="A6881" t="s">
        <v>14601</v>
      </c>
      <c r="B6881" t="s">
        <v>14602</v>
      </c>
      <c r="C6881" t="s">
        <v>2640</v>
      </c>
      <c r="D6881" s="254">
        <v>4.51</v>
      </c>
      <c r="E6881"/>
      <c r="F6881"/>
      <c r="G6881"/>
      <c r="H6881"/>
      <c r="I6881" s="489"/>
      <c r="J6881" s="1095"/>
      <c r="K6881" s="1095"/>
      <c r="L6881" s="1095"/>
      <c r="M6881" s="1095"/>
    </row>
    <row r="6882" spans="1:13" x14ac:dyDescent="0.25">
      <c r="A6882" t="s">
        <v>14603</v>
      </c>
      <c r="B6882" t="s">
        <v>14604</v>
      </c>
      <c r="C6882" t="s">
        <v>2640</v>
      </c>
      <c r="D6882" s="254">
        <v>0.49</v>
      </c>
      <c r="E6882"/>
      <c r="F6882"/>
      <c r="G6882"/>
      <c r="H6882"/>
      <c r="I6882" s="489"/>
      <c r="J6882" s="1095"/>
      <c r="K6882" s="1095"/>
      <c r="L6882" s="1095"/>
      <c r="M6882" s="1095"/>
    </row>
    <row r="6883" spans="1:13" x14ac:dyDescent="0.25">
      <c r="A6883" t="s">
        <v>14605</v>
      </c>
      <c r="B6883" t="s">
        <v>14606</v>
      </c>
      <c r="C6883" t="s">
        <v>2596</v>
      </c>
      <c r="D6883" s="254">
        <v>114.59</v>
      </c>
      <c r="E6883"/>
      <c r="F6883"/>
      <c r="G6883"/>
      <c r="H6883"/>
      <c r="I6883" s="489"/>
      <c r="J6883" s="1095"/>
      <c r="K6883" s="1095"/>
      <c r="L6883" s="1095"/>
      <c r="M6883" s="1095"/>
    </row>
    <row r="6884" spans="1:13" x14ac:dyDescent="0.25">
      <c r="A6884" t="s">
        <v>14607</v>
      </c>
      <c r="B6884" t="s">
        <v>14608</v>
      </c>
      <c r="C6884" t="s">
        <v>2596</v>
      </c>
      <c r="D6884" s="254">
        <v>123.15</v>
      </c>
      <c r="E6884"/>
      <c r="F6884"/>
      <c r="G6884"/>
      <c r="H6884"/>
      <c r="I6884" s="489"/>
      <c r="J6884" s="1095"/>
      <c r="K6884" s="1095"/>
      <c r="L6884" s="1095"/>
      <c r="M6884" s="1095"/>
    </row>
    <row r="6885" spans="1:13" x14ac:dyDescent="0.25">
      <c r="A6885" t="s">
        <v>14609</v>
      </c>
      <c r="B6885" t="s">
        <v>14610</v>
      </c>
      <c r="C6885" t="s">
        <v>2640</v>
      </c>
      <c r="D6885" s="254">
        <v>138.19999999999999</v>
      </c>
      <c r="E6885"/>
      <c r="F6885"/>
      <c r="G6885"/>
      <c r="H6885"/>
      <c r="I6885" s="489"/>
      <c r="J6885" s="1095"/>
      <c r="K6885" s="1095"/>
      <c r="L6885" s="1095"/>
      <c r="M6885" s="1095"/>
    </row>
    <row r="6886" spans="1:13" x14ac:dyDescent="0.25">
      <c r="A6886" t="s">
        <v>14611</v>
      </c>
      <c r="B6886" t="s">
        <v>7610</v>
      </c>
      <c r="C6886" t="s">
        <v>2598</v>
      </c>
      <c r="D6886" s="254" t="s">
        <v>0</v>
      </c>
      <c r="E6886"/>
      <c r="F6886"/>
      <c r="G6886"/>
      <c r="H6886"/>
      <c r="I6886" s="489"/>
      <c r="J6886" s="1095"/>
      <c r="K6886" s="1095"/>
      <c r="L6886" s="1095"/>
      <c r="M6886" s="1095"/>
    </row>
    <row r="6887" spans="1:13" x14ac:dyDescent="0.25">
      <c r="A6887" t="s">
        <v>14612</v>
      </c>
      <c r="B6887" t="s">
        <v>14613</v>
      </c>
      <c r="C6887" t="s">
        <v>2716</v>
      </c>
      <c r="D6887" s="254">
        <v>81.36</v>
      </c>
      <c r="E6887"/>
      <c r="F6887"/>
      <c r="G6887"/>
      <c r="H6887"/>
      <c r="I6887" s="489"/>
      <c r="J6887" s="1095"/>
      <c r="K6887" s="1095"/>
      <c r="L6887" s="1095"/>
      <c r="M6887" s="1095"/>
    </row>
    <row r="6888" spans="1:13" x14ac:dyDescent="0.25">
      <c r="A6888" t="s">
        <v>14614</v>
      </c>
      <c r="B6888" t="s">
        <v>14615</v>
      </c>
      <c r="C6888" t="s">
        <v>2598</v>
      </c>
      <c r="D6888" s="254">
        <v>0.17</v>
      </c>
      <c r="E6888"/>
      <c r="F6888"/>
      <c r="G6888"/>
      <c r="H6888"/>
      <c r="I6888" s="489"/>
      <c r="J6888" s="1095"/>
      <c r="K6888" s="1095"/>
      <c r="L6888" s="1095"/>
      <c r="M6888" s="1095"/>
    </row>
    <row r="6889" spans="1:13" x14ac:dyDescent="0.25">
      <c r="A6889" t="s">
        <v>14616</v>
      </c>
      <c r="B6889" t="s">
        <v>14617</v>
      </c>
      <c r="C6889" t="s">
        <v>2598</v>
      </c>
      <c r="D6889" s="254">
        <v>328.86</v>
      </c>
      <c r="E6889"/>
      <c r="F6889"/>
      <c r="G6889"/>
      <c r="H6889"/>
      <c r="I6889" s="489"/>
      <c r="J6889" s="1095"/>
      <c r="K6889" s="1095"/>
      <c r="L6889" s="1095"/>
      <c r="M6889" s="1095"/>
    </row>
    <row r="6890" spans="1:13" x14ac:dyDescent="0.25">
      <c r="A6890" t="s">
        <v>14618</v>
      </c>
      <c r="B6890" t="s">
        <v>14619</v>
      </c>
      <c r="C6890" t="s">
        <v>2598</v>
      </c>
      <c r="D6890" s="254">
        <v>434.18</v>
      </c>
      <c r="E6890"/>
      <c r="F6890"/>
      <c r="G6890"/>
      <c r="H6890"/>
      <c r="I6890" s="489"/>
      <c r="J6890" s="1095"/>
      <c r="K6890" s="1095"/>
      <c r="L6890" s="1095"/>
      <c r="M6890" s="1095"/>
    </row>
    <row r="6891" spans="1:13" x14ac:dyDescent="0.25">
      <c r="A6891" t="s">
        <v>14620</v>
      </c>
      <c r="B6891" t="s">
        <v>14621</v>
      </c>
      <c r="C6891" t="s">
        <v>2596</v>
      </c>
      <c r="D6891" s="254">
        <v>114.26</v>
      </c>
      <c r="E6891"/>
      <c r="F6891"/>
      <c r="G6891"/>
      <c r="H6891"/>
      <c r="I6891" s="489"/>
      <c r="J6891" s="1095"/>
      <c r="K6891" s="1095"/>
      <c r="L6891" s="1095"/>
      <c r="M6891" s="1095"/>
    </row>
    <row r="6892" spans="1:13" x14ac:dyDescent="0.25">
      <c r="A6892" t="s">
        <v>14622</v>
      </c>
      <c r="B6892" t="s">
        <v>14623</v>
      </c>
      <c r="C6892" t="s">
        <v>2598</v>
      </c>
      <c r="D6892" s="254">
        <v>0.19</v>
      </c>
      <c r="E6892"/>
      <c r="F6892"/>
      <c r="G6892"/>
      <c r="H6892"/>
      <c r="I6892" s="489"/>
      <c r="J6892" s="1095"/>
      <c r="K6892" s="1095"/>
      <c r="L6892" s="1095"/>
      <c r="M6892" s="1095"/>
    </row>
    <row r="6893" spans="1:13" x14ac:dyDescent="0.25">
      <c r="A6893" t="s">
        <v>14624</v>
      </c>
      <c r="B6893" t="s">
        <v>14625</v>
      </c>
      <c r="C6893" t="s">
        <v>2598</v>
      </c>
      <c r="D6893" s="254">
        <v>763.42</v>
      </c>
      <c r="E6893"/>
      <c r="F6893"/>
      <c r="G6893"/>
      <c r="H6893"/>
      <c r="I6893" s="489"/>
      <c r="J6893" s="1095"/>
      <c r="K6893" s="1095"/>
      <c r="L6893" s="1095"/>
      <c r="M6893" s="1095"/>
    </row>
    <row r="6894" spans="1:13" x14ac:dyDescent="0.25">
      <c r="A6894" t="s">
        <v>14626</v>
      </c>
      <c r="B6894" t="s">
        <v>14627</v>
      </c>
      <c r="C6894" t="s">
        <v>2716</v>
      </c>
      <c r="D6894" s="254">
        <v>127.59</v>
      </c>
      <c r="E6894"/>
      <c r="F6894"/>
      <c r="G6894"/>
      <c r="H6894"/>
      <c r="I6894" s="489"/>
      <c r="J6894" s="1095"/>
      <c r="K6894" s="1095"/>
      <c r="L6894" s="1095"/>
      <c r="M6894" s="1095"/>
    </row>
    <row r="6895" spans="1:13" x14ac:dyDescent="0.25">
      <c r="A6895" t="s">
        <v>14628</v>
      </c>
      <c r="B6895" t="s">
        <v>14629</v>
      </c>
      <c r="C6895" t="s">
        <v>2598</v>
      </c>
      <c r="D6895" s="254">
        <v>1042.6600000000001</v>
      </c>
      <c r="E6895"/>
      <c r="F6895"/>
      <c r="G6895"/>
      <c r="H6895"/>
      <c r="I6895" s="489"/>
      <c r="J6895" s="1095"/>
      <c r="K6895" s="1095"/>
      <c r="L6895" s="1095"/>
      <c r="M6895" s="1095"/>
    </row>
    <row r="6896" spans="1:13" x14ac:dyDescent="0.25">
      <c r="A6896" t="s">
        <v>14630</v>
      </c>
      <c r="B6896" t="s">
        <v>14631</v>
      </c>
      <c r="C6896" t="s">
        <v>2598</v>
      </c>
      <c r="D6896" s="254">
        <v>1304.1600000000001</v>
      </c>
      <c r="E6896"/>
      <c r="F6896"/>
      <c r="G6896"/>
      <c r="H6896"/>
      <c r="I6896" s="489"/>
      <c r="J6896" s="1095"/>
      <c r="K6896" s="1095"/>
      <c r="L6896" s="1095"/>
      <c r="M6896" s="1095"/>
    </row>
    <row r="6897" spans="1:13" x14ac:dyDescent="0.25">
      <c r="A6897" t="s">
        <v>14632</v>
      </c>
      <c r="B6897" t="s">
        <v>14633</v>
      </c>
      <c r="C6897" t="s">
        <v>2716</v>
      </c>
      <c r="D6897" s="254">
        <v>18.260000000000002</v>
      </c>
      <c r="E6897"/>
      <c r="F6897"/>
      <c r="G6897"/>
      <c r="H6897"/>
      <c r="I6897" s="489"/>
      <c r="J6897" s="1095"/>
      <c r="K6897" s="1095"/>
      <c r="L6897" s="1095"/>
      <c r="M6897" s="1095"/>
    </row>
    <row r="6898" spans="1:13" x14ac:dyDescent="0.25">
      <c r="A6898" t="s">
        <v>14634</v>
      </c>
      <c r="B6898" t="s">
        <v>14635</v>
      </c>
      <c r="C6898" t="s">
        <v>2716</v>
      </c>
      <c r="D6898" s="254">
        <v>15.78</v>
      </c>
      <c r="E6898"/>
      <c r="F6898"/>
      <c r="G6898"/>
      <c r="H6898"/>
      <c r="I6898" s="489"/>
      <c r="J6898" s="1095"/>
      <c r="K6898" s="1095"/>
      <c r="L6898" s="1095"/>
      <c r="M6898" s="1095"/>
    </row>
    <row r="6899" spans="1:13" x14ac:dyDescent="0.25">
      <c r="A6899" t="s">
        <v>14636</v>
      </c>
      <c r="B6899" t="s">
        <v>14637</v>
      </c>
      <c r="C6899" t="s">
        <v>2640</v>
      </c>
      <c r="D6899" s="254">
        <v>84524.69</v>
      </c>
      <c r="E6899"/>
      <c r="F6899"/>
      <c r="G6899"/>
      <c r="H6899"/>
      <c r="I6899" s="489"/>
      <c r="J6899" s="1095"/>
      <c r="K6899" s="1095"/>
      <c r="L6899" s="1095"/>
      <c r="M6899" s="1095"/>
    </row>
    <row r="6900" spans="1:13" x14ac:dyDescent="0.25">
      <c r="A6900" t="s">
        <v>14638</v>
      </c>
      <c r="B6900" t="s">
        <v>14639</v>
      </c>
      <c r="C6900" t="s">
        <v>2640</v>
      </c>
      <c r="D6900" s="254">
        <v>405.86</v>
      </c>
      <c r="E6900"/>
      <c r="F6900"/>
      <c r="G6900"/>
      <c r="H6900"/>
      <c r="I6900" s="489"/>
      <c r="J6900" s="1095"/>
      <c r="K6900" s="1095"/>
      <c r="L6900" s="1095"/>
      <c r="M6900" s="1095"/>
    </row>
    <row r="6901" spans="1:13" x14ac:dyDescent="0.25">
      <c r="A6901" t="s">
        <v>14640</v>
      </c>
      <c r="B6901" t="s">
        <v>14641</v>
      </c>
      <c r="C6901" t="s">
        <v>2640</v>
      </c>
      <c r="D6901" s="254">
        <v>540.5</v>
      </c>
      <c r="E6901"/>
      <c r="F6901"/>
      <c r="G6901"/>
      <c r="H6901"/>
      <c r="I6901" s="489"/>
      <c r="J6901" s="1095"/>
      <c r="K6901" s="1095"/>
      <c r="L6901" s="1095"/>
      <c r="M6901" s="1095"/>
    </row>
    <row r="6902" spans="1:13" x14ac:dyDescent="0.25">
      <c r="A6902" t="s">
        <v>14642</v>
      </c>
      <c r="B6902" t="s">
        <v>14643</v>
      </c>
      <c r="C6902" t="s">
        <v>2640</v>
      </c>
      <c r="D6902" s="254">
        <v>551.88</v>
      </c>
      <c r="E6902"/>
      <c r="F6902"/>
      <c r="G6902"/>
      <c r="H6902"/>
      <c r="I6902" s="489"/>
      <c r="J6902" s="1095"/>
      <c r="K6902" s="1095"/>
      <c r="L6902" s="1095"/>
      <c r="M6902" s="1095"/>
    </row>
    <row r="6903" spans="1:13" x14ac:dyDescent="0.25">
      <c r="A6903" t="s">
        <v>14644</v>
      </c>
      <c r="B6903" t="s">
        <v>14645</v>
      </c>
      <c r="C6903" t="s">
        <v>2640</v>
      </c>
      <c r="D6903" s="254">
        <v>690.99</v>
      </c>
      <c r="E6903"/>
      <c r="F6903"/>
      <c r="G6903"/>
      <c r="H6903"/>
      <c r="I6903" s="489"/>
      <c r="J6903" s="1095"/>
      <c r="K6903" s="1095"/>
      <c r="L6903" s="1095"/>
      <c r="M6903" s="1095"/>
    </row>
    <row r="6904" spans="1:13" x14ac:dyDescent="0.25">
      <c r="A6904" t="s">
        <v>14646</v>
      </c>
      <c r="B6904" t="s">
        <v>14647</v>
      </c>
      <c r="C6904" t="s">
        <v>2598</v>
      </c>
      <c r="D6904" s="254">
        <v>15.59</v>
      </c>
      <c r="E6904"/>
      <c r="F6904"/>
      <c r="G6904"/>
      <c r="H6904"/>
      <c r="I6904" s="489"/>
      <c r="J6904" s="1095"/>
      <c r="K6904" s="1095"/>
      <c r="L6904" s="1095"/>
      <c r="M6904" s="1095"/>
    </row>
    <row r="6905" spans="1:13" x14ac:dyDescent="0.25">
      <c r="A6905" t="s">
        <v>14648</v>
      </c>
      <c r="B6905" t="s">
        <v>14649</v>
      </c>
      <c r="C6905" t="s">
        <v>2640</v>
      </c>
      <c r="D6905" s="254">
        <v>218716.62</v>
      </c>
      <c r="E6905"/>
      <c r="F6905"/>
      <c r="G6905"/>
      <c r="H6905"/>
      <c r="I6905" s="489"/>
      <c r="J6905" s="1095"/>
      <c r="K6905" s="1095"/>
      <c r="L6905" s="1095"/>
      <c r="M6905" s="1095"/>
    </row>
    <row r="6906" spans="1:13" x14ac:dyDescent="0.25">
      <c r="A6906" t="s">
        <v>14650</v>
      </c>
      <c r="B6906" t="s">
        <v>14651</v>
      </c>
      <c r="C6906" t="s">
        <v>2640</v>
      </c>
      <c r="D6906" s="254">
        <v>235028.33</v>
      </c>
      <c r="E6906"/>
      <c r="F6906"/>
      <c r="G6906"/>
      <c r="H6906"/>
      <c r="I6906" s="489"/>
      <c r="J6906" s="1095"/>
      <c r="K6906" s="1095"/>
      <c r="L6906" s="1095"/>
      <c r="M6906" s="1095"/>
    </row>
    <row r="6907" spans="1:13" x14ac:dyDescent="0.25">
      <c r="A6907" t="s">
        <v>14652</v>
      </c>
      <c r="B6907" t="s">
        <v>14653</v>
      </c>
      <c r="C6907" t="s">
        <v>2640</v>
      </c>
      <c r="D6907" s="254">
        <v>251386.64</v>
      </c>
      <c r="E6907"/>
      <c r="F6907"/>
      <c r="G6907"/>
      <c r="H6907"/>
      <c r="I6907" s="489"/>
      <c r="J6907" s="1095"/>
      <c r="K6907" s="1095"/>
      <c r="L6907" s="1095"/>
      <c r="M6907" s="1095"/>
    </row>
    <row r="6908" spans="1:13" x14ac:dyDescent="0.25">
      <c r="A6908" t="s">
        <v>14654</v>
      </c>
      <c r="B6908" t="s">
        <v>14655</v>
      </c>
      <c r="C6908" t="s">
        <v>2640</v>
      </c>
      <c r="D6908" s="254">
        <v>280281.65999999997</v>
      </c>
      <c r="E6908"/>
      <c r="F6908"/>
      <c r="G6908"/>
      <c r="H6908"/>
      <c r="I6908" s="489"/>
      <c r="J6908" s="1095"/>
      <c r="K6908" s="1095"/>
      <c r="L6908" s="1095"/>
      <c r="M6908" s="1095"/>
    </row>
    <row r="6909" spans="1:13" x14ac:dyDescent="0.25">
      <c r="A6909" t="s">
        <v>14656</v>
      </c>
      <c r="B6909" t="s">
        <v>14657</v>
      </c>
      <c r="C6909" t="s">
        <v>2640</v>
      </c>
      <c r="D6909" s="254">
        <v>310155.39</v>
      </c>
      <c r="E6909"/>
      <c r="F6909"/>
      <c r="G6909"/>
      <c r="H6909"/>
      <c r="I6909" s="489"/>
      <c r="J6909" s="1095"/>
      <c r="K6909" s="1095"/>
      <c r="L6909" s="1095"/>
      <c r="M6909" s="1095"/>
    </row>
    <row r="6910" spans="1:13" x14ac:dyDescent="0.25">
      <c r="A6910" t="s">
        <v>14658</v>
      </c>
      <c r="B6910" t="s">
        <v>14659</v>
      </c>
      <c r="C6910" t="s">
        <v>2640</v>
      </c>
      <c r="D6910" s="254">
        <v>314815.87</v>
      </c>
      <c r="E6910"/>
      <c r="F6910"/>
      <c r="G6910"/>
      <c r="H6910"/>
      <c r="I6910" s="489"/>
      <c r="J6910" s="1095"/>
      <c r="K6910" s="1095"/>
      <c r="L6910" s="1095"/>
      <c r="M6910" s="1095"/>
    </row>
    <row r="6911" spans="1:13" x14ac:dyDescent="0.25">
      <c r="A6911" t="s">
        <v>14660</v>
      </c>
      <c r="B6911" t="s">
        <v>14661</v>
      </c>
      <c r="C6911" t="s">
        <v>2640</v>
      </c>
      <c r="D6911" s="254">
        <v>405182.71999999997</v>
      </c>
      <c r="E6911"/>
      <c r="F6911"/>
      <c r="G6911"/>
      <c r="H6911"/>
      <c r="I6911" s="489"/>
      <c r="J6911" s="1095"/>
      <c r="K6911" s="1095"/>
      <c r="L6911" s="1095"/>
      <c r="M6911" s="1095"/>
    </row>
    <row r="6912" spans="1:13" x14ac:dyDescent="0.25">
      <c r="A6912" t="s">
        <v>14662</v>
      </c>
      <c r="B6912" t="s">
        <v>14663</v>
      </c>
      <c r="C6912" t="s">
        <v>2640</v>
      </c>
      <c r="D6912" s="254">
        <v>411707.41</v>
      </c>
      <c r="E6912"/>
      <c r="F6912"/>
      <c r="G6912"/>
      <c r="H6912"/>
      <c r="I6912" s="489"/>
      <c r="J6912" s="1095"/>
      <c r="K6912" s="1095"/>
      <c r="L6912" s="1095"/>
      <c r="M6912" s="1095"/>
    </row>
    <row r="6913" spans="1:13" x14ac:dyDescent="0.25">
      <c r="A6913" t="s">
        <v>14664</v>
      </c>
      <c r="B6913" t="s">
        <v>14665</v>
      </c>
      <c r="C6913" t="s">
        <v>2640</v>
      </c>
      <c r="D6913" s="254">
        <v>461341.6</v>
      </c>
      <c r="E6913"/>
      <c r="F6913"/>
      <c r="G6913"/>
      <c r="H6913"/>
      <c r="I6913" s="489"/>
      <c r="J6913" s="1095"/>
      <c r="K6913" s="1095"/>
      <c r="L6913" s="1095"/>
      <c r="M6913" s="1095"/>
    </row>
    <row r="6914" spans="1:13" x14ac:dyDescent="0.25">
      <c r="A6914" t="s">
        <v>14666</v>
      </c>
      <c r="B6914" t="s">
        <v>14667</v>
      </c>
      <c r="C6914" t="s">
        <v>2640</v>
      </c>
      <c r="D6914" s="254">
        <v>505429.81</v>
      </c>
      <c r="E6914"/>
      <c r="F6914"/>
      <c r="G6914"/>
      <c r="H6914"/>
      <c r="I6914" s="489"/>
      <c r="J6914" s="1095"/>
      <c r="K6914" s="1095"/>
      <c r="L6914" s="1095"/>
      <c r="M6914" s="1095"/>
    </row>
    <row r="6915" spans="1:13" x14ac:dyDescent="0.25">
      <c r="A6915" t="s">
        <v>14668</v>
      </c>
      <c r="B6915" t="s">
        <v>14669</v>
      </c>
      <c r="C6915" t="s">
        <v>2640</v>
      </c>
      <c r="D6915" s="254">
        <v>518712.2</v>
      </c>
      <c r="E6915"/>
      <c r="F6915"/>
      <c r="G6915"/>
      <c r="H6915"/>
      <c r="I6915" s="489"/>
      <c r="J6915" s="1095"/>
      <c r="K6915" s="1095"/>
      <c r="L6915" s="1095"/>
      <c r="M6915" s="1095"/>
    </row>
    <row r="6916" spans="1:13" x14ac:dyDescent="0.25">
      <c r="A6916" t="s">
        <v>14670</v>
      </c>
      <c r="B6916" t="s">
        <v>14671</v>
      </c>
      <c r="C6916" t="s">
        <v>2640</v>
      </c>
      <c r="D6916" s="254">
        <v>561402.26</v>
      </c>
      <c r="E6916"/>
      <c r="F6916"/>
      <c r="G6916"/>
      <c r="H6916"/>
      <c r="I6916" s="489"/>
      <c r="J6916" s="1095"/>
      <c r="K6916" s="1095"/>
      <c r="L6916" s="1095"/>
      <c r="M6916" s="1095"/>
    </row>
    <row r="6917" spans="1:13" x14ac:dyDescent="0.25">
      <c r="A6917" t="s">
        <v>14672</v>
      </c>
      <c r="B6917" t="s">
        <v>14673</v>
      </c>
      <c r="C6917" t="s">
        <v>2640</v>
      </c>
      <c r="D6917" s="254">
        <v>186534.22</v>
      </c>
      <c r="E6917"/>
      <c r="F6917"/>
      <c r="G6917"/>
      <c r="H6917"/>
      <c r="I6917" s="489"/>
      <c r="J6917" s="1095"/>
      <c r="K6917" s="1095"/>
      <c r="L6917" s="1095"/>
      <c r="M6917" s="1095"/>
    </row>
    <row r="6918" spans="1:13" x14ac:dyDescent="0.25">
      <c r="A6918" t="s">
        <v>14674</v>
      </c>
      <c r="B6918" t="s">
        <v>14675</v>
      </c>
      <c r="C6918" t="s">
        <v>2640</v>
      </c>
      <c r="D6918" s="254">
        <v>191431.69</v>
      </c>
      <c r="E6918"/>
      <c r="F6918"/>
      <c r="G6918"/>
      <c r="H6918"/>
      <c r="I6918" s="489"/>
      <c r="J6918" s="1095"/>
      <c r="K6918" s="1095"/>
      <c r="L6918" s="1095"/>
      <c r="M6918" s="1095"/>
    </row>
    <row r="6919" spans="1:13" x14ac:dyDescent="0.25">
      <c r="A6919" t="s">
        <v>14676</v>
      </c>
      <c r="B6919" t="s">
        <v>14677</v>
      </c>
      <c r="C6919" t="s">
        <v>2640</v>
      </c>
      <c r="D6919" s="254">
        <v>205995.16</v>
      </c>
      <c r="E6919"/>
      <c r="F6919"/>
      <c r="G6919"/>
      <c r="H6919"/>
      <c r="I6919" s="489"/>
      <c r="J6919" s="1095"/>
      <c r="K6919" s="1095"/>
      <c r="L6919" s="1095"/>
      <c r="M6919" s="1095"/>
    </row>
    <row r="6920" spans="1:13" x14ac:dyDescent="0.25">
      <c r="A6920" t="s">
        <v>14678</v>
      </c>
      <c r="B6920" t="s">
        <v>14679</v>
      </c>
      <c r="C6920" t="s">
        <v>2640</v>
      </c>
      <c r="D6920" s="254">
        <v>220558.62</v>
      </c>
      <c r="E6920"/>
      <c r="F6920"/>
      <c r="G6920"/>
      <c r="H6920"/>
      <c r="I6920" s="489"/>
      <c r="J6920" s="1095"/>
      <c r="K6920" s="1095"/>
      <c r="L6920" s="1095"/>
      <c r="M6920" s="1095"/>
    </row>
    <row r="6921" spans="1:13" x14ac:dyDescent="0.25">
      <c r="A6921" t="s">
        <v>14680</v>
      </c>
      <c r="B6921" t="s">
        <v>14681</v>
      </c>
      <c r="C6921" t="s">
        <v>2640</v>
      </c>
      <c r="D6921" s="254">
        <v>235122.09</v>
      </c>
      <c r="E6921"/>
      <c r="F6921"/>
      <c r="G6921"/>
      <c r="H6921"/>
      <c r="I6921" s="489"/>
      <c r="J6921" s="1095"/>
      <c r="K6921" s="1095"/>
      <c r="L6921" s="1095"/>
      <c r="M6921" s="1095"/>
    </row>
    <row r="6922" spans="1:13" x14ac:dyDescent="0.25">
      <c r="A6922" t="s">
        <v>14682</v>
      </c>
      <c r="B6922" t="s">
        <v>14683</v>
      </c>
      <c r="C6922" t="s">
        <v>2640</v>
      </c>
      <c r="D6922" s="254">
        <v>260539.46</v>
      </c>
      <c r="E6922"/>
      <c r="F6922"/>
      <c r="G6922"/>
      <c r="H6922"/>
      <c r="I6922" s="489"/>
      <c r="J6922" s="1095"/>
      <c r="K6922" s="1095"/>
      <c r="L6922" s="1095"/>
      <c r="M6922" s="1095"/>
    </row>
    <row r="6923" spans="1:13" x14ac:dyDescent="0.25">
      <c r="A6923" t="s">
        <v>14684</v>
      </c>
      <c r="B6923" t="s">
        <v>14685</v>
      </c>
      <c r="C6923" t="s">
        <v>2640</v>
      </c>
      <c r="D6923" s="254">
        <v>286918.57</v>
      </c>
      <c r="E6923"/>
      <c r="F6923"/>
      <c r="G6923"/>
      <c r="H6923"/>
      <c r="I6923" s="489"/>
      <c r="J6923" s="1095"/>
      <c r="K6923" s="1095"/>
      <c r="L6923" s="1095"/>
      <c r="M6923" s="1095"/>
    </row>
    <row r="6924" spans="1:13" x14ac:dyDescent="0.25">
      <c r="A6924" t="s">
        <v>14686</v>
      </c>
      <c r="B6924" t="s">
        <v>14687</v>
      </c>
      <c r="C6924" t="s">
        <v>2640</v>
      </c>
      <c r="D6924" s="254">
        <v>291498.28000000003</v>
      </c>
      <c r="E6924"/>
      <c r="F6924"/>
      <c r="G6924"/>
      <c r="H6924"/>
      <c r="I6924" s="489"/>
      <c r="J6924" s="1095"/>
      <c r="K6924" s="1095"/>
      <c r="L6924" s="1095"/>
      <c r="M6924" s="1095"/>
    </row>
    <row r="6925" spans="1:13" x14ac:dyDescent="0.25">
      <c r="A6925" t="s">
        <v>14688</v>
      </c>
      <c r="B6925" t="s">
        <v>14689</v>
      </c>
      <c r="C6925" t="s">
        <v>2640</v>
      </c>
      <c r="D6925" s="254">
        <v>312702.32</v>
      </c>
      <c r="E6925"/>
      <c r="F6925"/>
      <c r="G6925"/>
      <c r="H6925"/>
      <c r="I6925" s="489"/>
      <c r="J6925" s="1095"/>
      <c r="K6925" s="1095"/>
      <c r="L6925" s="1095"/>
      <c r="M6925" s="1095"/>
    </row>
    <row r="6926" spans="1:13" x14ac:dyDescent="0.25">
      <c r="A6926" t="s">
        <v>14690</v>
      </c>
      <c r="B6926" t="s">
        <v>14691</v>
      </c>
      <c r="C6926" t="s">
        <v>2640</v>
      </c>
      <c r="D6926" s="254">
        <v>319113.90999999997</v>
      </c>
      <c r="E6926"/>
      <c r="F6926"/>
      <c r="G6926"/>
      <c r="H6926"/>
      <c r="I6926" s="489"/>
      <c r="J6926" s="1095"/>
      <c r="K6926" s="1095"/>
      <c r="L6926" s="1095"/>
      <c r="M6926" s="1095"/>
    </row>
    <row r="6927" spans="1:13" x14ac:dyDescent="0.25">
      <c r="A6927" t="s">
        <v>14692</v>
      </c>
      <c r="B6927" t="s">
        <v>14693</v>
      </c>
      <c r="C6927" t="s">
        <v>2640</v>
      </c>
      <c r="D6927" s="254">
        <v>340180.56</v>
      </c>
      <c r="E6927"/>
      <c r="F6927"/>
      <c r="G6927"/>
      <c r="H6927"/>
      <c r="I6927" s="489"/>
      <c r="J6927" s="1095"/>
      <c r="K6927" s="1095"/>
      <c r="L6927" s="1095"/>
      <c r="M6927" s="1095"/>
    </row>
    <row r="6928" spans="1:13" x14ac:dyDescent="0.25">
      <c r="A6928" t="s">
        <v>14694</v>
      </c>
      <c r="B6928" t="s">
        <v>14695</v>
      </c>
      <c r="C6928" t="s">
        <v>2640</v>
      </c>
      <c r="D6928" s="254">
        <v>389824.58</v>
      </c>
      <c r="E6928"/>
      <c r="F6928"/>
      <c r="G6928"/>
      <c r="H6928"/>
      <c r="I6928" s="489"/>
      <c r="J6928" s="1095"/>
      <c r="K6928" s="1095"/>
      <c r="L6928" s="1095"/>
      <c r="M6928" s="1095"/>
    </row>
    <row r="6929" spans="1:13" x14ac:dyDescent="0.25">
      <c r="A6929" t="s">
        <v>14696</v>
      </c>
      <c r="B6929" t="s">
        <v>14697</v>
      </c>
      <c r="C6929" t="s">
        <v>2640</v>
      </c>
      <c r="D6929" s="254">
        <v>402876.74</v>
      </c>
      <c r="E6929"/>
      <c r="F6929"/>
      <c r="G6929"/>
      <c r="H6929"/>
      <c r="I6929" s="489"/>
      <c r="J6929" s="1095"/>
      <c r="K6929" s="1095"/>
      <c r="L6929" s="1095"/>
      <c r="M6929" s="1095"/>
    </row>
    <row r="6930" spans="1:13" x14ac:dyDescent="0.25">
      <c r="A6930" t="s">
        <v>14698</v>
      </c>
      <c r="B6930" t="s">
        <v>14699</v>
      </c>
      <c r="C6930" t="s">
        <v>2640</v>
      </c>
      <c r="D6930" s="254">
        <v>434156.14</v>
      </c>
      <c r="E6930"/>
      <c r="F6930"/>
      <c r="G6930"/>
      <c r="H6930"/>
      <c r="I6930" s="489"/>
      <c r="J6930" s="1095"/>
      <c r="K6930" s="1095"/>
      <c r="L6930" s="1095"/>
      <c r="M6930" s="1095"/>
    </row>
    <row r="6931" spans="1:13" x14ac:dyDescent="0.25">
      <c r="A6931" t="s">
        <v>14700</v>
      </c>
      <c r="B6931" t="s">
        <v>14701</v>
      </c>
      <c r="C6931" t="s">
        <v>2598</v>
      </c>
      <c r="D6931" s="254">
        <v>2.4900000000000002</v>
      </c>
      <c r="E6931"/>
      <c r="F6931"/>
      <c r="G6931"/>
      <c r="H6931"/>
      <c r="I6931" s="489"/>
      <c r="J6931" s="1095"/>
      <c r="K6931" s="1095"/>
      <c r="L6931" s="1095"/>
      <c r="M6931" s="1095"/>
    </row>
    <row r="6932" spans="1:13" x14ac:dyDescent="0.25">
      <c r="A6932" t="s">
        <v>14702</v>
      </c>
      <c r="B6932" t="s">
        <v>14703</v>
      </c>
      <c r="C6932" t="s">
        <v>2640</v>
      </c>
      <c r="D6932" s="254">
        <v>677.72</v>
      </c>
      <c r="E6932"/>
      <c r="F6932"/>
      <c r="G6932"/>
      <c r="H6932"/>
      <c r="I6932" s="489"/>
      <c r="J6932" s="1095"/>
      <c r="K6932" s="1095"/>
      <c r="L6932" s="1095"/>
      <c r="M6932" s="1095"/>
    </row>
    <row r="6933" spans="1:13" x14ac:dyDescent="0.25">
      <c r="A6933" t="s">
        <v>14704</v>
      </c>
      <c r="B6933" t="s">
        <v>14705</v>
      </c>
      <c r="C6933" t="s">
        <v>2640</v>
      </c>
      <c r="D6933" s="254">
        <v>5.21</v>
      </c>
      <c r="E6933"/>
      <c r="F6933"/>
      <c r="G6933"/>
      <c r="H6933"/>
      <c r="I6933" s="489"/>
      <c r="J6933" s="1095"/>
      <c r="K6933" s="1095"/>
      <c r="L6933" s="1095"/>
      <c r="M6933" s="1095"/>
    </row>
    <row r="6934" spans="1:13" x14ac:dyDescent="0.25">
      <c r="A6934" t="s">
        <v>14706</v>
      </c>
      <c r="B6934" t="s">
        <v>14707</v>
      </c>
      <c r="C6934" t="s">
        <v>2640</v>
      </c>
      <c r="D6934" s="254">
        <v>98.77</v>
      </c>
      <c r="E6934"/>
      <c r="F6934"/>
      <c r="G6934"/>
      <c r="H6934"/>
      <c r="I6934" s="489"/>
      <c r="J6934" s="1095"/>
      <c r="K6934" s="1095"/>
      <c r="L6934" s="1095"/>
      <c r="M6934" s="1095"/>
    </row>
    <row r="6935" spans="1:13" x14ac:dyDescent="0.25">
      <c r="A6935" t="s">
        <v>14708</v>
      </c>
      <c r="B6935" t="s">
        <v>14709</v>
      </c>
      <c r="C6935" t="s">
        <v>2640</v>
      </c>
      <c r="D6935" s="254">
        <v>80.540000000000006</v>
      </c>
      <c r="E6935"/>
      <c r="F6935"/>
      <c r="G6935"/>
      <c r="H6935"/>
      <c r="I6935" s="489"/>
      <c r="J6935" s="1095"/>
      <c r="K6935" s="1095"/>
      <c r="L6935" s="1095"/>
      <c r="M6935" s="1095"/>
    </row>
    <row r="6936" spans="1:13" x14ac:dyDescent="0.25">
      <c r="A6936" t="s">
        <v>14710</v>
      </c>
      <c r="B6936" t="s">
        <v>14711</v>
      </c>
      <c r="C6936" t="s">
        <v>2640</v>
      </c>
      <c r="D6936" s="254">
        <v>46.16</v>
      </c>
      <c r="E6936"/>
      <c r="F6936"/>
      <c r="G6936"/>
      <c r="H6936"/>
      <c r="I6936" s="489"/>
      <c r="J6936" s="1095"/>
      <c r="K6936" s="1095"/>
      <c r="L6936" s="1095"/>
      <c r="M6936" s="1095"/>
    </row>
    <row r="6937" spans="1:13" x14ac:dyDescent="0.25">
      <c r="A6937" t="s">
        <v>14712</v>
      </c>
      <c r="B6937" t="s">
        <v>14713</v>
      </c>
      <c r="C6937" t="s">
        <v>2598</v>
      </c>
      <c r="D6937" s="254">
        <v>2.29</v>
      </c>
      <c r="E6937"/>
      <c r="F6937"/>
      <c r="G6937"/>
      <c r="H6937"/>
      <c r="I6937" s="489"/>
      <c r="J6937" s="1095"/>
      <c r="K6937" s="1095"/>
      <c r="L6937" s="1095"/>
      <c r="M6937" s="1095"/>
    </row>
    <row r="6938" spans="1:13" x14ac:dyDescent="0.25">
      <c r="A6938" t="s">
        <v>14714</v>
      </c>
      <c r="B6938" t="s">
        <v>14715</v>
      </c>
      <c r="C6938" t="s">
        <v>2640</v>
      </c>
      <c r="D6938" s="254">
        <v>165.7</v>
      </c>
      <c r="E6938"/>
      <c r="F6938"/>
      <c r="G6938"/>
      <c r="H6938"/>
      <c r="I6938" s="489"/>
      <c r="J6938" s="1095"/>
      <c r="K6938" s="1095"/>
      <c r="L6938" s="1095"/>
      <c r="M6938" s="1095"/>
    </row>
    <row r="6939" spans="1:13" x14ac:dyDescent="0.25">
      <c r="A6939" t="s">
        <v>14716</v>
      </c>
      <c r="B6939" t="s">
        <v>14717</v>
      </c>
      <c r="C6939" t="s">
        <v>2640</v>
      </c>
      <c r="D6939" s="254">
        <v>107.71</v>
      </c>
      <c r="E6939"/>
      <c r="F6939"/>
      <c r="G6939"/>
      <c r="H6939"/>
      <c r="I6939" s="489"/>
      <c r="J6939" s="1095"/>
      <c r="K6939" s="1095"/>
      <c r="L6939" s="1095"/>
      <c r="M6939" s="1095"/>
    </row>
    <row r="6940" spans="1:13" x14ac:dyDescent="0.25">
      <c r="A6940" t="s">
        <v>14718</v>
      </c>
      <c r="B6940" t="s">
        <v>14719</v>
      </c>
      <c r="C6940" t="s">
        <v>2640</v>
      </c>
      <c r="D6940" s="254">
        <v>48.75</v>
      </c>
      <c r="E6940"/>
      <c r="F6940"/>
      <c r="G6940"/>
      <c r="H6940"/>
      <c r="I6940" s="489"/>
      <c r="J6940" s="1095"/>
      <c r="K6940" s="1095"/>
      <c r="L6940" s="1095"/>
      <c r="M6940" s="1095"/>
    </row>
    <row r="6941" spans="1:13" x14ac:dyDescent="0.25">
      <c r="A6941" t="s">
        <v>14720</v>
      </c>
      <c r="B6941" t="s">
        <v>14721</v>
      </c>
      <c r="C6941" t="s">
        <v>2595</v>
      </c>
      <c r="D6941" s="254">
        <v>60.84</v>
      </c>
      <c r="E6941"/>
      <c r="F6941"/>
      <c r="G6941"/>
      <c r="H6941"/>
      <c r="I6941" s="489"/>
      <c r="J6941" s="1095"/>
      <c r="K6941" s="1095"/>
      <c r="L6941" s="1095"/>
      <c r="M6941" s="1095"/>
    </row>
    <row r="6942" spans="1:13" x14ac:dyDescent="0.25">
      <c r="A6942" t="s">
        <v>14722</v>
      </c>
      <c r="B6942" t="s">
        <v>14723</v>
      </c>
      <c r="C6942" t="s">
        <v>13878</v>
      </c>
      <c r="D6942" s="254">
        <v>23.18</v>
      </c>
      <c r="E6942"/>
      <c r="F6942"/>
      <c r="G6942"/>
      <c r="H6942"/>
      <c r="I6942" s="489"/>
      <c r="J6942" s="1095"/>
      <c r="K6942" s="1095"/>
      <c r="L6942" s="1095"/>
      <c r="M6942" s="1095"/>
    </row>
    <row r="6943" spans="1:13" x14ac:dyDescent="0.25">
      <c r="A6943" t="s">
        <v>14724</v>
      </c>
      <c r="B6943" t="s">
        <v>14725</v>
      </c>
      <c r="C6943" t="s">
        <v>13878</v>
      </c>
      <c r="D6943" s="254">
        <v>26.34</v>
      </c>
      <c r="E6943"/>
      <c r="F6943"/>
      <c r="G6943"/>
      <c r="H6943"/>
      <c r="I6943" s="489"/>
      <c r="J6943" s="1095"/>
      <c r="K6943" s="1095"/>
      <c r="L6943" s="1095"/>
      <c r="M6943" s="1095"/>
    </row>
    <row r="6944" spans="1:13" x14ac:dyDescent="0.25">
      <c r="A6944" t="s">
        <v>14726</v>
      </c>
      <c r="B6944" t="s">
        <v>14727</v>
      </c>
      <c r="C6944" t="s">
        <v>2716</v>
      </c>
      <c r="D6944" s="254">
        <v>14.81</v>
      </c>
      <c r="E6944"/>
      <c r="F6944"/>
      <c r="G6944"/>
      <c r="H6944"/>
      <c r="I6944" s="489"/>
      <c r="J6944" s="1095"/>
      <c r="K6944" s="1095"/>
      <c r="L6944" s="1095"/>
      <c r="M6944" s="1095"/>
    </row>
    <row r="6945" spans="1:13" x14ac:dyDescent="0.25">
      <c r="A6945" t="s">
        <v>14728</v>
      </c>
      <c r="B6945" t="s">
        <v>14729</v>
      </c>
      <c r="C6945" t="s">
        <v>2598</v>
      </c>
      <c r="D6945" s="254">
        <v>165.32</v>
      </c>
      <c r="E6945"/>
      <c r="F6945"/>
      <c r="G6945"/>
      <c r="H6945"/>
      <c r="I6945" s="489"/>
      <c r="J6945" s="1095"/>
      <c r="K6945" s="1095"/>
      <c r="L6945" s="1095"/>
      <c r="M6945" s="1095"/>
    </row>
    <row r="6946" spans="1:13" x14ac:dyDescent="0.25">
      <c r="A6946" t="s">
        <v>14730</v>
      </c>
      <c r="B6946" t="s">
        <v>14731</v>
      </c>
      <c r="C6946" t="s">
        <v>13878</v>
      </c>
      <c r="D6946" s="254">
        <v>5.96</v>
      </c>
      <c r="E6946"/>
      <c r="F6946"/>
      <c r="G6946"/>
      <c r="H6946"/>
      <c r="I6946" s="489"/>
      <c r="J6946" s="1095"/>
      <c r="K6946" s="1095"/>
      <c r="L6946" s="1095"/>
      <c r="M6946" s="1095"/>
    </row>
    <row r="6947" spans="1:13" x14ac:dyDescent="0.25">
      <c r="A6947" t="s">
        <v>14732</v>
      </c>
      <c r="B6947" t="s">
        <v>14733</v>
      </c>
      <c r="C6947" t="s">
        <v>13878</v>
      </c>
      <c r="D6947" s="254">
        <v>7.55</v>
      </c>
      <c r="E6947"/>
      <c r="F6947"/>
      <c r="G6947"/>
      <c r="H6947"/>
      <c r="I6947" s="489"/>
      <c r="J6947" s="1095"/>
      <c r="K6947" s="1095"/>
      <c r="L6947" s="1095"/>
      <c r="M6947" s="1095"/>
    </row>
    <row r="6948" spans="1:13" x14ac:dyDescent="0.25">
      <c r="A6948" t="s">
        <v>14734</v>
      </c>
      <c r="B6948" t="s">
        <v>14735</v>
      </c>
      <c r="C6948" t="s">
        <v>2716</v>
      </c>
      <c r="D6948" s="254">
        <v>18.329999999999998</v>
      </c>
      <c r="E6948"/>
      <c r="F6948"/>
      <c r="G6948"/>
      <c r="H6948"/>
      <c r="I6948" s="489"/>
      <c r="J6948" s="1095"/>
      <c r="K6948" s="1095"/>
      <c r="L6948" s="1095"/>
      <c r="M6948" s="1095"/>
    </row>
    <row r="6949" spans="1:13" x14ac:dyDescent="0.25">
      <c r="A6949" t="s">
        <v>14736</v>
      </c>
      <c r="B6949" t="s">
        <v>14737</v>
      </c>
      <c r="C6949" t="s">
        <v>2716</v>
      </c>
      <c r="D6949" s="254">
        <v>15.54</v>
      </c>
      <c r="E6949"/>
      <c r="F6949"/>
      <c r="G6949"/>
      <c r="H6949"/>
      <c r="I6949" s="489"/>
      <c r="J6949" s="1095"/>
      <c r="K6949" s="1095"/>
      <c r="L6949" s="1095"/>
      <c r="M6949" s="1095"/>
    </row>
    <row r="6950" spans="1:13" x14ac:dyDescent="0.25">
      <c r="A6950" t="s">
        <v>14738</v>
      </c>
      <c r="B6950" t="s">
        <v>14739</v>
      </c>
      <c r="C6950" t="s">
        <v>2716</v>
      </c>
      <c r="D6950" s="254">
        <v>15.14</v>
      </c>
      <c r="E6950"/>
      <c r="F6950"/>
      <c r="G6950"/>
      <c r="H6950"/>
      <c r="I6950" s="489"/>
      <c r="J6950" s="1095"/>
      <c r="K6950" s="1095"/>
      <c r="L6950" s="1095"/>
      <c r="M6950" s="1095"/>
    </row>
    <row r="6951" spans="1:13" x14ac:dyDescent="0.25">
      <c r="A6951" t="s">
        <v>14740</v>
      </c>
      <c r="B6951" t="s">
        <v>14741</v>
      </c>
      <c r="C6951" t="s">
        <v>2716</v>
      </c>
      <c r="D6951" s="254">
        <v>5.88</v>
      </c>
      <c r="E6951"/>
      <c r="F6951"/>
      <c r="G6951"/>
      <c r="H6951"/>
      <c r="I6951" s="489"/>
      <c r="J6951" s="1095"/>
      <c r="K6951" s="1095"/>
      <c r="L6951" s="1095"/>
      <c r="M6951" s="1095"/>
    </row>
    <row r="6952" spans="1:13" x14ac:dyDescent="0.25">
      <c r="A6952" t="s">
        <v>14742</v>
      </c>
      <c r="B6952" t="s">
        <v>14743</v>
      </c>
      <c r="C6952" t="s">
        <v>2596</v>
      </c>
      <c r="D6952" s="254">
        <v>159.11000000000001</v>
      </c>
      <c r="E6952"/>
      <c r="F6952"/>
      <c r="G6952"/>
      <c r="H6952"/>
      <c r="I6952" s="489"/>
      <c r="J6952" s="1095"/>
      <c r="K6952" s="1095"/>
      <c r="L6952" s="1095"/>
      <c r="M6952" s="1095"/>
    </row>
    <row r="6953" spans="1:13" x14ac:dyDescent="0.25">
      <c r="A6953" t="s">
        <v>14744</v>
      </c>
      <c r="B6953" t="s">
        <v>14745</v>
      </c>
      <c r="C6953" t="s">
        <v>2596</v>
      </c>
      <c r="D6953" s="254">
        <v>166.26</v>
      </c>
      <c r="E6953"/>
      <c r="F6953"/>
      <c r="G6953"/>
      <c r="H6953"/>
      <c r="I6953" s="489"/>
      <c r="J6953" s="1095"/>
      <c r="K6953" s="1095"/>
      <c r="L6953" s="1095"/>
      <c r="M6953" s="1095"/>
    </row>
    <row r="6954" spans="1:13" x14ac:dyDescent="0.25">
      <c r="A6954" t="s">
        <v>14746</v>
      </c>
      <c r="B6954" t="s">
        <v>14747</v>
      </c>
      <c r="C6954" t="s">
        <v>2716</v>
      </c>
      <c r="D6954" s="254">
        <v>11.48</v>
      </c>
      <c r="E6954"/>
      <c r="F6954"/>
      <c r="G6954"/>
      <c r="H6954"/>
      <c r="I6954" s="489"/>
      <c r="J6954" s="1095"/>
      <c r="K6954" s="1095"/>
      <c r="L6954" s="1095"/>
      <c r="M6954" s="1095"/>
    </row>
    <row r="6955" spans="1:13" x14ac:dyDescent="0.25">
      <c r="A6955" t="s">
        <v>14748</v>
      </c>
      <c r="B6955" t="s">
        <v>14749</v>
      </c>
      <c r="C6955" t="s">
        <v>2640</v>
      </c>
      <c r="D6955" s="254">
        <v>428.09</v>
      </c>
      <c r="E6955"/>
      <c r="F6955"/>
      <c r="G6955"/>
      <c r="H6955"/>
      <c r="I6955" s="489"/>
      <c r="J6955" s="1095"/>
      <c r="K6955" s="1095"/>
      <c r="L6955" s="1095"/>
      <c r="M6955" s="1095"/>
    </row>
    <row r="6956" spans="1:13" x14ac:dyDescent="0.25">
      <c r="A6956" t="s">
        <v>14750</v>
      </c>
      <c r="B6956" t="s">
        <v>14751</v>
      </c>
      <c r="C6956" t="s">
        <v>2716</v>
      </c>
      <c r="D6956" s="254">
        <v>55.59</v>
      </c>
      <c r="E6956"/>
      <c r="F6956"/>
      <c r="G6956"/>
      <c r="H6956"/>
      <c r="I6956" s="489"/>
      <c r="J6956" s="1095"/>
      <c r="K6956" s="1095"/>
      <c r="L6956" s="1095"/>
      <c r="M6956" s="1095"/>
    </row>
    <row r="6957" spans="1:13" x14ac:dyDescent="0.25">
      <c r="A6957" t="s">
        <v>14752</v>
      </c>
      <c r="B6957" t="s">
        <v>14753</v>
      </c>
      <c r="C6957" t="s">
        <v>2716</v>
      </c>
      <c r="D6957" s="254">
        <v>24.27</v>
      </c>
      <c r="E6957"/>
      <c r="F6957"/>
      <c r="G6957"/>
      <c r="H6957"/>
      <c r="I6957" s="489"/>
      <c r="J6957" s="1095"/>
      <c r="K6957" s="1095"/>
      <c r="L6957" s="1095"/>
      <c r="M6957" s="1095"/>
    </row>
    <row r="6958" spans="1:13" x14ac:dyDescent="0.25">
      <c r="A6958" t="s">
        <v>14754</v>
      </c>
      <c r="B6958" t="s">
        <v>14755</v>
      </c>
      <c r="C6958" t="s">
        <v>2716</v>
      </c>
      <c r="D6958" s="254">
        <v>232.4</v>
      </c>
      <c r="E6958"/>
      <c r="F6958"/>
      <c r="G6958"/>
      <c r="H6958"/>
      <c r="I6958" s="489"/>
      <c r="J6958" s="1095"/>
      <c r="K6958" s="1095"/>
      <c r="L6958" s="1095"/>
      <c r="M6958" s="1095"/>
    </row>
    <row r="6959" spans="1:13" x14ac:dyDescent="0.25">
      <c r="A6959" t="s">
        <v>14756</v>
      </c>
      <c r="B6959" t="s">
        <v>14757</v>
      </c>
      <c r="C6959" t="s">
        <v>2640</v>
      </c>
      <c r="D6959" s="254">
        <v>311.14999999999998</v>
      </c>
      <c r="E6959"/>
      <c r="F6959"/>
      <c r="G6959"/>
      <c r="H6959"/>
      <c r="I6959" s="489"/>
      <c r="J6959" s="1095"/>
      <c r="K6959" s="1095"/>
      <c r="L6959" s="1095"/>
      <c r="M6959" s="1095"/>
    </row>
    <row r="6960" spans="1:13" x14ac:dyDescent="0.25">
      <c r="A6960" t="s">
        <v>14758</v>
      </c>
      <c r="B6960" t="s">
        <v>14759</v>
      </c>
      <c r="C6960" t="s">
        <v>2716</v>
      </c>
      <c r="D6960" s="254">
        <v>26.11</v>
      </c>
      <c r="E6960"/>
      <c r="F6960"/>
      <c r="G6960"/>
      <c r="H6960"/>
      <c r="I6960" s="489"/>
      <c r="J6960" s="1095"/>
      <c r="K6960" s="1095"/>
      <c r="L6960" s="1095"/>
      <c r="M6960" s="1095"/>
    </row>
    <row r="6961" spans="1:13" x14ac:dyDescent="0.25">
      <c r="A6961" t="s">
        <v>14760</v>
      </c>
      <c r="B6961" t="s">
        <v>14761</v>
      </c>
      <c r="C6961" t="s">
        <v>2716</v>
      </c>
      <c r="D6961" s="254">
        <v>30.55</v>
      </c>
      <c r="E6961"/>
      <c r="F6961"/>
      <c r="G6961"/>
      <c r="H6961"/>
      <c r="I6961" s="489"/>
      <c r="J6961" s="1095"/>
      <c r="K6961" s="1095"/>
      <c r="L6961" s="1095"/>
      <c r="M6961" s="1095"/>
    </row>
    <row r="6962" spans="1:13" x14ac:dyDescent="0.25">
      <c r="A6962" t="s">
        <v>14762</v>
      </c>
      <c r="B6962" t="s">
        <v>14763</v>
      </c>
      <c r="C6962" t="s">
        <v>2640</v>
      </c>
      <c r="D6962" s="254">
        <v>29.46</v>
      </c>
      <c r="E6962"/>
      <c r="F6962"/>
      <c r="G6962"/>
      <c r="H6962"/>
      <c r="I6962" s="489"/>
      <c r="J6962" s="1095"/>
      <c r="K6962" s="1095"/>
      <c r="L6962" s="1095"/>
      <c r="M6962" s="1095"/>
    </row>
    <row r="6963" spans="1:13" x14ac:dyDescent="0.25">
      <c r="A6963" t="s">
        <v>14764</v>
      </c>
      <c r="B6963" t="s">
        <v>14765</v>
      </c>
      <c r="C6963" t="s">
        <v>2716</v>
      </c>
      <c r="D6963" s="254">
        <v>55.16</v>
      </c>
      <c r="E6963"/>
      <c r="F6963"/>
      <c r="G6963"/>
      <c r="H6963"/>
      <c r="I6963" s="489"/>
      <c r="J6963" s="1095"/>
      <c r="K6963" s="1095"/>
      <c r="L6963" s="1095"/>
      <c r="M6963" s="1095"/>
    </row>
    <row r="6964" spans="1:13" x14ac:dyDescent="0.25">
      <c r="A6964" t="s">
        <v>14766</v>
      </c>
      <c r="B6964" t="s">
        <v>14767</v>
      </c>
      <c r="C6964" t="s">
        <v>2640</v>
      </c>
      <c r="D6964" s="254">
        <v>6.69</v>
      </c>
      <c r="E6964"/>
      <c r="F6964"/>
      <c r="G6964"/>
      <c r="H6964"/>
      <c r="I6964" s="489"/>
      <c r="J6964" s="1095"/>
      <c r="K6964" s="1095"/>
      <c r="L6964" s="1095"/>
      <c r="M6964" s="1095"/>
    </row>
    <row r="6965" spans="1:13" x14ac:dyDescent="0.25">
      <c r="A6965" t="s">
        <v>14768</v>
      </c>
      <c r="B6965" t="s">
        <v>14769</v>
      </c>
      <c r="C6965" t="s">
        <v>2640</v>
      </c>
      <c r="D6965" s="254">
        <v>5.0999999999999996</v>
      </c>
      <c r="E6965"/>
      <c r="F6965"/>
      <c r="G6965"/>
      <c r="H6965"/>
      <c r="I6965" s="489"/>
      <c r="J6965" s="1095"/>
      <c r="K6965" s="1095"/>
      <c r="L6965" s="1095"/>
      <c r="M6965" s="1095"/>
    </row>
    <row r="6966" spans="1:13" x14ac:dyDescent="0.25">
      <c r="A6966" t="s">
        <v>14770</v>
      </c>
      <c r="B6966" t="s">
        <v>14771</v>
      </c>
      <c r="C6966" t="s">
        <v>2640</v>
      </c>
      <c r="D6966" s="254">
        <v>2707.82</v>
      </c>
      <c r="E6966"/>
      <c r="F6966"/>
      <c r="G6966"/>
      <c r="H6966"/>
      <c r="I6966" s="489"/>
      <c r="J6966" s="1095"/>
      <c r="K6966" s="1095"/>
      <c r="L6966" s="1095"/>
      <c r="M6966" s="1095"/>
    </row>
    <row r="6967" spans="1:13" x14ac:dyDescent="0.25">
      <c r="A6967" t="s">
        <v>14772</v>
      </c>
      <c r="B6967" t="s">
        <v>14773</v>
      </c>
      <c r="C6967" t="s">
        <v>2640</v>
      </c>
      <c r="D6967" s="254">
        <v>383.25</v>
      </c>
      <c r="E6967"/>
      <c r="F6967"/>
      <c r="G6967"/>
      <c r="H6967"/>
      <c r="I6967" s="489"/>
      <c r="J6967" s="1095"/>
      <c r="K6967" s="1095"/>
      <c r="L6967" s="1095"/>
      <c r="M6967" s="1095"/>
    </row>
    <row r="6968" spans="1:13" x14ac:dyDescent="0.25">
      <c r="A6968" t="s">
        <v>14774</v>
      </c>
      <c r="B6968" t="s">
        <v>14775</v>
      </c>
      <c r="C6968" t="s">
        <v>2640</v>
      </c>
      <c r="D6968" s="254">
        <v>42.28</v>
      </c>
      <c r="E6968"/>
      <c r="F6968"/>
      <c r="G6968"/>
      <c r="H6968"/>
      <c r="I6968" s="489"/>
      <c r="J6968" s="1095"/>
      <c r="K6968" s="1095"/>
      <c r="L6968" s="1095"/>
      <c r="M6968" s="1095"/>
    </row>
    <row r="6969" spans="1:13" x14ac:dyDescent="0.25">
      <c r="A6969" t="s">
        <v>14776</v>
      </c>
      <c r="B6969" t="s">
        <v>14777</v>
      </c>
      <c r="C6969" t="s">
        <v>2640</v>
      </c>
      <c r="D6969" s="254">
        <v>365.41</v>
      </c>
      <c r="E6969"/>
      <c r="F6969"/>
      <c r="G6969"/>
      <c r="H6969"/>
      <c r="I6969" s="489"/>
      <c r="J6969" s="1095"/>
      <c r="K6969" s="1095"/>
      <c r="L6969" s="1095"/>
      <c r="M6969" s="1095"/>
    </row>
    <row r="6970" spans="1:13" x14ac:dyDescent="0.25">
      <c r="A6970" t="s">
        <v>14778</v>
      </c>
      <c r="B6970" t="s">
        <v>14779</v>
      </c>
      <c r="C6970" t="s">
        <v>2598</v>
      </c>
      <c r="D6970" s="254">
        <v>98.37</v>
      </c>
      <c r="E6970"/>
      <c r="F6970"/>
      <c r="G6970"/>
      <c r="H6970"/>
      <c r="I6970" s="489"/>
      <c r="J6970" s="1095"/>
      <c r="K6970" s="1095"/>
      <c r="L6970" s="1095"/>
      <c r="M6970" s="1095"/>
    </row>
    <row r="6971" spans="1:13" x14ac:dyDescent="0.25">
      <c r="A6971" t="s">
        <v>14780</v>
      </c>
      <c r="B6971" t="s">
        <v>14781</v>
      </c>
      <c r="C6971" t="s">
        <v>2595</v>
      </c>
      <c r="D6971" s="254">
        <v>37.659999999999997</v>
      </c>
      <c r="E6971"/>
      <c r="F6971"/>
      <c r="G6971"/>
      <c r="H6971"/>
      <c r="I6971" s="489"/>
      <c r="J6971" s="1095"/>
      <c r="K6971" s="1095"/>
      <c r="L6971" s="1095"/>
      <c r="M6971" s="1095"/>
    </row>
    <row r="6972" spans="1:13" x14ac:dyDescent="0.25">
      <c r="A6972" t="s">
        <v>14782</v>
      </c>
      <c r="B6972" t="s">
        <v>14783</v>
      </c>
      <c r="C6972" t="s">
        <v>2640</v>
      </c>
      <c r="D6972" s="254">
        <v>514.16999999999996</v>
      </c>
      <c r="E6972"/>
      <c r="F6972"/>
      <c r="G6972"/>
      <c r="H6972"/>
      <c r="I6972" s="489"/>
      <c r="J6972" s="1095"/>
      <c r="K6972" s="1095"/>
      <c r="L6972" s="1095"/>
      <c r="M6972" s="1095"/>
    </row>
    <row r="6973" spans="1:13" x14ac:dyDescent="0.25">
      <c r="A6973" t="s">
        <v>14784</v>
      </c>
      <c r="B6973" t="s">
        <v>14785</v>
      </c>
      <c r="C6973" t="s">
        <v>2640</v>
      </c>
      <c r="D6973" s="254">
        <v>254.39</v>
      </c>
      <c r="E6973"/>
      <c r="F6973"/>
      <c r="G6973"/>
      <c r="H6973"/>
      <c r="I6973" s="489"/>
      <c r="J6973" s="1095"/>
      <c r="K6973" s="1095"/>
      <c r="L6973" s="1095"/>
      <c r="M6973" s="1095"/>
    </row>
    <row r="6974" spans="1:13" x14ac:dyDescent="0.25">
      <c r="A6974" t="s">
        <v>14786</v>
      </c>
      <c r="B6974" t="s">
        <v>14787</v>
      </c>
      <c r="C6974" t="s">
        <v>2598</v>
      </c>
      <c r="D6974" s="254">
        <v>151.97</v>
      </c>
      <c r="E6974"/>
      <c r="F6974"/>
      <c r="G6974"/>
      <c r="H6974"/>
      <c r="I6974" s="489"/>
      <c r="J6974" s="1095"/>
      <c r="K6974" s="1095"/>
      <c r="L6974" s="1095"/>
      <c r="M6974" s="1095"/>
    </row>
    <row r="6975" spans="1:13" x14ac:dyDescent="0.25">
      <c r="A6975" t="s">
        <v>14788</v>
      </c>
      <c r="B6975" t="s">
        <v>14789</v>
      </c>
      <c r="C6975" t="s">
        <v>2595</v>
      </c>
      <c r="D6975" s="254">
        <v>32.25</v>
      </c>
      <c r="E6975"/>
      <c r="F6975"/>
      <c r="G6975"/>
      <c r="H6975"/>
      <c r="I6975" s="489"/>
      <c r="J6975" s="1095"/>
      <c r="K6975" s="1095"/>
      <c r="L6975" s="1095"/>
      <c r="M6975" s="1095"/>
    </row>
    <row r="6976" spans="1:13" x14ac:dyDescent="0.25">
      <c r="A6976" t="s">
        <v>14790</v>
      </c>
      <c r="B6976" t="s">
        <v>14791</v>
      </c>
      <c r="C6976" t="s">
        <v>2595</v>
      </c>
      <c r="D6976" s="254">
        <v>20.07</v>
      </c>
      <c r="E6976"/>
      <c r="F6976"/>
      <c r="G6976"/>
      <c r="H6976"/>
      <c r="I6976" s="489"/>
      <c r="J6976" s="1095"/>
      <c r="K6976" s="1095"/>
      <c r="L6976" s="1095"/>
      <c r="M6976" s="1095"/>
    </row>
    <row r="6977" spans="1:13" x14ac:dyDescent="0.25">
      <c r="A6977" t="s">
        <v>14792</v>
      </c>
      <c r="B6977" t="s">
        <v>14793</v>
      </c>
      <c r="C6977" t="s">
        <v>2595</v>
      </c>
      <c r="D6977" s="254">
        <v>26.25</v>
      </c>
      <c r="E6977"/>
      <c r="F6977"/>
      <c r="G6977"/>
      <c r="H6977"/>
      <c r="I6977" s="489"/>
      <c r="J6977" s="1095"/>
      <c r="K6977" s="1095"/>
      <c r="L6977" s="1095"/>
      <c r="M6977" s="1095"/>
    </row>
    <row r="6978" spans="1:13" x14ac:dyDescent="0.25">
      <c r="A6978" t="s">
        <v>14794</v>
      </c>
      <c r="B6978" t="s">
        <v>14795</v>
      </c>
      <c r="C6978" t="s">
        <v>2595</v>
      </c>
      <c r="D6978" s="254">
        <v>27.23</v>
      </c>
      <c r="E6978"/>
      <c r="F6978"/>
      <c r="G6978"/>
      <c r="H6978"/>
      <c r="I6978" s="489"/>
      <c r="J6978" s="1095"/>
      <c r="K6978" s="1095"/>
      <c r="L6978" s="1095"/>
      <c r="M6978" s="1095"/>
    </row>
    <row r="6979" spans="1:13" x14ac:dyDescent="0.25">
      <c r="A6979" t="s">
        <v>14796</v>
      </c>
      <c r="B6979" t="s">
        <v>14797</v>
      </c>
      <c r="C6979" t="s">
        <v>2595</v>
      </c>
      <c r="D6979" s="254">
        <v>31.54</v>
      </c>
      <c r="E6979"/>
      <c r="F6979"/>
      <c r="G6979"/>
      <c r="H6979"/>
      <c r="I6979" s="489"/>
      <c r="J6979" s="1095"/>
      <c r="K6979" s="1095"/>
      <c r="L6979" s="1095"/>
      <c r="M6979" s="1095"/>
    </row>
    <row r="6980" spans="1:13" x14ac:dyDescent="0.25">
      <c r="A6980" t="s">
        <v>14798</v>
      </c>
      <c r="B6980" t="s">
        <v>14799</v>
      </c>
      <c r="C6980" t="s">
        <v>2595</v>
      </c>
      <c r="D6980" s="254">
        <v>41.34</v>
      </c>
      <c r="E6980"/>
      <c r="F6980"/>
      <c r="G6980"/>
      <c r="H6980"/>
      <c r="I6980" s="489"/>
      <c r="J6980" s="1095"/>
      <c r="K6980" s="1095"/>
      <c r="L6980" s="1095"/>
      <c r="M6980" s="1095"/>
    </row>
    <row r="6981" spans="1:13" x14ac:dyDescent="0.25">
      <c r="A6981" t="s">
        <v>14800</v>
      </c>
      <c r="B6981" t="s">
        <v>14801</v>
      </c>
      <c r="C6981" t="s">
        <v>2595</v>
      </c>
      <c r="D6981" s="254">
        <v>60.93</v>
      </c>
      <c r="E6981"/>
      <c r="F6981"/>
      <c r="G6981"/>
      <c r="H6981"/>
      <c r="I6981" s="489"/>
      <c r="J6981" s="1095"/>
      <c r="K6981" s="1095"/>
      <c r="L6981" s="1095"/>
      <c r="M6981" s="1095"/>
    </row>
    <row r="6982" spans="1:13" x14ac:dyDescent="0.25">
      <c r="A6982" t="s">
        <v>14802</v>
      </c>
      <c r="B6982" t="s">
        <v>14803</v>
      </c>
      <c r="C6982" t="s">
        <v>2595</v>
      </c>
      <c r="D6982" s="254">
        <v>80.5</v>
      </c>
      <c r="E6982"/>
      <c r="F6982"/>
      <c r="G6982"/>
      <c r="H6982"/>
      <c r="I6982" s="489"/>
      <c r="J6982" s="1095"/>
      <c r="K6982" s="1095"/>
      <c r="L6982" s="1095"/>
      <c r="M6982" s="1095"/>
    </row>
    <row r="6983" spans="1:13" x14ac:dyDescent="0.25">
      <c r="A6983" t="s">
        <v>14804</v>
      </c>
      <c r="B6983" t="s">
        <v>14805</v>
      </c>
      <c r="C6983" t="s">
        <v>2595</v>
      </c>
      <c r="D6983" s="254">
        <v>40.06</v>
      </c>
      <c r="E6983"/>
      <c r="F6983"/>
      <c r="G6983"/>
      <c r="H6983"/>
      <c r="I6983" s="489"/>
      <c r="J6983" s="1095"/>
      <c r="K6983" s="1095"/>
      <c r="L6983" s="1095"/>
      <c r="M6983" s="1095"/>
    </row>
    <row r="6984" spans="1:13" x14ac:dyDescent="0.25">
      <c r="A6984" t="s">
        <v>14806</v>
      </c>
      <c r="B6984" t="s">
        <v>14807</v>
      </c>
      <c r="C6984" t="s">
        <v>2595</v>
      </c>
      <c r="D6984" s="254">
        <v>50.16</v>
      </c>
      <c r="E6984"/>
      <c r="F6984"/>
      <c r="G6984"/>
      <c r="H6984"/>
      <c r="I6984" s="489"/>
      <c r="J6984" s="1095"/>
      <c r="K6984" s="1095"/>
      <c r="L6984" s="1095"/>
      <c r="M6984" s="1095"/>
    </row>
    <row r="6985" spans="1:13" x14ac:dyDescent="0.25">
      <c r="A6985" t="s">
        <v>14808</v>
      </c>
      <c r="B6985" t="s">
        <v>14809</v>
      </c>
      <c r="C6985" t="s">
        <v>2595</v>
      </c>
      <c r="D6985" s="254">
        <v>60.18</v>
      </c>
      <c r="E6985"/>
      <c r="F6985"/>
      <c r="G6985"/>
      <c r="H6985"/>
      <c r="I6985" s="489"/>
      <c r="J6985" s="1095"/>
      <c r="K6985" s="1095"/>
      <c r="L6985" s="1095"/>
      <c r="M6985" s="1095"/>
    </row>
    <row r="6986" spans="1:13" x14ac:dyDescent="0.25">
      <c r="A6986" t="s">
        <v>14810</v>
      </c>
      <c r="B6986" t="s">
        <v>14811</v>
      </c>
      <c r="C6986" t="s">
        <v>2595</v>
      </c>
      <c r="D6986" s="254">
        <v>70.53</v>
      </c>
      <c r="E6986"/>
      <c r="F6986"/>
      <c r="G6986"/>
      <c r="H6986"/>
      <c r="I6986" s="489"/>
      <c r="J6986" s="1095"/>
      <c r="K6986" s="1095"/>
      <c r="L6986" s="1095"/>
      <c r="M6986" s="1095"/>
    </row>
    <row r="6987" spans="1:13" x14ac:dyDescent="0.25">
      <c r="A6987" t="s">
        <v>14812</v>
      </c>
      <c r="B6987" t="s">
        <v>14813</v>
      </c>
      <c r="C6987" t="s">
        <v>2595</v>
      </c>
      <c r="D6987" s="254">
        <v>33.119999999999997</v>
      </c>
      <c r="E6987"/>
      <c r="F6987"/>
      <c r="G6987"/>
      <c r="H6987"/>
      <c r="I6987" s="489"/>
      <c r="J6987" s="1095"/>
      <c r="K6987" s="1095"/>
      <c r="L6987" s="1095"/>
      <c r="M6987" s="1095"/>
    </row>
    <row r="6988" spans="1:13" x14ac:dyDescent="0.25">
      <c r="A6988" t="s">
        <v>14814</v>
      </c>
      <c r="B6988" t="s">
        <v>14815</v>
      </c>
      <c r="C6988" t="s">
        <v>2595</v>
      </c>
      <c r="D6988" s="254">
        <v>41.4</v>
      </c>
      <c r="E6988"/>
      <c r="F6988"/>
      <c r="G6988"/>
      <c r="H6988"/>
      <c r="I6988" s="489"/>
      <c r="J6988" s="1095"/>
      <c r="K6988" s="1095"/>
      <c r="L6988" s="1095"/>
      <c r="M6988" s="1095"/>
    </row>
    <row r="6989" spans="1:13" x14ac:dyDescent="0.25">
      <c r="A6989" t="s">
        <v>14816</v>
      </c>
      <c r="B6989" t="s">
        <v>14817</v>
      </c>
      <c r="C6989" t="s">
        <v>2595</v>
      </c>
      <c r="D6989" s="254">
        <v>49.13</v>
      </c>
      <c r="E6989"/>
      <c r="F6989"/>
      <c r="G6989"/>
      <c r="H6989"/>
      <c r="I6989" s="489"/>
      <c r="J6989" s="1095"/>
      <c r="K6989" s="1095"/>
      <c r="L6989" s="1095"/>
      <c r="M6989" s="1095"/>
    </row>
    <row r="6990" spans="1:13" x14ac:dyDescent="0.25">
      <c r="A6990" t="s">
        <v>14818</v>
      </c>
      <c r="B6990" t="s">
        <v>14819</v>
      </c>
      <c r="C6990" t="s">
        <v>2595</v>
      </c>
      <c r="D6990" s="254">
        <v>57.28</v>
      </c>
      <c r="E6990"/>
      <c r="F6990"/>
      <c r="G6990"/>
      <c r="H6990"/>
      <c r="I6990" s="489"/>
      <c r="J6990" s="1095"/>
      <c r="K6990" s="1095"/>
      <c r="L6990" s="1095"/>
      <c r="M6990" s="1095"/>
    </row>
    <row r="6991" spans="1:13" x14ac:dyDescent="0.25">
      <c r="A6991" t="s">
        <v>14820</v>
      </c>
      <c r="B6991" t="s">
        <v>14821</v>
      </c>
      <c r="C6991" t="s">
        <v>2595</v>
      </c>
      <c r="D6991" s="254">
        <v>30.04</v>
      </c>
      <c r="E6991"/>
      <c r="F6991"/>
      <c r="G6991"/>
      <c r="H6991"/>
      <c r="I6991" s="489"/>
      <c r="J6991" s="1095"/>
      <c r="K6991" s="1095"/>
      <c r="L6991" s="1095"/>
      <c r="M6991" s="1095"/>
    </row>
    <row r="6992" spans="1:13" x14ac:dyDescent="0.25">
      <c r="A6992" t="s">
        <v>14822</v>
      </c>
      <c r="B6992" t="s">
        <v>14823</v>
      </c>
      <c r="C6992" t="s">
        <v>2595</v>
      </c>
      <c r="D6992" s="254">
        <v>39.18</v>
      </c>
      <c r="E6992"/>
      <c r="F6992"/>
      <c r="G6992"/>
      <c r="H6992"/>
      <c r="I6992" s="489"/>
      <c r="J6992" s="1095"/>
      <c r="K6992" s="1095"/>
      <c r="L6992" s="1095"/>
      <c r="M6992" s="1095"/>
    </row>
    <row r="6993" spans="1:13" x14ac:dyDescent="0.25">
      <c r="A6993" t="s">
        <v>14824</v>
      </c>
      <c r="B6993" t="s">
        <v>14825</v>
      </c>
      <c r="C6993" t="s">
        <v>2595</v>
      </c>
      <c r="D6993" s="254">
        <v>46.56</v>
      </c>
      <c r="E6993"/>
      <c r="F6993"/>
      <c r="G6993"/>
      <c r="H6993"/>
      <c r="I6993" s="489"/>
      <c r="J6993" s="1095"/>
      <c r="K6993" s="1095"/>
      <c r="L6993" s="1095"/>
      <c r="M6993" s="1095"/>
    </row>
    <row r="6994" spans="1:13" x14ac:dyDescent="0.25">
      <c r="A6994" t="s">
        <v>14826</v>
      </c>
      <c r="B6994" t="s">
        <v>14827</v>
      </c>
      <c r="C6994" t="s">
        <v>2595</v>
      </c>
      <c r="D6994" s="254">
        <v>54.01</v>
      </c>
      <c r="E6994"/>
      <c r="F6994"/>
      <c r="G6994"/>
      <c r="H6994"/>
      <c r="I6994" s="489"/>
      <c r="J6994" s="1095"/>
      <c r="K6994" s="1095"/>
      <c r="L6994" s="1095"/>
      <c r="M6994" s="1095"/>
    </row>
    <row r="6995" spans="1:13" x14ac:dyDescent="0.25">
      <c r="A6995" t="s">
        <v>14828</v>
      </c>
      <c r="B6995" t="s">
        <v>14829</v>
      </c>
      <c r="C6995" t="s">
        <v>2598</v>
      </c>
      <c r="D6995" s="254">
        <v>61.59</v>
      </c>
      <c r="E6995"/>
      <c r="F6995"/>
      <c r="G6995"/>
      <c r="H6995"/>
      <c r="I6995" s="489"/>
      <c r="J6995" s="1095"/>
      <c r="K6995" s="1095"/>
      <c r="L6995" s="1095"/>
      <c r="M6995" s="1095"/>
    </row>
    <row r="6996" spans="1:13" x14ac:dyDescent="0.25">
      <c r="A6996" t="s">
        <v>14830</v>
      </c>
      <c r="B6996" t="s">
        <v>14831</v>
      </c>
      <c r="C6996" t="s">
        <v>2640</v>
      </c>
      <c r="D6996" s="254">
        <v>867.66</v>
      </c>
      <c r="E6996"/>
      <c r="F6996"/>
      <c r="G6996"/>
      <c r="H6996"/>
      <c r="I6996" s="489"/>
      <c r="J6996" s="1095"/>
      <c r="K6996" s="1095"/>
      <c r="L6996" s="1095"/>
      <c r="M6996" s="1095"/>
    </row>
    <row r="6997" spans="1:13" x14ac:dyDescent="0.25">
      <c r="A6997" t="s">
        <v>14832</v>
      </c>
      <c r="B6997" t="s">
        <v>14833</v>
      </c>
      <c r="C6997" t="s">
        <v>2640</v>
      </c>
      <c r="D6997" s="254">
        <v>868.35</v>
      </c>
      <c r="E6997"/>
      <c r="F6997"/>
      <c r="G6997"/>
      <c r="H6997"/>
      <c r="I6997" s="489"/>
      <c r="J6997" s="1095"/>
      <c r="K6997" s="1095"/>
      <c r="L6997" s="1095"/>
      <c r="M6997" s="1095"/>
    </row>
    <row r="6998" spans="1:13" x14ac:dyDescent="0.25">
      <c r="A6998" t="s">
        <v>14834</v>
      </c>
      <c r="B6998" t="s">
        <v>14835</v>
      </c>
      <c r="C6998" t="s">
        <v>2640</v>
      </c>
      <c r="D6998" s="254">
        <v>899.43</v>
      </c>
      <c r="E6998"/>
      <c r="F6998"/>
      <c r="G6998"/>
      <c r="H6998"/>
      <c r="I6998" s="489"/>
      <c r="J6998" s="1095"/>
      <c r="K6998" s="1095"/>
      <c r="L6998" s="1095"/>
      <c r="M6998" s="1095"/>
    </row>
    <row r="6999" spans="1:13" x14ac:dyDescent="0.25">
      <c r="A6999" t="s">
        <v>14836</v>
      </c>
      <c r="B6999" t="s">
        <v>14837</v>
      </c>
      <c r="C6999" t="s">
        <v>2640</v>
      </c>
      <c r="D6999" s="254">
        <v>976.92</v>
      </c>
      <c r="E6999"/>
      <c r="F6999"/>
      <c r="G6999"/>
      <c r="H6999"/>
      <c r="I6999" s="489"/>
      <c r="J6999" s="1095"/>
      <c r="K6999" s="1095"/>
      <c r="L6999" s="1095"/>
      <c r="M6999" s="1095"/>
    </row>
    <row r="7000" spans="1:13" x14ac:dyDescent="0.25">
      <c r="A7000" t="s">
        <v>14838</v>
      </c>
      <c r="B7000" t="s">
        <v>14839</v>
      </c>
      <c r="C7000" t="s">
        <v>2640</v>
      </c>
      <c r="D7000" s="254">
        <v>1016.46</v>
      </c>
      <c r="E7000"/>
      <c r="F7000"/>
      <c r="G7000"/>
      <c r="H7000"/>
      <c r="I7000" s="489"/>
      <c r="J7000" s="1095"/>
      <c r="K7000" s="1095"/>
      <c r="L7000" s="1095"/>
      <c r="M7000" s="1095"/>
    </row>
    <row r="7001" spans="1:13" x14ac:dyDescent="0.25">
      <c r="A7001" t="s">
        <v>14840</v>
      </c>
      <c r="B7001" t="s">
        <v>14841</v>
      </c>
      <c r="C7001" t="s">
        <v>2640</v>
      </c>
      <c r="D7001" s="254">
        <v>1461.55</v>
      </c>
      <c r="E7001"/>
      <c r="F7001"/>
      <c r="G7001"/>
      <c r="H7001"/>
      <c r="I7001" s="489"/>
      <c r="J7001" s="1095"/>
      <c r="K7001" s="1095"/>
      <c r="L7001" s="1095"/>
      <c r="M7001" s="1095"/>
    </row>
    <row r="7002" spans="1:13" x14ac:dyDescent="0.25">
      <c r="A7002" t="s">
        <v>14842</v>
      </c>
      <c r="B7002" t="s">
        <v>14843</v>
      </c>
      <c r="C7002" t="s">
        <v>2640</v>
      </c>
      <c r="D7002" s="254">
        <v>1792.61</v>
      </c>
      <c r="E7002"/>
      <c r="F7002"/>
      <c r="G7002"/>
      <c r="H7002"/>
      <c r="I7002" s="489"/>
      <c r="J7002" s="1095"/>
      <c r="K7002" s="1095"/>
      <c r="L7002" s="1095"/>
      <c r="M7002" s="1095"/>
    </row>
    <row r="7003" spans="1:13" x14ac:dyDescent="0.25">
      <c r="A7003" t="s">
        <v>14844</v>
      </c>
      <c r="B7003" t="s">
        <v>14845</v>
      </c>
      <c r="C7003" t="s">
        <v>2640</v>
      </c>
      <c r="D7003" s="254">
        <v>11.17</v>
      </c>
      <c r="E7003"/>
      <c r="F7003"/>
      <c r="G7003"/>
      <c r="H7003"/>
      <c r="I7003" s="489"/>
      <c r="J7003" s="1095"/>
      <c r="K7003" s="1095"/>
      <c r="L7003" s="1095"/>
      <c r="M7003" s="1095"/>
    </row>
    <row r="7004" spans="1:13" x14ac:dyDescent="0.25">
      <c r="A7004" t="s">
        <v>14846</v>
      </c>
      <c r="B7004" t="s">
        <v>14847</v>
      </c>
      <c r="C7004" t="s">
        <v>2640</v>
      </c>
      <c r="D7004" s="254">
        <v>22.05</v>
      </c>
      <c r="E7004"/>
      <c r="F7004"/>
      <c r="G7004"/>
      <c r="H7004"/>
      <c r="I7004" s="489"/>
      <c r="J7004" s="1095"/>
      <c r="K7004" s="1095"/>
      <c r="L7004" s="1095"/>
      <c r="M7004" s="1095"/>
    </row>
    <row r="7005" spans="1:13" x14ac:dyDescent="0.25">
      <c r="A7005" t="s">
        <v>14848</v>
      </c>
      <c r="B7005" t="s">
        <v>14849</v>
      </c>
      <c r="C7005" t="s">
        <v>2595</v>
      </c>
      <c r="D7005" s="254">
        <v>46.96</v>
      </c>
      <c r="E7005"/>
      <c r="F7005"/>
      <c r="G7005"/>
      <c r="H7005"/>
      <c r="I7005" s="489"/>
      <c r="J7005" s="1095"/>
      <c r="K7005" s="1095"/>
      <c r="L7005" s="1095"/>
      <c r="M7005" s="1095"/>
    </row>
    <row r="7006" spans="1:13" x14ac:dyDescent="0.25">
      <c r="A7006" t="s">
        <v>14850</v>
      </c>
      <c r="B7006" t="s">
        <v>14851</v>
      </c>
      <c r="C7006" t="s">
        <v>2595</v>
      </c>
      <c r="D7006" s="254">
        <v>17.559999999999999</v>
      </c>
      <c r="E7006"/>
      <c r="F7006"/>
      <c r="G7006"/>
      <c r="H7006"/>
      <c r="I7006" s="489"/>
      <c r="J7006" s="1095"/>
      <c r="K7006" s="1095"/>
      <c r="L7006" s="1095"/>
      <c r="M7006" s="1095"/>
    </row>
    <row r="7007" spans="1:13" x14ac:dyDescent="0.25">
      <c r="A7007" t="s">
        <v>14852</v>
      </c>
      <c r="B7007" t="s">
        <v>14853</v>
      </c>
      <c r="C7007" t="s">
        <v>2596</v>
      </c>
      <c r="D7007" s="254" t="s">
        <v>0</v>
      </c>
      <c r="E7007"/>
      <c r="F7007"/>
      <c r="G7007"/>
      <c r="H7007"/>
      <c r="I7007" s="489"/>
      <c r="J7007" s="1095"/>
      <c r="K7007" s="1095"/>
      <c r="L7007" s="1095"/>
      <c r="M7007" s="1095"/>
    </row>
    <row r="7008" spans="1:13" x14ac:dyDescent="0.25">
      <c r="A7008" t="s">
        <v>14854</v>
      </c>
      <c r="B7008" t="s">
        <v>14855</v>
      </c>
      <c r="C7008" t="s">
        <v>13878</v>
      </c>
      <c r="D7008" s="254">
        <v>13.87</v>
      </c>
      <c r="E7008"/>
      <c r="F7008"/>
      <c r="G7008"/>
      <c r="H7008"/>
      <c r="I7008" s="489"/>
      <c r="J7008" s="1095"/>
      <c r="K7008" s="1095"/>
      <c r="L7008" s="1095"/>
      <c r="M7008" s="1095"/>
    </row>
    <row r="7009" spans="1:13" x14ac:dyDescent="0.25">
      <c r="A7009" t="s">
        <v>14856</v>
      </c>
      <c r="B7009" t="s">
        <v>14857</v>
      </c>
      <c r="C7009" t="s">
        <v>2716</v>
      </c>
      <c r="D7009" s="254">
        <v>39</v>
      </c>
      <c r="E7009"/>
      <c r="F7009"/>
      <c r="G7009"/>
      <c r="H7009"/>
      <c r="I7009" s="489"/>
      <c r="J7009" s="1362"/>
      <c r="K7009" s="1362"/>
      <c r="L7009" s="1362"/>
      <c r="M7009" s="1095"/>
    </row>
    <row r="7010" spans="1:13" x14ac:dyDescent="0.25">
      <c r="A7010" t="s">
        <v>14858</v>
      </c>
      <c r="B7010" t="s">
        <v>14859</v>
      </c>
      <c r="C7010" t="s">
        <v>2716</v>
      </c>
      <c r="D7010" s="254">
        <v>10.52</v>
      </c>
      <c r="E7010"/>
      <c r="F7010"/>
      <c r="G7010"/>
      <c r="H7010"/>
      <c r="I7010" s="489"/>
      <c r="J7010" s="1362"/>
      <c r="K7010" s="1362"/>
      <c r="L7010" s="1362"/>
    </row>
    <row r="7011" spans="1:13" x14ac:dyDescent="0.25">
      <c r="A7011" t="s">
        <v>14860</v>
      </c>
      <c r="B7011" t="s">
        <v>14861</v>
      </c>
      <c r="C7011" t="s">
        <v>2598</v>
      </c>
      <c r="D7011" s="254">
        <v>168.8</v>
      </c>
      <c r="E7011"/>
      <c r="F7011"/>
      <c r="G7011"/>
      <c r="H7011"/>
      <c r="I7011" s="489"/>
      <c r="J7011" s="1362"/>
      <c r="K7011" s="1362"/>
      <c r="L7011" s="1362"/>
    </row>
    <row r="7012" spans="1:13" x14ac:dyDescent="0.25">
      <c r="A7012" t="s">
        <v>14862</v>
      </c>
      <c r="B7012" t="s">
        <v>14863</v>
      </c>
      <c r="C7012" t="s">
        <v>2716</v>
      </c>
      <c r="D7012" s="254">
        <v>5.13</v>
      </c>
      <c r="E7012"/>
      <c r="F7012"/>
      <c r="G7012"/>
      <c r="H7012"/>
      <c r="I7012" s="489"/>
      <c r="J7012" s="1362"/>
      <c r="K7012" s="1362"/>
      <c r="L7012" s="1362"/>
    </row>
    <row r="7013" spans="1:13" x14ac:dyDescent="0.25">
      <c r="A7013" t="s">
        <v>14864</v>
      </c>
      <c r="B7013" t="s">
        <v>14865</v>
      </c>
      <c r="C7013" t="s">
        <v>2716</v>
      </c>
      <c r="D7013" s="254">
        <v>5.13</v>
      </c>
      <c r="E7013"/>
      <c r="F7013"/>
      <c r="G7013"/>
      <c r="H7013"/>
      <c r="I7013" s="489"/>
      <c r="J7013" s="1362"/>
      <c r="K7013" s="1362"/>
      <c r="L7013" s="1362"/>
    </row>
    <row r="7014" spans="1:13" x14ac:dyDescent="0.25">
      <c r="A7014" t="s">
        <v>14866</v>
      </c>
      <c r="B7014" t="s">
        <v>14867</v>
      </c>
      <c r="C7014" t="s">
        <v>2716</v>
      </c>
      <c r="D7014" s="254">
        <v>5.13</v>
      </c>
      <c r="E7014"/>
      <c r="F7014"/>
      <c r="G7014"/>
      <c r="H7014"/>
      <c r="I7014" s="489"/>
      <c r="J7014" s="1362"/>
      <c r="K7014" s="1362"/>
      <c r="L7014" s="1362"/>
    </row>
    <row r="7015" spans="1:13" x14ac:dyDescent="0.25">
      <c r="A7015" t="s">
        <v>14868</v>
      </c>
      <c r="B7015" t="s">
        <v>14869</v>
      </c>
      <c r="C7015" t="s">
        <v>2716</v>
      </c>
      <c r="D7015" s="254">
        <v>5.13</v>
      </c>
      <c r="E7015"/>
      <c r="F7015"/>
      <c r="G7015"/>
      <c r="H7015"/>
      <c r="I7015" s="489"/>
      <c r="J7015" s="1362"/>
      <c r="K7015" s="1362"/>
      <c r="L7015" s="1362"/>
    </row>
    <row r="7016" spans="1:13" x14ac:dyDescent="0.25">
      <c r="A7016" t="s">
        <v>14870</v>
      </c>
      <c r="B7016" t="s">
        <v>14871</v>
      </c>
      <c r="C7016" t="s">
        <v>2716</v>
      </c>
      <c r="D7016" s="254">
        <v>5.13</v>
      </c>
      <c r="E7016"/>
      <c r="F7016"/>
      <c r="G7016"/>
      <c r="H7016"/>
      <c r="I7016" s="489"/>
      <c r="J7016" s="1362"/>
      <c r="K7016" s="1362"/>
      <c r="L7016" s="1362"/>
    </row>
    <row r="7017" spans="1:13" x14ac:dyDescent="0.25">
      <c r="A7017" t="s">
        <v>14872</v>
      </c>
      <c r="B7017" t="s">
        <v>14873</v>
      </c>
      <c r="C7017" t="s">
        <v>2598</v>
      </c>
      <c r="D7017" s="254">
        <v>59.12</v>
      </c>
      <c r="E7017"/>
      <c r="F7017"/>
      <c r="G7017"/>
      <c r="H7017"/>
      <c r="I7017" s="489"/>
      <c r="J7017" s="1362"/>
      <c r="K7017" s="1362"/>
      <c r="L7017" s="1362"/>
    </row>
    <row r="7018" spans="1:13" x14ac:dyDescent="0.25">
      <c r="A7018" t="s">
        <v>14874</v>
      </c>
      <c r="B7018" t="s">
        <v>14875</v>
      </c>
      <c r="C7018" t="s">
        <v>2598</v>
      </c>
      <c r="D7018" s="254">
        <v>11.81</v>
      </c>
      <c r="E7018"/>
      <c r="F7018"/>
      <c r="G7018"/>
      <c r="H7018"/>
      <c r="I7018" s="489"/>
      <c r="J7018" s="1362"/>
      <c r="K7018" s="1362"/>
      <c r="L7018" s="1362"/>
    </row>
    <row r="7019" spans="1:13" x14ac:dyDescent="0.25">
      <c r="A7019" t="s">
        <v>14876</v>
      </c>
      <c r="B7019" t="s">
        <v>14877</v>
      </c>
      <c r="C7019" t="s">
        <v>2598</v>
      </c>
      <c r="D7019" s="254">
        <v>96.79</v>
      </c>
      <c r="E7019"/>
      <c r="F7019"/>
      <c r="G7019"/>
      <c r="H7019"/>
      <c r="I7019" s="489"/>
      <c r="J7019" s="1362"/>
      <c r="K7019" s="1362"/>
      <c r="L7019" s="1362"/>
    </row>
    <row r="7020" spans="1:13" x14ac:dyDescent="0.25">
      <c r="A7020" t="s">
        <v>14878</v>
      </c>
      <c r="B7020" t="s">
        <v>14879</v>
      </c>
      <c r="C7020" t="s">
        <v>2598</v>
      </c>
      <c r="D7020" s="254">
        <v>152.83000000000001</v>
      </c>
      <c r="E7020"/>
      <c r="F7020"/>
      <c r="G7020"/>
      <c r="H7020"/>
      <c r="I7020" s="489"/>
      <c r="J7020" s="1362"/>
      <c r="K7020" s="1362"/>
      <c r="L7020" s="1362"/>
    </row>
    <row r="7021" spans="1:13" x14ac:dyDescent="0.25">
      <c r="A7021" t="s">
        <v>14880</v>
      </c>
      <c r="B7021" t="s">
        <v>14881</v>
      </c>
      <c r="C7021" t="s">
        <v>2598</v>
      </c>
      <c r="D7021" s="254">
        <v>212.07</v>
      </c>
      <c r="E7021"/>
      <c r="F7021"/>
      <c r="G7021"/>
      <c r="H7021"/>
      <c r="I7021" s="489"/>
      <c r="J7021" s="1362"/>
      <c r="K7021" s="1362"/>
      <c r="L7021" s="1362"/>
    </row>
    <row r="7022" spans="1:13" x14ac:dyDescent="0.25">
      <c r="A7022" t="s">
        <v>14882</v>
      </c>
      <c r="B7022" t="s">
        <v>14883</v>
      </c>
      <c r="C7022" t="s">
        <v>2598</v>
      </c>
      <c r="D7022" s="254">
        <v>425.94</v>
      </c>
      <c r="E7022"/>
      <c r="F7022"/>
      <c r="G7022"/>
      <c r="H7022"/>
      <c r="I7022" s="489"/>
      <c r="J7022" s="1362"/>
      <c r="K7022" s="1362"/>
      <c r="L7022" s="1362"/>
    </row>
    <row r="7023" spans="1:13" x14ac:dyDescent="0.25">
      <c r="A7023" t="s">
        <v>14884</v>
      </c>
      <c r="B7023" t="s">
        <v>14885</v>
      </c>
      <c r="C7023" t="s">
        <v>2640</v>
      </c>
      <c r="D7023" s="254">
        <v>21.71</v>
      </c>
      <c r="E7023"/>
      <c r="F7023"/>
      <c r="G7023"/>
      <c r="H7023"/>
      <c r="I7023" s="489"/>
      <c r="J7023" s="1362"/>
      <c r="K7023" s="1362"/>
      <c r="L7023" s="1362"/>
    </row>
    <row r="7024" spans="1:13" x14ac:dyDescent="0.25">
      <c r="A7024" t="s">
        <v>14886</v>
      </c>
      <c r="B7024" t="s">
        <v>14887</v>
      </c>
      <c r="C7024" t="s">
        <v>2640</v>
      </c>
      <c r="D7024" s="254">
        <v>44.65</v>
      </c>
      <c r="E7024"/>
      <c r="F7024"/>
      <c r="G7024"/>
      <c r="H7024"/>
      <c r="I7024" s="489"/>
      <c r="J7024" s="1362"/>
      <c r="K7024" s="1362"/>
      <c r="L7024" s="1362"/>
    </row>
    <row r="7025" spans="1:12" x14ac:dyDescent="0.25">
      <c r="A7025" t="s">
        <v>14888</v>
      </c>
      <c r="B7025" t="s">
        <v>14889</v>
      </c>
      <c r="C7025" t="s">
        <v>2640</v>
      </c>
      <c r="D7025" s="254">
        <v>242.94</v>
      </c>
      <c r="E7025"/>
      <c r="F7025"/>
      <c r="G7025"/>
      <c r="H7025"/>
      <c r="I7025" s="489"/>
      <c r="J7025" s="1362"/>
      <c r="K7025" s="1362"/>
      <c r="L7025" s="1362"/>
    </row>
    <row r="7026" spans="1:12" x14ac:dyDescent="0.25">
      <c r="A7026" t="s">
        <v>14890</v>
      </c>
      <c r="B7026" t="s">
        <v>14891</v>
      </c>
      <c r="C7026" t="s">
        <v>2640</v>
      </c>
      <c r="D7026" s="254">
        <v>3336.78</v>
      </c>
      <c r="E7026"/>
      <c r="F7026"/>
      <c r="G7026"/>
      <c r="H7026"/>
      <c r="I7026" s="489"/>
      <c r="J7026" s="1362"/>
      <c r="K7026" s="1362"/>
      <c r="L7026" s="1362"/>
    </row>
    <row r="7027" spans="1:12" x14ac:dyDescent="0.25">
      <c r="A7027" t="s">
        <v>14892</v>
      </c>
      <c r="B7027" t="s">
        <v>14893</v>
      </c>
      <c r="C7027" t="s">
        <v>2640</v>
      </c>
      <c r="D7027" s="254">
        <v>7704.11</v>
      </c>
      <c r="E7027"/>
      <c r="F7027"/>
      <c r="G7027"/>
      <c r="H7027"/>
      <c r="I7027" s="489"/>
      <c r="J7027" s="1362"/>
      <c r="K7027" s="1362"/>
      <c r="L7027" s="1362"/>
    </row>
    <row r="7028" spans="1:12" x14ac:dyDescent="0.25">
      <c r="A7028" t="s">
        <v>14894</v>
      </c>
      <c r="B7028" t="s">
        <v>14895</v>
      </c>
      <c r="C7028" t="s">
        <v>2640</v>
      </c>
      <c r="D7028" s="254">
        <v>9254.35</v>
      </c>
      <c r="E7028"/>
      <c r="F7028"/>
      <c r="G7028"/>
      <c r="H7028"/>
      <c r="I7028" s="489"/>
      <c r="J7028" s="1362"/>
      <c r="K7028" s="1362"/>
      <c r="L7028" s="1362"/>
    </row>
    <row r="7029" spans="1:12" x14ac:dyDescent="0.25">
      <c r="A7029" t="s">
        <v>14896</v>
      </c>
      <c r="B7029" t="s">
        <v>14897</v>
      </c>
      <c r="C7029" t="s">
        <v>2640</v>
      </c>
      <c r="D7029" s="254">
        <v>13844.79</v>
      </c>
      <c r="E7029"/>
      <c r="F7029"/>
      <c r="G7029"/>
      <c r="H7029"/>
      <c r="I7029" s="489"/>
      <c r="J7029" s="1362"/>
      <c r="K7029" s="1362"/>
      <c r="L7029" s="1362"/>
    </row>
    <row r="7030" spans="1:12" x14ac:dyDescent="0.25">
      <c r="A7030" t="s">
        <v>14898</v>
      </c>
      <c r="B7030" t="s">
        <v>14899</v>
      </c>
      <c r="C7030" t="s">
        <v>2640</v>
      </c>
      <c r="D7030" s="254">
        <v>6798.87</v>
      </c>
      <c r="E7030"/>
      <c r="F7030"/>
      <c r="G7030"/>
      <c r="H7030"/>
      <c r="I7030" s="489"/>
      <c r="J7030" s="1362"/>
      <c r="K7030" s="1362"/>
      <c r="L7030" s="1362"/>
    </row>
    <row r="7031" spans="1:12" x14ac:dyDescent="0.25">
      <c r="A7031" t="s">
        <v>14900</v>
      </c>
      <c r="B7031" t="s">
        <v>14901</v>
      </c>
      <c r="C7031" t="s">
        <v>2640</v>
      </c>
      <c r="D7031" s="254">
        <v>32.78</v>
      </c>
      <c r="E7031"/>
      <c r="F7031"/>
      <c r="G7031"/>
      <c r="H7031"/>
      <c r="I7031" s="489"/>
      <c r="J7031" s="1362"/>
      <c r="K7031" s="1362"/>
      <c r="L7031" s="1362"/>
    </row>
    <row r="7032" spans="1:12" x14ac:dyDescent="0.25">
      <c r="A7032" t="s">
        <v>14902</v>
      </c>
      <c r="B7032" t="s">
        <v>14903</v>
      </c>
      <c r="C7032" t="s">
        <v>2640</v>
      </c>
      <c r="D7032" s="254">
        <v>3171.55</v>
      </c>
      <c r="E7032"/>
      <c r="F7032"/>
      <c r="G7032"/>
      <c r="H7032"/>
      <c r="I7032" s="489"/>
      <c r="J7032" s="1362"/>
      <c r="K7032" s="1362"/>
      <c r="L7032" s="1362"/>
    </row>
    <row r="7033" spans="1:12" x14ac:dyDescent="0.25">
      <c r="A7033" t="s">
        <v>14904</v>
      </c>
      <c r="B7033" t="s">
        <v>14905</v>
      </c>
      <c r="C7033" t="s">
        <v>2640</v>
      </c>
      <c r="D7033" s="254">
        <v>569.96</v>
      </c>
      <c r="E7033"/>
      <c r="F7033"/>
      <c r="G7033"/>
      <c r="H7033"/>
      <c r="I7033" s="489"/>
      <c r="J7033" s="1362"/>
      <c r="K7033" s="1362"/>
      <c r="L7033" s="1362"/>
    </row>
    <row r="7034" spans="1:12" x14ac:dyDescent="0.25">
      <c r="A7034" t="s">
        <v>14906</v>
      </c>
      <c r="B7034" t="s">
        <v>14907</v>
      </c>
      <c r="C7034" t="s">
        <v>2640</v>
      </c>
      <c r="D7034" s="254">
        <v>213.29</v>
      </c>
      <c r="E7034"/>
      <c r="F7034"/>
      <c r="G7034"/>
      <c r="H7034"/>
      <c r="I7034" s="489"/>
      <c r="J7034" s="1362"/>
      <c r="K7034" s="1362"/>
      <c r="L7034" s="1362"/>
    </row>
    <row r="7035" spans="1:12" x14ac:dyDescent="0.25">
      <c r="A7035" t="s">
        <v>14908</v>
      </c>
      <c r="B7035" t="s">
        <v>14909</v>
      </c>
      <c r="C7035" t="s">
        <v>2640</v>
      </c>
      <c r="D7035" s="254">
        <v>1223.79</v>
      </c>
      <c r="E7035"/>
      <c r="F7035"/>
      <c r="G7035"/>
      <c r="H7035"/>
      <c r="I7035" s="489"/>
      <c r="J7035" s="1362"/>
      <c r="K7035" s="1362"/>
      <c r="L7035" s="1362"/>
    </row>
    <row r="7036" spans="1:12" x14ac:dyDescent="0.25">
      <c r="A7036" t="s">
        <v>14910</v>
      </c>
      <c r="B7036" t="s">
        <v>14911</v>
      </c>
      <c r="C7036" t="s">
        <v>2598</v>
      </c>
      <c r="D7036" s="254">
        <v>8.26</v>
      </c>
      <c r="E7036"/>
      <c r="F7036"/>
      <c r="G7036"/>
      <c r="H7036"/>
      <c r="I7036" s="489"/>
      <c r="J7036" s="1362"/>
      <c r="K7036" s="1362"/>
      <c r="L7036" s="1362"/>
    </row>
    <row r="7037" spans="1:12" x14ac:dyDescent="0.25">
      <c r="A7037" t="s">
        <v>14912</v>
      </c>
      <c r="B7037" t="s">
        <v>14913</v>
      </c>
      <c r="C7037" t="s">
        <v>2598</v>
      </c>
      <c r="D7037" s="254">
        <v>11.62</v>
      </c>
      <c r="E7037"/>
      <c r="F7037"/>
      <c r="G7037"/>
      <c r="H7037"/>
      <c r="I7037" s="489"/>
      <c r="J7037" s="1362"/>
      <c r="K7037" s="1362"/>
      <c r="L7037" s="1362"/>
    </row>
    <row r="7038" spans="1:12" x14ac:dyDescent="0.25">
      <c r="A7038" t="s">
        <v>14914</v>
      </c>
      <c r="B7038" t="s">
        <v>14915</v>
      </c>
      <c r="C7038" t="s">
        <v>2598</v>
      </c>
      <c r="D7038" s="254">
        <v>24.81</v>
      </c>
      <c r="E7038"/>
      <c r="F7038"/>
      <c r="G7038"/>
      <c r="H7038"/>
      <c r="I7038" s="489"/>
      <c r="J7038" s="1362"/>
      <c r="K7038" s="1362"/>
      <c r="L7038" s="1362"/>
    </row>
    <row r="7039" spans="1:12" x14ac:dyDescent="0.25">
      <c r="A7039" t="s">
        <v>14916</v>
      </c>
      <c r="B7039" t="s">
        <v>14917</v>
      </c>
      <c r="C7039" t="s">
        <v>2598</v>
      </c>
      <c r="D7039" s="254">
        <v>38.869999999999997</v>
      </c>
      <c r="E7039"/>
      <c r="F7039"/>
      <c r="G7039"/>
      <c r="H7039"/>
      <c r="I7039" s="489"/>
      <c r="J7039" s="1362"/>
      <c r="K7039" s="1362"/>
      <c r="L7039" s="1362"/>
    </row>
    <row r="7040" spans="1:12" x14ac:dyDescent="0.25">
      <c r="A7040" t="s">
        <v>14918</v>
      </c>
      <c r="B7040" t="s">
        <v>14919</v>
      </c>
      <c r="C7040" t="s">
        <v>2598</v>
      </c>
      <c r="D7040" s="254">
        <v>10.6</v>
      </c>
      <c r="E7040"/>
      <c r="F7040"/>
      <c r="G7040"/>
      <c r="H7040"/>
      <c r="I7040" s="489"/>
      <c r="J7040" s="1362"/>
      <c r="K7040" s="1362"/>
      <c r="L7040" s="1362"/>
    </row>
    <row r="7041" spans="1:12" x14ac:dyDescent="0.25">
      <c r="A7041" t="s">
        <v>14920</v>
      </c>
      <c r="B7041" t="s">
        <v>14921</v>
      </c>
      <c r="C7041" t="s">
        <v>2598</v>
      </c>
      <c r="D7041" s="254">
        <v>24.84</v>
      </c>
      <c r="E7041"/>
      <c r="F7041"/>
      <c r="G7041"/>
      <c r="H7041"/>
      <c r="I7041" s="489"/>
      <c r="J7041" s="1362"/>
      <c r="K7041" s="1362"/>
      <c r="L7041" s="1362"/>
    </row>
    <row r="7042" spans="1:12" x14ac:dyDescent="0.25">
      <c r="A7042" t="s">
        <v>14922</v>
      </c>
      <c r="B7042" t="s">
        <v>14923</v>
      </c>
      <c r="C7042" t="s">
        <v>2598</v>
      </c>
      <c r="D7042" s="254">
        <v>80.69</v>
      </c>
      <c r="E7042"/>
      <c r="F7042"/>
      <c r="G7042"/>
      <c r="H7042"/>
      <c r="I7042" s="489"/>
      <c r="J7042" s="1362"/>
      <c r="K7042" s="1362"/>
      <c r="L7042" s="1362"/>
    </row>
    <row r="7043" spans="1:12" x14ac:dyDescent="0.25">
      <c r="A7043" t="s">
        <v>14924</v>
      </c>
      <c r="B7043" t="s">
        <v>14925</v>
      </c>
      <c r="C7043" t="s">
        <v>2598</v>
      </c>
      <c r="D7043" s="254">
        <v>92.32</v>
      </c>
      <c r="E7043"/>
      <c r="F7043"/>
      <c r="G7043"/>
      <c r="H7043"/>
      <c r="I7043" s="489"/>
      <c r="J7043" s="1362"/>
      <c r="K7043" s="1362"/>
      <c r="L7043" s="1362"/>
    </row>
    <row r="7044" spans="1:12" x14ac:dyDescent="0.25">
      <c r="A7044" t="s">
        <v>14926</v>
      </c>
      <c r="B7044" t="s">
        <v>14927</v>
      </c>
      <c r="C7044" t="s">
        <v>2598</v>
      </c>
      <c r="D7044" s="254">
        <v>127.69</v>
      </c>
      <c r="E7044"/>
      <c r="F7044"/>
      <c r="G7044"/>
      <c r="H7044"/>
      <c r="I7044" s="489"/>
      <c r="J7044" s="1362"/>
      <c r="K7044" s="1362"/>
      <c r="L7044" s="1362"/>
    </row>
    <row r="7045" spans="1:12" x14ac:dyDescent="0.25">
      <c r="A7045" t="s">
        <v>14928</v>
      </c>
      <c r="B7045" t="s">
        <v>14929</v>
      </c>
      <c r="C7045" t="s">
        <v>2640</v>
      </c>
      <c r="D7045" s="254">
        <v>459.88</v>
      </c>
      <c r="E7045"/>
      <c r="F7045"/>
      <c r="G7045"/>
      <c r="H7045"/>
      <c r="I7045" s="489"/>
      <c r="J7045" s="1362"/>
      <c r="K7045" s="1362"/>
      <c r="L7045" s="1362"/>
    </row>
    <row r="7046" spans="1:12" x14ac:dyDescent="0.25">
      <c r="A7046" t="s">
        <v>14930</v>
      </c>
      <c r="B7046" t="s">
        <v>14931</v>
      </c>
      <c r="C7046" t="s">
        <v>2595</v>
      </c>
      <c r="D7046" s="254">
        <v>5.4</v>
      </c>
      <c r="E7046"/>
      <c r="F7046"/>
      <c r="G7046"/>
      <c r="H7046"/>
      <c r="I7046" s="489"/>
      <c r="J7046" s="1362"/>
      <c r="K7046" s="1362"/>
      <c r="L7046" s="1362"/>
    </row>
    <row r="7047" spans="1:12" x14ac:dyDescent="0.25">
      <c r="A7047" t="s">
        <v>14932</v>
      </c>
      <c r="B7047" t="s">
        <v>14933</v>
      </c>
      <c r="C7047" t="s">
        <v>2640</v>
      </c>
      <c r="D7047" s="254">
        <v>2309.4</v>
      </c>
      <c r="E7047"/>
      <c r="F7047"/>
      <c r="G7047"/>
      <c r="H7047"/>
      <c r="I7047" s="489"/>
      <c r="J7047" s="1362"/>
      <c r="K7047" s="1362"/>
      <c r="L7047" s="1362"/>
    </row>
    <row r="7048" spans="1:12" x14ac:dyDescent="0.25">
      <c r="A7048" t="s">
        <v>14934</v>
      </c>
      <c r="B7048" t="s">
        <v>14935</v>
      </c>
      <c r="C7048" t="s">
        <v>2640</v>
      </c>
      <c r="D7048" s="254">
        <v>12.56</v>
      </c>
      <c r="E7048"/>
      <c r="F7048"/>
      <c r="G7048"/>
      <c r="H7048"/>
      <c r="I7048" s="489"/>
      <c r="J7048" s="1362"/>
      <c r="K7048" s="1362"/>
      <c r="L7048" s="1362"/>
    </row>
    <row r="7049" spans="1:12" x14ac:dyDescent="0.25">
      <c r="A7049" t="s">
        <v>14936</v>
      </c>
      <c r="B7049" t="s">
        <v>14937</v>
      </c>
      <c r="C7049" t="s">
        <v>2595</v>
      </c>
      <c r="D7049" s="254">
        <v>42.59</v>
      </c>
      <c r="E7049"/>
      <c r="F7049"/>
      <c r="G7049"/>
      <c r="H7049"/>
      <c r="I7049" s="489"/>
      <c r="J7049" s="1362"/>
      <c r="K7049" s="1362"/>
      <c r="L7049" s="1362"/>
    </row>
    <row r="7050" spans="1:12" x14ac:dyDescent="0.25">
      <c r="A7050" t="s">
        <v>14938</v>
      </c>
      <c r="B7050" t="s">
        <v>14939</v>
      </c>
      <c r="C7050" t="s">
        <v>2640</v>
      </c>
      <c r="D7050" s="254">
        <v>6306.39</v>
      </c>
      <c r="E7050"/>
      <c r="F7050"/>
      <c r="G7050"/>
      <c r="H7050"/>
      <c r="I7050" s="489"/>
      <c r="J7050" s="1362"/>
      <c r="K7050" s="1362"/>
      <c r="L7050" s="1362"/>
    </row>
    <row r="7051" spans="1:12" x14ac:dyDescent="0.25">
      <c r="A7051" t="s">
        <v>14940</v>
      </c>
      <c r="B7051" t="s">
        <v>14941</v>
      </c>
      <c r="C7051" t="s">
        <v>2716</v>
      </c>
      <c r="D7051" s="254">
        <v>54.06</v>
      </c>
      <c r="E7051"/>
      <c r="F7051"/>
      <c r="G7051"/>
      <c r="H7051"/>
      <c r="I7051" s="489"/>
      <c r="J7051" s="1362"/>
      <c r="K7051" s="1362"/>
      <c r="L7051" s="1362"/>
    </row>
    <row r="7052" spans="1:12" x14ac:dyDescent="0.25">
      <c r="A7052" t="s">
        <v>14942</v>
      </c>
      <c r="B7052" t="s">
        <v>14943</v>
      </c>
      <c r="C7052" t="s">
        <v>2598</v>
      </c>
      <c r="D7052" s="254">
        <v>118</v>
      </c>
      <c r="E7052"/>
      <c r="F7052"/>
      <c r="G7052"/>
      <c r="H7052"/>
      <c r="I7052" s="489"/>
      <c r="J7052" s="1362"/>
      <c r="K7052" s="1362"/>
      <c r="L7052" s="1362"/>
    </row>
    <row r="7053" spans="1:12" x14ac:dyDescent="0.25">
      <c r="A7053" t="s">
        <v>14944</v>
      </c>
      <c r="B7053" t="s">
        <v>14945</v>
      </c>
      <c r="C7053" t="s">
        <v>2640</v>
      </c>
      <c r="D7053" s="254">
        <v>4198.46</v>
      </c>
      <c r="E7053"/>
      <c r="F7053"/>
      <c r="G7053"/>
      <c r="H7053"/>
      <c r="I7053" s="489"/>
      <c r="J7053" s="1362"/>
      <c r="K7053" s="1362"/>
      <c r="L7053" s="1362"/>
    </row>
    <row r="7054" spans="1:12" x14ac:dyDescent="0.25">
      <c r="A7054" t="s">
        <v>14946</v>
      </c>
      <c r="B7054" t="s">
        <v>14947</v>
      </c>
      <c r="C7054" t="s">
        <v>2640</v>
      </c>
      <c r="D7054" s="254">
        <v>2207.1799999999998</v>
      </c>
      <c r="E7054"/>
      <c r="F7054"/>
      <c r="G7054"/>
      <c r="H7054"/>
      <c r="I7054" s="489"/>
      <c r="J7054" s="1362"/>
      <c r="K7054" s="1362"/>
      <c r="L7054" s="1362"/>
    </row>
    <row r="7055" spans="1:12" x14ac:dyDescent="0.25">
      <c r="A7055" t="s">
        <v>14948</v>
      </c>
      <c r="B7055" t="s">
        <v>14949</v>
      </c>
      <c r="C7055" t="s">
        <v>2640</v>
      </c>
      <c r="D7055" s="254">
        <v>518.74</v>
      </c>
      <c r="E7055"/>
      <c r="F7055"/>
      <c r="G7055"/>
      <c r="H7055"/>
      <c r="I7055" s="489"/>
      <c r="J7055" s="1362"/>
      <c r="K7055" s="1362"/>
      <c r="L7055" s="1362"/>
    </row>
    <row r="7056" spans="1:12" x14ac:dyDescent="0.25">
      <c r="A7056" t="s">
        <v>14950</v>
      </c>
      <c r="B7056" t="s">
        <v>14951</v>
      </c>
      <c r="C7056" t="s">
        <v>2640</v>
      </c>
      <c r="D7056" s="254">
        <v>1503.55</v>
      </c>
      <c r="E7056"/>
      <c r="F7056"/>
      <c r="G7056"/>
      <c r="H7056"/>
      <c r="I7056" s="489"/>
      <c r="J7056" s="1362"/>
      <c r="K7056" s="1362"/>
      <c r="L7056" s="1362"/>
    </row>
    <row r="7057" spans="1:12" x14ac:dyDescent="0.25">
      <c r="A7057" t="s">
        <v>14952</v>
      </c>
      <c r="B7057" t="s">
        <v>14953</v>
      </c>
      <c r="C7057" t="s">
        <v>2598</v>
      </c>
      <c r="D7057" s="254">
        <v>138.38</v>
      </c>
      <c r="E7057"/>
      <c r="F7057"/>
      <c r="G7057"/>
      <c r="H7057"/>
      <c r="I7057" s="489"/>
      <c r="J7057" s="1362"/>
      <c r="K7057" s="1362"/>
      <c r="L7057" s="1362"/>
    </row>
    <row r="7058" spans="1:12" x14ac:dyDescent="0.25">
      <c r="A7058" t="s">
        <v>14954</v>
      </c>
      <c r="B7058" t="s">
        <v>14955</v>
      </c>
      <c r="C7058" t="s">
        <v>2640</v>
      </c>
      <c r="D7058" s="254">
        <v>1122.93</v>
      </c>
      <c r="E7058"/>
      <c r="F7058"/>
      <c r="G7058"/>
      <c r="H7058"/>
      <c r="I7058" s="489"/>
      <c r="J7058" s="1362"/>
      <c r="K7058" s="1362"/>
      <c r="L7058" s="1362"/>
    </row>
    <row r="7059" spans="1:12" x14ac:dyDescent="0.25">
      <c r="A7059" t="s">
        <v>14956</v>
      </c>
      <c r="B7059" t="s">
        <v>14957</v>
      </c>
      <c r="C7059" t="s">
        <v>2640</v>
      </c>
      <c r="D7059" s="254">
        <v>9448.8799999999992</v>
      </c>
      <c r="E7059"/>
      <c r="F7059"/>
      <c r="G7059"/>
      <c r="H7059"/>
      <c r="I7059" s="489"/>
      <c r="J7059" s="1362"/>
      <c r="K7059" s="1362"/>
      <c r="L7059" s="1362"/>
    </row>
    <row r="7060" spans="1:12" x14ac:dyDescent="0.25">
      <c r="A7060" t="s">
        <v>14958</v>
      </c>
      <c r="B7060" t="s">
        <v>14959</v>
      </c>
      <c r="C7060" t="s">
        <v>2640</v>
      </c>
      <c r="D7060" s="254">
        <v>9048.6200000000008</v>
      </c>
      <c r="E7060"/>
      <c r="F7060"/>
      <c r="G7060"/>
      <c r="H7060"/>
      <c r="I7060" s="489"/>
      <c r="J7060" s="1362"/>
      <c r="K7060" s="1362"/>
      <c r="L7060" s="1362"/>
    </row>
    <row r="7061" spans="1:12" x14ac:dyDescent="0.25">
      <c r="A7061" t="s">
        <v>14960</v>
      </c>
      <c r="B7061" t="s">
        <v>14961</v>
      </c>
      <c r="C7061" t="s">
        <v>2640</v>
      </c>
      <c r="D7061" s="254">
        <v>4.96</v>
      </c>
      <c r="E7061"/>
      <c r="F7061"/>
      <c r="G7061"/>
      <c r="H7061"/>
      <c r="I7061" s="489"/>
      <c r="J7061" s="1362"/>
      <c r="K7061" s="1362"/>
      <c r="L7061" s="1362"/>
    </row>
    <row r="7062" spans="1:12" x14ac:dyDescent="0.25">
      <c r="A7062" t="s">
        <v>14962</v>
      </c>
      <c r="B7062" t="s">
        <v>14963</v>
      </c>
      <c r="C7062" t="s">
        <v>2640</v>
      </c>
      <c r="D7062" s="254">
        <v>384.01</v>
      </c>
      <c r="E7062"/>
      <c r="F7062"/>
      <c r="G7062"/>
      <c r="H7062"/>
      <c r="I7062" s="489"/>
      <c r="J7062" s="1362"/>
      <c r="K7062" s="1362"/>
      <c r="L7062" s="1362"/>
    </row>
    <row r="7063" spans="1:12" x14ac:dyDescent="0.25">
      <c r="A7063" t="s">
        <v>14964</v>
      </c>
      <c r="B7063" t="s">
        <v>14965</v>
      </c>
      <c r="C7063" t="s">
        <v>2640</v>
      </c>
      <c r="D7063" s="254">
        <v>39.15</v>
      </c>
      <c r="E7063"/>
      <c r="F7063"/>
      <c r="G7063"/>
      <c r="H7063"/>
      <c r="I7063" s="489"/>
      <c r="J7063" s="1362"/>
      <c r="K7063" s="1362"/>
      <c r="L7063" s="1362"/>
    </row>
    <row r="7064" spans="1:12" x14ac:dyDescent="0.25">
      <c r="A7064" t="s">
        <v>14966</v>
      </c>
      <c r="B7064" t="s">
        <v>14967</v>
      </c>
      <c r="C7064" t="s">
        <v>2640</v>
      </c>
      <c r="D7064" s="254">
        <v>3822.76</v>
      </c>
      <c r="E7064"/>
      <c r="F7064"/>
      <c r="G7064"/>
      <c r="H7064"/>
      <c r="I7064" s="489"/>
      <c r="J7064" s="1362"/>
      <c r="K7064" s="1362"/>
      <c r="L7064" s="1362"/>
    </row>
    <row r="7065" spans="1:12" x14ac:dyDescent="0.25">
      <c r="A7065" t="s">
        <v>14968</v>
      </c>
      <c r="B7065" t="s">
        <v>14969</v>
      </c>
      <c r="C7065" t="s">
        <v>2716</v>
      </c>
      <c r="D7065" s="254">
        <v>0.1</v>
      </c>
      <c r="E7065"/>
      <c r="F7065"/>
      <c r="G7065"/>
      <c r="H7065"/>
      <c r="I7065" s="489"/>
      <c r="J7065" s="1362"/>
      <c r="K7065" s="1362"/>
      <c r="L7065" s="1362"/>
    </row>
    <row r="7066" spans="1:12" x14ac:dyDescent="0.25">
      <c r="A7066" t="s">
        <v>14970</v>
      </c>
      <c r="B7066" t="s">
        <v>14971</v>
      </c>
      <c r="C7066" t="s">
        <v>2716</v>
      </c>
      <c r="D7066" s="254">
        <v>2.2799999999999998</v>
      </c>
      <c r="E7066"/>
      <c r="F7066"/>
      <c r="G7066"/>
      <c r="H7066"/>
      <c r="I7066" s="489"/>
      <c r="J7066" s="1362"/>
      <c r="K7066" s="1362"/>
      <c r="L7066" s="1362"/>
    </row>
    <row r="7067" spans="1:12" x14ac:dyDescent="0.25">
      <c r="A7067" t="s">
        <v>14972</v>
      </c>
      <c r="B7067" t="s">
        <v>14973</v>
      </c>
      <c r="C7067" t="s">
        <v>2598</v>
      </c>
      <c r="D7067" s="254">
        <v>129.47</v>
      </c>
      <c r="E7067"/>
      <c r="F7067"/>
      <c r="G7067"/>
      <c r="H7067"/>
      <c r="I7067" s="489"/>
      <c r="J7067" s="1362"/>
      <c r="K7067" s="1362"/>
      <c r="L7067" s="1362"/>
    </row>
    <row r="7068" spans="1:12" x14ac:dyDescent="0.25">
      <c r="A7068" t="s">
        <v>14974</v>
      </c>
      <c r="B7068" t="s">
        <v>14975</v>
      </c>
      <c r="C7068" t="s">
        <v>2640</v>
      </c>
      <c r="D7068" s="254">
        <v>19268.82</v>
      </c>
      <c r="E7068"/>
      <c r="F7068"/>
      <c r="G7068"/>
      <c r="H7068"/>
      <c r="I7068" s="489"/>
      <c r="J7068" s="1362"/>
      <c r="K7068" s="1362"/>
      <c r="L7068" s="1362"/>
    </row>
    <row r="7069" spans="1:12" x14ac:dyDescent="0.25">
      <c r="A7069" t="s">
        <v>14976</v>
      </c>
      <c r="B7069" t="s">
        <v>14977</v>
      </c>
      <c r="C7069" t="s">
        <v>2640</v>
      </c>
      <c r="D7069" s="254">
        <v>31465.08</v>
      </c>
      <c r="E7069"/>
      <c r="F7069"/>
      <c r="G7069"/>
      <c r="H7069"/>
      <c r="I7069" s="489"/>
      <c r="J7069" s="1362"/>
      <c r="K7069" s="1362"/>
      <c r="L7069" s="1362"/>
    </row>
    <row r="7070" spans="1:12" x14ac:dyDescent="0.25">
      <c r="A7070" t="s">
        <v>14978</v>
      </c>
      <c r="B7070" t="s">
        <v>14979</v>
      </c>
      <c r="C7070" t="s">
        <v>2640</v>
      </c>
      <c r="D7070" s="254">
        <v>37557.54</v>
      </c>
      <c r="E7070"/>
      <c r="F7070"/>
      <c r="G7070"/>
      <c r="H7070"/>
      <c r="I7070" s="489"/>
      <c r="J7070" s="1362"/>
      <c r="K7070" s="1362"/>
      <c r="L7070" s="1362"/>
    </row>
    <row r="7071" spans="1:12" x14ac:dyDescent="0.25">
      <c r="A7071" t="s">
        <v>14980</v>
      </c>
      <c r="B7071" t="s">
        <v>14981</v>
      </c>
      <c r="C7071" t="s">
        <v>2640</v>
      </c>
      <c r="D7071" s="254">
        <v>55846.75</v>
      </c>
      <c r="E7071"/>
      <c r="F7071"/>
      <c r="G7071"/>
      <c r="H7071"/>
      <c r="I7071" s="489"/>
      <c r="J7071" s="1362"/>
      <c r="K7071" s="1362"/>
      <c r="L7071" s="1362"/>
    </row>
    <row r="7072" spans="1:12" x14ac:dyDescent="0.25">
      <c r="A7072" t="s">
        <v>14982</v>
      </c>
      <c r="B7072" t="s">
        <v>14983</v>
      </c>
      <c r="C7072" t="s">
        <v>2640</v>
      </c>
      <c r="D7072" s="254">
        <v>64023.53</v>
      </c>
      <c r="E7072"/>
      <c r="F7072"/>
      <c r="G7072"/>
      <c r="H7072"/>
      <c r="I7072" s="489"/>
      <c r="J7072" s="1362"/>
      <c r="K7072" s="1362"/>
      <c r="L7072" s="1362"/>
    </row>
    <row r="7073" spans="1:12" x14ac:dyDescent="0.25">
      <c r="A7073" t="s">
        <v>14984</v>
      </c>
      <c r="B7073" t="s">
        <v>14985</v>
      </c>
      <c r="C7073" t="s">
        <v>2640</v>
      </c>
      <c r="D7073" s="254">
        <v>79565.3</v>
      </c>
      <c r="E7073"/>
      <c r="F7073"/>
      <c r="G7073"/>
      <c r="H7073"/>
      <c r="I7073" s="489"/>
      <c r="J7073" s="1362"/>
      <c r="K7073" s="1362"/>
      <c r="L7073" s="1362"/>
    </row>
    <row r="7074" spans="1:12" x14ac:dyDescent="0.25">
      <c r="A7074" t="s">
        <v>14986</v>
      </c>
      <c r="B7074" t="s">
        <v>14987</v>
      </c>
      <c r="C7074" t="s">
        <v>2640</v>
      </c>
      <c r="D7074" s="254">
        <v>112820.3</v>
      </c>
      <c r="E7074"/>
      <c r="F7074"/>
      <c r="G7074"/>
      <c r="H7074"/>
      <c r="I7074" s="489"/>
      <c r="J7074" s="1362"/>
      <c r="K7074" s="1362"/>
      <c r="L7074" s="1362"/>
    </row>
    <row r="7075" spans="1:12" x14ac:dyDescent="0.25">
      <c r="A7075" t="s">
        <v>14988</v>
      </c>
      <c r="B7075" t="s">
        <v>14989</v>
      </c>
      <c r="C7075" t="s">
        <v>2640</v>
      </c>
      <c r="D7075" s="254">
        <v>16590.349999999999</v>
      </c>
      <c r="E7075"/>
      <c r="F7075"/>
      <c r="G7075"/>
      <c r="H7075"/>
      <c r="I7075" s="489"/>
      <c r="J7075" s="1362"/>
      <c r="K7075" s="1362"/>
      <c r="L7075" s="1362"/>
    </row>
    <row r="7076" spans="1:12" x14ac:dyDescent="0.25">
      <c r="A7076" t="s">
        <v>14990</v>
      </c>
      <c r="B7076" t="s">
        <v>14991</v>
      </c>
      <c r="C7076" t="s">
        <v>2640</v>
      </c>
      <c r="D7076" s="254">
        <v>27074.81</v>
      </c>
      <c r="E7076"/>
      <c r="F7076"/>
      <c r="G7076"/>
      <c r="H7076"/>
      <c r="I7076" s="489"/>
      <c r="J7076" s="1362"/>
      <c r="K7076" s="1362"/>
      <c r="L7076" s="1362"/>
    </row>
    <row r="7077" spans="1:12" x14ac:dyDescent="0.25">
      <c r="A7077" t="s">
        <v>14992</v>
      </c>
      <c r="B7077" t="s">
        <v>14993</v>
      </c>
      <c r="C7077" t="s">
        <v>2640</v>
      </c>
      <c r="D7077" s="254">
        <v>32311.39</v>
      </c>
      <c r="E7077"/>
      <c r="F7077"/>
      <c r="G7077"/>
      <c r="H7077"/>
      <c r="I7077" s="489"/>
      <c r="J7077" s="1362"/>
      <c r="K7077" s="1362"/>
      <c r="L7077" s="1362"/>
    </row>
    <row r="7078" spans="1:12" x14ac:dyDescent="0.25">
      <c r="A7078" t="s">
        <v>14994</v>
      </c>
      <c r="B7078" t="s">
        <v>14995</v>
      </c>
      <c r="C7078" t="s">
        <v>2640</v>
      </c>
      <c r="D7078" s="254">
        <v>48041.87</v>
      </c>
      <c r="E7078"/>
      <c r="F7078"/>
      <c r="G7078"/>
      <c r="H7078"/>
      <c r="I7078" s="489"/>
      <c r="J7078" s="1362"/>
      <c r="K7078" s="1362"/>
      <c r="L7078" s="1362"/>
    </row>
    <row r="7079" spans="1:12" x14ac:dyDescent="0.25">
      <c r="A7079" t="s">
        <v>14996</v>
      </c>
      <c r="B7079" t="s">
        <v>14997</v>
      </c>
      <c r="C7079" t="s">
        <v>2640</v>
      </c>
      <c r="D7079" s="254">
        <v>53791.09</v>
      </c>
      <c r="E7079"/>
      <c r="F7079"/>
      <c r="G7079"/>
      <c r="H7079"/>
      <c r="I7079" s="489"/>
      <c r="J7079" s="1362"/>
      <c r="K7079" s="1362"/>
      <c r="L7079" s="1362"/>
    </row>
    <row r="7080" spans="1:12" x14ac:dyDescent="0.25">
      <c r="A7080" t="s">
        <v>14998</v>
      </c>
      <c r="B7080" t="s">
        <v>14999</v>
      </c>
      <c r="C7080" t="s">
        <v>2640</v>
      </c>
      <c r="D7080" s="254">
        <v>70124.52</v>
      </c>
      <c r="E7080"/>
      <c r="F7080"/>
      <c r="G7080"/>
      <c r="H7080"/>
      <c r="I7080" s="489"/>
      <c r="J7080" s="1362"/>
      <c r="K7080" s="1362"/>
      <c r="L7080" s="1362"/>
    </row>
    <row r="7081" spans="1:12" x14ac:dyDescent="0.25">
      <c r="A7081" t="s">
        <v>15000</v>
      </c>
      <c r="B7081" t="s">
        <v>15001</v>
      </c>
      <c r="C7081" t="s">
        <v>2640</v>
      </c>
      <c r="D7081" s="254">
        <v>94547.8</v>
      </c>
      <c r="E7081"/>
      <c r="F7081"/>
      <c r="G7081"/>
      <c r="H7081"/>
      <c r="I7081" s="489"/>
      <c r="J7081" s="1362"/>
      <c r="K7081" s="1362"/>
      <c r="L7081" s="1362"/>
    </row>
    <row r="7082" spans="1:12" x14ac:dyDescent="0.25">
      <c r="A7082" t="s">
        <v>15002</v>
      </c>
      <c r="B7082" t="s">
        <v>15003</v>
      </c>
      <c r="C7082" t="s">
        <v>2640</v>
      </c>
      <c r="D7082" s="254">
        <v>10.07</v>
      </c>
      <c r="E7082"/>
      <c r="F7082"/>
      <c r="G7082"/>
      <c r="H7082"/>
      <c r="I7082" s="489"/>
      <c r="J7082" s="1362"/>
      <c r="K7082" s="1362"/>
      <c r="L7082" s="1362"/>
    </row>
    <row r="7083" spans="1:12" x14ac:dyDescent="0.25">
      <c r="A7083" t="s">
        <v>15004</v>
      </c>
      <c r="B7083" t="s">
        <v>15005</v>
      </c>
      <c r="C7083" t="s">
        <v>2640</v>
      </c>
      <c r="D7083" s="254">
        <v>5401.9</v>
      </c>
      <c r="E7083"/>
      <c r="F7083"/>
      <c r="G7083"/>
      <c r="H7083"/>
      <c r="I7083" s="489"/>
      <c r="J7083" s="1362"/>
      <c r="K7083" s="1362"/>
      <c r="L7083" s="1362"/>
    </row>
    <row r="7084" spans="1:12" x14ac:dyDescent="0.25">
      <c r="A7084" t="s">
        <v>15006</v>
      </c>
      <c r="B7084" t="s">
        <v>15007</v>
      </c>
      <c r="C7084" t="s">
        <v>2716</v>
      </c>
      <c r="D7084" s="254">
        <v>9.23</v>
      </c>
      <c r="E7084"/>
      <c r="F7084"/>
      <c r="G7084"/>
      <c r="H7084"/>
      <c r="I7084" s="489"/>
      <c r="J7084" s="1362"/>
      <c r="K7084" s="1362"/>
      <c r="L7084" s="1362"/>
    </row>
    <row r="7085" spans="1:12" x14ac:dyDescent="0.25">
      <c r="A7085" t="s">
        <v>15008</v>
      </c>
      <c r="B7085" t="s">
        <v>15009</v>
      </c>
      <c r="C7085" t="s">
        <v>2596</v>
      </c>
      <c r="D7085" s="254">
        <v>17.55</v>
      </c>
      <c r="E7085"/>
      <c r="F7085"/>
      <c r="G7085"/>
      <c r="H7085"/>
      <c r="I7085" s="489"/>
      <c r="J7085" s="1362"/>
      <c r="K7085" s="1362"/>
      <c r="L7085" s="1362"/>
    </row>
    <row r="7086" spans="1:12" x14ac:dyDescent="0.25">
      <c r="A7086" t="s">
        <v>15010</v>
      </c>
      <c r="B7086" t="s">
        <v>15011</v>
      </c>
      <c r="C7086" t="s">
        <v>2716</v>
      </c>
      <c r="D7086" s="254">
        <v>50</v>
      </c>
      <c r="E7086"/>
      <c r="F7086"/>
      <c r="G7086"/>
      <c r="H7086"/>
      <c r="I7086" s="489"/>
      <c r="J7086" s="1362"/>
      <c r="K7086" s="1362"/>
      <c r="L7086" s="1362"/>
    </row>
    <row r="7087" spans="1:12" x14ac:dyDescent="0.25">
      <c r="A7087" t="s">
        <v>15012</v>
      </c>
      <c r="B7087" t="s">
        <v>15013</v>
      </c>
      <c r="C7087" t="s">
        <v>2598</v>
      </c>
      <c r="D7087" s="254">
        <v>3.14</v>
      </c>
      <c r="E7087"/>
      <c r="F7087"/>
      <c r="G7087"/>
      <c r="H7087"/>
      <c r="I7087" s="489"/>
      <c r="J7087" s="1362"/>
      <c r="K7087" s="1362"/>
      <c r="L7087" s="1362"/>
    </row>
    <row r="7088" spans="1:12" x14ac:dyDescent="0.25">
      <c r="A7088" t="s">
        <v>15014</v>
      </c>
      <c r="B7088" t="s">
        <v>15015</v>
      </c>
      <c r="C7088" t="s">
        <v>2595</v>
      </c>
      <c r="D7088" s="254">
        <v>37.35</v>
      </c>
      <c r="E7088"/>
      <c r="F7088"/>
      <c r="G7088"/>
      <c r="H7088"/>
      <c r="I7088" s="489"/>
      <c r="J7088" s="1362"/>
      <c r="K7088" s="1362"/>
      <c r="L7088" s="1362"/>
    </row>
    <row r="7089" spans="1:12" x14ac:dyDescent="0.25">
      <c r="A7089" t="s">
        <v>15016</v>
      </c>
      <c r="B7089" t="s">
        <v>15017</v>
      </c>
      <c r="C7089" t="s">
        <v>2598</v>
      </c>
      <c r="D7089" s="254">
        <v>30</v>
      </c>
      <c r="E7089"/>
      <c r="F7089"/>
      <c r="G7089"/>
      <c r="H7089"/>
      <c r="I7089" s="489"/>
      <c r="J7089" s="1362"/>
      <c r="K7089" s="1362"/>
      <c r="L7089" s="1362"/>
    </row>
    <row r="7090" spans="1:12" x14ac:dyDescent="0.25">
      <c r="A7090" t="s">
        <v>15018</v>
      </c>
      <c r="B7090" t="s">
        <v>15019</v>
      </c>
      <c r="C7090" t="s">
        <v>2598</v>
      </c>
      <c r="D7090" s="254">
        <v>22.49</v>
      </c>
      <c r="E7090"/>
      <c r="F7090"/>
      <c r="G7090"/>
      <c r="H7090"/>
      <c r="I7090" s="489"/>
      <c r="J7090" s="1362"/>
      <c r="K7090" s="1362"/>
      <c r="L7090" s="1362"/>
    </row>
    <row r="7091" spans="1:12" x14ac:dyDescent="0.25">
      <c r="A7091" t="s">
        <v>15020</v>
      </c>
      <c r="B7091" t="s">
        <v>15021</v>
      </c>
      <c r="C7091" t="s">
        <v>2640</v>
      </c>
      <c r="D7091" s="254">
        <v>565.32000000000005</v>
      </c>
      <c r="E7091"/>
      <c r="F7091"/>
      <c r="G7091"/>
      <c r="H7091"/>
      <c r="I7091" s="489"/>
      <c r="J7091" s="1362"/>
      <c r="K7091" s="1362"/>
      <c r="L7091" s="1362"/>
    </row>
    <row r="7092" spans="1:12" x14ac:dyDescent="0.25">
      <c r="A7092" t="s">
        <v>15022</v>
      </c>
      <c r="B7092" t="s">
        <v>15023</v>
      </c>
      <c r="C7092" t="s">
        <v>2595</v>
      </c>
      <c r="D7092" s="254">
        <v>74.98</v>
      </c>
      <c r="E7092"/>
      <c r="F7092"/>
      <c r="G7092"/>
      <c r="H7092"/>
      <c r="I7092" s="489"/>
      <c r="J7092" s="1362"/>
      <c r="K7092" s="1362"/>
      <c r="L7092" s="1362"/>
    </row>
    <row r="7093" spans="1:12" x14ac:dyDescent="0.25">
      <c r="A7093" t="s">
        <v>15024</v>
      </c>
      <c r="B7093" t="s">
        <v>15025</v>
      </c>
      <c r="C7093" t="s">
        <v>2640</v>
      </c>
      <c r="D7093" s="254">
        <v>2.5499999999999998</v>
      </c>
      <c r="E7093"/>
      <c r="F7093"/>
      <c r="G7093"/>
      <c r="H7093"/>
      <c r="I7093" s="489"/>
      <c r="J7093" s="1362"/>
      <c r="K7093" s="1362"/>
      <c r="L7093" s="1362"/>
    </row>
    <row r="7094" spans="1:12" x14ac:dyDescent="0.25">
      <c r="A7094" t="s">
        <v>15026</v>
      </c>
      <c r="B7094" t="s">
        <v>15027</v>
      </c>
      <c r="C7094" t="s">
        <v>2640</v>
      </c>
      <c r="D7094" s="254">
        <v>10.050000000000001</v>
      </c>
      <c r="E7094"/>
      <c r="F7094"/>
      <c r="G7094"/>
      <c r="H7094"/>
      <c r="I7094" s="489"/>
      <c r="J7094" s="1362"/>
      <c r="K7094" s="1362"/>
      <c r="L7094" s="1362"/>
    </row>
    <row r="7095" spans="1:12" x14ac:dyDescent="0.25">
      <c r="A7095" t="s">
        <v>15028</v>
      </c>
      <c r="B7095" t="s">
        <v>15029</v>
      </c>
      <c r="C7095" t="s">
        <v>2640</v>
      </c>
      <c r="D7095" s="254">
        <v>870.16</v>
      </c>
      <c r="E7095"/>
      <c r="F7095"/>
      <c r="G7095"/>
      <c r="H7095"/>
      <c r="I7095" s="489"/>
      <c r="J7095" s="1362"/>
      <c r="K7095" s="1362"/>
      <c r="L7095" s="1362"/>
    </row>
    <row r="7096" spans="1:12" x14ac:dyDescent="0.25">
      <c r="A7096" t="s">
        <v>15030</v>
      </c>
      <c r="B7096" t="s">
        <v>15031</v>
      </c>
      <c r="C7096" t="s">
        <v>2640</v>
      </c>
      <c r="D7096" s="254">
        <v>448.07</v>
      </c>
      <c r="E7096"/>
      <c r="F7096"/>
      <c r="G7096"/>
      <c r="H7096"/>
      <c r="I7096" s="489"/>
      <c r="J7096" s="1362"/>
      <c r="K7096" s="1362"/>
      <c r="L7096" s="1362"/>
    </row>
    <row r="7097" spans="1:12" x14ac:dyDescent="0.25">
      <c r="A7097" t="s">
        <v>15032</v>
      </c>
      <c r="B7097" t="s">
        <v>15033</v>
      </c>
      <c r="C7097" t="s">
        <v>2716</v>
      </c>
      <c r="D7097" s="254">
        <v>83.01</v>
      </c>
      <c r="E7097"/>
      <c r="F7097"/>
      <c r="G7097"/>
      <c r="H7097"/>
      <c r="I7097" s="489"/>
      <c r="J7097" s="1362"/>
      <c r="K7097" s="1362"/>
      <c r="L7097" s="1362"/>
    </row>
    <row r="7098" spans="1:12" x14ac:dyDescent="0.25">
      <c r="A7098" t="s">
        <v>15034</v>
      </c>
      <c r="B7098" t="s">
        <v>15035</v>
      </c>
      <c r="C7098" t="s">
        <v>2640</v>
      </c>
      <c r="D7098" s="254">
        <v>1666.37</v>
      </c>
      <c r="E7098"/>
      <c r="F7098"/>
      <c r="G7098"/>
      <c r="H7098"/>
      <c r="I7098" s="489"/>
      <c r="J7098" s="1362"/>
      <c r="K7098" s="1362"/>
      <c r="L7098" s="1362"/>
    </row>
    <row r="7099" spans="1:12" x14ac:dyDescent="0.25">
      <c r="A7099" t="s">
        <v>15036</v>
      </c>
      <c r="B7099" t="s">
        <v>15037</v>
      </c>
      <c r="C7099" t="s">
        <v>2640</v>
      </c>
      <c r="D7099" s="254">
        <v>10.09</v>
      </c>
      <c r="E7099"/>
      <c r="F7099"/>
      <c r="G7099"/>
      <c r="H7099"/>
      <c r="I7099" s="489"/>
      <c r="J7099" s="1362"/>
      <c r="K7099" s="1362"/>
      <c r="L7099" s="1362"/>
    </row>
    <row r="7100" spans="1:12" x14ac:dyDescent="0.25">
      <c r="A7100" t="s">
        <v>15038</v>
      </c>
      <c r="B7100" t="s">
        <v>15039</v>
      </c>
      <c r="C7100" t="s">
        <v>2640</v>
      </c>
      <c r="D7100" s="254">
        <v>9905.7199999999993</v>
      </c>
      <c r="E7100"/>
      <c r="F7100"/>
      <c r="G7100"/>
      <c r="H7100"/>
      <c r="I7100" s="489"/>
      <c r="J7100" s="1362"/>
      <c r="K7100" s="1362"/>
      <c r="L7100" s="1362"/>
    </row>
    <row r="7101" spans="1:12" x14ac:dyDescent="0.25">
      <c r="A7101" t="s">
        <v>15040</v>
      </c>
      <c r="B7101" t="s">
        <v>15041</v>
      </c>
      <c r="C7101" t="s">
        <v>2598</v>
      </c>
      <c r="D7101" s="254">
        <v>1412.58</v>
      </c>
      <c r="E7101"/>
      <c r="F7101"/>
      <c r="G7101"/>
      <c r="H7101"/>
      <c r="I7101" s="489"/>
      <c r="J7101" s="1362"/>
      <c r="K7101" s="1362"/>
      <c r="L7101" s="1362"/>
    </row>
    <row r="7102" spans="1:12" x14ac:dyDescent="0.25">
      <c r="A7102" t="s">
        <v>15042</v>
      </c>
      <c r="B7102" t="s">
        <v>15043</v>
      </c>
      <c r="C7102" t="s">
        <v>2640</v>
      </c>
      <c r="D7102" s="254">
        <v>2.4300000000000002</v>
      </c>
      <c r="E7102"/>
      <c r="F7102"/>
      <c r="G7102"/>
      <c r="H7102"/>
      <c r="I7102" s="489"/>
      <c r="J7102" s="1362"/>
      <c r="K7102" s="1362"/>
      <c r="L7102" s="1362"/>
    </row>
    <row r="7103" spans="1:12" x14ac:dyDescent="0.25">
      <c r="A7103" t="s">
        <v>15044</v>
      </c>
      <c r="B7103" t="s">
        <v>15045</v>
      </c>
      <c r="C7103" t="s">
        <v>2640</v>
      </c>
      <c r="D7103" s="254">
        <v>3.24</v>
      </c>
      <c r="E7103"/>
      <c r="F7103"/>
      <c r="G7103"/>
      <c r="H7103"/>
      <c r="I7103" s="489"/>
      <c r="J7103" s="1362"/>
      <c r="K7103" s="1362"/>
      <c r="L7103" s="1362"/>
    </row>
    <row r="7104" spans="1:12" x14ac:dyDescent="0.25">
      <c r="A7104" t="s">
        <v>15046</v>
      </c>
      <c r="B7104" t="s">
        <v>15047</v>
      </c>
      <c r="C7104" t="s">
        <v>2598</v>
      </c>
      <c r="D7104" s="254">
        <v>13.56</v>
      </c>
      <c r="E7104"/>
      <c r="F7104"/>
      <c r="G7104"/>
      <c r="H7104"/>
      <c r="I7104" s="489"/>
      <c r="J7104" s="1362"/>
      <c r="K7104" s="1362"/>
      <c r="L7104" s="1362"/>
    </row>
    <row r="7105" spans="1:12" x14ac:dyDescent="0.25">
      <c r="A7105" t="s">
        <v>15048</v>
      </c>
      <c r="B7105" t="s">
        <v>15049</v>
      </c>
      <c r="C7105" t="s">
        <v>2598</v>
      </c>
      <c r="D7105" s="254">
        <v>4.13</v>
      </c>
      <c r="E7105"/>
      <c r="F7105"/>
      <c r="G7105"/>
      <c r="H7105"/>
      <c r="I7105" s="489"/>
      <c r="J7105" s="1362"/>
      <c r="K7105" s="1362"/>
      <c r="L7105" s="1362"/>
    </row>
    <row r="7106" spans="1:12" x14ac:dyDescent="0.25">
      <c r="A7106" t="s">
        <v>15050</v>
      </c>
      <c r="B7106" t="s">
        <v>15051</v>
      </c>
      <c r="C7106" t="s">
        <v>2598</v>
      </c>
      <c r="D7106" s="254">
        <v>4.95</v>
      </c>
      <c r="E7106"/>
      <c r="F7106"/>
      <c r="G7106"/>
      <c r="H7106"/>
      <c r="I7106" s="489"/>
      <c r="J7106" s="1362"/>
      <c r="K7106" s="1362"/>
      <c r="L7106" s="1362"/>
    </row>
    <row r="7107" spans="1:12" x14ac:dyDescent="0.25">
      <c r="A7107" t="s">
        <v>15052</v>
      </c>
      <c r="B7107" t="s">
        <v>15053</v>
      </c>
      <c r="C7107" t="s">
        <v>2598</v>
      </c>
      <c r="D7107" s="254">
        <v>9.39</v>
      </c>
      <c r="E7107"/>
      <c r="F7107"/>
      <c r="G7107"/>
      <c r="H7107"/>
      <c r="I7107" s="489"/>
      <c r="J7107" s="1362"/>
      <c r="K7107" s="1362"/>
      <c r="L7107" s="1362"/>
    </row>
    <row r="7108" spans="1:12" x14ac:dyDescent="0.25">
      <c r="A7108" t="s">
        <v>15054</v>
      </c>
      <c r="B7108" t="s">
        <v>15055</v>
      </c>
      <c r="C7108" t="s">
        <v>2598</v>
      </c>
      <c r="D7108" s="254">
        <v>14.34</v>
      </c>
      <c r="E7108"/>
      <c r="F7108"/>
      <c r="G7108"/>
      <c r="H7108"/>
      <c r="I7108" s="489"/>
      <c r="J7108" s="1362"/>
      <c r="K7108" s="1362"/>
      <c r="L7108" s="1362"/>
    </row>
    <row r="7109" spans="1:12" x14ac:dyDescent="0.25">
      <c r="A7109" t="s">
        <v>15056</v>
      </c>
      <c r="B7109" t="s">
        <v>15057</v>
      </c>
      <c r="C7109" t="s">
        <v>2598</v>
      </c>
      <c r="D7109" s="254">
        <v>18.399999999999999</v>
      </c>
      <c r="E7109"/>
      <c r="F7109"/>
      <c r="G7109"/>
      <c r="H7109"/>
      <c r="I7109" s="489"/>
      <c r="J7109" s="1362"/>
      <c r="K7109" s="1362"/>
      <c r="L7109" s="1362"/>
    </row>
    <row r="7110" spans="1:12" x14ac:dyDescent="0.25">
      <c r="A7110" t="s">
        <v>15058</v>
      </c>
      <c r="B7110" t="s">
        <v>15059</v>
      </c>
      <c r="C7110" t="s">
        <v>2598</v>
      </c>
      <c r="D7110" s="254">
        <v>24.16</v>
      </c>
      <c r="E7110"/>
      <c r="F7110"/>
      <c r="G7110"/>
      <c r="H7110"/>
      <c r="I7110" s="489"/>
      <c r="J7110" s="1362"/>
      <c r="K7110" s="1362"/>
      <c r="L7110" s="1362"/>
    </row>
    <row r="7111" spans="1:12" x14ac:dyDescent="0.25">
      <c r="A7111" t="s">
        <v>15060</v>
      </c>
      <c r="B7111" t="s">
        <v>15061</v>
      </c>
      <c r="C7111" t="s">
        <v>2598</v>
      </c>
      <c r="D7111" s="254">
        <v>70.77</v>
      </c>
      <c r="E7111"/>
      <c r="F7111"/>
      <c r="G7111"/>
      <c r="H7111"/>
      <c r="I7111" s="489"/>
      <c r="J7111" s="1362"/>
      <c r="K7111" s="1362"/>
      <c r="L7111" s="1362"/>
    </row>
    <row r="7112" spans="1:12" x14ac:dyDescent="0.25">
      <c r="A7112" t="s">
        <v>15062</v>
      </c>
      <c r="B7112" t="s">
        <v>15063</v>
      </c>
      <c r="C7112" t="s">
        <v>2598</v>
      </c>
      <c r="D7112" s="254">
        <v>1.2</v>
      </c>
      <c r="E7112"/>
      <c r="F7112"/>
      <c r="G7112"/>
      <c r="H7112"/>
      <c r="I7112" s="489"/>
      <c r="J7112" s="1362"/>
      <c r="K7112" s="1362"/>
      <c r="L7112" s="1362"/>
    </row>
    <row r="7113" spans="1:12" x14ac:dyDescent="0.25">
      <c r="A7113" t="s">
        <v>15064</v>
      </c>
      <c r="B7113" t="s">
        <v>15065</v>
      </c>
      <c r="C7113" t="s">
        <v>2716</v>
      </c>
      <c r="D7113" s="254">
        <v>17.72</v>
      </c>
      <c r="E7113"/>
      <c r="F7113"/>
      <c r="G7113"/>
      <c r="H7113"/>
      <c r="I7113" s="489"/>
      <c r="J7113" s="1362"/>
      <c r="K7113" s="1362"/>
      <c r="L7113" s="1362"/>
    </row>
    <row r="7114" spans="1:12" x14ac:dyDescent="0.25">
      <c r="A7114" t="s">
        <v>15066</v>
      </c>
      <c r="B7114" t="s">
        <v>15067</v>
      </c>
      <c r="C7114" t="s">
        <v>2640</v>
      </c>
      <c r="D7114" s="254">
        <v>0.91</v>
      </c>
      <c r="E7114"/>
      <c r="F7114"/>
      <c r="G7114"/>
      <c r="H7114"/>
      <c r="I7114" s="489"/>
      <c r="J7114" s="1362"/>
      <c r="K7114" s="1362"/>
      <c r="L7114" s="1362"/>
    </row>
    <row r="7115" spans="1:12" x14ac:dyDescent="0.25">
      <c r="A7115" t="s">
        <v>15068</v>
      </c>
      <c r="B7115" t="s">
        <v>15069</v>
      </c>
      <c r="C7115" t="s">
        <v>2640</v>
      </c>
      <c r="D7115" s="254">
        <v>0.91</v>
      </c>
      <c r="E7115"/>
      <c r="F7115"/>
      <c r="G7115"/>
      <c r="H7115"/>
      <c r="I7115" s="489"/>
      <c r="J7115" s="1362"/>
      <c r="K7115" s="1362"/>
      <c r="L7115" s="1362"/>
    </row>
    <row r="7116" spans="1:12" x14ac:dyDescent="0.25">
      <c r="A7116" t="s">
        <v>15070</v>
      </c>
      <c r="B7116" t="s">
        <v>15071</v>
      </c>
      <c r="C7116" t="s">
        <v>2640</v>
      </c>
      <c r="D7116" s="254">
        <v>0.91</v>
      </c>
      <c r="E7116"/>
      <c r="F7116"/>
      <c r="G7116"/>
      <c r="H7116"/>
      <c r="I7116" s="489"/>
      <c r="J7116" s="1362"/>
      <c r="K7116" s="1362"/>
      <c r="L7116" s="1362"/>
    </row>
    <row r="7117" spans="1:12" x14ac:dyDescent="0.25">
      <c r="A7117" t="s">
        <v>15072</v>
      </c>
      <c r="B7117" t="s">
        <v>15073</v>
      </c>
      <c r="C7117" t="s">
        <v>2640</v>
      </c>
      <c r="D7117" s="254">
        <v>0.91</v>
      </c>
      <c r="E7117"/>
      <c r="F7117"/>
      <c r="G7117"/>
      <c r="H7117"/>
      <c r="I7117" s="489"/>
      <c r="J7117" s="1362"/>
      <c r="K7117" s="1362"/>
      <c r="L7117" s="1362"/>
    </row>
    <row r="7118" spans="1:12" x14ac:dyDescent="0.25">
      <c r="A7118" t="s">
        <v>15074</v>
      </c>
      <c r="B7118" t="s">
        <v>15075</v>
      </c>
      <c r="C7118" t="s">
        <v>2640</v>
      </c>
      <c r="D7118" s="254">
        <v>9.4700000000000006</v>
      </c>
      <c r="E7118"/>
      <c r="F7118"/>
      <c r="G7118"/>
      <c r="H7118"/>
      <c r="I7118" s="489"/>
      <c r="J7118" s="1362"/>
      <c r="K7118" s="1362"/>
      <c r="L7118" s="1362"/>
    </row>
    <row r="7119" spans="1:12" x14ac:dyDescent="0.25">
      <c r="A7119" t="s">
        <v>15076</v>
      </c>
      <c r="B7119" t="s">
        <v>15077</v>
      </c>
      <c r="C7119" t="s">
        <v>2640</v>
      </c>
      <c r="D7119" s="254">
        <v>9.4600000000000009</v>
      </c>
      <c r="E7119"/>
      <c r="F7119"/>
      <c r="G7119"/>
      <c r="H7119"/>
      <c r="I7119" s="489"/>
      <c r="J7119" s="1362"/>
      <c r="K7119" s="1362"/>
      <c r="L7119" s="1362"/>
    </row>
    <row r="7120" spans="1:12" x14ac:dyDescent="0.25">
      <c r="A7120" t="s">
        <v>15078</v>
      </c>
      <c r="B7120" t="s">
        <v>15079</v>
      </c>
      <c r="C7120" t="s">
        <v>2640</v>
      </c>
      <c r="D7120" s="254">
        <v>9.4700000000000006</v>
      </c>
      <c r="E7120"/>
      <c r="F7120"/>
      <c r="G7120"/>
      <c r="H7120"/>
      <c r="I7120" s="489"/>
      <c r="J7120" s="1362"/>
      <c r="K7120" s="1362"/>
      <c r="L7120" s="1362"/>
    </row>
    <row r="7121" spans="1:12" x14ac:dyDescent="0.25">
      <c r="A7121" t="s">
        <v>15080</v>
      </c>
      <c r="B7121" t="s">
        <v>15081</v>
      </c>
      <c r="C7121" t="s">
        <v>13878</v>
      </c>
      <c r="D7121" s="254">
        <v>7.05</v>
      </c>
      <c r="E7121"/>
      <c r="F7121"/>
      <c r="G7121"/>
      <c r="H7121"/>
      <c r="I7121" s="489"/>
      <c r="J7121" s="1362"/>
      <c r="K7121" s="1362"/>
      <c r="L7121" s="1362"/>
    </row>
    <row r="7122" spans="1:12" x14ac:dyDescent="0.25">
      <c r="A7122" t="s">
        <v>15082</v>
      </c>
      <c r="B7122" t="s">
        <v>15083</v>
      </c>
      <c r="C7122" t="s">
        <v>2640</v>
      </c>
      <c r="D7122" s="254">
        <v>10.29</v>
      </c>
      <c r="E7122"/>
      <c r="F7122"/>
      <c r="G7122"/>
      <c r="H7122"/>
      <c r="I7122" s="489"/>
      <c r="J7122" s="1362"/>
      <c r="K7122" s="1362"/>
      <c r="L7122" s="1362"/>
    </row>
    <row r="7123" spans="1:12" x14ac:dyDescent="0.25">
      <c r="A7123" t="s">
        <v>15084</v>
      </c>
      <c r="B7123" t="s">
        <v>15085</v>
      </c>
      <c r="C7123" t="s">
        <v>2695</v>
      </c>
      <c r="D7123" s="254" t="s">
        <v>0</v>
      </c>
      <c r="E7123"/>
      <c r="F7123"/>
      <c r="G7123"/>
      <c r="H7123"/>
      <c r="I7123" s="489"/>
      <c r="J7123" s="1362"/>
      <c r="K7123" s="1362"/>
      <c r="L7123" s="1362"/>
    </row>
    <row r="7124" spans="1:12" x14ac:dyDescent="0.25">
      <c r="A7124" t="s">
        <v>15086</v>
      </c>
      <c r="B7124" t="s">
        <v>15087</v>
      </c>
      <c r="C7124" t="s">
        <v>2695</v>
      </c>
      <c r="D7124" s="254" t="s">
        <v>0</v>
      </c>
      <c r="E7124"/>
      <c r="F7124"/>
      <c r="G7124"/>
      <c r="H7124"/>
      <c r="I7124" s="489"/>
      <c r="J7124" s="1362"/>
      <c r="K7124" s="1362"/>
      <c r="L7124" s="1362"/>
    </row>
    <row r="7125" spans="1:12" x14ac:dyDescent="0.25">
      <c r="A7125" t="s">
        <v>15088</v>
      </c>
      <c r="B7125" t="s">
        <v>15089</v>
      </c>
      <c r="C7125" t="s">
        <v>2695</v>
      </c>
      <c r="D7125" s="254" t="s">
        <v>0</v>
      </c>
      <c r="E7125"/>
      <c r="F7125"/>
      <c r="G7125"/>
      <c r="H7125"/>
      <c r="I7125" s="489"/>
      <c r="J7125" s="1362"/>
      <c r="K7125" s="1362"/>
      <c r="L7125" s="1362"/>
    </row>
    <row r="7126" spans="1:12" x14ac:dyDescent="0.25">
      <c r="A7126" t="s">
        <v>15090</v>
      </c>
      <c r="B7126" t="s">
        <v>15091</v>
      </c>
      <c r="C7126" t="s">
        <v>2695</v>
      </c>
      <c r="D7126" s="254" t="s">
        <v>0</v>
      </c>
      <c r="E7126"/>
      <c r="F7126"/>
      <c r="G7126"/>
      <c r="H7126"/>
      <c r="I7126" s="489"/>
      <c r="J7126" s="1362"/>
      <c r="K7126" s="1362"/>
      <c r="L7126" s="1362"/>
    </row>
    <row r="7127" spans="1:12" x14ac:dyDescent="0.25">
      <c r="A7127" t="s">
        <v>15092</v>
      </c>
      <c r="B7127" t="s">
        <v>15093</v>
      </c>
      <c r="C7127" t="s">
        <v>2695</v>
      </c>
      <c r="D7127" s="254" t="s">
        <v>0</v>
      </c>
      <c r="E7127"/>
      <c r="F7127"/>
      <c r="G7127"/>
      <c r="H7127"/>
      <c r="I7127" s="489"/>
      <c r="J7127" s="1362"/>
      <c r="K7127" s="1362"/>
      <c r="L7127" s="1362"/>
    </row>
    <row r="7128" spans="1:12" x14ac:dyDescent="0.25">
      <c r="A7128" t="s">
        <v>15094</v>
      </c>
      <c r="B7128" t="s">
        <v>15095</v>
      </c>
      <c r="C7128" t="s">
        <v>2640</v>
      </c>
      <c r="D7128" s="254">
        <v>10.29</v>
      </c>
      <c r="E7128"/>
      <c r="F7128"/>
      <c r="G7128"/>
      <c r="H7128"/>
      <c r="I7128" s="489"/>
      <c r="J7128" s="1362"/>
      <c r="K7128" s="1362"/>
      <c r="L7128" s="1362"/>
    </row>
    <row r="7129" spans="1:12" x14ac:dyDescent="0.25">
      <c r="A7129" t="s">
        <v>15096</v>
      </c>
      <c r="B7129" t="s">
        <v>15097</v>
      </c>
      <c r="C7129" t="s">
        <v>2695</v>
      </c>
      <c r="D7129" s="254" t="s">
        <v>0</v>
      </c>
      <c r="E7129"/>
      <c r="F7129"/>
      <c r="G7129"/>
      <c r="H7129"/>
      <c r="I7129" s="489"/>
      <c r="J7129" s="1362"/>
      <c r="K7129" s="1362"/>
      <c r="L7129" s="1362"/>
    </row>
    <row r="7130" spans="1:12" x14ac:dyDescent="0.25">
      <c r="A7130" t="s">
        <v>15098</v>
      </c>
      <c r="B7130" t="s">
        <v>15099</v>
      </c>
      <c r="C7130" t="s">
        <v>2695</v>
      </c>
      <c r="D7130" s="254" t="s">
        <v>0</v>
      </c>
      <c r="E7130"/>
      <c r="F7130"/>
      <c r="G7130"/>
      <c r="H7130"/>
      <c r="I7130" s="489"/>
      <c r="J7130" s="1362"/>
      <c r="K7130" s="1362"/>
      <c r="L7130" s="1362"/>
    </row>
    <row r="7131" spans="1:12" x14ac:dyDescent="0.25">
      <c r="A7131" t="s">
        <v>15100</v>
      </c>
      <c r="B7131" t="s">
        <v>15101</v>
      </c>
      <c r="C7131" t="s">
        <v>2695</v>
      </c>
      <c r="D7131" s="254" t="s">
        <v>0</v>
      </c>
      <c r="E7131"/>
      <c r="F7131"/>
      <c r="G7131"/>
      <c r="H7131"/>
      <c r="I7131" s="489"/>
      <c r="J7131" s="1362"/>
      <c r="K7131" s="1362"/>
      <c r="L7131" s="1362"/>
    </row>
    <row r="7132" spans="1:12" x14ac:dyDescent="0.25">
      <c r="A7132" t="s">
        <v>15102</v>
      </c>
      <c r="B7132" t="s">
        <v>15103</v>
      </c>
      <c r="C7132" t="s">
        <v>2695</v>
      </c>
      <c r="D7132" s="254">
        <v>7658.81</v>
      </c>
      <c r="E7132"/>
      <c r="F7132"/>
      <c r="G7132"/>
      <c r="H7132"/>
      <c r="I7132" s="489"/>
      <c r="J7132" s="1362"/>
      <c r="K7132" s="1362"/>
      <c r="L7132" s="1362"/>
    </row>
    <row r="7133" spans="1:12" x14ac:dyDescent="0.25">
      <c r="A7133" t="s">
        <v>15104</v>
      </c>
      <c r="B7133" t="s">
        <v>15105</v>
      </c>
      <c r="C7133" t="s">
        <v>2716</v>
      </c>
      <c r="D7133" s="254">
        <v>0.59</v>
      </c>
      <c r="E7133"/>
      <c r="F7133"/>
      <c r="G7133"/>
      <c r="H7133"/>
      <c r="I7133" s="489"/>
      <c r="J7133" s="1362"/>
      <c r="K7133" s="1362"/>
      <c r="L7133" s="1362"/>
    </row>
    <row r="7134" spans="1:12" x14ac:dyDescent="0.25">
      <c r="A7134" t="s">
        <v>15106</v>
      </c>
      <c r="B7134" t="s">
        <v>15107</v>
      </c>
      <c r="C7134" t="s">
        <v>2695</v>
      </c>
      <c r="D7134" s="254" t="s">
        <v>0</v>
      </c>
      <c r="E7134"/>
      <c r="F7134"/>
      <c r="G7134"/>
      <c r="H7134"/>
      <c r="I7134" s="489"/>
      <c r="J7134" s="1362"/>
      <c r="K7134" s="1362"/>
      <c r="L7134" s="1362"/>
    </row>
    <row r="7135" spans="1:12" x14ac:dyDescent="0.25">
      <c r="A7135" t="s">
        <v>15108</v>
      </c>
      <c r="B7135" t="s">
        <v>15109</v>
      </c>
      <c r="C7135" t="s">
        <v>2695</v>
      </c>
      <c r="D7135" s="254" t="s">
        <v>0</v>
      </c>
      <c r="E7135"/>
      <c r="F7135"/>
      <c r="G7135"/>
      <c r="H7135"/>
      <c r="I7135" s="489"/>
      <c r="J7135" s="1362"/>
      <c r="K7135" s="1362"/>
      <c r="L7135" s="1362"/>
    </row>
    <row r="7136" spans="1:12" x14ac:dyDescent="0.25">
      <c r="A7136" t="s">
        <v>15110</v>
      </c>
      <c r="B7136" t="s">
        <v>15111</v>
      </c>
      <c r="C7136" t="s">
        <v>2695</v>
      </c>
      <c r="D7136" s="254" t="s">
        <v>0</v>
      </c>
      <c r="E7136"/>
      <c r="F7136"/>
      <c r="G7136"/>
      <c r="H7136"/>
      <c r="I7136" s="489"/>
      <c r="J7136" s="1362"/>
      <c r="K7136" s="1362"/>
      <c r="L7136" s="1362"/>
    </row>
    <row r="7137" spans="1:12" x14ac:dyDescent="0.25">
      <c r="A7137" t="s">
        <v>15112</v>
      </c>
      <c r="B7137" t="s">
        <v>15113</v>
      </c>
      <c r="C7137" t="s">
        <v>2640</v>
      </c>
      <c r="D7137" s="254">
        <v>12.23</v>
      </c>
      <c r="E7137"/>
      <c r="F7137"/>
      <c r="G7137"/>
      <c r="H7137"/>
      <c r="I7137" s="489"/>
      <c r="J7137" s="1362"/>
      <c r="K7137" s="1362"/>
      <c r="L7137" s="1362"/>
    </row>
    <row r="7138" spans="1:12" x14ac:dyDescent="0.25">
      <c r="A7138" t="s">
        <v>15114</v>
      </c>
      <c r="B7138" t="s">
        <v>15115</v>
      </c>
      <c r="C7138" t="s">
        <v>2640</v>
      </c>
      <c r="D7138" s="254">
        <v>25.46</v>
      </c>
      <c r="E7138"/>
      <c r="F7138"/>
      <c r="G7138"/>
      <c r="H7138"/>
      <c r="I7138" s="489"/>
      <c r="J7138" s="1362"/>
      <c r="K7138" s="1362"/>
      <c r="L7138" s="1362"/>
    </row>
    <row r="7139" spans="1:12" x14ac:dyDescent="0.25">
      <c r="A7139" t="s">
        <v>15116</v>
      </c>
      <c r="B7139" t="s">
        <v>15117</v>
      </c>
      <c r="C7139" t="s">
        <v>2640</v>
      </c>
      <c r="D7139" s="254">
        <v>26.13</v>
      </c>
      <c r="E7139"/>
      <c r="F7139"/>
      <c r="G7139"/>
      <c r="H7139"/>
      <c r="I7139" s="489"/>
      <c r="J7139" s="1362"/>
      <c r="K7139" s="1362"/>
      <c r="L7139" s="1362"/>
    </row>
    <row r="7140" spans="1:12" x14ac:dyDescent="0.25">
      <c r="A7140" t="s">
        <v>15118</v>
      </c>
      <c r="B7140" t="s">
        <v>15119</v>
      </c>
      <c r="C7140" t="s">
        <v>2640</v>
      </c>
      <c r="D7140" s="254">
        <v>26.13</v>
      </c>
      <c r="E7140"/>
      <c r="F7140"/>
      <c r="G7140"/>
      <c r="H7140"/>
      <c r="I7140" s="489"/>
      <c r="J7140" s="1362"/>
      <c r="K7140" s="1362"/>
      <c r="L7140" s="1362"/>
    </row>
    <row r="7141" spans="1:12" x14ac:dyDescent="0.25">
      <c r="A7141" t="s">
        <v>15120</v>
      </c>
      <c r="B7141" t="s">
        <v>15121</v>
      </c>
      <c r="C7141" t="s">
        <v>2716</v>
      </c>
      <c r="D7141" s="254">
        <v>10.11</v>
      </c>
      <c r="E7141"/>
      <c r="F7141"/>
      <c r="G7141"/>
      <c r="H7141"/>
      <c r="I7141" s="489"/>
      <c r="J7141" s="1362"/>
      <c r="K7141" s="1362"/>
      <c r="L7141" s="1362"/>
    </row>
    <row r="7142" spans="1:12" x14ac:dyDescent="0.25">
      <c r="A7142" t="s">
        <v>15122</v>
      </c>
      <c r="B7142" t="s">
        <v>15123</v>
      </c>
      <c r="C7142" t="s">
        <v>2640</v>
      </c>
      <c r="D7142" s="254">
        <v>2979.17</v>
      </c>
      <c r="E7142"/>
      <c r="F7142"/>
      <c r="G7142"/>
      <c r="H7142"/>
      <c r="I7142" s="489"/>
      <c r="J7142" s="1362"/>
      <c r="K7142" s="1362"/>
      <c r="L7142" s="1362"/>
    </row>
    <row r="7143" spans="1:12" x14ac:dyDescent="0.25">
      <c r="A7143" t="s">
        <v>15124</v>
      </c>
      <c r="B7143" t="s">
        <v>15125</v>
      </c>
      <c r="C7143" t="s">
        <v>2640</v>
      </c>
      <c r="D7143" s="254">
        <v>3690.66</v>
      </c>
      <c r="E7143"/>
      <c r="F7143"/>
      <c r="G7143"/>
      <c r="H7143"/>
      <c r="I7143" s="489"/>
      <c r="J7143" s="1362"/>
      <c r="K7143" s="1362"/>
      <c r="L7143" s="1362"/>
    </row>
    <row r="7144" spans="1:12" x14ac:dyDescent="0.25">
      <c r="A7144" t="s">
        <v>15126</v>
      </c>
      <c r="B7144" t="s">
        <v>15127</v>
      </c>
      <c r="C7144" t="s">
        <v>2640</v>
      </c>
      <c r="D7144" s="254">
        <v>1953.31</v>
      </c>
      <c r="E7144"/>
      <c r="F7144"/>
      <c r="G7144"/>
      <c r="H7144"/>
      <c r="I7144" s="489"/>
      <c r="J7144" s="1362"/>
      <c r="K7144" s="1362"/>
      <c r="L7144" s="1362"/>
    </row>
    <row r="7145" spans="1:12" x14ac:dyDescent="0.25">
      <c r="A7145" t="s">
        <v>15128</v>
      </c>
      <c r="B7145" t="s">
        <v>15129</v>
      </c>
      <c r="C7145" t="s">
        <v>2640</v>
      </c>
      <c r="D7145" s="254">
        <v>2693.72</v>
      </c>
      <c r="E7145"/>
      <c r="F7145"/>
      <c r="G7145"/>
      <c r="H7145"/>
      <c r="I7145" s="489"/>
      <c r="J7145" s="1362"/>
      <c r="K7145" s="1362"/>
      <c r="L7145" s="1362"/>
    </row>
    <row r="7146" spans="1:12" x14ac:dyDescent="0.25">
      <c r="A7146" t="s">
        <v>15130</v>
      </c>
      <c r="B7146" t="s">
        <v>15131</v>
      </c>
      <c r="C7146" t="s">
        <v>2640</v>
      </c>
      <c r="D7146" s="254">
        <v>37.78</v>
      </c>
      <c r="E7146"/>
      <c r="F7146"/>
      <c r="G7146"/>
      <c r="H7146"/>
      <c r="I7146" s="489"/>
      <c r="J7146" s="1362"/>
      <c r="K7146" s="1362"/>
      <c r="L7146" s="1362"/>
    </row>
    <row r="7147" spans="1:12" x14ac:dyDescent="0.25">
      <c r="A7147" t="s">
        <v>15132</v>
      </c>
      <c r="B7147" t="s">
        <v>15133</v>
      </c>
      <c r="C7147" t="s">
        <v>2640</v>
      </c>
      <c r="D7147" s="254">
        <v>6709.16</v>
      </c>
      <c r="E7147"/>
      <c r="F7147"/>
      <c r="G7147"/>
      <c r="H7147"/>
      <c r="I7147" s="489"/>
      <c r="J7147" s="1362"/>
      <c r="K7147" s="1362"/>
      <c r="L7147" s="1362"/>
    </row>
    <row r="7148" spans="1:12" x14ac:dyDescent="0.25">
      <c r="A7148" t="s">
        <v>15134</v>
      </c>
      <c r="B7148" t="s">
        <v>15135</v>
      </c>
      <c r="C7148" t="s">
        <v>2640</v>
      </c>
      <c r="D7148" s="254">
        <v>39.53</v>
      </c>
      <c r="E7148"/>
      <c r="F7148"/>
      <c r="G7148"/>
      <c r="H7148"/>
      <c r="I7148" s="489"/>
      <c r="J7148" s="1362"/>
      <c r="K7148" s="1362"/>
      <c r="L7148" s="1362"/>
    </row>
    <row r="7149" spans="1:12" x14ac:dyDescent="0.25">
      <c r="A7149" t="s">
        <v>15136</v>
      </c>
      <c r="B7149" t="s">
        <v>15137</v>
      </c>
      <c r="C7149" t="s">
        <v>2640</v>
      </c>
      <c r="D7149" s="254">
        <v>398.69</v>
      </c>
      <c r="E7149"/>
      <c r="F7149"/>
      <c r="G7149"/>
      <c r="H7149"/>
      <c r="I7149" s="489"/>
      <c r="J7149" s="1362"/>
      <c r="K7149" s="1362"/>
      <c r="L7149" s="1362"/>
    </row>
    <row r="7150" spans="1:12" x14ac:dyDescent="0.25">
      <c r="A7150" t="s">
        <v>15138</v>
      </c>
      <c r="B7150" t="s">
        <v>15139</v>
      </c>
      <c r="C7150" t="s">
        <v>2640</v>
      </c>
      <c r="D7150" s="254">
        <v>398.69</v>
      </c>
      <c r="E7150"/>
      <c r="F7150"/>
      <c r="G7150"/>
      <c r="H7150"/>
      <c r="I7150" s="489"/>
      <c r="J7150" s="1362"/>
      <c r="K7150" s="1362"/>
      <c r="L7150" s="1362"/>
    </row>
    <row r="7151" spans="1:12" x14ac:dyDescent="0.25">
      <c r="A7151" t="s">
        <v>15140</v>
      </c>
      <c r="B7151" t="s">
        <v>15141</v>
      </c>
      <c r="C7151" t="s">
        <v>2640</v>
      </c>
      <c r="D7151" s="254">
        <v>61.77</v>
      </c>
      <c r="E7151"/>
      <c r="F7151"/>
      <c r="G7151"/>
      <c r="H7151"/>
      <c r="I7151" s="489"/>
      <c r="J7151" s="1362"/>
      <c r="K7151" s="1362"/>
      <c r="L7151" s="1362"/>
    </row>
    <row r="7152" spans="1:12" x14ac:dyDescent="0.25">
      <c r="A7152" t="s">
        <v>15142</v>
      </c>
      <c r="B7152" t="s">
        <v>15143</v>
      </c>
      <c r="C7152" t="s">
        <v>2640</v>
      </c>
      <c r="D7152" s="254">
        <v>82.13</v>
      </c>
      <c r="E7152"/>
      <c r="F7152"/>
      <c r="G7152"/>
      <c r="H7152"/>
      <c r="I7152" s="489"/>
      <c r="J7152" s="1362"/>
      <c r="K7152" s="1362"/>
      <c r="L7152" s="1362"/>
    </row>
    <row r="7153" spans="1:12" x14ac:dyDescent="0.25">
      <c r="A7153" t="s">
        <v>15144</v>
      </c>
      <c r="B7153" t="s">
        <v>15145</v>
      </c>
      <c r="C7153" t="s">
        <v>2640</v>
      </c>
      <c r="D7153" s="254">
        <v>114.88</v>
      </c>
      <c r="E7153"/>
      <c r="F7153"/>
      <c r="G7153"/>
      <c r="H7153"/>
      <c r="I7153" s="489"/>
      <c r="J7153" s="1362"/>
      <c r="K7153" s="1362"/>
      <c r="L7153" s="1362"/>
    </row>
    <row r="7154" spans="1:12" x14ac:dyDescent="0.25">
      <c r="A7154" t="s">
        <v>15146</v>
      </c>
      <c r="B7154" t="s">
        <v>15147</v>
      </c>
      <c r="C7154" t="s">
        <v>2640</v>
      </c>
      <c r="D7154" s="254">
        <v>90.43</v>
      </c>
      <c r="E7154"/>
      <c r="F7154"/>
      <c r="G7154"/>
      <c r="H7154"/>
      <c r="I7154" s="489"/>
      <c r="J7154" s="1362"/>
      <c r="K7154" s="1362"/>
      <c r="L7154" s="1362"/>
    </row>
    <row r="7155" spans="1:12" x14ac:dyDescent="0.25">
      <c r="A7155" t="s">
        <v>15148</v>
      </c>
      <c r="B7155" t="s">
        <v>15149</v>
      </c>
      <c r="C7155" t="s">
        <v>2640</v>
      </c>
      <c r="D7155" s="254">
        <v>117.11</v>
      </c>
      <c r="E7155"/>
      <c r="F7155"/>
      <c r="G7155"/>
      <c r="H7155"/>
      <c r="I7155" s="489"/>
      <c r="J7155" s="1362"/>
      <c r="K7155" s="1362"/>
      <c r="L7155" s="1362"/>
    </row>
    <row r="7156" spans="1:12" x14ac:dyDescent="0.25">
      <c r="A7156" t="s">
        <v>15150</v>
      </c>
      <c r="B7156" t="s">
        <v>15151</v>
      </c>
      <c r="C7156" t="s">
        <v>2640</v>
      </c>
      <c r="D7156" s="254">
        <v>174.98</v>
      </c>
      <c r="E7156"/>
      <c r="F7156"/>
      <c r="G7156"/>
      <c r="H7156"/>
      <c r="I7156" s="489"/>
      <c r="J7156" s="1362"/>
      <c r="K7156" s="1362"/>
      <c r="L7156" s="1362"/>
    </row>
    <row r="7157" spans="1:12" x14ac:dyDescent="0.25">
      <c r="A7157" t="s">
        <v>15152</v>
      </c>
      <c r="B7157" t="s">
        <v>15153</v>
      </c>
      <c r="C7157" t="s">
        <v>2640</v>
      </c>
      <c r="D7157" s="254">
        <v>187.43</v>
      </c>
      <c r="E7157"/>
      <c r="F7157"/>
      <c r="G7157"/>
      <c r="H7157"/>
      <c r="I7157" s="489"/>
      <c r="J7157" s="1362"/>
      <c r="K7157" s="1362"/>
      <c r="L7157" s="1362"/>
    </row>
    <row r="7158" spans="1:12" x14ac:dyDescent="0.25">
      <c r="A7158" t="s">
        <v>15154</v>
      </c>
      <c r="B7158" t="s">
        <v>15155</v>
      </c>
      <c r="C7158" t="s">
        <v>2640</v>
      </c>
      <c r="D7158" s="254">
        <v>219.5</v>
      </c>
      <c r="E7158"/>
      <c r="F7158"/>
      <c r="G7158"/>
      <c r="H7158"/>
      <c r="I7158" s="489"/>
      <c r="J7158" s="1362"/>
      <c r="K7158" s="1362"/>
      <c r="L7158" s="1362"/>
    </row>
    <row r="7159" spans="1:12" x14ac:dyDescent="0.25">
      <c r="A7159" t="s">
        <v>15156</v>
      </c>
      <c r="B7159" t="s">
        <v>15157</v>
      </c>
      <c r="C7159" t="s">
        <v>2640</v>
      </c>
      <c r="D7159" s="254">
        <v>244.56</v>
      </c>
      <c r="E7159"/>
      <c r="F7159"/>
      <c r="G7159"/>
      <c r="H7159"/>
      <c r="I7159" s="489"/>
      <c r="J7159" s="1362"/>
      <c r="K7159" s="1362"/>
      <c r="L7159" s="1362"/>
    </row>
    <row r="7160" spans="1:12" x14ac:dyDescent="0.25">
      <c r="A7160" t="s">
        <v>15158</v>
      </c>
      <c r="B7160" t="s">
        <v>15159</v>
      </c>
      <c r="C7160" t="s">
        <v>2640</v>
      </c>
      <c r="D7160" s="254">
        <v>328.85</v>
      </c>
      <c r="E7160"/>
      <c r="F7160"/>
      <c r="G7160"/>
      <c r="H7160"/>
      <c r="I7160" s="489"/>
      <c r="J7160" s="1362"/>
      <c r="K7160" s="1362"/>
      <c r="L7160" s="1362"/>
    </row>
    <row r="7161" spans="1:12" x14ac:dyDescent="0.25">
      <c r="A7161" t="s">
        <v>15160</v>
      </c>
      <c r="B7161" t="s">
        <v>15161</v>
      </c>
      <c r="C7161" t="s">
        <v>2640</v>
      </c>
      <c r="D7161" s="254">
        <v>102.63</v>
      </c>
      <c r="E7161"/>
      <c r="F7161"/>
      <c r="G7161"/>
      <c r="H7161"/>
      <c r="I7161" s="489"/>
      <c r="J7161" s="1362"/>
      <c r="K7161" s="1362"/>
      <c r="L7161" s="1362"/>
    </row>
    <row r="7162" spans="1:12" x14ac:dyDescent="0.25">
      <c r="A7162" t="s">
        <v>15162</v>
      </c>
      <c r="B7162" t="s">
        <v>15163</v>
      </c>
      <c r="C7162" t="s">
        <v>2640</v>
      </c>
      <c r="D7162" s="254">
        <v>150.58000000000001</v>
      </c>
      <c r="E7162"/>
      <c r="F7162"/>
      <c r="G7162"/>
      <c r="H7162"/>
      <c r="I7162" s="489"/>
      <c r="J7162" s="1362"/>
      <c r="K7162" s="1362"/>
      <c r="L7162" s="1362"/>
    </row>
    <row r="7163" spans="1:12" x14ac:dyDescent="0.25">
      <c r="A7163" t="s">
        <v>15164</v>
      </c>
      <c r="B7163" t="s">
        <v>15165</v>
      </c>
      <c r="C7163" t="s">
        <v>2640</v>
      </c>
      <c r="D7163" s="254">
        <v>207.75</v>
      </c>
      <c r="E7163"/>
      <c r="F7163"/>
      <c r="G7163"/>
      <c r="H7163"/>
      <c r="I7163" s="489"/>
      <c r="J7163" s="1362"/>
      <c r="K7163" s="1362"/>
      <c r="L7163" s="1362"/>
    </row>
    <row r="7164" spans="1:12" x14ac:dyDescent="0.25">
      <c r="A7164" t="s">
        <v>15166</v>
      </c>
      <c r="B7164" t="s">
        <v>15167</v>
      </c>
      <c r="C7164" t="s">
        <v>2640</v>
      </c>
      <c r="D7164" s="254">
        <v>128463</v>
      </c>
      <c r="E7164"/>
      <c r="F7164"/>
      <c r="G7164"/>
      <c r="H7164"/>
      <c r="I7164" s="489"/>
      <c r="J7164" s="1362"/>
      <c r="K7164" s="1362"/>
      <c r="L7164" s="1362"/>
    </row>
    <row r="7165" spans="1:12" x14ac:dyDescent="0.25">
      <c r="A7165" t="s">
        <v>15168</v>
      </c>
      <c r="B7165" t="s">
        <v>15169</v>
      </c>
      <c r="C7165" t="s">
        <v>2640</v>
      </c>
      <c r="D7165" s="254">
        <v>162149.43</v>
      </c>
      <c r="E7165"/>
      <c r="F7165"/>
      <c r="G7165"/>
      <c r="H7165"/>
      <c r="I7165" s="489"/>
      <c r="J7165" s="1362"/>
      <c r="K7165" s="1362"/>
      <c r="L7165" s="1362"/>
    </row>
    <row r="7166" spans="1:12" x14ac:dyDescent="0.25">
      <c r="A7166" t="s">
        <v>15170</v>
      </c>
      <c r="B7166" t="s">
        <v>15171</v>
      </c>
      <c r="C7166" t="s">
        <v>2640</v>
      </c>
      <c r="D7166" s="254">
        <v>174093.19</v>
      </c>
      <c r="E7166"/>
      <c r="F7166"/>
      <c r="G7166"/>
      <c r="H7166"/>
      <c r="I7166" s="489"/>
      <c r="J7166" s="1362"/>
      <c r="K7166" s="1362"/>
      <c r="L7166" s="1362"/>
    </row>
    <row r="7167" spans="1:12" x14ac:dyDescent="0.25">
      <c r="A7167" t="s">
        <v>15172</v>
      </c>
      <c r="B7167" t="s">
        <v>15173</v>
      </c>
      <c r="C7167" t="s">
        <v>2640</v>
      </c>
      <c r="D7167" s="254">
        <v>178540.26</v>
      </c>
      <c r="E7167"/>
      <c r="F7167"/>
      <c r="G7167"/>
      <c r="H7167"/>
      <c r="I7167" s="489"/>
      <c r="J7167" s="1362"/>
      <c r="K7167" s="1362"/>
      <c r="L7167" s="1362"/>
    </row>
    <row r="7168" spans="1:12" x14ac:dyDescent="0.25">
      <c r="A7168" t="s">
        <v>15174</v>
      </c>
      <c r="B7168" t="s">
        <v>15175</v>
      </c>
      <c r="C7168" t="s">
        <v>2640</v>
      </c>
      <c r="D7168" s="254">
        <v>188835.14</v>
      </c>
      <c r="E7168"/>
      <c r="F7168"/>
      <c r="G7168"/>
      <c r="H7168"/>
      <c r="I7168" s="489"/>
      <c r="J7168" s="1362"/>
      <c r="K7168" s="1362"/>
      <c r="L7168" s="1362"/>
    </row>
    <row r="7169" spans="1:12" x14ac:dyDescent="0.25">
      <c r="A7169" t="s">
        <v>15176</v>
      </c>
      <c r="B7169" t="s">
        <v>15177</v>
      </c>
      <c r="C7169" t="s">
        <v>2640</v>
      </c>
      <c r="D7169" s="254">
        <v>13.87</v>
      </c>
      <c r="E7169"/>
      <c r="F7169"/>
      <c r="G7169"/>
      <c r="H7169"/>
      <c r="I7169" s="489"/>
      <c r="J7169" s="1362"/>
      <c r="K7169" s="1362"/>
      <c r="L7169" s="1362"/>
    </row>
    <row r="7170" spans="1:12" x14ac:dyDescent="0.25">
      <c r="A7170" t="s">
        <v>15178</v>
      </c>
      <c r="B7170" t="s">
        <v>15179</v>
      </c>
      <c r="C7170" t="s">
        <v>2640</v>
      </c>
      <c r="D7170" s="254">
        <v>207505.25</v>
      </c>
      <c r="E7170"/>
      <c r="F7170"/>
      <c r="G7170"/>
      <c r="H7170"/>
      <c r="I7170" s="489"/>
      <c r="J7170" s="1362"/>
      <c r="K7170" s="1362"/>
      <c r="L7170" s="1362"/>
    </row>
    <row r="7171" spans="1:12" x14ac:dyDescent="0.25">
      <c r="A7171" t="s">
        <v>15180</v>
      </c>
      <c r="B7171" t="s">
        <v>15181</v>
      </c>
      <c r="C7171" t="s">
        <v>2640</v>
      </c>
      <c r="D7171" s="254">
        <v>194093</v>
      </c>
      <c r="E7171"/>
      <c r="F7171"/>
      <c r="G7171"/>
      <c r="H7171"/>
      <c r="I7171" s="489"/>
      <c r="J7171" s="1362"/>
      <c r="K7171" s="1362"/>
      <c r="L7171" s="1362"/>
    </row>
    <row r="7172" spans="1:12" x14ac:dyDescent="0.25">
      <c r="A7172" t="s">
        <v>15182</v>
      </c>
      <c r="B7172" t="s">
        <v>15183</v>
      </c>
      <c r="C7172" t="s">
        <v>2640</v>
      </c>
      <c r="D7172" s="254">
        <v>205391.66</v>
      </c>
      <c r="E7172"/>
      <c r="F7172"/>
      <c r="G7172"/>
      <c r="H7172"/>
      <c r="I7172" s="489"/>
      <c r="J7172" s="1362"/>
      <c r="K7172" s="1362"/>
      <c r="L7172" s="1362"/>
    </row>
    <row r="7173" spans="1:12" x14ac:dyDescent="0.25">
      <c r="A7173" t="s">
        <v>15184</v>
      </c>
      <c r="B7173" t="s">
        <v>15185</v>
      </c>
      <c r="C7173" t="s">
        <v>2640</v>
      </c>
      <c r="D7173" s="254">
        <v>480.1</v>
      </c>
      <c r="E7173"/>
      <c r="F7173"/>
      <c r="G7173"/>
      <c r="H7173"/>
      <c r="I7173" s="489"/>
      <c r="J7173" s="1362"/>
      <c r="K7173" s="1362"/>
      <c r="L7173" s="1362"/>
    </row>
    <row r="7174" spans="1:12" x14ac:dyDescent="0.25">
      <c r="A7174" t="s">
        <v>15186</v>
      </c>
      <c r="B7174" t="s">
        <v>15187</v>
      </c>
      <c r="C7174" t="s">
        <v>2640</v>
      </c>
      <c r="D7174" s="254">
        <v>631.72</v>
      </c>
      <c r="E7174"/>
      <c r="F7174"/>
      <c r="G7174"/>
      <c r="H7174"/>
      <c r="I7174" s="489"/>
      <c r="J7174" s="1362"/>
      <c r="K7174" s="1362"/>
      <c r="L7174" s="1362"/>
    </row>
    <row r="7175" spans="1:12" x14ac:dyDescent="0.25">
      <c r="A7175" t="s">
        <v>15188</v>
      </c>
      <c r="B7175" t="s">
        <v>15189</v>
      </c>
      <c r="C7175" t="s">
        <v>2640</v>
      </c>
      <c r="D7175" s="254">
        <v>1212.4100000000001</v>
      </c>
      <c r="E7175"/>
      <c r="F7175"/>
      <c r="G7175"/>
      <c r="H7175"/>
      <c r="I7175" s="489"/>
      <c r="J7175" s="1362"/>
      <c r="K7175" s="1362"/>
      <c r="L7175" s="1362"/>
    </row>
    <row r="7176" spans="1:12" x14ac:dyDescent="0.25">
      <c r="A7176" t="s">
        <v>15190</v>
      </c>
      <c r="B7176" t="s">
        <v>15191</v>
      </c>
      <c r="C7176" t="s">
        <v>2640</v>
      </c>
      <c r="D7176" s="254">
        <v>2063.63</v>
      </c>
      <c r="E7176"/>
      <c r="F7176"/>
      <c r="G7176"/>
      <c r="H7176"/>
      <c r="I7176" s="489"/>
      <c r="J7176" s="1362"/>
      <c r="K7176" s="1362"/>
      <c r="L7176" s="1362"/>
    </row>
    <row r="7177" spans="1:12" x14ac:dyDescent="0.25">
      <c r="A7177" t="s">
        <v>15192</v>
      </c>
      <c r="B7177" t="s">
        <v>15193</v>
      </c>
      <c r="C7177" t="s">
        <v>2640</v>
      </c>
      <c r="D7177" s="254">
        <v>170.06</v>
      </c>
      <c r="E7177"/>
      <c r="F7177"/>
      <c r="G7177"/>
      <c r="H7177"/>
      <c r="I7177" s="489"/>
      <c r="J7177" s="1362"/>
      <c r="K7177" s="1362"/>
      <c r="L7177" s="1362"/>
    </row>
    <row r="7178" spans="1:12" x14ac:dyDescent="0.25">
      <c r="A7178" t="s">
        <v>15194</v>
      </c>
      <c r="B7178" t="s">
        <v>15195</v>
      </c>
      <c r="C7178" t="s">
        <v>2640</v>
      </c>
      <c r="D7178" s="254">
        <v>223.68</v>
      </c>
      <c r="E7178"/>
      <c r="F7178"/>
      <c r="G7178"/>
      <c r="H7178"/>
      <c r="I7178" s="489"/>
      <c r="J7178" s="1362"/>
      <c r="K7178" s="1362"/>
      <c r="L7178" s="1362"/>
    </row>
    <row r="7179" spans="1:12" x14ac:dyDescent="0.25">
      <c r="A7179" t="s">
        <v>15196</v>
      </c>
      <c r="B7179" t="s">
        <v>15197</v>
      </c>
      <c r="C7179" t="s">
        <v>2640</v>
      </c>
      <c r="D7179" s="254">
        <v>272.25</v>
      </c>
      <c r="E7179"/>
      <c r="F7179"/>
      <c r="G7179"/>
      <c r="H7179"/>
      <c r="I7179" s="489"/>
      <c r="J7179" s="1362"/>
      <c r="K7179" s="1362"/>
      <c r="L7179" s="1362"/>
    </row>
    <row r="7180" spans="1:12" x14ac:dyDescent="0.25">
      <c r="A7180" t="s">
        <v>15198</v>
      </c>
      <c r="B7180" t="s">
        <v>15199</v>
      </c>
      <c r="C7180" t="s">
        <v>2640</v>
      </c>
      <c r="D7180" s="254">
        <v>346.53</v>
      </c>
      <c r="E7180"/>
      <c r="F7180"/>
      <c r="G7180"/>
      <c r="H7180"/>
      <c r="I7180" s="489"/>
      <c r="J7180" s="1362"/>
      <c r="K7180" s="1362"/>
      <c r="L7180" s="1362"/>
    </row>
    <row r="7181" spans="1:12" x14ac:dyDescent="0.25">
      <c r="A7181" t="s">
        <v>15200</v>
      </c>
      <c r="B7181" t="s">
        <v>15201</v>
      </c>
      <c r="C7181" t="s">
        <v>2640</v>
      </c>
      <c r="D7181" s="254">
        <v>22.62</v>
      </c>
      <c r="E7181"/>
      <c r="F7181"/>
      <c r="G7181"/>
      <c r="H7181"/>
      <c r="I7181" s="489"/>
      <c r="J7181" s="1362"/>
      <c r="K7181" s="1362"/>
      <c r="L7181" s="1362"/>
    </row>
    <row r="7182" spans="1:12" x14ac:dyDescent="0.25">
      <c r="A7182" t="s">
        <v>15202</v>
      </c>
      <c r="B7182" t="s">
        <v>15203</v>
      </c>
      <c r="C7182" t="s">
        <v>2640</v>
      </c>
      <c r="D7182" s="254">
        <v>211912.73</v>
      </c>
      <c r="E7182"/>
      <c r="F7182"/>
      <c r="G7182"/>
      <c r="H7182"/>
      <c r="I7182" s="489"/>
      <c r="J7182" s="1362"/>
      <c r="K7182" s="1362"/>
      <c r="L7182" s="1362"/>
    </row>
    <row r="7183" spans="1:12" x14ac:dyDescent="0.25">
      <c r="A7183" t="s">
        <v>15204</v>
      </c>
      <c r="B7183" t="s">
        <v>15205</v>
      </c>
      <c r="C7183" t="s">
        <v>2640</v>
      </c>
      <c r="D7183" s="254">
        <v>36.229999999999997</v>
      </c>
      <c r="E7183"/>
      <c r="F7183"/>
      <c r="G7183"/>
      <c r="H7183"/>
      <c r="I7183" s="489"/>
      <c r="J7183" s="1362"/>
      <c r="K7183" s="1362"/>
      <c r="L7183" s="1362"/>
    </row>
    <row r="7184" spans="1:12" x14ac:dyDescent="0.25">
      <c r="A7184" t="s">
        <v>15206</v>
      </c>
      <c r="B7184" t="s">
        <v>15207</v>
      </c>
      <c r="C7184" t="s">
        <v>2598</v>
      </c>
      <c r="D7184" s="254">
        <v>3.54</v>
      </c>
      <c r="E7184"/>
      <c r="F7184"/>
      <c r="G7184"/>
      <c r="H7184"/>
      <c r="I7184" s="489"/>
      <c r="J7184" s="1362"/>
      <c r="K7184" s="1362"/>
      <c r="L7184" s="1362"/>
    </row>
    <row r="7185" spans="1:12" x14ac:dyDescent="0.25">
      <c r="A7185" t="s">
        <v>15208</v>
      </c>
      <c r="B7185" t="s">
        <v>15209</v>
      </c>
      <c r="C7185" t="s">
        <v>2640</v>
      </c>
      <c r="D7185" s="254">
        <v>54.76</v>
      </c>
      <c r="E7185"/>
      <c r="F7185"/>
      <c r="G7185"/>
      <c r="H7185"/>
      <c r="I7185" s="489"/>
      <c r="J7185" s="1362"/>
      <c r="K7185" s="1362"/>
      <c r="L7185" s="1362"/>
    </row>
    <row r="7186" spans="1:12" x14ac:dyDescent="0.25">
      <c r="A7186" t="s">
        <v>15210</v>
      </c>
      <c r="B7186" t="s">
        <v>15211</v>
      </c>
      <c r="C7186" t="s">
        <v>2640</v>
      </c>
      <c r="D7186" s="254">
        <v>61.8</v>
      </c>
      <c r="E7186"/>
      <c r="F7186"/>
      <c r="G7186"/>
      <c r="H7186"/>
      <c r="I7186" s="489"/>
      <c r="J7186" s="1362"/>
      <c r="K7186" s="1362"/>
      <c r="L7186" s="1362"/>
    </row>
    <row r="7187" spans="1:12" x14ac:dyDescent="0.25">
      <c r="A7187" t="s">
        <v>15212</v>
      </c>
      <c r="B7187" t="s">
        <v>15213</v>
      </c>
      <c r="C7187" t="s">
        <v>2640</v>
      </c>
      <c r="D7187" s="254">
        <v>213629.71</v>
      </c>
      <c r="E7187"/>
      <c r="F7187"/>
      <c r="G7187"/>
      <c r="H7187"/>
      <c r="I7187" s="489"/>
      <c r="J7187" s="1362"/>
      <c r="K7187" s="1362"/>
      <c r="L7187" s="1362"/>
    </row>
    <row r="7188" spans="1:12" x14ac:dyDescent="0.25">
      <c r="A7188" t="s">
        <v>15214</v>
      </c>
      <c r="B7188" t="s">
        <v>15215</v>
      </c>
      <c r="C7188" t="s">
        <v>2598</v>
      </c>
      <c r="D7188" s="254">
        <v>2.16</v>
      </c>
      <c r="E7188"/>
      <c r="F7188"/>
      <c r="G7188"/>
      <c r="H7188"/>
      <c r="I7188" s="489"/>
      <c r="J7188" s="1362"/>
      <c r="K7188" s="1362"/>
      <c r="L7188" s="1362"/>
    </row>
    <row r="7189" spans="1:12" x14ac:dyDescent="0.25">
      <c r="A7189" t="s">
        <v>15216</v>
      </c>
      <c r="B7189" t="s">
        <v>15217</v>
      </c>
      <c r="C7189" t="s">
        <v>2640</v>
      </c>
      <c r="D7189" s="254">
        <v>29.52</v>
      </c>
      <c r="E7189"/>
      <c r="F7189"/>
      <c r="G7189"/>
      <c r="H7189"/>
      <c r="I7189" s="489"/>
      <c r="J7189" s="1362"/>
      <c r="K7189" s="1362"/>
      <c r="L7189" s="1362"/>
    </row>
    <row r="7190" spans="1:12" x14ac:dyDescent="0.25">
      <c r="A7190" t="s">
        <v>15218</v>
      </c>
      <c r="B7190" t="s">
        <v>15219</v>
      </c>
      <c r="C7190" t="s">
        <v>2598</v>
      </c>
      <c r="D7190" s="254">
        <v>2.36</v>
      </c>
      <c r="E7190"/>
      <c r="F7190"/>
      <c r="G7190"/>
      <c r="H7190"/>
      <c r="I7190" s="489"/>
      <c r="J7190" s="1362"/>
      <c r="K7190" s="1362"/>
      <c r="L7190" s="1362"/>
    </row>
    <row r="7191" spans="1:12" x14ac:dyDescent="0.25">
      <c r="A7191" t="s">
        <v>15220</v>
      </c>
      <c r="B7191" t="s">
        <v>15221</v>
      </c>
      <c r="C7191" t="s">
        <v>13878</v>
      </c>
      <c r="D7191" s="254">
        <v>48.63</v>
      </c>
      <c r="E7191"/>
      <c r="F7191"/>
      <c r="G7191"/>
      <c r="H7191"/>
      <c r="I7191" s="489"/>
      <c r="J7191" s="1362"/>
      <c r="K7191" s="1362"/>
      <c r="L7191" s="1362"/>
    </row>
    <row r="7192" spans="1:12" x14ac:dyDescent="0.25">
      <c r="A7192" t="s">
        <v>15222</v>
      </c>
      <c r="B7192" t="s">
        <v>15223</v>
      </c>
      <c r="C7192" t="s">
        <v>2640</v>
      </c>
      <c r="D7192" s="254">
        <v>1117.81</v>
      </c>
      <c r="E7192"/>
      <c r="F7192"/>
      <c r="G7192"/>
      <c r="H7192"/>
      <c r="I7192" s="489"/>
      <c r="J7192" s="1362"/>
      <c r="K7192" s="1362"/>
      <c r="L7192" s="1362"/>
    </row>
    <row r="7193" spans="1:12" x14ac:dyDescent="0.25">
      <c r="A7193" t="s">
        <v>15224</v>
      </c>
      <c r="B7193" t="s">
        <v>15225</v>
      </c>
      <c r="C7193" t="s">
        <v>2640</v>
      </c>
      <c r="D7193" s="254">
        <v>78.64</v>
      </c>
      <c r="E7193"/>
      <c r="F7193"/>
      <c r="G7193"/>
      <c r="H7193"/>
      <c r="I7193" s="489"/>
      <c r="J7193" s="1362"/>
      <c r="K7193" s="1362"/>
      <c r="L7193" s="1362"/>
    </row>
    <row r="7194" spans="1:12" x14ac:dyDescent="0.25">
      <c r="A7194" t="s">
        <v>15226</v>
      </c>
      <c r="B7194" t="s">
        <v>15227</v>
      </c>
      <c r="C7194" t="s">
        <v>2640</v>
      </c>
      <c r="D7194" s="254">
        <v>124.88</v>
      </c>
      <c r="E7194"/>
      <c r="F7194"/>
      <c r="G7194"/>
      <c r="H7194"/>
      <c r="I7194" s="489"/>
      <c r="J7194" s="1362"/>
      <c r="K7194" s="1362"/>
      <c r="L7194" s="1362"/>
    </row>
    <row r="7195" spans="1:12" x14ac:dyDescent="0.25">
      <c r="A7195" t="s">
        <v>15228</v>
      </c>
      <c r="B7195" t="s">
        <v>15229</v>
      </c>
      <c r="C7195" t="s">
        <v>2640</v>
      </c>
      <c r="D7195" s="254">
        <v>145.41</v>
      </c>
      <c r="E7195"/>
      <c r="F7195"/>
      <c r="G7195"/>
      <c r="H7195"/>
      <c r="I7195" s="489"/>
      <c r="J7195" s="1362"/>
      <c r="K7195" s="1362"/>
      <c r="L7195" s="1362"/>
    </row>
    <row r="7196" spans="1:12" x14ac:dyDescent="0.25">
      <c r="A7196" t="s">
        <v>15230</v>
      </c>
      <c r="B7196" t="s">
        <v>15231</v>
      </c>
      <c r="C7196" t="s">
        <v>2640</v>
      </c>
      <c r="D7196" s="254">
        <v>170.25</v>
      </c>
      <c r="E7196"/>
      <c r="F7196"/>
      <c r="G7196"/>
      <c r="H7196"/>
      <c r="I7196" s="489"/>
      <c r="J7196" s="1362"/>
      <c r="K7196" s="1362"/>
      <c r="L7196" s="1362"/>
    </row>
    <row r="7197" spans="1:12" x14ac:dyDescent="0.25">
      <c r="A7197" t="s">
        <v>15232</v>
      </c>
      <c r="B7197" t="s">
        <v>15233</v>
      </c>
      <c r="C7197" t="s">
        <v>2640</v>
      </c>
      <c r="D7197" s="254">
        <v>184.25</v>
      </c>
      <c r="E7197"/>
      <c r="F7197"/>
      <c r="G7197"/>
      <c r="H7197"/>
      <c r="I7197" s="489"/>
      <c r="J7197" s="1362"/>
      <c r="K7197" s="1362"/>
      <c r="L7197" s="1362"/>
    </row>
    <row r="7198" spans="1:12" x14ac:dyDescent="0.25">
      <c r="A7198" t="s">
        <v>15234</v>
      </c>
      <c r="B7198" t="s">
        <v>15235</v>
      </c>
      <c r="C7198" t="s">
        <v>13878</v>
      </c>
      <c r="D7198" s="254">
        <v>13</v>
      </c>
      <c r="E7198"/>
      <c r="F7198"/>
      <c r="G7198"/>
      <c r="H7198"/>
      <c r="I7198" s="489"/>
      <c r="J7198" s="1362"/>
      <c r="K7198" s="1362"/>
      <c r="L7198" s="1362"/>
    </row>
    <row r="7199" spans="1:12" x14ac:dyDescent="0.25">
      <c r="A7199" t="s">
        <v>15236</v>
      </c>
      <c r="B7199" t="s">
        <v>15237</v>
      </c>
      <c r="C7199" t="s">
        <v>2640</v>
      </c>
      <c r="D7199" s="254">
        <v>255.39</v>
      </c>
      <c r="E7199"/>
      <c r="F7199"/>
      <c r="G7199"/>
      <c r="H7199"/>
      <c r="I7199" s="489"/>
      <c r="J7199" s="1362"/>
      <c r="K7199" s="1362"/>
      <c r="L7199" s="1362"/>
    </row>
    <row r="7200" spans="1:12" x14ac:dyDescent="0.25">
      <c r="A7200" t="s">
        <v>15238</v>
      </c>
      <c r="B7200" t="s">
        <v>15239</v>
      </c>
      <c r="C7200" t="s">
        <v>13878</v>
      </c>
      <c r="D7200" s="254">
        <v>20.56</v>
      </c>
      <c r="E7200"/>
      <c r="F7200"/>
      <c r="G7200"/>
      <c r="H7200"/>
      <c r="I7200" s="489"/>
      <c r="J7200" s="1362"/>
      <c r="K7200" s="1362"/>
      <c r="L7200" s="1362"/>
    </row>
    <row r="7201" spans="1:12" x14ac:dyDescent="0.25">
      <c r="A7201" t="s">
        <v>15240</v>
      </c>
      <c r="B7201" t="s">
        <v>15241</v>
      </c>
      <c r="C7201" t="s">
        <v>2716</v>
      </c>
      <c r="D7201" s="254">
        <v>8.9700000000000006</v>
      </c>
      <c r="E7201"/>
      <c r="F7201"/>
      <c r="G7201"/>
      <c r="H7201"/>
      <c r="I7201" s="489"/>
      <c r="J7201" s="1362"/>
      <c r="K7201" s="1362"/>
      <c r="L7201" s="1362"/>
    </row>
    <row r="7202" spans="1:12" x14ac:dyDescent="0.25">
      <c r="A7202" t="s">
        <v>15242</v>
      </c>
      <c r="B7202" t="s">
        <v>15243</v>
      </c>
      <c r="C7202" t="s">
        <v>2716</v>
      </c>
      <c r="D7202" s="254">
        <v>9.18</v>
      </c>
      <c r="E7202"/>
      <c r="F7202"/>
      <c r="G7202"/>
      <c r="H7202"/>
      <c r="I7202" s="489"/>
      <c r="J7202" s="1362"/>
      <c r="K7202" s="1362"/>
      <c r="L7202" s="1362"/>
    </row>
    <row r="7203" spans="1:12" x14ac:dyDescent="0.25">
      <c r="A7203" t="s">
        <v>15244</v>
      </c>
      <c r="B7203" t="s">
        <v>15245</v>
      </c>
      <c r="C7203" t="s">
        <v>2716</v>
      </c>
      <c r="D7203" s="254">
        <v>9.94</v>
      </c>
      <c r="E7203"/>
      <c r="F7203"/>
      <c r="G7203"/>
      <c r="H7203"/>
      <c r="I7203" s="489"/>
      <c r="J7203" s="1362"/>
      <c r="K7203" s="1362"/>
      <c r="L7203" s="1362"/>
    </row>
    <row r="7204" spans="1:12" x14ac:dyDescent="0.25">
      <c r="A7204" t="s">
        <v>15246</v>
      </c>
      <c r="B7204" t="s">
        <v>15247</v>
      </c>
      <c r="C7204" t="s">
        <v>2716</v>
      </c>
      <c r="D7204" s="254">
        <v>30.38</v>
      </c>
      <c r="E7204"/>
      <c r="F7204"/>
      <c r="G7204"/>
      <c r="H7204"/>
      <c r="I7204" s="489"/>
      <c r="J7204" s="1362"/>
      <c r="K7204" s="1362"/>
      <c r="L7204" s="1362"/>
    </row>
    <row r="7205" spans="1:12" x14ac:dyDescent="0.25">
      <c r="A7205" t="s">
        <v>15248</v>
      </c>
      <c r="B7205" t="s">
        <v>15249</v>
      </c>
      <c r="C7205" t="s">
        <v>2716</v>
      </c>
      <c r="D7205" s="254">
        <v>10.93</v>
      </c>
      <c r="E7205"/>
      <c r="F7205"/>
      <c r="G7205"/>
      <c r="H7205"/>
      <c r="I7205" s="489"/>
      <c r="J7205" s="1362"/>
      <c r="K7205" s="1362"/>
      <c r="L7205" s="1362"/>
    </row>
    <row r="7206" spans="1:12" x14ac:dyDescent="0.25">
      <c r="A7206" t="s">
        <v>15250</v>
      </c>
      <c r="B7206" t="s">
        <v>15251</v>
      </c>
      <c r="C7206" t="s">
        <v>13878</v>
      </c>
      <c r="D7206" s="254">
        <v>20.56</v>
      </c>
      <c r="E7206"/>
      <c r="F7206"/>
      <c r="G7206"/>
      <c r="H7206"/>
      <c r="I7206" s="489"/>
      <c r="J7206" s="1362"/>
      <c r="K7206" s="1362"/>
      <c r="L7206" s="1362"/>
    </row>
    <row r="7207" spans="1:12" x14ac:dyDescent="0.25">
      <c r="A7207" t="s">
        <v>15252</v>
      </c>
      <c r="B7207" t="s">
        <v>15253</v>
      </c>
      <c r="C7207" t="s">
        <v>2716</v>
      </c>
      <c r="D7207" s="254">
        <v>8.8699999999999992</v>
      </c>
      <c r="E7207"/>
      <c r="F7207"/>
      <c r="G7207"/>
      <c r="H7207"/>
      <c r="I7207" s="489"/>
      <c r="J7207" s="1362"/>
      <c r="K7207" s="1362"/>
      <c r="L7207" s="1362"/>
    </row>
    <row r="7208" spans="1:12" x14ac:dyDescent="0.25">
      <c r="A7208" t="s">
        <v>15254</v>
      </c>
      <c r="B7208" t="s">
        <v>15255</v>
      </c>
      <c r="C7208" t="s">
        <v>2640</v>
      </c>
      <c r="D7208" s="254">
        <v>1618.98</v>
      </c>
      <c r="E7208"/>
      <c r="F7208"/>
      <c r="G7208"/>
      <c r="H7208"/>
      <c r="I7208" s="489"/>
      <c r="J7208" s="1362"/>
      <c r="K7208" s="1362"/>
      <c r="L7208" s="1362"/>
    </row>
    <row r="7209" spans="1:12" x14ac:dyDescent="0.25">
      <c r="A7209" t="s">
        <v>15256</v>
      </c>
      <c r="B7209" t="s">
        <v>15257</v>
      </c>
      <c r="C7209" t="s">
        <v>2598</v>
      </c>
      <c r="D7209" s="254">
        <v>130.62</v>
      </c>
      <c r="E7209"/>
      <c r="F7209"/>
      <c r="G7209"/>
      <c r="H7209"/>
      <c r="I7209" s="489"/>
      <c r="J7209" s="1362"/>
      <c r="K7209" s="1362"/>
      <c r="L7209" s="1362"/>
    </row>
    <row r="7210" spans="1:12" x14ac:dyDescent="0.25">
      <c r="A7210" t="s">
        <v>15258</v>
      </c>
      <c r="B7210" t="s">
        <v>15259</v>
      </c>
      <c r="C7210" t="s">
        <v>2598</v>
      </c>
      <c r="D7210" s="254">
        <v>154.75</v>
      </c>
      <c r="E7210"/>
      <c r="F7210"/>
      <c r="G7210"/>
      <c r="H7210"/>
      <c r="I7210" s="489"/>
      <c r="J7210" s="1362"/>
      <c r="K7210" s="1362"/>
      <c r="L7210" s="1362"/>
    </row>
    <row r="7211" spans="1:12" x14ac:dyDescent="0.25">
      <c r="A7211" t="s">
        <v>15260</v>
      </c>
      <c r="B7211" t="s">
        <v>15261</v>
      </c>
      <c r="C7211" t="s">
        <v>2598</v>
      </c>
      <c r="D7211" s="254">
        <v>190.26</v>
      </c>
      <c r="E7211"/>
      <c r="F7211"/>
      <c r="G7211"/>
      <c r="H7211"/>
      <c r="I7211" s="489"/>
      <c r="J7211" s="1362"/>
      <c r="K7211" s="1362"/>
      <c r="L7211" s="1362"/>
    </row>
    <row r="7212" spans="1:12" x14ac:dyDescent="0.25">
      <c r="A7212" t="s">
        <v>15262</v>
      </c>
      <c r="B7212" t="s">
        <v>15263</v>
      </c>
      <c r="C7212" t="s">
        <v>2595</v>
      </c>
      <c r="D7212" s="254">
        <v>4.95</v>
      </c>
      <c r="E7212"/>
      <c r="F7212"/>
      <c r="G7212"/>
      <c r="H7212"/>
      <c r="I7212" s="489"/>
      <c r="J7212" s="1362"/>
      <c r="K7212" s="1362"/>
      <c r="L7212" s="1362"/>
    </row>
    <row r="7213" spans="1:12" x14ac:dyDescent="0.25">
      <c r="A7213" t="s">
        <v>6404</v>
      </c>
      <c r="B7213" t="s">
        <v>6409</v>
      </c>
      <c r="C7213" t="s">
        <v>2595</v>
      </c>
      <c r="D7213" s="254">
        <v>7.43</v>
      </c>
      <c r="E7213"/>
      <c r="F7213"/>
      <c r="G7213"/>
      <c r="H7213"/>
      <c r="I7213" s="489"/>
      <c r="J7213" s="1362"/>
      <c r="K7213" s="1362"/>
      <c r="L7213" s="1362"/>
    </row>
    <row r="7214" spans="1:12" x14ac:dyDescent="0.25">
      <c r="A7214" t="s">
        <v>15264</v>
      </c>
      <c r="B7214" t="s">
        <v>15265</v>
      </c>
      <c r="C7214" t="s">
        <v>2598</v>
      </c>
      <c r="D7214" s="254">
        <v>214.65</v>
      </c>
      <c r="E7214"/>
      <c r="F7214"/>
      <c r="G7214"/>
      <c r="H7214"/>
      <c r="I7214" s="489"/>
      <c r="J7214" s="1362"/>
      <c r="K7214" s="1362"/>
      <c r="L7214" s="1362"/>
    </row>
    <row r="7215" spans="1:12" x14ac:dyDescent="0.25">
      <c r="A7215" t="s">
        <v>15266</v>
      </c>
      <c r="B7215" t="s">
        <v>15267</v>
      </c>
      <c r="C7215" t="s">
        <v>2598</v>
      </c>
      <c r="D7215" s="254">
        <v>327.52999999999997</v>
      </c>
      <c r="E7215"/>
      <c r="F7215"/>
      <c r="G7215"/>
      <c r="H7215"/>
      <c r="I7215" s="489"/>
      <c r="J7215" s="1362"/>
      <c r="K7215" s="1362"/>
      <c r="L7215" s="1362"/>
    </row>
    <row r="7216" spans="1:12" x14ac:dyDescent="0.25">
      <c r="A7216" t="s">
        <v>15268</v>
      </c>
      <c r="B7216" t="s">
        <v>15269</v>
      </c>
      <c r="C7216" t="s">
        <v>2598</v>
      </c>
      <c r="D7216" s="254">
        <v>115.33</v>
      </c>
      <c r="E7216"/>
      <c r="F7216"/>
      <c r="G7216"/>
      <c r="H7216"/>
      <c r="I7216" s="489"/>
      <c r="J7216" s="1362"/>
      <c r="K7216" s="1362"/>
      <c r="L7216" s="1362"/>
    </row>
    <row r="7217" spans="1:12" x14ac:dyDescent="0.25">
      <c r="A7217" t="s">
        <v>15270</v>
      </c>
      <c r="B7217" t="s">
        <v>15271</v>
      </c>
      <c r="C7217" t="s">
        <v>2598</v>
      </c>
      <c r="D7217" s="254">
        <v>190.85</v>
      </c>
      <c r="E7217"/>
      <c r="F7217"/>
      <c r="G7217"/>
      <c r="H7217"/>
      <c r="I7217" s="489"/>
      <c r="J7217" s="1362"/>
      <c r="K7217" s="1362"/>
      <c r="L7217" s="1362"/>
    </row>
    <row r="7218" spans="1:12" x14ac:dyDescent="0.25">
      <c r="A7218" t="s">
        <v>15272</v>
      </c>
      <c r="B7218" t="s">
        <v>15273</v>
      </c>
      <c r="C7218" t="s">
        <v>2598</v>
      </c>
      <c r="D7218" s="254">
        <v>212.52</v>
      </c>
      <c r="E7218"/>
      <c r="F7218"/>
      <c r="G7218"/>
      <c r="H7218"/>
      <c r="I7218" s="489"/>
      <c r="J7218" s="1362"/>
      <c r="K7218" s="1362"/>
      <c r="L7218" s="1362"/>
    </row>
    <row r="7219" spans="1:12" x14ac:dyDescent="0.25">
      <c r="A7219" t="s">
        <v>15274</v>
      </c>
      <c r="B7219" t="s">
        <v>15275</v>
      </c>
      <c r="C7219" t="s">
        <v>2598</v>
      </c>
      <c r="D7219" s="254">
        <v>243.18</v>
      </c>
      <c r="E7219"/>
      <c r="F7219"/>
      <c r="G7219"/>
      <c r="H7219"/>
      <c r="I7219" s="489"/>
      <c r="J7219" s="1362"/>
      <c r="K7219" s="1362"/>
      <c r="L7219" s="1362"/>
    </row>
    <row r="7220" spans="1:12" x14ac:dyDescent="0.25">
      <c r="A7220" t="s">
        <v>15276</v>
      </c>
      <c r="B7220" t="s">
        <v>15277</v>
      </c>
      <c r="C7220" t="s">
        <v>2598</v>
      </c>
      <c r="D7220" s="254">
        <v>338.97</v>
      </c>
      <c r="E7220"/>
      <c r="F7220"/>
      <c r="G7220"/>
      <c r="H7220"/>
      <c r="I7220" s="489"/>
      <c r="J7220" s="1362"/>
      <c r="K7220" s="1362"/>
      <c r="L7220" s="1362"/>
    </row>
    <row r="7221" spans="1:12" x14ac:dyDescent="0.25">
      <c r="A7221" t="s">
        <v>15278</v>
      </c>
      <c r="B7221" t="s">
        <v>15279</v>
      </c>
      <c r="C7221" t="s">
        <v>2598</v>
      </c>
      <c r="D7221" s="254">
        <v>381.48</v>
      </c>
      <c r="E7221"/>
      <c r="F7221"/>
      <c r="G7221"/>
      <c r="H7221"/>
      <c r="I7221" s="489"/>
      <c r="J7221" s="1362"/>
      <c r="K7221" s="1362"/>
      <c r="L7221" s="1362"/>
    </row>
    <row r="7222" spans="1:12" x14ac:dyDescent="0.25">
      <c r="A7222" t="s">
        <v>15280</v>
      </c>
      <c r="B7222" t="s">
        <v>15281</v>
      </c>
      <c r="C7222" t="s">
        <v>2640</v>
      </c>
      <c r="D7222" s="254">
        <v>217883.87</v>
      </c>
      <c r="E7222"/>
      <c r="F7222"/>
      <c r="G7222"/>
      <c r="H7222"/>
      <c r="I7222" s="489"/>
      <c r="J7222" s="1362"/>
      <c r="K7222" s="1362"/>
      <c r="L7222" s="1362"/>
    </row>
    <row r="7223" spans="1:12" x14ac:dyDescent="0.25">
      <c r="A7223" t="s">
        <v>15282</v>
      </c>
      <c r="B7223" t="s">
        <v>15283</v>
      </c>
      <c r="C7223" t="s">
        <v>2640</v>
      </c>
      <c r="D7223" s="254">
        <v>221438.42</v>
      </c>
      <c r="E7223"/>
      <c r="F7223"/>
      <c r="G7223"/>
      <c r="H7223"/>
      <c r="I7223" s="489"/>
      <c r="J7223" s="1362"/>
      <c r="K7223" s="1362"/>
      <c r="L7223" s="1362"/>
    </row>
    <row r="7224" spans="1:12" x14ac:dyDescent="0.25">
      <c r="A7224" t="s">
        <v>15284</v>
      </c>
      <c r="B7224" t="s">
        <v>15285</v>
      </c>
      <c r="C7224" t="s">
        <v>2640</v>
      </c>
      <c r="D7224" s="254">
        <v>721.19</v>
      </c>
      <c r="E7224"/>
      <c r="F7224"/>
      <c r="G7224"/>
      <c r="H7224"/>
      <c r="I7224" s="489"/>
      <c r="J7224" s="1362"/>
      <c r="K7224" s="1362"/>
      <c r="L7224" s="1362"/>
    </row>
    <row r="7225" spans="1:12" x14ac:dyDescent="0.25">
      <c r="A7225" t="s">
        <v>15286</v>
      </c>
      <c r="B7225" t="s">
        <v>15287</v>
      </c>
      <c r="C7225" t="s">
        <v>2598</v>
      </c>
      <c r="D7225" s="254">
        <v>475.06</v>
      </c>
      <c r="E7225"/>
      <c r="F7225"/>
      <c r="G7225"/>
      <c r="H7225"/>
      <c r="I7225" s="489"/>
      <c r="J7225" s="1362"/>
      <c r="K7225" s="1362"/>
      <c r="L7225" s="1362"/>
    </row>
    <row r="7226" spans="1:12" x14ac:dyDescent="0.25">
      <c r="A7226" t="s">
        <v>15288</v>
      </c>
      <c r="B7226" t="s">
        <v>15289</v>
      </c>
      <c r="C7226" t="s">
        <v>2595</v>
      </c>
      <c r="D7226" s="254">
        <v>290.67</v>
      </c>
      <c r="E7226"/>
      <c r="F7226"/>
      <c r="G7226"/>
      <c r="H7226"/>
      <c r="I7226" s="489"/>
      <c r="J7226" s="1362"/>
      <c r="K7226" s="1362"/>
      <c r="L7226" s="1362"/>
    </row>
    <row r="7227" spans="1:12" x14ac:dyDescent="0.25">
      <c r="A7227" t="s">
        <v>15290</v>
      </c>
      <c r="B7227" t="s">
        <v>15291</v>
      </c>
      <c r="C7227" t="s">
        <v>2640</v>
      </c>
      <c r="D7227" s="254">
        <v>1616.45</v>
      </c>
      <c r="E7227"/>
      <c r="F7227"/>
      <c r="G7227"/>
      <c r="H7227"/>
      <c r="I7227" s="489"/>
      <c r="J7227" s="1362"/>
      <c r="K7227" s="1362"/>
      <c r="L7227" s="1362"/>
    </row>
    <row r="7228" spans="1:12" x14ac:dyDescent="0.25">
      <c r="A7228" t="s">
        <v>15292</v>
      </c>
      <c r="B7228" t="s">
        <v>15293</v>
      </c>
      <c r="C7228" t="s">
        <v>2640</v>
      </c>
      <c r="D7228" s="254">
        <v>292.85000000000002</v>
      </c>
      <c r="E7228"/>
      <c r="F7228"/>
      <c r="G7228"/>
      <c r="H7228"/>
      <c r="I7228" s="489"/>
      <c r="J7228" s="1362"/>
      <c r="K7228" s="1362"/>
      <c r="L7228" s="1362"/>
    </row>
    <row r="7229" spans="1:12" x14ac:dyDescent="0.25">
      <c r="A7229" t="s">
        <v>15294</v>
      </c>
      <c r="B7229" t="s">
        <v>15295</v>
      </c>
      <c r="C7229" t="s">
        <v>2640</v>
      </c>
      <c r="D7229" s="254">
        <v>1072.6199999999999</v>
      </c>
      <c r="E7229"/>
      <c r="F7229"/>
      <c r="G7229"/>
      <c r="H7229"/>
      <c r="I7229" s="489"/>
      <c r="J7229" s="1362"/>
      <c r="K7229" s="1362"/>
      <c r="L7229" s="1362"/>
    </row>
    <row r="7230" spans="1:12" x14ac:dyDescent="0.25">
      <c r="A7230" t="s">
        <v>15296</v>
      </c>
      <c r="B7230" t="s">
        <v>15297</v>
      </c>
      <c r="C7230" t="s">
        <v>2598</v>
      </c>
      <c r="D7230" s="254">
        <v>511.89</v>
      </c>
      <c r="E7230"/>
      <c r="F7230"/>
      <c r="G7230"/>
      <c r="H7230"/>
      <c r="I7230" s="489"/>
      <c r="J7230" s="1362"/>
      <c r="K7230" s="1362"/>
      <c r="L7230" s="1362"/>
    </row>
    <row r="7231" spans="1:12" x14ac:dyDescent="0.25">
      <c r="A7231" t="s">
        <v>15298</v>
      </c>
      <c r="B7231" t="s">
        <v>15299</v>
      </c>
      <c r="C7231" t="s">
        <v>2640</v>
      </c>
      <c r="D7231" s="254">
        <v>3581.68</v>
      </c>
      <c r="E7231"/>
      <c r="F7231"/>
      <c r="G7231"/>
      <c r="H7231"/>
      <c r="I7231" s="489"/>
      <c r="J7231" s="1362"/>
      <c r="K7231" s="1362"/>
      <c r="L7231" s="1362"/>
    </row>
    <row r="7232" spans="1:12" x14ac:dyDescent="0.25">
      <c r="A7232" t="s">
        <v>15300</v>
      </c>
      <c r="B7232" t="s">
        <v>15301</v>
      </c>
      <c r="C7232" t="s">
        <v>2640</v>
      </c>
      <c r="D7232" s="254">
        <v>613.30999999999995</v>
      </c>
      <c r="E7232"/>
      <c r="F7232"/>
      <c r="G7232"/>
      <c r="H7232"/>
      <c r="I7232" s="489"/>
      <c r="J7232" s="1362"/>
      <c r="K7232" s="1362"/>
      <c r="L7232" s="1362"/>
    </row>
    <row r="7233" spans="1:12" x14ac:dyDescent="0.25">
      <c r="A7233" t="s">
        <v>15302</v>
      </c>
      <c r="B7233" t="s">
        <v>15303</v>
      </c>
      <c r="C7233" t="s">
        <v>2640</v>
      </c>
      <c r="D7233" s="254">
        <v>229.44</v>
      </c>
      <c r="E7233"/>
      <c r="F7233"/>
      <c r="G7233"/>
      <c r="H7233"/>
      <c r="I7233" s="489"/>
      <c r="J7233" s="1362"/>
      <c r="K7233" s="1362"/>
      <c r="L7233" s="1362"/>
    </row>
    <row r="7234" spans="1:12" x14ac:dyDescent="0.25">
      <c r="A7234" t="s">
        <v>15304</v>
      </c>
      <c r="B7234" t="s">
        <v>15305</v>
      </c>
      <c r="C7234" t="s">
        <v>2640</v>
      </c>
      <c r="D7234" s="254">
        <v>1476.21</v>
      </c>
      <c r="E7234"/>
      <c r="F7234"/>
      <c r="G7234"/>
      <c r="H7234"/>
      <c r="I7234" s="489"/>
      <c r="J7234" s="1362"/>
      <c r="K7234" s="1362"/>
      <c r="L7234" s="1362"/>
    </row>
    <row r="7235" spans="1:12" x14ac:dyDescent="0.25">
      <c r="A7235" t="s">
        <v>15306</v>
      </c>
      <c r="B7235" t="s">
        <v>15307</v>
      </c>
      <c r="C7235" t="s">
        <v>2640</v>
      </c>
      <c r="D7235" s="254">
        <v>4507.8900000000003</v>
      </c>
      <c r="E7235"/>
      <c r="F7235"/>
      <c r="G7235"/>
      <c r="H7235"/>
      <c r="I7235" s="489"/>
      <c r="J7235" s="1362"/>
      <c r="K7235" s="1362"/>
      <c r="L7235" s="1362"/>
    </row>
    <row r="7236" spans="1:12" x14ac:dyDescent="0.25">
      <c r="A7236" t="s">
        <v>15308</v>
      </c>
      <c r="B7236" t="s">
        <v>15309</v>
      </c>
      <c r="C7236" t="s">
        <v>2640</v>
      </c>
      <c r="D7236" s="254">
        <v>4335.95</v>
      </c>
      <c r="E7236"/>
      <c r="F7236"/>
      <c r="G7236"/>
      <c r="H7236"/>
      <c r="I7236" s="489"/>
      <c r="J7236" s="1362"/>
      <c r="K7236" s="1362"/>
      <c r="L7236" s="1362"/>
    </row>
    <row r="7237" spans="1:12" x14ac:dyDescent="0.25">
      <c r="A7237" t="s">
        <v>15310</v>
      </c>
      <c r="B7237" t="s">
        <v>15311</v>
      </c>
      <c r="C7237" t="s">
        <v>2598</v>
      </c>
      <c r="D7237" s="254">
        <v>0.08</v>
      </c>
      <c r="E7237"/>
      <c r="F7237"/>
      <c r="G7237"/>
      <c r="H7237"/>
      <c r="I7237" s="489"/>
      <c r="J7237" s="1362"/>
      <c r="K7237" s="1362"/>
      <c r="L7237" s="1362"/>
    </row>
    <row r="7238" spans="1:12" x14ac:dyDescent="0.25">
      <c r="A7238" t="s">
        <v>15312</v>
      </c>
      <c r="B7238" t="s">
        <v>15313</v>
      </c>
      <c r="C7238" t="s">
        <v>2640</v>
      </c>
      <c r="D7238" s="254">
        <v>210.65</v>
      </c>
      <c r="E7238"/>
      <c r="F7238"/>
      <c r="G7238"/>
      <c r="H7238"/>
      <c r="I7238" s="489"/>
      <c r="J7238" s="1362"/>
      <c r="K7238" s="1362"/>
      <c r="L7238" s="1362"/>
    </row>
    <row r="7239" spans="1:12" x14ac:dyDescent="0.25">
      <c r="A7239" t="s">
        <v>15314</v>
      </c>
      <c r="B7239" t="s">
        <v>15315</v>
      </c>
      <c r="C7239" t="s">
        <v>2640</v>
      </c>
      <c r="D7239" s="254">
        <v>134.38999999999999</v>
      </c>
      <c r="E7239"/>
      <c r="F7239"/>
      <c r="G7239"/>
      <c r="H7239"/>
      <c r="I7239" s="489"/>
      <c r="J7239" s="1362"/>
      <c r="K7239" s="1362"/>
      <c r="L7239" s="1362"/>
    </row>
    <row r="7240" spans="1:12" x14ac:dyDescent="0.25">
      <c r="A7240" t="s">
        <v>15316</v>
      </c>
      <c r="B7240" t="s">
        <v>15317</v>
      </c>
      <c r="C7240" t="s">
        <v>2640</v>
      </c>
      <c r="D7240" s="254">
        <v>76.58</v>
      </c>
      <c r="E7240"/>
      <c r="F7240"/>
      <c r="G7240"/>
      <c r="H7240"/>
      <c r="I7240" s="489"/>
      <c r="J7240" s="1362"/>
      <c r="K7240" s="1362"/>
      <c r="L7240" s="1362"/>
    </row>
    <row r="7241" spans="1:12" x14ac:dyDescent="0.25">
      <c r="A7241" t="s">
        <v>15318</v>
      </c>
      <c r="B7241" t="s">
        <v>15319</v>
      </c>
      <c r="C7241" t="s">
        <v>2640</v>
      </c>
      <c r="D7241" s="254">
        <v>76.790000000000006</v>
      </c>
      <c r="E7241"/>
      <c r="F7241"/>
      <c r="G7241"/>
      <c r="H7241"/>
      <c r="I7241" s="489"/>
      <c r="J7241" s="1362"/>
      <c r="K7241" s="1362"/>
      <c r="L7241" s="1362"/>
    </row>
    <row r="7242" spans="1:12" x14ac:dyDescent="0.25">
      <c r="A7242" t="s">
        <v>15320</v>
      </c>
      <c r="B7242" t="s">
        <v>15321</v>
      </c>
      <c r="C7242" t="s">
        <v>2640</v>
      </c>
      <c r="D7242" s="254">
        <v>54.8</v>
      </c>
      <c r="E7242"/>
      <c r="F7242"/>
      <c r="G7242"/>
      <c r="H7242"/>
      <c r="I7242" s="489"/>
      <c r="J7242" s="1362"/>
      <c r="K7242" s="1362"/>
      <c r="L7242" s="1362"/>
    </row>
    <row r="7243" spans="1:12" x14ac:dyDescent="0.25">
      <c r="A7243" t="s">
        <v>15322</v>
      </c>
      <c r="B7243" t="s">
        <v>15323</v>
      </c>
      <c r="C7243" t="s">
        <v>2695</v>
      </c>
      <c r="D7243" s="254" t="s">
        <v>0</v>
      </c>
      <c r="E7243"/>
      <c r="F7243"/>
      <c r="G7243"/>
      <c r="H7243"/>
      <c r="I7243" s="489"/>
      <c r="J7243" s="1362"/>
      <c r="K7243" s="1362"/>
      <c r="L7243" s="1362"/>
    </row>
    <row r="7244" spans="1:12" x14ac:dyDescent="0.25">
      <c r="A7244" t="s">
        <v>15324</v>
      </c>
      <c r="B7244" t="s">
        <v>15325</v>
      </c>
      <c r="C7244" t="s">
        <v>2596</v>
      </c>
      <c r="D7244" s="254" t="s">
        <v>0</v>
      </c>
      <c r="E7244"/>
      <c r="F7244"/>
      <c r="G7244"/>
      <c r="H7244"/>
      <c r="I7244" s="489"/>
      <c r="J7244" s="1362"/>
      <c r="K7244" s="1362"/>
      <c r="L7244" s="1362"/>
    </row>
    <row r="7245" spans="1:12" x14ac:dyDescent="0.25">
      <c r="A7245" t="s">
        <v>15326</v>
      </c>
      <c r="B7245" t="s">
        <v>15327</v>
      </c>
      <c r="C7245" t="s">
        <v>2640</v>
      </c>
      <c r="D7245" s="254">
        <v>45.99</v>
      </c>
      <c r="E7245"/>
      <c r="F7245"/>
      <c r="G7245"/>
      <c r="H7245"/>
      <c r="I7245" s="489"/>
      <c r="J7245" s="1362"/>
      <c r="K7245" s="1362"/>
      <c r="L7245" s="1362"/>
    </row>
    <row r="7246" spans="1:12" x14ac:dyDescent="0.25">
      <c r="A7246" t="s">
        <v>15328</v>
      </c>
      <c r="B7246" t="s">
        <v>15329</v>
      </c>
      <c r="C7246" t="s">
        <v>2640</v>
      </c>
      <c r="D7246" s="254">
        <v>66.400000000000006</v>
      </c>
      <c r="E7246"/>
      <c r="F7246"/>
      <c r="G7246"/>
      <c r="H7246"/>
      <c r="I7246" s="489"/>
      <c r="J7246" s="1362"/>
      <c r="K7246" s="1362"/>
      <c r="L7246" s="1362"/>
    </row>
    <row r="7247" spans="1:12" x14ac:dyDescent="0.25">
      <c r="A7247" t="s">
        <v>15330</v>
      </c>
      <c r="B7247" t="s">
        <v>15331</v>
      </c>
      <c r="C7247" t="s">
        <v>2640</v>
      </c>
      <c r="D7247" s="254">
        <v>123.51</v>
      </c>
      <c r="E7247"/>
      <c r="F7247"/>
      <c r="G7247"/>
      <c r="H7247"/>
      <c r="I7247" s="489"/>
      <c r="J7247" s="1362"/>
      <c r="K7247" s="1362"/>
      <c r="L7247" s="1362"/>
    </row>
    <row r="7248" spans="1:12" x14ac:dyDescent="0.25">
      <c r="A7248" t="s">
        <v>15332</v>
      </c>
      <c r="B7248" t="s">
        <v>15333</v>
      </c>
      <c r="C7248" t="s">
        <v>2695</v>
      </c>
      <c r="D7248" s="254" t="s">
        <v>0</v>
      </c>
      <c r="E7248"/>
      <c r="F7248"/>
      <c r="G7248"/>
      <c r="H7248"/>
      <c r="I7248" s="489"/>
      <c r="J7248" s="1362"/>
      <c r="K7248" s="1362"/>
      <c r="L7248" s="1362"/>
    </row>
    <row r="7249" spans="1:12" x14ac:dyDescent="0.25">
      <c r="A7249" t="s">
        <v>15334</v>
      </c>
      <c r="B7249" t="s">
        <v>15335</v>
      </c>
      <c r="C7249" t="s">
        <v>2640</v>
      </c>
      <c r="D7249" s="254">
        <v>58.05</v>
      </c>
      <c r="E7249"/>
      <c r="F7249"/>
      <c r="G7249"/>
      <c r="H7249"/>
      <c r="I7249" s="489"/>
      <c r="J7249" s="1362"/>
      <c r="K7249" s="1362"/>
      <c r="L7249" s="1362"/>
    </row>
    <row r="7250" spans="1:12" x14ac:dyDescent="0.25">
      <c r="A7250" t="s">
        <v>15336</v>
      </c>
      <c r="B7250" t="s">
        <v>15337</v>
      </c>
      <c r="C7250" t="s">
        <v>2640</v>
      </c>
      <c r="D7250" s="254">
        <v>47.36</v>
      </c>
      <c r="E7250"/>
      <c r="F7250"/>
      <c r="G7250"/>
      <c r="H7250"/>
      <c r="I7250" s="489"/>
      <c r="J7250" s="1362"/>
      <c r="K7250" s="1362"/>
      <c r="L7250" s="1362"/>
    </row>
    <row r="7251" spans="1:12" x14ac:dyDescent="0.25">
      <c r="A7251" t="s">
        <v>15338</v>
      </c>
      <c r="B7251" t="s">
        <v>15339</v>
      </c>
      <c r="C7251" t="s">
        <v>2716</v>
      </c>
      <c r="D7251" s="254">
        <v>14.33</v>
      </c>
      <c r="E7251"/>
      <c r="F7251"/>
      <c r="G7251"/>
      <c r="H7251"/>
      <c r="I7251" s="489"/>
      <c r="J7251" s="1362"/>
      <c r="K7251" s="1362"/>
      <c r="L7251" s="1362"/>
    </row>
    <row r="7252" spans="1:12" x14ac:dyDescent="0.25">
      <c r="A7252" t="s">
        <v>15340</v>
      </c>
      <c r="B7252" t="s">
        <v>15341</v>
      </c>
      <c r="C7252" t="s">
        <v>2716</v>
      </c>
      <c r="D7252" s="254">
        <v>12.86</v>
      </c>
      <c r="E7252"/>
      <c r="F7252"/>
      <c r="G7252"/>
      <c r="H7252"/>
      <c r="I7252" s="489"/>
      <c r="J7252" s="1362"/>
      <c r="K7252" s="1362"/>
      <c r="L7252" s="1362"/>
    </row>
    <row r="7253" spans="1:12" x14ac:dyDescent="0.25">
      <c r="A7253" t="s">
        <v>15342</v>
      </c>
      <c r="B7253" t="s">
        <v>15343</v>
      </c>
      <c r="C7253" t="s">
        <v>2716</v>
      </c>
      <c r="D7253" s="254">
        <v>12.98</v>
      </c>
      <c r="E7253"/>
      <c r="F7253"/>
      <c r="G7253"/>
      <c r="H7253"/>
      <c r="I7253" s="489"/>
      <c r="J7253" s="1362"/>
      <c r="K7253" s="1362"/>
      <c r="L7253" s="1362"/>
    </row>
    <row r="7254" spans="1:12" x14ac:dyDescent="0.25">
      <c r="A7254" t="s">
        <v>15344</v>
      </c>
      <c r="B7254" t="s">
        <v>15345</v>
      </c>
      <c r="C7254" t="s">
        <v>2716</v>
      </c>
      <c r="D7254" s="254">
        <v>13.22</v>
      </c>
      <c r="E7254"/>
      <c r="F7254"/>
      <c r="G7254"/>
      <c r="H7254"/>
      <c r="I7254" s="489"/>
      <c r="J7254" s="1362"/>
      <c r="K7254" s="1362"/>
      <c r="L7254" s="1362"/>
    </row>
    <row r="7255" spans="1:12" x14ac:dyDescent="0.25">
      <c r="A7255" t="s">
        <v>15346</v>
      </c>
      <c r="B7255" t="s">
        <v>15347</v>
      </c>
      <c r="C7255" t="s">
        <v>2716</v>
      </c>
      <c r="D7255" s="254">
        <v>13.29</v>
      </c>
      <c r="E7255"/>
      <c r="F7255"/>
      <c r="G7255"/>
      <c r="H7255"/>
      <c r="I7255" s="489"/>
      <c r="J7255" s="1362"/>
      <c r="K7255" s="1362"/>
      <c r="L7255" s="1362"/>
    </row>
    <row r="7256" spans="1:12" x14ac:dyDescent="0.25">
      <c r="A7256" t="s">
        <v>15348</v>
      </c>
      <c r="B7256" t="s">
        <v>15349</v>
      </c>
      <c r="C7256" t="s">
        <v>2716</v>
      </c>
      <c r="D7256" s="254">
        <v>13.5</v>
      </c>
      <c r="E7256"/>
      <c r="F7256"/>
      <c r="G7256"/>
      <c r="H7256"/>
      <c r="I7256" s="489"/>
      <c r="J7256" s="1362"/>
      <c r="K7256" s="1362"/>
      <c r="L7256" s="1362"/>
    </row>
    <row r="7257" spans="1:12" x14ac:dyDescent="0.25">
      <c r="A7257" t="s">
        <v>15350</v>
      </c>
      <c r="B7257" t="s">
        <v>15351</v>
      </c>
      <c r="C7257" t="s">
        <v>2640</v>
      </c>
      <c r="D7257" s="254">
        <v>21780.76</v>
      </c>
      <c r="E7257"/>
      <c r="F7257"/>
      <c r="G7257"/>
      <c r="H7257"/>
      <c r="I7257" s="489"/>
      <c r="J7257" s="1362"/>
      <c r="K7257" s="1362"/>
      <c r="L7257" s="1362"/>
    </row>
    <row r="7258" spans="1:12" x14ac:dyDescent="0.25">
      <c r="A7258" t="s">
        <v>15352</v>
      </c>
      <c r="B7258" t="s">
        <v>15353</v>
      </c>
      <c r="C7258" t="s">
        <v>2640</v>
      </c>
      <c r="D7258" s="254">
        <v>27452.34</v>
      </c>
      <c r="E7258"/>
      <c r="F7258"/>
      <c r="G7258"/>
      <c r="H7258"/>
      <c r="I7258" s="489"/>
      <c r="J7258" s="1362"/>
      <c r="K7258" s="1362"/>
      <c r="L7258" s="1362"/>
    </row>
    <row r="7259" spans="1:12" x14ac:dyDescent="0.25">
      <c r="A7259" t="s">
        <v>15354</v>
      </c>
      <c r="B7259" t="s">
        <v>15355</v>
      </c>
      <c r="C7259" t="s">
        <v>2640</v>
      </c>
      <c r="D7259" s="254">
        <v>19736.28</v>
      </c>
      <c r="E7259"/>
      <c r="F7259"/>
      <c r="G7259"/>
      <c r="H7259"/>
      <c r="I7259" s="489"/>
      <c r="J7259" s="1362"/>
      <c r="K7259" s="1362"/>
      <c r="L7259" s="1362"/>
    </row>
    <row r="7260" spans="1:12" x14ac:dyDescent="0.25">
      <c r="A7260" t="s">
        <v>15356</v>
      </c>
      <c r="B7260" t="s">
        <v>15357</v>
      </c>
      <c r="C7260" t="s">
        <v>2640</v>
      </c>
      <c r="D7260" s="254">
        <v>21509.14</v>
      </c>
      <c r="E7260"/>
      <c r="F7260"/>
      <c r="G7260"/>
      <c r="H7260"/>
      <c r="I7260" s="489"/>
      <c r="J7260" s="1362"/>
      <c r="K7260" s="1362"/>
      <c r="L7260" s="1362"/>
    </row>
    <row r="7261" spans="1:12" x14ac:dyDescent="0.25">
      <c r="A7261" t="s">
        <v>15358</v>
      </c>
      <c r="B7261" t="s">
        <v>15359</v>
      </c>
      <c r="C7261" t="s">
        <v>2640</v>
      </c>
      <c r="D7261" s="254">
        <v>3202.76</v>
      </c>
      <c r="E7261"/>
      <c r="F7261"/>
      <c r="G7261"/>
      <c r="H7261"/>
      <c r="I7261" s="489"/>
      <c r="J7261" s="1362"/>
      <c r="K7261" s="1362"/>
      <c r="L7261" s="1362"/>
    </row>
    <row r="7262" spans="1:12" x14ac:dyDescent="0.25">
      <c r="A7262" t="s">
        <v>15360</v>
      </c>
      <c r="B7262" t="s">
        <v>15361</v>
      </c>
      <c r="C7262" t="s">
        <v>2640</v>
      </c>
      <c r="D7262" s="254">
        <v>2339.0300000000002</v>
      </c>
      <c r="E7262"/>
      <c r="F7262"/>
      <c r="G7262"/>
      <c r="H7262"/>
      <c r="I7262" s="489"/>
      <c r="J7262" s="1362"/>
      <c r="K7262" s="1362"/>
      <c r="L7262" s="1362"/>
    </row>
    <row r="7263" spans="1:12" x14ac:dyDescent="0.25">
      <c r="A7263" t="s">
        <v>15362</v>
      </c>
      <c r="B7263" t="s">
        <v>15363</v>
      </c>
      <c r="C7263" t="s">
        <v>2598</v>
      </c>
      <c r="D7263" s="254">
        <v>38.909999999999997</v>
      </c>
      <c r="E7263"/>
      <c r="F7263"/>
      <c r="G7263"/>
      <c r="H7263"/>
      <c r="I7263" s="489"/>
      <c r="J7263" s="1362"/>
      <c r="K7263" s="1362"/>
      <c r="L7263" s="1362"/>
    </row>
    <row r="7264" spans="1:12" x14ac:dyDescent="0.25">
      <c r="A7264" t="s">
        <v>15364</v>
      </c>
      <c r="B7264" t="s">
        <v>15365</v>
      </c>
      <c r="C7264" t="s">
        <v>2598</v>
      </c>
      <c r="D7264" s="254">
        <v>588.96</v>
      </c>
      <c r="E7264"/>
      <c r="F7264"/>
      <c r="G7264"/>
      <c r="H7264"/>
      <c r="I7264" s="489"/>
      <c r="J7264" s="1362"/>
      <c r="K7264" s="1362"/>
      <c r="L7264" s="1362"/>
    </row>
    <row r="7265" spans="1:12" x14ac:dyDescent="0.25">
      <c r="A7265" t="s">
        <v>15366</v>
      </c>
      <c r="B7265" t="s">
        <v>15367</v>
      </c>
      <c r="C7265" t="s">
        <v>2640</v>
      </c>
      <c r="D7265" s="254">
        <v>63.8</v>
      </c>
      <c r="E7265"/>
      <c r="F7265"/>
      <c r="G7265"/>
      <c r="H7265"/>
      <c r="I7265" s="489"/>
      <c r="J7265" s="1362"/>
      <c r="K7265" s="1362"/>
      <c r="L7265" s="1362"/>
    </row>
    <row r="7266" spans="1:12" x14ac:dyDescent="0.25">
      <c r="A7266" t="s">
        <v>15368</v>
      </c>
      <c r="B7266" t="s">
        <v>15369</v>
      </c>
      <c r="C7266" t="s">
        <v>13878</v>
      </c>
      <c r="D7266" s="254">
        <v>32.43</v>
      </c>
      <c r="E7266"/>
      <c r="F7266"/>
      <c r="G7266"/>
      <c r="H7266"/>
      <c r="I7266" s="489"/>
      <c r="J7266" s="1362"/>
      <c r="K7266" s="1362"/>
      <c r="L7266" s="1362"/>
    </row>
    <row r="7267" spans="1:12" x14ac:dyDescent="0.25">
      <c r="A7267" t="s">
        <v>15370</v>
      </c>
      <c r="B7267" t="s">
        <v>15371</v>
      </c>
      <c r="C7267" t="s">
        <v>2716</v>
      </c>
      <c r="D7267" s="254">
        <v>26.83</v>
      </c>
      <c r="E7267"/>
      <c r="F7267"/>
      <c r="G7267"/>
      <c r="H7267"/>
      <c r="I7267" s="489"/>
      <c r="J7267" s="1362"/>
      <c r="K7267" s="1362"/>
      <c r="L7267" s="1362"/>
    </row>
    <row r="7268" spans="1:12" x14ac:dyDescent="0.25">
      <c r="A7268" t="s">
        <v>15372</v>
      </c>
      <c r="B7268" t="s">
        <v>15373</v>
      </c>
      <c r="C7268" t="s">
        <v>2640</v>
      </c>
      <c r="D7268" s="254">
        <v>20.71</v>
      </c>
      <c r="E7268"/>
      <c r="F7268"/>
      <c r="G7268"/>
      <c r="H7268"/>
      <c r="I7268" s="489"/>
      <c r="J7268" s="1362"/>
      <c r="K7268" s="1362"/>
      <c r="L7268" s="1362"/>
    </row>
    <row r="7269" spans="1:12" x14ac:dyDescent="0.25">
      <c r="A7269" t="s">
        <v>15374</v>
      </c>
      <c r="B7269" t="s">
        <v>15375</v>
      </c>
      <c r="C7269" t="s">
        <v>2598</v>
      </c>
      <c r="D7269" s="254">
        <v>11.86</v>
      </c>
      <c r="E7269"/>
      <c r="F7269"/>
      <c r="G7269"/>
      <c r="H7269"/>
      <c r="I7269" s="489"/>
      <c r="J7269" s="1362"/>
      <c r="K7269" s="1362"/>
      <c r="L7269" s="1362"/>
    </row>
    <row r="7270" spans="1:12" x14ac:dyDescent="0.25">
      <c r="A7270" t="s">
        <v>15376</v>
      </c>
      <c r="B7270" t="s">
        <v>15377</v>
      </c>
      <c r="C7270" t="s">
        <v>2640</v>
      </c>
      <c r="D7270" s="254">
        <v>18.52</v>
      </c>
      <c r="E7270"/>
      <c r="F7270"/>
      <c r="G7270"/>
      <c r="H7270"/>
      <c r="I7270" s="489"/>
      <c r="J7270" s="1362"/>
      <c r="K7270" s="1362"/>
      <c r="L7270" s="1362"/>
    </row>
    <row r="7271" spans="1:12" x14ac:dyDescent="0.25">
      <c r="A7271" t="s">
        <v>15378</v>
      </c>
      <c r="B7271" t="s">
        <v>15379</v>
      </c>
      <c r="C7271" t="s">
        <v>2640</v>
      </c>
      <c r="D7271" s="254">
        <v>1002.43</v>
      </c>
      <c r="E7271"/>
      <c r="F7271"/>
      <c r="G7271"/>
      <c r="H7271"/>
      <c r="I7271" s="489"/>
      <c r="J7271" s="1362"/>
      <c r="K7271" s="1362"/>
      <c r="L7271" s="1362"/>
    </row>
    <row r="7272" spans="1:12" x14ac:dyDescent="0.25">
      <c r="A7272" t="s">
        <v>15380</v>
      </c>
      <c r="B7272" t="s">
        <v>15381</v>
      </c>
      <c r="C7272" t="s">
        <v>2640</v>
      </c>
      <c r="D7272" s="254">
        <v>19.87</v>
      </c>
      <c r="E7272"/>
      <c r="F7272"/>
      <c r="G7272"/>
      <c r="H7272"/>
      <c r="I7272" s="489"/>
      <c r="J7272" s="1362"/>
      <c r="K7272" s="1362"/>
      <c r="L7272" s="1362"/>
    </row>
    <row r="7273" spans="1:12" x14ac:dyDescent="0.25">
      <c r="A7273" t="s">
        <v>15382</v>
      </c>
      <c r="B7273" t="s">
        <v>15383</v>
      </c>
      <c r="C7273" t="s">
        <v>2640</v>
      </c>
      <c r="D7273" s="254">
        <v>15.21</v>
      </c>
      <c r="E7273"/>
      <c r="F7273"/>
      <c r="G7273"/>
      <c r="H7273"/>
      <c r="I7273" s="489"/>
      <c r="J7273" s="1362"/>
      <c r="K7273" s="1362"/>
      <c r="L7273" s="1362"/>
    </row>
    <row r="7274" spans="1:12" x14ac:dyDescent="0.25">
      <c r="A7274" t="s">
        <v>15384</v>
      </c>
      <c r="B7274" t="s">
        <v>15385</v>
      </c>
      <c r="C7274" t="s">
        <v>2640</v>
      </c>
      <c r="D7274" s="254">
        <v>15.01</v>
      </c>
      <c r="E7274"/>
      <c r="F7274"/>
      <c r="G7274"/>
      <c r="H7274"/>
      <c r="I7274" s="489"/>
      <c r="J7274" s="1362"/>
      <c r="K7274" s="1362"/>
      <c r="L7274" s="1362"/>
    </row>
    <row r="7275" spans="1:12" x14ac:dyDescent="0.25">
      <c r="A7275" t="s">
        <v>15386</v>
      </c>
      <c r="B7275" t="s">
        <v>15387</v>
      </c>
      <c r="C7275" t="s">
        <v>2640</v>
      </c>
      <c r="D7275" s="254">
        <v>14.98</v>
      </c>
      <c r="E7275"/>
      <c r="F7275"/>
      <c r="G7275"/>
      <c r="H7275"/>
      <c r="I7275" s="489"/>
      <c r="J7275" s="1362"/>
      <c r="K7275" s="1362"/>
      <c r="L7275" s="1362"/>
    </row>
    <row r="7276" spans="1:12" x14ac:dyDescent="0.25">
      <c r="A7276" t="s">
        <v>15388</v>
      </c>
      <c r="B7276" t="s">
        <v>15389</v>
      </c>
      <c r="C7276" t="s">
        <v>2640</v>
      </c>
      <c r="D7276" s="254">
        <v>846.15</v>
      </c>
      <c r="E7276"/>
      <c r="F7276"/>
      <c r="G7276"/>
      <c r="H7276"/>
      <c r="I7276" s="489"/>
      <c r="J7276" s="1362"/>
      <c r="K7276" s="1362"/>
      <c r="L7276" s="1362"/>
    </row>
    <row r="7277" spans="1:12" x14ac:dyDescent="0.25">
      <c r="A7277" t="s">
        <v>15390</v>
      </c>
      <c r="B7277" t="s">
        <v>15391</v>
      </c>
      <c r="C7277" t="s">
        <v>2640</v>
      </c>
      <c r="D7277" s="254">
        <v>197.87</v>
      </c>
      <c r="E7277"/>
      <c r="F7277"/>
      <c r="G7277"/>
      <c r="H7277"/>
      <c r="I7277" s="489"/>
      <c r="J7277" s="1362"/>
      <c r="K7277" s="1362"/>
      <c r="L7277" s="1362"/>
    </row>
    <row r="7278" spans="1:12" x14ac:dyDescent="0.25">
      <c r="A7278" t="s">
        <v>15392</v>
      </c>
      <c r="B7278" t="s">
        <v>15393</v>
      </c>
      <c r="C7278" t="s">
        <v>2640</v>
      </c>
      <c r="D7278" s="254">
        <v>49.77</v>
      </c>
      <c r="E7278"/>
      <c r="F7278"/>
      <c r="G7278"/>
      <c r="H7278"/>
      <c r="I7278" s="489"/>
      <c r="J7278" s="1362"/>
      <c r="K7278" s="1362"/>
      <c r="L7278" s="1362"/>
    </row>
    <row r="7279" spans="1:12" x14ac:dyDescent="0.25">
      <c r="A7279" t="s">
        <v>15394</v>
      </c>
      <c r="B7279" t="s">
        <v>15395</v>
      </c>
      <c r="C7279" t="s">
        <v>2640</v>
      </c>
      <c r="D7279" s="254">
        <v>348.57</v>
      </c>
      <c r="E7279"/>
      <c r="F7279"/>
      <c r="G7279"/>
      <c r="H7279"/>
      <c r="I7279" s="489"/>
      <c r="J7279" s="1362"/>
      <c r="K7279" s="1362"/>
      <c r="L7279" s="1362"/>
    </row>
    <row r="7280" spans="1:12" x14ac:dyDescent="0.25">
      <c r="A7280" t="s">
        <v>15396</v>
      </c>
      <c r="B7280" t="s">
        <v>15397</v>
      </c>
      <c r="C7280" t="s">
        <v>2716</v>
      </c>
      <c r="D7280" s="254">
        <v>42.8</v>
      </c>
      <c r="E7280"/>
      <c r="F7280"/>
      <c r="G7280"/>
      <c r="H7280"/>
      <c r="I7280" s="489"/>
      <c r="J7280" s="1362"/>
      <c r="K7280" s="1362"/>
      <c r="L7280" s="1362"/>
    </row>
    <row r="7281" spans="1:12" x14ac:dyDescent="0.25">
      <c r="A7281" t="s">
        <v>15398</v>
      </c>
      <c r="B7281" t="s">
        <v>15399</v>
      </c>
      <c r="C7281" t="s">
        <v>2716</v>
      </c>
      <c r="D7281" s="254">
        <v>10.1</v>
      </c>
      <c r="E7281"/>
      <c r="F7281"/>
      <c r="G7281"/>
      <c r="H7281"/>
      <c r="I7281" s="489"/>
      <c r="J7281" s="1362"/>
      <c r="K7281" s="1362"/>
      <c r="L7281" s="1362"/>
    </row>
    <row r="7282" spans="1:12" x14ac:dyDescent="0.25">
      <c r="A7282" t="s">
        <v>15400</v>
      </c>
      <c r="B7282" t="s">
        <v>15401</v>
      </c>
      <c r="C7282" t="s">
        <v>2640</v>
      </c>
      <c r="D7282" s="254">
        <v>2077.02</v>
      </c>
      <c r="E7282"/>
      <c r="F7282"/>
      <c r="G7282"/>
      <c r="H7282"/>
      <c r="I7282" s="489"/>
      <c r="J7282" s="1362"/>
      <c r="K7282" s="1362"/>
      <c r="L7282" s="1362"/>
    </row>
    <row r="7283" spans="1:12" x14ac:dyDescent="0.25">
      <c r="A7283" t="s">
        <v>15402</v>
      </c>
      <c r="B7283" t="s">
        <v>15403</v>
      </c>
      <c r="C7283" t="s">
        <v>2640</v>
      </c>
      <c r="D7283" s="254">
        <v>1604.36</v>
      </c>
      <c r="E7283"/>
      <c r="F7283"/>
      <c r="G7283"/>
      <c r="H7283"/>
      <c r="I7283" s="489"/>
      <c r="J7283" s="1362"/>
      <c r="K7283" s="1362"/>
      <c r="L7283" s="1362"/>
    </row>
    <row r="7284" spans="1:12" x14ac:dyDescent="0.25">
      <c r="A7284" t="s">
        <v>15404</v>
      </c>
      <c r="B7284" t="s">
        <v>15405</v>
      </c>
      <c r="C7284" t="s">
        <v>2716</v>
      </c>
      <c r="D7284" s="254">
        <v>20.53</v>
      </c>
      <c r="E7284"/>
      <c r="F7284"/>
      <c r="G7284"/>
      <c r="H7284"/>
      <c r="I7284" s="489"/>
      <c r="J7284" s="1362"/>
      <c r="K7284" s="1362"/>
      <c r="L7284" s="1362"/>
    </row>
    <row r="7285" spans="1:12" x14ac:dyDescent="0.25">
      <c r="A7285" t="s">
        <v>6406</v>
      </c>
      <c r="B7285" t="s">
        <v>6408</v>
      </c>
      <c r="C7285" t="s">
        <v>2598</v>
      </c>
      <c r="D7285" s="254">
        <v>19.63</v>
      </c>
      <c r="E7285"/>
      <c r="F7285"/>
      <c r="G7285"/>
      <c r="H7285"/>
      <c r="I7285" s="489"/>
      <c r="J7285" s="1362"/>
      <c r="K7285" s="1362"/>
      <c r="L7285" s="1362"/>
    </row>
    <row r="7286" spans="1:12" x14ac:dyDescent="0.25">
      <c r="A7286" t="s">
        <v>15406</v>
      </c>
      <c r="B7286" t="s">
        <v>15407</v>
      </c>
      <c r="C7286" t="s">
        <v>2640</v>
      </c>
      <c r="D7286" s="254">
        <v>442.68</v>
      </c>
      <c r="E7286"/>
      <c r="F7286"/>
      <c r="G7286"/>
      <c r="H7286"/>
      <c r="I7286" s="489"/>
      <c r="J7286" s="1362"/>
      <c r="K7286" s="1362"/>
      <c r="L7286" s="1362"/>
    </row>
    <row r="7287" spans="1:12" x14ac:dyDescent="0.25">
      <c r="A7287" t="s">
        <v>4626</v>
      </c>
      <c r="B7287" t="s">
        <v>6425</v>
      </c>
      <c r="C7287" t="s">
        <v>2598</v>
      </c>
      <c r="D7287" s="254">
        <v>104.45</v>
      </c>
      <c r="E7287"/>
      <c r="F7287"/>
      <c r="G7287"/>
      <c r="H7287"/>
      <c r="I7287" s="489"/>
      <c r="J7287" s="1362"/>
      <c r="K7287" s="1362"/>
      <c r="L7287" s="1362"/>
    </row>
    <row r="7288" spans="1:12" x14ac:dyDescent="0.25">
      <c r="A7288" t="s">
        <v>15408</v>
      </c>
      <c r="B7288" t="s">
        <v>15409</v>
      </c>
      <c r="C7288" t="s">
        <v>2598</v>
      </c>
      <c r="D7288" s="254">
        <v>118.84</v>
      </c>
      <c r="E7288"/>
      <c r="F7288"/>
      <c r="G7288"/>
      <c r="H7288"/>
      <c r="I7288" s="489"/>
      <c r="J7288" s="1362"/>
      <c r="K7288" s="1362"/>
      <c r="L7288" s="1362"/>
    </row>
    <row r="7289" spans="1:12" x14ac:dyDescent="0.25">
      <c r="A7289" t="s">
        <v>15410</v>
      </c>
      <c r="B7289" t="s">
        <v>15411</v>
      </c>
      <c r="C7289" t="s">
        <v>2598</v>
      </c>
      <c r="D7289" s="254">
        <v>142.32</v>
      </c>
      <c r="E7289"/>
      <c r="F7289"/>
      <c r="G7289"/>
      <c r="H7289"/>
      <c r="I7289" s="489"/>
      <c r="J7289" s="1362"/>
      <c r="K7289" s="1362"/>
      <c r="L7289" s="1362"/>
    </row>
    <row r="7290" spans="1:12" x14ac:dyDescent="0.25">
      <c r="A7290" t="s">
        <v>15412</v>
      </c>
      <c r="B7290" t="s">
        <v>15413</v>
      </c>
      <c r="C7290" t="s">
        <v>2598</v>
      </c>
      <c r="D7290" s="254">
        <v>192.35</v>
      </c>
      <c r="E7290"/>
      <c r="F7290"/>
      <c r="G7290"/>
      <c r="H7290"/>
      <c r="I7290" s="489"/>
      <c r="J7290" s="1362"/>
      <c r="K7290" s="1362"/>
      <c r="L7290" s="1362"/>
    </row>
    <row r="7291" spans="1:12" x14ac:dyDescent="0.25">
      <c r="A7291" t="s">
        <v>15414</v>
      </c>
      <c r="B7291" t="s">
        <v>15415</v>
      </c>
      <c r="C7291" t="s">
        <v>2598</v>
      </c>
      <c r="D7291" s="254">
        <v>189.9</v>
      </c>
      <c r="E7291"/>
      <c r="F7291"/>
      <c r="G7291"/>
      <c r="H7291"/>
      <c r="I7291" s="489"/>
      <c r="J7291" s="1362"/>
      <c r="K7291" s="1362"/>
      <c r="L7291" s="1362"/>
    </row>
    <row r="7292" spans="1:12" x14ac:dyDescent="0.25">
      <c r="A7292" t="s">
        <v>15416</v>
      </c>
      <c r="B7292" t="s">
        <v>15417</v>
      </c>
      <c r="C7292" t="s">
        <v>2598</v>
      </c>
      <c r="D7292" s="254">
        <v>216.77</v>
      </c>
      <c r="E7292"/>
      <c r="F7292"/>
      <c r="G7292"/>
      <c r="H7292"/>
      <c r="I7292" s="489"/>
      <c r="J7292" s="1362"/>
      <c r="K7292" s="1362"/>
      <c r="L7292" s="1362"/>
    </row>
    <row r="7293" spans="1:12" x14ac:dyDescent="0.25">
      <c r="A7293" t="s">
        <v>15418</v>
      </c>
      <c r="B7293" t="s">
        <v>15419</v>
      </c>
      <c r="C7293" t="s">
        <v>2598</v>
      </c>
      <c r="D7293" s="254">
        <v>284.72000000000003</v>
      </c>
      <c r="E7293"/>
      <c r="F7293"/>
      <c r="G7293"/>
      <c r="H7293"/>
      <c r="I7293" s="489"/>
      <c r="J7293" s="1362"/>
      <c r="K7293" s="1362"/>
      <c r="L7293" s="1362"/>
    </row>
    <row r="7294" spans="1:12" x14ac:dyDescent="0.25">
      <c r="A7294" t="s">
        <v>15420</v>
      </c>
      <c r="B7294" t="s">
        <v>15421</v>
      </c>
      <c r="C7294" t="s">
        <v>2598</v>
      </c>
      <c r="D7294" s="254">
        <v>376.93</v>
      </c>
      <c r="E7294"/>
      <c r="F7294"/>
      <c r="G7294"/>
      <c r="H7294"/>
      <c r="I7294" s="489"/>
      <c r="J7294" s="1362"/>
      <c r="K7294" s="1362"/>
      <c r="L7294" s="1362"/>
    </row>
    <row r="7295" spans="1:12" x14ac:dyDescent="0.25">
      <c r="A7295" t="s">
        <v>15422</v>
      </c>
      <c r="B7295" t="s">
        <v>15423</v>
      </c>
      <c r="C7295" t="s">
        <v>2598</v>
      </c>
      <c r="D7295" s="254">
        <v>260.05</v>
      </c>
      <c r="E7295"/>
      <c r="F7295"/>
      <c r="G7295"/>
      <c r="H7295"/>
      <c r="I7295" s="489"/>
      <c r="J7295" s="1362"/>
      <c r="K7295" s="1362"/>
      <c r="L7295" s="1362"/>
    </row>
    <row r="7296" spans="1:12" x14ac:dyDescent="0.25">
      <c r="A7296" t="s">
        <v>15424</v>
      </c>
      <c r="B7296" t="s">
        <v>15425</v>
      </c>
      <c r="C7296" t="s">
        <v>2598</v>
      </c>
      <c r="D7296" s="254">
        <v>314.56</v>
      </c>
      <c r="E7296"/>
      <c r="F7296"/>
      <c r="G7296"/>
      <c r="H7296"/>
      <c r="I7296" s="489"/>
      <c r="J7296" s="1362"/>
      <c r="K7296" s="1362"/>
      <c r="L7296" s="1362"/>
    </row>
    <row r="7297" spans="1:12" x14ac:dyDescent="0.25">
      <c r="A7297" t="s">
        <v>15426</v>
      </c>
      <c r="B7297" t="s">
        <v>15427</v>
      </c>
      <c r="C7297" t="s">
        <v>2598</v>
      </c>
      <c r="D7297" s="254">
        <v>374.17</v>
      </c>
      <c r="E7297"/>
      <c r="F7297"/>
      <c r="G7297"/>
      <c r="H7297"/>
      <c r="I7297" s="489"/>
      <c r="J7297" s="1362"/>
      <c r="K7297" s="1362"/>
      <c r="L7297" s="1362"/>
    </row>
    <row r="7298" spans="1:12" x14ac:dyDescent="0.25">
      <c r="A7298" t="s">
        <v>15428</v>
      </c>
      <c r="B7298" t="s">
        <v>15429</v>
      </c>
      <c r="C7298" t="s">
        <v>2598</v>
      </c>
      <c r="D7298" s="254">
        <v>430.14</v>
      </c>
      <c r="E7298"/>
      <c r="F7298"/>
      <c r="G7298"/>
      <c r="H7298"/>
      <c r="I7298" s="489"/>
      <c r="J7298" s="1362"/>
      <c r="K7298" s="1362"/>
      <c r="L7298" s="1362"/>
    </row>
    <row r="7299" spans="1:12" x14ac:dyDescent="0.25">
      <c r="A7299" t="s">
        <v>15430</v>
      </c>
      <c r="B7299" t="s">
        <v>15431</v>
      </c>
      <c r="C7299" t="s">
        <v>2598</v>
      </c>
      <c r="D7299" s="254">
        <v>450.48</v>
      </c>
      <c r="E7299"/>
      <c r="F7299"/>
      <c r="G7299"/>
      <c r="H7299"/>
      <c r="I7299" s="489"/>
      <c r="J7299" s="1362"/>
      <c r="K7299" s="1362"/>
      <c r="L7299" s="1362"/>
    </row>
    <row r="7300" spans="1:12" x14ac:dyDescent="0.25">
      <c r="A7300" t="s">
        <v>15432</v>
      </c>
      <c r="B7300" t="s">
        <v>15433</v>
      </c>
      <c r="C7300" t="s">
        <v>2598</v>
      </c>
      <c r="D7300" s="254">
        <v>493.61</v>
      </c>
      <c r="E7300"/>
      <c r="F7300"/>
      <c r="G7300"/>
      <c r="H7300"/>
      <c r="I7300" s="489"/>
      <c r="J7300" s="1362"/>
      <c r="K7300" s="1362"/>
      <c r="L7300" s="1362"/>
    </row>
    <row r="7301" spans="1:12" x14ac:dyDescent="0.25">
      <c r="A7301" t="s">
        <v>15434</v>
      </c>
      <c r="B7301" t="s">
        <v>15435</v>
      </c>
      <c r="C7301" t="s">
        <v>2598</v>
      </c>
      <c r="D7301" s="254">
        <v>559.29999999999995</v>
      </c>
      <c r="E7301"/>
      <c r="F7301"/>
      <c r="G7301"/>
      <c r="H7301"/>
      <c r="I7301" s="489"/>
      <c r="J7301" s="1362"/>
      <c r="K7301" s="1362"/>
      <c r="L7301" s="1362"/>
    </row>
    <row r="7302" spans="1:12" x14ac:dyDescent="0.25">
      <c r="A7302" t="s">
        <v>15436</v>
      </c>
      <c r="B7302" t="s">
        <v>15437</v>
      </c>
      <c r="C7302" t="s">
        <v>2598</v>
      </c>
      <c r="D7302" s="254">
        <v>625.82000000000005</v>
      </c>
      <c r="E7302"/>
      <c r="F7302"/>
      <c r="G7302"/>
      <c r="H7302"/>
      <c r="I7302" s="489"/>
      <c r="J7302" s="1362"/>
      <c r="K7302" s="1362"/>
      <c r="L7302" s="1362"/>
    </row>
    <row r="7303" spans="1:12" x14ac:dyDescent="0.25">
      <c r="A7303" t="s">
        <v>15438</v>
      </c>
      <c r="B7303" t="s">
        <v>15439</v>
      </c>
      <c r="C7303" t="s">
        <v>2598</v>
      </c>
      <c r="D7303" s="254">
        <v>533.27</v>
      </c>
      <c r="E7303"/>
      <c r="F7303"/>
      <c r="G7303"/>
      <c r="H7303"/>
      <c r="I7303" s="489"/>
      <c r="J7303" s="1362"/>
      <c r="K7303" s="1362"/>
      <c r="L7303" s="1362"/>
    </row>
    <row r="7304" spans="1:12" x14ac:dyDescent="0.25">
      <c r="A7304" t="s">
        <v>15440</v>
      </c>
      <c r="B7304" t="s">
        <v>15441</v>
      </c>
      <c r="C7304" t="s">
        <v>2598</v>
      </c>
      <c r="D7304" s="254">
        <v>589.95000000000005</v>
      </c>
      <c r="E7304"/>
      <c r="F7304"/>
      <c r="G7304"/>
      <c r="H7304"/>
      <c r="I7304" s="489"/>
      <c r="J7304" s="1362"/>
      <c r="K7304" s="1362"/>
      <c r="L7304" s="1362"/>
    </row>
    <row r="7305" spans="1:12" x14ac:dyDescent="0.25">
      <c r="A7305" t="s">
        <v>15442</v>
      </c>
      <c r="B7305" t="s">
        <v>15443</v>
      </c>
      <c r="C7305" t="s">
        <v>2598</v>
      </c>
      <c r="D7305" s="254">
        <v>768.6</v>
      </c>
      <c r="E7305"/>
      <c r="F7305"/>
      <c r="G7305"/>
      <c r="H7305"/>
      <c r="I7305" s="489"/>
      <c r="J7305" s="1362"/>
      <c r="K7305" s="1362"/>
      <c r="L7305" s="1362"/>
    </row>
    <row r="7306" spans="1:12" x14ac:dyDescent="0.25">
      <c r="A7306" t="s">
        <v>15444</v>
      </c>
      <c r="B7306" t="s">
        <v>15445</v>
      </c>
      <c r="C7306" t="s">
        <v>2598</v>
      </c>
      <c r="D7306" s="254">
        <v>793.22</v>
      </c>
      <c r="E7306"/>
      <c r="F7306"/>
      <c r="G7306"/>
      <c r="H7306"/>
      <c r="I7306" s="489"/>
      <c r="J7306" s="1362"/>
      <c r="K7306" s="1362"/>
      <c r="L7306" s="1362"/>
    </row>
    <row r="7307" spans="1:12" x14ac:dyDescent="0.25">
      <c r="A7307" t="s">
        <v>15446</v>
      </c>
      <c r="B7307" t="s">
        <v>15447</v>
      </c>
      <c r="C7307" t="s">
        <v>2598</v>
      </c>
      <c r="D7307" s="254">
        <v>846.05</v>
      </c>
      <c r="E7307"/>
      <c r="F7307"/>
      <c r="G7307"/>
      <c r="H7307"/>
      <c r="I7307" s="489"/>
      <c r="J7307" s="1362"/>
      <c r="K7307" s="1362"/>
      <c r="L7307" s="1362"/>
    </row>
    <row r="7308" spans="1:12" x14ac:dyDescent="0.25">
      <c r="A7308" t="s">
        <v>15448</v>
      </c>
      <c r="B7308" t="s">
        <v>15449</v>
      </c>
      <c r="C7308" t="s">
        <v>2598</v>
      </c>
      <c r="D7308" s="254">
        <v>1138.27</v>
      </c>
      <c r="E7308"/>
      <c r="F7308"/>
      <c r="G7308"/>
      <c r="H7308"/>
      <c r="I7308" s="489"/>
      <c r="J7308" s="1362"/>
      <c r="K7308" s="1362"/>
      <c r="L7308" s="1362"/>
    </row>
    <row r="7309" spans="1:12" x14ac:dyDescent="0.25">
      <c r="A7309" t="s">
        <v>15450</v>
      </c>
      <c r="B7309" t="s">
        <v>15451</v>
      </c>
      <c r="C7309" t="s">
        <v>2598</v>
      </c>
      <c r="D7309" s="254">
        <v>1299.1600000000001</v>
      </c>
      <c r="E7309"/>
      <c r="F7309"/>
      <c r="G7309"/>
      <c r="H7309"/>
      <c r="I7309" s="489"/>
      <c r="J7309" s="1362"/>
      <c r="K7309" s="1362"/>
      <c r="L7309" s="1362"/>
    </row>
    <row r="7310" spans="1:12" x14ac:dyDescent="0.25">
      <c r="A7310" t="s">
        <v>15452</v>
      </c>
      <c r="B7310" t="s">
        <v>15453</v>
      </c>
      <c r="C7310" t="s">
        <v>2598</v>
      </c>
      <c r="D7310" s="254">
        <v>1355.06</v>
      </c>
      <c r="E7310"/>
      <c r="F7310"/>
      <c r="G7310"/>
      <c r="H7310"/>
      <c r="I7310" s="489"/>
      <c r="J7310" s="1362"/>
      <c r="K7310" s="1362"/>
      <c r="L7310" s="1362"/>
    </row>
    <row r="7311" spans="1:12" x14ac:dyDescent="0.25">
      <c r="A7311" t="s">
        <v>15454</v>
      </c>
      <c r="B7311" t="s">
        <v>15455</v>
      </c>
      <c r="C7311" t="s">
        <v>2598</v>
      </c>
      <c r="D7311" s="254">
        <v>119.94</v>
      </c>
      <c r="E7311"/>
      <c r="F7311"/>
      <c r="G7311"/>
      <c r="H7311"/>
      <c r="I7311" s="489"/>
      <c r="J7311" s="1362"/>
      <c r="K7311" s="1362"/>
      <c r="L7311" s="1362"/>
    </row>
    <row r="7312" spans="1:12" x14ac:dyDescent="0.25">
      <c r="A7312" t="s">
        <v>15456</v>
      </c>
      <c r="B7312" t="s">
        <v>15457</v>
      </c>
      <c r="C7312" t="s">
        <v>2598</v>
      </c>
      <c r="D7312" s="254">
        <v>147.37</v>
      </c>
      <c r="E7312"/>
      <c r="F7312"/>
      <c r="G7312"/>
      <c r="H7312"/>
      <c r="I7312" s="489"/>
      <c r="J7312" s="1362"/>
      <c r="K7312" s="1362"/>
      <c r="L7312" s="1362"/>
    </row>
    <row r="7313" spans="1:12" x14ac:dyDescent="0.25">
      <c r="A7313" t="s">
        <v>15458</v>
      </c>
      <c r="B7313" t="s">
        <v>15459</v>
      </c>
      <c r="C7313" t="s">
        <v>2598</v>
      </c>
      <c r="D7313" s="254">
        <v>170.6</v>
      </c>
      <c r="E7313"/>
      <c r="F7313"/>
      <c r="G7313"/>
      <c r="H7313"/>
      <c r="I7313" s="489"/>
      <c r="J7313" s="1362"/>
      <c r="K7313" s="1362"/>
      <c r="L7313" s="1362"/>
    </row>
    <row r="7314" spans="1:12" x14ac:dyDescent="0.25">
      <c r="A7314" t="s">
        <v>15460</v>
      </c>
      <c r="B7314" t="s">
        <v>15461</v>
      </c>
      <c r="C7314" t="s">
        <v>2598</v>
      </c>
      <c r="D7314" s="254">
        <v>284.98</v>
      </c>
      <c r="E7314"/>
      <c r="F7314"/>
      <c r="G7314"/>
      <c r="H7314"/>
      <c r="I7314" s="489"/>
      <c r="J7314" s="1362"/>
      <c r="K7314" s="1362"/>
      <c r="L7314" s="1362"/>
    </row>
    <row r="7315" spans="1:12" x14ac:dyDescent="0.25">
      <c r="A7315" t="s">
        <v>15462</v>
      </c>
      <c r="B7315" t="s">
        <v>15463</v>
      </c>
      <c r="C7315" t="s">
        <v>2640</v>
      </c>
      <c r="D7315" s="254">
        <v>796.2</v>
      </c>
      <c r="E7315"/>
      <c r="F7315"/>
      <c r="G7315"/>
      <c r="H7315"/>
      <c r="I7315" s="489"/>
      <c r="J7315" s="1362"/>
      <c r="K7315" s="1362"/>
      <c r="L7315" s="1362"/>
    </row>
    <row r="7316" spans="1:12" x14ac:dyDescent="0.25">
      <c r="A7316" t="s">
        <v>15464</v>
      </c>
      <c r="B7316" t="s">
        <v>15465</v>
      </c>
      <c r="C7316" t="s">
        <v>2640</v>
      </c>
      <c r="D7316" s="254">
        <v>761.47</v>
      </c>
      <c r="E7316"/>
      <c r="F7316"/>
      <c r="G7316"/>
      <c r="H7316"/>
      <c r="I7316" s="489"/>
      <c r="J7316" s="1362"/>
      <c r="K7316" s="1362"/>
      <c r="L7316" s="1362"/>
    </row>
    <row r="7317" spans="1:12" x14ac:dyDescent="0.25">
      <c r="A7317" t="s">
        <v>15466</v>
      </c>
      <c r="B7317" t="s">
        <v>15467</v>
      </c>
      <c r="C7317" t="s">
        <v>2598</v>
      </c>
      <c r="D7317" s="254">
        <v>562.46</v>
      </c>
      <c r="E7317"/>
      <c r="F7317"/>
      <c r="G7317"/>
      <c r="H7317"/>
      <c r="I7317" s="489"/>
      <c r="J7317" s="1362"/>
      <c r="K7317" s="1362"/>
      <c r="L7317" s="1362"/>
    </row>
    <row r="7318" spans="1:12" x14ac:dyDescent="0.25">
      <c r="A7318" t="s">
        <v>15468</v>
      </c>
      <c r="B7318" t="s">
        <v>15469</v>
      </c>
      <c r="C7318" t="s">
        <v>2695</v>
      </c>
      <c r="D7318" s="254">
        <v>15104.47</v>
      </c>
      <c r="E7318"/>
      <c r="F7318"/>
      <c r="G7318"/>
      <c r="H7318"/>
      <c r="I7318" s="489"/>
      <c r="J7318" s="1362"/>
      <c r="K7318" s="1362"/>
      <c r="L7318" s="1362"/>
    </row>
    <row r="7319" spans="1:12" x14ac:dyDescent="0.25">
      <c r="A7319" t="s">
        <v>15470</v>
      </c>
      <c r="B7319" t="s">
        <v>15471</v>
      </c>
      <c r="C7319" t="s">
        <v>2695</v>
      </c>
      <c r="D7319" s="254">
        <v>12269.16</v>
      </c>
      <c r="E7319"/>
      <c r="F7319"/>
      <c r="G7319"/>
      <c r="H7319"/>
      <c r="I7319" s="489"/>
      <c r="J7319" s="1362"/>
      <c r="K7319" s="1362"/>
      <c r="L7319" s="1362"/>
    </row>
    <row r="7320" spans="1:12" x14ac:dyDescent="0.25">
      <c r="A7320" t="s">
        <v>15472</v>
      </c>
      <c r="B7320" t="s">
        <v>15473</v>
      </c>
      <c r="C7320" t="s">
        <v>2695</v>
      </c>
      <c r="D7320" s="254">
        <v>12289.49</v>
      </c>
      <c r="E7320"/>
      <c r="F7320"/>
      <c r="G7320"/>
      <c r="H7320"/>
      <c r="I7320" s="489"/>
      <c r="J7320" s="1362"/>
      <c r="K7320" s="1362"/>
      <c r="L7320" s="1362"/>
    </row>
    <row r="7321" spans="1:12" x14ac:dyDescent="0.25">
      <c r="A7321" t="s">
        <v>15474</v>
      </c>
      <c r="B7321" t="s">
        <v>15475</v>
      </c>
      <c r="C7321" t="s">
        <v>2695</v>
      </c>
      <c r="D7321" s="254">
        <v>12311.44</v>
      </c>
      <c r="E7321"/>
      <c r="F7321"/>
      <c r="G7321"/>
      <c r="H7321"/>
      <c r="I7321" s="489"/>
      <c r="J7321" s="1362"/>
      <c r="K7321" s="1362"/>
      <c r="L7321" s="1362"/>
    </row>
    <row r="7322" spans="1:12" x14ac:dyDescent="0.25">
      <c r="A7322" t="s">
        <v>15476</v>
      </c>
      <c r="B7322" t="s">
        <v>11190</v>
      </c>
      <c r="C7322" t="s">
        <v>2640</v>
      </c>
      <c r="D7322" s="254">
        <v>89960.94</v>
      </c>
      <c r="E7322"/>
      <c r="F7322"/>
      <c r="G7322"/>
      <c r="H7322"/>
      <c r="I7322" s="489"/>
      <c r="J7322" s="1362"/>
      <c r="K7322" s="1362"/>
      <c r="L7322" s="1362"/>
    </row>
    <row r="7323" spans="1:12" x14ac:dyDescent="0.25">
      <c r="A7323" t="s">
        <v>15477</v>
      </c>
      <c r="B7323" t="s">
        <v>15478</v>
      </c>
      <c r="C7323" t="s">
        <v>2640</v>
      </c>
      <c r="D7323" s="254">
        <v>12.6</v>
      </c>
      <c r="E7323"/>
      <c r="F7323"/>
      <c r="G7323"/>
      <c r="H7323"/>
      <c r="I7323" s="489"/>
      <c r="J7323" s="1362"/>
      <c r="K7323" s="1362"/>
      <c r="L7323" s="1362"/>
    </row>
    <row r="7324" spans="1:12" x14ac:dyDescent="0.25">
      <c r="A7324" t="s">
        <v>15479</v>
      </c>
      <c r="B7324" t="s">
        <v>15480</v>
      </c>
      <c r="C7324" t="s">
        <v>2640</v>
      </c>
      <c r="D7324" s="254">
        <v>7.2</v>
      </c>
      <c r="E7324"/>
      <c r="F7324"/>
      <c r="G7324"/>
      <c r="H7324"/>
      <c r="I7324" s="489"/>
      <c r="J7324" s="1362"/>
      <c r="K7324" s="1362"/>
      <c r="L7324" s="1362"/>
    </row>
    <row r="7325" spans="1:12" x14ac:dyDescent="0.25">
      <c r="A7325" t="s">
        <v>15481</v>
      </c>
      <c r="B7325" t="s">
        <v>15482</v>
      </c>
      <c r="C7325" t="s">
        <v>2640</v>
      </c>
      <c r="D7325" s="254">
        <v>30.31</v>
      </c>
      <c r="E7325"/>
      <c r="F7325"/>
      <c r="G7325"/>
      <c r="H7325"/>
      <c r="I7325" s="489"/>
      <c r="J7325" s="1362"/>
      <c r="K7325" s="1362"/>
      <c r="L7325" s="1362"/>
    </row>
    <row r="7326" spans="1:12" x14ac:dyDescent="0.25">
      <c r="A7326" t="s">
        <v>15483</v>
      </c>
      <c r="B7326" t="s">
        <v>15484</v>
      </c>
      <c r="C7326" t="s">
        <v>2640</v>
      </c>
      <c r="D7326" s="254">
        <v>31.43</v>
      </c>
      <c r="E7326"/>
      <c r="F7326"/>
      <c r="G7326"/>
      <c r="H7326"/>
      <c r="I7326" s="489"/>
      <c r="J7326" s="1362"/>
      <c r="K7326" s="1362"/>
      <c r="L7326" s="1362"/>
    </row>
    <row r="7327" spans="1:12" x14ac:dyDescent="0.25">
      <c r="A7327" t="s">
        <v>15485</v>
      </c>
      <c r="B7327" t="s">
        <v>15486</v>
      </c>
      <c r="C7327" t="s">
        <v>2640</v>
      </c>
      <c r="D7327" s="254">
        <v>31.45</v>
      </c>
      <c r="E7327"/>
      <c r="F7327"/>
      <c r="G7327"/>
      <c r="H7327"/>
      <c r="I7327" s="489"/>
      <c r="J7327" s="1362"/>
      <c r="K7327" s="1362"/>
      <c r="L7327" s="1362"/>
    </row>
    <row r="7328" spans="1:12" x14ac:dyDescent="0.25">
      <c r="A7328" t="s">
        <v>15487</v>
      </c>
      <c r="B7328" t="s">
        <v>15488</v>
      </c>
      <c r="C7328" t="s">
        <v>2640</v>
      </c>
      <c r="D7328" s="254">
        <v>142.49</v>
      </c>
      <c r="E7328"/>
      <c r="F7328"/>
      <c r="G7328"/>
      <c r="H7328"/>
      <c r="I7328" s="489"/>
      <c r="J7328" s="1362"/>
      <c r="K7328" s="1362"/>
      <c r="L7328" s="1362"/>
    </row>
    <row r="7329" spans="1:12" x14ac:dyDescent="0.25">
      <c r="A7329" t="s">
        <v>15489</v>
      </c>
      <c r="B7329" t="s">
        <v>15490</v>
      </c>
      <c r="C7329" t="s">
        <v>2640</v>
      </c>
      <c r="D7329" s="254">
        <v>13.67</v>
      </c>
      <c r="E7329"/>
      <c r="F7329"/>
      <c r="G7329"/>
      <c r="H7329"/>
      <c r="I7329" s="489"/>
      <c r="J7329" s="1362"/>
      <c r="K7329" s="1362"/>
      <c r="L7329" s="1362"/>
    </row>
    <row r="7330" spans="1:12" x14ac:dyDescent="0.25">
      <c r="A7330" t="s">
        <v>15491</v>
      </c>
      <c r="B7330" t="s">
        <v>15492</v>
      </c>
      <c r="C7330" t="s">
        <v>2640</v>
      </c>
      <c r="D7330" s="254">
        <v>81.94</v>
      </c>
      <c r="E7330"/>
      <c r="F7330"/>
      <c r="G7330"/>
      <c r="H7330"/>
      <c r="I7330" s="489"/>
      <c r="J7330" s="1362"/>
      <c r="K7330" s="1362"/>
      <c r="L7330" s="1362"/>
    </row>
    <row r="7331" spans="1:12" x14ac:dyDescent="0.25">
      <c r="A7331" t="s">
        <v>15493</v>
      </c>
      <c r="B7331" t="s">
        <v>15494</v>
      </c>
      <c r="C7331" t="s">
        <v>2640</v>
      </c>
      <c r="D7331" s="254">
        <v>98.18</v>
      </c>
      <c r="E7331"/>
      <c r="F7331"/>
      <c r="G7331"/>
      <c r="H7331"/>
      <c r="I7331" s="489"/>
      <c r="J7331" s="1362"/>
      <c r="K7331" s="1362"/>
      <c r="L7331" s="1362"/>
    </row>
    <row r="7332" spans="1:12" x14ac:dyDescent="0.25">
      <c r="A7332" t="s">
        <v>15495</v>
      </c>
      <c r="B7332" t="s">
        <v>15496</v>
      </c>
      <c r="C7332" t="s">
        <v>2640</v>
      </c>
      <c r="D7332" s="254">
        <v>149.25</v>
      </c>
      <c r="E7332"/>
      <c r="F7332"/>
      <c r="G7332"/>
      <c r="H7332"/>
      <c r="I7332" s="489"/>
      <c r="J7332" s="1362"/>
      <c r="K7332" s="1362"/>
      <c r="L7332" s="1362"/>
    </row>
    <row r="7333" spans="1:12" x14ac:dyDescent="0.25">
      <c r="A7333" t="s">
        <v>15497</v>
      </c>
      <c r="B7333" t="s">
        <v>15498</v>
      </c>
      <c r="C7333" t="s">
        <v>2640</v>
      </c>
      <c r="D7333" s="254">
        <v>65.92</v>
      </c>
      <c r="E7333"/>
      <c r="F7333"/>
      <c r="G7333"/>
      <c r="H7333"/>
      <c r="I7333" s="489"/>
      <c r="J7333" s="1362"/>
      <c r="K7333" s="1362"/>
      <c r="L7333" s="1362"/>
    </row>
    <row r="7334" spans="1:12" x14ac:dyDescent="0.25">
      <c r="A7334" t="s">
        <v>15499</v>
      </c>
      <c r="B7334" t="s">
        <v>15500</v>
      </c>
      <c r="C7334" t="s">
        <v>2640</v>
      </c>
      <c r="D7334" s="254">
        <v>132.04</v>
      </c>
      <c r="E7334"/>
      <c r="F7334"/>
      <c r="G7334"/>
      <c r="H7334"/>
      <c r="I7334" s="489"/>
      <c r="J7334" s="1362"/>
      <c r="K7334" s="1362"/>
      <c r="L7334" s="1362"/>
    </row>
    <row r="7335" spans="1:12" x14ac:dyDescent="0.25">
      <c r="A7335" t="s">
        <v>15501</v>
      </c>
      <c r="B7335" t="s">
        <v>15502</v>
      </c>
      <c r="C7335" t="s">
        <v>2640</v>
      </c>
      <c r="D7335" s="254">
        <v>140.13999999999999</v>
      </c>
      <c r="E7335"/>
      <c r="F7335"/>
      <c r="G7335"/>
      <c r="H7335"/>
      <c r="I7335" s="489"/>
      <c r="J7335" s="1362"/>
      <c r="K7335" s="1362"/>
      <c r="L7335" s="1362"/>
    </row>
    <row r="7336" spans="1:12" x14ac:dyDescent="0.25">
      <c r="A7336" t="s">
        <v>15503</v>
      </c>
      <c r="B7336" t="s">
        <v>15504</v>
      </c>
      <c r="C7336" t="s">
        <v>2640</v>
      </c>
      <c r="D7336" s="254">
        <v>32.020000000000003</v>
      </c>
      <c r="E7336"/>
      <c r="F7336"/>
      <c r="G7336"/>
      <c r="H7336"/>
      <c r="I7336" s="489"/>
      <c r="J7336" s="1362"/>
      <c r="K7336" s="1362"/>
      <c r="L7336" s="1362"/>
    </row>
    <row r="7337" spans="1:12" x14ac:dyDescent="0.25">
      <c r="A7337" t="s">
        <v>15505</v>
      </c>
      <c r="B7337" t="s">
        <v>15506</v>
      </c>
      <c r="C7337" t="s">
        <v>2640</v>
      </c>
      <c r="D7337" s="254">
        <v>125.16</v>
      </c>
      <c r="E7337"/>
      <c r="F7337"/>
      <c r="G7337"/>
      <c r="H7337"/>
      <c r="I7337" s="489"/>
      <c r="J7337" s="1362"/>
      <c r="K7337" s="1362"/>
      <c r="L7337" s="1362"/>
    </row>
    <row r="7338" spans="1:12" x14ac:dyDescent="0.25">
      <c r="A7338" t="s">
        <v>15507</v>
      </c>
      <c r="B7338" t="s">
        <v>15508</v>
      </c>
      <c r="C7338" t="s">
        <v>15509</v>
      </c>
      <c r="D7338" s="254">
        <v>676.91</v>
      </c>
      <c r="E7338"/>
      <c r="F7338"/>
      <c r="G7338"/>
      <c r="H7338"/>
      <c r="I7338" s="489"/>
      <c r="J7338" s="1362"/>
      <c r="K7338" s="1362"/>
      <c r="L7338" s="1362"/>
    </row>
    <row r="7339" spans="1:12" x14ac:dyDescent="0.25">
      <c r="A7339" t="s">
        <v>15510</v>
      </c>
      <c r="B7339" t="s">
        <v>15511</v>
      </c>
      <c r="C7339" t="s">
        <v>15509</v>
      </c>
      <c r="D7339" s="254">
        <v>674.79</v>
      </c>
      <c r="E7339"/>
      <c r="F7339"/>
      <c r="G7339"/>
      <c r="H7339"/>
      <c r="I7339" s="489"/>
      <c r="J7339" s="1362"/>
      <c r="K7339" s="1362"/>
      <c r="L7339" s="1362"/>
    </row>
    <row r="7340" spans="1:12" x14ac:dyDescent="0.25">
      <c r="A7340" t="s">
        <v>15512</v>
      </c>
      <c r="B7340" t="s">
        <v>15513</v>
      </c>
      <c r="C7340" t="s">
        <v>15509</v>
      </c>
      <c r="D7340" s="254">
        <v>983.69</v>
      </c>
      <c r="E7340"/>
      <c r="F7340"/>
      <c r="G7340"/>
      <c r="H7340"/>
      <c r="I7340" s="489"/>
      <c r="J7340" s="1362"/>
      <c r="K7340" s="1362"/>
      <c r="L7340" s="1362"/>
    </row>
    <row r="7341" spans="1:12" x14ac:dyDescent="0.25">
      <c r="A7341" t="s">
        <v>15514</v>
      </c>
      <c r="B7341" t="s">
        <v>15515</v>
      </c>
      <c r="C7341" t="s">
        <v>2640</v>
      </c>
      <c r="D7341" s="254">
        <v>39.159999999999997</v>
      </c>
      <c r="E7341"/>
      <c r="F7341"/>
      <c r="G7341"/>
      <c r="H7341"/>
      <c r="I7341" s="489"/>
      <c r="J7341" s="1362"/>
      <c r="K7341" s="1362"/>
      <c r="L7341" s="1362"/>
    </row>
    <row r="7342" spans="1:12" x14ac:dyDescent="0.25">
      <c r="A7342" t="s">
        <v>15516</v>
      </c>
      <c r="B7342" t="s">
        <v>15517</v>
      </c>
      <c r="C7342" t="s">
        <v>15509</v>
      </c>
      <c r="D7342" s="254">
        <v>738.22</v>
      </c>
      <c r="E7342"/>
      <c r="F7342"/>
      <c r="G7342"/>
      <c r="H7342"/>
      <c r="I7342" s="489"/>
      <c r="J7342" s="1362"/>
      <c r="K7342" s="1362"/>
      <c r="L7342" s="1362"/>
    </row>
    <row r="7343" spans="1:12" x14ac:dyDescent="0.25">
      <c r="A7343" t="s">
        <v>15518</v>
      </c>
      <c r="B7343" t="s">
        <v>15519</v>
      </c>
      <c r="C7343" t="s">
        <v>2640</v>
      </c>
      <c r="D7343" s="254">
        <v>110199.57</v>
      </c>
      <c r="E7343"/>
      <c r="F7343"/>
      <c r="G7343"/>
      <c r="H7343"/>
      <c r="I7343" s="489"/>
      <c r="J7343" s="1362"/>
      <c r="K7343" s="1362"/>
      <c r="L7343" s="1362"/>
    </row>
    <row r="7344" spans="1:12" x14ac:dyDescent="0.25">
      <c r="A7344" t="s">
        <v>15520</v>
      </c>
      <c r="B7344" t="s">
        <v>15521</v>
      </c>
      <c r="C7344" t="s">
        <v>2640</v>
      </c>
      <c r="D7344" s="254">
        <v>120939.64</v>
      </c>
      <c r="E7344"/>
      <c r="F7344"/>
      <c r="G7344"/>
      <c r="H7344"/>
      <c r="I7344" s="489"/>
      <c r="J7344" s="1362"/>
      <c r="K7344" s="1362"/>
      <c r="L7344" s="1362"/>
    </row>
    <row r="7345" spans="1:12" x14ac:dyDescent="0.25">
      <c r="A7345" t="s">
        <v>15522</v>
      </c>
      <c r="B7345" t="s">
        <v>15523</v>
      </c>
      <c r="C7345" t="s">
        <v>2640</v>
      </c>
      <c r="D7345" s="254">
        <v>132753.84</v>
      </c>
      <c r="E7345"/>
      <c r="F7345"/>
      <c r="G7345"/>
      <c r="H7345"/>
      <c r="I7345" s="489"/>
      <c r="J7345" s="1362"/>
      <c r="K7345" s="1362"/>
      <c r="L7345" s="1362"/>
    </row>
    <row r="7346" spans="1:12" x14ac:dyDescent="0.25">
      <c r="A7346" t="s">
        <v>15524</v>
      </c>
      <c r="B7346" t="s">
        <v>15525</v>
      </c>
      <c r="C7346" t="s">
        <v>2640</v>
      </c>
      <c r="D7346" s="254">
        <v>145749.32999999999</v>
      </c>
      <c r="E7346"/>
      <c r="F7346"/>
      <c r="G7346"/>
      <c r="H7346"/>
      <c r="I7346" s="489"/>
      <c r="J7346" s="1362"/>
      <c r="K7346" s="1362"/>
      <c r="L7346" s="1362"/>
    </row>
    <row r="7347" spans="1:12" x14ac:dyDescent="0.25">
      <c r="A7347" t="s">
        <v>15526</v>
      </c>
      <c r="B7347" t="s">
        <v>15527</v>
      </c>
      <c r="C7347" t="s">
        <v>2640</v>
      </c>
      <c r="D7347" s="254">
        <v>138812</v>
      </c>
      <c r="E7347"/>
      <c r="F7347"/>
      <c r="G7347"/>
      <c r="H7347"/>
      <c r="I7347" s="489"/>
      <c r="J7347" s="1362"/>
      <c r="K7347" s="1362"/>
      <c r="L7347" s="1362"/>
    </row>
    <row r="7348" spans="1:12" x14ac:dyDescent="0.25">
      <c r="A7348" t="s">
        <v>15528</v>
      </c>
      <c r="B7348" t="s">
        <v>15529</v>
      </c>
      <c r="C7348" t="s">
        <v>2640</v>
      </c>
      <c r="D7348" s="254">
        <v>152413.32</v>
      </c>
      <c r="E7348"/>
      <c r="F7348"/>
      <c r="G7348"/>
      <c r="H7348"/>
      <c r="I7348" s="489"/>
      <c r="J7348" s="1362"/>
      <c r="K7348" s="1362"/>
      <c r="L7348" s="1362"/>
    </row>
    <row r="7349" spans="1:12" x14ac:dyDescent="0.25">
      <c r="A7349" t="s">
        <v>15530</v>
      </c>
      <c r="B7349" t="s">
        <v>15531</v>
      </c>
      <c r="C7349" t="s">
        <v>2640</v>
      </c>
      <c r="D7349" s="254">
        <v>167374.82</v>
      </c>
      <c r="E7349"/>
      <c r="F7349"/>
      <c r="G7349"/>
      <c r="H7349"/>
      <c r="I7349" s="489"/>
      <c r="J7349" s="1362"/>
      <c r="K7349" s="1362"/>
      <c r="L7349" s="1362"/>
    </row>
    <row r="7350" spans="1:12" x14ac:dyDescent="0.25">
      <c r="A7350" t="s">
        <v>15532</v>
      </c>
      <c r="B7350" t="s">
        <v>15533</v>
      </c>
      <c r="C7350" t="s">
        <v>2640</v>
      </c>
      <c r="D7350" s="254">
        <v>183832.45</v>
      </c>
      <c r="E7350"/>
      <c r="F7350"/>
      <c r="G7350"/>
      <c r="H7350"/>
      <c r="I7350" s="489"/>
      <c r="J7350" s="1362"/>
      <c r="K7350" s="1362"/>
      <c r="L7350" s="1362"/>
    </row>
    <row r="7351" spans="1:12" x14ac:dyDescent="0.25">
      <c r="A7351" t="s">
        <v>15534</v>
      </c>
      <c r="B7351" t="s">
        <v>15535</v>
      </c>
      <c r="C7351" t="s">
        <v>2640</v>
      </c>
      <c r="D7351" s="254">
        <v>221438.48</v>
      </c>
      <c r="E7351"/>
      <c r="F7351"/>
      <c r="G7351"/>
      <c r="H7351"/>
      <c r="I7351" s="489"/>
      <c r="J7351" s="1362"/>
      <c r="K7351" s="1362"/>
      <c r="L7351" s="1362"/>
    </row>
    <row r="7352" spans="1:12" x14ac:dyDescent="0.25">
      <c r="A7352" t="s">
        <v>15536</v>
      </c>
      <c r="B7352" t="s">
        <v>15537</v>
      </c>
      <c r="C7352" t="s">
        <v>2640</v>
      </c>
      <c r="D7352" s="254">
        <v>181291.53</v>
      </c>
      <c r="E7352"/>
      <c r="F7352"/>
      <c r="G7352"/>
      <c r="H7352"/>
      <c r="I7352" s="489"/>
      <c r="J7352" s="1362"/>
      <c r="K7352" s="1362"/>
      <c r="L7352" s="1362"/>
    </row>
    <row r="7353" spans="1:12" x14ac:dyDescent="0.25">
      <c r="A7353" t="s">
        <v>15538</v>
      </c>
      <c r="B7353" t="s">
        <v>15539</v>
      </c>
      <c r="C7353" t="s">
        <v>2640</v>
      </c>
      <c r="D7353" s="254">
        <v>200540.15</v>
      </c>
      <c r="E7353"/>
      <c r="F7353"/>
      <c r="G7353"/>
      <c r="H7353"/>
      <c r="I7353" s="489"/>
      <c r="J7353" s="1362"/>
      <c r="K7353" s="1362"/>
      <c r="L7353" s="1362"/>
    </row>
    <row r="7354" spans="1:12" x14ac:dyDescent="0.25">
      <c r="A7354" t="s">
        <v>15540</v>
      </c>
      <c r="B7354" t="s">
        <v>15541</v>
      </c>
      <c r="C7354" t="s">
        <v>2640</v>
      </c>
      <c r="D7354" s="254">
        <v>220174.35</v>
      </c>
      <c r="E7354"/>
      <c r="F7354"/>
      <c r="G7354"/>
      <c r="H7354"/>
      <c r="I7354" s="489"/>
      <c r="J7354" s="1362"/>
      <c r="K7354" s="1362"/>
      <c r="L7354" s="1362"/>
    </row>
    <row r="7355" spans="1:12" x14ac:dyDescent="0.25">
      <c r="A7355" t="s">
        <v>15542</v>
      </c>
      <c r="B7355" t="s">
        <v>15543</v>
      </c>
      <c r="C7355" t="s">
        <v>2640</v>
      </c>
      <c r="D7355" s="254">
        <v>160298.19</v>
      </c>
      <c r="E7355"/>
      <c r="F7355"/>
      <c r="G7355"/>
      <c r="H7355"/>
      <c r="I7355" s="489"/>
      <c r="J7355" s="1362"/>
      <c r="K7355" s="1362"/>
      <c r="L7355" s="1362"/>
    </row>
    <row r="7356" spans="1:12" x14ac:dyDescent="0.25">
      <c r="A7356" t="s">
        <v>15544</v>
      </c>
      <c r="B7356" t="s">
        <v>15545</v>
      </c>
      <c r="C7356" t="s">
        <v>2640</v>
      </c>
      <c r="D7356" s="254">
        <v>263369.67</v>
      </c>
      <c r="E7356"/>
      <c r="F7356"/>
      <c r="G7356"/>
      <c r="H7356"/>
      <c r="I7356" s="489"/>
      <c r="J7356" s="1362"/>
      <c r="K7356" s="1362"/>
      <c r="L7356" s="1362"/>
    </row>
    <row r="7357" spans="1:12" x14ac:dyDescent="0.25">
      <c r="A7357" t="s">
        <v>15546</v>
      </c>
      <c r="B7357" t="s">
        <v>15547</v>
      </c>
      <c r="C7357" t="s">
        <v>2640</v>
      </c>
      <c r="D7357" s="254">
        <v>126285.83</v>
      </c>
      <c r="E7357"/>
      <c r="F7357"/>
      <c r="G7357"/>
      <c r="H7357"/>
      <c r="I7357" s="489"/>
      <c r="J7357" s="1362"/>
      <c r="K7357" s="1362"/>
      <c r="L7357" s="1362"/>
    </row>
    <row r="7358" spans="1:12" x14ac:dyDescent="0.25">
      <c r="A7358" t="s">
        <v>15548</v>
      </c>
      <c r="B7358" t="s">
        <v>15549</v>
      </c>
      <c r="C7358" t="s">
        <v>2640</v>
      </c>
      <c r="D7358" s="254">
        <v>138634.54</v>
      </c>
      <c r="E7358"/>
      <c r="F7358"/>
      <c r="G7358"/>
      <c r="H7358"/>
      <c r="I7358" s="489"/>
      <c r="J7358" s="1362"/>
      <c r="K7358" s="1362"/>
      <c r="L7358" s="1362"/>
    </row>
    <row r="7359" spans="1:12" x14ac:dyDescent="0.25">
      <c r="A7359" t="s">
        <v>15550</v>
      </c>
      <c r="B7359" t="s">
        <v>15551</v>
      </c>
      <c r="C7359" t="s">
        <v>2640</v>
      </c>
      <c r="D7359" s="254">
        <v>152218.21</v>
      </c>
      <c r="E7359"/>
      <c r="F7359"/>
      <c r="G7359"/>
      <c r="H7359"/>
      <c r="I7359" s="489"/>
      <c r="J7359" s="1362"/>
      <c r="K7359" s="1362"/>
      <c r="L7359" s="1362"/>
    </row>
    <row r="7360" spans="1:12" x14ac:dyDescent="0.25">
      <c r="A7360" t="s">
        <v>15552</v>
      </c>
      <c r="B7360" t="s">
        <v>15553</v>
      </c>
      <c r="C7360" t="s">
        <v>2640</v>
      </c>
      <c r="D7360" s="254">
        <v>167160.15</v>
      </c>
      <c r="E7360"/>
      <c r="F7360"/>
      <c r="G7360"/>
      <c r="H7360"/>
      <c r="I7360" s="489"/>
      <c r="J7360" s="1362"/>
      <c r="K7360" s="1362"/>
      <c r="L7360" s="1362"/>
    </row>
    <row r="7361" spans="1:12" x14ac:dyDescent="0.25">
      <c r="A7361" t="s">
        <v>15554</v>
      </c>
      <c r="B7361" t="s">
        <v>15555</v>
      </c>
      <c r="C7361" t="s">
        <v>2640</v>
      </c>
      <c r="D7361" s="254">
        <v>159199.9</v>
      </c>
      <c r="E7361"/>
      <c r="F7361"/>
      <c r="G7361"/>
      <c r="H7361"/>
      <c r="I7361" s="489"/>
      <c r="J7361" s="1362"/>
      <c r="K7361" s="1362"/>
      <c r="L7361" s="1362"/>
    </row>
    <row r="7362" spans="1:12" x14ac:dyDescent="0.25">
      <c r="A7362" t="s">
        <v>15556</v>
      </c>
      <c r="B7362" t="s">
        <v>15557</v>
      </c>
      <c r="C7362" t="s">
        <v>2640</v>
      </c>
      <c r="D7362" s="254">
        <v>174852.31</v>
      </c>
      <c r="E7362"/>
      <c r="F7362"/>
      <c r="G7362"/>
      <c r="H7362"/>
      <c r="I7362" s="489"/>
      <c r="J7362" s="1362"/>
      <c r="K7362" s="1362"/>
      <c r="L7362" s="1362"/>
    </row>
    <row r="7363" spans="1:12" x14ac:dyDescent="0.25">
      <c r="A7363" t="s">
        <v>15558</v>
      </c>
      <c r="B7363" t="s">
        <v>15559</v>
      </c>
      <c r="C7363" t="s">
        <v>2640</v>
      </c>
      <c r="D7363" s="254">
        <v>192057.69</v>
      </c>
      <c r="E7363"/>
      <c r="F7363"/>
      <c r="G7363"/>
      <c r="H7363"/>
      <c r="I7363" s="489"/>
      <c r="J7363" s="1362"/>
      <c r="K7363" s="1362"/>
      <c r="L7363" s="1362"/>
    </row>
    <row r="7364" spans="1:12" x14ac:dyDescent="0.25">
      <c r="A7364" t="s">
        <v>15560</v>
      </c>
      <c r="B7364" t="s">
        <v>15561</v>
      </c>
      <c r="C7364" t="s">
        <v>2640</v>
      </c>
      <c r="D7364" s="254">
        <v>212382.81</v>
      </c>
      <c r="E7364"/>
      <c r="F7364"/>
      <c r="G7364"/>
      <c r="H7364"/>
      <c r="I7364" s="489"/>
      <c r="J7364" s="1362"/>
      <c r="K7364" s="1362"/>
      <c r="L7364" s="1362"/>
    </row>
    <row r="7365" spans="1:12" x14ac:dyDescent="0.25">
      <c r="A7365" t="s">
        <v>15562</v>
      </c>
      <c r="B7365" t="s">
        <v>15563</v>
      </c>
      <c r="C7365" t="s">
        <v>2640</v>
      </c>
      <c r="D7365" s="254">
        <v>254019.83</v>
      </c>
      <c r="E7365"/>
      <c r="F7365"/>
      <c r="G7365"/>
      <c r="H7365"/>
      <c r="I7365" s="489"/>
      <c r="J7365" s="1362"/>
      <c r="K7365" s="1362"/>
      <c r="L7365" s="1362"/>
    </row>
    <row r="7366" spans="1:12" x14ac:dyDescent="0.25">
      <c r="A7366" t="s">
        <v>15564</v>
      </c>
      <c r="B7366" t="s">
        <v>15565</v>
      </c>
      <c r="C7366" t="s">
        <v>2640</v>
      </c>
      <c r="D7366" s="254">
        <v>209466.39</v>
      </c>
      <c r="E7366"/>
      <c r="F7366"/>
      <c r="G7366"/>
      <c r="H7366"/>
      <c r="I7366" s="489"/>
      <c r="J7366" s="1362"/>
      <c r="K7366" s="1362"/>
      <c r="L7366" s="1362"/>
    </row>
    <row r="7367" spans="1:12" x14ac:dyDescent="0.25">
      <c r="A7367" t="s">
        <v>15566</v>
      </c>
      <c r="B7367" t="s">
        <v>15567</v>
      </c>
      <c r="C7367" t="s">
        <v>2640</v>
      </c>
      <c r="D7367" s="254">
        <v>229993.27</v>
      </c>
      <c r="E7367"/>
      <c r="F7367"/>
      <c r="G7367"/>
      <c r="H7367"/>
      <c r="I7367" s="489"/>
      <c r="J7367" s="1362"/>
      <c r="K7367" s="1362"/>
      <c r="L7367" s="1362"/>
    </row>
    <row r="7368" spans="1:12" x14ac:dyDescent="0.25">
      <c r="A7368" t="s">
        <v>15568</v>
      </c>
      <c r="B7368" t="s">
        <v>15569</v>
      </c>
      <c r="C7368" t="s">
        <v>2640</v>
      </c>
      <c r="D7368" s="254">
        <v>252572.83</v>
      </c>
      <c r="E7368"/>
      <c r="F7368"/>
      <c r="G7368"/>
      <c r="H7368"/>
      <c r="I7368" s="489"/>
      <c r="J7368" s="1362"/>
      <c r="K7368" s="1362"/>
      <c r="L7368" s="1362"/>
    </row>
    <row r="7369" spans="1:12" x14ac:dyDescent="0.25">
      <c r="A7369" t="s">
        <v>15570</v>
      </c>
      <c r="B7369" t="s">
        <v>15571</v>
      </c>
      <c r="C7369" t="s">
        <v>2640</v>
      </c>
      <c r="D7369" s="254">
        <v>183913.31</v>
      </c>
      <c r="E7369"/>
      <c r="F7369"/>
      <c r="G7369"/>
      <c r="H7369"/>
      <c r="I7369" s="489"/>
      <c r="J7369" s="1362"/>
      <c r="K7369" s="1362"/>
      <c r="L7369" s="1362"/>
    </row>
    <row r="7370" spans="1:12" x14ac:dyDescent="0.25">
      <c r="A7370" t="s">
        <v>15572</v>
      </c>
      <c r="B7370" t="s">
        <v>15573</v>
      </c>
      <c r="C7370" t="s">
        <v>2640</v>
      </c>
      <c r="D7370" s="254">
        <v>306445.57</v>
      </c>
      <c r="E7370"/>
      <c r="F7370"/>
      <c r="G7370"/>
      <c r="H7370"/>
      <c r="I7370" s="489"/>
      <c r="J7370" s="1362"/>
      <c r="K7370" s="1362"/>
      <c r="L7370" s="1362"/>
    </row>
    <row r="7371" spans="1:12" x14ac:dyDescent="0.25">
      <c r="A7371" t="s">
        <v>15574</v>
      </c>
      <c r="B7371" t="s">
        <v>15575</v>
      </c>
      <c r="C7371" t="s">
        <v>2640</v>
      </c>
      <c r="D7371" s="254">
        <v>150937.93</v>
      </c>
      <c r="E7371"/>
      <c r="F7371"/>
      <c r="G7371"/>
      <c r="H7371"/>
      <c r="I7371" s="489"/>
      <c r="J7371" s="1362"/>
      <c r="K7371" s="1362"/>
      <c r="L7371" s="1362"/>
    </row>
    <row r="7372" spans="1:12" x14ac:dyDescent="0.25">
      <c r="A7372" t="s">
        <v>15576</v>
      </c>
      <c r="B7372" t="s">
        <v>15577</v>
      </c>
      <c r="C7372" t="s">
        <v>2640</v>
      </c>
      <c r="D7372" s="254">
        <v>165751.87</v>
      </c>
      <c r="E7372"/>
      <c r="F7372"/>
      <c r="G7372"/>
      <c r="H7372"/>
      <c r="I7372" s="489"/>
      <c r="J7372" s="1362"/>
      <c r="K7372" s="1362"/>
      <c r="L7372" s="1362"/>
    </row>
    <row r="7373" spans="1:12" x14ac:dyDescent="0.25">
      <c r="A7373" t="s">
        <v>15578</v>
      </c>
      <c r="B7373" t="s">
        <v>15579</v>
      </c>
      <c r="C7373" t="s">
        <v>2640</v>
      </c>
      <c r="D7373" s="254">
        <v>182047.23</v>
      </c>
      <c r="E7373"/>
      <c r="F7373"/>
      <c r="G7373"/>
      <c r="H7373"/>
      <c r="I7373" s="489"/>
      <c r="J7373" s="1362"/>
      <c r="K7373" s="1362"/>
      <c r="L7373" s="1362"/>
    </row>
    <row r="7374" spans="1:12" x14ac:dyDescent="0.25">
      <c r="A7374" t="s">
        <v>15580</v>
      </c>
      <c r="B7374" t="s">
        <v>15581</v>
      </c>
      <c r="C7374" t="s">
        <v>2640</v>
      </c>
      <c r="D7374" s="254">
        <v>201371.3</v>
      </c>
      <c r="E7374"/>
      <c r="F7374"/>
      <c r="G7374"/>
      <c r="H7374"/>
      <c r="I7374" s="489"/>
      <c r="J7374" s="1362"/>
      <c r="K7374" s="1362"/>
      <c r="L7374" s="1362"/>
    </row>
    <row r="7375" spans="1:12" x14ac:dyDescent="0.25">
      <c r="A7375" t="s">
        <v>15582</v>
      </c>
      <c r="B7375" t="s">
        <v>15583</v>
      </c>
      <c r="C7375" t="s">
        <v>2640</v>
      </c>
      <c r="D7375" s="254">
        <v>190511.47</v>
      </c>
      <c r="E7375"/>
      <c r="F7375"/>
      <c r="G7375"/>
      <c r="H7375"/>
      <c r="I7375" s="489"/>
      <c r="J7375" s="1362"/>
      <c r="K7375" s="1362"/>
      <c r="L7375" s="1362"/>
    </row>
    <row r="7376" spans="1:12" x14ac:dyDescent="0.25">
      <c r="A7376" t="s">
        <v>15584</v>
      </c>
      <c r="B7376" t="s">
        <v>15585</v>
      </c>
      <c r="C7376" t="s">
        <v>2640</v>
      </c>
      <c r="D7376" s="254">
        <v>210681.95</v>
      </c>
      <c r="E7376"/>
      <c r="F7376"/>
      <c r="G7376"/>
      <c r="H7376"/>
      <c r="I7376" s="489"/>
      <c r="J7376" s="1362"/>
      <c r="K7376" s="1362"/>
      <c r="L7376" s="1362"/>
    </row>
    <row r="7377" spans="1:12" x14ac:dyDescent="0.25">
      <c r="A7377" t="s">
        <v>15586</v>
      </c>
      <c r="B7377" t="s">
        <v>15587</v>
      </c>
      <c r="C7377" t="s">
        <v>2640</v>
      </c>
      <c r="D7377" s="254">
        <v>231330.4</v>
      </c>
      <c r="E7377"/>
      <c r="F7377"/>
      <c r="G7377"/>
      <c r="H7377"/>
      <c r="I7377" s="489"/>
      <c r="J7377" s="1362"/>
      <c r="K7377" s="1362"/>
      <c r="L7377" s="1362"/>
    </row>
    <row r="7378" spans="1:12" x14ac:dyDescent="0.25">
      <c r="A7378" t="s">
        <v>15588</v>
      </c>
      <c r="B7378" t="s">
        <v>15589</v>
      </c>
      <c r="C7378" t="s">
        <v>2640</v>
      </c>
      <c r="D7378" s="254">
        <v>254043.68</v>
      </c>
      <c r="E7378"/>
      <c r="F7378"/>
      <c r="G7378"/>
      <c r="H7378"/>
      <c r="I7378" s="489"/>
      <c r="J7378" s="1362"/>
      <c r="K7378" s="1362"/>
      <c r="L7378" s="1362"/>
    </row>
    <row r="7379" spans="1:12" x14ac:dyDescent="0.25">
      <c r="A7379" t="s">
        <v>15590</v>
      </c>
      <c r="B7379" t="s">
        <v>15591</v>
      </c>
      <c r="C7379" t="s">
        <v>2640</v>
      </c>
      <c r="D7379" s="254">
        <v>308210.59000000003</v>
      </c>
      <c r="E7379"/>
      <c r="F7379"/>
      <c r="G7379"/>
      <c r="H7379"/>
      <c r="I7379" s="489"/>
      <c r="J7379" s="1362"/>
      <c r="K7379" s="1362"/>
      <c r="L7379" s="1362"/>
    </row>
    <row r="7380" spans="1:12" x14ac:dyDescent="0.25">
      <c r="A7380" t="s">
        <v>15592</v>
      </c>
      <c r="B7380" t="s">
        <v>15593</v>
      </c>
      <c r="C7380" t="s">
        <v>2640</v>
      </c>
      <c r="D7380" s="254">
        <v>250533.27</v>
      </c>
      <c r="E7380"/>
      <c r="F7380"/>
      <c r="G7380"/>
      <c r="H7380"/>
      <c r="I7380" s="489"/>
      <c r="J7380" s="1362"/>
      <c r="K7380" s="1362"/>
      <c r="L7380" s="1362"/>
    </row>
    <row r="7381" spans="1:12" x14ac:dyDescent="0.25">
      <c r="A7381" t="s">
        <v>15594</v>
      </c>
      <c r="B7381" t="s">
        <v>15595</v>
      </c>
      <c r="C7381" t="s">
        <v>2640</v>
      </c>
      <c r="D7381" s="254">
        <v>275166.84999999998</v>
      </c>
      <c r="E7381"/>
      <c r="F7381"/>
      <c r="G7381"/>
      <c r="H7381"/>
      <c r="I7381" s="489"/>
      <c r="J7381" s="1362"/>
      <c r="K7381" s="1362"/>
      <c r="L7381" s="1362"/>
    </row>
    <row r="7382" spans="1:12" x14ac:dyDescent="0.25">
      <c r="A7382" t="s">
        <v>15596</v>
      </c>
      <c r="B7382" t="s">
        <v>15597</v>
      </c>
      <c r="C7382" t="s">
        <v>2640</v>
      </c>
      <c r="D7382" s="254">
        <v>306461.46999999997</v>
      </c>
      <c r="E7382"/>
      <c r="F7382"/>
      <c r="G7382"/>
      <c r="H7382"/>
      <c r="I7382" s="489"/>
      <c r="J7382" s="1362"/>
      <c r="K7382" s="1362"/>
      <c r="L7382" s="1362"/>
    </row>
    <row r="7383" spans="1:12" x14ac:dyDescent="0.25">
      <c r="A7383" t="s">
        <v>15598</v>
      </c>
      <c r="B7383" t="s">
        <v>15599</v>
      </c>
      <c r="C7383" t="s">
        <v>2598</v>
      </c>
      <c r="D7383" s="254">
        <v>261.55</v>
      </c>
      <c r="E7383"/>
      <c r="F7383"/>
      <c r="G7383"/>
      <c r="H7383"/>
      <c r="I7383" s="489"/>
      <c r="J7383" s="1362"/>
      <c r="K7383" s="1362"/>
      <c r="L7383" s="1362"/>
    </row>
    <row r="7384" spans="1:12" x14ac:dyDescent="0.25">
      <c r="A7384" t="s">
        <v>15600</v>
      </c>
      <c r="B7384" t="s">
        <v>15601</v>
      </c>
      <c r="C7384" t="s">
        <v>2640</v>
      </c>
      <c r="D7384" s="254">
        <v>366074.68</v>
      </c>
      <c r="E7384"/>
      <c r="F7384"/>
      <c r="G7384"/>
      <c r="H7384"/>
      <c r="I7384" s="489"/>
      <c r="J7384" s="1362"/>
      <c r="K7384" s="1362"/>
      <c r="L7384" s="1362"/>
    </row>
    <row r="7385" spans="1:12" x14ac:dyDescent="0.25">
      <c r="A7385" t="s">
        <v>15602</v>
      </c>
      <c r="B7385" t="s">
        <v>15603</v>
      </c>
      <c r="C7385" t="s">
        <v>2640</v>
      </c>
      <c r="D7385" s="254">
        <v>298</v>
      </c>
      <c r="E7385"/>
      <c r="F7385"/>
      <c r="G7385"/>
      <c r="H7385"/>
      <c r="I7385" s="489"/>
      <c r="J7385" s="1362"/>
      <c r="K7385" s="1362"/>
      <c r="L7385" s="1362"/>
    </row>
    <row r="7386" spans="1:12" x14ac:dyDescent="0.25">
      <c r="A7386" t="s">
        <v>15604</v>
      </c>
      <c r="B7386" t="s">
        <v>15605</v>
      </c>
      <c r="C7386" t="s">
        <v>2640</v>
      </c>
      <c r="D7386" s="254">
        <v>204.6</v>
      </c>
      <c r="E7386"/>
      <c r="F7386"/>
      <c r="G7386"/>
      <c r="H7386"/>
      <c r="I7386" s="489"/>
      <c r="J7386" s="1362"/>
      <c r="K7386" s="1362"/>
      <c r="L7386" s="1362"/>
    </row>
    <row r="7387" spans="1:12" x14ac:dyDescent="0.25">
      <c r="A7387" t="s">
        <v>15606</v>
      </c>
      <c r="B7387" t="s">
        <v>15607</v>
      </c>
      <c r="C7387" t="s">
        <v>2598</v>
      </c>
      <c r="D7387" s="254">
        <v>506.87</v>
      </c>
      <c r="E7387"/>
      <c r="F7387"/>
      <c r="G7387"/>
      <c r="H7387"/>
      <c r="I7387" s="489"/>
      <c r="J7387" s="1362"/>
      <c r="K7387" s="1362"/>
      <c r="L7387" s="1362"/>
    </row>
    <row r="7388" spans="1:12" x14ac:dyDescent="0.25">
      <c r="A7388" t="s">
        <v>15608</v>
      </c>
      <c r="B7388" t="s">
        <v>15609</v>
      </c>
      <c r="C7388" t="s">
        <v>2598</v>
      </c>
      <c r="D7388" s="254">
        <v>411.7</v>
      </c>
      <c r="E7388"/>
      <c r="F7388"/>
      <c r="G7388"/>
      <c r="H7388"/>
      <c r="I7388" s="489"/>
      <c r="J7388" s="1362"/>
      <c r="K7388" s="1362"/>
      <c r="L7388" s="1362"/>
    </row>
    <row r="7389" spans="1:12" x14ac:dyDescent="0.25">
      <c r="A7389" t="s">
        <v>15610</v>
      </c>
      <c r="B7389" t="s">
        <v>15611</v>
      </c>
      <c r="C7389" t="s">
        <v>2640</v>
      </c>
      <c r="D7389" s="254">
        <v>176048.15</v>
      </c>
      <c r="E7389"/>
      <c r="F7389"/>
      <c r="G7389"/>
      <c r="H7389"/>
      <c r="I7389" s="489"/>
      <c r="J7389" s="1362"/>
      <c r="K7389" s="1362"/>
      <c r="L7389" s="1362"/>
    </row>
    <row r="7390" spans="1:12" x14ac:dyDescent="0.25">
      <c r="A7390" t="s">
        <v>15612</v>
      </c>
      <c r="B7390" t="s">
        <v>15613</v>
      </c>
      <c r="C7390" t="s">
        <v>2640</v>
      </c>
      <c r="D7390" s="254">
        <v>193373.11</v>
      </c>
      <c r="E7390"/>
      <c r="F7390"/>
      <c r="G7390"/>
      <c r="H7390"/>
      <c r="I7390" s="489"/>
      <c r="J7390" s="1362"/>
      <c r="K7390" s="1362"/>
      <c r="L7390" s="1362"/>
    </row>
    <row r="7391" spans="1:12" x14ac:dyDescent="0.25">
      <c r="A7391" t="s">
        <v>15614</v>
      </c>
      <c r="B7391" t="s">
        <v>15615</v>
      </c>
      <c r="C7391" t="s">
        <v>2640</v>
      </c>
      <c r="D7391" s="254">
        <v>232887.27</v>
      </c>
      <c r="E7391"/>
      <c r="F7391"/>
      <c r="G7391"/>
      <c r="H7391"/>
      <c r="I7391" s="489"/>
      <c r="J7391" s="1362"/>
      <c r="K7391" s="1362"/>
      <c r="L7391" s="1362"/>
    </row>
    <row r="7392" spans="1:12" x14ac:dyDescent="0.25">
      <c r="A7392" t="s">
        <v>15616</v>
      </c>
      <c r="B7392" t="s">
        <v>15617</v>
      </c>
      <c r="C7392" t="s">
        <v>2640</v>
      </c>
      <c r="D7392" s="254">
        <v>221556.47</v>
      </c>
      <c r="E7392"/>
      <c r="F7392"/>
      <c r="G7392"/>
      <c r="H7392"/>
      <c r="I7392" s="489"/>
      <c r="J7392" s="1362"/>
      <c r="K7392" s="1362"/>
      <c r="L7392" s="1362"/>
    </row>
    <row r="7393" spans="1:12" x14ac:dyDescent="0.25">
      <c r="A7393" t="s">
        <v>15618</v>
      </c>
      <c r="B7393" t="s">
        <v>15619</v>
      </c>
      <c r="C7393" t="s">
        <v>2640</v>
      </c>
      <c r="D7393" s="254">
        <v>243292.39</v>
      </c>
      <c r="E7393"/>
      <c r="F7393"/>
      <c r="G7393"/>
      <c r="H7393"/>
      <c r="I7393" s="489"/>
      <c r="J7393" s="1362"/>
      <c r="K7393" s="1362"/>
      <c r="L7393" s="1362"/>
    </row>
    <row r="7394" spans="1:12" x14ac:dyDescent="0.25">
      <c r="A7394" t="s">
        <v>15620</v>
      </c>
      <c r="B7394" t="s">
        <v>15621</v>
      </c>
      <c r="C7394" t="s">
        <v>2640</v>
      </c>
      <c r="D7394" s="254">
        <v>267201.84000000003</v>
      </c>
      <c r="E7394"/>
      <c r="F7394"/>
      <c r="G7394"/>
      <c r="H7394"/>
      <c r="I7394" s="489"/>
      <c r="J7394" s="1362"/>
      <c r="K7394" s="1362"/>
      <c r="L7394" s="1362"/>
    </row>
    <row r="7395" spans="1:12" x14ac:dyDescent="0.25">
      <c r="A7395" t="s">
        <v>15622</v>
      </c>
      <c r="B7395" t="s">
        <v>15623</v>
      </c>
      <c r="C7395" t="s">
        <v>2640</v>
      </c>
      <c r="D7395" s="254">
        <v>324000.38</v>
      </c>
      <c r="E7395"/>
      <c r="F7395"/>
      <c r="G7395"/>
      <c r="H7395"/>
      <c r="I7395" s="489"/>
      <c r="J7395" s="1362"/>
      <c r="K7395" s="1362"/>
      <c r="L7395" s="1362"/>
    </row>
    <row r="7396" spans="1:12" x14ac:dyDescent="0.25">
      <c r="A7396" t="s">
        <v>15624</v>
      </c>
      <c r="B7396" t="s">
        <v>15625</v>
      </c>
      <c r="C7396" t="s">
        <v>2640</v>
      </c>
      <c r="D7396" s="254">
        <v>492.79</v>
      </c>
      <c r="E7396"/>
      <c r="F7396"/>
      <c r="G7396"/>
      <c r="H7396"/>
      <c r="I7396" s="489"/>
      <c r="J7396" s="1362"/>
      <c r="K7396" s="1362"/>
      <c r="L7396" s="1362"/>
    </row>
    <row r="7397" spans="1:12" x14ac:dyDescent="0.25">
      <c r="A7397" t="s">
        <v>15626</v>
      </c>
      <c r="B7397" t="s">
        <v>15627</v>
      </c>
      <c r="C7397" t="s">
        <v>2640</v>
      </c>
      <c r="D7397" s="254">
        <v>1590.94</v>
      </c>
      <c r="E7397"/>
      <c r="F7397"/>
      <c r="G7397"/>
      <c r="H7397"/>
      <c r="I7397" s="489"/>
      <c r="J7397" s="1362"/>
      <c r="K7397" s="1362"/>
      <c r="L7397" s="1362"/>
    </row>
    <row r="7398" spans="1:12" x14ac:dyDescent="0.25">
      <c r="A7398" t="s">
        <v>15628</v>
      </c>
      <c r="B7398" t="s">
        <v>15629</v>
      </c>
      <c r="C7398" t="s">
        <v>2640</v>
      </c>
      <c r="D7398" s="254">
        <v>388.92</v>
      </c>
      <c r="E7398"/>
      <c r="F7398"/>
      <c r="G7398"/>
      <c r="H7398"/>
      <c r="I7398" s="489"/>
      <c r="J7398" s="1362"/>
      <c r="K7398" s="1362"/>
      <c r="L7398" s="1362"/>
    </row>
    <row r="7399" spans="1:12" x14ac:dyDescent="0.25">
      <c r="A7399" t="s">
        <v>15630</v>
      </c>
      <c r="B7399" t="s">
        <v>15631</v>
      </c>
      <c r="C7399" t="s">
        <v>2640</v>
      </c>
      <c r="D7399" s="254">
        <v>203423.97</v>
      </c>
      <c r="E7399"/>
      <c r="F7399"/>
      <c r="G7399"/>
      <c r="H7399"/>
      <c r="I7399" s="489"/>
      <c r="J7399" s="1362"/>
      <c r="K7399" s="1362"/>
      <c r="L7399" s="1362"/>
    </row>
    <row r="7400" spans="1:12" x14ac:dyDescent="0.25">
      <c r="A7400" t="s">
        <v>15632</v>
      </c>
      <c r="B7400" t="s">
        <v>15633</v>
      </c>
      <c r="C7400" t="s">
        <v>2640</v>
      </c>
      <c r="D7400" s="254">
        <v>223346.62</v>
      </c>
      <c r="E7400"/>
      <c r="F7400"/>
      <c r="G7400"/>
      <c r="H7400"/>
      <c r="I7400" s="489"/>
      <c r="J7400" s="1362"/>
      <c r="K7400" s="1362"/>
      <c r="L7400" s="1362"/>
    </row>
    <row r="7401" spans="1:12" x14ac:dyDescent="0.25">
      <c r="A7401" t="s">
        <v>15634</v>
      </c>
      <c r="B7401" t="s">
        <v>15635</v>
      </c>
      <c r="C7401" t="s">
        <v>2640</v>
      </c>
      <c r="D7401" s="254">
        <v>267176.39</v>
      </c>
      <c r="E7401"/>
      <c r="F7401"/>
      <c r="G7401"/>
      <c r="H7401"/>
      <c r="I7401" s="489"/>
      <c r="J7401" s="1362"/>
      <c r="K7401" s="1362"/>
      <c r="L7401" s="1362"/>
    </row>
    <row r="7402" spans="1:12" x14ac:dyDescent="0.25">
      <c r="A7402" t="s">
        <v>15636</v>
      </c>
      <c r="B7402" t="s">
        <v>15637</v>
      </c>
      <c r="C7402" t="s">
        <v>2598</v>
      </c>
      <c r="D7402" s="254">
        <v>579.16999999999996</v>
      </c>
      <c r="E7402"/>
      <c r="F7402"/>
      <c r="G7402"/>
      <c r="H7402"/>
      <c r="I7402" s="489"/>
      <c r="J7402" s="1362"/>
      <c r="K7402" s="1362"/>
      <c r="L7402" s="1362"/>
    </row>
    <row r="7403" spans="1:12" x14ac:dyDescent="0.25">
      <c r="A7403" t="s">
        <v>15638</v>
      </c>
      <c r="B7403" t="s">
        <v>15639</v>
      </c>
      <c r="C7403" t="s">
        <v>2598</v>
      </c>
      <c r="D7403" s="254">
        <v>1231.47</v>
      </c>
      <c r="E7403"/>
      <c r="F7403"/>
      <c r="G7403"/>
      <c r="H7403"/>
      <c r="I7403" s="489"/>
      <c r="J7403" s="1362"/>
      <c r="K7403" s="1362"/>
      <c r="L7403" s="1362"/>
    </row>
    <row r="7404" spans="1:12" x14ac:dyDescent="0.25">
      <c r="A7404" t="s">
        <v>15640</v>
      </c>
      <c r="B7404" t="s">
        <v>15641</v>
      </c>
      <c r="C7404" t="s">
        <v>2598</v>
      </c>
      <c r="D7404" s="254">
        <v>1867.06</v>
      </c>
      <c r="E7404"/>
      <c r="F7404"/>
      <c r="G7404"/>
      <c r="H7404"/>
      <c r="I7404" s="489"/>
      <c r="J7404" s="1362"/>
      <c r="K7404" s="1362"/>
      <c r="L7404" s="1362"/>
    </row>
    <row r="7405" spans="1:12" x14ac:dyDescent="0.25">
      <c r="A7405" t="s">
        <v>15642</v>
      </c>
      <c r="B7405" t="s">
        <v>15643</v>
      </c>
      <c r="C7405" t="s">
        <v>2598</v>
      </c>
      <c r="D7405" s="254">
        <v>2305.13</v>
      </c>
      <c r="E7405"/>
      <c r="F7405"/>
      <c r="G7405"/>
      <c r="H7405"/>
      <c r="I7405" s="489"/>
      <c r="J7405" s="1362"/>
      <c r="K7405" s="1362"/>
      <c r="L7405" s="1362"/>
    </row>
    <row r="7406" spans="1:12" x14ac:dyDescent="0.25">
      <c r="A7406" t="s">
        <v>15644</v>
      </c>
      <c r="B7406" t="s">
        <v>15645</v>
      </c>
      <c r="C7406" t="s">
        <v>2598</v>
      </c>
      <c r="D7406" s="254">
        <v>2657.1</v>
      </c>
      <c r="E7406"/>
      <c r="F7406"/>
      <c r="G7406"/>
      <c r="H7406"/>
      <c r="I7406" s="489"/>
      <c r="J7406" s="1362"/>
      <c r="K7406" s="1362"/>
      <c r="L7406" s="1362"/>
    </row>
    <row r="7407" spans="1:12" x14ac:dyDescent="0.25">
      <c r="A7407" t="s">
        <v>15646</v>
      </c>
      <c r="B7407" t="s">
        <v>15647</v>
      </c>
      <c r="C7407" t="s">
        <v>2598</v>
      </c>
      <c r="D7407" s="254">
        <v>2892.14</v>
      </c>
      <c r="E7407"/>
      <c r="F7407"/>
      <c r="G7407"/>
      <c r="H7407"/>
      <c r="I7407" s="489"/>
      <c r="J7407" s="1362"/>
      <c r="K7407" s="1362"/>
      <c r="L7407" s="1362"/>
    </row>
    <row r="7408" spans="1:12" x14ac:dyDescent="0.25">
      <c r="A7408" t="s">
        <v>15648</v>
      </c>
      <c r="B7408" t="s">
        <v>15649</v>
      </c>
      <c r="C7408" t="s">
        <v>2640</v>
      </c>
      <c r="D7408" s="254">
        <v>42.81</v>
      </c>
      <c r="E7408"/>
      <c r="F7408"/>
      <c r="G7408"/>
      <c r="H7408"/>
      <c r="I7408" s="489"/>
      <c r="J7408" s="1362"/>
      <c r="K7408" s="1362"/>
      <c r="L7408" s="1362"/>
    </row>
    <row r="7409" spans="1:12" x14ac:dyDescent="0.25">
      <c r="A7409" t="s">
        <v>15650</v>
      </c>
      <c r="B7409" t="s">
        <v>15651</v>
      </c>
      <c r="C7409" t="s">
        <v>2640</v>
      </c>
      <c r="D7409" s="254">
        <v>61.98</v>
      </c>
      <c r="E7409"/>
      <c r="F7409"/>
      <c r="G7409"/>
      <c r="H7409"/>
      <c r="I7409" s="489"/>
      <c r="J7409" s="1362"/>
      <c r="K7409" s="1362"/>
      <c r="L7409" s="1362"/>
    </row>
    <row r="7410" spans="1:12" x14ac:dyDescent="0.25">
      <c r="A7410" t="s">
        <v>15652</v>
      </c>
      <c r="B7410" t="s">
        <v>15653</v>
      </c>
      <c r="C7410" t="s">
        <v>2640</v>
      </c>
      <c r="D7410" s="254">
        <v>66.28</v>
      </c>
      <c r="E7410"/>
      <c r="F7410"/>
      <c r="G7410"/>
      <c r="H7410"/>
      <c r="I7410" s="489"/>
      <c r="J7410" s="1362"/>
      <c r="K7410" s="1362"/>
      <c r="L7410" s="1362"/>
    </row>
    <row r="7411" spans="1:12" x14ac:dyDescent="0.25">
      <c r="A7411" t="s">
        <v>15654</v>
      </c>
      <c r="B7411" t="s">
        <v>15655</v>
      </c>
      <c r="C7411" t="s">
        <v>2640</v>
      </c>
      <c r="D7411" s="254">
        <v>76.03</v>
      </c>
      <c r="E7411"/>
      <c r="F7411"/>
      <c r="G7411"/>
      <c r="H7411"/>
      <c r="I7411" s="489"/>
      <c r="J7411" s="1362"/>
      <c r="K7411" s="1362"/>
      <c r="L7411" s="1362"/>
    </row>
    <row r="7412" spans="1:12" x14ac:dyDescent="0.25">
      <c r="A7412" t="s">
        <v>15656</v>
      </c>
      <c r="B7412" t="s">
        <v>15657</v>
      </c>
      <c r="C7412" t="s">
        <v>2640</v>
      </c>
      <c r="D7412" s="254">
        <v>83.82</v>
      </c>
      <c r="E7412"/>
      <c r="F7412"/>
      <c r="G7412"/>
      <c r="H7412"/>
      <c r="I7412" s="489"/>
      <c r="J7412" s="1362"/>
      <c r="K7412" s="1362"/>
      <c r="L7412" s="1362"/>
    </row>
    <row r="7413" spans="1:12" x14ac:dyDescent="0.25">
      <c r="A7413" t="s">
        <v>15658</v>
      </c>
      <c r="B7413" t="s">
        <v>15659</v>
      </c>
      <c r="C7413" t="s">
        <v>2640</v>
      </c>
      <c r="D7413" s="254">
        <v>85.82</v>
      </c>
      <c r="E7413"/>
      <c r="F7413"/>
      <c r="G7413"/>
      <c r="H7413"/>
      <c r="I7413" s="489"/>
      <c r="J7413" s="1362"/>
      <c r="K7413" s="1362"/>
      <c r="L7413" s="1362"/>
    </row>
    <row r="7414" spans="1:12" x14ac:dyDescent="0.25">
      <c r="A7414" t="s">
        <v>15660</v>
      </c>
      <c r="B7414" t="s">
        <v>15661</v>
      </c>
      <c r="C7414" t="s">
        <v>2640</v>
      </c>
      <c r="D7414" s="254">
        <v>86.53</v>
      </c>
      <c r="E7414"/>
      <c r="F7414"/>
      <c r="G7414"/>
      <c r="H7414"/>
      <c r="I7414" s="489"/>
      <c r="J7414" s="1362"/>
      <c r="K7414" s="1362"/>
      <c r="L7414" s="1362"/>
    </row>
    <row r="7415" spans="1:12" x14ac:dyDescent="0.25">
      <c r="A7415" t="s">
        <v>15662</v>
      </c>
      <c r="B7415" t="s">
        <v>15663</v>
      </c>
      <c r="C7415" t="s">
        <v>2640</v>
      </c>
      <c r="D7415" s="254">
        <v>100.31</v>
      </c>
      <c r="E7415"/>
      <c r="F7415"/>
      <c r="G7415"/>
      <c r="H7415"/>
      <c r="I7415" s="489"/>
      <c r="J7415" s="1362"/>
      <c r="K7415" s="1362"/>
      <c r="L7415" s="1362"/>
    </row>
    <row r="7416" spans="1:12" x14ac:dyDescent="0.25">
      <c r="A7416" t="s">
        <v>15664</v>
      </c>
      <c r="B7416" t="s">
        <v>15665</v>
      </c>
      <c r="C7416" t="s">
        <v>2640</v>
      </c>
      <c r="D7416" s="254">
        <v>126.43</v>
      </c>
      <c r="E7416"/>
      <c r="F7416"/>
      <c r="G7416"/>
      <c r="H7416"/>
      <c r="I7416" s="489"/>
      <c r="J7416" s="1362"/>
      <c r="K7416" s="1362"/>
      <c r="L7416" s="1362"/>
    </row>
    <row r="7417" spans="1:12" x14ac:dyDescent="0.25">
      <c r="A7417" t="s">
        <v>15666</v>
      </c>
      <c r="B7417" t="s">
        <v>15667</v>
      </c>
      <c r="C7417" t="s">
        <v>2640</v>
      </c>
      <c r="D7417" s="254">
        <v>619.38</v>
      </c>
      <c r="E7417"/>
      <c r="F7417"/>
      <c r="G7417"/>
      <c r="H7417"/>
      <c r="I7417" s="489"/>
      <c r="J7417" s="1362"/>
      <c r="K7417" s="1362"/>
      <c r="L7417" s="1362"/>
    </row>
    <row r="7418" spans="1:12" x14ac:dyDescent="0.25">
      <c r="A7418" t="s">
        <v>15668</v>
      </c>
      <c r="B7418" t="s">
        <v>15669</v>
      </c>
      <c r="C7418" t="s">
        <v>2640</v>
      </c>
      <c r="D7418" s="254">
        <v>1298.46</v>
      </c>
      <c r="E7418"/>
      <c r="F7418"/>
      <c r="G7418"/>
      <c r="H7418"/>
      <c r="I7418" s="489"/>
      <c r="J7418" s="1362"/>
      <c r="K7418" s="1362"/>
      <c r="L7418" s="1362"/>
    </row>
    <row r="7419" spans="1:12" x14ac:dyDescent="0.25">
      <c r="A7419" t="s">
        <v>15670</v>
      </c>
      <c r="B7419" t="s">
        <v>15671</v>
      </c>
      <c r="C7419" t="s">
        <v>2640</v>
      </c>
      <c r="D7419" s="254">
        <v>1299.26</v>
      </c>
      <c r="E7419"/>
      <c r="F7419"/>
      <c r="G7419"/>
      <c r="H7419"/>
      <c r="I7419" s="489"/>
      <c r="J7419" s="1362"/>
      <c r="K7419" s="1362"/>
      <c r="L7419" s="1362"/>
    </row>
    <row r="7420" spans="1:12" x14ac:dyDescent="0.25">
      <c r="A7420" t="s">
        <v>15672</v>
      </c>
      <c r="B7420" t="s">
        <v>15673</v>
      </c>
      <c r="C7420" t="s">
        <v>2640</v>
      </c>
      <c r="D7420" s="254">
        <v>1377.95</v>
      </c>
      <c r="E7420"/>
      <c r="F7420"/>
      <c r="G7420"/>
      <c r="H7420"/>
      <c r="I7420" s="489"/>
      <c r="J7420" s="1362"/>
      <c r="K7420" s="1362"/>
      <c r="L7420" s="1362"/>
    </row>
    <row r="7421" spans="1:12" x14ac:dyDescent="0.25">
      <c r="A7421" t="s">
        <v>15674</v>
      </c>
      <c r="B7421" t="s">
        <v>15675</v>
      </c>
      <c r="C7421" t="s">
        <v>2640</v>
      </c>
      <c r="D7421" s="254">
        <v>1313.13</v>
      </c>
      <c r="E7421"/>
      <c r="F7421"/>
      <c r="G7421"/>
      <c r="H7421"/>
      <c r="I7421" s="489"/>
      <c r="J7421" s="1362"/>
      <c r="K7421" s="1362"/>
      <c r="L7421" s="1362"/>
    </row>
    <row r="7422" spans="1:12" x14ac:dyDescent="0.25">
      <c r="A7422" t="s">
        <v>15676</v>
      </c>
      <c r="B7422" t="s">
        <v>15677</v>
      </c>
      <c r="C7422" t="s">
        <v>2596</v>
      </c>
      <c r="D7422" s="254">
        <v>118.3</v>
      </c>
      <c r="E7422"/>
      <c r="F7422"/>
      <c r="G7422"/>
      <c r="H7422"/>
      <c r="I7422" s="489"/>
      <c r="J7422" s="1362"/>
      <c r="K7422" s="1362"/>
      <c r="L7422" s="1362"/>
    </row>
    <row r="7423" spans="1:12" x14ac:dyDescent="0.25">
      <c r="A7423" t="s">
        <v>15678</v>
      </c>
      <c r="B7423" t="s">
        <v>15679</v>
      </c>
      <c r="C7423" t="s">
        <v>2640</v>
      </c>
      <c r="D7423" s="254">
        <v>16.510000000000002</v>
      </c>
      <c r="E7423"/>
      <c r="F7423"/>
      <c r="G7423"/>
      <c r="H7423"/>
      <c r="I7423" s="489"/>
      <c r="J7423" s="1362"/>
      <c r="K7423" s="1362"/>
      <c r="L7423" s="1362"/>
    </row>
    <row r="7424" spans="1:12" x14ac:dyDescent="0.25">
      <c r="A7424" t="s">
        <v>15680</v>
      </c>
      <c r="B7424" t="s">
        <v>15681</v>
      </c>
      <c r="C7424" t="s">
        <v>2640</v>
      </c>
      <c r="D7424" s="254">
        <v>941.58</v>
      </c>
      <c r="E7424"/>
      <c r="F7424"/>
      <c r="G7424"/>
      <c r="H7424"/>
      <c r="I7424" s="489"/>
      <c r="J7424" s="1362"/>
      <c r="K7424" s="1362"/>
      <c r="L7424" s="1362"/>
    </row>
    <row r="7425" spans="1:12" x14ac:dyDescent="0.25">
      <c r="A7425" t="s">
        <v>15682</v>
      </c>
      <c r="B7425" t="s">
        <v>15683</v>
      </c>
      <c r="C7425" t="s">
        <v>2640</v>
      </c>
      <c r="D7425" s="254">
        <v>22.37</v>
      </c>
      <c r="E7425"/>
      <c r="F7425"/>
      <c r="G7425"/>
      <c r="H7425"/>
      <c r="I7425" s="489"/>
      <c r="J7425" s="1362"/>
      <c r="K7425" s="1362"/>
      <c r="L7425" s="1362"/>
    </row>
    <row r="7426" spans="1:12" x14ac:dyDescent="0.25">
      <c r="A7426" t="s">
        <v>15684</v>
      </c>
      <c r="B7426" t="s">
        <v>15685</v>
      </c>
      <c r="C7426" t="s">
        <v>2596</v>
      </c>
      <c r="D7426" s="254">
        <v>2592.8000000000002</v>
      </c>
      <c r="E7426"/>
      <c r="F7426"/>
      <c r="G7426"/>
      <c r="H7426"/>
      <c r="I7426" s="489"/>
      <c r="J7426" s="1362"/>
      <c r="K7426" s="1362"/>
      <c r="L7426" s="1362"/>
    </row>
    <row r="7427" spans="1:12" x14ac:dyDescent="0.25">
      <c r="A7427" t="s">
        <v>15686</v>
      </c>
      <c r="B7427" t="s">
        <v>15687</v>
      </c>
      <c r="C7427" t="s">
        <v>2640</v>
      </c>
      <c r="D7427" s="254">
        <v>1251.8</v>
      </c>
      <c r="E7427"/>
      <c r="F7427"/>
      <c r="G7427"/>
      <c r="H7427"/>
      <c r="I7427" s="489"/>
      <c r="J7427" s="1362"/>
      <c r="K7427" s="1362"/>
      <c r="L7427" s="1362"/>
    </row>
    <row r="7428" spans="1:12" x14ac:dyDescent="0.25">
      <c r="A7428" t="s">
        <v>15688</v>
      </c>
      <c r="B7428" t="s">
        <v>15689</v>
      </c>
      <c r="C7428" t="s">
        <v>2598</v>
      </c>
      <c r="D7428" s="254">
        <v>379.97</v>
      </c>
      <c r="E7428"/>
      <c r="F7428"/>
      <c r="G7428"/>
      <c r="H7428"/>
      <c r="I7428" s="489"/>
      <c r="J7428" s="1362"/>
      <c r="K7428" s="1362"/>
      <c r="L7428" s="1362"/>
    </row>
    <row r="7429" spans="1:12" x14ac:dyDescent="0.25">
      <c r="A7429" t="s">
        <v>15690</v>
      </c>
      <c r="B7429" t="s">
        <v>15691</v>
      </c>
      <c r="C7429" t="s">
        <v>2598</v>
      </c>
      <c r="D7429" s="254">
        <v>8.82</v>
      </c>
      <c r="E7429"/>
      <c r="F7429"/>
      <c r="G7429"/>
      <c r="H7429"/>
      <c r="I7429" s="489"/>
      <c r="J7429" s="1362"/>
      <c r="K7429" s="1362"/>
      <c r="L7429" s="1362"/>
    </row>
    <row r="7430" spans="1:12" x14ac:dyDescent="0.25">
      <c r="A7430" t="s">
        <v>15692</v>
      </c>
      <c r="B7430" t="s">
        <v>15693</v>
      </c>
      <c r="C7430" t="s">
        <v>2640</v>
      </c>
      <c r="D7430" s="254">
        <v>45.22</v>
      </c>
      <c r="E7430"/>
      <c r="F7430"/>
      <c r="G7430"/>
      <c r="H7430"/>
      <c r="I7430" s="489"/>
      <c r="J7430" s="1362"/>
      <c r="K7430" s="1362"/>
      <c r="L7430" s="1362"/>
    </row>
    <row r="7431" spans="1:12" x14ac:dyDescent="0.25">
      <c r="A7431" t="s">
        <v>15694</v>
      </c>
      <c r="B7431" t="s">
        <v>15695</v>
      </c>
      <c r="C7431" t="s">
        <v>2640</v>
      </c>
      <c r="D7431" s="254">
        <v>70.319999999999993</v>
      </c>
      <c r="E7431"/>
      <c r="F7431"/>
      <c r="G7431"/>
      <c r="H7431"/>
      <c r="I7431" s="489"/>
      <c r="J7431" s="1362"/>
      <c r="K7431" s="1362"/>
      <c r="L7431" s="1362"/>
    </row>
    <row r="7432" spans="1:12" x14ac:dyDescent="0.25">
      <c r="A7432" t="s">
        <v>15696</v>
      </c>
      <c r="B7432" t="s">
        <v>15697</v>
      </c>
      <c r="C7432" t="s">
        <v>2640</v>
      </c>
      <c r="D7432" s="254">
        <v>1.27</v>
      </c>
      <c r="E7432"/>
      <c r="F7432"/>
      <c r="G7432"/>
      <c r="H7432"/>
      <c r="I7432" s="489"/>
      <c r="J7432" s="1362"/>
      <c r="K7432" s="1362"/>
      <c r="L7432" s="1362"/>
    </row>
    <row r="7433" spans="1:12" x14ac:dyDescent="0.25">
      <c r="A7433" t="s">
        <v>15698</v>
      </c>
      <c r="B7433" t="s">
        <v>15699</v>
      </c>
      <c r="C7433" t="s">
        <v>2640</v>
      </c>
      <c r="D7433" s="254">
        <v>2.58</v>
      </c>
      <c r="E7433"/>
      <c r="F7433"/>
      <c r="G7433"/>
      <c r="H7433"/>
      <c r="I7433" s="489"/>
      <c r="J7433" s="1362"/>
      <c r="K7433" s="1362"/>
      <c r="L7433" s="1362"/>
    </row>
    <row r="7434" spans="1:12" x14ac:dyDescent="0.25">
      <c r="A7434" t="s">
        <v>15700</v>
      </c>
      <c r="B7434" t="s">
        <v>15701</v>
      </c>
      <c r="C7434" t="s">
        <v>2598</v>
      </c>
      <c r="D7434" s="254">
        <v>3.79</v>
      </c>
      <c r="E7434"/>
      <c r="F7434"/>
      <c r="G7434"/>
      <c r="H7434"/>
      <c r="I7434" s="489"/>
      <c r="J7434" s="1362"/>
      <c r="K7434" s="1362"/>
      <c r="L7434" s="1362"/>
    </row>
    <row r="7435" spans="1:12" x14ac:dyDescent="0.25">
      <c r="A7435" t="s">
        <v>15702</v>
      </c>
      <c r="B7435" t="s">
        <v>15703</v>
      </c>
      <c r="C7435" t="s">
        <v>2640</v>
      </c>
      <c r="D7435" s="254">
        <v>2.04</v>
      </c>
      <c r="E7435"/>
      <c r="F7435"/>
      <c r="G7435"/>
      <c r="H7435"/>
      <c r="I7435" s="489"/>
      <c r="J7435" s="1362"/>
      <c r="K7435" s="1362"/>
      <c r="L7435" s="1362"/>
    </row>
    <row r="7436" spans="1:12" x14ac:dyDescent="0.25">
      <c r="A7436" t="s">
        <v>15704</v>
      </c>
      <c r="B7436" t="s">
        <v>15705</v>
      </c>
      <c r="C7436" t="s">
        <v>2640</v>
      </c>
      <c r="D7436" s="254">
        <v>0.95</v>
      </c>
      <c r="E7436"/>
      <c r="F7436"/>
      <c r="G7436"/>
      <c r="H7436"/>
      <c r="I7436" s="489"/>
      <c r="J7436" s="1362"/>
      <c r="K7436" s="1362"/>
      <c r="L7436" s="1362"/>
    </row>
    <row r="7437" spans="1:12" x14ac:dyDescent="0.25">
      <c r="A7437" t="s">
        <v>15706</v>
      </c>
      <c r="B7437" t="s">
        <v>15707</v>
      </c>
      <c r="C7437" t="s">
        <v>2716</v>
      </c>
      <c r="D7437" s="254">
        <v>13.74</v>
      </c>
      <c r="E7437"/>
      <c r="F7437"/>
      <c r="G7437"/>
      <c r="H7437"/>
      <c r="I7437" s="489"/>
      <c r="J7437" s="1362"/>
      <c r="K7437" s="1362"/>
      <c r="L7437" s="1362"/>
    </row>
    <row r="7438" spans="1:12" x14ac:dyDescent="0.25">
      <c r="A7438" t="s">
        <v>15708</v>
      </c>
      <c r="B7438" t="s">
        <v>15709</v>
      </c>
      <c r="C7438" t="s">
        <v>2716</v>
      </c>
      <c r="D7438" s="254">
        <v>13.61</v>
      </c>
      <c r="E7438"/>
      <c r="F7438"/>
      <c r="G7438"/>
      <c r="H7438"/>
      <c r="I7438" s="489"/>
      <c r="J7438" s="1362"/>
      <c r="K7438" s="1362"/>
      <c r="L7438" s="1362"/>
    </row>
    <row r="7439" spans="1:12" x14ac:dyDescent="0.25">
      <c r="A7439" t="s">
        <v>15710</v>
      </c>
      <c r="B7439" t="s">
        <v>15711</v>
      </c>
      <c r="C7439" t="s">
        <v>2598</v>
      </c>
      <c r="D7439" s="254">
        <v>28.7</v>
      </c>
      <c r="E7439"/>
      <c r="F7439"/>
      <c r="G7439"/>
      <c r="H7439"/>
      <c r="I7439" s="489"/>
      <c r="J7439" s="1362"/>
      <c r="K7439" s="1362"/>
      <c r="L7439" s="1362"/>
    </row>
    <row r="7440" spans="1:12" x14ac:dyDescent="0.25">
      <c r="A7440" t="s">
        <v>15712</v>
      </c>
      <c r="B7440" t="s">
        <v>15713</v>
      </c>
      <c r="C7440" t="s">
        <v>2598</v>
      </c>
      <c r="D7440" s="254">
        <v>26.22</v>
      </c>
      <c r="E7440"/>
      <c r="F7440"/>
      <c r="G7440"/>
      <c r="H7440"/>
      <c r="I7440" s="489"/>
      <c r="J7440" s="1362"/>
      <c r="K7440" s="1362"/>
      <c r="L7440" s="1362"/>
    </row>
    <row r="7441" spans="1:12" x14ac:dyDescent="0.25">
      <c r="A7441" t="s">
        <v>15714</v>
      </c>
      <c r="B7441" t="s">
        <v>15715</v>
      </c>
      <c r="C7441" t="s">
        <v>2640</v>
      </c>
      <c r="D7441" s="254">
        <v>397</v>
      </c>
      <c r="E7441"/>
      <c r="F7441"/>
      <c r="G7441"/>
      <c r="H7441"/>
      <c r="I7441" s="489"/>
      <c r="J7441" s="1362"/>
      <c r="K7441" s="1362"/>
      <c r="L7441" s="1362"/>
    </row>
    <row r="7442" spans="1:12" x14ac:dyDescent="0.25">
      <c r="A7442" t="s">
        <v>15716</v>
      </c>
      <c r="B7442" t="s">
        <v>15717</v>
      </c>
      <c r="C7442" t="s">
        <v>2640</v>
      </c>
      <c r="D7442" s="254">
        <v>1520.6</v>
      </c>
      <c r="E7442"/>
      <c r="F7442"/>
      <c r="G7442"/>
      <c r="H7442"/>
      <c r="I7442" s="489"/>
      <c r="J7442" s="1362"/>
      <c r="K7442" s="1362"/>
      <c r="L7442" s="1362"/>
    </row>
    <row r="7443" spans="1:12" x14ac:dyDescent="0.25">
      <c r="A7443" t="s">
        <v>15718</v>
      </c>
      <c r="B7443" t="s">
        <v>15719</v>
      </c>
      <c r="C7443" t="s">
        <v>2640</v>
      </c>
      <c r="D7443" s="254">
        <v>66.25</v>
      </c>
      <c r="E7443"/>
      <c r="F7443"/>
      <c r="G7443"/>
      <c r="H7443"/>
      <c r="I7443" s="489"/>
      <c r="J7443" s="1362"/>
      <c r="K7443" s="1362"/>
      <c r="L7443" s="1362"/>
    </row>
    <row r="7444" spans="1:12" x14ac:dyDescent="0.25">
      <c r="A7444" t="s">
        <v>15720</v>
      </c>
      <c r="B7444" t="s">
        <v>15721</v>
      </c>
      <c r="C7444" t="s">
        <v>2640</v>
      </c>
      <c r="D7444" s="254">
        <v>91.75</v>
      </c>
      <c r="E7444"/>
      <c r="F7444"/>
      <c r="G7444"/>
      <c r="H7444"/>
      <c r="I7444" s="489"/>
      <c r="J7444" s="1362"/>
      <c r="K7444" s="1362"/>
      <c r="L7444" s="1362"/>
    </row>
    <row r="7445" spans="1:12" x14ac:dyDescent="0.25">
      <c r="A7445" t="s">
        <v>15722</v>
      </c>
      <c r="B7445" t="s">
        <v>15723</v>
      </c>
      <c r="C7445" t="s">
        <v>2640</v>
      </c>
      <c r="D7445" s="254">
        <v>319.22000000000003</v>
      </c>
      <c r="E7445"/>
      <c r="F7445"/>
      <c r="G7445"/>
      <c r="H7445"/>
      <c r="I7445" s="489"/>
      <c r="J7445" s="1362"/>
      <c r="K7445" s="1362"/>
      <c r="L7445" s="1362"/>
    </row>
    <row r="7446" spans="1:12" x14ac:dyDescent="0.25">
      <c r="A7446" t="s">
        <v>15724</v>
      </c>
      <c r="B7446" t="s">
        <v>15725</v>
      </c>
      <c r="C7446" t="s">
        <v>2640</v>
      </c>
      <c r="D7446" s="254">
        <v>382.28</v>
      </c>
      <c r="E7446"/>
      <c r="F7446"/>
      <c r="G7446"/>
      <c r="H7446"/>
      <c r="I7446" s="489"/>
      <c r="J7446" s="1362"/>
      <c r="K7446" s="1362"/>
      <c r="L7446" s="1362"/>
    </row>
    <row r="7447" spans="1:12" x14ac:dyDescent="0.25">
      <c r="A7447" t="s">
        <v>15726</v>
      </c>
      <c r="B7447" t="s">
        <v>15727</v>
      </c>
      <c r="C7447" t="s">
        <v>2640</v>
      </c>
      <c r="D7447" s="254">
        <v>542.66</v>
      </c>
      <c r="E7447"/>
      <c r="F7447"/>
      <c r="G7447"/>
      <c r="H7447"/>
      <c r="I7447" s="489"/>
      <c r="J7447" s="1362"/>
      <c r="K7447" s="1362"/>
      <c r="L7447" s="1362"/>
    </row>
    <row r="7448" spans="1:12" x14ac:dyDescent="0.25">
      <c r="A7448" t="s">
        <v>15728</v>
      </c>
      <c r="B7448" t="s">
        <v>15729</v>
      </c>
      <c r="C7448" t="s">
        <v>2640</v>
      </c>
      <c r="D7448" s="254">
        <v>574.54</v>
      </c>
      <c r="E7448"/>
      <c r="F7448"/>
      <c r="G7448"/>
      <c r="H7448"/>
      <c r="I7448" s="489"/>
      <c r="J7448" s="1362"/>
      <c r="K7448" s="1362"/>
      <c r="L7448" s="1362"/>
    </row>
    <row r="7449" spans="1:12" x14ac:dyDescent="0.25">
      <c r="A7449" t="s">
        <v>15730</v>
      </c>
      <c r="B7449" t="s">
        <v>15731</v>
      </c>
      <c r="C7449" t="s">
        <v>2640</v>
      </c>
      <c r="D7449" s="254">
        <v>706.26</v>
      </c>
      <c r="E7449"/>
      <c r="F7449"/>
      <c r="G7449"/>
      <c r="H7449"/>
      <c r="I7449" s="489"/>
      <c r="J7449" s="1362"/>
      <c r="K7449" s="1362"/>
      <c r="L7449" s="1362"/>
    </row>
    <row r="7450" spans="1:12" x14ac:dyDescent="0.25">
      <c r="A7450" t="s">
        <v>15732</v>
      </c>
      <c r="B7450" t="s">
        <v>15733</v>
      </c>
      <c r="C7450" t="s">
        <v>2640</v>
      </c>
      <c r="D7450" s="254">
        <v>733.18</v>
      </c>
      <c r="E7450"/>
      <c r="F7450"/>
      <c r="G7450"/>
      <c r="H7450"/>
      <c r="I7450" s="489"/>
      <c r="J7450" s="1362"/>
      <c r="K7450" s="1362"/>
      <c r="L7450" s="1362"/>
    </row>
    <row r="7451" spans="1:12" x14ac:dyDescent="0.25">
      <c r="A7451" t="s">
        <v>15734</v>
      </c>
      <c r="B7451" t="s">
        <v>15735</v>
      </c>
      <c r="C7451" t="s">
        <v>2640</v>
      </c>
      <c r="D7451" s="254">
        <v>897.94</v>
      </c>
      <c r="E7451"/>
      <c r="F7451"/>
      <c r="G7451"/>
      <c r="H7451"/>
      <c r="I7451" s="489"/>
      <c r="J7451" s="1362"/>
      <c r="K7451" s="1362"/>
      <c r="L7451" s="1362"/>
    </row>
    <row r="7452" spans="1:12" x14ac:dyDescent="0.25">
      <c r="A7452" t="s">
        <v>15736</v>
      </c>
      <c r="B7452" t="s">
        <v>15737</v>
      </c>
      <c r="C7452" t="s">
        <v>2640</v>
      </c>
      <c r="D7452" s="254">
        <v>866.46</v>
      </c>
      <c r="E7452"/>
      <c r="F7452"/>
      <c r="G7452"/>
      <c r="H7452"/>
      <c r="I7452" s="489"/>
      <c r="J7452" s="1362"/>
      <c r="K7452" s="1362"/>
      <c r="L7452" s="1362"/>
    </row>
    <row r="7453" spans="1:12" x14ac:dyDescent="0.25">
      <c r="A7453" t="s">
        <v>15738</v>
      </c>
      <c r="B7453" t="s">
        <v>15739</v>
      </c>
      <c r="C7453" t="s">
        <v>2640</v>
      </c>
      <c r="D7453" s="254">
        <v>1049.8900000000001</v>
      </c>
      <c r="E7453"/>
      <c r="F7453"/>
      <c r="G7453"/>
      <c r="H7453"/>
      <c r="I7453" s="489"/>
      <c r="J7453" s="1362"/>
      <c r="K7453" s="1362"/>
      <c r="L7453" s="1362"/>
    </row>
    <row r="7454" spans="1:12" x14ac:dyDescent="0.25">
      <c r="A7454" t="s">
        <v>15740</v>
      </c>
      <c r="B7454" t="s">
        <v>15741</v>
      </c>
      <c r="C7454" t="s">
        <v>2640</v>
      </c>
      <c r="D7454" s="254">
        <v>1088.72</v>
      </c>
      <c r="E7454"/>
      <c r="F7454"/>
      <c r="G7454"/>
      <c r="H7454"/>
      <c r="I7454" s="489"/>
      <c r="J7454" s="1362"/>
      <c r="K7454" s="1362"/>
      <c r="L7454" s="1362"/>
    </row>
    <row r="7455" spans="1:12" x14ac:dyDescent="0.25">
      <c r="A7455" t="s">
        <v>15742</v>
      </c>
      <c r="B7455" t="s">
        <v>15743</v>
      </c>
      <c r="C7455" t="s">
        <v>2640</v>
      </c>
      <c r="D7455" s="254">
        <v>1312.3</v>
      </c>
      <c r="E7455"/>
      <c r="F7455"/>
      <c r="G7455"/>
      <c r="H7455"/>
      <c r="I7455" s="489"/>
      <c r="J7455" s="1362"/>
      <c r="K7455" s="1362"/>
      <c r="L7455" s="1362"/>
    </row>
    <row r="7456" spans="1:12" x14ac:dyDescent="0.25">
      <c r="A7456" t="s">
        <v>15744</v>
      </c>
      <c r="B7456" t="s">
        <v>15745</v>
      </c>
      <c r="C7456" t="s">
        <v>2640</v>
      </c>
      <c r="D7456" s="254">
        <v>1252.29</v>
      </c>
      <c r="E7456"/>
      <c r="F7456"/>
      <c r="G7456"/>
      <c r="H7456"/>
      <c r="I7456" s="489"/>
      <c r="J7456" s="1362"/>
      <c r="K7456" s="1362"/>
      <c r="L7456" s="1362"/>
    </row>
    <row r="7457" spans="1:12" x14ac:dyDescent="0.25">
      <c r="A7457" t="s">
        <v>15746</v>
      </c>
      <c r="B7457" t="s">
        <v>15747</v>
      </c>
      <c r="C7457" t="s">
        <v>2640</v>
      </c>
      <c r="D7457" s="254">
        <v>157.78</v>
      </c>
      <c r="E7457"/>
      <c r="F7457"/>
      <c r="G7457"/>
      <c r="H7457"/>
      <c r="I7457" s="489"/>
      <c r="J7457" s="1362"/>
      <c r="K7457" s="1362"/>
      <c r="L7457" s="1362"/>
    </row>
    <row r="7458" spans="1:12" x14ac:dyDescent="0.25">
      <c r="A7458" t="s">
        <v>15748</v>
      </c>
      <c r="B7458" t="s">
        <v>15749</v>
      </c>
      <c r="C7458" t="s">
        <v>2640</v>
      </c>
      <c r="D7458" s="254">
        <v>221.61</v>
      </c>
      <c r="E7458"/>
      <c r="F7458"/>
      <c r="G7458"/>
      <c r="H7458"/>
      <c r="I7458" s="489"/>
      <c r="J7458" s="1362"/>
      <c r="K7458" s="1362"/>
      <c r="L7458" s="1362"/>
    </row>
    <row r="7459" spans="1:12" x14ac:dyDescent="0.25">
      <c r="A7459" t="s">
        <v>15750</v>
      </c>
      <c r="B7459" t="s">
        <v>15751</v>
      </c>
      <c r="C7459" t="s">
        <v>2640</v>
      </c>
      <c r="D7459" s="254">
        <v>239.65</v>
      </c>
      <c r="E7459"/>
      <c r="F7459"/>
      <c r="G7459"/>
      <c r="H7459"/>
      <c r="I7459" s="489"/>
      <c r="J7459" s="1362"/>
      <c r="K7459" s="1362"/>
      <c r="L7459" s="1362"/>
    </row>
    <row r="7460" spans="1:12" x14ac:dyDescent="0.25">
      <c r="A7460" t="s">
        <v>15752</v>
      </c>
      <c r="B7460" t="s">
        <v>15753</v>
      </c>
      <c r="C7460" t="s">
        <v>2640</v>
      </c>
      <c r="D7460" s="254">
        <v>333.93</v>
      </c>
      <c r="E7460"/>
      <c r="F7460"/>
      <c r="G7460"/>
      <c r="H7460"/>
      <c r="I7460" s="489"/>
      <c r="J7460" s="1362"/>
      <c r="K7460" s="1362"/>
      <c r="L7460" s="1362"/>
    </row>
    <row r="7461" spans="1:12" x14ac:dyDescent="0.25">
      <c r="A7461" t="s">
        <v>15754</v>
      </c>
      <c r="B7461" t="s">
        <v>15755</v>
      </c>
      <c r="C7461" t="s">
        <v>2640</v>
      </c>
      <c r="D7461" s="254">
        <v>254.05</v>
      </c>
      <c r="E7461"/>
      <c r="F7461"/>
      <c r="G7461"/>
      <c r="H7461"/>
      <c r="I7461" s="489"/>
      <c r="J7461" s="1362"/>
      <c r="K7461" s="1362"/>
      <c r="L7461" s="1362"/>
    </row>
    <row r="7462" spans="1:12" x14ac:dyDescent="0.25">
      <c r="A7462" t="s">
        <v>15756</v>
      </c>
      <c r="B7462" t="s">
        <v>15757</v>
      </c>
      <c r="C7462" t="s">
        <v>2640</v>
      </c>
      <c r="D7462" s="254">
        <v>349.67</v>
      </c>
      <c r="E7462"/>
      <c r="F7462"/>
      <c r="G7462"/>
      <c r="H7462"/>
      <c r="I7462" s="489"/>
      <c r="J7462" s="1362"/>
      <c r="K7462" s="1362"/>
      <c r="L7462" s="1362"/>
    </row>
    <row r="7463" spans="1:12" x14ac:dyDescent="0.25">
      <c r="A7463" t="s">
        <v>15758</v>
      </c>
      <c r="B7463" t="s">
        <v>15759</v>
      </c>
      <c r="C7463" t="s">
        <v>2640</v>
      </c>
      <c r="D7463" s="254">
        <v>285.58999999999997</v>
      </c>
      <c r="E7463"/>
      <c r="F7463"/>
      <c r="G7463"/>
      <c r="H7463"/>
      <c r="I7463" s="489"/>
      <c r="J7463" s="1362"/>
      <c r="K7463" s="1362"/>
      <c r="L7463" s="1362"/>
    </row>
    <row r="7464" spans="1:12" x14ac:dyDescent="0.25">
      <c r="A7464" t="s">
        <v>15760</v>
      </c>
      <c r="B7464" t="s">
        <v>15761</v>
      </c>
      <c r="C7464" t="s">
        <v>2640</v>
      </c>
      <c r="D7464" s="254">
        <v>317.95</v>
      </c>
      <c r="E7464"/>
      <c r="F7464"/>
      <c r="G7464"/>
      <c r="H7464"/>
      <c r="I7464" s="489"/>
      <c r="J7464" s="1362"/>
      <c r="K7464" s="1362"/>
      <c r="L7464" s="1362"/>
    </row>
    <row r="7465" spans="1:12" x14ac:dyDescent="0.25">
      <c r="A7465" t="s">
        <v>15762</v>
      </c>
      <c r="B7465" t="s">
        <v>15763</v>
      </c>
      <c r="C7465" t="s">
        <v>2640</v>
      </c>
      <c r="D7465" s="254">
        <v>445.75</v>
      </c>
      <c r="E7465"/>
      <c r="F7465"/>
      <c r="G7465"/>
      <c r="H7465"/>
      <c r="I7465" s="489"/>
      <c r="J7465" s="1362"/>
      <c r="K7465" s="1362"/>
      <c r="L7465" s="1362"/>
    </row>
    <row r="7466" spans="1:12" x14ac:dyDescent="0.25">
      <c r="A7466" t="s">
        <v>15764</v>
      </c>
      <c r="B7466" t="s">
        <v>15765</v>
      </c>
      <c r="C7466" t="s">
        <v>2640</v>
      </c>
      <c r="D7466" s="254">
        <v>18.41</v>
      </c>
      <c r="E7466"/>
      <c r="F7466"/>
      <c r="G7466"/>
      <c r="H7466"/>
      <c r="I7466" s="489"/>
      <c r="J7466" s="1362"/>
      <c r="K7466" s="1362"/>
      <c r="L7466" s="1362"/>
    </row>
    <row r="7467" spans="1:12" x14ac:dyDescent="0.25">
      <c r="A7467" t="s">
        <v>15766</v>
      </c>
      <c r="B7467" t="s">
        <v>15767</v>
      </c>
      <c r="C7467" t="s">
        <v>2640</v>
      </c>
      <c r="D7467" s="254">
        <v>24.87</v>
      </c>
      <c r="E7467"/>
      <c r="F7467"/>
      <c r="G7467"/>
      <c r="H7467"/>
      <c r="I7467" s="489"/>
      <c r="J7467" s="1362"/>
      <c r="K7467" s="1362"/>
      <c r="L7467" s="1362"/>
    </row>
    <row r="7468" spans="1:12" x14ac:dyDescent="0.25">
      <c r="A7468" t="s">
        <v>15768</v>
      </c>
      <c r="B7468" t="s">
        <v>15769</v>
      </c>
      <c r="C7468" t="s">
        <v>2640</v>
      </c>
      <c r="D7468" s="254">
        <v>23.26</v>
      </c>
      <c r="E7468"/>
      <c r="F7468"/>
      <c r="G7468"/>
      <c r="H7468"/>
      <c r="I7468" s="489"/>
      <c r="J7468" s="1362"/>
      <c r="K7468" s="1362"/>
      <c r="L7468" s="1362"/>
    </row>
    <row r="7469" spans="1:12" x14ac:dyDescent="0.25">
      <c r="A7469" t="s">
        <v>15770</v>
      </c>
      <c r="B7469" t="s">
        <v>15771</v>
      </c>
      <c r="C7469" t="s">
        <v>2640</v>
      </c>
      <c r="D7469" s="254">
        <v>32.159999999999997</v>
      </c>
      <c r="E7469"/>
      <c r="F7469"/>
      <c r="G7469"/>
      <c r="H7469"/>
      <c r="I7469" s="489"/>
      <c r="J7469" s="1362"/>
      <c r="K7469" s="1362"/>
      <c r="L7469" s="1362"/>
    </row>
    <row r="7470" spans="1:12" x14ac:dyDescent="0.25">
      <c r="A7470" t="s">
        <v>15772</v>
      </c>
      <c r="B7470" t="s">
        <v>15773</v>
      </c>
      <c r="C7470" t="s">
        <v>2640</v>
      </c>
      <c r="D7470" s="254">
        <v>40.020000000000003</v>
      </c>
      <c r="E7470"/>
      <c r="F7470"/>
      <c r="G7470"/>
      <c r="H7470"/>
      <c r="I7470" s="489"/>
      <c r="J7470" s="1362"/>
      <c r="K7470" s="1362"/>
      <c r="L7470" s="1362"/>
    </row>
    <row r="7471" spans="1:12" x14ac:dyDescent="0.25">
      <c r="A7471" t="s">
        <v>15774</v>
      </c>
      <c r="B7471" t="s">
        <v>15775</v>
      </c>
      <c r="C7471" t="s">
        <v>2640</v>
      </c>
      <c r="D7471" s="254">
        <v>42.25</v>
      </c>
      <c r="E7471"/>
      <c r="F7471"/>
      <c r="G7471"/>
      <c r="H7471"/>
      <c r="I7471" s="489"/>
      <c r="J7471" s="1362"/>
      <c r="K7471" s="1362"/>
      <c r="L7471" s="1362"/>
    </row>
    <row r="7472" spans="1:12" x14ac:dyDescent="0.25">
      <c r="A7472" t="s">
        <v>15776</v>
      </c>
      <c r="B7472" t="s">
        <v>15777</v>
      </c>
      <c r="C7472" t="s">
        <v>2640</v>
      </c>
      <c r="D7472" s="254">
        <v>51.94</v>
      </c>
      <c r="E7472"/>
      <c r="F7472"/>
      <c r="G7472"/>
      <c r="H7472"/>
      <c r="I7472" s="489"/>
      <c r="J7472" s="1362"/>
      <c r="K7472" s="1362"/>
      <c r="L7472" s="1362"/>
    </row>
    <row r="7473" spans="1:12" x14ac:dyDescent="0.25">
      <c r="A7473" t="s">
        <v>15778</v>
      </c>
      <c r="B7473" t="s">
        <v>15779</v>
      </c>
      <c r="C7473" t="s">
        <v>2640</v>
      </c>
      <c r="D7473" s="254">
        <v>72.08</v>
      </c>
      <c r="E7473"/>
      <c r="F7473"/>
      <c r="G7473"/>
      <c r="H7473"/>
      <c r="I7473" s="489"/>
      <c r="J7473" s="1362"/>
      <c r="K7473" s="1362"/>
      <c r="L7473" s="1362"/>
    </row>
    <row r="7474" spans="1:12" x14ac:dyDescent="0.25">
      <c r="A7474" t="s">
        <v>15780</v>
      </c>
      <c r="B7474" t="s">
        <v>15781</v>
      </c>
      <c r="C7474" t="s">
        <v>2598</v>
      </c>
      <c r="D7474" s="254">
        <v>8.9600000000000009</v>
      </c>
      <c r="E7474"/>
      <c r="F7474"/>
      <c r="G7474"/>
      <c r="H7474"/>
      <c r="I7474" s="489"/>
      <c r="J7474" s="1362"/>
      <c r="K7474" s="1362"/>
      <c r="L7474" s="1362"/>
    </row>
    <row r="7475" spans="1:12" x14ac:dyDescent="0.25">
      <c r="A7475" t="s">
        <v>15782</v>
      </c>
      <c r="B7475" t="s">
        <v>15783</v>
      </c>
      <c r="C7475" t="s">
        <v>2598</v>
      </c>
      <c r="D7475" s="254">
        <v>34.299999999999997</v>
      </c>
      <c r="E7475"/>
      <c r="F7475"/>
      <c r="G7475"/>
      <c r="H7475"/>
      <c r="I7475" s="489"/>
      <c r="J7475" s="1362"/>
      <c r="K7475" s="1362"/>
      <c r="L7475" s="1362"/>
    </row>
    <row r="7476" spans="1:12" x14ac:dyDescent="0.25">
      <c r="A7476" t="s">
        <v>15784</v>
      </c>
      <c r="B7476" t="s">
        <v>15785</v>
      </c>
      <c r="C7476" t="s">
        <v>2598</v>
      </c>
      <c r="D7476" s="254">
        <v>36.270000000000003</v>
      </c>
      <c r="E7476"/>
      <c r="F7476"/>
      <c r="G7476"/>
      <c r="H7476"/>
      <c r="I7476" s="489"/>
      <c r="J7476" s="1362"/>
      <c r="K7476" s="1362"/>
      <c r="L7476" s="1362"/>
    </row>
    <row r="7477" spans="1:12" x14ac:dyDescent="0.25">
      <c r="A7477" t="s">
        <v>15786</v>
      </c>
      <c r="B7477" t="s">
        <v>15787</v>
      </c>
      <c r="C7477" t="s">
        <v>2598</v>
      </c>
      <c r="D7477" s="254">
        <v>39.770000000000003</v>
      </c>
      <c r="E7477"/>
      <c r="F7477"/>
      <c r="G7477"/>
      <c r="H7477"/>
      <c r="I7477" s="489"/>
      <c r="J7477" s="1362"/>
      <c r="K7477" s="1362"/>
      <c r="L7477" s="1362"/>
    </row>
    <row r="7478" spans="1:12" x14ac:dyDescent="0.25">
      <c r="A7478" t="s">
        <v>15788</v>
      </c>
      <c r="B7478" t="s">
        <v>15789</v>
      </c>
      <c r="C7478" t="s">
        <v>2598</v>
      </c>
      <c r="D7478" s="254">
        <v>43.56</v>
      </c>
      <c r="E7478"/>
      <c r="F7478"/>
      <c r="G7478"/>
      <c r="H7478"/>
      <c r="I7478" s="489"/>
      <c r="J7478" s="1362"/>
      <c r="K7478" s="1362"/>
      <c r="L7478" s="1362"/>
    </row>
    <row r="7479" spans="1:12" x14ac:dyDescent="0.25">
      <c r="A7479" t="s">
        <v>15790</v>
      </c>
      <c r="B7479" t="s">
        <v>15791</v>
      </c>
      <c r="C7479" t="s">
        <v>2598</v>
      </c>
      <c r="D7479" s="254">
        <v>60.36</v>
      </c>
      <c r="E7479"/>
      <c r="F7479"/>
      <c r="G7479"/>
      <c r="H7479"/>
      <c r="I7479" s="489"/>
      <c r="J7479" s="1362"/>
      <c r="K7479" s="1362"/>
      <c r="L7479" s="1362"/>
    </row>
    <row r="7480" spans="1:12" x14ac:dyDescent="0.25">
      <c r="A7480" t="s">
        <v>15792</v>
      </c>
      <c r="B7480" t="s">
        <v>15793</v>
      </c>
      <c r="C7480" t="s">
        <v>2598</v>
      </c>
      <c r="D7480" s="254">
        <v>68.25</v>
      </c>
      <c r="E7480"/>
      <c r="F7480"/>
      <c r="G7480"/>
      <c r="H7480"/>
      <c r="I7480" s="489"/>
      <c r="J7480" s="1362"/>
      <c r="K7480" s="1362"/>
      <c r="L7480" s="1362"/>
    </row>
    <row r="7481" spans="1:12" x14ac:dyDescent="0.25">
      <c r="A7481" t="s">
        <v>15794</v>
      </c>
      <c r="B7481" t="s">
        <v>15795</v>
      </c>
      <c r="C7481" t="s">
        <v>2598</v>
      </c>
      <c r="D7481" s="254">
        <v>72</v>
      </c>
      <c r="E7481"/>
      <c r="F7481"/>
      <c r="G7481"/>
      <c r="H7481"/>
      <c r="I7481" s="489"/>
      <c r="J7481" s="1362"/>
      <c r="K7481" s="1362"/>
      <c r="L7481" s="1362"/>
    </row>
    <row r="7482" spans="1:12" x14ac:dyDescent="0.25">
      <c r="A7482" t="s">
        <v>15796</v>
      </c>
      <c r="B7482" t="s">
        <v>15797</v>
      </c>
      <c r="C7482" t="s">
        <v>2598</v>
      </c>
      <c r="D7482" s="254">
        <v>74.8</v>
      </c>
      <c r="E7482"/>
      <c r="F7482"/>
      <c r="G7482"/>
      <c r="H7482"/>
      <c r="I7482" s="489"/>
      <c r="J7482" s="1362"/>
      <c r="K7482" s="1362"/>
      <c r="L7482" s="1362"/>
    </row>
    <row r="7483" spans="1:12" x14ac:dyDescent="0.25">
      <c r="A7483" t="s">
        <v>15798</v>
      </c>
      <c r="B7483" t="s">
        <v>15799</v>
      </c>
      <c r="C7483" t="s">
        <v>2598</v>
      </c>
      <c r="D7483" s="254">
        <v>76.94</v>
      </c>
      <c r="E7483"/>
      <c r="F7483"/>
      <c r="G7483"/>
      <c r="H7483"/>
      <c r="I7483" s="489"/>
      <c r="J7483" s="1362"/>
      <c r="K7483" s="1362"/>
      <c r="L7483" s="1362"/>
    </row>
    <row r="7484" spans="1:12" x14ac:dyDescent="0.25">
      <c r="A7484" t="s">
        <v>15800</v>
      </c>
      <c r="B7484" t="s">
        <v>15801</v>
      </c>
      <c r="C7484" t="s">
        <v>2598</v>
      </c>
      <c r="D7484" s="254">
        <v>100.22</v>
      </c>
      <c r="E7484"/>
      <c r="F7484"/>
      <c r="G7484"/>
      <c r="H7484"/>
      <c r="I7484" s="489"/>
      <c r="J7484" s="1362"/>
      <c r="K7484" s="1362"/>
      <c r="L7484" s="1362"/>
    </row>
    <row r="7485" spans="1:12" x14ac:dyDescent="0.25">
      <c r="A7485" t="s">
        <v>15802</v>
      </c>
      <c r="B7485" t="s">
        <v>15803</v>
      </c>
      <c r="C7485" t="s">
        <v>2598</v>
      </c>
      <c r="D7485" s="254">
        <v>106.73</v>
      </c>
      <c r="E7485"/>
      <c r="F7485"/>
      <c r="G7485"/>
      <c r="H7485"/>
      <c r="I7485" s="489"/>
      <c r="J7485" s="1362"/>
      <c r="K7485" s="1362"/>
      <c r="L7485" s="1362"/>
    </row>
    <row r="7486" spans="1:12" x14ac:dyDescent="0.25">
      <c r="A7486" t="s">
        <v>15804</v>
      </c>
      <c r="B7486" t="s">
        <v>15805</v>
      </c>
      <c r="C7486" t="s">
        <v>2598</v>
      </c>
      <c r="D7486" s="254">
        <v>114.82</v>
      </c>
      <c r="E7486"/>
      <c r="F7486"/>
      <c r="G7486"/>
      <c r="H7486"/>
      <c r="I7486" s="489"/>
      <c r="J7486" s="1362"/>
      <c r="K7486" s="1362"/>
      <c r="L7486" s="1362"/>
    </row>
    <row r="7487" spans="1:12" x14ac:dyDescent="0.25">
      <c r="A7487" t="s">
        <v>15806</v>
      </c>
      <c r="B7487" t="s">
        <v>15807</v>
      </c>
      <c r="C7487" t="s">
        <v>2598</v>
      </c>
      <c r="D7487" s="254">
        <v>125.36</v>
      </c>
      <c r="E7487"/>
      <c r="F7487"/>
      <c r="G7487"/>
      <c r="H7487"/>
      <c r="I7487" s="489"/>
      <c r="J7487" s="1362"/>
      <c r="K7487" s="1362"/>
      <c r="L7487" s="1362"/>
    </row>
    <row r="7488" spans="1:12" x14ac:dyDescent="0.25">
      <c r="A7488" t="s">
        <v>15808</v>
      </c>
      <c r="B7488" t="s">
        <v>15809</v>
      </c>
      <c r="C7488" t="s">
        <v>2598</v>
      </c>
      <c r="D7488" s="254">
        <v>133.57</v>
      </c>
      <c r="E7488"/>
      <c r="F7488"/>
      <c r="G7488"/>
      <c r="H7488"/>
      <c r="I7488" s="489"/>
      <c r="J7488" s="1362"/>
      <c r="K7488" s="1362"/>
      <c r="L7488" s="1362"/>
    </row>
    <row r="7489" spans="1:12" x14ac:dyDescent="0.25">
      <c r="A7489" t="s">
        <v>15810</v>
      </c>
      <c r="B7489" t="s">
        <v>15811</v>
      </c>
      <c r="C7489" t="s">
        <v>2598</v>
      </c>
      <c r="D7489" s="254">
        <v>140.38999999999999</v>
      </c>
      <c r="E7489"/>
      <c r="F7489"/>
      <c r="G7489"/>
      <c r="H7489"/>
      <c r="I7489" s="489"/>
      <c r="J7489" s="1362"/>
      <c r="K7489" s="1362"/>
      <c r="L7489" s="1362"/>
    </row>
    <row r="7490" spans="1:12" x14ac:dyDescent="0.25">
      <c r="A7490" t="s">
        <v>15812</v>
      </c>
      <c r="B7490" t="s">
        <v>15813</v>
      </c>
      <c r="C7490" t="s">
        <v>2598</v>
      </c>
      <c r="D7490" s="254">
        <v>142.59</v>
      </c>
      <c r="E7490"/>
      <c r="F7490"/>
      <c r="G7490"/>
      <c r="H7490"/>
      <c r="I7490" s="489"/>
      <c r="J7490" s="1362"/>
      <c r="K7490" s="1362"/>
      <c r="L7490" s="1362"/>
    </row>
    <row r="7491" spans="1:12" x14ac:dyDescent="0.25">
      <c r="A7491" t="s">
        <v>15814</v>
      </c>
      <c r="B7491" t="s">
        <v>15815</v>
      </c>
      <c r="C7491" t="s">
        <v>2598</v>
      </c>
      <c r="D7491" s="254">
        <v>29.78</v>
      </c>
      <c r="E7491"/>
      <c r="F7491"/>
      <c r="G7491"/>
      <c r="H7491"/>
      <c r="I7491" s="489"/>
      <c r="J7491" s="1362"/>
      <c r="K7491" s="1362"/>
      <c r="L7491" s="1362"/>
    </row>
    <row r="7492" spans="1:12" x14ac:dyDescent="0.25">
      <c r="A7492" t="s">
        <v>15816</v>
      </c>
      <c r="B7492" t="s">
        <v>15817</v>
      </c>
      <c r="C7492" t="s">
        <v>2598</v>
      </c>
      <c r="D7492" s="254">
        <v>34.770000000000003</v>
      </c>
      <c r="E7492"/>
      <c r="F7492"/>
      <c r="G7492"/>
      <c r="H7492"/>
      <c r="I7492" s="489"/>
      <c r="J7492" s="1362"/>
      <c r="K7492" s="1362"/>
      <c r="L7492" s="1362"/>
    </row>
    <row r="7493" spans="1:12" x14ac:dyDescent="0.25">
      <c r="A7493" t="s">
        <v>15818</v>
      </c>
      <c r="B7493" t="s">
        <v>15819</v>
      </c>
      <c r="C7493" t="s">
        <v>2598</v>
      </c>
      <c r="D7493" s="254">
        <v>39.85</v>
      </c>
      <c r="E7493"/>
      <c r="F7493"/>
      <c r="G7493"/>
      <c r="H7493"/>
      <c r="I7493" s="489"/>
      <c r="J7493" s="1362"/>
      <c r="K7493" s="1362"/>
      <c r="L7493" s="1362"/>
    </row>
    <row r="7494" spans="1:12" x14ac:dyDescent="0.25">
      <c r="A7494" t="s">
        <v>15820</v>
      </c>
      <c r="B7494" t="s">
        <v>15821</v>
      </c>
      <c r="C7494" t="s">
        <v>2598</v>
      </c>
      <c r="D7494" s="254">
        <v>29.78</v>
      </c>
      <c r="E7494"/>
      <c r="F7494"/>
      <c r="G7494"/>
      <c r="H7494"/>
      <c r="I7494" s="489"/>
      <c r="J7494" s="1362"/>
      <c r="K7494" s="1362"/>
      <c r="L7494" s="1362"/>
    </row>
    <row r="7495" spans="1:12" x14ac:dyDescent="0.25">
      <c r="A7495" t="s">
        <v>15822</v>
      </c>
      <c r="B7495" t="s">
        <v>15823</v>
      </c>
      <c r="C7495" t="s">
        <v>2598</v>
      </c>
      <c r="D7495" s="254">
        <v>36.590000000000003</v>
      </c>
      <c r="E7495"/>
      <c r="F7495"/>
      <c r="G7495"/>
      <c r="H7495"/>
      <c r="I7495" s="489"/>
      <c r="J7495" s="1362"/>
      <c r="K7495" s="1362"/>
      <c r="L7495" s="1362"/>
    </row>
    <row r="7496" spans="1:12" x14ac:dyDescent="0.25">
      <c r="A7496" t="s">
        <v>15824</v>
      </c>
      <c r="B7496" t="s">
        <v>15825</v>
      </c>
      <c r="C7496" t="s">
        <v>2598</v>
      </c>
      <c r="D7496" s="254">
        <v>43.33</v>
      </c>
      <c r="E7496"/>
      <c r="F7496"/>
      <c r="G7496"/>
      <c r="H7496"/>
      <c r="I7496" s="489"/>
      <c r="J7496" s="1362"/>
      <c r="K7496" s="1362"/>
      <c r="L7496" s="1362"/>
    </row>
    <row r="7497" spans="1:12" x14ac:dyDescent="0.25">
      <c r="A7497" t="s">
        <v>15826</v>
      </c>
      <c r="B7497" t="s">
        <v>15827</v>
      </c>
      <c r="C7497" t="s">
        <v>2640</v>
      </c>
      <c r="D7497" s="254">
        <v>0.43</v>
      </c>
      <c r="E7497"/>
      <c r="F7497"/>
      <c r="G7497"/>
      <c r="H7497"/>
      <c r="I7497" s="489"/>
      <c r="J7497" s="1362"/>
      <c r="K7497" s="1362"/>
      <c r="L7497" s="1362"/>
    </row>
    <row r="7498" spans="1:12" x14ac:dyDescent="0.25">
      <c r="A7498" t="s">
        <v>15828</v>
      </c>
      <c r="B7498" t="s">
        <v>15829</v>
      </c>
      <c r="C7498" t="s">
        <v>2640</v>
      </c>
      <c r="D7498" s="254">
        <v>802.58</v>
      </c>
      <c r="E7498"/>
      <c r="F7498"/>
      <c r="G7498"/>
      <c r="H7498"/>
      <c r="I7498" s="489"/>
      <c r="J7498" s="1362"/>
      <c r="K7498" s="1362"/>
      <c r="L7498" s="1362"/>
    </row>
    <row r="7499" spans="1:12" x14ac:dyDescent="0.25">
      <c r="A7499" t="s">
        <v>15830</v>
      </c>
      <c r="B7499" t="s">
        <v>15831</v>
      </c>
      <c r="C7499" t="s">
        <v>2640</v>
      </c>
      <c r="D7499" s="254">
        <v>2125.3200000000002</v>
      </c>
      <c r="E7499"/>
      <c r="F7499"/>
      <c r="G7499"/>
      <c r="H7499"/>
      <c r="I7499" s="489"/>
      <c r="J7499" s="1362"/>
      <c r="K7499" s="1362"/>
      <c r="L7499" s="1362"/>
    </row>
    <row r="7500" spans="1:12" x14ac:dyDescent="0.25">
      <c r="A7500" t="s">
        <v>15832</v>
      </c>
      <c r="B7500" t="s">
        <v>15833</v>
      </c>
      <c r="C7500" t="s">
        <v>2598</v>
      </c>
      <c r="D7500" s="254">
        <v>4119.05</v>
      </c>
      <c r="E7500"/>
      <c r="F7500"/>
      <c r="G7500"/>
      <c r="H7500"/>
      <c r="I7500" s="489"/>
      <c r="J7500" s="1362"/>
      <c r="K7500" s="1362"/>
      <c r="L7500" s="1362"/>
    </row>
    <row r="7501" spans="1:12" x14ac:dyDescent="0.25">
      <c r="A7501" t="s">
        <v>15834</v>
      </c>
      <c r="B7501" t="s">
        <v>15835</v>
      </c>
      <c r="C7501" t="s">
        <v>2598</v>
      </c>
      <c r="D7501" s="254">
        <v>4676.8599999999997</v>
      </c>
      <c r="E7501"/>
      <c r="F7501"/>
      <c r="G7501"/>
      <c r="H7501"/>
      <c r="I7501" s="489"/>
      <c r="J7501" s="1362"/>
      <c r="K7501" s="1362"/>
      <c r="L7501" s="1362"/>
    </row>
    <row r="7502" spans="1:12" x14ac:dyDescent="0.25">
      <c r="A7502" t="s">
        <v>15836</v>
      </c>
      <c r="B7502" t="s">
        <v>15837</v>
      </c>
      <c r="C7502" t="s">
        <v>2598</v>
      </c>
      <c r="D7502" s="254">
        <v>5535.01</v>
      </c>
      <c r="E7502"/>
      <c r="F7502"/>
      <c r="G7502"/>
      <c r="H7502"/>
      <c r="I7502" s="489"/>
      <c r="J7502" s="1362"/>
      <c r="K7502" s="1362"/>
      <c r="L7502" s="1362"/>
    </row>
    <row r="7503" spans="1:12" x14ac:dyDescent="0.25">
      <c r="A7503" t="s">
        <v>15838</v>
      </c>
      <c r="B7503" t="s">
        <v>15839</v>
      </c>
      <c r="C7503" t="s">
        <v>2598</v>
      </c>
      <c r="D7503" s="254">
        <v>6316.81</v>
      </c>
      <c r="E7503"/>
      <c r="F7503"/>
      <c r="G7503"/>
      <c r="H7503"/>
      <c r="I7503" s="489"/>
      <c r="J7503" s="1362"/>
      <c r="K7503" s="1362"/>
      <c r="L7503" s="1362"/>
    </row>
    <row r="7504" spans="1:12" x14ac:dyDescent="0.25">
      <c r="A7504" t="s">
        <v>15840</v>
      </c>
      <c r="B7504" t="s">
        <v>15841</v>
      </c>
      <c r="C7504" t="s">
        <v>2598</v>
      </c>
      <c r="D7504" s="254">
        <v>6961.5</v>
      </c>
      <c r="E7504"/>
      <c r="F7504"/>
      <c r="G7504"/>
      <c r="H7504"/>
      <c r="I7504" s="489"/>
      <c r="J7504" s="1362"/>
      <c r="K7504" s="1362"/>
      <c r="L7504" s="1362"/>
    </row>
    <row r="7505" spans="1:12" x14ac:dyDescent="0.25">
      <c r="A7505" t="s">
        <v>15842</v>
      </c>
      <c r="B7505" t="s">
        <v>15843</v>
      </c>
      <c r="C7505" t="s">
        <v>2598</v>
      </c>
      <c r="D7505" s="254">
        <v>7692.42</v>
      </c>
      <c r="E7505"/>
      <c r="F7505"/>
      <c r="G7505"/>
      <c r="H7505"/>
      <c r="I7505" s="489"/>
      <c r="J7505" s="1362"/>
      <c r="K7505" s="1362"/>
      <c r="L7505" s="1362"/>
    </row>
    <row r="7506" spans="1:12" x14ac:dyDescent="0.25">
      <c r="A7506" t="s">
        <v>15844</v>
      </c>
      <c r="B7506" t="s">
        <v>15845</v>
      </c>
      <c r="C7506" t="s">
        <v>2598</v>
      </c>
      <c r="D7506" s="254">
        <v>8294.0499999999993</v>
      </c>
      <c r="E7506"/>
      <c r="F7506"/>
      <c r="G7506"/>
      <c r="H7506"/>
      <c r="I7506" s="489"/>
      <c r="J7506" s="1362"/>
      <c r="K7506" s="1362"/>
      <c r="L7506" s="1362"/>
    </row>
    <row r="7507" spans="1:12" x14ac:dyDescent="0.25">
      <c r="A7507" t="s">
        <v>15846</v>
      </c>
      <c r="B7507" t="s">
        <v>15847</v>
      </c>
      <c r="C7507" t="s">
        <v>2598</v>
      </c>
      <c r="D7507" s="254">
        <v>9024.3700000000008</v>
      </c>
      <c r="E7507"/>
      <c r="F7507"/>
      <c r="G7507"/>
      <c r="H7507"/>
      <c r="I7507" s="489"/>
      <c r="J7507" s="1362"/>
      <c r="K7507" s="1362"/>
      <c r="L7507" s="1362"/>
    </row>
    <row r="7508" spans="1:12" x14ac:dyDescent="0.25">
      <c r="A7508" t="s">
        <v>15848</v>
      </c>
      <c r="B7508" t="s">
        <v>15849</v>
      </c>
      <c r="C7508" t="s">
        <v>2598</v>
      </c>
      <c r="D7508" s="254">
        <v>9668.5499999999993</v>
      </c>
      <c r="E7508"/>
      <c r="F7508"/>
      <c r="G7508"/>
      <c r="H7508"/>
      <c r="I7508" s="489"/>
      <c r="J7508" s="1362"/>
      <c r="K7508" s="1362"/>
      <c r="L7508" s="1362"/>
    </row>
    <row r="7509" spans="1:12" x14ac:dyDescent="0.25">
      <c r="A7509" t="s">
        <v>15850</v>
      </c>
      <c r="B7509" t="s">
        <v>15851</v>
      </c>
      <c r="C7509" t="s">
        <v>2598</v>
      </c>
      <c r="D7509" s="254">
        <v>10442.459999999999</v>
      </c>
      <c r="E7509"/>
      <c r="F7509"/>
      <c r="G7509"/>
      <c r="H7509"/>
      <c r="I7509" s="489"/>
      <c r="J7509" s="1362"/>
      <c r="K7509" s="1362"/>
      <c r="L7509" s="1362"/>
    </row>
    <row r="7510" spans="1:12" x14ac:dyDescent="0.25">
      <c r="A7510" t="s">
        <v>15852</v>
      </c>
      <c r="B7510" t="s">
        <v>15853</v>
      </c>
      <c r="C7510" t="s">
        <v>2598</v>
      </c>
      <c r="D7510" s="254">
        <v>13062.58</v>
      </c>
      <c r="E7510"/>
      <c r="F7510"/>
      <c r="G7510"/>
      <c r="H7510"/>
      <c r="I7510" s="489"/>
      <c r="J7510" s="1362"/>
      <c r="K7510" s="1362"/>
      <c r="L7510" s="1362"/>
    </row>
    <row r="7511" spans="1:12" x14ac:dyDescent="0.25">
      <c r="A7511" t="s">
        <v>15854</v>
      </c>
      <c r="B7511" t="s">
        <v>15855</v>
      </c>
      <c r="C7511" t="s">
        <v>2598</v>
      </c>
      <c r="D7511" s="254">
        <v>13986.22</v>
      </c>
      <c r="E7511"/>
      <c r="F7511"/>
      <c r="G7511"/>
      <c r="H7511"/>
      <c r="I7511" s="489"/>
      <c r="J7511" s="1362"/>
      <c r="K7511" s="1362"/>
      <c r="L7511" s="1362"/>
    </row>
    <row r="7512" spans="1:12" x14ac:dyDescent="0.25">
      <c r="A7512" t="s">
        <v>15856</v>
      </c>
      <c r="B7512" t="s">
        <v>15857</v>
      </c>
      <c r="C7512" t="s">
        <v>2598</v>
      </c>
      <c r="D7512" s="254">
        <v>14700.61</v>
      </c>
      <c r="E7512"/>
      <c r="F7512"/>
      <c r="G7512"/>
      <c r="H7512"/>
      <c r="I7512" s="489"/>
      <c r="J7512" s="1362"/>
      <c r="K7512" s="1362"/>
      <c r="L7512" s="1362"/>
    </row>
    <row r="7513" spans="1:12" x14ac:dyDescent="0.25">
      <c r="A7513" t="s">
        <v>15858</v>
      </c>
      <c r="B7513" t="s">
        <v>15859</v>
      </c>
      <c r="C7513" t="s">
        <v>2598</v>
      </c>
      <c r="D7513" s="254">
        <v>15540.73</v>
      </c>
      <c r="E7513"/>
      <c r="F7513"/>
      <c r="G7513"/>
      <c r="H7513"/>
      <c r="I7513" s="489"/>
      <c r="J7513" s="1362"/>
      <c r="K7513" s="1362"/>
      <c r="L7513" s="1362"/>
    </row>
    <row r="7514" spans="1:12" x14ac:dyDescent="0.25">
      <c r="A7514" t="s">
        <v>15860</v>
      </c>
      <c r="B7514" t="s">
        <v>15861</v>
      </c>
      <c r="C7514" t="s">
        <v>2598</v>
      </c>
      <c r="D7514" s="254">
        <v>16284.89</v>
      </c>
      <c r="E7514"/>
      <c r="F7514"/>
      <c r="G7514"/>
      <c r="H7514"/>
      <c r="I7514" s="489"/>
      <c r="J7514" s="1362"/>
      <c r="K7514" s="1362"/>
      <c r="L7514" s="1362"/>
    </row>
    <row r="7515" spans="1:12" x14ac:dyDescent="0.25">
      <c r="A7515" t="s">
        <v>15862</v>
      </c>
      <c r="B7515" t="s">
        <v>15863</v>
      </c>
      <c r="C7515" t="s">
        <v>2598</v>
      </c>
      <c r="D7515" s="254">
        <v>20313.990000000002</v>
      </c>
      <c r="E7515"/>
      <c r="F7515"/>
      <c r="G7515"/>
      <c r="H7515"/>
      <c r="I7515" s="489"/>
      <c r="J7515" s="1362"/>
      <c r="K7515" s="1362"/>
      <c r="L7515" s="1362"/>
    </row>
    <row r="7516" spans="1:12" x14ac:dyDescent="0.25">
      <c r="A7516" t="s">
        <v>15864</v>
      </c>
      <c r="B7516" t="s">
        <v>15865</v>
      </c>
      <c r="C7516" t="s">
        <v>2598</v>
      </c>
      <c r="D7516" s="254">
        <v>21194.720000000001</v>
      </c>
      <c r="E7516"/>
      <c r="F7516"/>
      <c r="G7516"/>
      <c r="H7516"/>
      <c r="I7516" s="489"/>
      <c r="J7516" s="1362"/>
      <c r="K7516" s="1362"/>
      <c r="L7516" s="1362"/>
    </row>
    <row r="7517" spans="1:12" x14ac:dyDescent="0.25">
      <c r="A7517" t="s">
        <v>15866</v>
      </c>
      <c r="B7517" t="s">
        <v>15867</v>
      </c>
      <c r="C7517" t="s">
        <v>2598</v>
      </c>
      <c r="D7517" s="254">
        <v>22234.32</v>
      </c>
      <c r="E7517"/>
      <c r="F7517"/>
      <c r="G7517"/>
      <c r="H7517"/>
      <c r="I7517" s="489"/>
      <c r="J7517" s="1362"/>
      <c r="K7517" s="1362"/>
      <c r="L7517" s="1362"/>
    </row>
    <row r="7518" spans="1:12" x14ac:dyDescent="0.25">
      <c r="A7518" t="s">
        <v>15868</v>
      </c>
      <c r="B7518" t="s">
        <v>15869</v>
      </c>
      <c r="C7518" t="s">
        <v>2598</v>
      </c>
      <c r="D7518" s="254">
        <v>26667.47</v>
      </c>
      <c r="E7518"/>
      <c r="F7518"/>
      <c r="G7518"/>
      <c r="H7518"/>
      <c r="I7518" s="489"/>
      <c r="J7518" s="1362"/>
      <c r="K7518" s="1362"/>
      <c r="L7518" s="1362"/>
    </row>
    <row r="7519" spans="1:12" x14ac:dyDescent="0.25">
      <c r="A7519" t="s">
        <v>15870</v>
      </c>
      <c r="B7519" t="s">
        <v>15871</v>
      </c>
      <c r="C7519" t="s">
        <v>2598</v>
      </c>
      <c r="D7519" s="254">
        <v>27947.4</v>
      </c>
      <c r="E7519"/>
      <c r="F7519"/>
      <c r="G7519"/>
      <c r="H7519"/>
      <c r="I7519" s="489"/>
      <c r="J7519" s="1362"/>
      <c r="K7519" s="1362"/>
      <c r="L7519" s="1362"/>
    </row>
    <row r="7520" spans="1:12" x14ac:dyDescent="0.25">
      <c r="A7520" t="s">
        <v>15872</v>
      </c>
      <c r="B7520" t="s">
        <v>15873</v>
      </c>
      <c r="C7520" t="s">
        <v>2598</v>
      </c>
      <c r="D7520" s="254">
        <v>4407.55</v>
      </c>
      <c r="E7520"/>
      <c r="F7520"/>
      <c r="G7520"/>
      <c r="H7520"/>
      <c r="I7520" s="489"/>
      <c r="J7520" s="1362"/>
      <c r="K7520" s="1362"/>
      <c r="L7520" s="1362"/>
    </row>
    <row r="7521" spans="1:12" x14ac:dyDescent="0.25">
      <c r="A7521" t="s">
        <v>15874</v>
      </c>
      <c r="B7521" t="s">
        <v>15875</v>
      </c>
      <c r="C7521" t="s">
        <v>2598</v>
      </c>
      <c r="D7521" s="254">
        <v>5004.42</v>
      </c>
      <c r="E7521"/>
      <c r="F7521"/>
      <c r="G7521"/>
      <c r="H7521"/>
      <c r="I7521" s="489"/>
      <c r="J7521" s="1362"/>
      <c r="K7521" s="1362"/>
      <c r="L7521" s="1362"/>
    </row>
    <row r="7522" spans="1:12" x14ac:dyDescent="0.25">
      <c r="A7522" t="s">
        <v>15876</v>
      </c>
      <c r="B7522" t="s">
        <v>15877</v>
      </c>
      <c r="C7522" t="s">
        <v>2598</v>
      </c>
      <c r="D7522" s="254">
        <v>5922.68</v>
      </c>
      <c r="E7522"/>
      <c r="F7522"/>
      <c r="G7522"/>
      <c r="H7522"/>
      <c r="I7522" s="489"/>
      <c r="J7522" s="1362"/>
      <c r="K7522" s="1362"/>
      <c r="L7522" s="1362"/>
    </row>
    <row r="7523" spans="1:12" x14ac:dyDescent="0.25">
      <c r="A7523" t="s">
        <v>15878</v>
      </c>
      <c r="B7523" t="s">
        <v>15879</v>
      </c>
      <c r="C7523" t="s">
        <v>2598</v>
      </c>
      <c r="D7523" s="254">
        <v>6758.56</v>
      </c>
      <c r="E7523"/>
      <c r="F7523"/>
      <c r="G7523"/>
      <c r="H7523"/>
      <c r="I7523" s="489"/>
      <c r="J7523" s="1362"/>
      <c r="K7523" s="1362"/>
      <c r="L7523" s="1362"/>
    </row>
    <row r="7524" spans="1:12" x14ac:dyDescent="0.25">
      <c r="A7524" t="s">
        <v>15880</v>
      </c>
      <c r="B7524" t="s">
        <v>15881</v>
      </c>
      <c r="C7524" t="s">
        <v>2598</v>
      </c>
      <c r="D7524" s="254">
        <v>7448.33</v>
      </c>
      <c r="E7524"/>
      <c r="F7524"/>
      <c r="G7524"/>
      <c r="H7524"/>
      <c r="I7524" s="489"/>
      <c r="J7524" s="1362"/>
      <c r="K7524" s="1362"/>
      <c r="L7524" s="1362"/>
    </row>
    <row r="7525" spans="1:12" x14ac:dyDescent="0.25">
      <c r="A7525" t="s">
        <v>15882</v>
      </c>
      <c r="B7525" t="s">
        <v>15883</v>
      </c>
      <c r="C7525" t="s">
        <v>2598</v>
      </c>
      <c r="D7525" s="254">
        <v>8230.5</v>
      </c>
      <c r="E7525"/>
      <c r="F7525"/>
      <c r="G7525"/>
      <c r="H7525"/>
      <c r="I7525" s="489"/>
      <c r="J7525" s="1362"/>
      <c r="K7525" s="1362"/>
      <c r="L7525" s="1362"/>
    </row>
    <row r="7526" spans="1:12" x14ac:dyDescent="0.25">
      <c r="A7526" t="s">
        <v>15884</v>
      </c>
      <c r="B7526" t="s">
        <v>15885</v>
      </c>
      <c r="C7526" t="s">
        <v>2598</v>
      </c>
      <c r="D7526" s="254">
        <v>8874.0400000000009</v>
      </c>
      <c r="E7526"/>
      <c r="F7526"/>
      <c r="G7526"/>
      <c r="H7526"/>
      <c r="I7526" s="489"/>
      <c r="J7526" s="1362"/>
      <c r="K7526" s="1362"/>
      <c r="L7526" s="1362"/>
    </row>
    <row r="7527" spans="1:12" x14ac:dyDescent="0.25">
      <c r="A7527" t="s">
        <v>15886</v>
      </c>
      <c r="B7527" t="s">
        <v>15887</v>
      </c>
      <c r="C7527" t="s">
        <v>2598</v>
      </c>
      <c r="D7527" s="254">
        <v>9655.4500000000007</v>
      </c>
      <c r="E7527"/>
      <c r="F7527"/>
      <c r="G7527"/>
      <c r="H7527"/>
      <c r="I7527" s="489"/>
      <c r="J7527" s="1362"/>
      <c r="K7527" s="1362"/>
      <c r="L7527" s="1362"/>
    </row>
    <row r="7528" spans="1:12" x14ac:dyDescent="0.25">
      <c r="A7528" t="s">
        <v>15888</v>
      </c>
      <c r="B7528" t="s">
        <v>15889</v>
      </c>
      <c r="C7528" t="s">
        <v>2598</v>
      </c>
      <c r="D7528" s="254">
        <v>10344.709999999999</v>
      </c>
      <c r="E7528"/>
      <c r="F7528"/>
      <c r="G7528"/>
      <c r="H7528"/>
      <c r="I7528" s="489"/>
      <c r="J7528" s="1362"/>
      <c r="K7528" s="1362"/>
      <c r="L7528" s="1362"/>
    </row>
    <row r="7529" spans="1:12" x14ac:dyDescent="0.25">
      <c r="A7529" t="s">
        <v>15890</v>
      </c>
      <c r="B7529" t="s">
        <v>15891</v>
      </c>
      <c r="C7529" t="s">
        <v>2598</v>
      </c>
      <c r="D7529" s="254">
        <v>11172.71</v>
      </c>
      <c r="E7529"/>
      <c r="F7529"/>
      <c r="G7529"/>
      <c r="H7529"/>
      <c r="I7529" s="489"/>
      <c r="J7529" s="1362"/>
      <c r="K7529" s="1362"/>
      <c r="L7529" s="1362"/>
    </row>
    <row r="7530" spans="1:12" x14ac:dyDescent="0.25">
      <c r="A7530" t="s">
        <v>15892</v>
      </c>
      <c r="B7530" t="s">
        <v>15893</v>
      </c>
      <c r="C7530" t="s">
        <v>2598</v>
      </c>
      <c r="D7530" s="254">
        <v>13699.8</v>
      </c>
      <c r="E7530"/>
      <c r="F7530"/>
      <c r="G7530"/>
      <c r="H7530"/>
      <c r="I7530" s="489"/>
      <c r="J7530" s="1362"/>
      <c r="K7530" s="1362"/>
      <c r="L7530" s="1362"/>
    </row>
    <row r="7531" spans="1:12" x14ac:dyDescent="0.25">
      <c r="A7531" t="s">
        <v>15894</v>
      </c>
      <c r="B7531" t="s">
        <v>15895</v>
      </c>
      <c r="C7531" t="s">
        <v>2598</v>
      </c>
      <c r="D7531" s="254">
        <v>1384.52</v>
      </c>
      <c r="E7531"/>
      <c r="F7531"/>
      <c r="G7531"/>
      <c r="H7531"/>
      <c r="I7531" s="489"/>
      <c r="J7531" s="1362"/>
      <c r="K7531" s="1362"/>
      <c r="L7531" s="1362"/>
    </row>
    <row r="7532" spans="1:12" x14ac:dyDescent="0.25">
      <c r="A7532" t="s">
        <v>15896</v>
      </c>
      <c r="B7532" t="s">
        <v>15897</v>
      </c>
      <c r="C7532" t="s">
        <v>2598</v>
      </c>
      <c r="D7532" s="254">
        <v>1600.85</v>
      </c>
      <c r="E7532"/>
      <c r="F7532"/>
      <c r="G7532"/>
      <c r="H7532"/>
      <c r="I7532" s="489"/>
      <c r="J7532" s="1362"/>
      <c r="K7532" s="1362"/>
      <c r="L7532" s="1362"/>
    </row>
    <row r="7533" spans="1:12" x14ac:dyDescent="0.25">
      <c r="A7533" t="s">
        <v>15898</v>
      </c>
      <c r="B7533" t="s">
        <v>15899</v>
      </c>
      <c r="C7533" t="s">
        <v>2598</v>
      </c>
      <c r="D7533" s="254">
        <v>1817.19</v>
      </c>
      <c r="E7533"/>
      <c r="F7533"/>
      <c r="G7533"/>
      <c r="H7533"/>
      <c r="I7533" s="489"/>
      <c r="J7533" s="1362"/>
      <c r="K7533" s="1362"/>
      <c r="L7533" s="1362"/>
    </row>
    <row r="7534" spans="1:12" x14ac:dyDescent="0.25">
      <c r="A7534" t="s">
        <v>15900</v>
      </c>
      <c r="B7534" t="s">
        <v>15901</v>
      </c>
      <c r="C7534" t="s">
        <v>2598</v>
      </c>
      <c r="D7534" s="254">
        <v>1990.26</v>
      </c>
      <c r="E7534"/>
      <c r="F7534"/>
      <c r="G7534"/>
      <c r="H7534"/>
      <c r="I7534" s="489"/>
      <c r="J7534" s="1362"/>
      <c r="K7534" s="1362"/>
      <c r="L7534" s="1362"/>
    </row>
    <row r="7535" spans="1:12" x14ac:dyDescent="0.25">
      <c r="A7535" t="s">
        <v>15902</v>
      </c>
      <c r="B7535" t="s">
        <v>15903</v>
      </c>
      <c r="C7535" t="s">
        <v>2598</v>
      </c>
      <c r="D7535" s="254">
        <v>2206.59</v>
      </c>
      <c r="E7535"/>
      <c r="F7535"/>
      <c r="G7535"/>
      <c r="H7535"/>
      <c r="I7535" s="489"/>
      <c r="J7535" s="1362"/>
      <c r="K7535" s="1362"/>
      <c r="L7535" s="1362"/>
    </row>
    <row r="7536" spans="1:12" x14ac:dyDescent="0.25">
      <c r="A7536" t="s">
        <v>15904</v>
      </c>
      <c r="B7536" t="s">
        <v>15905</v>
      </c>
      <c r="C7536" t="s">
        <v>2598</v>
      </c>
      <c r="D7536" s="254">
        <v>2509.46</v>
      </c>
      <c r="E7536"/>
      <c r="F7536"/>
      <c r="G7536"/>
      <c r="H7536"/>
      <c r="I7536" s="489"/>
      <c r="J7536" s="1362"/>
      <c r="K7536" s="1362"/>
      <c r="L7536" s="1362"/>
    </row>
    <row r="7537" spans="1:12" x14ac:dyDescent="0.25">
      <c r="A7537" t="s">
        <v>15906</v>
      </c>
      <c r="B7537" t="s">
        <v>15907</v>
      </c>
      <c r="C7537" t="s">
        <v>2598</v>
      </c>
      <c r="D7537" s="254">
        <v>2682.54</v>
      </c>
      <c r="E7537"/>
      <c r="F7537"/>
      <c r="G7537"/>
      <c r="H7537"/>
      <c r="I7537" s="489"/>
      <c r="J7537" s="1362"/>
      <c r="K7537" s="1362"/>
      <c r="L7537" s="1362"/>
    </row>
    <row r="7538" spans="1:12" x14ac:dyDescent="0.25">
      <c r="A7538" t="s">
        <v>15908</v>
      </c>
      <c r="B7538" t="s">
        <v>15909</v>
      </c>
      <c r="C7538" t="s">
        <v>2598</v>
      </c>
      <c r="D7538" s="254">
        <v>2898.87</v>
      </c>
      <c r="E7538"/>
      <c r="F7538"/>
      <c r="G7538"/>
      <c r="H7538"/>
      <c r="I7538" s="489"/>
      <c r="J7538" s="1362"/>
      <c r="K7538" s="1362"/>
      <c r="L7538" s="1362"/>
    </row>
    <row r="7539" spans="1:12" x14ac:dyDescent="0.25">
      <c r="A7539" t="s">
        <v>15910</v>
      </c>
      <c r="B7539" t="s">
        <v>15911</v>
      </c>
      <c r="C7539" t="s">
        <v>2598</v>
      </c>
      <c r="D7539" s="254">
        <v>3063.6</v>
      </c>
      <c r="E7539"/>
      <c r="F7539"/>
      <c r="G7539"/>
      <c r="H7539"/>
      <c r="I7539" s="489"/>
      <c r="J7539" s="1362"/>
      <c r="K7539" s="1362"/>
      <c r="L7539" s="1362"/>
    </row>
    <row r="7540" spans="1:12" x14ac:dyDescent="0.25">
      <c r="A7540" t="s">
        <v>15912</v>
      </c>
      <c r="B7540" t="s">
        <v>15913</v>
      </c>
      <c r="C7540" t="s">
        <v>2598</v>
      </c>
      <c r="D7540" s="254">
        <v>3288.24</v>
      </c>
      <c r="E7540"/>
      <c r="F7540"/>
      <c r="G7540"/>
      <c r="H7540"/>
      <c r="I7540" s="489"/>
      <c r="J7540" s="1362"/>
      <c r="K7540" s="1362"/>
      <c r="L7540" s="1362"/>
    </row>
    <row r="7541" spans="1:12" x14ac:dyDescent="0.25">
      <c r="A7541" t="s">
        <v>15914</v>
      </c>
      <c r="B7541" t="s">
        <v>15915</v>
      </c>
      <c r="C7541" t="s">
        <v>2598</v>
      </c>
      <c r="D7541" s="254">
        <v>3504.6</v>
      </c>
      <c r="E7541"/>
      <c r="F7541"/>
      <c r="G7541"/>
      <c r="H7541"/>
      <c r="I7541" s="489"/>
      <c r="J7541" s="1362"/>
      <c r="K7541" s="1362"/>
      <c r="L7541" s="1362"/>
    </row>
    <row r="7542" spans="1:12" x14ac:dyDescent="0.25">
      <c r="A7542" t="s">
        <v>15916</v>
      </c>
      <c r="B7542" t="s">
        <v>15917</v>
      </c>
      <c r="C7542" t="s">
        <v>2598</v>
      </c>
      <c r="D7542" s="254">
        <v>3677.67</v>
      </c>
      <c r="E7542"/>
      <c r="F7542"/>
      <c r="G7542"/>
      <c r="H7542"/>
      <c r="I7542" s="489"/>
      <c r="J7542" s="1362"/>
      <c r="K7542" s="1362"/>
      <c r="L7542" s="1362"/>
    </row>
    <row r="7543" spans="1:12" x14ac:dyDescent="0.25">
      <c r="A7543" t="s">
        <v>15918</v>
      </c>
      <c r="B7543" t="s">
        <v>15919</v>
      </c>
      <c r="C7543" t="s">
        <v>2598</v>
      </c>
      <c r="D7543" s="254">
        <v>3893.97</v>
      </c>
      <c r="E7543"/>
      <c r="F7543"/>
      <c r="G7543"/>
      <c r="H7543"/>
      <c r="I7543" s="489"/>
      <c r="J7543" s="1362"/>
      <c r="K7543" s="1362"/>
      <c r="L7543" s="1362"/>
    </row>
    <row r="7544" spans="1:12" x14ac:dyDescent="0.25">
      <c r="A7544" t="s">
        <v>15920</v>
      </c>
      <c r="B7544" t="s">
        <v>15921</v>
      </c>
      <c r="C7544" t="s">
        <v>2598</v>
      </c>
      <c r="D7544" s="254">
        <v>4577.5</v>
      </c>
      <c r="E7544"/>
      <c r="F7544"/>
      <c r="G7544"/>
      <c r="H7544"/>
      <c r="I7544" s="489"/>
      <c r="J7544" s="1362"/>
      <c r="K7544" s="1362"/>
      <c r="L7544" s="1362"/>
    </row>
    <row r="7545" spans="1:12" x14ac:dyDescent="0.25">
      <c r="A7545" t="s">
        <v>15922</v>
      </c>
      <c r="B7545" t="s">
        <v>15923</v>
      </c>
      <c r="C7545" t="s">
        <v>2598</v>
      </c>
      <c r="D7545" s="254">
        <v>4824.96</v>
      </c>
      <c r="E7545"/>
      <c r="F7545"/>
      <c r="G7545"/>
      <c r="H7545"/>
      <c r="I7545" s="489"/>
      <c r="J7545" s="1362"/>
      <c r="K7545" s="1362"/>
      <c r="L7545" s="1362"/>
    </row>
    <row r="7546" spans="1:12" x14ac:dyDescent="0.25">
      <c r="A7546" t="s">
        <v>15924</v>
      </c>
      <c r="B7546" t="s">
        <v>15925</v>
      </c>
      <c r="C7546" t="s">
        <v>2598</v>
      </c>
      <c r="D7546" s="254">
        <v>5154.8100000000004</v>
      </c>
      <c r="E7546"/>
      <c r="F7546"/>
      <c r="G7546"/>
      <c r="H7546"/>
      <c r="I7546" s="489"/>
      <c r="J7546" s="1362"/>
      <c r="K7546" s="1362"/>
      <c r="L7546" s="1362"/>
    </row>
    <row r="7547" spans="1:12" x14ac:dyDescent="0.25">
      <c r="A7547" t="s">
        <v>15926</v>
      </c>
      <c r="B7547" t="s">
        <v>15927</v>
      </c>
      <c r="C7547" t="s">
        <v>2598</v>
      </c>
      <c r="D7547" s="254">
        <v>5278.59</v>
      </c>
      <c r="E7547"/>
      <c r="F7547"/>
      <c r="G7547"/>
      <c r="H7547"/>
      <c r="I7547" s="489"/>
      <c r="J7547" s="1362"/>
      <c r="K7547" s="1362"/>
      <c r="L7547" s="1362"/>
    </row>
    <row r="7548" spans="1:12" x14ac:dyDescent="0.25">
      <c r="A7548" t="s">
        <v>15928</v>
      </c>
      <c r="B7548" t="s">
        <v>15929</v>
      </c>
      <c r="C7548" t="s">
        <v>2598</v>
      </c>
      <c r="D7548" s="254">
        <v>5484.76</v>
      </c>
      <c r="E7548"/>
      <c r="F7548"/>
      <c r="G7548"/>
      <c r="H7548"/>
      <c r="I7548" s="489"/>
      <c r="J7548" s="1362"/>
      <c r="K7548" s="1362"/>
      <c r="L7548" s="1362"/>
    </row>
    <row r="7549" spans="1:12" x14ac:dyDescent="0.25">
      <c r="A7549" t="s">
        <v>15930</v>
      </c>
      <c r="B7549" t="s">
        <v>15931</v>
      </c>
      <c r="C7549" t="s">
        <v>2598</v>
      </c>
      <c r="D7549" s="254">
        <v>7303.22</v>
      </c>
      <c r="E7549"/>
      <c r="F7549"/>
      <c r="G7549"/>
      <c r="H7549"/>
      <c r="I7549" s="489"/>
      <c r="J7549" s="1362"/>
      <c r="K7549" s="1362"/>
      <c r="L7549" s="1362"/>
    </row>
    <row r="7550" spans="1:12" x14ac:dyDescent="0.25">
      <c r="A7550" t="s">
        <v>15932</v>
      </c>
      <c r="B7550" t="s">
        <v>15933</v>
      </c>
      <c r="C7550" t="s">
        <v>2598</v>
      </c>
      <c r="D7550" s="254">
        <v>9258.9500000000007</v>
      </c>
      <c r="E7550"/>
      <c r="F7550"/>
      <c r="G7550"/>
      <c r="H7550"/>
      <c r="I7550" s="489"/>
      <c r="J7550" s="1362"/>
      <c r="K7550" s="1362"/>
      <c r="L7550" s="1362"/>
    </row>
    <row r="7551" spans="1:12" x14ac:dyDescent="0.25">
      <c r="A7551" t="s">
        <v>15934</v>
      </c>
      <c r="B7551" t="s">
        <v>15935</v>
      </c>
      <c r="C7551" t="s">
        <v>2598</v>
      </c>
      <c r="D7551" s="254">
        <v>9785.5</v>
      </c>
      <c r="E7551"/>
      <c r="F7551"/>
      <c r="G7551"/>
      <c r="H7551"/>
      <c r="I7551" s="489"/>
      <c r="J7551" s="1362"/>
      <c r="K7551" s="1362"/>
      <c r="L7551" s="1362"/>
    </row>
    <row r="7552" spans="1:12" x14ac:dyDescent="0.25">
      <c r="A7552" t="s">
        <v>15936</v>
      </c>
      <c r="B7552" t="s">
        <v>15937</v>
      </c>
      <c r="C7552" t="s">
        <v>2598</v>
      </c>
      <c r="D7552" s="254">
        <v>9974.0400000000009</v>
      </c>
      <c r="E7552"/>
      <c r="F7552"/>
      <c r="G7552"/>
      <c r="H7552"/>
      <c r="I7552" s="489"/>
      <c r="J7552" s="1362"/>
      <c r="K7552" s="1362"/>
      <c r="L7552" s="1362"/>
    </row>
    <row r="7553" spans="1:12" x14ac:dyDescent="0.25">
      <c r="A7553" t="s">
        <v>15938</v>
      </c>
      <c r="B7553" t="s">
        <v>15939</v>
      </c>
      <c r="C7553" t="s">
        <v>2598</v>
      </c>
      <c r="D7553" s="254">
        <v>10463.39</v>
      </c>
      <c r="E7553"/>
      <c r="F7553"/>
      <c r="G7553"/>
      <c r="H7553"/>
      <c r="I7553" s="489"/>
      <c r="J7553" s="1362"/>
      <c r="K7553" s="1362"/>
      <c r="L7553" s="1362"/>
    </row>
    <row r="7554" spans="1:12" x14ac:dyDescent="0.25">
      <c r="A7554" t="s">
        <v>15940</v>
      </c>
      <c r="B7554" t="s">
        <v>15941</v>
      </c>
      <c r="C7554" t="s">
        <v>2598</v>
      </c>
      <c r="D7554" s="254">
        <v>6893.38</v>
      </c>
      <c r="E7554"/>
      <c r="F7554"/>
      <c r="G7554"/>
      <c r="H7554"/>
      <c r="I7554" s="489"/>
      <c r="J7554" s="1362"/>
      <c r="K7554" s="1362"/>
      <c r="L7554" s="1362"/>
    </row>
    <row r="7555" spans="1:12" x14ac:dyDescent="0.25">
      <c r="A7555" t="s">
        <v>15942</v>
      </c>
      <c r="B7555" t="s">
        <v>15943</v>
      </c>
      <c r="C7555" t="s">
        <v>2598</v>
      </c>
      <c r="D7555" s="254">
        <v>8335.17</v>
      </c>
      <c r="E7555"/>
      <c r="F7555"/>
      <c r="G7555"/>
      <c r="H7555"/>
      <c r="I7555" s="489"/>
      <c r="J7555" s="1362"/>
      <c r="K7555" s="1362"/>
      <c r="L7555" s="1362"/>
    </row>
    <row r="7556" spans="1:12" x14ac:dyDescent="0.25">
      <c r="A7556" t="s">
        <v>15944</v>
      </c>
      <c r="B7556" t="s">
        <v>15945</v>
      </c>
      <c r="C7556" t="s">
        <v>2598</v>
      </c>
      <c r="D7556" s="254">
        <v>8605.59</v>
      </c>
      <c r="E7556"/>
      <c r="F7556"/>
      <c r="G7556"/>
      <c r="H7556"/>
      <c r="I7556" s="489"/>
      <c r="J7556" s="1362"/>
      <c r="K7556" s="1362"/>
      <c r="L7556" s="1362"/>
    </row>
    <row r="7557" spans="1:12" x14ac:dyDescent="0.25">
      <c r="A7557" t="s">
        <v>15946</v>
      </c>
      <c r="B7557" t="s">
        <v>15947</v>
      </c>
      <c r="C7557" t="s">
        <v>2598</v>
      </c>
      <c r="D7557" s="254">
        <v>9776.98</v>
      </c>
      <c r="E7557"/>
      <c r="F7557"/>
      <c r="G7557"/>
      <c r="H7557"/>
      <c r="I7557" s="489"/>
      <c r="J7557" s="1362"/>
      <c r="K7557" s="1362"/>
      <c r="L7557" s="1362"/>
    </row>
    <row r="7558" spans="1:12" x14ac:dyDescent="0.25">
      <c r="A7558" t="s">
        <v>15948</v>
      </c>
      <c r="B7558" t="s">
        <v>15949</v>
      </c>
      <c r="C7558" t="s">
        <v>2598</v>
      </c>
      <c r="D7558" s="254">
        <v>10317.700000000001</v>
      </c>
      <c r="E7558"/>
      <c r="F7558"/>
      <c r="G7558"/>
      <c r="H7558"/>
      <c r="I7558" s="489"/>
      <c r="J7558" s="1362"/>
      <c r="K7558" s="1362"/>
      <c r="L7558" s="1362"/>
    </row>
    <row r="7559" spans="1:12" x14ac:dyDescent="0.25">
      <c r="A7559" t="s">
        <v>15950</v>
      </c>
      <c r="B7559" t="s">
        <v>15951</v>
      </c>
      <c r="C7559" t="s">
        <v>2598</v>
      </c>
      <c r="D7559" s="254">
        <v>12075.11</v>
      </c>
      <c r="E7559"/>
      <c r="F7559"/>
      <c r="G7559"/>
      <c r="H7559"/>
      <c r="I7559" s="489"/>
      <c r="J7559" s="1362"/>
      <c r="K7559" s="1362"/>
      <c r="L7559" s="1362"/>
    </row>
    <row r="7560" spans="1:12" x14ac:dyDescent="0.25">
      <c r="A7560" t="s">
        <v>15952</v>
      </c>
      <c r="B7560" t="s">
        <v>15953</v>
      </c>
      <c r="C7560" t="s">
        <v>2598</v>
      </c>
      <c r="D7560" s="254">
        <v>13786.76</v>
      </c>
      <c r="E7560"/>
      <c r="F7560"/>
      <c r="G7560"/>
      <c r="H7560"/>
      <c r="I7560" s="489"/>
      <c r="J7560" s="1362"/>
      <c r="K7560" s="1362"/>
      <c r="L7560" s="1362"/>
    </row>
    <row r="7561" spans="1:12" x14ac:dyDescent="0.25">
      <c r="A7561" t="s">
        <v>15954</v>
      </c>
      <c r="B7561" t="s">
        <v>15955</v>
      </c>
      <c r="C7561" t="s">
        <v>2598</v>
      </c>
      <c r="D7561" s="254">
        <v>14643.1</v>
      </c>
      <c r="E7561"/>
      <c r="F7561"/>
      <c r="G7561"/>
      <c r="H7561"/>
      <c r="I7561" s="489"/>
      <c r="J7561" s="1362"/>
      <c r="K7561" s="1362"/>
      <c r="L7561" s="1362"/>
    </row>
    <row r="7562" spans="1:12" x14ac:dyDescent="0.25">
      <c r="A7562" t="s">
        <v>15956</v>
      </c>
      <c r="B7562" t="s">
        <v>15957</v>
      </c>
      <c r="C7562" t="s">
        <v>2598</v>
      </c>
      <c r="D7562" s="254">
        <v>15499.48</v>
      </c>
      <c r="E7562"/>
      <c r="F7562"/>
      <c r="G7562"/>
      <c r="H7562"/>
      <c r="I7562" s="489"/>
      <c r="J7562" s="1362"/>
      <c r="K7562" s="1362"/>
      <c r="L7562" s="1362"/>
    </row>
    <row r="7563" spans="1:12" x14ac:dyDescent="0.25">
      <c r="A7563" t="s">
        <v>15958</v>
      </c>
      <c r="B7563" t="s">
        <v>15959</v>
      </c>
      <c r="C7563" t="s">
        <v>2598</v>
      </c>
      <c r="D7563" s="254">
        <v>16626.09</v>
      </c>
      <c r="E7563"/>
      <c r="F7563"/>
      <c r="G7563"/>
      <c r="H7563"/>
      <c r="I7563" s="489"/>
      <c r="J7563" s="1362"/>
      <c r="K7563" s="1362"/>
      <c r="L7563" s="1362"/>
    </row>
    <row r="7564" spans="1:12" x14ac:dyDescent="0.25">
      <c r="A7564" t="s">
        <v>15960</v>
      </c>
      <c r="B7564" t="s">
        <v>15961</v>
      </c>
      <c r="C7564" t="s">
        <v>2598</v>
      </c>
      <c r="D7564" s="254">
        <v>17211.7</v>
      </c>
      <c r="E7564"/>
      <c r="F7564"/>
      <c r="G7564"/>
      <c r="H7564"/>
      <c r="I7564" s="489"/>
      <c r="J7564" s="1362"/>
      <c r="K7564" s="1362"/>
      <c r="L7564" s="1362"/>
    </row>
    <row r="7565" spans="1:12" x14ac:dyDescent="0.25">
      <c r="A7565" t="s">
        <v>15962</v>
      </c>
      <c r="B7565" t="s">
        <v>15963</v>
      </c>
      <c r="C7565" t="s">
        <v>2598</v>
      </c>
      <c r="D7565" s="254">
        <v>18969.13</v>
      </c>
      <c r="E7565"/>
      <c r="F7565"/>
      <c r="G7565"/>
      <c r="H7565"/>
      <c r="I7565" s="489"/>
      <c r="J7565" s="1362"/>
      <c r="K7565" s="1362"/>
      <c r="L7565" s="1362"/>
    </row>
    <row r="7566" spans="1:12" x14ac:dyDescent="0.25">
      <c r="A7566" t="s">
        <v>15964</v>
      </c>
      <c r="B7566" t="s">
        <v>15965</v>
      </c>
      <c r="C7566" t="s">
        <v>2598</v>
      </c>
      <c r="D7566" s="254">
        <v>20675.669999999998</v>
      </c>
      <c r="E7566"/>
      <c r="F7566"/>
      <c r="G7566"/>
      <c r="H7566"/>
      <c r="I7566" s="489"/>
      <c r="J7566" s="1362"/>
      <c r="K7566" s="1362"/>
      <c r="L7566" s="1362"/>
    </row>
    <row r="7567" spans="1:12" x14ac:dyDescent="0.25">
      <c r="A7567" t="s">
        <v>15966</v>
      </c>
      <c r="B7567" t="s">
        <v>15967</v>
      </c>
      <c r="C7567" t="s">
        <v>2598</v>
      </c>
      <c r="D7567" s="254">
        <v>23651.25</v>
      </c>
      <c r="E7567"/>
      <c r="F7567"/>
      <c r="G7567"/>
      <c r="H7567"/>
      <c r="I7567" s="489"/>
      <c r="J7567" s="1362"/>
      <c r="K7567" s="1362"/>
      <c r="L7567" s="1362"/>
    </row>
    <row r="7568" spans="1:12" x14ac:dyDescent="0.25">
      <c r="A7568" t="s">
        <v>15968</v>
      </c>
      <c r="B7568" t="s">
        <v>15969</v>
      </c>
      <c r="C7568" t="s">
        <v>2598</v>
      </c>
      <c r="D7568" s="254">
        <v>24319.05</v>
      </c>
      <c r="E7568"/>
      <c r="F7568"/>
      <c r="G7568"/>
      <c r="H7568"/>
      <c r="I7568" s="489"/>
      <c r="J7568" s="1362"/>
      <c r="K7568" s="1362"/>
      <c r="L7568" s="1362"/>
    </row>
    <row r="7569" spans="1:12" x14ac:dyDescent="0.25">
      <c r="A7569" t="s">
        <v>15970</v>
      </c>
      <c r="B7569" t="s">
        <v>15971</v>
      </c>
      <c r="C7569" t="s">
        <v>2598</v>
      </c>
      <c r="D7569" s="254">
        <v>30695.29</v>
      </c>
      <c r="E7569"/>
      <c r="F7569"/>
      <c r="G7569"/>
      <c r="H7569"/>
      <c r="I7569" s="489"/>
      <c r="J7569" s="1362"/>
      <c r="K7569" s="1362"/>
      <c r="L7569" s="1362"/>
    </row>
    <row r="7570" spans="1:12" x14ac:dyDescent="0.25">
      <c r="A7570" t="s">
        <v>15972</v>
      </c>
      <c r="B7570" t="s">
        <v>15973</v>
      </c>
      <c r="C7570" t="s">
        <v>2598</v>
      </c>
      <c r="D7570" s="254">
        <v>32891.29</v>
      </c>
      <c r="E7570"/>
      <c r="F7570"/>
      <c r="G7570"/>
      <c r="H7570"/>
      <c r="I7570" s="489"/>
      <c r="J7570" s="1362"/>
      <c r="K7570" s="1362"/>
      <c r="L7570" s="1362"/>
    </row>
    <row r="7571" spans="1:12" x14ac:dyDescent="0.25">
      <c r="A7571" t="s">
        <v>15974</v>
      </c>
      <c r="B7571" t="s">
        <v>15975</v>
      </c>
      <c r="C7571" t="s">
        <v>2598</v>
      </c>
      <c r="D7571" s="254">
        <v>40519.97</v>
      </c>
      <c r="E7571"/>
      <c r="F7571"/>
      <c r="G7571"/>
      <c r="H7571"/>
      <c r="I7571" s="489"/>
      <c r="J7571" s="1362"/>
      <c r="K7571" s="1362"/>
      <c r="L7571" s="1362"/>
    </row>
    <row r="7572" spans="1:12" x14ac:dyDescent="0.25">
      <c r="A7572" t="s">
        <v>15976</v>
      </c>
      <c r="B7572" t="s">
        <v>15977</v>
      </c>
      <c r="C7572" t="s">
        <v>2598</v>
      </c>
      <c r="D7572" s="254">
        <v>48526.66</v>
      </c>
      <c r="E7572"/>
      <c r="F7572"/>
      <c r="G7572"/>
      <c r="H7572"/>
      <c r="I7572" s="489"/>
      <c r="J7572" s="1362"/>
      <c r="K7572" s="1362"/>
      <c r="L7572" s="1362"/>
    </row>
    <row r="7573" spans="1:12" x14ac:dyDescent="0.25">
      <c r="A7573" t="s">
        <v>15978</v>
      </c>
      <c r="B7573" t="s">
        <v>15979</v>
      </c>
      <c r="C7573" t="s">
        <v>2598</v>
      </c>
      <c r="D7573" s="254">
        <v>51377.52</v>
      </c>
      <c r="E7573"/>
      <c r="F7573"/>
      <c r="G7573"/>
      <c r="H7573"/>
      <c r="I7573" s="489"/>
      <c r="J7573" s="1362"/>
      <c r="K7573" s="1362"/>
      <c r="L7573" s="1362"/>
    </row>
    <row r="7574" spans="1:12" x14ac:dyDescent="0.25">
      <c r="A7574" t="s">
        <v>15980</v>
      </c>
      <c r="B7574" t="s">
        <v>15981</v>
      </c>
      <c r="C7574" t="s">
        <v>2598</v>
      </c>
      <c r="D7574" s="254">
        <v>54212.24</v>
      </c>
      <c r="E7574"/>
      <c r="F7574"/>
      <c r="G7574"/>
      <c r="H7574"/>
      <c r="I7574" s="489"/>
      <c r="J7574" s="1362"/>
      <c r="K7574" s="1362"/>
      <c r="L7574" s="1362"/>
    </row>
    <row r="7575" spans="1:12" x14ac:dyDescent="0.25">
      <c r="A7575" t="s">
        <v>15982</v>
      </c>
      <c r="B7575" t="s">
        <v>15983</v>
      </c>
      <c r="C7575" t="s">
        <v>14530</v>
      </c>
      <c r="D7575" s="254">
        <v>0.66</v>
      </c>
      <c r="E7575"/>
      <c r="F7575"/>
      <c r="G7575"/>
      <c r="H7575"/>
      <c r="I7575" s="489"/>
      <c r="J7575" s="1362"/>
      <c r="K7575" s="1362"/>
      <c r="L7575" s="1362"/>
    </row>
    <row r="7576" spans="1:12" x14ac:dyDescent="0.25">
      <c r="A7576" t="s">
        <v>15984</v>
      </c>
      <c r="B7576" t="s">
        <v>15985</v>
      </c>
      <c r="C7576" t="s">
        <v>2596</v>
      </c>
      <c r="D7576" s="254" t="s">
        <v>0</v>
      </c>
      <c r="E7576"/>
      <c r="F7576"/>
      <c r="G7576"/>
      <c r="H7576"/>
      <c r="I7576" s="489"/>
      <c r="J7576" s="1362"/>
      <c r="K7576" s="1362"/>
      <c r="L7576" s="1362"/>
    </row>
    <row r="7577" spans="1:12" x14ac:dyDescent="0.25">
      <c r="A7577" t="s">
        <v>15986</v>
      </c>
      <c r="B7577" t="s">
        <v>15987</v>
      </c>
      <c r="C7577" t="s">
        <v>2596</v>
      </c>
      <c r="D7577" s="254" t="s">
        <v>0</v>
      </c>
      <c r="E7577"/>
      <c r="F7577"/>
      <c r="G7577"/>
      <c r="H7577"/>
      <c r="I7577" s="489"/>
      <c r="J7577" s="1362"/>
      <c r="K7577" s="1362"/>
      <c r="L7577" s="1362"/>
    </row>
    <row r="7578" spans="1:12" x14ac:dyDescent="0.25">
      <c r="A7578" t="s">
        <v>15988</v>
      </c>
      <c r="B7578" t="s">
        <v>15989</v>
      </c>
      <c r="C7578" t="s">
        <v>2596</v>
      </c>
      <c r="D7578" s="254" t="s">
        <v>0</v>
      </c>
      <c r="E7578"/>
      <c r="F7578"/>
      <c r="G7578"/>
      <c r="H7578"/>
      <c r="I7578" s="489"/>
      <c r="J7578" s="1362"/>
      <c r="K7578" s="1362"/>
      <c r="L7578" s="1362"/>
    </row>
    <row r="7579" spans="1:12" x14ac:dyDescent="0.25">
      <c r="A7579" t="s">
        <v>15990</v>
      </c>
      <c r="B7579" t="s">
        <v>15991</v>
      </c>
      <c r="C7579" t="s">
        <v>2640</v>
      </c>
      <c r="D7579" s="254">
        <v>4173.58</v>
      </c>
      <c r="E7579"/>
      <c r="F7579"/>
      <c r="G7579"/>
      <c r="H7579"/>
      <c r="I7579" s="489"/>
      <c r="J7579" s="1362"/>
      <c r="K7579" s="1362"/>
      <c r="L7579" s="1362"/>
    </row>
    <row r="7580" spans="1:12" x14ac:dyDescent="0.25">
      <c r="A7580" t="s">
        <v>15992</v>
      </c>
      <c r="B7580" t="s">
        <v>15993</v>
      </c>
      <c r="C7580" t="s">
        <v>2640</v>
      </c>
      <c r="D7580" s="254">
        <v>8040.87</v>
      </c>
      <c r="E7580"/>
      <c r="F7580"/>
      <c r="G7580"/>
      <c r="H7580"/>
      <c r="I7580" s="489"/>
      <c r="J7580" s="1362"/>
      <c r="K7580" s="1362"/>
      <c r="L7580" s="1362"/>
    </row>
    <row r="7581" spans="1:12" x14ac:dyDescent="0.25">
      <c r="A7581" t="s">
        <v>15994</v>
      </c>
      <c r="B7581" t="s">
        <v>15995</v>
      </c>
      <c r="C7581" t="s">
        <v>2640</v>
      </c>
      <c r="D7581" s="254">
        <v>6292.44</v>
      </c>
      <c r="E7581"/>
      <c r="F7581"/>
      <c r="G7581"/>
      <c r="H7581"/>
      <c r="I7581" s="489"/>
      <c r="J7581" s="1362"/>
      <c r="K7581" s="1362"/>
      <c r="L7581" s="1362"/>
    </row>
    <row r="7582" spans="1:12" x14ac:dyDescent="0.25">
      <c r="A7582" t="s">
        <v>15996</v>
      </c>
      <c r="B7582" t="s">
        <v>15997</v>
      </c>
      <c r="C7582" t="s">
        <v>2640</v>
      </c>
      <c r="D7582" s="254">
        <v>7999.78</v>
      </c>
      <c r="E7582"/>
      <c r="F7582"/>
      <c r="G7582"/>
      <c r="H7582"/>
      <c r="I7582" s="489"/>
      <c r="J7582" s="1362"/>
      <c r="K7582" s="1362"/>
      <c r="L7582" s="1362"/>
    </row>
    <row r="7583" spans="1:12" x14ac:dyDescent="0.25">
      <c r="A7583" t="s">
        <v>15998</v>
      </c>
      <c r="B7583" t="s">
        <v>15999</v>
      </c>
      <c r="C7583" t="s">
        <v>2640</v>
      </c>
      <c r="D7583" s="254">
        <v>10129.09</v>
      </c>
      <c r="E7583"/>
      <c r="F7583"/>
      <c r="G7583"/>
      <c r="H7583"/>
      <c r="I7583" s="489"/>
      <c r="J7583" s="1362"/>
      <c r="K7583" s="1362"/>
      <c r="L7583" s="1362"/>
    </row>
    <row r="7584" spans="1:12" x14ac:dyDescent="0.25">
      <c r="A7584" t="s">
        <v>16000</v>
      </c>
      <c r="B7584" t="s">
        <v>16001</v>
      </c>
      <c r="C7584" t="s">
        <v>2640</v>
      </c>
      <c r="D7584" s="254">
        <v>11656.85</v>
      </c>
      <c r="E7584"/>
      <c r="F7584"/>
      <c r="G7584"/>
      <c r="H7584"/>
      <c r="I7584" s="489"/>
      <c r="J7584" s="1362"/>
      <c r="K7584" s="1362"/>
      <c r="L7584" s="1362"/>
    </row>
    <row r="7585" spans="1:12" x14ac:dyDescent="0.25">
      <c r="A7585" t="s">
        <v>16002</v>
      </c>
      <c r="B7585" t="s">
        <v>16003</v>
      </c>
      <c r="C7585" t="s">
        <v>2640</v>
      </c>
      <c r="D7585" s="254">
        <v>14117.55</v>
      </c>
      <c r="E7585"/>
      <c r="F7585"/>
      <c r="G7585"/>
      <c r="H7585"/>
      <c r="I7585" s="489"/>
      <c r="J7585" s="1362"/>
      <c r="K7585" s="1362"/>
      <c r="L7585" s="1362"/>
    </row>
    <row r="7586" spans="1:12" x14ac:dyDescent="0.25">
      <c r="A7586" t="s">
        <v>16004</v>
      </c>
      <c r="B7586" t="s">
        <v>16005</v>
      </c>
      <c r="C7586" t="s">
        <v>2640</v>
      </c>
      <c r="D7586" s="254">
        <v>16673.37</v>
      </c>
      <c r="E7586"/>
      <c r="F7586"/>
      <c r="G7586"/>
      <c r="H7586"/>
      <c r="I7586" s="489"/>
      <c r="J7586" s="1362"/>
      <c r="K7586" s="1362"/>
      <c r="L7586" s="1362"/>
    </row>
    <row r="7587" spans="1:12" x14ac:dyDescent="0.25">
      <c r="A7587" t="s">
        <v>16006</v>
      </c>
      <c r="B7587" t="s">
        <v>16007</v>
      </c>
      <c r="C7587" t="s">
        <v>2640</v>
      </c>
      <c r="D7587" s="254">
        <v>5121.6400000000003</v>
      </c>
      <c r="E7587"/>
      <c r="F7587"/>
      <c r="G7587"/>
      <c r="H7587"/>
      <c r="I7587" s="489"/>
      <c r="J7587" s="1362"/>
      <c r="K7587" s="1362"/>
      <c r="L7587" s="1362"/>
    </row>
    <row r="7588" spans="1:12" x14ac:dyDescent="0.25">
      <c r="A7588" t="s">
        <v>16008</v>
      </c>
      <c r="B7588" t="s">
        <v>16009</v>
      </c>
      <c r="C7588" t="s">
        <v>2640</v>
      </c>
      <c r="D7588" s="254">
        <v>9804.7900000000009</v>
      </c>
      <c r="E7588"/>
      <c r="F7588"/>
      <c r="G7588"/>
      <c r="H7588"/>
      <c r="I7588" s="489"/>
      <c r="J7588" s="1362"/>
      <c r="K7588" s="1362"/>
      <c r="L7588" s="1362"/>
    </row>
    <row r="7589" spans="1:12" x14ac:dyDescent="0.25">
      <c r="A7589" t="s">
        <v>16010</v>
      </c>
      <c r="B7589" t="s">
        <v>16011</v>
      </c>
      <c r="C7589" t="s">
        <v>2640</v>
      </c>
      <c r="D7589" s="254">
        <v>12243.94</v>
      </c>
      <c r="E7589"/>
      <c r="F7589"/>
      <c r="G7589"/>
      <c r="H7589"/>
      <c r="I7589" s="489"/>
      <c r="J7589" s="1362"/>
      <c r="K7589" s="1362"/>
      <c r="L7589" s="1362"/>
    </row>
    <row r="7590" spans="1:12" x14ac:dyDescent="0.25">
      <c r="A7590" t="s">
        <v>16012</v>
      </c>
      <c r="B7590" t="s">
        <v>16013</v>
      </c>
      <c r="C7590" t="s">
        <v>2640</v>
      </c>
      <c r="D7590" s="254">
        <v>15120.18</v>
      </c>
      <c r="E7590"/>
      <c r="F7590"/>
      <c r="G7590"/>
      <c r="H7590"/>
      <c r="I7590" s="489"/>
      <c r="J7590" s="1362"/>
      <c r="K7590" s="1362"/>
      <c r="L7590" s="1362"/>
    </row>
    <row r="7591" spans="1:12" x14ac:dyDescent="0.25">
      <c r="A7591" t="s">
        <v>16014</v>
      </c>
      <c r="B7591" t="s">
        <v>16015</v>
      </c>
      <c r="C7591" t="s">
        <v>2640</v>
      </c>
      <c r="D7591" s="254">
        <v>17150.810000000001</v>
      </c>
      <c r="E7591"/>
      <c r="F7591"/>
      <c r="G7591"/>
      <c r="H7591"/>
      <c r="I7591" s="489"/>
      <c r="J7591" s="1362"/>
      <c r="K7591" s="1362"/>
      <c r="L7591" s="1362"/>
    </row>
    <row r="7592" spans="1:12" x14ac:dyDescent="0.25">
      <c r="A7592" t="s">
        <v>16016</v>
      </c>
      <c r="B7592" t="s">
        <v>16017</v>
      </c>
      <c r="C7592" t="s">
        <v>2640</v>
      </c>
      <c r="D7592" s="254">
        <v>25841.01</v>
      </c>
      <c r="E7592"/>
      <c r="F7592"/>
      <c r="G7592"/>
      <c r="H7592"/>
      <c r="I7592" s="489"/>
      <c r="J7592" s="1362"/>
      <c r="K7592" s="1362"/>
      <c r="L7592" s="1362"/>
    </row>
    <row r="7593" spans="1:12" x14ac:dyDescent="0.25">
      <c r="A7593" t="s">
        <v>16018</v>
      </c>
      <c r="B7593" t="s">
        <v>16019</v>
      </c>
      <c r="C7593" t="s">
        <v>2640</v>
      </c>
      <c r="D7593" s="254">
        <v>62735.85</v>
      </c>
      <c r="E7593"/>
      <c r="F7593"/>
      <c r="G7593"/>
      <c r="H7593"/>
      <c r="I7593" s="489"/>
      <c r="J7593" s="1362"/>
      <c r="K7593" s="1362"/>
      <c r="L7593" s="1362"/>
    </row>
    <row r="7594" spans="1:12" x14ac:dyDescent="0.25">
      <c r="A7594" t="s">
        <v>16020</v>
      </c>
      <c r="B7594" t="s">
        <v>16021</v>
      </c>
      <c r="C7594" t="s">
        <v>2640</v>
      </c>
      <c r="D7594" s="254">
        <v>69780.539999999994</v>
      </c>
      <c r="E7594"/>
      <c r="F7594"/>
      <c r="G7594"/>
      <c r="H7594"/>
      <c r="I7594" s="489"/>
      <c r="J7594" s="1362"/>
      <c r="K7594" s="1362"/>
      <c r="L7594" s="1362"/>
    </row>
    <row r="7595" spans="1:12" x14ac:dyDescent="0.25">
      <c r="A7595" t="s">
        <v>16022</v>
      </c>
      <c r="B7595" t="s">
        <v>16023</v>
      </c>
      <c r="C7595" t="s">
        <v>2640</v>
      </c>
      <c r="D7595" s="254">
        <v>75710.95</v>
      </c>
      <c r="E7595"/>
      <c r="F7595"/>
      <c r="G7595"/>
      <c r="H7595"/>
      <c r="I7595" s="489"/>
      <c r="J7595" s="1362"/>
      <c r="K7595" s="1362"/>
      <c r="L7595" s="1362"/>
    </row>
    <row r="7596" spans="1:12" x14ac:dyDescent="0.25">
      <c r="A7596" t="s">
        <v>16024</v>
      </c>
      <c r="B7596" t="s">
        <v>16025</v>
      </c>
      <c r="C7596" t="s">
        <v>2640</v>
      </c>
      <c r="D7596" s="254">
        <v>81686.63</v>
      </c>
      <c r="E7596"/>
      <c r="F7596"/>
      <c r="G7596"/>
      <c r="H7596"/>
      <c r="I7596" s="489"/>
      <c r="J7596" s="1362"/>
      <c r="K7596" s="1362"/>
      <c r="L7596" s="1362"/>
    </row>
    <row r="7597" spans="1:12" x14ac:dyDescent="0.25">
      <c r="A7597" t="s">
        <v>16026</v>
      </c>
      <c r="B7597" t="s">
        <v>16027</v>
      </c>
      <c r="C7597" t="s">
        <v>2640</v>
      </c>
      <c r="D7597" s="254">
        <v>92879.55</v>
      </c>
      <c r="E7597"/>
      <c r="F7597"/>
      <c r="G7597"/>
      <c r="H7597"/>
      <c r="I7597" s="489"/>
      <c r="J7597" s="1362"/>
      <c r="K7597" s="1362"/>
      <c r="L7597" s="1362"/>
    </row>
    <row r="7598" spans="1:12" x14ac:dyDescent="0.25">
      <c r="A7598" t="s">
        <v>16028</v>
      </c>
      <c r="B7598" t="s">
        <v>16029</v>
      </c>
      <c r="C7598" t="s">
        <v>2640</v>
      </c>
      <c r="D7598" s="254">
        <v>95837.67</v>
      </c>
      <c r="E7598"/>
      <c r="F7598"/>
      <c r="G7598"/>
      <c r="H7598"/>
      <c r="I7598" s="489"/>
      <c r="J7598" s="1362"/>
      <c r="K7598" s="1362"/>
      <c r="L7598" s="1362"/>
    </row>
    <row r="7599" spans="1:12" x14ac:dyDescent="0.25">
      <c r="A7599" t="s">
        <v>16030</v>
      </c>
      <c r="B7599" t="s">
        <v>16031</v>
      </c>
      <c r="C7599" t="s">
        <v>2640</v>
      </c>
      <c r="D7599" s="254">
        <v>107113.59</v>
      </c>
      <c r="E7599"/>
      <c r="F7599"/>
      <c r="G7599"/>
      <c r="H7599"/>
      <c r="I7599" s="489"/>
      <c r="J7599" s="1362"/>
      <c r="K7599" s="1362"/>
      <c r="L7599" s="1362"/>
    </row>
    <row r="7600" spans="1:12" x14ac:dyDescent="0.25">
      <c r="A7600" t="s">
        <v>16032</v>
      </c>
      <c r="B7600" t="s">
        <v>16033</v>
      </c>
      <c r="C7600" t="s">
        <v>2640</v>
      </c>
      <c r="D7600" s="254">
        <v>114504.27</v>
      </c>
      <c r="E7600"/>
      <c r="F7600"/>
      <c r="G7600"/>
      <c r="H7600"/>
      <c r="I7600" s="489"/>
      <c r="J7600" s="1362"/>
      <c r="K7600" s="1362"/>
      <c r="L7600" s="1362"/>
    </row>
    <row r="7601" spans="1:12" x14ac:dyDescent="0.25">
      <c r="A7601" t="s">
        <v>16034</v>
      </c>
      <c r="B7601" t="s">
        <v>16035</v>
      </c>
      <c r="C7601" t="s">
        <v>2640</v>
      </c>
      <c r="D7601" s="254">
        <v>528.14</v>
      </c>
      <c r="E7601"/>
      <c r="F7601"/>
      <c r="G7601"/>
      <c r="H7601"/>
      <c r="I7601" s="489"/>
      <c r="J7601" s="1362"/>
      <c r="K7601" s="1362"/>
      <c r="L7601" s="1362"/>
    </row>
    <row r="7602" spans="1:12" x14ac:dyDescent="0.25">
      <c r="A7602" t="s">
        <v>16036</v>
      </c>
      <c r="B7602" t="s">
        <v>16037</v>
      </c>
      <c r="C7602" t="s">
        <v>2640</v>
      </c>
      <c r="D7602" s="254">
        <v>77.31</v>
      </c>
      <c r="E7602"/>
      <c r="F7602"/>
      <c r="G7602"/>
      <c r="H7602"/>
      <c r="I7602" s="489"/>
      <c r="J7602" s="1362"/>
      <c r="K7602" s="1362"/>
      <c r="L7602" s="1362"/>
    </row>
    <row r="7603" spans="1:12" x14ac:dyDescent="0.25">
      <c r="A7603" t="s">
        <v>16038</v>
      </c>
      <c r="B7603" t="s">
        <v>16039</v>
      </c>
      <c r="C7603" t="s">
        <v>2640</v>
      </c>
      <c r="D7603" s="254">
        <v>72.34</v>
      </c>
      <c r="E7603"/>
      <c r="F7603"/>
      <c r="G7603"/>
      <c r="H7603"/>
      <c r="I7603" s="489"/>
      <c r="J7603" s="1362"/>
      <c r="K7603" s="1362"/>
      <c r="L7603" s="1362"/>
    </row>
    <row r="7604" spans="1:12" x14ac:dyDescent="0.25">
      <c r="A7604" t="s">
        <v>16040</v>
      </c>
      <c r="B7604" t="s">
        <v>16041</v>
      </c>
      <c r="C7604" t="s">
        <v>2640</v>
      </c>
      <c r="D7604" s="254">
        <v>99</v>
      </c>
      <c r="E7604"/>
      <c r="F7604"/>
      <c r="G7604"/>
      <c r="H7604"/>
      <c r="I7604" s="489"/>
      <c r="J7604" s="1362"/>
      <c r="K7604" s="1362"/>
      <c r="L7604" s="1362"/>
    </row>
    <row r="7605" spans="1:12" x14ac:dyDescent="0.25">
      <c r="A7605" t="s">
        <v>16042</v>
      </c>
      <c r="B7605" t="s">
        <v>16043</v>
      </c>
      <c r="C7605" t="s">
        <v>2640</v>
      </c>
      <c r="D7605" s="254">
        <v>110.42</v>
      </c>
      <c r="E7605"/>
      <c r="F7605"/>
      <c r="G7605"/>
      <c r="H7605"/>
      <c r="I7605" s="489"/>
      <c r="J7605" s="1362"/>
      <c r="K7605" s="1362"/>
      <c r="L7605" s="1362"/>
    </row>
    <row r="7606" spans="1:12" x14ac:dyDescent="0.25">
      <c r="A7606" t="s">
        <v>16044</v>
      </c>
      <c r="B7606" t="s">
        <v>16045</v>
      </c>
      <c r="C7606" t="s">
        <v>2640</v>
      </c>
      <c r="D7606" s="254">
        <v>123.68</v>
      </c>
      <c r="E7606"/>
      <c r="F7606"/>
      <c r="G7606"/>
      <c r="H7606"/>
      <c r="I7606" s="489"/>
      <c r="J7606" s="1362"/>
      <c r="K7606" s="1362"/>
      <c r="L7606" s="1362"/>
    </row>
    <row r="7607" spans="1:12" x14ac:dyDescent="0.25">
      <c r="A7607" t="s">
        <v>16046</v>
      </c>
      <c r="B7607" t="s">
        <v>16047</v>
      </c>
      <c r="C7607" t="s">
        <v>2640</v>
      </c>
      <c r="D7607" s="254">
        <v>154.44999999999999</v>
      </c>
      <c r="E7607"/>
      <c r="F7607"/>
      <c r="G7607"/>
      <c r="H7607"/>
      <c r="I7607" s="489"/>
      <c r="J7607" s="1362"/>
      <c r="K7607" s="1362"/>
      <c r="L7607" s="1362"/>
    </row>
    <row r="7608" spans="1:12" x14ac:dyDescent="0.25">
      <c r="A7608" t="s">
        <v>16048</v>
      </c>
      <c r="B7608" t="s">
        <v>16049</v>
      </c>
      <c r="C7608" t="s">
        <v>2640</v>
      </c>
      <c r="D7608" s="254">
        <v>60.91</v>
      </c>
      <c r="E7608"/>
      <c r="F7608"/>
      <c r="G7608"/>
      <c r="H7608"/>
      <c r="I7608" s="489"/>
      <c r="J7608" s="1362"/>
      <c r="K7608" s="1362"/>
      <c r="L7608" s="1362"/>
    </row>
    <row r="7609" spans="1:12" x14ac:dyDescent="0.25">
      <c r="A7609" t="s">
        <v>16050</v>
      </c>
      <c r="B7609" t="s">
        <v>16051</v>
      </c>
      <c r="C7609" t="s">
        <v>2640</v>
      </c>
      <c r="D7609" s="254">
        <v>122.24</v>
      </c>
      <c r="E7609"/>
      <c r="F7609"/>
      <c r="G7609"/>
      <c r="H7609"/>
      <c r="I7609" s="489"/>
      <c r="J7609" s="1362"/>
      <c r="K7609" s="1362"/>
      <c r="L7609" s="1362"/>
    </row>
    <row r="7610" spans="1:12" x14ac:dyDescent="0.25">
      <c r="A7610" t="s">
        <v>16052</v>
      </c>
      <c r="B7610" t="s">
        <v>16053</v>
      </c>
      <c r="C7610" t="s">
        <v>2598</v>
      </c>
      <c r="D7610" s="254">
        <v>85.63</v>
      </c>
      <c r="E7610"/>
      <c r="F7610"/>
      <c r="G7610"/>
      <c r="H7610"/>
      <c r="I7610" s="489"/>
      <c r="J7610" s="1362"/>
      <c r="K7610" s="1362"/>
      <c r="L7610" s="1362"/>
    </row>
    <row r="7611" spans="1:12" x14ac:dyDescent="0.25">
      <c r="A7611" t="s">
        <v>16054</v>
      </c>
      <c r="B7611" t="s">
        <v>16055</v>
      </c>
      <c r="C7611" t="s">
        <v>2640</v>
      </c>
      <c r="D7611" s="254">
        <v>264.52999999999997</v>
      </c>
      <c r="E7611"/>
      <c r="F7611"/>
      <c r="G7611"/>
      <c r="H7611"/>
      <c r="I7611" s="489"/>
      <c r="J7611" s="1362"/>
      <c r="K7611" s="1362"/>
      <c r="L7611" s="1362"/>
    </row>
    <row r="7612" spans="1:12" x14ac:dyDescent="0.25">
      <c r="A7612" t="s">
        <v>16056</v>
      </c>
      <c r="B7612" t="s">
        <v>16057</v>
      </c>
      <c r="C7612" t="s">
        <v>2598</v>
      </c>
      <c r="D7612" s="254">
        <v>85.12</v>
      </c>
      <c r="E7612"/>
      <c r="F7612"/>
      <c r="G7612"/>
      <c r="H7612"/>
      <c r="I7612" s="489"/>
      <c r="J7612" s="1362"/>
      <c r="K7612" s="1362"/>
      <c r="L7612" s="1362"/>
    </row>
    <row r="7613" spans="1:12" x14ac:dyDescent="0.25">
      <c r="A7613" t="s">
        <v>16058</v>
      </c>
      <c r="B7613" t="s">
        <v>16059</v>
      </c>
      <c r="C7613" t="s">
        <v>2598</v>
      </c>
      <c r="D7613" s="254">
        <v>64.78</v>
      </c>
      <c r="E7613"/>
      <c r="F7613"/>
      <c r="G7613"/>
      <c r="H7613"/>
      <c r="I7613" s="489"/>
      <c r="J7613" s="1362"/>
      <c r="K7613" s="1362"/>
      <c r="L7613" s="1362"/>
    </row>
    <row r="7614" spans="1:12" x14ac:dyDescent="0.25">
      <c r="A7614" t="s">
        <v>16060</v>
      </c>
      <c r="B7614" t="s">
        <v>16061</v>
      </c>
      <c r="C7614" t="s">
        <v>2640</v>
      </c>
      <c r="D7614" s="254">
        <v>115977.88</v>
      </c>
      <c r="E7614"/>
      <c r="F7614"/>
      <c r="G7614"/>
      <c r="H7614"/>
      <c r="I7614" s="489"/>
      <c r="J7614" s="1362"/>
      <c r="K7614" s="1362"/>
      <c r="L7614" s="1362"/>
    </row>
    <row r="7615" spans="1:12" x14ac:dyDescent="0.25">
      <c r="A7615" t="s">
        <v>16062</v>
      </c>
      <c r="B7615" t="s">
        <v>16063</v>
      </c>
      <c r="C7615" t="s">
        <v>2640</v>
      </c>
      <c r="D7615" s="254">
        <v>126465.22</v>
      </c>
      <c r="E7615"/>
      <c r="F7615"/>
      <c r="G7615"/>
      <c r="H7615"/>
      <c r="I7615" s="489"/>
      <c r="J7615" s="1362"/>
      <c r="K7615" s="1362"/>
      <c r="L7615" s="1362"/>
    </row>
    <row r="7616" spans="1:12" x14ac:dyDescent="0.25">
      <c r="A7616" t="s">
        <v>16064</v>
      </c>
      <c r="B7616" t="s">
        <v>16065</v>
      </c>
      <c r="C7616" t="s">
        <v>2640</v>
      </c>
      <c r="D7616" s="254">
        <v>133264.97</v>
      </c>
      <c r="E7616"/>
      <c r="F7616"/>
      <c r="G7616"/>
      <c r="H7616"/>
      <c r="I7616" s="489"/>
      <c r="J7616" s="1362"/>
      <c r="K7616" s="1362"/>
      <c r="L7616" s="1362"/>
    </row>
    <row r="7617" spans="1:12" x14ac:dyDescent="0.25">
      <c r="A7617" t="s">
        <v>16066</v>
      </c>
      <c r="B7617" t="s">
        <v>16067</v>
      </c>
      <c r="C7617" t="s">
        <v>2640</v>
      </c>
      <c r="D7617" s="254">
        <v>142121.49</v>
      </c>
      <c r="E7617"/>
      <c r="F7617"/>
      <c r="G7617"/>
      <c r="H7617"/>
      <c r="I7617" s="489"/>
      <c r="J7617" s="1362"/>
      <c r="K7617" s="1362"/>
      <c r="L7617" s="1362"/>
    </row>
    <row r="7618" spans="1:12" x14ac:dyDescent="0.25">
      <c r="A7618" t="s">
        <v>16068</v>
      </c>
      <c r="B7618" t="s">
        <v>16069</v>
      </c>
      <c r="C7618" t="s">
        <v>2640</v>
      </c>
      <c r="D7618" s="254">
        <v>42876.7</v>
      </c>
      <c r="E7618"/>
      <c r="F7618"/>
      <c r="G7618"/>
      <c r="H7618"/>
      <c r="I7618" s="489"/>
      <c r="J7618" s="1362"/>
      <c r="K7618" s="1362"/>
      <c r="L7618" s="1362"/>
    </row>
    <row r="7619" spans="1:12" x14ac:dyDescent="0.25">
      <c r="A7619" t="s">
        <v>16070</v>
      </c>
      <c r="B7619" t="s">
        <v>16071</v>
      </c>
      <c r="C7619" t="s">
        <v>2640</v>
      </c>
      <c r="D7619" s="254">
        <v>47344.22</v>
      </c>
      <c r="E7619"/>
      <c r="F7619"/>
      <c r="G7619"/>
      <c r="H7619"/>
      <c r="I7619" s="489"/>
      <c r="J7619" s="1362"/>
      <c r="K7619" s="1362"/>
      <c r="L7619" s="1362"/>
    </row>
    <row r="7620" spans="1:12" x14ac:dyDescent="0.25">
      <c r="A7620" t="s">
        <v>16072</v>
      </c>
      <c r="B7620" t="s">
        <v>16073</v>
      </c>
      <c r="C7620" t="s">
        <v>2640</v>
      </c>
      <c r="D7620" s="254">
        <v>51803.66</v>
      </c>
      <c r="E7620"/>
      <c r="F7620"/>
      <c r="G7620"/>
      <c r="H7620"/>
      <c r="I7620" s="489"/>
      <c r="J7620" s="1362"/>
      <c r="K7620" s="1362"/>
      <c r="L7620" s="1362"/>
    </row>
    <row r="7621" spans="1:12" x14ac:dyDescent="0.25">
      <c r="A7621" t="s">
        <v>16074</v>
      </c>
      <c r="B7621" t="s">
        <v>16075</v>
      </c>
      <c r="C7621" t="s">
        <v>2640</v>
      </c>
      <c r="D7621" s="254">
        <v>55760.42</v>
      </c>
      <c r="E7621"/>
      <c r="F7621"/>
      <c r="G7621"/>
      <c r="H7621"/>
      <c r="I7621" s="489"/>
      <c r="J7621" s="1362"/>
      <c r="K7621" s="1362"/>
      <c r="L7621" s="1362"/>
    </row>
    <row r="7622" spans="1:12" x14ac:dyDescent="0.25">
      <c r="A7622" t="s">
        <v>16076</v>
      </c>
      <c r="B7622" t="s">
        <v>16077</v>
      </c>
      <c r="C7622" t="s">
        <v>2640</v>
      </c>
      <c r="D7622" s="254">
        <v>61526.48</v>
      </c>
      <c r="E7622"/>
      <c r="F7622"/>
      <c r="G7622"/>
      <c r="H7622"/>
      <c r="I7622" s="489"/>
      <c r="J7622" s="1362"/>
      <c r="K7622" s="1362"/>
      <c r="L7622" s="1362"/>
    </row>
    <row r="7623" spans="1:12" x14ac:dyDescent="0.25">
      <c r="A7623" t="s">
        <v>16078</v>
      </c>
      <c r="B7623" t="s">
        <v>16079</v>
      </c>
      <c r="C7623" t="s">
        <v>2640</v>
      </c>
      <c r="D7623" s="254">
        <v>66356.350000000006</v>
      </c>
      <c r="E7623"/>
      <c r="F7623"/>
      <c r="G7623"/>
      <c r="H7623"/>
      <c r="I7623" s="489"/>
      <c r="J7623" s="1362"/>
      <c r="K7623" s="1362"/>
      <c r="L7623" s="1362"/>
    </row>
    <row r="7624" spans="1:12" x14ac:dyDescent="0.25">
      <c r="A7624" t="s">
        <v>16080</v>
      </c>
      <c r="B7624" t="s">
        <v>16081</v>
      </c>
      <c r="C7624" t="s">
        <v>2640</v>
      </c>
      <c r="D7624" s="254">
        <v>72774.759999999995</v>
      </c>
      <c r="E7624"/>
      <c r="F7624"/>
      <c r="G7624"/>
      <c r="H7624"/>
      <c r="I7624" s="489"/>
      <c r="J7624" s="1362"/>
      <c r="K7624" s="1362"/>
      <c r="L7624" s="1362"/>
    </row>
    <row r="7625" spans="1:12" x14ac:dyDescent="0.25">
      <c r="A7625" t="s">
        <v>16082</v>
      </c>
      <c r="B7625" t="s">
        <v>16083</v>
      </c>
      <c r="C7625" t="s">
        <v>2640</v>
      </c>
      <c r="D7625" s="254">
        <v>2.04</v>
      </c>
      <c r="E7625"/>
      <c r="F7625"/>
      <c r="G7625"/>
      <c r="H7625"/>
      <c r="I7625" s="489"/>
      <c r="J7625" s="1362"/>
      <c r="K7625" s="1362"/>
      <c r="L7625" s="1362"/>
    </row>
    <row r="7626" spans="1:12" x14ac:dyDescent="0.25">
      <c r="A7626" t="s">
        <v>16084</v>
      </c>
      <c r="B7626" t="s">
        <v>16085</v>
      </c>
      <c r="C7626" t="s">
        <v>2640</v>
      </c>
      <c r="D7626" s="254">
        <v>75644.820000000007</v>
      </c>
      <c r="E7626"/>
      <c r="F7626"/>
      <c r="G7626"/>
      <c r="H7626"/>
      <c r="I7626" s="489"/>
      <c r="J7626" s="1362"/>
      <c r="K7626" s="1362"/>
      <c r="L7626" s="1362"/>
    </row>
    <row r="7627" spans="1:12" x14ac:dyDescent="0.25">
      <c r="A7627" t="s">
        <v>16086</v>
      </c>
      <c r="B7627" t="s">
        <v>16087</v>
      </c>
      <c r="C7627" t="s">
        <v>2640</v>
      </c>
      <c r="D7627" s="254">
        <v>81772.98</v>
      </c>
      <c r="E7627"/>
      <c r="F7627"/>
      <c r="G7627"/>
      <c r="H7627"/>
      <c r="I7627" s="489"/>
      <c r="J7627" s="1362"/>
      <c r="K7627" s="1362"/>
      <c r="L7627" s="1362"/>
    </row>
    <row r="7628" spans="1:12" x14ac:dyDescent="0.25">
      <c r="A7628" t="s">
        <v>16088</v>
      </c>
      <c r="B7628" t="s">
        <v>16089</v>
      </c>
      <c r="C7628" t="s">
        <v>2598</v>
      </c>
      <c r="D7628" s="254">
        <v>1468.6</v>
      </c>
      <c r="E7628"/>
      <c r="F7628"/>
      <c r="G7628"/>
      <c r="H7628"/>
      <c r="I7628" s="489"/>
      <c r="J7628" s="1362"/>
      <c r="K7628" s="1362"/>
      <c r="L7628" s="1362"/>
    </row>
    <row r="7629" spans="1:12" x14ac:dyDescent="0.25">
      <c r="A7629" t="s">
        <v>16090</v>
      </c>
      <c r="B7629" t="s">
        <v>16091</v>
      </c>
      <c r="C7629" t="s">
        <v>2598</v>
      </c>
      <c r="D7629" s="254">
        <v>1698.06</v>
      </c>
      <c r="E7629"/>
      <c r="F7629"/>
      <c r="G7629"/>
      <c r="H7629"/>
      <c r="I7629" s="489"/>
      <c r="J7629" s="1362"/>
      <c r="K7629" s="1362"/>
      <c r="L7629" s="1362"/>
    </row>
    <row r="7630" spans="1:12" x14ac:dyDescent="0.25">
      <c r="A7630" t="s">
        <v>16092</v>
      </c>
      <c r="B7630" t="s">
        <v>16093</v>
      </c>
      <c r="C7630" t="s">
        <v>2598</v>
      </c>
      <c r="D7630" s="254">
        <v>1927.53</v>
      </c>
      <c r="E7630"/>
      <c r="F7630"/>
      <c r="G7630"/>
      <c r="H7630"/>
      <c r="I7630" s="489"/>
      <c r="J7630" s="1362"/>
      <c r="K7630" s="1362"/>
      <c r="L7630" s="1362"/>
    </row>
    <row r="7631" spans="1:12" x14ac:dyDescent="0.25">
      <c r="A7631" t="s">
        <v>16094</v>
      </c>
      <c r="B7631" t="s">
        <v>16095</v>
      </c>
      <c r="C7631" t="s">
        <v>2598</v>
      </c>
      <c r="D7631" s="254">
        <v>2111.1</v>
      </c>
      <c r="E7631"/>
      <c r="F7631"/>
      <c r="G7631"/>
      <c r="H7631"/>
      <c r="I7631" s="489"/>
      <c r="J7631" s="1362"/>
      <c r="K7631" s="1362"/>
      <c r="L7631" s="1362"/>
    </row>
    <row r="7632" spans="1:12" x14ac:dyDescent="0.25">
      <c r="A7632" t="s">
        <v>16096</v>
      </c>
      <c r="B7632" t="s">
        <v>16097</v>
      </c>
      <c r="C7632" t="s">
        <v>2598</v>
      </c>
      <c r="D7632" s="254">
        <v>2340.58</v>
      </c>
      <c r="E7632"/>
      <c r="F7632"/>
      <c r="G7632"/>
      <c r="H7632"/>
      <c r="I7632" s="489"/>
      <c r="J7632" s="1362"/>
      <c r="K7632" s="1362"/>
      <c r="L7632" s="1362"/>
    </row>
    <row r="7633" spans="1:12" x14ac:dyDescent="0.25">
      <c r="A7633" t="s">
        <v>16098</v>
      </c>
      <c r="B7633" t="s">
        <v>16099</v>
      </c>
      <c r="C7633" t="s">
        <v>2598</v>
      </c>
      <c r="D7633" s="254">
        <v>2661.85</v>
      </c>
      <c r="E7633"/>
      <c r="F7633"/>
      <c r="G7633"/>
      <c r="H7633"/>
      <c r="I7633" s="489"/>
      <c r="J7633" s="1362"/>
      <c r="K7633" s="1362"/>
      <c r="L7633" s="1362"/>
    </row>
    <row r="7634" spans="1:12" x14ac:dyDescent="0.25">
      <c r="A7634" t="s">
        <v>16100</v>
      </c>
      <c r="B7634" t="s">
        <v>16101</v>
      </c>
      <c r="C7634" t="s">
        <v>2598</v>
      </c>
      <c r="D7634" s="254">
        <v>2845.42</v>
      </c>
      <c r="E7634"/>
      <c r="F7634"/>
      <c r="G7634"/>
      <c r="H7634"/>
      <c r="I7634" s="489"/>
      <c r="J7634" s="1362"/>
      <c r="K7634" s="1362"/>
      <c r="L7634" s="1362"/>
    </row>
    <row r="7635" spans="1:12" x14ac:dyDescent="0.25">
      <c r="A7635" t="s">
        <v>16102</v>
      </c>
      <c r="B7635" t="s">
        <v>16103</v>
      </c>
      <c r="C7635" t="s">
        <v>2598</v>
      </c>
      <c r="D7635" s="254">
        <v>3074.89</v>
      </c>
      <c r="E7635"/>
      <c r="F7635"/>
      <c r="G7635"/>
      <c r="H7635"/>
      <c r="I7635" s="489"/>
      <c r="J7635" s="1362"/>
      <c r="K7635" s="1362"/>
      <c r="L7635" s="1362"/>
    </row>
    <row r="7636" spans="1:12" x14ac:dyDescent="0.25">
      <c r="A7636" t="s">
        <v>16104</v>
      </c>
      <c r="B7636" t="s">
        <v>16105</v>
      </c>
      <c r="C7636" t="s">
        <v>2598</v>
      </c>
      <c r="D7636" s="254">
        <v>3257.88</v>
      </c>
      <c r="E7636"/>
      <c r="F7636"/>
      <c r="G7636"/>
      <c r="H7636"/>
      <c r="I7636" s="489"/>
      <c r="J7636" s="1362"/>
      <c r="K7636" s="1362"/>
      <c r="L7636" s="1362"/>
    </row>
    <row r="7637" spans="1:12" x14ac:dyDescent="0.25">
      <c r="A7637" t="s">
        <v>16106</v>
      </c>
      <c r="B7637" t="s">
        <v>16107</v>
      </c>
      <c r="C7637" t="s">
        <v>2598</v>
      </c>
      <c r="D7637" s="254">
        <v>3487.91</v>
      </c>
      <c r="E7637"/>
      <c r="F7637"/>
      <c r="G7637"/>
      <c r="H7637"/>
      <c r="I7637" s="489"/>
      <c r="J7637" s="1362"/>
      <c r="K7637" s="1362"/>
      <c r="L7637" s="1362"/>
    </row>
    <row r="7638" spans="1:12" x14ac:dyDescent="0.25">
      <c r="A7638" t="s">
        <v>16108</v>
      </c>
      <c r="B7638" t="s">
        <v>16109</v>
      </c>
      <c r="C7638" t="s">
        <v>2598</v>
      </c>
      <c r="D7638" s="254">
        <v>3717.4</v>
      </c>
      <c r="E7638"/>
      <c r="F7638"/>
      <c r="G7638"/>
      <c r="H7638"/>
      <c r="I7638" s="489"/>
      <c r="J7638" s="1362"/>
      <c r="K7638" s="1362"/>
      <c r="L7638" s="1362"/>
    </row>
    <row r="7639" spans="1:12" x14ac:dyDescent="0.25">
      <c r="A7639" t="s">
        <v>16110</v>
      </c>
      <c r="B7639" t="s">
        <v>16111</v>
      </c>
      <c r="C7639" t="s">
        <v>2598</v>
      </c>
      <c r="D7639" s="254">
        <v>3900.98</v>
      </c>
      <c r="E7639"/>
      <c r="F7639"/>
      <c r="G7639"/>
      <c r="H7639"/>
      <c r="I7639" s="489"/>
      <c r="J7639" s="1362"/>
      <c r="K7639" s="1362"/>
      <c r="L7639" s="1362"/>
    </row>
    <row r="7640" spans="1:12" x14ac:dyDescent="0.25">
      <c r="A7640" t="s">
        <v>16112</v>
      </c>
      <c r="B7640" t="s">
        <v>16113</v>
      </c>
      <c r="C7640" t="s">
        <v>2598</v>
      </c>
      <c r="D7640" s="254">
        <v>4130.42</v>
      </c>
      <c r="E7640"/>
      <c r="F7640"/>
      <c r="G7640"/>
      <c r="H7640"/>
      <c r="I7640" s="489"/>
      <c r="J7640" s="1362"/>
      <c r="K7640" s="1362"/>
      <c r="L7640" s="1362"/>
    </row>
    <row r="7641" spans="1:12" x14ac:dyDescent="0.25">
      <c r="A7641" t="s">
        <v>16114</v>
      </c>
      <c r="B7641" t="s">
        <v>16115</v>
      </c>
      <c r="C7641" t="s">
        <v>2598</v>
      </c>
      <c r="D7641" s="254">
        <v>4862.1899999999996</v>
      </c>
      <c r="E7641"/>
      <c r="F7641"/>
      <c r="G7641"/>
      <c r="H7641"/>
      <c r="I7641" s="489"/>
      <c r="J7641" s="1362"/>
      <c r="K7641" s="1362"/>
      <c r="L7641" s="1362"/>
    </row>
    <row r="7642" spans="1:12" x14ac:dyDescent="0.25">
      <c r="A7642" t="s">
        <v>16116</v>
      </c>
      <c r="B7642" t="s">
        <v>16117</v>
      </c>
      <c r="C7642" t="s">
        <v>2598</v>
      </c>
      <c r="D7642" s="254">
        <v>5125.03</v>
      </c>
      <c r="E7642"/>
      <c r="F7642"/>
      <c r="G7642"/>
      <c r="H7642"/>
      <c r="I7642" s="489"/>
      <c r="J7642" s="1362"/>
      <c r="K7642" s="1362"/>
      <c r="L7642" s="1362"/>
    </row>
    <row r="7643" spans="1:12" x14ac:dyDescent="0.25">
      <c r="A7643" t="s">
        <v>16118</v>
      </c>
      <c r="B7643" t="s">
        <v>16119</v>
      </c>
      <c r="C7643" t="s">
        <v>2598</v>
      </c>
      <c r="D7643" s="254">
        <v>5475.4</v>
      </c>
      <c r="E7643"/>
      <c r="F7643"/>
      <c r="G7643"/>
      <c r="H7643"/>
      <c r="I7643" s="489"/>
      <c r="J7643" s="1362"/>
      <c r="K7643" s="1362"/>
      <c r="L7643" s="1362"/>
    </row>
    <row r="7644" spans="1:12" x14ac:dyDescent="0.25">
      <c r="A7644" t="s">
        <v>16120</v>
      </c>
      <c r="B7644" t="s">
        <v>16121</v>
      </c>
      <c r="C7644" t="s">
        <v>2598</v>
      </c>
      <c r="D7644" s="254">
        <v>5606.87</v>
      </c>
      <c r="E7644"/>
      <c r="F7644"/>
      <c r="G7644"/>
      <c r="H7644"/>
      <c r="I7644" s="489"/>
      <c r="J7644" s="1362"/>
      <c r="K7644" s="1362"/>
      <c r="L7644" s="1362"/>
    </row>
    <row r="7645" spans="1:12" x14ac:dyDescent="0.25">
      <c r="A7645" t="s">
        <v>16122</v>
      </c>
      <c r="B7645" t="s">
        <v>16123</v>
      </c>
      <c r="C7645" t="s">
        <v>2598</v>
      </c>
      <c r="D7645" s="254">
        <v>5825.86</v>
      </c>
      <c r="E7645"/>
      <c r="F7645"/>
      <c r="G7645"/>
      <c r="H7645"/>
      <c r="I7645" s="489"/>
      <c r="J7645" s="1362"/>
      <c r="K7645" s="1362"/>
      <c r="L7645" s="1362"/>
    </row>
    <row r="7646" spans="1:12" x14ac:dyDescent="0.25">
      <c r="A7646" t="s">
        <v>16124</v>
      </c>
      <c r="B7646" t="s">
        <v>16125</v>
      </c>
      <c r="C7646" t="s">
        <v>2598</v>
      </c>
      <c r="D7646" s="254">
        <v>7933.66</v>
      </c>
      <c r="E7646"/>
      <c r="F7646"/>
      <c r="G7646"/>
      <c r="H7646"/>
      <c r="I7646" s="489"/>
      <c r="J7646" s="1362"/>
      <c r="K7646" s="1362"/>
      <c r="L7646" s="1362"/>
    </row>
    <row r="7647" spans="1:12" x14ac:dyDescent="0.25">
      <c r="A7647" t="s">
        <v>16126</v>
      </c>
      <c r="B7647" t="s">
        <v>16127</v>
      </c>
      <c r="C7647" t="s">
        <v>2598</v>
      </c>
      <c r="D7647" s="254">
        <v>10055.870000000001</v>
      </c>
      <c r="E7647"/>
      <c r="F7647"/>
      <c r="G7647"/>
      <c r="H7647"/>
      <c r="I7647" s="489"/>
      <c r="J7647" s="1362"/>
      <c r="K7647" s="1362"/>
      <c r="L7647" s="1362"/>
    </row>
    <row r="7648" spans="1:12" x14ac:dyDescent="0.25">
      <c r="A7648" t="s">
        <v>16128</v>
      </c>
      <c r="B7648" t="s">
        <v>16129</v>
      </c>
      <c r="C7648" t="s">
        <v>2598</v>
      </c>
      <c r="D7648" s="254">
        <v>10627.78</v>
      </c>
      <c r="E7648"/>
      <c r="F7648"/>
      <c r="G7648"/>
      <c r="H7648"/>
      <c r="I7648" s="489"/>
      <c r="J7648" s="1362"/>
      <c r="K7648" s="1362"/>
      <c r="L7648" s="1362"/>
    </row>
    <row r="7649" spans="1:12" x14ac:dyDescent="0.25">
      <c r="A7649" t="s">
        <v>16130</v>
      </c>
      <c r="B7649" t="s">
        <v>16131</v>
      </c>
      <c r="C7649" t="s">
        <v>2598</v>
      </c>
      <c r="D7649" s="254">
        <v>10832.53</v>
      </c>
      <c r="E7649"/>
      <c r="F7649"/>
      <c r="G7649"/>
      <c r="H7649"/>
      <c r="I7649" s="489"/>
      <c r="J7649" s="1362"/>
      <c r="K7649" s="1362"/>
      <c r="L7649" s="1362"/>
    </row>
    <row r="7650" spans="1:12" x14ac:dyDescent="0.25">
      <c r="A7650" t="s">
        <v>16132</v>
      </c>
      <c r="B7650" t="s">
        <v>16133</v>
      </c>
      <c r="C7650" t="s">
        <v>2598</v>
      </c>
      <c r="D7650" s="254">
        <v>11363.98</v>
      </c>
      <c r="E7650"/>
      <c r="F7650"/>
      <c r="G7650"/>
      <c r="H7650"/>
      <c r="I7650" s="489"/>
      <c r="J7650" s="1362"/>
      <c r="K7650" s="1362"/>
      <c r="L7650" s="1362"/>
    </row>
    <row r="7651" spans="1:12" x14ac:dyDescent="0.25">
      <c r="A7651" t="s">
        <v>16134</v>
      </c>
      <c r="B7651" t="s">
        <v>16135</v>
      </c>
      <c r="C7651" t="s">
        <v>2598</v>
      </c>
      <c r="D7651" s="254">
        <v>7359.48</v>
      </c>
      <c r="E7651"/>
      <c r="F7651"/>
      <c r="G7651"/>
      <c r="H7651"/>
      <c r="I7651" s="489"/>
      <c r="J7651" s="1362"/>
      <c r="K7651" s="1362"/>
      <c r="L7651" s="1362"/>
    </row>
    <row r="7652" spans="1:12" x14ac:dyDescent="0.25">
      <c r="A7652" t="s">
        <v>16136</v>
      </c>
      <c r="B7652" t="s">
        <v>16137</v>
      </c>
      <c r="C7652" t="s">
        <v>2598</v>
      </c>
      <c r="D7652" s="254">
        <v>8898.76</v>
      </c>
      <c r="E7652"/>
      <c r="F7652"/>
      <c r="G7652"/>
      <c r="H7652"/>
      <c r="I7652" s="489"/>
      <c r="J7652" s="1362"/>
      <c r="K7652" s="1362"/>
      <c r="L7652" s="1362"/>
    </row>
    <row r="7653" spans="1:12" x14ac:dyDescent="0.25">
      <c r="A7653" t="s">
        <v>16138</v>
      </c>
      <c r="B7653" t="s">
        <v>16139</v>
      </c>
      <c r="C7653" t="s">
        <v>2598</v>
      </c>
      <c r="D7653" s="254">
        <v>9187.4599999999991</v>
      </c>
      <c r="E7653"/>
      <c r="F7653"/>
      <c r="G7653"/>
      <c r="H7653"/>
      <c r="I7653" s="489"/>
      <c r="J7653" s="1362"/>
      <c r="K7653" s="1362"/>
      <c r="L7653" s="1362"/>
    </row>
    <row r="7654" spans="1:12" x14ac:dyDescent="0.25">
      <c r="A7654" t="s">
        <v>16140</v>
      </c>
      <c r="B7654" t="s">
        <v>16141</v>
      </c>
      <c r="C7654" t="s">
        <v>2598</v>
      </c>
      <c r="D7654" s="254">
        <v>10438.06</v>
      </c>
      <c r="E7654"/>
      <c r="F7654"/>
      <c r="G7654"/>
      <c r="H7654"/>
      <c r="I7654" s="489"/>
      <c r="J7654" s="1362"/>
      <c r="K7654" s="1362"/>
      <c r="L7654" s="1362"/>
    </row>
    <row r="7655" spans="1:12" x14ac:dyDescent="0.25">
      <c r="A7655" t="s">
        <v>16142</v>
      </c>
      <c r="B7655" t="s">
        <v>16143</v>
      </c>
      <c r="C7655" t="s">
        <v>2598</v>
      </c>
      <c r="D7655" s="254">
        <v>11015.34</v>
      </c>
      <c r="E7655"/>
      <c r="F7655"/>
      <c r="G7655"/>
      <c r="H7655"/>
      <c r="I7655" s="489"/>
      <c r="J7655" s="1362"/>
      <c r="K7655" s="1362"/>
      <c r="L7655" s="1362"/>
    </row>
    <row r="7656" spans="1:12" x14ac:dyDescent="0.25">
      <c r="A7656" t="s">
        <v>16144</v>
      </c>
      <c r="B7656" t="s">
        <v>16145</v>
      </c>
      <c r="C7656" t="s">
        <v>2598</v>
      </c>
      <c r="D7656" s="254">
        <v>12891.55</v>
      </c>
      <c r="E7656"/>
      <c r="F7656"/>
      <c r="G7656"/>
      <c r="H7656"/>
      <c r="I7656" s="489"/>
      <c r="J7656" s="1362"/>
      <c r="K7656" s="1362"/>
      <c r="L7656" s="1362"/>
    </row>
    <row r="7657" spans="1:12" x14ac:dyDescent="0.25">
      <c r="A7657" t="s">
        <v>16146</v>
      </c>
      <c r="B7657" t="s">
        <v>16147</v>
      </c>
      <c r="C7657" t="s">
        <v>2598</v>
      </c>
      <c r="D7657" s="254">
        <v>14718.97</v>
      </c>
      <c r="E7657"/>
      <c r="F7657"/>
      <c r="G7657"/>
      <c r="H7657"/>
      <c r="I7657" s="489"/>
      <c r="J7657" s="1362"/>
      <c r="K7657" s="1362"/>
      <c r="L7657" s="1362"/>
    </row>
    <row r="7658" spans="1:12" x14ac:dyDescent="0.25">
      <c r="A7658" t="s">
        <v>16148</v>
      </c>
      <c r="B7658" t="s">
        <v>16149</v>
      </c>
      <c r="C7658" t="s">
        <v>2598</v>
      </c>
      <c r="D7658" s="254">
        <v>15633.19</v>
      </c>
      <c r="E7658"/>
      <c r="F7658"/>
      <c r="G7658"/>
      <c r="H7658"/>
      <c r="I7658" s="489"/>
      <c r="J7658" s="1362"/>
      <c r="K7658" s="1362"/>
      <c r="L7658" s="1362"/>
    </row>
    <row r="7659" spans="1:12" x14ac:dyDescent="0.25">
      <c r="A7659" t="s">
        <v>16150</v>
      </c>
      <c r="B7659" t="s">
        <v>16151</v>
      </c>
      <c r="C7659" t="s">
        <v>2598</v>
      </c>
      <c r="D7659" s="254">
        <v>16547.45</v>
      </c>
      <c r="E7659"/>
      <c r="F7659"/>
      <c r="G7659"/>
      <c r="H7659"/>
      <c r="I7659" s="489"/>
      <c r="J7659" s="1362"/>
      <c r="K7659" s="1362"/>
      <c r="L7659" s="1362"/>
    </row>
    <row r="7660" spans="1:12" x14ac:dyDescent="0.25">
      <c r="A7660" t="s">
        <v>16152</v>
      </c>
      <c r="B7660" t="s">
        <v>16153</v>
      </c>
      <c r="C7660" t="s">
        <v>2598</v>
      </c>
      <c r="D7660" s="254">
        <v>17750.22</v>
      </c>
      <c r="E7660"/>
      <c r="F7660"/>
      <c r="G7660"/>
      <c r="H7660"/>
      <c r="I7660" s="489"/>
      <c r="J7660" s="1362"/>
      <c r="K7660" s="1362"/>
      <c r="L7660" s="1362"/>
    </row>
    <row r="7661" spans="1:12" x14ac:dyDescent="0.25">
      <c r="A7661" t="s">
        <v>16154</v>
      </c>
      <c r="B7661" t="s">
        <v>16155</v>
      </c>
      <c r="C7661" t="s">
        <v>2598</v>
      </c>
      <c r="D7661" s="254">
        <v>18375.45</v>
      </c>
      <c r="E7661"/>
      <c r="F7661"/>
      <c r="G7661"/>
      <c r="H7661"/>
      <c r="I7661" s="489"/>
      <c r="J7661" s="1362"/>
      <c r="K7661" s="1362"/>
      <c r="L7661" s="1362"/>
    </row>
    <row r="7662" spans="1:12" x14ac:dyDescent="0.25">
      <c r="A7662" t="s">
        <v>16156</v>
      </c>
      <c r="B7662" t="s">
        <v>16157</v>
      </c>
      <c r="C7662" t="s">
        <v>2598</v>
      </c>
      <c r="D7662" s="254">
        <v>20251.68</v>
      </c>
      <c r="E7662"/>
      <c r="F7662"/>
      <c r="G7662"/>
      <c r="H7662"/>
      <c r="I7662" s="489"/>
      <c r="J7662" s="1362"/>
      <c r="K7662" s="1362"/>
      <c r="L7662" s="1362"/>
    </row>
    <row r="7663" spans="1:12" x14ac:dyDescent="0.25">
      <c r="A7663" t="s">
        <v>16158</v>
      </c>
      <c r="B7663" t="s">
        <v>16159</v>
      </c>
      <c r="C7663" t="s">
        <v>2598</v>
      </c>
      <c r="D7663" s="254">
        <v>22078.45</v>
      </c>
      <c r="E7663"/>
      <c r="F7663"/>
      <c r="G7663"/>
      <c r="H7663"/>
      <c r="I7663" s="489"/>
      <c r="J7663" s="1362"/>
      <c r="K7663" s="1362"/>
      <c r="L7663" s="1362"/>
    </row>
    <row r="7664" spans="1:12" x14ac:dyDescent="0.25">
      <c r="A7664" t="s">
        <v>16160</v>
      </c>
      <c r="B7664" t="s">
        <v>16161</v>
      </c>
      <c r="C7664" t="s">
        <v>2598</v>
      </c>
      <c r="D7664" s="254">
        <v>28148.01</v>
      </c>
      <c r="E7664"/>
      <c r="F7664"/>
      <c r="G7664"/>
      <c r="H7664"/>
      <c r="I7664" s="489"/>
      <c r="J7664" s="1362"/>
      <c r="K7664" s="1362"/>
      <c r="L7664" s="1362"/>
    </row>
    <row r="7665" spans="1:12" x14ac:dyDescent="0.25">
      <c r="A7665" t="s">
        <v>16162</v>
      </c>
      <c r="B7665" t="s">
        <v>16163</v>
      </c>
      <c r="C7665" t="s">
        <v>2598</v>
      </c>
      <c r="D7665" s="254">
        <v>28942.79</v>
      </c>
      <c r="E7665"/>
      <c r="F7665"/>
      <c r="G7665"/>
      <c r="H7665"/>
      <c r="I7665" s="489"/>
      <c r="J7665" s="1362"/>
      <c r="K7665" s="1362"/>
      <c r="L7665" s="1362"/>
    </row>
    <row r="7666" spans="1:12" x14ac:dyDescent="0.25">
      <c r="A7666" t="s">
        <v>16164</v>
      </c>
      <c r="B7666" t="s">
        <v>16165</v>
      </c>
      <c r="C7666" t="s">
        <v>2598</v>
      </c>
      <c r="D7666" s="254">
        <v>35390.43</v>
      </c>
      <c r="E7666"/>
      <c r="F7666"/>
      <c r="G7666"/>
      <c r="H7666"/>
      <c r="I7666" s="489"/>
      <c r="J7666" s="1362"/>
      <c r="K7666" s="1362"/>
      <c r="L7666" s="1362"/>
    </row>
    <row r="7667" spans="1:12" x14ac:dyDescent="0.25">
      <c r="A7667" t="s">
        <v>16166</v>
      </c>
      <c r="B7667" t="s">
        <v>16167</v>
      </c>
      <c r="C7667" t="s">
        <v>2598</v>
      </c>
      <c r="D7667" s="254">
        <v>37922.230000000003</v>
      </c>
      <c r="E7667"/>
      <c r="F7667"/>
      <c r="G7667"/>
      <c r="H7667"/>
      <c r="I7667" s="489"/>
      <c r="J7667" s="1362"/>
      <c r="K7667" s="1362"/>
      <c r="L7667" s="1362"/>
    </row>
    <row r="7668" spans="1:12" x14ac:dyDescent="0.25">
      <c r="A7668" t="s">
        <v>16168</v>
      </c>
      <c r="B7668" t="s">
        <v>16169</v>
      </c>
      <c r="C7668" t="s">
        <v>2598</v>
      </c>
      <c r="D7668" s="254">
        <v>46877.46</v>
      </c>
      <c r="E7668"/>
      <c r="F7668"/>
      <c r="G7668"/>
      <c r="H7668"/>
      <c r="I7668" s="489"/>
      <c r="J7668" s="1362"/>
      <c r="K7668" s="1362"/>
      <c r="L7668" s="1362"/>
    </row>
    <row r="7669" spans="1:12" x14ac:dyDescent="0.25">
      <c r="A7669" t="s">
        <v>16170</v>
      </c>
      <c r="B7669" t="s">
        <v>16171</v>
      </c>
      <c r="C7669" t="s">
        <v>2598</v>
      </c>
      <c r="D7669" s="254">
        <v>56561.52</v>
      </c>
      <c r="E7669"/>
      <c r="F7669"/>
      <c r="G7669"/>
      <c r="H7669"/>
      <c r="I7669" s="489"/>
      <c r="J7669" s="1362"/>
      <c r="K7669" s="1362"/>
      <c r="L7669" s="1362"/>
    </row>
    <row r="7670" spans="1:12" x14ac:dyDescent="0.25">
      <c r="A7670" t="s">
        <v>16172</v>
      </c>
      <c r="B7670" t="s">
        <v>16173</v>
      </c>
      <c r="C7670" t="s">
        <v>2598</v>
      </c>
      <c r="D7670" s="254">
        <v>63599.519999999997</v>
      </c>
      <c r="E7670"/>
      <c r="F7670"/>
      <c r="G7670"/>
      <c r="H7670"/>
      <c r="I7670" s="489"/>
      <c r="J7670" s="1362"/>
      <c r="K7670" s="1362"/>
      <c r="L7670" s="1362"/>
    </row>
    <row r="7671" spans="1:12" x14ac:dyDescent="0.25">
      <c r="A7671" t="s">
        <v>16174</v>
      </c>
      <c r="B7671" t="s">
        <v>16175</v>
      </c>
      <c r="C7671" t="s">
        <v>2598</v>
      </c>
      <c r="D7671" s="254">
        <v>67110.7</v>
      </c>
      <c r="E7671"/>
      <c r="F7671"/>
      <c r="G7671"/>
      <c r="H7671"/>
      <c r="I7671" s="489"/>
      <c r="J7671" s="1362"/>
      <c r="K7671" s="1362"/>
      <c r="L7671" s="1362"/>
    </row>
    <row r="7672" spans="1:12" x14ac:dyDescent="0.25">
      <c r="A7672" t="s">
        <v>16176</v>
      </c>
      <c r="B7672" t="s">
        <v>16177</v>
      </c>
      <c r="C7672" t="s">
        <v>2640</v>
      </c>
      <c r="D7672" s="254">
        <v>86408.28</v>
      </c>
      <c r="E7672"/>
      <c r="F7672"/>
      <c r="G7672"/>
      <c r="H7672"/>
      <c r="I7672" s="489"/>
      <c r="J7672" s="1362"/>
      <c r="K7672" s="1362"/>
      <c r="L7672" s="1362"/>
    </row>
    <row r="7673" spans="1:12" x14ac:dyDescent="0.25">
      <c r="A7673" t="s">
        <v>16178</v>
      </c>
      <c r="B7673" t="s">
        <v>16179</v>
      </c>
      <c r="C7673" t="s">
        <v>2640</v>
      </c>
      <c r="D7673" s="254">
        <v>90758.34</v>
      </c>
      <c r="E7673"/>
      <c r="F7673"/>
      <c r="G7673"/>
      <c r="H7673"/>
      <c r="I7673" s="489"/>
      <c r="J7673" s="1362"/>
      <c r="K7673" s="1362"/>
      <c r="L7673" s="1362"/>
    </row>
    <row r="7674" spans="1:12" x14ac:dyDescent="0.25">
      <c r="A7674" t="s">
        <v>16180</v>
      </c>
      <c r="B7674" t="s">
        <v>16181</v>
      </c>
      <c r="C7674" t="s">
        <v>2640</v>
      </c>
      <c r="D7674" s="254">
        <v>92495.69</v>
      </c>
      <c r="E7674"/>
      <c r="F7674"/>
      <c r="G7674"/>
      <c r="H7674"/>
      <c r="I7674" s="489"/>
      <c r="J7674" s="1362"/>
      <c r="K7674" s="1362"/>
      <c r="L7674" s="1362"/>
    </row>
    <row r="7675" spans="1:12" x14ac:dyDescent="0.25">
      <c r="A7675" t="s">
        <v>16182</v>
      </c>
      <c r="B7675" t="s">
        <v>16183</v>
      </c>
      <c r="C7675" t="s">
        <v>2640</v>
      </c>
      <c r="D7675" s="254">
        <v>0.56999999999999995</v>
      </c>
      <c r="E7675"/>
      <c r="F7675"/>
      <c r="G7675"/>
      <c r="H7675"/>
      <c r="I7675" s="489"/>
      <c r="J7675" s="1362"/>
      <c r="K7675" s="1362"/>
      <c r="L7675" s="1362"/>
    </row>
    <row r="7676" spans="1:12" x14ac:dyDescent="0.25">
      <c r="A7676" t="s">
        <v>16184</v>
      </c>
      <c r="B7676" t="s">
        <v>16185</v>
      </c>
      <c r="C7676" t="s">
        <v>2598</v>
      </c>
      <c r="D7676" s="254">
        <v>2083.64</v>
      </c>
      <c r="E7676"/>
      <c r="F7676"/>
      <c r="G7676"/>
      <c r="H7676"/>
      <c r="I7676" s="489"/>
      <c r="J7676" s="1362"/>
      <c r="K7676" s="1362"/>
      <c r="L7676" s="1362"/>
    </row>
    <row r="7677" spans="1:12" x14ac:dyDescent="0.25">
      <c r="A7677" t="s">
        <v>16186</v>
      </c>
      <c r="B7677" t="s">
        <v>16187</v>
      </c>
      <c r="C7677" t="s">
        <v>2598</v>
      </c>
      <c r="D7677" s="254">
        <v>2134.54</v>
      </c>
      <c r="E7677"/>
      <c r="F7677"/>
      <c r="G7677"/>
      <c r="H7677"/>
      <c r="I7677" s="489"/>
      <c r="J7677" s="1362"/>
      <c r="K7677" s="1362"/>
      <c r="L7677" s="1362"/>
    </row>
    <row r="7678" spans="1:12" x14ac:dyDescent="0.25">
      <c r="A7678" t="s">
        <v>16188</v>
      </c>
      <c r="B7678" t="s">
        <v>16189</v>
      </c>
      <c r="C7678" t="s">
        <v>2598</v>
      </c>
      <c r="D7678" s="254">
        <v>2177.4299999999998</v>
      </c>
      <c r="E7678"/>
      <c r="F7678"/>
      <c r="G7678"/>
      <c r="H7678"/>
      <c r="I7678" s="489"/>
      <c r="J7678" s="1362"/>
      <c r="K7678" s="1362"/>
      <c r="L7678" s="1362"/>
    </row>
    <row r="7679" spans="1:12" x14ac:dyDescent="0.25">
      <c r="A7679" t="s">
        <v>16190</v>
      </c>
      <c r="B7679" t="s">
        <v>16191</v>
      </c>
      <c r="C7679" t="s">
        <v>2598</v>
      </c>
      <c r="D7679" s="254">
        <v>2320.85</v>
      </c>
      <c r="E7679"/>
      <c r="F7679"/>
      <c r="G7679"/>
      <c r="H7679"/>
      <c r="I7679" s="489"/>
      <c r="J7679" s="1362"/>
      <c r="K7679" s="1362"/>
      <c r="L7679" s="1362"/>
    </row>
    <row r="7680" spans="1:12" x14ac:dyDescent="0.25">
      <c r="A7680" t="s">
        <v>16192</v>
      </c>
      <c r="B7680" t="s">
        <v>16193</v>
      </c>
      <c r="C7680" t="s">
        <v>2598</v>
      </c>
      <c r="D7680" s="254">
        <v>2692.81</v>
      </c>
      <c r="E7680"/>
      <c r="F7680"/>
      <c r="G7680"/>
      <c r="H7680"/>
      <c r="I7680" s="489"/>
      <c r="J7680" s="1362"/>
      <c r="K7680" s="1362"/>
      <c r="L7680" s="1362"/>
    </row>
    <row r="7681" spans="1:12" x14ac:dyDescent="0.25">
      <c r="A7681" t="s">
        <v>16194</v>
      </c>
      <c r="B7681" t="s">
        <v>16195</v>
      </c>
      <c r="C7681" t="s">
        <v>2598</v>
      </c>
      <c r="D7681" s="254">
        <v>2773.08</v>
      </c>
      <c r="E7681"/>
      <c r="F7681"/>
      <c r="G7681"/>
      <c r="H7681"/>
      <c r="I7681" s="489"/>
      <c r="J7681" s="1362"/>
      <c r="K7681" s="1362"/>
      <c r="L7681" s="1362"/>
    </row>
    <row r="7682" spans="1:12" x14ac:dyDescent="0.25">
      <c r="A7682" t="s">
        <v>16196</v>
      </c>
      <c r="B7682" t="s">
        <v>16197</v>
      </c>
      <c r="C7682" t="s">
        <v>2598</v>
      </c>
      <c r="D7682" s="254">
        <v>2844.17</v>
      </c>
      <c r="E7682"/>
      <c r="F7682"/>
      <c r="G7682"/>
      <c r="H7682"/>
      <c r="I7682" s="489"/>
      <c r="J7682" s="1362"/>
      <c r="K7682" s="1362"/>
      <c r="L7682" s="1362"/>
    </row>
    <row r="7683" spans="1:12" x14ac:dyDescent="0.25">
      <c r="A7683" t="s">
        <v>16198</v>
      </c>
      <c r="B7683" t="s">
        <v>16199</v>
      </c>
      <c r="C7683" t="s">
        <v>2598</v>
      </c>
      <c r="D7683" s="254">
        <v>3166.74</v>
      </c>
      <c r="E7683"/>
      <c r="F7683"/>
      <c r="G7683"/>
      <c r="H7683"/>
      <c r="I7683" s="489"/>
      <c r="J7683" s="1362"/>
      <c r="K7683" s="1362"/>
      <c r="L7683" s="1362"/>
    </row>
    <row r="7684" spans="1:12" x14ac:dyDescent="0.25">
      <c r="A7684" t="s">
        <v>16200</v>
      </c>
      <c r="B7684" t="s">
        <v>16201</v>
      </c>
      <c r="C7684" t="s">
        <v>2598</v>
      </c>
      <c r="D7684" s="254">
        <v>3199.16</v>
      </c>
      <c r="E7684"/>
      <c r="F7684"/>
      <c r="G7684"/>
      <c r="H7684"/>
      <c r="I7684" s="489"/>
      <c r="J7684" s="1362"/>
      <c r="K7684" s="1362"/>
      <c r="L7684" s="1362"/>
    </row>
    <row r="7685" spans="1:12" x14ac:dyDescent="0.25">
      <c r="A7685" t="s">
        <v>16202</v>
      </c>
      <c r="B7685" t="s">
        <v>16203</v>
      </c>
      <c r="C7685" t="s">
        <v>2598</v>
      </c>
      <c r="D7685" s="254">
        <v>3231.74</v>
      </c>
      <c r="E7685"/>
      <c r="F7685"/>
      <c r="G7685"/>
      <c r="H7685"/>
      <c r="I7685" s="489"/>
      <c r="J7685" s="1362"/>
      <c r="K7685" s="1362"/>
      <c r="L7685" s="1362"/>
    </row>
    <row r="7686" spans="1:12" x14ac:dyDescent="0.25">
      <c r="A7686" t="s">
        <v>16204</v>
      </c>
      <c r="B7686" t="s">
        <v>16205</v>
      </c>
      <c r="C7686" t="s">
        <v>2598</v>
      </c>
      <c r="D7686" s="254">
        <v>3515.06</v>
      </c>
      <c r="E7686"/>
      <c r="F7686"/>
      <c r="G7686"/>
      <c r="H7686"/>
      <c r="I7686" s="489"/>
      <c r="J7686" s="1362"/>
      <c r="K7686" s="1362"/>
      <c r="L7686" s="1362"/>
    </row>
    <row r="7687" spans="1:12" x14ac:dyDescent="0.25">
      <c r="A7687" t="s">
        <v>16206</v>
      </c>
      <c r="B7687" t="s">
        <v>16207</v>
      </c>
      <c r="C7687" t="s">
        <v>2598</v>
      </c>
      <c r="D7687" s="254">
        <v>3584.69</v>
      </c>
      <c r="E7687"/>
      <c r="F7687"/>
      <c r="G7687"/>
      <c r="H7687"/>
      <c r="I7687" s="489"/>
      <c r="J7687" s="1362"/>
      <c r="K7687" s="1362"/>
      <c r="L7687" s="1362"/>
    </row>
    <row r="7688" spans="1:12" x14ac:dyDescent="0.25">
      <c r="A7688" t="s">
        <v>16208</v>
      </c>
      <c r="B7688" t="s">
        <v>16209</v>
      </c>
      <c r="C7688" t="s">
        <v>2598</v>
      </c>
      <c r="D7688" s="254">
        <v>3631.39</v>
      </c>
      <c r="E7688"/>
      <c r="F7688"/>
      <c r="G7688"/>
      <c r="H7688"/>
      <c r="I7688" s="489"/>
      <c r="J7688" s="1362"/>
      <c r="K7688" s="1362"/>
      <c r="L7688" s="1362"/>
    </row>
    <row r="7689" spans="1:12" x14ac:dyDescent="0.25">
      <c r="A7689" t="s">
        <v>16210</v>
      </c>
      <c r="B7689" t="s">
        <v>16211</v>
      </c>
      <c r="C7689" t="s">
        <v>2598</v>
      </c>
      <c r="D7689" s="254">
        <v>3955.3</v>
      </c>
      <c r="E7689"/>
      <c r="F7689"/>
      <c r="G7689"/>
      <c r="H7689"/>
      <c r="I7689" s="489"/>
      <c r="J7689" s="1362"/>
      <c r="K7689" s="1362"/>
      <c r="L7689" s="1362"/>
    </row>
    <row r="7690" spans="1:12" x14ac:dyDescent="0.25">
      <c r="A7690" t="s">
        <v>16212</v>
      </c>
      <c r="B7690" t="s">
        <v>16213</v>
      </c>
      <c r="C7690" t="s">
        <v>2598</v>
      </c>
      <c r="D7690" s="254">
        <v>3930.37</v>
      </c>
      <c r="E7690"/>
      <c r="F7690"/>
      <c r="G7690"/>
      <c r="H7690"/>
      <c r="I7690" s="489"/>
      <c r="J7690" s="1362"/>
      <c r="K7690" s="1362"/>
      <c r="L7690" s="1362"/>
    </row>
    <row r="7691" spans="1:12" x14ac:dyDescent="0.25">
      <c r="A7691" t="s">
        <v>16214</v>
      </c>
      <c r="B7691" t="s">
        <v>16215</v>
      </c>
      <c r="C7691" t="s">
        <v>2598</v>
      </c>
      <c r="D7691" s="254">
        <v>4094.28</v>
      </c>
      <c r="E7691"/>
      <c r="F7691"/>
      <c r="G7691"/>
      <c r="H7691"/>
      <c r="I7691" s="489"/>
      <c r="J7691" s="1362"/>
      <c r="K7691" s="1362"/>
      <c r="L7691" s="1362"/>
    </row>
    <row r="7692" spans="1:12" x14ac:dyDescent="0.25">
      <c r="A7692" t="s">
        <v>16216</v>
      </c>
      <c r="B7692" t="s">
        <v>16217</v>
      </c>
      <c r="C7692" t="s">
        <v>2598</v>
      </c>
      <c r="D7692" s="254">
        <v>4493.54</v>
      </c>
      <c r="E7692"/>
      <c r="F7692"/>
      <c r="G7692"/>
      <c r="H7692"/>
      <c r="I7692" s="489"/>
      <c r="J7692" s="1362"/>
      <c r="K7692" s="1362"/>
      <c r="L7692" s="1362"/>
    </row>
    <row r="7693" spans="1:12" x14ac:dyDescent="0.25">
      <c r="A7693" t="s">
        <v>16218</v>
      </c>
      <c r="B7693" t="s">
        <v>16219</v>
      </c>
      <c r="C7693" t="s">
        <v>2598</v>
      </c>
      <c r="D7693" s="254">
        <v>4658.34</v>
      </c>
      <c r="E7693"/>
      <c r="F7693"/>
      <c r="G7693"/>
      <c r="H7693"/>
      <c r="I7693" s="489"/>
      <c r="J7693" s="1362"/>
      <c r="K7693" s="1362"/>
      <c r="L7693" s="1362"/>
    </row>
    <row r="7694" spans="1:12" x14ac:dyDescent="0.25">
      <c r="A7694" t="s">
        <v>16220</v>
      </c>
      <c r="B7694" t="s">
        <v>16221</v>
      </c>
      <c r="C7694" t="s">
        <v>2598</v>
      </c>
      <c r="D7694" s="254">
        <v>4722.46</v>
      </c>
      <c r="E7694"/>
      <c r="F7694"/>
      <c r="G7694"/>
      <c r="H7694"/>
      <c r="I7694" s="489"/>
      <c r="J7694" s="1362"/>
      <c r="K7694" s="1362"/>
      <c r="L7694" s="1362"/>
    </row>
    <row r="7695" spans="1:12" x14ac:dyDescent="0.25">
      <c r="A7695" t="s">
        <v>16222</v>
      </c>
      <c r="B7695" t="s">
        <v>16223</v>
      </c>
      <c r="C7695" t="s">
        <v>2598</v>
      </c>
      <c r="D7695" s="254">
        <v>5192.46</v>
      </c>
      <c r="E7695"/>
      <c r="F7695"/>
      <c r="G7695"/>
      <c r="H7695"/>
      <c r="I7695" s="489"/>
      <c r="J7695" s="1362"/>
      <c r="K7695" s="1362"/>
      <c r="L7695" s="1362"/>
    </row>
    <row r="7696" spans="1:12" x14ac:dyDescent="0.25">
      <c r="A7696" t="s">
        <v>16224</v>
      </c>
      <c r="B7696" t="s">
        <v>16225</v>
      </c>
      <c r="C7696" t="s">
        <v>2598</v>
      </c>
      <c r="D7696" s="254">
        <v>5275.16</v>
      </c>
      <c r="E7696"/>
      <c r="F7696"/>
      <c r="G7696"/>
      <c r="H7696"/>
      <c r="I7696" s="489"/>
      <c r="J7696" s="1362"/>
      <c r="K7696" s="1362"/>
      <c r="L7696" s="1362"/>
    </row>
    <row r="7697" spans="1:12" x14ac:dyDescent="0.25">
      <c r="A7697" t="s">
        <v>16226</v>
      </c>
      <c r="B7697" t="s">
        <v>16227</v>
      </c>
      <c r="C7697" t="s">
        <v>2598</v>
      </c>
      <c r="D7697" s="254">
        <v>5171.68</v>
      </c>
      <c r="E7697"/>
      <c r="F7697"/>
      <c r="G7697"/>
      <c r="H7697"/>
      <c r="I7697" s="489"/>
      <c r="J7697" s="1362"/>
      <c r="K7697" s="1362"/>
      <c r="L7697" s="1362"/>
    </row>
    <row r="7698" spans="1:12" x14ac:dyDescent="0.25">
      <c r="A7698" t="s">
        <v>16228</v>
      </c>
      <c r="B7698" t="s">
        <v>16229</v>
      </c>
      <c r="C7698" t="s">
        <v>2598</v>
      </c>
      <c r="D7698" s="254">
        <v>5858.07</v>
      </c>
      <c r="E7698"/>
      <c r="F7698"/>
      <c r="G7698"/>
      <c r="H7698"/>
      <c r="I7698" s="489"/>
      <c r="J7698" s="1362"/>
      <c r="K7698" s="1362"/>
      <c r="L7698" s="1362"/>
    </row>
    <row r="7699" spans="1:12" x14ac:dyDescent="0.25">
      <c r="A7699" t="s">
        <v>16230</v>
      </c>
      <c r="B7699" t="s">
        <v>16231</v>
      </c>
      <c r="C7699" t="s">
        <v>2598</v>
      </c>
      <c r="D7699" s="254">
        <v>6253.93</v>
      </c>
      <c r="E7699"/>
      <c r="F7699"/>
      <c r="G7699"/>
      <c r="H7699"/>
      <c r="I7699" s="489"/>
      <c r="J7699" s="1362"/>
      <c r="K7699" s="1362"/>
      <c r="L7699" s="1362"/>
    </row>
    <row r="7700" spans="1:12" x14ac:dyDescent="0.25">
      <c r="A7700" t="s">
        <v>16232</v>
      </c>
      <c r="B7700" t="s">
        <v>16233</v>
      </c>
      <c r="C7700" t="s">
        <v>2598</v>
      </c>
      <c r="D7700" s="254">
        <v>6274.53</v>
      </c>
      <c r="E7700"/>
      <c r="F7700"/>
      <c r="G7700"/>
      <c r="H7700"/>
      <c r="I7700" s="489"/>
      <c r="J7700" s="1362"/>
      <c r="K7700" s="1362"/>
      <c r="L7700" s="1362"/>
    </row>
    <row r="7701" spans="1:12" x14ac:dyDescent="0.25">
      <c r="A7701" t="s">
        <v>16234</v>
      </c>
      <c r="B7701" t="s">
        <v>16235</v>
      </c>
      <c r="C7701" t="s">
        <v>2598</v>
      </c>
      <c r="D7701" s="254">
        <v>6435.73</v>
      </c>
      <c r="E7701"/>
      <c r="F7701"/>
      <c r="G7701"/>
      <c r="H7701"/>
      <c r="I7701" s="489"/>
      <c r="J7701" s="1362"/>
      <c r="K7701" s="1362"/>
      <c r="L7701" s="1362"/>
    </row>
    <row r="7702" spans="1:12" x14ac:dyDescent="0.25">
      <c r="A7702" t="s">
        <v>16236</v>
      </c>
      <c r="B7702" t="s">
        <v>16237</v>
      </c>
      <c r="C7702" t="s">
        <v>2598</v>
      </c>
      <c r="D7702" s="254">
        <v>6579.36</v>
      </c>
      <c r="E7702"/>
      <c r="F7702"/>
      <c r="G7702"/>
      <c r="H7702"/>
      <c r="I7702" s="489"/>
      <c r="J7702" s="1362"/>
      <c r="K7702" s="1362"/>
      <c r="L7702" s="1362"/>
    </row>
    <row r="7703" spans="1:12" x14ac:dyDescent="0.25">
      <c r="A7703" t="s">
        <v>16238</v>
      </c>
      <c r="B7703" t="s">
        <v>16239</v>
      </c>
      <c r="C7703" t="s">
        <v>2598</v>
      </c>
      <c r="D7703" s="254">
        <v>7296.73</v>
      </c>
      <c r="E7703"/>
      <c r="F7703"/>
      <c r="G7703"/>
      <c r="H7703"/>
      <c r="I7703" s="489"/>
      <c r="J7703" s="1362"/>
      <c r="K7703" s="1362"/>
      <c r="L7703" s="1362"/>
    </row>
    <row r="7704" spans="1:12" x14ac:dyDescent="0.25">
      <c r="A7704" t="s">
        <v>16240</v>
      </c>
      <c r="B7704" t="s">
        <v>16241</v>
      </c>
      <c r="C7704" t="s">
        <v>2598</v>
      </c>
      <c r="D7704" s="254">
        <v>1935.07</v>
      </c>
      <c r="E7704"/>
      <c r="F7704"/>
      <c r="G7704"/>
      <c r="H7704"/>
      <c r="I7704" s="489"/>
      <c r="J7704" s="1362"/>
      <c r="K7704" s="1362"/>
      <c r="L7704" s="1362"/>
    </row>
    <row r="7705" spans="1:12" x14ac:dyDescent="0.25">
      <c r="A7705" t="s">
        <v>16242</v>
      </c>
      <c r="B7705" t="s">
        <v>16243</v>
      </c>
      <c r="C7705" t="s">
        <v>2598</v>
      </c>
      <c r="D7705" s="254">
        <v>2246.31</v>
      </c>
      <c r="E7705"/>
      <c r="F7705"/>
      <c r="G7705"/>
      <c r="H7705"/>
      <c r="I7705" s="489"/>
      <c r="J7705" s="1362"/>
      <c r="K7705" s="1362"/>
      <c r="L7705" s="1362"/>
    </row>
    <row r="7706" spans="1:12" x14ac:dyDescent="0.25">
      <c r="A7706" t="s">
        <v>16244</v>
      </c>
      <c r="B7706" t="s">
        <v>16245</v>
      </c>
      <c r="C7706" t="s">
        <v>2598</v>
      </c>
      <c r="D7706" s="254">
        <v>2777.4</v>
      </c>
      <c r="E7706"/>
      <c r="F7706"/>
      <c r="G7706"/>
      <c r="H7706"/>
      <c r="I7706" s="489"/>
      <c r="J7706" s="1362"/>
      <c r="K7706" s="1362"/>
      <c r="L7706" s="1362"/>
    </row>
    <row r="7707" spans="1:12" x14ac:dyDescent="0.25">
      <c r="A7707" t="s">
        <v>16246</v>
      </c>
      <c r="B7707" t="s">
        <v>16247</v>
      </c>
      <c r="C7707" t="s">
        <v>2598</v>
      </c>
      <c r="D7707" s="254">
        <v>2938.64</v>
      </c>
      <c r="E7707"/>
      <c r="F7707"/>
      <c r="G7707"/>
      <c r="H7707"/>
      <c r="I7707" s="489"/>
      <c r="J7707" s="1362"/>
      <c r="K7707" s="1362"/>
      <c r="L7707" s="1362"/>
    </row>
    <row r="7708" spans="1:12" x14ac:dyDescent="0.25">
      <c r="A7708" t="s">
        <v>16248</v>
      </c>
      <c r="B7708" t="s">
        <v>16249</v>
      </c>
      <c r="C7708" t="s">
        <v>2598</v>
      </c>
      <c r="D7708" s="254">
        <v>2489.65</v>
      </c>
      <c r="E7708"/>
      <c r="F7708"/>
      <c r="G7708"/>
      <c r="H7708"/>
      <c r="I7708" s="489"/>
      <c r="J7708" s="1362"/>
      <c r="K7708" s="1362"/>
      <c r="L7708" s="1362"/>
    </row>
    <row r="7709" spans="1:12" x14ac:dyDescent="0.25">
      <c r="A7709" t="s">
        <v>16250</v>
      </c>
      <c r="B7709" t="s">
        <v>16251</v>
      </c>
      <c r="C7709" t="s">
        <v>2598</v>
      </c>
      <c r="D7709" s="254">
        <v>3310.04</v>
      </c>
      <c r="E7709"/>
      <c r="F7709"/>
      <c r="G7709"/>
      <c r="H7709"/>
      <c r="I7709" s="489"/>
      <c r="J7709" s="1362"/>
      <c r="K7709" s="1362"/>
      <c r="L7709" s="1362"/>
    </row>
    <row r="7710" spans="1:12" x14ac:dyDescent="0.25">
      <c r="A7710" t="s">
        <v>16252</v>
      </c>
      <c r="B7710" t="s">
        <v>16253</v>
      </c>
      <c r="C7710" t="s">
        <v>2598</v>
      </c>
      <c r="D7710" s="254">
        <v>3785.13</v>
      </c>
      <c r="E7710"/>
      <c r="F7710"/>
      <c r="G7710"/>
      <c r="H7710"/>
      <c r="I7710" s="489"/>
      <c r="J7710" s="1362"/>
      <c r="K7710" s="1362"/>
      <c r="L7710" s="1362"/>
    </row>
    <row r="7711" spans="1:12" x14ac:dyDescent="0.25">
      <c r="A7711" t="s">
        <v>16254</v>
      </c>
      <c r="B7711" t="s">
        <v>16255</v>
      </c>
      <c r="C7711" t="s">
        <v>2598</v>
      </c>
      <c r="D7711" s="254">
        <v>3117.8</v>
      </c>
      <c r="E7711"/>
      <c r="F7711"/>
      <c r="G7711"/>
      <c r="H7711"/>
      <c r="I7711" s="489"/>
      <c r="J7711" s="1362"/>
      <c r="K7711" s="1362"/>
      <c r="L7711" s="1362"/>
    </row>
    <row r="7712" spans="1:12" x14ac:dyDescent="0.25">
      <c r="A7712" t="s">
        <v>16256</v>
      </c>
      <c r="B7712" t="s">
        <v>16257</v>
      </c>
      <c r="C7712" t="s">
        <v>2598</v>
      </c>
      <c r="D7712" s="254">
        <v>3821.11</v>
      </c>
      <c r="E7712"/>
      <c r="F7712"/>
      <c r="G7712"/>
      <c r="H7712"/>
      <c r="I7712" s="489"/>
      <c r="J7712" s="1362"/>
      <c r="K7712" s="1362"/>
      <c r="L7712" s="1362"/>
    </row>
    <row r="7713" spans="1:12" x14ac:dyDescent="0.25">
      <c r="A7713" t="s">
        <v>16258</v>
      </c>
      <c r="B7713" t="s">
        <v>16259</v>
      </c>
      <c r="C7713" t="s">
        <v>2598</v>
      </c>
      <c r="D7713" s="254">
        <v>4242.53</v>
      </c>
      <c r="E7713"/>
      <c r="F7713"/>
      <c r="G7713"/>
      <c r="H7713"/>
      <c r="I7713" s="489"/>
      <c r="J7713" s="1362"/>
      <c r="K7713" s="1362"/>
      <c r="L7713" s="1362"/>
    </row>
    <row r="7714" spans="1:12" x14ac:dyDescent="0.25">
      <c r="A7714" t="s">
        <v>16260</v>
      </c>
      <c r="B7714" t="s">
        <v>16261</v>
      </c>
      <c r="C7714" t="s">
        <v>2640</v>
      </c>
      <c r="D7714" s="254">
        <v>9668.23</v>
      </c>
      <c r="E7714"/>
      <c r="F7714"/>
      <c r="G7714"/>
      <c r="H7714"/>
      <c r="I7714" s="489"/>
      <c r="J7714" s="1362"/>
      <c r="K7714" s="1362"/>
      <c r="L7714" s="1362"/>
    </row>
    <row r="7715" spans="1:12" x14ac:dyDescent="0.25">
      <c r="A7715" t="s">
        <v>16262</v>
      </c>
      <c r="B7715" t="s">
        <v>16263</v>
      </c>
      <c r="C7715" t="s">
        <v>2640</v>
      </c>
      <c r="D7715" s="254">
        <v>12754.95</v>
      </c>
      <c r="E7715"/>
      <c r="F7715"/>
      <c r="G7715"/>
      <c r="H7715"/>
      <c r="I7715" s="489"/>
      <c r="J7715" s="1362"/>
      <c r="K7715" s="1362"/>
      <c r="L7715" s="1362"/>
    </row>
    <row r="7716" spans="1:12" x14ac:dyDescent="0.25">
      <c r="A7716" t="s">
        <v>16264</v>
      </c>
      <c r="B7716" t="s">
        <v>16265</v>
      </c>
      <c r="C7716" t="s">
        <v>2640</v>
      </c>
      <c r="D7716" s="254">
        <v>16281.34</v>
      </c>
      <c r="E7716"/>
      <c r="F7716"/>
      <c r="G7716"/>
      <c r="H7716"/>
      <c r="I7716" s="489"/>
      <c r="J7716" s="1362"/>
      <c r="K7716" s="1362"/>
      <c r="L7716" s="1362"/>
    </row>
    <row r="7717" spans="1:12" x14ac:dyDescent="0.25">
      <c r="A7717" t="s">
        <v>16266</v>
      </c>
      <c r="B7717" t="s">
        <v>16267</v>
      </c>
      <c r="C7717" t="s">
        <v>2640</v>
      </c>
      <c r="D7717" s="254">
        <v>21307.25</v>
      </c>
      <c r="E7717"/>
      <c r="F7717"/>
      <c r="G7717"/>
      <c r="H7717"/>
      <c r="I7717" s="489"/>
      <c r="J7717" s="1362"/>
      <c r="K7717" s="1362"/>
      <c r="L7717" s="1362"/>
    </row>
    <row r="7718" spans="1:12" x14ac:dyDescent="0.25">
      <c r="A7718" t="s">
        <v>16268</v>
      </c>
      <c r="B7718" t="s">
        <v>16269</v>
      </c>
      <c r="C7718" t="s">
        <v>2640</v>
      </c>
      <c r="D7718" s="254">
        <v>24430.99</v>
      </c>
      <c r="E7718"/>
      <c r="F7718"/>
      <c r="G7718"/>
      <c r="H7718"/>
      <c r="I7718" s="489"/>
      <c r="J7718" s="1362"/>
      <c r="K7718" s="1362"/>
      <c r="L7718" s="1362"/>
    </row>
    <row r="7719" spans="1:12" x14ac:dyDescent="0.25">
      <c r="A7719" t="s">
        <v>16270</v>
      </c>
      <c r="B7719" t="s">
        <v>16271</v>
      </c>
      <c r="C7719" t="s">
        <v>2640</v>
      </c>
      <c r="D7719" s="254">
        <v>28490.400000000001</v>
      </c>
      <c r="E7719"/>
      <c r="F7719"/>
      <c r="G7719"/>
      <c r="H7719"/>
      <c r="I7719" s="489"/>
      <c r="J7719" s="1362"/>
      <c r="K7719" s="1362"/>
      <c r="L7719" s="1362"/>
    </row>
    <row r="7720" spans="1:12" x14ac:dyDescent="0.25">
      <c r="A7720" t="s">
        <v>16272</v>
      </c>
      <c r="B7720" t="s">
        <v>16273</v>
      </c>
      <c r="C7720" t="s">
        <v>2640</v>
      </c>
      <c r="D7720" s="254">
        <v>33242.31</v>
      </c>
      <c r="E7720"/>
      <c r="F7720"/>
      <c r="G7720"/>
      <c r="H7720"/>
      <c r="I7720" s="489"/>
      <c r="J7720" s="1362"/>
      <c r="K7720" s="1362"/>
      <c r="L7720" s="1362"/>
    </row>
    <row r="7721" spans="1:12" x14ac:dyDescent="0.25">
      <c r="A7721" t="s">
        <v>16274</v>
      </c>
      <c r="B7721" t="s">
        <v>16275</v>
      </c>
      <c r="C7721" t="s">
        <v>2640</v>
      </c>
      <c r="D7721" s="254">
        <v>37017.99</v>
      </c>
      <c r="E7721"/>
      <c r="F7721"/>
      <c r="G7721"/>
      <c r="H7721"/>
      <c r="I7721" s="489"/>
      <c r="J7721" s="1362"/>
      <c r="K7721" s="1362"/>
      <c r="L7721" s="1362"/>
    </row>
    <row r="7722" spans="1:12" x14ac:dyDescent="0.25">
      <c r="A7722" t="s">
        <v>16276</v>
      </c>
      <c r="B7722" t="s">
        <v>16277</v>
      </c>
      <c r="C7722" t="s">
        <v>2640</v>
      </c>
      <c r="D7722" s="254">
        <v>42109.78</v>
      </c>
      <c r="E7722"/>
      <c r="F7722"/>
      <c r="G7722"/>
      <c r="H7722"/>
      <c r="I7722" s="489"/>
      <c r="J7722" s="1362"/>
      <c r="K7722" s="1362"/>
      <c r="L7722" s="1362"/>
    </row>
    <row r="7723" spans="1:12" x14ac:dyDescent="0.25">
      <c r="A7723" t="s">
        <v>16278</v>
      </c>
      <c r="B7723" t="s">
        <v>16279</v>
      </c>
      <c r="C7723" t="s">
        <v>2640</v>
      </c>
      <c r="D7723" s="254">
        <v>45428.62</v>
      </c>
      <c r="E7723"/>
      <c r="F7723"/>
      <c r="G7723"/>
      <c r="H7723"/>
      <c r="I7723" s="489"/>
      <c r="J7723" s="1362"/>
      <c r="K7723" s="1362"/>
      <c r="L7723" s="1362"/>
    </row>
    <row r="7724" spans="1:12" x14ac:dyDescent="0.25">
      <c r="A7724" t="s">
        <v>16280</v>
      </c>
      <c r="B7724" t="s">
        <v>16281</v>
      </c>
      <c r="C7724" t="s">
        <v>2640</v>
      </c>
      <c r="D7724" s="254">
        <v>52073.07</v>
      </c>
      <c r="E7724"/>
      <c r="F7724"/>
      <c r="G7724"/>
      <c r="H7724"/>
      <c r="I7724" s="489"/>
      <c r="J7724" s="1362"/>
      <c r="K7724" s="1362"/>
      <c r="L7724" s="1362"/>
    </row>
    <row r="7725" spans="1:12" x14ac:dyDescent="0.25">
      <c r="A7725" t="s">
        <v>16282</v>
      </c>
      <c r="B7725" t="s">
        <v>16283</v>
      </c>
      <c r="C7725" t="s">
        <v>2640</v>
      </c>
      <c r="D7725" s="254">
        <v>56055.99</v>
      </c>
      <c r="E7725"/>
      <c r="F7725"/>
      <c r="G7725"/>
      <c r="H7725"/>
      <c r="I7725" s="489"/>
      <c r="J7725" s="1362"/>
      <c r="K7725" s="1362"/>
      <c r="L7725" s="1362"/>
    </row>
    <row r="7726" spans="1:12" x14ac:dyDescent="0.25">
      <c r="A7726" t="s">
        <v>16284</v>
      </c>
      <c r="B7726" t="s">
        <v>16285</v>
      </c>
      <c r="C7726" t="s">
        <v>2640</v>
      </c>
      <c r="D7726" s="254">
        <v>59907</v>
      </c>
      <c r="E7726"/>
      <c r="F7726"/>
      <c r="G7726"/>
      <c r="H7726"/>
      <c r="I7726" s="489"/>
      <c r="J7726" s="1362"/>
      <c r="K7726" s="1362"/>
      <c r="L7726" s="1362"/>
    </row>
    <row r="7727" spans="1:12" x14ac:dyDescent="0.25">
      <c r="A7727" t="s">
        <v>16286</v>
      </c>
      <c r="B7727" t="s">
        <v>16287</v>
      </c>
      <c r="C7727" t="s">
        <v>2640</v>
      </c>
      <c r="D7727" s="254">
        <v>61981.79</v>
      </c>
      <c r="E7727"/>
      <c r="F7727"/>
      <c r="G7727"/>
      <c r="H7727"/>
      <c r="I7727" s="489"/>
      <c r="J7727" s="1362"/>
      <c r="K7727" s="1362"/>
      <c r="L7727" s="1362"/>
    </row>
    <row r="7728" spans="1:12" x14ac:dyDescent="0.25">
      <c r="A7728" t="s">
        <v>16288</v>
      </c>
      <c r="B7728" t="s">
        <v>16289</v>
      </c>
      <c r="C7728" t="s">
        <v>2640</v>
      </c>
      <c r="D7728" s="254">
        <v>68394.5</v>
      </c>
      <c r="E7728"/>
      <c r="F7728"/>
      <c r="G7728"/>
      <c r="H7728"/>
      <c r="I7728" s="489"/>
      <c r="J7728" s="1362"/>
      <c r="K7728" s="1362"/>
      <c r="L7728" s="1362"/>
    </row>
    <row r="7729" spans="1:12" x14ac:dyDescent="0.25">
      <c r="A7729" t="s">
        <v>16290</v>
      </c>
      <c r="B7729" t="s">
        <v>16291</v>
      </c>
      <c r="C7729" t="s">
        <v>2640</v>
      </c>
      <c r="D7729" s="254">
        <v>71115.94</v>
      </c>
      <c r="E7729"/>
      <c r="F7729"/>
      <c r="G7729"/>
      <c r="H7729"/>
      <c r="I7729" s="489"/>
      <c r="J7729" s="1362"/>
      <c r="K7729" s="1362"/>
      <c r="L7729" s="1362"/>
    </row>
    <row r="7730" spans="1:12" x14ac:dyDescent="0.25">
      <c r="A7730" t="s">
        <v>16292</v>
      </c>
      <c r="B7730" t="s">
        <v>16293</v>
      </c>
      <c r="C7730" t="s">
        <v>2640</v>
      </c>
      <c r="D7730" s="254">
        <v>74981.63</v>
      </c>
      <c r="E7730"/>
      <c r="F7730"/>
      <c r="G7730"/>
      <c r="H7730"/>
      <c r="I7730" s="489"/>
      <c r="J7730" s="1362"/>
      <c r="K7730" s="1362"/>
      <c r="L7730" s="1362"/>
    </row>
    <row r="7731" spans="1:12" x14ac:dyDescent="0.25">
      <c r="A7731" t="s">
        <v>16294</v>
      </c>
      <c r="B7731" t="s">
        <v>16295</v>
      </c>
      <c r="C7731" t="s">
        <v>2640</v>
      </c>
      <c r="D7731" s="254">
        <v>80938.92</v>
      </c>
      <c r="E7731"/>
      <c r="F7731"/>
      <c r="G7731"/>
      <c r="H7731"/>
      <c r="I7731" s="489"/>
      <c r="J7731" s="1362"/>
      <c r="K7731" s="1362"/>
      <c r="L7731" s="1362"/>
    </row>
    <row r="7732" spans="1:12" x14ac:dyDescent="0.25">
      <c r="A7732" t="s">
        <v>16296</v>
      </c>
      <c r="B7732" t="s">
        <v>16297</v>
      </c>
      <c r="C7732" t="s">
        <v>2640</v>
      </c>
      <c r="D7732" s="254">
        <v>85914.39</v>
      </c>
      <c r="E7732"/>
      <c r="F7732"/>
      <c r="G7732"/>
      <c r="H7732"/>
      <c r="I7732" s="489"/>
      <c r="J7732" s="1362"/>
      <c r="K7732" s="1362"/>
      <c r="L7732" s="1362"/>
    </row>
    <row r="7733" spans="1:12" x14ac:dyDescent="0.25">
      <c r="A7733" t="s">
        <v>16298</v>
      </c>
      <c r="B7733" t="s">
        <v>16299</v>
      </c>
      <c r="C7733" t="s">
        <v>2640</v>
      </c>
      <c r="D7733" s="254">
        <v>10029.77</v>
      </c>
      <c r="E7733"/>
      <c r="F7733"/>
      <c r="G7733"/>
      <c r="H7733"/>
      <c r="I7733" s="489"/>
      <c r="J7733" s="1362"/>
      <c r="K7733" s="1362"/>
      <c r="L7733" s="1362"/>
    </row>
    <row r="7734" spans="1:12" x14ac:dyDescent="0.25">
      <c r="A7734" t="s">
        <v>16300</v>
      </c>
      <c r="B7734" t="s">
        <v>16301</v>
      </c>
      <c r="C7734" t="s">
        <v>2640</v>
      </c>
      <c r="D7734" s="254">
        <v>15075.99</v>
      </c>
      <c r="E7734"/>
      <c r="F7734"/>
      <c r="G7734"/>
      <c r="H7734"/>
      <c r="I7734" s="489"/>
      <c r="J7734" s="1362"/>
      <c r="K7734" s="1362"/>
      <c r="L7734" s="1362"/>
    </row>
    <row r="7735" spans="1:12" x14ac:dyDescent="0.25">
      <c r="A7735" t="s">
        <v>16302</v>
      </c>
      <c r="B7735" t="s">
        <v>16303</v>
      </c>
      <c r="C7735" t="s">
        <v>2640</v>
      </c>
      <c r="D7735" s="254">
        <v>24756.93</v>
      </c>
      <c r="E7735"/>
      <c r="F7735"/>
      <c r="G7735"/>
      <c r="H7735"/>
      <c r="I7735" s="489"/>
      <c r="J7735" s="1362"/>
      <c r="K7735" s="1362"/>
      <c r="L7735" s="1362"/>
    </row>
    <row r="7736" spans="1:12" x14ac:dyDescent="0.25">
      <c r="A7736" t="s">
        <v>16304</v>
      </c>
      <c r="B7736" t="s">
        <v>16305</v>
      </c>
      <c r="C7736" t="s">
        <v>2640</v>
      </c>
      <c r="D7736" s="254">
        <v>40022.800000000003</v>
      </c>
      <c r="E7736"/>
      <c r="F7736"/>
      <c r="G7736"/>
      <c r="H7736"/>
      <c r="I7736" s="489"/>
      <c r="J7736" s="1362"/>
      <c r="K7736" s="1362"/>
      <c r="L7736" s="1362"/>
    </row>
    <row r="7737" spans="1:12" x14ac:dyDescent="0.25">
      <c r="A7737" t="s">
        <v>16306</v>
      </c>
      <c r="B7737" t="s">
        <v>16307</v>
      </c>
      <c r="C7737" t="s">
        <v>2640</v>
      </c>
      <c r="D7737" s="254">
        <v>53784.9</v>
      </c>
      <c r="E7737"/>
      <c r="F7737"/>
      <c r="G7737"/>
      <c r="H7737"/>
      <c r="I7737" s="489"/>
      <c r="J7737" s="1362"/>
      <c r="K7737" s="1362"/>
      <c r="L7737" s="1362"/>
    </row>
    <row r="7738" spans="1:12" x14ac:dyDescent="0.25">
      <c r="A7738" t="s">
        <v>16308</v>
      </c>
      <c r="B7738" t="s">
        <v>16309</v>
      </c>
      <c r="C7738" t="s">
        <v>2640</v>
      </c>
      <c r="D7738" s="254">
        <v>73862.7</v>
      </c>
      <c r="E7738"/>
      <c r="F7738"/>
      <c r="G7738"/>
      <c r="H7738"/>
      <c r="I7738" s="489"/>
      <c r="J7738" s="1362"/>
      <c r="K7738" s="1362"/>
      <c r="L7738" s="1362"/>
    </row>
    <row r="7739" spans="1:12" x14ac:dyDescent="0.25">
      <c r="A7739" t="s">
        <v>16310</v>
      </c>
      <c r="B7739" t="s">
        <v>16311</v>
      </c>
      <c r="C7739" t="s">
        <v>2640</v>
      </c>
      <c r="D7739" s="254">
        <v>99974.11</v>
      </c>
      <c r="E7739"/>
      <c r="F7739"/>
      <c r="G7739"/>
      <c r="H7739"/>
      <c r="I7739" s="489"/>
      <c r="J7739" s="1362"/>
      <c r="K7739" s="1362"/>
      <c r="L7739" s="1362"/>
    </row>
    <row r="7740" spans="1:12" x14ac:dyDescent="0.25">
      <c r="A7740" t="s">
        <v>16312</v>
      </c>
      <c r="B7740" t="s">
        <v>16313</v>
      </c>
      <c r="C7740" t="s">
        <v>2640</v>
      </c>
      <c r="D7740" s="254">
        <v>7576.03</v>
      </c>
      <c r="E7740"/>
      <c r="F7740"/>
      <c r="G7740"/>
      <c r="H7740"/>
      <c r="I7740" s="489"/>
      <c r="J7740" s="1362"/>
      <c r="K7740" s="1362"/>
      <c r="L7740" s="1362"/>
    </row>
    <row r="7741" spans="1:12" x14ac:dyDescent="0.25">
      <c r="A7741" t="s">
        <v>16314</v>
      </c>
      <c r="B7741" t="s">
        <v>16315</v>
      </c>
      <c r="C7741" t="s">
        <v>2640</v>
      </c>
      <c r="D7741" s="254">
        <v>10341.75</v>
      </c>
      <c r="E7741"/>
      <c r="F7741"/>
      <c r="G7741"/>
      <c r="H7741"/>
      <c r="I7741" s="489"/>
      <c r="J7741" s="1362"/>
      <c r="K7741" s="1362"/>
      <c r="L7741" s="1362"/>
    </row>
    <row r="7742" spans="1:12" x14ac:dyDescent="0.25">
      <c r="A7742" t="s">
        <v>16316</v>
      </c>
      <c r="B7742" t="s">
        <v>16317</v>
      </c>
      <c r="C7742" t="s">
        <v>2640</v>
      </c>
      <c r="D7742" s="254">
        <v>16433.18</v>
      </c>
      <c r="E7742"/>
      <c r="F7742"/>
      <c r="G7742"/>
      <c r="H7742"/>
      <c r="I7742" s="489"/>
      <c r="J7742" s="1362"/>
      <c r="K7742" s="1362"/>
      <c r="L7742" s="1362"/>
    </row>
    <row r="7743" spans="1:12" x14ac:dyDescent="0.25">
      <c r="A7743" t="s">
        <v>16318</v>
      </c>
      <c r="B7743" t="s">
        <v>16319</v>
      </c>
      <c r="C7743" t="s">
        <v>2640</v>
      </c>
      <c r="D7743" s="254">
        <v>25255.94</v>
      </c>
      <c r="E7743"/>
      <c r="F7743"/>
      <c r="G7743"/>
      <c r="H7743"/>
      <c r="I7743" s="489"/>
      <c r="J7743" s="1362"/>
      <c r="K7743" s="1362"/>
      <c r="L7743" s="1362"/>
    </row>
    <row r="7744" spans="1:12" x14ac:dyDescent="0.25">
      <c r="A7744" t="s">
        <v>16320</v>
      </c>
      <c r="B7744" t="s">
        <v>16321</v>
      </c>
      <c r="C7744" t="s">
        <v>2640</v>
      </c>
      <c r="D7744" s="254">
        <v>31713.95</v>
      </c>
      <c r="E7744"/>
      <c r="F7744"/>
      <c r="G7744"/>
      <c r="H7744"/>
      <c r="I7744" s="489"/>
      <c r="J7744" s="1362"/>
      <c r="K7744" s="1362"/>
      <c r="L7744" s="1362"/>
    </row>
    <row r="7745" spans="1:12" x14ac:dyDescent="0.25">
      <c r="A7745" t="s">
        <v>16322</v>
      </c>
      <c r="B7745" t="s">
        <v>16323</v>
      </c>
      <c r="C7745" t="s">
        <v>2640</v>
      </c>
      <c r="D7745" s="254">
        <v>43295.03</v>
      </c>
      <c r="E7745"/>
      <c r="F7745"/>
      <c r="G7745"/>
      <c r="H7745"/>
      <c r="I7745" s="489"/>
      <c r="J7745" s="1362"/>
      <c r="K7745" s="1362"/>
      <c r="L7745" s="1362"/>
    </row>
    <row r="7746" spans="1:12" x14ac:dyDescent="0.25">
      <c r="A7746" t="s">
        <v>16324</v>
      </c>
      <c r="B7746" t="s">
        <v>16325</v>
      </c>
      <c r="C7746" t="s">
        <v>2640</v>
      </c>
      <c r="D7746" s="254">
        <v>54950.720000000001</v>
      </c>
      <c r="E7746"/>
      <c r="F7746"/>
      <c r="G7746"/>
      <c r="H7746"/>
      <c r="I7746" s="489"/>
      <c r="J7746" s="1362"/>
      <c r="K7746" s="1362"/>
      <c r="L7746" s="1362"/>
    </row>
    <row r="7747" spans="1:12" x14ac:dyDescent="0.25">
      <c r="A7747" t="s">
        <v>16326</v>
      </c>
      <c r="B7747" t="s">
        <v>16327</v>
      </c>
      <c r="C7747" t="s">
        <v>2640</v>
      </c>
      <c r="D7747" s="254">
        <v>5032.72</v>
      </c>
      <c r="E7747"/>
      <c r="F7747"/>
      <c r="G7747"/>
      <c r="H7747"/>
      <c r="I7747" s="489"/>
      <c r="J7747" s="1362"/>
      <c r="K7747" s="1362"/>
      <c r="L7747" s="1362"/>
    </row>
    <row r="7748" spans="1:12" x14ac:dyDescent="0.25">
      <c r="A7748" t="s">
        <v>16328</v>
      </c>
      <c r="B7748" t="s">
        <v>16329</v>
      </c>
      <c r="C7748" t="s">
        <v>2640</v>
      </c>
      <c r="D7748" s="254">
        <v>8014.69</v>
      </c>
      <c r="E7748"/>
      <c r="F7748"/>
      <c r="G7748"/>
      <c r="H7748"/>
      <c r="I7748" s="489"/>
      <c r="J7748" s="1362"/>
      <c r="K7748" s="1362"/>
      <c r="L7748" s="1362"/>
    </row>
    <row r="7749" spans="1:12" x14ac:dyDescent="0.25">
      <c r="A7749" t="s">
        <v>16330</v>
      </c>
      <c r="B7749" t="s">
        <v>16331</v>
      </c>
      <c r="C7749" t="s">
        <v>2640</v>
      </c>
      <c r="D7749" s="254">
        <v>12449.33</v>
      </c>
      <c r="E7749"/>
      <c r="F7749"/>
      <c r="G7749"/>
      <c r="H7749"/>
      <c r="I7749" s="489"/>
      <c r="J7749" s="1362"/>
      <c r="K7749" s="1362"/>
      <c r="L7749" s="1362"/>
    </row>
    <row r="7750" spans="1:12" x14ac:dyDescent="0.25">
      <c r="A7750" t="s">
        <v>16332</v>
      </c>
      <c r="B7750" t="s">
        <v>16333</v>
      </c>
      <c r="C7750" t="s">
        <v>2640</v>
      </c>
      <c r="D7750" s="254">
        <v>20744.77</v>
      </c>
      <c r="E7750"/>
      <c r="F7750"/>
      <c r="G7750"/>
      <c r="H7750"/>
      <c r="I7750" s="489"/>
      <c r="J7750" s="1362"/>
      <c r="K7750" s="1362"/>
      <c r="L7750" s="1362"/>
    </row>
    <row r="7751" spans="1:12" x14ac:dyDescent="0.25">
      <c r="A7751" t="s">
        <v>16334</v>
      </c>
      <c r="B7751" t="s">
        <v>16335</v>
      </c>
      <c r="C7751" t="s">
        <v>2640</v>
      </c>
      <c r="D7751" s="254">
        <v>29180.33</v>
      </c>
      <c r="E7751"/>
      <c r="F7751"/>
      <c r="G7751"/>
      <c r="H7751"/>
      <c r="I7751" s="489"/>
      <c r="J7751" s="1362"/>
      <c r="K7751" s="1362"/>
      <c r="L7751" s="1362"/>
    </row>
    <row r="7752" spans="1:12" x14ac:dyDescent="0.25">
      <c r="A7752" t="s">
        <v>16336</v>
      </c>
      <c r="B7752" t="s">
        <v>16337</v>
      </c>
      <c r="C7752" t="s">
        <v>2640</v>
      </c>
      <c r="D7752" s="254">
        <v>35420.1</v>
      </c>
      <c r="E7752"/>
      <c r="F7752"/>
      <c r="G7752"/>
      <c r="H7752"/>
      <c r="I7752" s="489"/>
      <c r="J7752" s="1362"/>
      <c r="K7752" s="1362"/>
      <c r="L7752" s="1362"/>
    </row>
    <row r="7753" spans="1:12" x14ac:dyDescent="0.25">
      <c r="A7753" t="s">
        <v>16338</v>
      </c>
      <c r="B7753" t="s">
        <v>16339</v>
      </c>
      <c r="C7753" t="s">
        <v>2640</v>
      </c>
      <c r="D7753" s="254">
        <v>49109.06</v>
      </c>
      <c r="E7753"/>
      <c r="F7753"/>
      <c r="G7753"/>
      <c r="H7753"/>
      <c r="I7753" s="489"/>
      <c r="J7753" s="1362"/>
      <c r="K7753" s="1362"/>
      <c r="L7753" s="1362"/>
    </row>
    <row r="7754" spans="1:12" x14ac:dyDescent="0.25">
      <c r="A7754" t="s">
        <v>16340</v>
      </c>
      <c r="B7754" t="s">
        <v>16341</v>
      </c>
      <c r="C7754" t="s">
        <v>2598</v>
      </c>
      <c r="D7754" s="254">
        <v>4956.07</v>
      </c>
      <c r="E7754"/>
      <c r="F7754"/>
      <c r="G7754"/>
      <c r="H7754"/>
      <c r="I7754" s="489"/>
      <c r="J7754" s="1362"/>
      <c r="K7754" s="1362"/>
      <c r="L7754" s="1362"/>
    </row>
    <row r="7755" spans="1:12" x14ac:dyDescent="0.25">
      <c r="A7755" t="s">
        <v>16342</v>
      </c>
      <c r="B7755" t="s">
        <v>16343</v>
      </c>
      <c r="C7755" t="s">
        <v>2598</v>
      </c>
      <c r="D7755" s="254">
        <v>5586.09</v>
      </c>
      <c r="E7755"/>
      <c r="F7755"/>
      <c r="G7755"/>
      <c r="H7755"/>
      <c r="I7755" s="489"/>
      <c r="J7755" s="1362"/>
      <c r="K7755" s="1362"/>
      <c r="L7755" s="1362"/>
    </row>
    <row r="7756" spans="1:12" x14ac:dyDescent="0.25">
      <c r="A7756" t="s">
        <v>16344</v>
      </c>
      <c r="B7756" t="s">
        <v>16345</v>
      </c>
      <c r="C7756" t="s">
        <v>2598</v>
      </c>
      <c r="D7756" s="254">
        <v>6510.1</v>
      </c>
      <c r="E7756"/>
      <c r="F7756"/>
      <c r="G7756"/>
      <c r="H7756"/>
      <c r="I7756" s="489"/>
      <c r="J7756" s="1362"/>
      <c r="K7756" s="1362"/>
      <c r="L7756" s="1362"/>
    </row>
    <row r="7757" spans="1:12" x14ac:dyDescent="0.25">
      <c r="A7757" t="s">
        <v>16346</v>
      </c>
      <c r="B7757" t="s">
        <v>16347</v>
      </c>
      <c r="C7757" t="s">
        <v>2598</v>
      </c>
      <c r="D7757" s="254">
        <v>7434.11</v>
      </c>
      <c r="E7757"/>
      <c r="F7757"/>
      <c r="G7757"/>
      <c r="H7757"/>
      <c r="I7757" s="489"/>
      <c r="J7757" s="1362"/>
      <c r="K7757" s="1362"/>
      <c r="L7757" s="1362"/>
    </row>
    <row r="7758" spans="1:12" x14ac:dyDescent="0.25">
      <c r="A7758" t="s">
        <v>16348</v>
      </c>
      <c r="B7758" t="s">
        <v>16349</v>
      </c>
      <c r="C7758" t="s">
        <v>2598</v>
      </c>
      <c r="D7758" s="254">
        <v>8190.28</v>
      </c>
      <c r="E7758"/>
      <c r="F7758"/>
      <c r="G7758"/>
      <c r="H7758"/>
      <c r="I7758" s="489"/>
      <c r="J7758" s="1362"/>
      <c r="K7758" s="1362"/>
      <c r="L7758" s="1362"/>
    </row>
    <row r="7759" spans="1:12" x14ac:dyDescent="0.25">
      <c r="A7759" t="s">
        <v>16350</v>
      </c>
      <c r="B7759" t="s">
        <v>16351</v>
      </c>
      <c r="C7759" t="s">
        <v>2598</v>
      </c>
      <c r="D7759" s="254">
        <v>10676.69</v>
      </c>
      <c r="E7759"/>
      <c r="F7759"/>
      <c r="G7759"/>
      <c r="H7759"/>
      <c r="I7759" s="489"/>
      <c r="J7759" s="1362"/>
      <c r="K7759" s="1362"/>
      <c r="L7759" s="1362"/>
    </row>
    <row r="7760" spans="1:12" x14ac:dyDescent="0.25">
      <c r="A7760" t="s">
        <v>16352</v>
      </c>
      <c r="B7760" t="s">
        <v>16353</v>
      </c>
      <c r="C7760" t="s">
        <v>2598</v>
      </c>
      <c r="D7760" s="254">
        <v>11556.39</v>
      </c>
      <c r="E7760"/>
      <c r="F7760"/>
      <c r="G7760"/>
      <c r="H7760"/>
      <c r="I7760" s="489"/>
      <c r="J7760" s="1362"/>
      <c r="K7760" s="1362"/>
      <c r="L7760" s="1362"/>
    </row>
    <row r="7761" spans="1:12" x14ac:dyDescent="0.25">
      <c r="A7761" t="s">
        <v>16354</v>
      </c>
      <c r="B7761" t="s">
        <v>16355</v>
      </c>
      <c r="C7761" t="s">
        <v>2598</v>
      </c>
      <c r="D7761" s="254">
        <v>12596.22</v>
      </c>
      <c r="E7761"/>
      <c r="F7761"/>
      <c r="G7761"/>
      <c r="H7761"/>
      <c r="I7761" s="489"/>
      <c r="J7761" s="1362"/>
      <c r="K7761" s="1362"/>
      <c r="L7761" s="1362"/>
    </row>
    <row r="7762" spans="1:12" x14ac:dyDescent="0.25">
      <c r="A7762" t="s">
        <v>16356</v>
      </c>
      <c r="B7762" t="s">
        <v>16357</v>
      </c>
      <c r="C7762" t="s">
        <v>2598</v>
      </c>
      <c r="D7762" s="254">
        <v>13475.73</v>
      </c>
      <c r="E7762"/>
      <c r="F7762"/>
      <c r="G7762"/>
      <c r="H7762"/>
      <c r="I7762" s="489"/>
      <c r="J7762" s="1362"/>
      <c r="K7762" s="1362"/>
      <c r="L7762" s="1362"/>
    </row>
    <row r="7763" spans="1:12" x14ac:dyDescent="0.25">
      <c r="A7763" t="s">
        <v>16358</v>
      </c>
      <c r="B7763" t="s">
        <v>16359</v>
      </c>
      <c r="C7763" t="s">
        <v>2598</v>
      </c>
      <c r="D7763" s="254">
        <v>14515.78</v>
      </c>
      <c r="E7763"/>
      <c r="F7763"/>
      <c r="G7763"/>
      <c r="H7763"/>
      <c r="I7763" s="489"/>
      <c r="J7763" s="1362"/>
      <c r="K7763" s="1362"/>
      <c r="L7763" s="1362"/>
    </row>
    <row r="7764" spans="1:12" x14ac:dyDescent="0.25">
      <c r="A7764" t="s">
        <v>16360</v>
      </c>
      <c r="B7764" t="s">
        <v>16361</v>
      </c>
      <c r="C7764" t="s">
        <v>2598</v>
      </c>
      <c r="D7764" s="254">
        <v>15395.57</v>
      </c>
      <c r="E7764"/>
      <c r="F7764"/>
      <c r="G7764"/>
      <c r="H7764"/>
      <c r="I7764" s="489"/>
      <c r="J7764" s="1362"/>
      <c r="K7764" s="1362"/>
      <c r="L7764" s="1362"/>
    </row>
    <row r="7765" spans="1:12" x14ac:dyDescent="0.25">
      <c r="A7765" t="s">
        <v>16362</v>
      </c>
      <c r="B7765" t="s">
        <v>16363</v>
      </c>
      <c r="C7765" t="s">
        <v>2598</v>
      </c>
      <c r="D7765" s="254">
        <v>18360.27</v>
      </c>
      <c r="E7765"/>
      <c r="F7765"/>
      <c r="G7765"/>
      <c r="H7765"/>
      <c r="I7765" s="489"/>
      <c r="J7765" s="1362"/>
      <c r="K7765" s="1362"/>
      <c r="L7765" s="1362"/>
    </row>
    <row r="7766" spans="1:12" x14ac:dyDescent="0.25">
      <c r="A7766" t="s">
        <v>16364</v>
      </c>
      <c r="B7766" t="s">
        <v>16365</v>
      </c>
      <c r="C7766" t="s">
        <v>2598</v>
      </c>
      <c r="D7766" s="254">
        <v>19365.47</v>
      </c>
      <c r="E7766"/>
      <c r="F7766"/>
      <c r="G7766"/>
      <c r="H7766"/>
      <c r="I7766" s="489"/>
      <c r="J7766" s="1362"/>
      <c r="K7766" s="1362"/>
      <c r="L7766" s="1362"/>
    </row>
    <row r="7767" spans="1:12" x14ac:dyDescent="0.25">
      <c r="A7767" t="s">
        <v>16366</v>
      </c>
      <c r="B7767" t="s">
        <v>16367</v>
      </c>
      <c r="C7767" t="s">
        <v>2598</v>
      </c>
      <c r="D7767" s="254">
        <v>20562.330000000002</v>
      </c>
      <c r="E7767"/>
      <c r="F7767"/>
      <c r="G7767"/>
      <c r="H7767"/>
      <c r="I7767" s="489"/>
      <c r="J7767" s="1362"/>
      <c r="K7767" s="1362"/>
      <c r="L7767" s="1362"/>
    </row>
    <row r="7768" spans="1:12" x14ac:dyDescent="0.25">
      <c r="A7768" t="s">
        <v>16368</v>
      </c>
      <c r="B7768" t="s">
        <v>16369</v>
      </c>
      <c r="C7768" t="s">
        <v>2598</v>
      </c>
      <c r="D7768" s="254">
        <v>21491.87</v>
      </c>
      <c r="E7768"/>
      <c r="F7768"/>
      <c r="G7768"/>
      <c r="H7768"/>
      <c r="I7768" s="489"/>
      <c r="J7768" s="1362"/>
      <c r="K7768" s="1362"/>
      <c r="L7768" s="1362"/>
    </row>
    <row r="7769" spans="1:12" x14ac:dyDescent="0.25">
      <c r="A7769" t="s">
        <v>16370</v>
      </c>
      <c r="B7769" t="s">
        <v>16371</v>
      </c>
      <c r="C7769" t="s">
        <v>2598</v>
      </c>
      <c r="D7769" s="254">
        <v>22661.46</v>
      </c>
      <c r="E7769"/>
      <c r="F7769"/>
      <c r="G7769"/>
      <c r="H7769"/>
      <c r="I7769" s="489"/>
      <c r="J7769" s="1362"/>
      <c r="K7769" s="1362"/>
      <c r="L7769" s="1362"/>
    </row>
    <row r="7770" spans="1:12" x14ac:dyDescent="0.25">
      <c r="A7770" t="s">
        <v>16372</v>
      </c>
      <c r="B7770" t="s">
        <v>16373</v>
      </c>
      <c r="C7770" t="s">
        <v>2598</v>
      </c>
      <c r="D7770" s="254">
        <v>23693.98</v>
      </c>
      <c r="E7770"/>
      <c r="F7770"/>
      <c r="G7770"/>
      <c r="H7770"/>
      <c r="I7770" s="489"/>
      <c r="J7770" s="1362"/>
      <c r="K7770" s="1362"/>
      <c r="L7770" s="1362"/>
    </row>
    <row r="7771" spans="1:12" x14ac:dyDescent="0.25">
      <c r="A7771" t="s">
        <v>16374</v>
      </c>
      <c r="B7771" t="s">
        <v>16375</v>
      </c>
      <c r="C7771" t="s">
        <v>2598</v>
      </c>
      <c r="D7771" s="254">
        <v>24775.69</v>
      </c>
      <c r="E7771"/>
      <c r="F7771"/>
      <c r="G7771"/>
      <c r="H7771"/>
      <c r="I7771" s="489"/>
      <c r="J7771" s="1362"/>
      <c r="K7771" s="1362"/>
      <c r="L7771" s="1362"/>
    </row>
    <row r="7772" spans="1:12" x14ac:dyDescent="0.25">
      <c r="A7772" t="s">
        <v>16376</v>
      </c>
      <c r="B7772" t="s">
        <v>16377</v>
      </c>
      <c r="C7772" t="s">
        <v>2598</v>
      </c>
      <c r="D7772" s="254">
        <v>27982.9</v>
      </c>
      <c r="E7772"/>
      <c r="F7772"/>
      <c r="G7772"/>
      <c r="H7772"/>
      <c r="I7772" s="489"/>
      <c r="J7772" s="1362"/>
      <c r="K7772" s="1362"/>
      <c r="L7772" s="1362"/>
    </row>
    <row r="7773" spans="1:12" x14ac:dyDescent="0.25">
      <c r="A7773" t="s">
        <v>16378</v>
      </c>
      <c r="B7773" t="s">
        <v>16379</v>
      </c>
      <c r="C7773" t="s">
        <v>2598</v>
      </c>
      <c r="D7773" s="254">
        <v>31429.759999999998</v>
      </c>
      <c r="E7773"/>
      <c r="F7773"/>
      <c r="G7773"/>
      <c r="H7773"/>
      <c r="I7773" s="489"/>
      <c r="J7773" s="1362"/>
      <c r="K7773" s="1362"/>
      <c r="L7773" s="1362"/>
    </row>
    <row r="7774" spans="1:12" x14ac:dyDescent="0.25">
      <c r="A7774" t="s">
        <v>16380</v>
      </c>
      <c r="B7774" t="s">
        <v>16381</v>
      </c>
      <c r="C7774" t="s">
        <v>2598</v>
      </c>
      <c r="D7774" s="254">
        <v>5197.8500000000004</v>
      </c>
      <c r="E7774"/>
      <c r="F7774"/>
      <c r="G7774"/>
      <c r="H7774"/>
      <c r="I7774" s="489"/>
      <c r="J7774" s="1362"/>
      <c r="K7774" s="1362"/>
      <c r="L7774" s="1362"/>
    </row>
    <row r="7775" spans="1:12" x14ac:dyDescent="0.25">
      <c r="A7775" t="s">
        <v>16382</v>
      </c>
      <c r="B7775" t="s">
        <v>16383</v>
      </c>
      <c r="C7775" t="s">
        <v>2598</v>
      </c>
      <c r="D7775" s="254">
        <v>5858.6</v>
      </c>
      <c r="E7775"/>
      <c r="F7775"/>
      <c r="G7775"/>
      <c r="H7775"/>
      <c r="I7775" s="489"/>
      <c r="J7775" s="1362"/>
      <c r="K7775" s="1362"/>
      <c r="L7775" s="1362"/>
    </row>
    <row r="7776" spans="1:12" x14ac:dyDescent="0.25">
      <c r="A7776" t="s">
        <v>16384</v>
      </c>
      <c r="B7776" t="s">
        <v>16385</v>
      </c>
      <c r="C7776" t="s">
        <v>2598</v>
      </c>
      <c r="D7776" s="254">
        <v>6827.69</v>
      </c>
      <c r="E7776"/>
      <c r="F7776"/>
      <c r="G7776"/>
      <c r="H7776"/>
      <c r="I7776" s="489"/>
      <c r="J7776" s="1362"/>
      <c r="K7776" s="1362"/>
      <c r="L7776" s="1362"/>
    </row>
    <row r="7777" spans="1:12" x14ac:dyDescent="0.25">
      <c r="A7777" t="s">
        <v>16386</v>
      </c>
      <c r="B7777" t="s">
        <v>16387</v>
      </c>
      <c r="C7777" t="s">
        <v>2598</v>
      </c>
      <c r="D7777" s="254">
        <v>7796.78</v>
      </c>
      <c r="E7777"/>
      <c r="F7777"/>
      <c r="G7777"/>
      <c r="H7777"/>
      <c r="I7777" s="489"/>
      <c r="J7777" s="1362"/>
      <c r="K7777" s="1362"/>
      <c r="L7777" s="1362"/>
    </row>
    <row r="7778" spans="1:12" x14ac:dyDescent="0.25">
      <c r="A7778" t="s">
        <v>16388</v>
      </c>
      <c r="B7778" t="s">
        <v>16389</v>
      </c>
      <c r="C7778" t="s">
        <v>2598</v>
      </c>
      <c r="D7778" s="254">
        <v>8589.82</v>
      </c>
      <c r="E7778"/>
      <c r="F7778"/>
      <c r="G7778"/>
      <c r="H7778"/>
      <c r="I7778" s="489"/>
      <c r="J7778" s="1362"/>
      <c r="K7778" s="1362"/>
      <c r="L7778" s="1362"/>
    </row>
    <row r="7779" spans="1:12" x14ac:dyDescent="0.25">
      <c r="A7779" t="s">
        <v>16390</v>
      </c>
      <c r="B7779" t="s">
        <v>16391</v>
      </c>
      <c r="C7779" t="s">
        <v>2598</v>
      </c>
      <c r="D7779" s="254">
        <v>11519.25</v>
      </c>
      <c r="E7779"/>
      <c r="F7779"/>
      <c r="G7779"/>
      <c r="H7779"/>
      <c r="I7779" s="489"/>
      <c r="J7779" s="1362"/>
      <c r="K7779" s="1362"/>
      <c r="L7779" s="1362"/>
    </row>
    <row r="7780" spans="1:12" x14ac:dyDescent="0.25">
      <c r="A7780" t="s">
        <v>16392</v>
      </c>
      <c r="B7780" t="s">
        <v>16393</v>
      </c>
      <c r="C7780" t="s">
        <v>2598</v>
      </c>
      <c r="D7780" s="254">
        <v>12471.63</v>
      </c>
      <c r="E7780"/>
      <c r="F7780"/>
      <c r="G7780"/>
      <c r="H7780"/>
      <c r="I7780" s="489"/>
      <c r="J7780" s="1362"/>
      <c r="K7780" s="1362"/>
      <c r="L7780" s="1362"/>
    </row>
    <row r="7781" spans="1:12" x14ac:dyDescent="0.25">
      <c r="A7781" t="s">
        <v>16394</v>
      </c>
      <c r="B7781" t="s">
        <v>16395</v>
      </c>
      <c r="C7781" t="s">
        <v>2598</v>
      </c>
      <c r="D7781" s="254">
        <v>13593.79</v>
      </c>
      <c r="E7781"/>
      <c r="F7781"/>
      <c r="G7781"/>
      <c r="H7781"/>
      <c r="I7781" s="489"/>
      <c r="J7781" s="1362"/>
      <c r="K7781" s="1362"/>
      <c r="L7781" s="1362"/>
    </row>
    <row r="7782" spans="1:12" x14ac:dyDescent="0.25">
      <c r="A7782" t="s">
        <v>16396</v>
      </c>
      <c r="B7782" t="s">
        <v>16397</v>
      </c>
      <c r="C7782" t="s">
        <v>2598</v>
      </c>
      <c r="D7782" s="254">
        <v>14542.98</v>
      </c>
      <c r="E7782"/>
      <c r="F7782"/>
      <c r="G7782"/>
      <c r="H7782"/>
      <c r="I7782" s="489"/>
      <c r="J7782" s="1362"/>
      <c r="K7782" s="1362"/>
      <c r="L7782" s="1362"/>
    </row>
    <row r="7783" spans="1:12" x14ac:dyDescent="0.25">
      <c r="A7783" t="s">
        <v>16398</v>
      </c>
      <c r="B7783" t="s">
        <v>16399</v>
      </c>
      <c r="C7783" t="s">
        <v>2598</v>
      </c>
      <c r="D7783" s="254">
        <v>15665.44</v>
      </c>
      <c r="E7783"/>
      <c r="F7783"/>
      <c r="G7783"/>
      <c r="H7783"/>
      <c r="I7783" s="489"/>
      <c r="J7783" s="1362"/>
      <c r="K7783" s="1362"/>
      <c r="L7783" s="1362"/>
    </row>
    <row r="7784" spans="1:12" x14ac:dyDescent="0.25">
      <c r="A7784" t="s">
        <v>16400</v>
      </c>
      <c r="B7784" t="s">
        <v>16401</v>
      </c>
      <c r="C7784" t="s">
        <v>2598</v>
      </c>
      <c r="D7784" s="254">
        <v>16614.830000000002</v>
      </c>
      <c r="E7784"/>
      <c r="F7784"/>
      <c r="G7784"/>
      <c r="H7784"/>
      <c r="I7784" s="489"/>
      <c r="J7784" s="1362"/>
      <c r="K7784" s="1362"/>
      <c r="L7784" s="1362"/>
    </row>
    <row r="7785" spans="1:12" x14ac:dyDescent="0.25">
      <c r="A7785" t="s">
        <v>16402</v>
      </c>
      <c r="B7785" t="s">
        <v>16403</v>
      </c>
      <c r="C7785" t="s">
        <v>2598</v>
      </c>
      <c r="D7785" s="254">
        <v>8253.59</v>
      </c>
      <c r="E7785"/>
      <c r="F7785"/>
      <c r="G7785"/>
      <c r="H7785"/>
      <c r="I7785" s="489"/>
      <c r="J7785" s="1362"/>
      <c r="K7785" s="1362"/>
      <c r="L7785" s="1362"/>
    </row>
    <row r="7786" spans="1:12" x14ac:dyDescent="0.25">
      <c r="A7786" t="s">
        <v>16404</v>
      </c>
      <c r="B7786" t="s">
        <v>16405</v>
      </c>
      <c r="C7786" t="s">
        <v>2598</v>
      </c>
      <c r="D7786" s="254">
        <v>9119.89</v>
      </c>
      <c r="E7786"/>
      <c r="F7786"/>
      <c r="G7786"/>
      <c r="H7786"/>
      <c r="I7786" s="489"/>
      <c r="J7786" s="1362"/>
      <c r="K7786" s="1362"/>
      <c r="L7786" s="1362"/>
    </row>
    <row r="7787" spans="1:12" x14ac:dyDescent="0.25">
      <c r="A7787" t="s">
        <v>16406</v>
      </c>
      <c r="B7787" t="s">
        <v>16407</v>
      </c>
      <c r="C7787" t="s">
        <v>2598</v>
      </c>
      <c r="D7787" s="254">
        <v>9727.81</v>
      </c>
      <c r="E7787"/>
      <c r="F7787"/>
      <c r="G7787"/>
      <c r="H7787"/>
      <c r="I7787" s="489"/>
      <c r="J7787" s="1362"/>
      <c r="K7787" s="1362"/>
      <c r="L7787" s="1362"/>
    </row>
    <row r="7788" spans="1:12" x14ac:dyDescent="0.25">
      <c r="A7788" t="s">
        <v>16408</v>
      </c>
      <c r="B7788" t="s">
        <v>16409</v>
      </c>
      <c r="C7788" t="s">
        <v>2598</v>
      </c>
      <c r="D7788" s="254">
        <v>10320.84</v>
      </c>
      <c r="E7788"/>
      <c r="F7788"/>
      <c r="G7788"/>
      <c r="H7788"/>
      <c r="I7788" s="489"/>
      <c r="J7788" s="1362"/>
      <c r="K7788" s="1362"/>
      <c r="L7788" s="1362"/>
    </row>
    <row r="7789" spans="1:12" x14ac:dyDescent="0.25">
      <c r="A7789" t="s">
        <v>16410</v>
      </c>
      <c r="B7789" t="s">
        <v>16411</v>
      </c>
      <c r="C7789" t="s">
        <v>2598</v>
      </c>
      <c r="D7789" s="254">
        <v>11187.02</v>
      </c>
      <c r="E7789"/>
      <c r="F7789"/>
      <c r="G7789"/>
      <c r="H7789"/>
      <c r="I7789" s="489"/>
      <c r="J7789" s="1362"/>
      <c r="K7789" s="1362"/>
      <c r="L7789" s="1362"/>
    </row>
    <row r="7790" spans="1:12" x14ac:dyDescent="0.25">
      <c r="A7790" t="s">
        <v>16412</v>
      </c>
      <c r="B7790" t="s">
        <v>16413</v>
      </c>
      <c r="C7790" t="s">
        <v>2598</v>
      </c>
      <c r="D7790" s="254">
        <v>11491.05</v>
      </c>
      <c r="E7790"/>
      <c r="F7790"/>
      <c r="G7790"/>
      <c r="H7790"/>
      <c r="I7790" s="489"/>
      <c r="J7790" s="1362"/>
      <c r="K7790" s="1362"/>
      <c r="L7790" s="1362"/>
    </row>
    <row r="7791" spans="1:12" x14ac:dyDescent="0.25">
      <c r="A7791" t="s">
        <v>16414</v>
      </c>
      <c r="B7791" t="s">
        <v>16415</v>
      </c>
      <c r="C7791" t="s">
        <v>2598</v>
      </c>
      <c r="D7791" s="254">
        <v>12083.89</v>
      </c>
      <c r="E7791"/>
      <c r="F7791"/>
      <c r="G7791"/>
      <c r="H7791"/>
      <c r="I7791" s="489"/>
      <c r="J7791" s="1362"/>
      <c r="K7791" s="1362"/>
      <c r="L7791" s="1362"/>
    </row>
    <row r="7792" spans="1:12" x14ac:dyDescent="0.25">
      <c r="A7792" t="s">
        <v>16416</v>
      </c>
      <c r="B7792" t="s">
        <v>16417</v>
      </c>
      <c r="C7792" t="s">
        <v>2598</v>
      </c>
      <c r="D7792" s="254">
        <v>12676.66</v>
      </c>
      <c r="E7792"/>
      <c r="F7792"/>
      <c r="G7792"/>
      <c r="H7792"/>
      <c r="I7792" s="489"/>
      <c r="J7792" s="1362"/>
      <c r="K7792" s="1362"/>
      <c r="L7792" s="1362"/>
    </row>
    <row r="7793" spans="1:12" x14ac:dyDescent="0.25">
      <c r="A7793" t="s">
        <v>16418</v>
      </c>
      <c r="B7793" t="s">
        <v>16419</v>
      </c>
      <c r="C7793" t="s">
        <v>2598</v>
      </c>
      <c r="D7793" s="254">
        <v>13269.28</v>
      </c>
      <c r="E7793"/>
      <c r="F7793"/>
      <c r="G7793"/>
      <c r="H7793"/>
      <c r="I7793" s="489"/>
      <c r="J7793" s="1362"/>
      <c r="K7793" s="1362"/>
      <c r="L7793" s="1362"/>
    </row>
    <row r="7794" spans="1:12" x14ac:dyDescent="0.25">
      <c r="A7794" t="s">
        <v>16420</v>
      </c>
      <c r="B7794" t="s">
        <v>16421</v>
      </c>
      <c r="C7794" t="s">
        <v>2598</v>
      </c>
      <c r="D7794" s="254">
        <v>13862.24</v>
      </c>
      <c r="E7794"/>
      <c r="F7794"/>
      <c r="G7794"/>
      <c r="H7794"/>
      <c r="I7794" s="489"/>
      <c r="J7794" s="1362"/>
      <c r="K7794" s="1362"/>
      <c r="L7794" s="1362"/>
    </row>
    <row r="7795" spans="1:12" x14ac:dyDescent="0.25">
      <c r="A7795" t="s">
        <v>16422</v>
      </c>
      <c r="B7795" t="s">
        <v>16423</v>
      </c>
      <c r="C7795" t="s">
        <v>2598</v>
      </c>
      <c r="D7795" s="254">
        <v>14728.75</v>
      </c>
      <c r="E7795"/>
      <c r="F7795"/>
      <c r="G7795"/>
      <c r="H7795"/>
      <c r="I7795" s="489"/>
      <c r="J7795" s="1362"/>
      <c r="K7795" s="1362"/>
      <c r="L7795" s="1362"/>
    </row>
    <row r="7796" spans="1:12" x14ac:dyDescent="0.25">
      <c r="A7796" t="s">
        <v>16424</v>
      </c>
      <c r="B7796" t="s">
        <v>16425</v>
      </c>
      <c r="C7796" t="s">
        <v>2598</v>
      </c>
      <c r="D7796" s="254">
        <v>15337.07</v>
      </c>
      <c r="E7796"/>
      <c r="F7796"/>
      <c r="G7796"/>
      <c r="H7796"/>
      <c r="I7796" s="489"/>
      <c r="J7796" s="1362"/>
      <c r="K7796" s="1362"/>
      <c r="L7796" s="1362"/>
    </row>
    <row r="7797" spans="1:12" x14ac:dyDescent="0.25">
      <c r="A7797" t="s">
        <v>16426</v>
      </c>
      <c r="B7797" t="s">
        <v>16427</v>
      </c>
      <c r="C7797" t="s">
        <v>2598</v>
      </c>
      <c r="D7797" s="254">
        <v>15929.86</v>
      </c>
      <c r="E7797"/>
      <c r="F7797"/>
      <c r="G7797"/>
      <c r="H7797"/>
      <c r="I7797" s="489"/>
      <c r="J7797" s="1362"/>
      <c r="K7797" s="1362"/>
      <c r="L7797" s="1362"/>
    </row>
    <row r="7798" spans="1:12" x14ac:dyDescent="0.25">
      <c r="A7798" t="s">
        <v>16428</v>
      </c>
      <c r="B7798" t="s">
        <v>16429</v>
      </c>
      <c r="C7798" t="s">
        <v>2598</v>
      </c>
      <c r="D7798" s="254">
        <v>16522.080000000002</v>
      </c>
      <c r="E7798"/>
      <c r="F7798"/>
      <c r="G7798"/>
      <c r="H7798"/>
      <c r="I7798" s="489"/>
      <c r="J7798" s="1362"/>
      <c r="K7798" s="1362"/>
      <c r="L7798" s="1362"/>
    </row>
    <row r="7799" spans="1:12" x14ac:dyDescent="0.25">
      <c r="A7799" t="s">
        <v>16430</v>
      </c>
      <c r="B7799" t="s">
        <v>16431</v>
      </c>
      <c r="C7799" t="s">
        <v>2598</v>
      </c>
      <c r="D7799" s="254">
        <v>17115.48</v>
      </c>
      <c r="E7799"/>
      <c r="F7799"/>
      <c r="G7799"/>
      <c r="H7799"/>
      <c r="I7799" s="489"/>
      <c r="J7799" s="1362"/>
      <c r="K7799" s="1362"/>
      <c r="L7799" s="1362"/>
    </row>
    <row r="7800" spans="1:12" x14ac:dyDescent="0.25">
      <c r="A7800" t="s">
        <v>16432</v>
      </c>
      <c r="B7800" t="s">
        <v>16433</v>
      </c>
      <c r="C7800" t="s">
        <v>2598</v>
      </c>
      <c r="D7800" s="254">
        <v>17997.169999999998</v>
      </c>
      <c r="E7800"/>
      <c r="F7800"/>
      <c r="G7800"/>
      <c r="H7800"/>
      <c r="I7800" s="489"/>
      <c r="J7800" s="1362"/>
      <c r="K7800" s="1362"/>
      <c r="L7800" s="1362"/>
    </row>
    <row r="7801" spans="1:12" x14ac:dyDescent="0.25">
      <c r="A7801" t="s">
        <v>16434</v>
      </c>
      <c r="B7801" t="s">
        <v>16435</v>
      </c>
      <c r="C7801" t="s">
        <v>2598</v>
      </c>
      <c r="D7801" s="254">
        <v>22374.54</v>
      </c>
      <c r="E7801"/>
      <c r="F7801"/>
      <c r="G7801"/>
      <c r="H7801"/>
      <c r="I7801" s="489"/>
      <c r="J7801" s="1362"/>
      <c r="K7801" s="1362"/>
      <c r="L7801" s="1362"/>
    </row>
    <row r="7802" spans="1:12" x14ac:dyDescent="0.25">
      <c r="A7802" t="s">
        <v>16436</v>
      </c>
      <c r="B7802" t="s">
        <v>16437</v>
      </c>
      <c r="C7802" t="s">
        <v>2598</v>
      </c>
      <c r="D7802" s="254">
        <v>23418.94</v>
      </c>
      <c r="E7802"/>
      <c r="F7802"/>
      <c r="G7802"/>
      <c r="H7802"/>
      <c r="I7802" s="489"/>
      <c r="J7802" s="1362"/>
      <c r="K7802" s="1362"/>
      <c r="L7802" s="1362"/>
    </row>
    <row r="7803" spans="1:12" x14ac:dyDescent="0.25">
      <c r="A7803" t="s">
        <v>16438</v>
      </c>
      <c r="B7803" t="s">
        <v>16439</v>
      </c>
      <c r="C7803" t="s">
        <v>2598</v>
      </c>
      <c r="D7803" s="254">
        <v>24155.25</v>
      </c>
      <c r="E7803"/>
      <c r="F7803"/>
      <c r="G7803"/>
      <c r="H7803"/>
      <c r="I7803" s="489"/>
      <c r="J7803" s="1362"/>
      <c r="K7803" s="1362"/>
      <c r="L7803" s="1362"/>
    </row>
    <row r="7804" spans="1:12" x14ac:dyDescent="0.25">
      <c r="A7804" t="s">
        <v>16440</v>
      </c>
      <c r="B7804" t="s">
        <v>16441</v>
      </c>
      <c r="C7804" t="s">
        <v>2598</v>
      </c>
      <c r="D7804" s="254">
        <v>27654.85</v>
      </c>
      <c r="E7804"/>
      <c r="F7804"/>
      <c r="G7804"/>
      <c r="H7804"/>
      <c r="I7804" s="489"/>
      <c r="J7804" s="1362"/>
      <c r="K7804" s="1362"/>
      <c r="L7804" s="1362"/>
    </row>
    <row r="7805" spans="1:12" x14ac:dyDescent="0.25">
      <c r="A7805" t="s">
        <v>16442</v>
      </c>
      <c r="B7805" t="s">
        <v>16443</v>
      </c>
      <c r="C7805" t="s">
        <v>2598</v>
      </c>
      <c r="D7805" s="254">
        <v>28065.62</v>
      </c>
      <c r="E7805"/>
      <c r="F7805"/>
      <c r="G7805"/>
      <c r="H7805"/>
      <c r="I7805" s="489"/>
      <c r="J7805" s="1362"/>
      <c r="K7805" s="1362"/>
      <c r="L7805" s="1362"/>
    </row>
    <row r="7806" spans="1:12" x14ac:dyDescent="0.25">
      <c r="A7806" t="s">
        <v>16444</v>
      </c>
      <c r="B7806" t="s">
        <v>16445</v>
      </c>
      <c r="C7806" t="s">
        <v>2598</v>
      </c>
      <c r="D7806" s="254">
        <v>33611.03</v>
      </c>
      <c r="E7806"/>
      <c r="F7806"/>
      <c r="G7806"/>
      <c r="H7806"/>
      <c r="I7806" s="489"/>
      <c r="J7806" s="1362"/>
      <c r="K7806" s="1362"/>
      <c r="L7806" s="1362"/>
    </row>
    <row r="7807" spans="1:12" x14ac:dyDescent="0.25">
      <c r="A7807" t="s">
        <v>16446</v>
      </c>
      <c r="B7807" t="s">
        <v>16447</v>
      </c>
      <c r="C7807" t="s">
        <v>2598</v>
      </c>
      <c r="D7807" s="254">
        <v>34160.559999999998</v>
      </c>
      <c r="E7807"/>
      <c r="F7807"/>
      <c r="G7807"/>
      <c r="H7807"/>
      <c r="I7807" s="489"/>
      <c r="J7807" s="1362"/>
      <c r="K7807" s="1362"/>
      <c r="L7807" s="1362"/>
    </row>
    <row r="7808" spans="1:12" x14ac:dyDescent="0.25">
      <c r="A7808" t="s">
        <v>16448</v>
      </c>
      <c r="B7808" t="s">
        <v>16449</v>
      </c>
      <c r="C7808" t="s">
        <v>2598</v>
      </c>
      <c r="D7808" s="254">
        <v>35532.46</v>
      </c>
      <c r="E7808"/>
      <c r="F7808"/>
      <c r="G7808"/>
      <c r="H7808"/>
      <c r="I7808" s="489"/>
      <c r="J7808" s="1362"/>
      <c r="K7808" s="1362"/>
      <c r="L7808" s="1362"/>
    </row>
    <row r="7809" spans="1:12" x14ac:dyDescent="0.25">
      <c r="A7809" t="s">
        <v>16450</v>
      </c>
      <c r="B7809" t="s">
        <v>16451</v>
      </c>
      <c r="C7809" t="s">
        <v>2598</v>
      </c>
      <c r="D7809" s="254">
        <v>36004.89</v>
      </c>
      <c r="E7809"/>
      <c r="F7809"/>
      <c r="G7809"/>
      <c r="H7809"/>
      <c r="I7809" s="489"/>
      <c r="J7809" s="1362"/>
      <c r="K7809" s="1362"/>
      <c r="L7809" s="1362"/>
    </row>
    <row r="7810" spans="1:12" x14ac:dyDescent="0.25">
      <c r="A7810" t="s">
        <v>16452</v>
      </c>
      <c r="B7810" t="s">
        <v>16453</v>
      </c>
      <c r="C7810" t="s">
        <v>2598</v>
      </c>
      <c r="D7810" s="254">
        <v>49342.68</v>
      </c>
      <c r="E7810"/>
      <c r="F7810"/>
      <c r="G7810"/>
      <c r="H7810"/>
      <c r="I7810" s="489"/>
      <c r="J7810" s="1362"/>
      <c r="K7810" s="1362"/>
      <c r="L7810" s="1362"/>
    </row>
    <row r="7811" spans="1:12" x14ac:dyDescent="0.25">
      <c r="A7811" t="s">
        <v>16454</v>
      </c>
      <c r="B7811" t="s">
        <v>16455</v>
      </c>
      <c r="C7811" t="s">
        <v>2598</v>
      </c>
      <c r="D7811" s="254">
        <v>51076.41</v>
      </c>
      <c r="E7811"/>
      <c r="F7811"/>
      <c r="G7811"/>
      <c r="H7811"/>
      <c r="I7811" s="489"/>
      <c r="J7811" s="1362"/>
      <c r="K7811" s="1362"/>
      <c r="L7811" s="1362"/>
    </row>
    <row r="7812" spans="1:12" x14ac:dyDescent="0.25">
      <c r="A7812" t="s">
        <v>16456</v>
      </c>
      <c r="B7812" t="s">
        <v>16457</v>
      </c>
      <c r="C7812" t="s">
        <v>2598</v>
      </c>
      <c r="D7812" s="254">
        <v>11229.96</v>
      </c>
      <c r="E7812"/>
      <c r="F7812"/>
      <c r="G7812"/>
      <c r="H7812"/>
      <c r="I7812" s="489"/>
      <c r="J7812" s="1362"/>
      <c r="K7812" s="1362"/>
      <c r="L7812" s="1362"/>
    </row>
    <row r="7813" spans="1:12" x14ac:dyDescent="0.25">
      <c r="A7813" t="s">
        <v>16458</v>
      </c>
      <c r="B7813" t="s">
        <v>16459</v>
      </c>
      <c r="C7813" t="s">
        <v>2598</v>
      </c>
      <c r="D7813" s="254">
        <v>14749.48</v>
      </c>
      <c r="E7813"/>
      <c r="F7813"/>
      <c r="G7813"/>
      <c r="H7813"/>
      <c r="I7813" s="489"/>
      <c r="J7813" s="1362"/>
      <c r="K7813" s="1362"/>
      <c r="L7813" s="1362"/>
    </row>
    <row r="7814" spans="1:12" x14ac:dyDescent="0.25">
      <c r="A7814" t="s">
        <v>16460</v>
      </c>
      <c r="B7814" t="s">
        <v>16461</v>
      </c>
      <c r="C7814" t="s">
        <v>2598</v>
      </c>
      <c r="D7814" s="254">
        <v>17124.439999999999</v>
      </c>
      <c r="E7814"/>
      <c r="F7814"/>
      <c r="G7814"/>
      <c r="H7814"/>
      <c r="I7814" s="489"/>
      <c r="J7814" s="1362"/>
      <c r="K7814" s="1362"/>
      <c r="L7814" s="1362"/>
    </row>
    <row r="7815" spans="1:12" x14ac:dyDescent="0.25">
      <c r="A7815" t="s">
        <v>16462</v>
      </c>
      <c r="B7815" t="s">
        <v>16463</v>
      </c>
      <c r="C7815" t="s">
        <v>2598</v>
      </c>
      <c r="D7815" s="254">
        <v>18007.38</v>
      </c>
      <c r="E7815"/>
      <c r="F7815"/>
      <c r="G7815"/>
      <c r="H7815"/>
      <c r="I7815" s="489"/>
      <c r="J7815" s="1362"/>
      <c r="K7815" s="1362"/>
      <c r="L7815" s="1362"/>
    </row>
    <row r="7816" spans="1:12" x14ac:dyDescent="0.25">
      <c r="A7816" t="s">
        <v>16464</v>
      </c>
      <c r="B7816" t="s">
        <v>16465</v>
      </c>
      <c r="C7816" t="s">
        <v>2598</v>
      </c>
      <c r="D7816" s="254">
        <v>18600.259999999998</v>
      </c>
      <c r="E7816"/>
      <c r="F7816"/>
      <c r="G7816"/>
      <c r="H7816"/>
      <c r="I7816" s="489"/>
      <c r="J7816" s="1362"/>
      <c r="K7816" s="1362"/>
      <c r="L7816" s="1362"/>
    </row>
    <row r="7817" spans="1:12" x14ac:dyDescent="0.25">
      <c r="A7817" t="s">
        <v>16466</v>
      </c>
      <c r="B7817" t="s">
        <v>16467</v>
      </c>
      <c r="C7817" t="s">
        <v>2598</v>
      </c>
      <c r="D7817" s="254">
        <v>19194.54</v>
      </c>
      <c r="E7817"/>
      <c r="F7817"/>
      <c r="G7817"/>
      <c r="H7817"/>
      <c r="I7817" s="489"/>
      <c r="J7817" s="1362"/>
      <c r="K7817" s="1362"/>
      <c r="L7817" s="1362"/>
    </row>
    <row r="7818" spans="1:12" x14ac:dyDescent="0.25">
      <c r="A7818" t="s">
        <v>16468</v>
      </c>
      <c r="B7818" t="s">
        <v>16469</v>
      </c>
      <c r="C7818" t="s">
        <v>2598</v>
      </c>
      <c r="D7818" s="254">
        <v>19787.87</v>
      </c>
      <c r="E7818"/>
      <c r="F7818"/>
      <c r="G7818"/>
      <c r="H7818"/>
      <c r="I7818" s="489"/>
      <c r="J7818" s="1362"/>
      <c r="K7818" s="1362"/>
      <c r="L7818" s="1362"/>
    </row>
    <row r="7819" spans="1:12" x14ac:dyDescent="0.25">
      <c r="A7819" t="s">
        <v>16470</v>
      </c>
      <c r="B7819" t="s">
        <v>16471</v>
      </c>
      <c r="C7819" t="s">
        <v>2598</v>
      </c>
      <c r="D7819" s="254">
        <v>20671.45</v>
      </c>
      <c r="E7819"/>
      <c r="F7819"/>
      <c r="G7819"/>
      <c r="H7819"/>
      <c r="I7819" s="489"/>
      <c r="J7819" s="1362"/>
      <c r="K7819" s="1362"/>
      <c r="L7819" s="1362"/>
    </row>
    <row r="7820" spans="1:12" x14ac:dyDescent="0.25">
      <c r="A7820" t="s">
        <v>16472</v>
      </c>
      <c r="B7820" t="s">
        <v>16473</v>
      </c>
      <c r="C7820" t="s">
        <v>2598</v>
      </c>
      <c r="D7820" s="254">
        <v>21263.919999999998</v>
      </c>
      <c r="E7820"/>
      <c r="F7820"/>
      <c r="G7820"/>
      <c r="H7820"/>
      <c r="I7820" s="489"/>
      <c r="J7820" s="1362"/>
      <c r="K7820" s="1362"/>
      <c r="L7820" s="1362"/>
    </row>
    <row r="7821" spans="1:12" x14ac:dyDescent="0.25">
      <c r="A7821" t="s">
        <v>16474</v>
      </c>
      <c r="B7821" t="s">
        <v>16475</v>
      </c>
      <c r="C7821" t="s">
        <v>2598</v>
      </c>
      <c r="D7821" s="254">
        <v>26324.36</v>
      </c>
      <c r="E7821"/>
      <c r="F7821"/>
      <c r="G7821"/>
      <c r="H7821"/>
      <c r="I7821" s="489"/>
      <c r="J7821" s="1362"/>
      <c r="K7821" s="1362"/>
      <c r="L7821" s="1362"/>
    </row>
    <row r="7822" spans="1:12" x14ac:dyDescent="0.25">
      <c r="A7822" t="s">
        <v>16476</v>
      </c>
      <c r="B7822" t="s">
        <v>16477</v>
      </c>
      <c r="C7822" t="s">
        <v>2598</v>
      </c>
      <c r="D7822" s="254">
        <v>27663.040000000001</v>
      </c>
      <c r="E7822"/>
      <c r="F7822"/>
      <c r="G7822"/>
      <c r="H7822"/>
      <c r="I7822" s="489"/>
      <c r="J7822" s="1362"/>
      <c r="K7822" s="1362"/>
      <c r="L7822" s="1362"/>
    </row>
    <row r="7823" spans="1:12" x14ac:dyDescent="0.25">
      <c r="A7823" t="s">
        <v>16478</v>
      </c>
      <c r="B7823" t="s">
        <v>16479</v>
      </c>
      <c r="C7823" t="s">
        <v>2598</v>
      </c>
      <c r="D7823" s="254">
        <v>28399.84</v>
      </c>
      <c r="E7823"/>
      <c r="F7823"/>
      <c r="G7823"/>
      <c r="H7823"/>
      <c r="I7823" s="489"/>
      <c r="J7823" s="1362"/>
      <c r="K7823" s="1362"/>
      <c r="L7823" s="1362"/>
    </row>
    <row r="7824" spans="1:12" x14ac:dyDescent="0.25">
      <c r="A7824" t="s">
        <v>16480</v>
      </c>
      <c r="B7824" t="s">
        <v>16481</v>
      </c>
      <c r="C7824" t="s">
        <v>2598</v>
      </c>
      <c r="D7824" s="254">
        <v>29129.71</v>
      </c>
      <c r="E7824"/>
      <c r="F7824"/>
      <c r="G7824"/>
      <c r="H7824"/>
      <c r="I7824" s="489"/>
      <c r="J7824" s="1362"/>
      <c r="K7824" s="1362"/>
      <c r="L7824" s="1362"/>
    </row>
    <row r="7825" spans="1:12" x14ac:dyDescent="0.25">
      <c r="A7825" t="s">
        <v>16482</v>
      </c>
      <c r="B7825" t="s">
        <v>16483</v>
      </c>
      <c r="C7825" t="s">
        <v>2598</v>
      </c>
      <c r="D7825" s="254">
        <v>29487.55</v>
      </c>
      <c r="E7825"/>
      <c r="F7825"/>
      <c r="G7825"/>
      <c r="H7825"/>
      <c r="I7825" s="489"/>
      <c r="J7825" s="1362"/>
      <c r="K7825" s="1362"/>
      <c r="L7825" s="1362"/>
    </row>
    <row r="7826" spans="1:12" x14ac:dyDescent="0.25">
      <c r="A7826" t="s">
        <v>16484</v>
      </c>
      <c r="B7826" t="s">
        <v>16485</v>
      </c>
      <c r="C7826" t="s">
        <v>2598</v>
      </c>
      <c r="D7826" s="254">
        <v>30846.3</v>
      </c>
      <c r="E7826"/>
      <c r="F7826"/>
      <c r="G7826"/>
      <c r="H7826"/>
      <c r="I7826" s="489"/>
      <c r="J7826" s="1362"/>
      <c r="K7826" s="1362"/>
      <c r="L7826" s="1362"/>
    </row>
    <row r="7827" spans="1:12" x14ac:dyDescent="0.25">
      <c r="A7827" t="s">
        <v>16486</v>
      </c>
      <c r="B7827" t="s">
        <v>16487</v>
      </c>
      <c r="C7827" t="s">
        <v>2598</v>
      </c>
      <c r="D7827" s="254">
        <v>35397.99</v>
      </c>
      <c r="E7827"/>
      <c r="F7827"/>
      <c r="G7827"/>
      <c r="H7827"/>
      <c r="I7827" s="489"/>
      <c r="J7827" s="1362"/>
      <c r="K7827" s="1362"/>
      <c r="L7827" s="1362"/>
    </row>
    <row r="7828" spans="1:12" x14ac:dyDescent="0.25">
      <c r="A7828" t="s">
        <v>16488</v>
      </c>
      <c r="B7828" t="s">
        <v>16489</v>
      </c>
      <c r="C7828" t="s">
        <v>2598</v>
      </c>
      <c r="D7828" s="254">
        <v>42094.27</v>
      </c>
      <c r="E7828"/>
      <c r="F7828"/>
      <c r="G7828"/>
      <c r="H7828"/>
      <c r="I7828" s="489"/>
      <c r="J7828" s="1362"/>
      <c r="K7828" s="1362"/>
      <c r="L7828" s="1362"/>
    </row>
    <row r="7829" spans="1:12" x14ac:dyDescent="0.25">
      <c r="A7829" t="s">
        <v>16490</v>
      </c>
      <c r="B7829" t="s">
        <v>16491</v>
      </c>
      <c r="C7829" t="s">
        <v>2598</v>
      </c>
      <c r="D7829" s="254">
        <v>43043.21</v>
      </c>
      <c r="E7829"/>
      <c r="F7829"/>
      <c r="G7829"/>
      <c r="H7829"/>
      <c r="I7829" s="489"/>
      <c r="J7829" s="1362"/>
      <c r="K7829" s="1362"/>
      <c r="L7829" s="1362"/>
    </row>
    <row r="7830" spans="1:12" x14ac:dyDescent="0.25">
      <c r="A7830" t="s">
        <v>16492</v>
      </c>
      <c r="B7830" t="s">
        <v>16493</v>
      </c>
      <c r="C7830" t="s">
        <v>2598</v>
      </c>
      <c r="D7830" s="254">
        <v>43991.74</v>
      </c>
      <c r="E7830"/>
      <c r="F7830"/>
      <c r="G7830"/>
      <c r="H7830"/>
      <c r="I7830" s="489"/>
      <c r="J7830" s="1362"/>
      <c r="K7830" s="1362"/>
      <c r="L7830" s="1362"/>
    </row>
    <row r="7831" spans="1:12" x14ac:dyDescent="0.25">
      <c r="A7831" t="s">
        <v>16494</v>
      </c>
      <c r="B7831" t="s">
        <v>16495</v>
      </c>
      <c r="C7831" t="s">
        <v>2598</v>
      </c>
      <c r="D7831" s="254">
        <v>25706.93</v>
      </c>
      <c r="E7831"/>
      <c r="F7831"/>
      <c r="G7831"/>
      <c r="H7831"/>
      <c r="I7831" s="489"/>
      <c r="J7831" s="1362"/>
      <c r="K7831" s="1362"/>
      <c r="L7831" s="1362"/>
    </row>
    <row r="7832" spans="1:12" x14ac:dyDescent="0.25">
      <c r="A7832" t="s">
        <v>16496</v>
      </c>
      <c r="B7832" t="s">
        <v>16497</v>
      </c>
      <c r="C7832" t="s">
        <v>2598</v>
      </c>
      <c r="D7832" s="254">
        <v>29461.71</v>
      </c>
      <c r="E7832"/>
      <c r="F7832"/>
      <c r="G7832"/>
      <c r="H7832"/>
      <c r="I7832" s="489"/>
      <c r="J7832" s="1362"/>
      <c r="K7832" s="1362"/>
      <c r="L7832" s="1362"/>
    </row>
    <row r="7833" spans="1:12" x14ac:dyDescent="0.25">
      <c r="A7833" t="s">
        <v>16498</v>
      </c>
      <c r="B7833" t="s">
        <v>16499</v>
      </c>
      <c r="C7833" t="s">
        <v>2598</v>
      </c>
      <c r="D7833" s="254">
        <v>29990.78</v>
      </c>
      <c r="E7833"/>
      <c r="F7833"/>
      <c r="G7833"/>
      <c r="H7833"/>
      <c r="I7833" s="489"/>
      <c r="J7833" s="1362"/>
      <c r="K7833" s="1362"/>
      <c r="L7833" s="1362"/>
    </row>
    <row r="7834" spans="1:12" x14ac:dyDescent="0.25">
      <c r="A7834" t="s">
        <v>16500</v>
      </c>
      <c r="B7834" t="s">
        <v>16501</v>
      </c>
      <c r="C7834" t="s">
        <v>2598</v>
      </c>
      <c r="D7834" s="254">
        <v>35806.660000000003</v>
      </c>
      <c r="E7834"/>
      <c r="F7834"/>
      <c r="G7834"/>
      <c r="H7834"/>
      <c r="I7834" s="489"/>
      <c r="J7834" s="1362"/>
      <c r="K7834" s="1362"/>
      <c r="L7834" s="1362"/>
    </row>
    <row r="7835" spans="1:12" x14ac:dyDescent="0.25">
      <c r="A7835" t="s">
        <v>16502</v>
      </c>
      <c r="B7835" t="s">
        <v>16503</v>
      </c>
      <c r="C7835" t="s">
        <v>2598</v>
      </c>
      <c r="D7835" s="254">
        <v>31685.43</v>
      </c>
      <c r="E7835"/>
      <c r="F7835"/>
      <c r="G7835"/>
      <c r="H7835"/>
      <c r="I7835" s="489"/>
      <c r="J7835" s="1362"/>
      <c r="K7835" s="1362"/>
      <c r="L7835" s="1362"/>
    </row>
    <row r="7836" spans="1:12" x14ac:dyDescent="0.25">
      <c r="A7836" t="s">
        <v>16504</v>
      </c>
      <c r="B7836" t="s">
        <v>16505</v>
      </c>
      <c r="C7836" t="s">
        <v>2598</v>
      </c>
      <c r="D7836" s="254">
        <v>35683.949999999997</v>
      </c>
      <c r="E7836"/>
      <c r="F7836"/>
      <c r="G7836"/>
      <c r="H7836"/>
      <c r="I7836" s="489"/>
      <c r="J7836" s="1362"/>
      <c r="K7836" s="1362"/>
      <c r="L7836" s="1362"/>
    </row>
    <row r="7837" spans="1:12" x14ac:dyDescent="0.25">
      <c r="A7837" t="s">
        <v>16506</v>
      </c>
      <c r="B7837" t="s">
        <v>16507</v>
      </c>
      <c r="C7837" t="s">
        <v>2598</v>
      </c>
      <c r="D7837" s="254">
        <v>32225.63</v>
      </c>
      <c r="E7837"/>
      <c r="F7837"/>
      <c r="G7837"/>
      <c r="H7837"/>
      <c r="I7837" s="489"/>
      <c r="J7837" s="1362"/>
      <c r="K7837" s="1362"/>
      <c r="L7837" s="1362"/>
    </row>
    <row r="7838" spans="1:12" x14ac:dyDescent="0.25">
      <c r="A7838" t="s">
        <v>16508</v>
      </c>
      <c r="B7838" t="s">
        <v>16509</v>
      </c>
      <c r="C7838" t="s">
        <v>2598</v>
      </c>
      <c r="D7838" s="254">
        <v>37276.85</v>
      </c>
      <c r="E7838"/>
      <c r="F7838"/>
      <c r="G7838"/>
      <c r="H7838"/>
      <c r="I7838" s="489"/>
      <c r="J7838" s="1362"/>
      <c r="K7838" s="1362"/>
      <c r="L7838" s="1362"/>
    </row>
    <row r="7839" spans="1:12" x14ac:dyDescent="0.25">
      <c r="A7839" t="s">
        <v>16510</v>
      </c>
      <c r="B7839" t="s">
        <v>16511</v>
      </c>
      <c r="C7839" t="s">
        <v>2598</v>
      </c>
      <c r="D7839" s="254">
        <v>32750.59</v>
      </c>
      <c r="E7839"/>
      <c r="F7839"/>
      <c r="G7839"/>
      <c r="H7839"/>
      <c r="I7839" s="489"/>
      <c r="J7839" s="1362"/>
      <c r="K7839" s="1362"/>
      <c r="L7839" s="1362"/>
    </row>
    <row r="7840" spans="1:12" x14ac:dyDescent="0.25">
      <c r="A7840" t="s">
        <v>16512</v>
      </c>
      <c r="B7840" t="s">
        <v>16513</v>
      </c>
      <c r="C7840" t="s">
        <v>2598</v>
      </c>
      <c r="D7840" s="254">
        <v>35407.85</v>
      </c>
      <c r="E7840"/>
      <c r="F7840"/>
      <c r="G7840"/>
      <c r="H7840"/>
      <c r="I7840" s="489"/>
      <c r="J7840" s="1362"/>
      <c r="K7840" s="1362"/>
      <c r="L7840" s="1362"/>
    </row>
    <row r="7841" spans="1:12" x14ac:dyDescent="0.25">
      <c r="A7841" t="s">
        <v>16514</v>
      </c>
      <c r="B7841" t="s">
        <v>16515</v>
      </c>
      <c r="C7841" t="s">
        <v>2598</v>
      </c>
      <c r="D7841" s="254">
        <v>38339.89</v>
      </c>
      <c r="E7841"/>
      <c r="F7841"/>
      <c r="G7841"/>
      <c r="H7841"/>
      <c r="I7841" s="489"/>
      <c r="J7841" s="1362"/>
      <c r="K7841" s="1362"/>
      <c r="L7841" s="1362"/>
    </row>
    <row r="7842" spans="1:12" x14ac:dyDescent="0.25">
      <c r="A7842" t="s">
        <v>16516</v>
      </c>
      <c r="B7842" t="s">
        <v>16517</v>
      </c>
      <c r="C7842" t="s">
        <v>2598</v>
      </c>
      <c r="D7842" s="254">
        <v>34883.25</v>
      </c>
      <c r="E7842"/>
      <c r="F7842"/>
      <c r="G7842"/>
      <c r="H7842"/>
      <c r="I7842" s="489"/>
      <c r="J7842" s="1362"/>
      <c r="K7842" s="1362"/>
      <c r="L7842" s="1362"/>
    </row>
    <row r="7843" spans="1:12" x14ac:dyDescent="0.25">
      <c r="A7843" t="s">
        <v>16518</v>
      </c>
      <c r="B7843" t="s">
        <v>16519</v>
      </c>
      <c r="C7843" t="s">
        <v>2598</v>
      </c>
      <c r="D7843" s="254">
        <v>38866.230000000003</v>
      </c>
      <c r="E7843"/>
      <c r="F7843"/>
      <c r="G7843"/>
      <c r="H7843"/>
      <c r="I7843" s="489"/>
      <c r="J7843" s="1362"/>
      <c r="K7843" s="1362"/>
      <c r="L7843" s="1362"/>
    </row>
    <row r="7844" spans="1:12" x14ac:dyDescent="0.25">
      <c r="A7844" t="s">
        <v>16520</v>
      </c>
      <c r="B7844" t="s">
        <v>16521</v>
      </c>
      <c r="C7844" t="s">
        <v>2598</v>
      </c>
      <c r="D7844" s="254">
        <v>35806.660000000003</v>
      </c>
      <c r="E7844"/>
      <c r="F7844"/>
      <c r="G7844"/>
      <c r="H7844"/>
      <c r="I7844" s="489"/>
      <c r="J7844" s="1362"/>
      <c r="K7844" s="1362"/>
      <c r="L7844" s="1362"/>
    </row>
    <row r="7845" spans="1:12" x14ac:dyDescent="0.25">
      <c r="A7845" t="s">
        <v>16522</v>
      </c>
      <c r="B7845" t="s">
        <v>16523</v>
      </c>
      <c r="C7845" t="s">
        <v>2598</v>
      </c>
      <c r="D7845" s="254">
        <v>39806.910000000003</v>
      </c>
      <c r="E7845"/>
      <c r="F7845"/>
      <c r="G7845"/>
      <c r="H7845"/>
      <c r="I7845" s="489"/>
      <c r="J7845" s="1362"/>
      <c r="K7845" s="1362"/>
      <c r="L7845" s="1362"/>
    </row>
    <row r="7846" spans="1:12" x14ac:dyDescent="0.25">
      <c r="A7846" t="s">
        <v>16524</v>
      </c>
      <c r="B7846" t="s">
        <v>16525</v>
      </c>
      <c r="C7846" t="s">
        <v>2598</v>
      </c>
      <c r="D7846" s="254">
        <v>36873.56</v>
      </c>
      <c r="E7846"/>
      <c r="F7846"/>
      <c r="G7846"/>
      <c r="H7846"/>
      <c r="I7846" s="489"/>
      <c r="J7846" s="1362"/>
      <c r="K7846" s="1362"/>
      <c r="L7846" s="1362"/>
    </row>
    <row r="7847" spans="1:12" x14ac:dyDescent="0.25">
      <c r="A7847" t="s">
        <v>16526</v>
      </c>
      <c r="B7847" t="s">
        <v>16527</v>
      </c>
      <c r="C7847" t="s">
        <v>2598</v>
      </c>
      <c r="D7847" s="254">
        <v>41924.550000000003</v>
      </c>
      <c r="E7847"/>
      <c r="F7847"/>
      <c r="G7847"/>
      <c r="H7847"/>
      <c r="I7847" s="489"/>
      <c r="J7847" s="1362"/>
      <c r="K7847" s="1362"/>
      <c r="L7847" s="1362"/>
    </row>
    <row r="7848" spans="1:12" x14ac:dyDescent="0.25">
      <c r="A7848" t="s">
        <v>16528</v>
      </c>
      <c r="B7848" t="s">
        <v>16529</v>
      </c>
      <c r="C7848" t="s">
        <v>2598</v>
      </c>
      <c r="D7848" s="254">
        <v>38462.6</v>
      </c>
      <c r="E7848"/>
      <c r="F7848"/>
      <c r="G7848"/>
      <c r="H7848"/>
      <c r="I7848" s="489"/>
      <c r="J7848" s="1362"/>
      <c r="K7848" s="1362"/>
      <c r="L7848" s="1362"/>
    </row>
    <row r="7849" spans="1:12" x14ac:dyDescent="0.25">
      <c r="A7849" t="s">
        <v>16530</v>
      </c>
      <c r="B7849" t="s">
        <v>16531</v>
      </c>
      <c r="C7849" t="s">
        <v>2598</v>
      </c>
      <c r="D7849" s="254">
        <v>44581.13</v>
      </c>
      <c r="E7849"/>
      <c r="F7849"/>
      <c r="G7849"/>
      <c r="H7849"/>
      <c r="I7849" s="489"/>
      <c r="J7849" s="1362"/>
      <c r="K7849" s="1362"/>
      <c r="L7849" s="1362"/>
    </row>
    <row r="7850" spans="1:12" x14ac:dyDescent="0.25">
      <c r="A7850" t="s">
        <v>16532</v>
      </c>
      <c r="B7850" t="s">
        <v>16533</v>
      </c>
      <c r="C7850" t="s">
        <v>2598</v>
      </c>
      <c r="D7850" s="254">
        <v>41801.839999999997</v>
      </c>
      <c r="E7850"/>
      <c r="F7850"/>
      <c r="G7850"/>
      <c r="H7850"/>
      <c r="I7850" s="489"/>
      <c r="J7850" s="1362"/>
      <c r="K7850" s="1362"/>
      <c r="L7850" s="1362"/>
    </row>
    <row r="7851" spans="1:12" x14ac:dyDescent="0.25">
      <c r="A7851" t="s">
        <v>16534</v>
      </c>
      <c r="B7851" t="s">
        <v>16535</v>
      </c>
      <c r="C7851" t="s">
        <v>2598</v>
      </c>
      <c r="D7851" s="254">
        <v>46044.95</v>
      </c>
      <c r="E7851"/>
      <c r="F7851"/>
      <c r="G7851"/>
      <c r="H7851"/>
      <c r="I7851" s="489"/>
      <c r="J7851" s="1362"/>
      <c r="K7851" s="1362"/>
      <c r="L7851" s="1362"/>
    </row>
    <row r="7852" spans="1:12" x14ac:dyDescent="0.25">
      <c r="A7852" t="s">
        <v>16536</v>
      </c>
      <c r="B7852" t="s">
        <v>16537</v>
      </c>
      <c r="C7852" t="s">
        <v>2598</v>
      </c>
      <c r="D7852" s="254">
        <v>42323.37</v>
      </c>
      <c r="E7852"/>
      <c r="F7852"/>
      <c r="G7852"/>
      <c r="H7852"/>
      <c r="I7852" s="489"/>
      <c r="J7852" s="1362"/>
      <c r="K7852" s="1362"/>
      <c r="L7852" s="1362"/>
    </row>
    <row r="7853" spans="1:12" x14ac:dyDescent="0.25">
      <c r="A7853" t="s">
        <v>16538</v>
      </c>
      <c r="B7853" t="s">
        <v>16539</v>
      </c>
      <c r="C7853" t="s">
        <v>2598</v>
      </c>
      <c r="D7853" s="254">
        <v>45523.42</v>
      </c>
      <c r="E7853"/>
      <c r="F7853"/>
      <c r="G7853"/>
      <c r="H7853"/>
      <c r="I7853" s="489"/>
      <c r="J7853" s="1362"/>
      <c r="K7853" s="1362"/>
      <c r="L7853" s="1362"/>
    </row>
    <row r="7854" spans="1:12" x14ac:dyDescent="0.25">
      <c r="A7854" t="s">
        <v>16540</v>
      </c>
      <c r="B7854" t="s">
        <v>16541</v>
      </c>
      <c r="C7854" t="s">
        <v>2598</v>
      </c>
      <c r="D7854" s="254">
        <v>49510.51</v>
      </c>
      <c r="E7854"/>
      <c r="F7854"/>
      <c r="G7854"/>
      <c r="H7854"/>
      <c r="I7854" s="489"/>
      <c r="J7854" s="1362"/>
      <c r="K7854" s="1362"/>
      <c r="L7854" s="1362"/>
    </row>
    <row r="7855" spans="1:12" x14ac:dyDescent="0.25">
      <c r="A7855" t="s">
        <v>16542</v>
      </c>
      <c r="B7855" t="s">
        <v>16543</v>
      </c>
      <c r="C7855" t="s">
        <v>2598</v>
      </c>
      <c r="D7855" s="254">
        <v>44979.95</v>
      </c>
      <c r="E7855"/>
      <c r="F7855"/>
      <c r="G7855"/>
      <c r="H7855"/>
      <c r="I7855" s="489"/>
      <c r="J7855" s="1362"/>
      <c r="K7855" s="1362"/>
      <c r="L7855" s="1362"/>
    </row>
    <row r="7856" spans="1:12" x14ac:dyDescent="0.25">
      <c r="A7856" t="s">
        <v>16544</v>
      </c>
      <c r="B7856" t="s">
        <v>16545</v>
      </c>
      <c r="C7856" t="s">
        <v>2598</v>
      </c>
      <c r="D7856" s="254">
        <v>50032.04</v>
      </c>
      <c r="E7856"/>
      <c r="F7856"/>
      <c r="G7856"/>
      <c r="H7856"/>
      <c r="I7856" s="489"/>
      <c r="J7856" s="1362"/>
      <c r="K7856" s="1362"/>
      <c r="L7856" s="1362"/>
    </row>
    <row r="7857" spans="1:12" x14ac:dyDescent="0.25">
      <c r="A7857" t="s">
        <v>16546</v>
      </c>
      <c r="B7857" t="s">
        <v>16547</v>
      </c>
      <c r="C7857" t="s">
        <v>2598</v>
      </c>
      <c r="D7857" s="254">
        <v>45523.42</v>
      </c>
      <c r="E7857"/>
      <c r="F7857"/>
      <c r="G7857"/>
      <c r="H7857"/>
      <c r="I7857" s="489"/>
      <c r="J7857" s="1362"/>
      <c r="K7857" s="1362"/>
      <c r="L7857" s="1362"/>
    </row>
    <row r="7858" spans="1:12" x14ac:dyDescent="0.25">
      <c r="A7858" t="s">
        <v>16548</v>
      </c>
      <c r="B7858" t="s">
        <v>16549</v>
      </c>
      <c r="C7858" t="s">
        <v>2598</v>
      </c>
      <c r="D7858" s="254">
        <v>50577.21</v>
      </c>
      <c r="E7858"/>
      <c r="F7858"/>
      <c r="G7858"/>
      <c r="H7858"/>
      <c r="I7858" s="489"/>
      <c r="J7858" s="1362"/>
      <c r="K7858" s="1362"/>
      <c r="L7858" s="1362"/>
    </row>
    <row r="7859" spans="1:12" x14ac:dyDescent="0.25">
      <c r="A7859" t="s">
        <v>16550</v>
      </c>
      <c r="B7859" t="s">
        <v>16551</v>
      </c>
      <c r="C7859" t="s">
        <v>2598</v>
      </c>
      <c r="D7859" s="254">
        <v>46972.2</v>
      </c>
      <c r="E7859"/>
      <c r="F7859"/>
      <c r="G7859"/>
      <c r="H7859"/>
      <c r="I7859" s="489"/>
      <c r="J7859" s="1362"/>
      <c r="K7859" s="1362"/>
      <c r="L7859" s="1362"/>
    </row>
    <row r="7860" spans="1:12" x14ac:dyDescent="0.25">
      <c r="A7860" t="s">
        <v>16552</v>
      </c>
      <c r="B7860" t="s">
        <v>16553</v>
      </c>
      <c r="C7860" t="s">
        <v>2598</v>
      </c>
      <c r="D7860" s="254">
        <v>50976.02</v>
      </c>
      <c r="E7860"/>
      <c r="F7860"/>
      <c r="G7860"/>
      <c r="H7860"/>
      <c r="I7860" s="489"/>
      <c r="J7860" s="1362"/>
      <c r="K7860" s="1362"/>
      <c r="L7860" s="1362"/>
    </row>
    <row r="7861" spans="1:12" x14ac:dyDescent="0.25">
      <c r="A7861" t="s">
        <v>16554</v>
      </c>
      <c r="B7861" t="s">
        <v>16555</v>
      </c>
      <c r="C7861" t="s">
        <v>2598</v>
      </c>
      <c r="D7861" s="254">
        <v>53095.35</v>
      </c>
      <c r="E7861"/>
      <c r="F7861"/>
      <c r="G7861"/>
      <c r="H7861"/>
      <c r="I7861" s="489"/>
      <c r="J7861" s="1362"/>
      <c r="K7861" s="1362"/>
      <c r="L7861" s="1362"/>
    </row>
    <row r="7862" spans="1:12" x14ac:dyDescent="0.25">
      <c r="A7862" t="s">
        <v>16556</v>
      </c>
      <c r="B7862" t="s">
        <v>16557</v>
      </c>
      <c r="C7862" t="s">
        <v>2598</v>
      </c>
      <c r="D7862" s="254">
        <v>57087.99</v>
      </c>
      <c r="E7862"/>
      <c r="F7862"/>
      <c r="G7862"/>
      <c r="H7862"/>
      <c r="I7862" s="489"/>
      <c r="J7862" s="1362"/>
      <c r="K7862" s="1362"/>
      <c r="L7862" s="1362"/>
    </row>
    <row r="7863" spans="1:12" x14ac:dyDescent="0.25">
      <c r="A7863" t="s">
        <v>16558</v>
      </c>
      <c r="B7863" t="s">
        <v>16559</v>
      </c>
      <c r="C7863" t="s">
        <v>2598</v>
      </c>
      <c r="D7863" s="254">
        <v>62890.64</v>
      </c>
      <c r="E7863"/>
      <c r="F7863"/>
      <c r="G7863"/>
      <c r="H7863"/>
      <c r="I7863" s="489"/>
      <c r="J7863" s="1362"/>
      <c r="K7863" s="1362"/>
      <c r="L7863" s="1362"/>
    </row>
    <row r="7864" spans="1:12" x14ac:dyDescent="0.25">
      <c r="A7864" t="s">
        <v>16560</v>
      </c>
      <c r="B7864" t="s">
        <v>16561</v>
      </c>
      <c r="C7864" t="s">
        <v>2598</v>
      </c>
      <c r="D7864" s="254">
        <v>68179.28</v>
      </c>
      <c r="E7864"/>
      <c r="F7864"/>
      <c r="G7864"/>
      <c r="H7864"/>
      <c r="I7864" s="489"/>
      <c r="J7864" s="1362"/>
      <c r="K7864" s="1362"/>
      <c r="L7864" s="1362"/>
    </row>
    <row r="7865" spans="1:12" x14ac:dyDescent="0.25">
      <c r="A7865" t="s">
        <v>16562</v>
      </c>
      <c r="B7865" t="s">
        <v>16563</v>
      </c>
      <c r="C7865" t="s">
        <v>2598</v>
      </c>
      <c r="D7865" s="254">
        <v>71058.75</v>
      </c>
      <c r="E7865"/>
      <c r="F7865"/>
      <c r="G7865"/>
      <c r="H7865"/>
      <c r="I7865" s="489"/>
      <c r="J7865" s="1362"/>
      <c r="K7865" s="1362"/>
      <c r="L7865" s="1362"/>
    </row>
    <row r="7866" spans="1:12" x14ac:dyDescent="0.25">
      <c r="A7866" t="s">
        <v>16564</v>
      </c>
      <c r="B7866" t="s">
        <v>16565</v>
      </c>
      <c r="C7866" t="s">
        <v>2598</v>
      </c>
      <c r="D7866" s="254">
        <v>76359.009999999995</v>
      </c>
      <c r="E7866"/>
      <c r="F7866"/>
      <c r="G7866"/>
      <c r="H7866"/>
      <c r="I7866" s="489"/>
      <c r="J7866" s="1362"/>
      <c r="K7866" s="1362"/>
      <c r="L7866" s="1362"/>
    </row>
    <row r="7867" spans="1:12" x14ac:dyDescent="0.25">
      <c r="A7867" t="s">
        <v>16566</v>
      </c>
      <c r="B7867" t="s">
        <v>16567</v>
      </c>
      <c r="C7867" t="s">
        <v>2598</v>
      </c>
      <c r="D7867" s="254">
        <v>60449.72</v>
      </c>
      <c r="E7867"/>
      <c r="F7867"/>
      <c r="G7867"/>
      <c r="H7867"/>
      <c r="I7867" s="489"/>
      <c r="J7867" s="1362"/>
      <c r="K7867" s="1362"/>
      <c r="L7867" s="1362"/>
    </row>
    <row r="7868" spans="1:12" x14ac:dyDescent="0.25">
      <c r="A7868" t="s">
        <v>16568</v>
      </c>
      <c r="B7868" t="s">
        <v>16569</v>
      </c>
      <c r="C7868" t="s">
        <v>2598</v>
      </c>
      <c r="D7868" s="254">
        <v>62863.360000000001</v>
      </c>
      <c r="E7868"/>
      <c r="F7868"/>
      <c r="G7868"/>
      <c r="H7868"/>
      <c r="I7868" s="489"/>
      <c r="J7868" s="1362"/>
      <c r="K7868" s="1362"/>
      <c r="L7868" s="1362"/>
    </row>
    <row r="7869" spans="1:12" x14ac:dyDescent="0.25">
      <c r="A7869" t="s">
        <v>16570</v>
      </c>
      <c r="B7869" t="s">
        <v>16571</v>
      </c>
      <c r="C7869" t="s">
        <v>2598</v>
      </c>
      <c r="D7869" s="254">
        <v>63921.760000000002</v>
      </c>
      <c r="E7869"/>
      <c r="F7869"/>
      <c r="G7869"/>
      <c r="H7869"/>
      <c r="I7869" s="489"/>
      <c r="J7869" s="1362"/>
      <c r="K7869" s="1362"/>
      <c r="L7869" s="1362"/>
    </row>
    <row r="7870" spans="1:12" x14ac:dyDescent="0.25">
      <c r="A7870" t="s">
        <v>16572</v>
      </c>
      <c r="B7870" t="s">
        <v>16573</v>
      </c>
      <c r="C7870" t="s">
        <v>2598</v>
      </c>
      <c r="D7870" s="254">
        <v>65131.74</v>
      </c>
      <c r="E7870"/>
      <c r="F7870"/>
      <c r="G7870"/>
      <c r="H7870"/>
      <c r="I7870" s="489"/>
      <c r="J7870" s="1362"/>
      <c r="K7870" s="1362"/>
      <c r="L7870" s="1362"/>
    </row>
    <row r="7871" spans="1:12" x14ac:dyDescent="0.25">
      <c r="A7871" t="s">
        <v>16574</v>
      </c>
      <c r="B7871" t="s">
        <v>16575</v>
      </c>
      <c r="C7871" t="s">
        <v>2598</v>
      </c>
      <c r="D7871" s="254">
        <v>69377.62</v>
      </c>
      <c r="E7871"/>
      <c r="F7871"/>
      <c r="G7871"/>
      <c r="H7871"/>
      <c r="I7871" s="489"/>
      <c r="J7871" s="1362"/>
      <c r="K7871" s="1362"/>
      <c r="L7871" s="1362"/>
    </row>
    <row r="7872" spans="1:12" x14ac:dyDescent="0.25">
      <c r="A7872" t="s">
        <v>16576</v>
      </c>
      <c r="B7872" t="s">
        <v>16577</v>
      </c>
      <c r="C7872" t="s">
        <v>2598</v>
      </c>
      <c r="D7872" s="254">
        <v>68175.97</v>
      </c>
      <c r="E7872"/>
      <c r="F7872"/>
      <c r="G7872"/>
      <c r="H7872"/>
      <c r="I7872" s="489"/>
      <c r="J7872" s="1362"/>
      <c r="K7872" s="1362"/>
      <c r="L7872" s="1362"/>
    </row>
    <row r="7873" spans="1:12" x14ac:dyDescent="0.25">
      <c r="A7873" t="s">
        <v>16578</v>
      </c>
      <c r="B7873" t="s">
        <v>16579</v>
      </c>
      <c r="C7873" t="s">
        <v>2598</v>
      </c>
      <c r="D7873" s="254">
        <v>69364.56</v>
      </c>
      <c r="E7873"/>
      <c r="F7873"/>
      <c r="G7873"/>
      <c r="H7873"/>
      <c r="I7873" s="489"/>
      <c r="J7873" s="1362"/>
      <c r="K7873" s="1362"/>
      <c r="L7873" s="1362"/>
    </row>
    <row r="7874" spans="1:12" x14ac:dyDescent="0.25">
      <c r="A7874" t="s">
        <v>16580</v>
      </c>
      <c r="B7874" t="s">
        <v>16581</v>
      </c>
      <c r="C7874" t="s">
        <v>2598</v>
      </c>
      <c r="D7874" s="254">
        <v>73647.39</v>
      </c>
      <c r="E7874"/>
      <c r="F7874"/>
      <c r="G7874"/>
      <c r="H7874"/>
      <c r="I7874" s="489"/>
      <c r="J7874" s="1362"/>
      <c r="K7874" s="1362"/>
      <c r="L7874" s="1362"/>
    </row>
    <row r="7875" spans="1:12" x14ac:dyDescent="0.25">
      <c r="A7875" t="s">
        <v>16582</v>
      </c>
      <c r="B7875" t="s">
        <v>16583</v>
      </c>
      <c r="C7875" t="s">
        <v>2598</v>
      </c>
      <c r="D7875" s="254">
        <v>74168.92</v>
      </c>
      <c r="E7875"/>
      <c r="F7875"/>
      <c r="G7875"/>
      <c r="H7875"/>
      <c r="I7875" s="489"/>
      <c r="J7875" s="1362"/>
      <c r="K7875" s="1362"/>
      <c r="L7875" s="1362"/>
    </row>
    <row r="7876" spans="1:12" x14ac:dyDescent="0.25">
      <c r="A7876" t="s">
        <v>16584</v>
      </c>
      <c r="B7876" t="s">
        <v>16585</v>
      </c>
      <c r="C7876" t="s">
        <v>2598</v>
      </c>
      <c r="D7876" s="254">
        <v>74234.179999999993</v>
      </c>
      <c r="E7876"/>
      <c r="F7876"/>
      <c r="G7876"/>
      <c r="H7876"/>
      <c r="I7876" s="489"/>
      <c r="J7876" s="1362"/>
      <c r="K7876" s="1362"/>
      <c r="L7876" s="1362"/>
    </row>
    <row r="7877" spans="1:12" x14ac:dyDescent="0.25">
      <c r="A7877" t="s">
        <v>16586</v>
      </c>
      <c r="B7877" t="s">
        <v>16587</v>
      </c>
      <c r="C7877" t="s">
        <v>2640</v>
      </c>
      <c r="D7877" s="254">
        <v>21499.99</v>
      </c>
      <c r="E7877"/>
      <c r="F7877"/>
      <c r="G7877"/>
      <c r="H7877"/>
      <c r="I7877" s="489"/>
      <c r="J7877" s="1362"/>
      <c r="K7877" s="1362"/>
      <c r="L7877" s="1362"/>
    </row>
    <row r="7878" spans="1:12" x14ac:dyDescent="0.25">
      <c r="A7878" t="s">
        <v>16588</v>
      </c>
      <c r="B7878" t="s">
        <v>16589</v>
      </c>
      <c r="C7878" t="s">
        <v>2640</v>
      </c>
      <c r="D7878" s="254">
        <v>47150</v>
      </c>
      <c r="E7878"/>
      <c r="F7878"/>
      <c r="G7878"/>
      <c r="H7878"/>
      <c r="I7878" s="489"/>
      <c r="J7878" s="1362"/>
      <c r="K7878" s="1362"/>
      <c r="L7878" s="1362"/>
    </row>
    <row r="7879" spans="1:12" x14ac:dyDescent="0.25">
      <c r="A7879" t="s">
        <v>16590</v>
      </c>
      <c r="B7879" t="s">
        <v>16591</v>
      </c>
      <c r="C7879" t="s">
        <v>2716</v>
      </c>
      <c r="D7879" s="254">
        <v>9.0500000000000007</v>
      </c>
      <c r="E7879"/>
      <c r="F7879"/>
      <c r="G7879"/>
      <c r="H7879"/>
      <c r="I7879" s="489"/>
      <c r="J7879" s="1362"/>
      <c r="K7879" s="1362"/>
      <c r="L7879" s="1362"/>
    </row>
    <row r="7880" spans="1:12" x14ac:dyDescent="0.25">
      <c r="A7880" t="s">
        <v>16592</v>
      </c>
      <c r="B7880" t="s">
        <v>16593</v>
      </c>
      <c r="C7880" t="s">
        <v>2716</v>
      </c>
      <c r="D7880" s="254">
        <v>21.91</v>
      </c>
      <c r="E7880"/>
      <c r="F7880"/>
      <c r="G7880"/>
      <c r="H7880"/>
      <c r="I7880" s="489"/>
      <c r="J7880" s="1362"/>
      <c r="K7880" s="1362"/>
      <c r="L7880" s="1362"/>
    </row>
    <row r="7881" spans="1:12" x14ac:dyDescent="0.25">
      <c r="A7881" t="s">
        <v>16594</v>
      </c>
      <c r="B7881" t="s">
        <v>16595</v>
      </c>
      <c r="C7881" t="s">
        <v>2640</v>
      </c>
      <c r="D7881" s="254">
        <v>45.79</v>
      </c>
      <c r="E7881"/>
      <c r="F7881"/>
      <c r="G7881"/>
      <c r="H7881"/>
      <c r="I7881" s="489"/>
      <c r="J7881" s="1362"/>
      <c r="K7881" s="1362"/>
      <c r="L7881" s="1362"/>
    </row>
    <row r="7882" spans="1:12" x14ac:dyDescent="0.25">
      <c r="A7882" t="s">
        <v>16596</v>
      </c>
      <c r="B7882" t="s">
        <v>16597</v>
      </c>
      <c r="C7882" t="s">
        <v>2595</v>
      </c>
      <c r="D7882" s="254">
        <v>18.899999999999999</v>
      </c>
      <c r="E7882"/>
      <c r="F7882"/>
      <c r="G7882"/>
      <c r="H7882"/>
      <c r="I7882" s="489"/>
      <c r="J7882" s="1362"/>
      <c r="K7882" s="1362"/>
      <c r="L7882" s="1362"/>
    </row>
    <row r="7883" spans="1:12" x14ac:dyDescent="0.25">
      <c r="A7883" t="s">
        <v>16598</v>
      </c>
      <c r="B7883" t="s">
        <v>16599</v>
      </c>
      <c r="C7883" t="s">
        <v>2598</v>
      </c>
      <c r="D7883" s="254">
        <v>103.95</v>
      </c>
      <c r="E7883"/>
      <c r="F7883"/>
      <c r="G7883"/>
      <c r="H7883"/>
      <c r="I7883" s="489"/>
      <c r="J7883" s="1362"/>
      <c r="K7883" s="1362"/>
      <c r="L7883" s="1362"/>
    </row>
    <row r="7884" spans="1:12" x14ac:dyDescent="0.25">
      <c r="A7884" t="s">
        <v>16600</v>
      </c>
      <c r="B7884" t="s">
        <v>16601</v>
      </c>
      <c r="C7884" t="s">
        <v>2640</v>
      </c>
      <c r="D7884" s="254">
        <v>2.31</v>
      </c>
      <c r="E7884"/>
      <c r="F7884"/>
      <c r="G7884"/>
      <c r="H7884"/>
      <c r="I7884" s="489"/>
      <c r="J7884" s="1362"/>
      <c r="K7884" s="1362"/>
      <c r="L7884" s="1362"/>
    </row>
    <row r="7885" spans="1:12" x14ac:dyDescent="0.25">
      <c r="A7885" t="s">
        <v>16602</v>
      </c>
      <c r="B7885" t="s">
        <v>16603</v>
      </c>
      <c r="C7885" t="s">
        <v>2716</v>
      </c>
      <c r="D7885" s="254">
        <v>13.17</v>
      </c>
      <c r="E7885"/>
      <c r="F7885"/>
      <c r="G7885"/>
      <c r="H7885"/>
      <c r="I7885" s="489"/>
      <c r="J7885" s="1362"/>
      <c r="K7885" s="1362"/>
      <c r="L7885" s="1362"/>
    </row>
    <row r="7886" spans="1:12" x14ac:dyDescent="0.25">
      <c r="A7886" t="s">
        <v>16604</v>
      </c>
      <c r="B7886" t="s">
        <v>16605</v>
      </c>
      <c r="C7886" t="s">
        <v>2640</v>
      </c>
      <c r="D7886" s="254">
        <v>3.04</v>
      </c>
      <c r="E7886"/>
      <c r="F7886"/>
      <c r="G7886"/>
      <c r="H7886"/>
      <c r="I7886" s="489"/>
      <c r="J7886" s="1362"/>
      <c r="K7886" s="1362"/>
      <c r="L7886" s="1362"/>
    </row>
    <row r="7887" spans="1:12" x14ac:dyDescent="0.25">
      <c r="A7887" t="s">
        <v>16606</v>
      </c>
      <c r="B7887" t="s">
        <v>16607</v>
      </c>
      <c r="C7887" t="s">
        <v>2640</v>
      </c>
      <c r="D7887" s="254">
        <v>3.21</v>
      </c>
      <c r="E7887"/>
      <c r="F7887"/>
      <c r="G7887"/>
      <c r="H7887"/>
      <c r="I7887" s="489"/>
      <c r="J7887" s="1362"/>
      <c r="K7887" s="1362"/>
      <c r="L7887" s="1362"/>
    </row>
    <row r="7888" spans="1:12" x14ac:dyDescent="0.25">
      <c r="A7888" t="s">
        <v>16608</v>
      </c>
      <c r="B7888" t="s">
        <v>16609</v>
      </c>
      <c r="C7888" t="s">
        <v>2640</v>
      </c>
      <c r="D7888" s="254">
        <v>3.52</v>
      </c>
      <c r="E7888"/>
      <c r="F7888"/>
      <c r="G7888"/>
      <c r="H7888"/>
      <c r="I7888" s="489"/>
      <c r="J7888" s="1362"/>
      <c r="K7888" s="1362"/>
      <c r="L7888" s="1362"/>
    </row>
    <row r="7889" spans="1:12" x14ac:dyDescent="0.25">
      <c r="A7889" t="s">
        <v>16610</v>
      </c>
      <c r="B7889" t="s">
        <v>16611</v>
      </c>
      <c r="C7889" t="s">
        <v>2640</v>
      </c>
      <c r="D7889" s="254">
        <v>3.93</v>
      </c>
      <c r="E7889"/>
      <c r="F7889"/>
      <c r="G7889"/>
      <c r="H7889"/>
      <c r="I7889" s="489"/>
      <c r="J7889" s="1362"/>
      <c r="K7889" s="1362"/>
      <c r="L7889" s="1362"/>
    </row>
    <row r="7890" spans="1:12" x14ac:dyDescent="0.25">
      <c r="A7890" t="s">
        <v>16612</v>
      </c>
      <c r="B7890" t="s">
        <v>16613</v>
      </c>
      <c r="C7890" t="s">
        <v>2640</v>
      </c>
      <c r="D7890" s="254">
        <v>4.2</v>
      </c>
      <c r="E7890"/>
      <c r="F7890"/>
      <c r="G7890"/>
      <c r="H7890"/>
      <c r="I7890" s="489"/>
      <c r="J7890" s="1362"/>
      <c r="K7890" s="1362"/>
      <c r="L7890" s="1362"/>
    </row>
    <row r="7891" spans="1:12" x14ac:dyDescent="0.25">
      <c r="A7891" t="s">
        <v>16614</v>
      </c>
      <c r="B7891" t="s">
        <v>16615</v>
      </c>
      <c r="C7891" t="s">
        <v>2640</v>
      </c>
      <c r="D7891" s="254">
        <v>4.78</v>
      </c>
      <c r="E7891"/>
      <c r="F7891"/>
      <c r="G7891"/>
      <c r="H7891"/>
      <c r="I7891" s="489"/>
      <c r="J7891" s="1362"/>
      <c r="K7891" s="1362"/>
      <c r="L7891" s="1362"/>
    </row>
    <row r="7892" spans="1:12" x14ac:dyDescent="0.25">
      <c r="A7892" t="s">
        <v>16616</v>
      </c>
      <c r="B7892" t="s">
        <v>16617</v>
      </c>
      <c r="C7892" t="s">
        <v>2640</v>
      </c>
      <c r="D7892" s="254">
        <v>5.07</v>
      </c>
      <c r="E7892"/>
      <c r="F7892"/>
      <c r="G7892"/>
      <c r="H7892"/>
      <c r="I7892" s="489"/>
      <c r="J7892" s="1362"/>
      <c r="K7892" s="1362"/>
      <c r="L7892" s="1362"/>
    </row>
    <row r="7893" spans="1:12" x14ac:dyDescent="0.25">
      <c r="A7893" t="s">
        <v>16618</v>
      </c>
      <c r="B7893" t="s">
        <v>16619</v>
      </c>
      <c r="C7893" t="s">
        <v>2640</v>
      </c>
      <c r="D7893" s="254">
        <v>5.48</v>
      </c>
      <c r="E7893"/>
      <c r="F7893"/>
      <c r="G7893"/>
      <c r="H7893"/>
      <c r="I7893" s="489"/>
      <c r="J7893" s="1362"/>
      <c r="K7893" s="1362"/>
      <c r="L7893" s="1362"/>
    </row>
    <row r="7894" spans="1:12" x14ac:dyDescent="0.25">
      <c r="A7894" t="s">
        <v>16620</v>
      </c>
      <c r="B7894" t="s">
        <v>16621</v>
      </c>
      <c r="C7894" t="s">
        <v>2640</v>
      </c>
      <c r="D7894" s="254">
        <v>5.54</v>
      </c>
      <c r="E7894"/>
      <c r="F7894"/>
      <c r="G7894"/>
      <c r="H7894"/>
      <c r="I7894" s="489"/>
      <c r="J7894" s="1362"/>
      <c r="K7894" s="1362"/>
      <c r="L7894" s="1362"/>
    </row>
    <row r="7895" spans="1:12" x14ac:dyDescent="0.25">
      <c r="A7895" t="s">
        <v>16622</v>
      </c>
      <c r="B7895" t="s">
        <v>16623</v>
      </c>
      <c r="C7895" t="s">
        <v>2640</v>
      </c>
      <c r="D7895" s="254">
        <v>6.13</v>
      </c>
      <c r="E7895"/>
      <c r="F7895"/>
      <c r="G7895"/>
      <c r="H7895"/>
      <c r="I7895" s="489"/>
      <c r="J7895" s="1362"/>
      <c r="K7895" s="1362"/>
      <c r="L7895" s="1362"/>
    </row>
    <row r="7896" spans="1:12" x14ac:dyDescent="0.25">
      <c r="A7896" t="s">
        <v>16624</v>
      </c>
      <c r="B7896" t="s">
        <v>16625</v>
      </c>
      <c r="C7896" t="s">
        <v>2640</v>
      </c>
      <c r="D7896" s="254">
        <v>6.3</v>
      </c>
      <c r="E7896"/>
      <c r="F7896"/>
      <c r="G7896"/>
      <c r="H7896"/>
      <c r="I7896" s="489"/>
      <c r="J7896" s="1362"/>
      <c r="K7896" s="1362"/>
      <c r="L7896" s="1362"/>
    </row>
    <row r="7897" spans="1:12" x14ac:dyDescent="0.25">
      <c r="A7897" t="s">
        <v>16626</v>
      </c>
      <c r="B7897" t="s">
        <v>16627</v>
      </c>
      <c r="C7897" t="s">
        <v>2640</v>
      </c>
      <c r="D7897" s="254">
        <v>6.67</v>
      </c>
      <c r="E7897"/>
      <c r="F7897"/>
      <c r="G7897"/>
      <c r="H7897"/>
      <c r="I7897" s="489"/>
      <c r="J7897" s="1362"/>
      <c r="K7897" s="1362"/>
      <c r="L7897" s="1362"/>
    </row>
    <row r="7898" spans="1:12" x14ac:dyDescent="0.25">
      <c r="A7898" t="s">
        <v>16628</v>
      </c>
      <c r="B7898" t="s">
        <v>16629</v>
      </c>
      <c r="C7898" t="s">
        <v>2640</v>
      </c>
      <c r="D7898" s="254">
        <v>7.15</v>
      </c>
      <c r="E7898"/>
      <c r="F7898"/>
      <c r="G7898"/>
      <c r="H7898"/>
      <c r="I7898" s="489"/>
      <c r="J7898" s="1362"/>
      <c r="K7898" s="1362"/>
      <c r="L7898" s="1362"/>
    </row>
    <row r="7899" spans="1:12" x14ac:dyDescent="0.25">
      <c r="A7899" t="s">
        <v>16630</v>
      </c>
      <c r="B7899" t="s">
        <v>16631</v>
      </c>
      <c r="C7899" t="s">
        <v>2640</v>
      </c>
      <c r="D7899" s="254">
        <v>7.52</v>
      </c>
      <c r="E7899"/>
      <c r="F7899"/>
      <c r="G7899"/>
      <c r="H7899"/>
      <c r="I7899" s="489"/>
      <c r="J7899" s="1362"/>
      <c r="K7899" s="1362"/>
      <c r="L7899" s="1362"/>
    </row>
    <row r="7900" spans="1:12" x14ac:dyDescent="0.25">
      <c r="A7900" t="s">
        <v>16632</v>
      </c>
      <c r="B7900" t="s">
        <v>16633</v>
      </c>
      <c r="C7900" t="s">
        <v>2640</v>
      </c>
      <c r="D7900" s="254">
        <v>7.86</v>
      </c>
      <c r="E7900"/>
      <c r="F7900"/>
      <c r="G7900"/>
      <c r="H7900"/>
      <c r="I7900" s="489"/>
      <c r="J7900" s="1362"/>
      <c r="K7900" s="1362"/>
      <c r="L7900" s="1362"/>
    </row>
    <row r="7901" spans="1:12" x14ac:dyDescent="0.25">
      <c r="A7901" t="s">
        <v>16634</v>
      </c>
      <c r="B7901" t="s">
        <v>16635</v>
      </c>
      <c r="C7901" t="s">
        <v>2640</v>
      </c>
      <c r="D7901" s="254">
        <v>8.65</v>
      </c>
      <c r="E7901"/>
      <c r="F7901"/>
      <c r="G7901"/>
      <c r="H7901"/>
      <c r="I7901" s="489"/>
      <c r="J7901" s="1362"/>
      <c r="K7901" s="1362"/>
      <c r="L7901" s="1362"/>
    </row>
    <row r="7902" spans="1:12" x14ac:dyDescent="0.25">
      <c r="A7902" t="s">
        <v>16636</v>
      </c>
      <c r="B7902" t="s">
        <v>16637</v>
      </c>
      <c r="C7902" t="s">
        <v>2640</v>
      </c>
      <c r="D7902" s="254">
        <v>9.42</v>
      </c>
      <c r="E7902"/>
      <c r="F7902"/>
      <c r="G7902"/>
      <c r="H7902"/>
      <c r="I7902" s="489"/>
      <c r="J7902" s="1362"/>
      <c r="K7902" s="1362"/>
      <c r="L7902" s="1362"/>
    </row>
    <row r="7903" spans="1:12" x14ac:dyDescent="0.25">
      <c r="A7903" t="s">
        <v>16638</v>
      </c>
      <c r="B7903" t="s">
        <v>16639</v>
      </c>
      <c r="C7903" t="s">
        <v>2640</v>
      </c>
      <c r="D7903" s="254">
        <v>10.85</v>
      </c>
      <c r="E7903"/>
      <c r="F7903"/>
      <c r="G7903"/>
      <c r="H7903"/>
      <c r="I7903" s="489"/>
      <c r="J7903" s="1362"/>
      <c r="K7903" s="1362"/>
      <c r="L7903" s="1362"/>
    </row>
    <row r="7904" spans="1:12" x14ac:dyDescent="0.25">
      <c r="A7904" t="s">
        <v>16640</v>
      </c>
      <c r="B7904" t="s">
        <v>16641</v>
      </c>
      <c r="C7904" t="s">
        <v>2640</v>
      </c>
      <c r="D7904" s="254">
        <v>6.65</v>
      </c>
      <c r="E7904"/>
      <c r="F7904"/>
      <c r="G7904"/>
      <c r="H7904"/>
      <c r="I7904" s="489"/>
      <c r="J7904" s="1362"/>
      <c r="K7904" s="1362"/>
      <c r="L7904" s="1362"/>
    </row>
    <row r="7905" spans="1:12" x14ac:dyDescent="0.25">
      <c r="A7905" t="s">
        <v>16642</v>
      </c>
      <c r="B7905" t="s">
        <v>16643</v>
      </c>
      <c r="C7905" t="s">
        <v>2640</v>
      </c>
      <c r="D7905" s="254">
        <v>7.07</v>
      </c>
      <c r="E7905"/>
      <c r="F7905"/>
      <c r="G7905"/>
      <c r="H7905"/>
      <c r="I7905" s="489"/>
      <c r="J7905" s="1362"/>
      <c r="K7905" s="1362"/>
      <c r="L7905" s="1362"/>
    </row>
    <row r="7906" spans="1:12" x14ac:dyDescent="0.25">
      <c r="A7906" t="s">
        <v>16644</v>
      </c>
      <c r="B7906" t="s">
        <v>16645</v>
      </c>
      <c r="C7906" t="s">
        <v>2640</v>
      </c>
      <c r="D7906" s="254">
        <v>7.39</v>
      </c>
      <c r="E7906"/>
      <c r="F7906"/>
      <c r="G7906"/>
      <c r="H7906"/>
      <c r="I7906" s="489"/>
      <c r="J7906" s="1362"/>
      <c r="K7906" s="1362"/>
      <c r="L7906" s="1362"/>
    </row>
    <row r="7907" spans="1:12" x14ac:dyDescent="0.25">
      <c r="A7907" t="s">
        <v>16646</v>
      </c>
      <c r="B7907" t="s">
        <v>16647</v>
      </c>
      <c r="C7907" t="s">
        <v>2640</v>
      </c>
      <c r="D7907" s="254">
        <v>7.87</v>
      </c>
      <c r="E7907"/>
      <c r="F7907"/>
      <c r="G7907"/>
      <c r="H7907"/>
      <c r="I7907" s="489"/>
      <c r="J7907" s="1362"/>
      <c r="K7907" s="1362"/>
      <c r="L7907" s="1362"/>
    </row>
    <row r="7908" spans="1:12" x14ac:dyDescent="0.25">
      <c r="A7908" t="s">
        <v>16648</v>
      </c>
      <c r="B7908" t="s">
        <v>16649</v>
      </c>
      <c r="C7908" t="s">
        <v>2640</v>
      </c>
      <c r="D7908" s="254">
        <v>8.15</v>
      </c>
      <c r="E7908"/>
      <c r="F7908"/>
      <c r="G7908"/>
      <c r="H7908"/>
      <c r="I7908" s="489"/>
      <c r="J7908" s="1362"/>
      <c r="K7908" s="1362"/>
      <c r="L7908" s="1362"/>
    </row>
    <row r="7909" spans="1:12" x14ac:dyDescent="0.25">
      <c r="A7909" t="s">
        <v>16650</v>
      </c>
      <c r="B7909" t="s">
        <v>16651</v>
      </c>
      <c r="C7909" t="s">
        <v>2640</v>
      </c>
      <c r="D7909" s="254">
        <v>8.61</v>
      </c>
      <c r="E7909"/>
      <c r="F7909"/>
      <c r="G7909"/>
      <c r="H7909"/>
      <c r="I7909" s="489"/>
      <c r="J7909" s="1362"/>
      <c r="K7909" s="1362"/>
      <c r="L7909" s="1362"/>
    </row>
    <row r="7910" spans="1:12" x14ac:dyDescent="0.25">
      <c r="A7910" t="s">
        <v>16652</v>
      </c>
      <c r="B7910" t="s">
        <v>16653</v>
      </c>
      <c r="C7910" t="s">
        <v>2716</v>
      </c>
      <c r="D7910" s="254">
        <v>59.5</v>
      </c>
      <c r="E7910"/>
      <c r="F7910"/>
      <c r="G7910"/>
      <c r="H7910"/>
      <c r="I7910" s="489"/>
      <c r="J7910" s="1362"/>
      <c r="K7910" s="1362"/>
      <c r="L7910" s="1362"/>
    </row>
    <row r="7911" spans="1:12" x14ac:dyDescent="0.25">
      <c r="A7911" t="s">
        <v>16654</v>
      </c>
      <c r="B7911" t="s">
        <v>16655</v>
      </c>
      <c r="C7911" t="s">
        <v>2640</v>
      </c>
      <c r="D7911" s="254">
        <v>21.74</v>
      </c>
      <c r="E7911"/>
      <c r="F7911"/>
      <c r="G7911"/>
      <c r="H7911"/>
      <c r="I7911" s="489"/>
      <c r="J7911" s="1362"/>
      <c r="K7911" s="1362"/>
      <c r="L7911" s="1362"/>
    </row>
    <row r="7912" spans="1:12" x14ac:dyDescent="0.25">
      <c r="A7912" t="s">
        <v>16656</v>
      </c>
      <c r="B7912" t="s">
        <v>16657</v>
      </c>
      <c r="C7912" t="s">
        <v>2640</v>
      </c>
      <c r="D7912" s="254">
        <v>0.35</v>
      </c>
      <c r="E7912"/>
      <c r="F7912"/>
      <c r="G7912"/>
      <c r="H7912"/>
      <c r="I7912" s="489"/>
      <c r="J7912" s="1362"/>
      <c r="K7912" s="1362"/>
      <c r="L7912" s="1362"/>
    </row>
    <row r="7913" spans="1:12" x14ac:dyDescent="0.25">
      <c r="A7913" t="s">
        <v>16658</v>
      </c>
      <c r="B7913" t="s">
        <v>16659</v>
      </c>
      <c r="C7913" t="s">
        <v>2640</v>
      </c>
      <c r="D7913" s="254">
        <v>0.49</v>
      </c>
      <c r="E7913"/>
      <c r="F7913"/>
      <c r="G7913"/>
      <c r="H7913"/>
      <c r="I7913" s="489"/>
      <c r="J7913" s="1362"/>
      <c r="K7913" s="1362"/>
      <c r="L7913" s="1362"/>
    </row>
    <row r="7914" spans="1:12" x14ac:dyDescent="0.25">
      <c r="A7914" t="s">
        <v>16660</v>
      </c>
      <c r="B7914" t="s">
        <v>16661</v>
      </c>
      <c r="C7914" t="s">
        <v>2640</v>
      </c>
      <c r="D7914" s="254">
        <v>1.8</v>
      </c>
      <c r="E7914"/>
      <c r="F7914"/>
      <c r="G7914"/>
      <c r="H7914"/>
      <c r="I7914" s="489"/>
      <c r="J7914" s="1362"/>
      <c r="K7914" s="1362"/>
      <c r="L7914" s="1362"/>
    </row>
    <row r="7915" spans="1:12" x14ac:dyDescent="0.25">
      <c r="A7915" t="s">
        <v>16662</v>
      </c>
      <c r="B7915" t="s">
        <v>16663</v>
      </c>
      <c r="C7915" t="s">
        <v>2716</v>
      </c>
      <c r="D7915" s="254">
        <v>15.02</v>
      </c>
      <c r="E7915"/>
      <c r="F7915"/>
      <c r="G7915"/>
      <c r="H7915"/>
      <c r="I7915" s="489"/>
      <c r="J7915" s="1362"/>
      <c r="K7915" s="1362"/>
      <c r="L7915" s="1362"/>
    </row>
    <row r="7916" spans="1:12" x14ac:dyDescent="0.25">
      <c r="A7916" t="s">
        <v>16664</v>
      </c>
      <c r="B7916" t="s">
        <v>16665</v>
      </c>
      <c r="C7916" t="s">
        <v>2716</v>
      </c>
      <c r="D7916" s="254">
        <v>17.850000000000001</v>
      </c>
      <c r="E7916"/>
      <c r="F7916"/>
      <c r="G7916"/>
      <c r="H7916"/>
      <c r="I7916" s="489"/>
      <c r="J7916" s="1362"/>
      <c r="K7916" s="1362"/>
      <c r="L7916" s="1362"/>
    </row>
    <row r="7917" spans="1:12" x14ac:dyDescent="0.25">
      <c r="A7917" t="s">
        <v>16666</v>
      </c>
      <c r="B7917" t="s">
        <v>16667</v>
      </c>
      <c r="C7917" t="s">
        <v>2596</v>
      </c>
      <c r="D7917" s="254" t="s">
        <v>0</v>
      </c>
      <c r="E7917"/>
      <c r="F7917"/>
      <c r="G7917"/>
      <c r="H7917"/>
      <c r="I7917" s="489"/>
      <c r="J7917" s="1362"/>
      <c r="K7917" s="1362"/>
      <c r="L7917" s="1362"/>
    </row>
    <row r="7918" spans="1:12" x14ac:dyDescent="0.25">
      <c r="A7918" t="s">
        <v>16668</v>
      </c>
      <c r="B7918" t="s">
        <v>16669</v>
      </c>
      <c r="C7918" t="s">
        <v>2598</v>
      </c>
      <c r="D7918" s="254">
        <v>477</v>
      </c>
      <c r="E7918"/>
      <c r="F7918"/>
      <c r="G7918"/>
      <c r="H7918"/>
      <c r="I7918" s="489"/>
      <c r="J7918" s="1362"/>
      <c r="K7918" s="1362"/>
      <c r="L7918" s="1362"/>
    </row>
    <row r="7919" spans="1:12" x14ac:dyDescent="0.25">
      <c r="A7919" t="s">
        <v>16670</v>
      </c>
      <c r="B7919" t="s">
        <v>16671</v>
      </c>
      <c r="C7919" t="s">
        <v>2598</v>
      </c>
      <c r="D7919" s="254">
        <v>636.02</v>
      </c>
      <c r="E7919"/>
      <c r="F7919"/>
      <c r="G7919"/>
      <c r="H7919"/>
      <c r="I7919" s="489"/>
      <c r="J7919" s="1362"/>
      <c r="K7919" s="1362"/>
      <c r="L7919" s="1362"/>
    </row>
    <row r="7920" spans="1:12" x14ac:dyDescent="0.25">
      <c r="A7920" t="s">
        <v>16672</v>
      </c>
      <c r="B7920" t="s">
        <v>16673</v>
      </c>
      <c r="C7920" t="s">
        <v>2598</v>
      </c>
      <c r="D7920" s="254">
        <v>826.74</v>
      </c>
      <c r="E7920"/>
      <c r="F7920"/>
      <c r="G7920"/>
      <c r="H7920"/>
      <c r="I7920" s="489"/>
      <c r="J7920" s="1362"/>
      <c r="K7920" s="1362"/>
      <c r="L7920" s="1362"/>
    </row>
    <row r="7921" spans="1:12" x14ac:dyDescent="0.25">
      <c r="A7921" t="s">
        <v>16674</v>
      </c>
      <c r="B7921" t="s">
        <v>16675</v>
      </c>
      <c r="C7921" t="s">
        <v>2598</v>
      </c>
      <c r="D7921" s="254">
        <v>954.09</v>
      </c>
      <c r="E7921"/>
      <c r="F7921"/>
      <c r="G7921"/>
      <c r="H7921"/>
      <c r="I7921" s="489"/>
      <c r="J7921" s="1362"/>
      <c r="K7921" s="1362"/>
      <c r="L7921" s="1362"/>
    </row>
    <row r="7922" spans="1:12" x14ac:dyDescent="0.25">
      <c r="A7922" t="s">
        <v>16676</v>
      </c>
      <c r="B7922" t="s">
        <v>16677</v>
      </c>
      <c r="C7922" t="s">
        <v>2598</v>
      </c>
      <c r="D7922" s="254">
        <v>1208.53</v>
      </c>
      <c r="E7922"/>
      <c r="F7922"/>
      <c r="G7922"/>
      <c r="H7922"/>
      <c r="I7922" s="489"/>
      <c r="J7922" s="1362"/>
      <c r="K7922" s="1362"/>
      <c r="L7922" s="1362"/>
    </row>
    <row r="7923" spans="1:12" x14ac:dyDescent="0.25">
      <c r="A7923" t="s">
        <v>16678</v>
      </c>
      <c r="B7923" t="s">
        <v>16679</v>
      </c>
      <c r="C7923" t="s">
        <v>2598</v>
      </c>
      <c r="D7923" s="254">
        <v>1351.82</v>
      </c>
      <c r="E7923"/>
      <c r="F7923"/>
      <c r="G7923"/>
      <c r="H7923"/>
      <c r="I7923" s="489"/>
      <c r="J7923" s="1362"/>
      <c r="K7923" s="1362"/>
      <c r="L7923" s="1362"/>
    </row>
    <row r="7924" spans="1:12" x14ac:dyDescent="0.25">
      <c r="A7924" t="s">
        <v>16680</v>
      </c>
      <c r="B7924" t="s">
        <v>16681</v>
      </c>
      <c r="C7924" t="s">
        <v>2598</v>
      </c>
      <c r="D7924" s="254">
        <v>1574.48</v>
      </c>
      <c r="E7924"/>
      <c r="F7924"/>
      <c r="G7924"/>
      <c r="H7924"/>
      <c r="I7924" s="489"/>
      <c r="J7924" s="1362"/>
      <c r="K7924" s="1362"/>
      <c r="L7924" s="1362"/>
    </row>
    <row r="7925" spans="1:12" x14ac:dyDescent="0.25">
      <c r="A7925" t="s">
        <v>16682</v>
      </c>
      <c r="B7925" t="s">
        <v>16683</v>
      </c>
      <c r="C7925" t="s">
        <v>2598</v>
      </c>
      <c r="D7925" s="254">
        <v>1829.93</v>
      </c>
      <c r="E7925"/>
      <c r="F7925"/>
      <c r="G7925"/>
      <c r="H7925"/>
      <c r="I7925" s="489"/>
      <c r="J7925" s="1362"/>
      <c r="K7925" s="1362"/>
      <c r="L7925" s="1362"/>
    </row>
    <row r="7926" spans="1:12" x14ac:dyDescent="0.25">
      <c r="A7926" t="s">
        <v>16684</v>
      </c>
      <c r="B7926" t="s">
        <v>16685</v>
      </c>
      <c r="C7926" t="s">
        <v>2598</v>
      </c>
      <c r="D7926" s="254">
        <v>8945.23</v>
      </c>
      <c r="E7926"/>
      <c r="F7926"/>
      <c r="G7926"/>
      <c r="H7926"/>
      <c r="I7926" s="489"/>
      <c r="J7926" s="1362"/>
      <c r="K7926" s="1362"/>
      <c r="L7926" s="1362"/>
    </row>
    <row r="7927" spans="1:12" x14ac:dyDescent="0.25">
      <c r="A7927" t="s">
        <v>16686</v>
      </c>
      <c r="B7927" t="s">
        <v>16687</v>
      </c>
      <c r="C7927" t="s">
        <v>2598</v>
      </c>
      <c r="D7927" s="254">
        <v>10604.06</v>
      </c>
      <c r="E7927"/>
      <c r="F7927"/>
      <c r="G7927"/>
      <c r="H7927"/>
      <c r="I7927" s="489"/>
      <c r="J7927" s="1362"/>
      <c r="K7927" s="1362"/>
      <c r="L7927" s="1362"/>
    </row>
    <row r="7928" spans="1:12" x14ac:dyDescent="0.25">
      <c r="A7928" t="s">
        <v>16688</v>
      </c>
      <c r="B7928" t="s">
        <v>16689</v>
      </c>
      <c r="C7928" t="s">
        <v>2598</v>
      </c>
      <c r="D7928" s="254">
        <v>12395.65</v>
      </c>
      <c r="E7928"/>
      <c r="F7928"/>
      <c r="G7928"/>
      <c r="H7928"/>
      <c r="I7928" s="489"/>
      <c r="J7928" s="1362"/>
      <c r="K7928" s="1362"/>
      <c r="L7928" s="1362"/>
    </row>
    <row r="7929" spans="1:12" x14ac:dyDescent="0.25">
      <c r="A7929" t="s">
        <v>16690</v>
      </c>
      <c r="B7929" t="s">
        <v>16691</v>
      </c>
      <c r="C7929" t="s">
        <v>2598</v>
      </c>
      <c r="D7929" s="254">
        <v>15531.89</v>
      </c>
      <c r="E7929"/>
      <c r="F7929"/>
      <c r="G7929"/>
      <c r="H7929"/>
      <c r="I7929" s="489"/>
      <c r="J7929" s="1362"/>
      <c r="K7929" s="1362"/>
      <c r="L7929" s="1362"/>
    </row>
    <row r="7930" spans="1:12" x14ac:dyDescent="0.25">
      <c r="A7930" t="s">
        <v>16692</v>
      </c>
      <c r="B7930" t="s">
        <v>16693</v>
      </c>
      <c r="C7930" t="s">
        <v>2598</v>
      </c>
      <c r="D7930" s="254">
        <v>17922.169999999998</v>
      </c>
      <c r="E7930"/>
      <c r="F7930"/>
      <c r="G7930"/>
      <c r="H7930"/>
      <c r="I7930" s="489"/>
      <c r="J7930" s="1362"/>
      <c r="K7930" s="1362"/>
      <c r="L7930" s="1362"/>
    </row>
    <row r="7931" spans="1:12" x14ac:dyDescent="0.25">
      <c r="A7931" t="s">
        <v>16694</v>
      </c>
      <c r="B7931" t="s">
        <v>16695</v>
      </c>
      <c r="C7931" t="s">
        <v>2598</v>
      </c>
      <c r="D7931" s="254">
        <v>23447.68</v>
      </c>
      <c r="E7931"/>
      <c r="F7931"/>
      <c r="G7931"/>
      <c r="H7931"/>
      <c r="I7931" s="489"/>
      <c r="J7931" s="1362"/>
      <c r="K7931" s="1362"/>
      <c r="L7931" s="1362"/>
    </row>
    <row r="7932" spans="1:12" x14ac:dyDescent="0.25">
      <c r="A7932" t="s">
        <v>16696</v>
      </c>
      <c r="B7932" t="s">
        <v>16697</v>
      </c>
      <c r="C7932" t="s">
        <v>2598</v>
      </c>
      <c r="D7932" s="254">
        <v>26436.93</v>
      </c>
      <c r="E7932"/>
      <c r="F7932"/>
      <c r="G7932"/>
      <c r="H7932"/>
      <c r="I7932" s="489"/>
      <c r="J7932" s="1362"/>
      <c r="K7932" s="1362"/>
      <c r="L7932" s="1362"/>
    </row>
    <row r="7933" spans="1:12" x14ac:dyDescent="0.25">
      <c r="A7933" t="s">
        <v>16698</v>
      </c>
      <c r="B7933" t="s">
        <v>16699</v>
      </c>
      <c r="C7933" t="s">
        <v>2598</v>
      </c>
      <c r="D7933" s="254">
        <v>30318.62</v>
      </c>
      <c r="E7933"/>
      <c r="F7933"/>
      <c r="G7933"/>
      <c r="H7933"/>
      <c r="I7933" s="489"/>
      <c r="J7933" s="1362"/>
      <c r="K7933" s="1362"/>
      <c r="L7933" s="1362"/>
    </row>
    <row r="7934" spans="1:12" x14ac:dyDescent="0.25">
      <c r="A7934" t="s">
        <v>16700</v>
      </c>
      <c r="B7934" t="s">
        <v>16701</v>
      </c>
      <c r="C7934" t="s">
        <v>2598</v>
      </c>
      <c r="D7934" s="254">
        <v>38472.61</v>
      </c>
      <c r="E7934"/>
      <c r="F7934"/>
      <c r="G7934"/>
      <c r="H7934"/>
      <c r="I7934" s="489"/>
      <c r="J7934" s="1362"/>
      <c r="K7934" s="1362"/>
      <c r="L7934" s="1362"/>
    </row>
    <row r="7935" spans="1:12" x14ac:dyDescent="0.25">
      <c r="A7935" t="s">
        <v>16702</v>
      </c>
      <c r="B7935" t="s">
        <v>16703</v>
      </c>
      <c r="C7935" t="s">
        <v>2598</v>
      </c>
      <c r="D7935" s="254">
        <v>44802.73</v>
      </c>
      <c r="E7935"/>
      <c r="F7935"/>
      <c r="G7935"/>
      <c r="H7935"/>
      <c r="I7935" s="489"/>
      <c r="J7935" s="1362"/>
      <c r="K7935" s="1362"/>
      <c r="L7935" s="1362"/>
    </row>
    <row r="7936" spans="1:12" x14ac:dyDescent="0.25">
      <c r="A7936" t="s">
        <v>16704</v>
      </c>
      <c r="B7936" t="s">
        <v>16705</v>
      </c>
      <c r="C7936" t="s">
        <v>2598</v>
      </c>
      <c r="D7936" s="254">
        <v>59407.17</v>
      </c>
      <c r="E7936"/>
      <c r="F7936"/>
      <c r="G7936"/>
      <c r="H7936"/>
      <c r="I7936" s="489"/>
      <c r="J7936" s="1362"/>
      <c r="K7936" s="1362"/>
      <c r="L7936" s="1362"/>
    </row>
    <row r="7937" spans="1:12" x14ac:dyDescent="0.25">
      <c r="A7937" t="s">
        <v>16706</v>
      </c>
      <c r="B7937" t="s">
        <v>16707</v>
      </c>
      <c r="C7937" t="s">
        <v>2598</v>
      </c>
      <c r="D7937" s="254">
        <v>8368.31</v>
      </c>
      <c r="E7937"/>
      <c r="F7937"/>
      <c r="G7937"/>
      <c r="H7937"/>
      <c r="I7937" s="489"/>
      <c r="J7937" s="1362"/>
      <c r="K7937" s="1362"/>
      <c r="L7937" s="1362"/>
    </row>
    <row r="7938" spans="1:12" x14ac:dyDescent="0.25">
      <c r="A7938" t="s">
        <v>16708</v>
      </c>
      <c r="B7938" t="s">
        <v>16709</v>
      </c>
      <c r="C7938" t="s">
        <v>2598</v>
      </c>
      <c r="D7938" s="254">
        <v>9865.15</v>
      </c>
      <c r="E7938"/>
      <c r="F7938"/>
      <c r="G7938"/>
      <c r="H7938"/>
      <c r="I7938" s="489"/>
      <c r="J7938" s="1362"/>
      <c r="K7938" s="1362"/>
      <c r="L7938" s="1362"/>
    </row>
    <row r="7939" spans="1:12" x14ac:dyDescent="0.25">
      <c r="A7939" t="s">
        <v>16710</v>
      </c>
      <c r="B7939" t="s">
        <v>16711</v>
      </c>
      <c r="C7939" t="s">
        <v>2598</v>
      </c>
      <c r="D7939" s="254">
        <v>12107.07</v>
      </c>
      <c r="E7939"/>
      <c r="F7939"/>
      <c r="G7939"/>
      <c r="H7939"/>
      <c r="I7939" s="489"/>
      <c r="J7939" s="1362"/>
      <c r="K7939" s="1362"/>
      <c r="L7939" s="1362"/>
    </row>
    <row r="7940" spans="1:12" x14ac:dyDescent="0.25">
      <c r="A7940" t="s">
        <v>16712</v>
      </c>
      <c r="B7940" t="s">
        <v>16713</v>
      </c>
      <c r="C7940" t="s">
        <v>2598</v>
      </c>
      <c r="D7940" s="254">
        <v>14947.03</v>
      </c>
      <c r="E7940"/>
      <c r="F7940"/>
      <c r="G7940"/>
      <c r="H7940"/>
      <c r="I7940" s="489"/>
      <c r="J7940" s="1362"/>
      <c r="K7940" s="1362"/>
      <c r="L7940" s="1362"/>
    </row>
    <row r="7941" spans="1:12" x14ac:dyDescent="0.25">
      <c r="A7941" t="s">
        <v>16714</v>
      </c>
      <c r="B7941" t="s">
        <v>16715</v>
      </c>
      <c r="C7941" t="s">
        <v>2598</v>
      </c>
      <c r="D7941" s="254">
        <v>17489.740000000002</v>
      </c>
      <c r="E7941"/>
      <c r="F7941"/>
      <c r="G7941"/>
      <c r="H7941"/>
      <c r="I7941" s="489"/>
      <c r="J7941" s="1362"/>
      <c r="K7941" s="1362"/>
      <c r="L7941" s="1362"/>
    </row>
    <row r="7942" spans="1:12" x14ac:dyDescent="0.25">
      <c r="A7942" t="s">
        <v>16716</v>
      </c>
      <c r="B7942" t="s">
        <v>16717</v>
      </c>
      <c r="C7942" t="s">
        <v>2598</v>
      </c>
      <c r="D7942" s="254">
        <v>23020.639999999999</v>
      </c>
      <c r="E7942"/>
      <c r="F7942"/>
      <c r="G7942"/>
      <c r="H7942"/>
      <c r="I7942" s="489"/>
      <c r="J7942" s="1362"/>
      <c r="K7942" s="1362"/>
      <c r="L7942" s="1362"/>
    </row>
    <row r="7943" spans="1:12" x14ac:dyDescent="0.25">
      <c r="A7943" t="s">
        <v>16718</v>
      </c>
      <c r="B7943" t="s">
        <v>16719</v>
      </c>
      <c r="C7943" t="s">
        <v>2598</v>
      </c>
      <c r="D7943" s="254">
        <v>25712.13</v>
      </c>
      <c r="E7943"/>
      <c r="F7943"/>
      <c r="G7943"/>
      <c r="H7943"/>
      <c r="I7943" s="489"/>
      <c r="J7943" s="1362"/>
      <c r="K7943" s="1362"/>
      <c r="L7943" s="1362"/>
    </row>
    <row r="7944" spans="1:12" x14ac:dyDescent="0.25">
      <c r="A7944" t="s">
        <v>16720</v>
      </c>
      <c r="B7944" t="s">
        <v>16721</v>
      </c>
      <c r="C7944" t="s">
        <v>2598</v>
      </c>
      <c r="D7944" s="254">
        <v>29743.09</v>
      </c>
      <c r="E7944"/>
      <c r="F7944"/>
      <c r="G7944"/>
      <c r="H7944"/>
      <c r="I7944" s="489"/>
      <c r="J7944" s="1362"/>
      <c r="K7944" s="1362"/>
      <c r="L7944" s="1362"/>
    </row>
    <row r="7945" spans="1:12" x14ac:dyDescent="0.25">
      <c r="A7945" t="s">
        <v>16722</v>
      </c>
      <c r="B7945" t="s">
        <v>16723</v>
      </c>
      <c r="C7945" t="s">
        <v>2598</v>
      </c>
      <c r="D7945" s="254">
        <v>37818.36</v>
      </c>
      <c r="E7945"/>
      <c r="F7945"/>
      <c r="G7945"/>
      <c r="H7945"/>
      <c r="I7945" s="489"/>
      <c r="J7945" s="1362"/>
      <c r="K7945" s="1362"/>
      <c r="L7945" s="1362"/>
    </row>
    <row r="7946" spans="1:12" x14ac:dyDescent="0.25">
      <c r="A7946" t="s">
        <v>16724</v>
      </c>
      <c r="B7946" t="s">
        <v>16725</v>
      </c>
      <c r="C7946" t="s">
        <v>2598</v>
      </c>
      <c r="D7946" s="254">
        <v>44237.27</v>
      </c>
      <c r="E7946"/>
      <c r="F7946"/>
      <c r="G7946"/>
      <c r="H7946"/>
      <c r="I7946" s="489"/>
      <c r="J7946" s="1362"/>
      <c r="K7946" s="1362"/>
      <c r="L7946" s="1362"/>
    </row>
    <row r="7947" spans="1:12" x14ac:dyDescent="0.25">
      <c r="A7947" t="s">
        <v>16726</v>
      </c>
      <c r="B7947" t="s">
        <v>16727</v>
      </c>
      <c r="C7947" t="s">
        <v>2598</v>
      </c>
      <c r="D7947" s="254">
        <v>58593.7</v>
      </c>
      <c r="E7947"/>
      <c r="F7947"/>
      <c r="G7947"/>
      <c r="H7947"/>
      <c r="I7947" s="489"/>
      <c r="J7947" s="1362"/>
      <c r="K7947" s="1362"/>
      <c r="L7947" s="1362"/>
    </row>
    <row r="7948" spans="1:12" x14ac:dyDescent="0.25">
      <c r="A7948" t="s">
        <v>16728</v>
      </c>
      <c r="B7948" t="s">
        <v>16729</v>
      </c>
      <c r="C7948" t="s">
        <v>2598</v>
      </c>
      <c r="D7948" s="254">
        <v>8363</v>
      </c>
      <c r="E7948"/>
      <c r="F7948"/>
      <c r="G7948"/>
      <c r="H7948"/>
      <c r="I7948" s="489"/>
      <c r="J7948" s="1362"/>
      <c r="K7948" s="1362"/>
      <c r="L7948" s="1362"/>
    </row>
    <row r="7949" spans="1:12" x14ac:dyDescent="0.25">
      <c r="A7949" t="s">
        <v>16730</v>
      </c>
      <c r="B7949" t="s">
        <v>16731</v>
      </c>
      <c r="C7949" t="s">
        <v>2598</v>
      </c>
      <c r="D7949" s="254">
        <v>9865.15</v>
      </c>
      <c r="E7949"/>
      <c r="F7949"/>
      <c r="G7949"/>
      <c r="H7949"/>
      <c r="I7949" s="489"/>
      <c r="J7949" s="1362"/>
      <c r="K7949" s="1362"/>
      <c r="L7949" s="1362"/>
    </row>
    <row r="7950" spans="1:12" x14ac:dyDescent="0.25">
      <c r="A7950" t="s">
        <v>16732</v>
      </c>
      <c r="B7950" t="s">
        <v>16733</v>
      </c>
      <c r="C7950" t="s">
        <v>2598</v>
      </c>
      <c r="D7950" s="254">
        <v>12107.07</v>
      </c>
      <c r="E7950"/>
      <c r="F7950"/>
      <c r="G7950"/>
      <c r="H7950"/>
      <c r="I7950" s="489"/>
      <c r="J7950" s="1362"/>
      <c r="K7950" s="1362"/>
      <c r="L7950" s="1362"/>
    </row>
    <row r="7951" spans="1:12" x14ac:dyDescent="0.25">
      <c r="A7951" t="s">
        <v>16734</v>
      </c>
      <c r="B7951" t="s">
        <v>16735</v>
      </c>
      <c r="C7951" t="s">
        <v>2598</v>
      </c>
      <c r="D7951" s="254">
        <v>14947.03</v>
      </c>
      <c r="E7951"/>
      <c r="F7951"/>
      <c r="G7951"/>
      <c r="H7951"/>
      <c r="I7951" s="489"/>
      <c r="J7951" s="1362"/>
      <c r="K7951" s="1362"/>
      <c r="L7951" s="1362"/>
    </row>
    <row r="7952" spans="1:12" x14ac:dyDescent="0.25">
      <c r="A7952" t="s">
        <v>16736</v>
      </c>
      <c r="B7952" t="s">
        <v>16737</v>
      </c>
      <c r="C7952" t="s">
        <v>2598</v>
      </c>
      <c r="D7952" s="254">
        <v>17489.740000000002</v>
      </c>
      <c r="E7952"/>
      <c r="F7952"/>
      <c r="G7952"/>
      <c r="H7952"/>
      <c r="I7952" s="489"/>
      <c r="J7952" s="1362"/>
      <c r="K7952" s="1362"/>
      <c r="L7952" s="1362"/>
    </row>
    <row r="7953" spans="1:12" x14ac:dyDescent="0.25">
      <c r="A7953" t="s">
        <v>16738</v>
      </c>
      <c r="B7953" t="s">
        <v>16739</v>
      </c>
      <c r="C7953" t="s">
        <v>2598</v>
      </c>
      <c r="D7953" s="254">
        <v>23020.639999999999</v>
      </c>
      <c r="E7953"/>
      <c r="F7953"/>
      <c r="G7953"/>
      <c r="H7953"/>
      <c r="I7953" s="489"/>
      <c r="J7953" s="1362"/>
      <c r="K7953" s="1362"/>
      <c r="L7953" s="1362"/>
    </row>
    <row r="7954" spans="1:12" x14ac:dyDescent="0.25">
      <c r="A7954" t="s">
        <v>16740</v>
      </c>
      <c r="B7954" t="s">
        <v>16741</v>
      </c>
      <c r="C7954" t="s">
        <v>2598</v>
      </c>
      <c r="D7954" s="254">
        <v>25712.13</v>
      </c>
      <c r="E7954"/>
      <c r="F7954"/>
      <c r="G7954"/>
      <c r="H7954"/>
      <c r="I7954" s="489"/>
      <c r="J7954" s="1362"/>
      <c r="K7954" s="1362"/>
      <c r="L7954" s="1362"/>
    </row>
    <row r="7955" spans="1:12" x14ac:dyDescent="0.25">
      <c r="A7955" t="s">
        <v>16742</v>
      </c>
      <c r="B7955" t="s">
        <v>16743</v>
      </c>
      <c r="C7955" t="s">
        <v>2598</v>
      </c>
      <c r="D7955" s="254">
        <v>29743.09</v>
      </c>
      <c r="E7955"/>
      <c r="F7955"/>
      <c r="G7955"/>
      <c r="H7955"/>
      <c r="I7955" s="489"/>
      <c r="J7955" s="1362"/>
      <c r="K7955" s="1362"/>
      <c r="L7955" s="1362"/>
    </row>
    <row r="7956" spans="1:12" x14ac:dyDescent="0.25">
      <c r="A7956" t="s">
        <v>16744</v>
      </c>
      <c r="B7956" t="s">
        <v>16745</v>
      </c>
      <c r="C7956" t="s">
        <v>2598</v>
      </c>
      <c r="D7956" s="254">
        <v>37818.36</v>
      </c>
      <c r="E7956"/>
      <c r="F7956"/>
      <c r="G7956"/>
      <c r="H7956"/>
      <c r="I7956" s="489"/>
      <c r="J7956" s="1362"/>
      <c r="K7956" s="1362"/>
      <c r="L7956" s="1362"/>
    </row>
    <row r="7957" spans="1:12" x14ac:dyDescent="0.25">
      <c r="A7957" t="s">
        <v>16746</v>
      </c>
      <c r="B7957" t="s">
        <v>16747</v>
      </c>
      <c r="C7957" t="s">
        <v>2598</v>
      </c>
      <c r="D7957" s="254">
        <v>44238.05</v>
      </c>
      <c r="E7957"/>
      <c r="F7957"/>
      <c r="G7957"/>
      <c r="H7957"/>
      <c r="I7957" s="489"/>
      <c r="J7957" s="1362"/>
      <c r="K7957" s="1362"/>
      <c r="L7957" s="1362"/>
    </row>
    <row r="7958" spans="1:12" x14ac:dyDescent="0.25">
      <c r="A7958" t="s">
        <v>16748</v>
      </c>
      <c r="B7958" t="s">
        <v>16749</v>
      </c>
      <c r="C7958" t="s">
        <v>2598</v>
      </c>
      <c r="D7958" s="254">
        <v>58593.7</v>
      </c>
      <c r="E7958"/>
      <c r="F7958"/>
      <c r="G7958"/>
      <c r="H7958"/>
      <c r="I7958" s="489"/>
      <c r="J7958" s="1362"/>
      <c r="K7958" s="1362"/>
      <c r="L7958" s="1362"/>
    </row>
    <row r="7959" spans="1:12" x14ac:dyDescent="0.25">
      <c r="A7959" t="s">
        <v>16750</v>
      </c>
      <c r="B7959" t="s">
        <v>16751</v>
      </c>
      <c r="C7959" t="s">
        <v>2640</v>
      </c>
      <c r="D7959" s="254">
        <v>1035.73</v>
      </c>
      <c r="E7959"/>
      <c r="F7959"/>
      <c r="G7959"/>
      <c r="H7959"/>
      <c r="I7959" s="489"/>
      <c r="J7959" s="1362"/>
      <c r="K7959" s="1362"/>
      <c r="L7959" s="1362"/>
    </row>
    <row r="7960" spans="1:12" x14ac:dyDescent="0.25">
      <c r="A7960" t="s">
        <v>16752</v>
      </c>
      <c r="B7960" t="s">
        <v>16753</v>
      </c>
      <c r="C7960" t="s">
        <v>2595</v>
      </c>
      <c r="D7960" s="254">
        <v>415.4</v>
      </c>
      <c r="E7960"/>
      <c r="F7960"/>
      <c r="G7960"/>
      <c r="H7960"/>
      <c r="I7960" s="489"/>
      <c r="J7960" s="1362"/>
      <c r="K7960" s="1362"/>
      <c r="L7960" s="1362"/>
    </row>
    <row r="7961" spans="1:12" x14ac:dyDescent="0.25">
      <c r="A7961" t="s">
        <v>16754</v>
      </c>
      <c r="B7961" t="s">
        <v>16755</v>
      </c>
      <c r="C7961" t="s">
        <v>2598</v>
      </c>
      <c r="D7961" s="254">
        <v>266.10000000000002</v>
      </c>
      <c r="E7961"/>
      <c r="F7961"/>
      <c r="G7961"/>
      <c r="H7961"/>
      <c r="I7961" s="489"/>
      <c r="J7961" s="1362"/>
      <c r="K7961" s="1362"/>
      <c r="L7961" s="1362"/>
    </row>
    <row r="7962" spans="1:12" x14ac:dyDescent="0.25">
      <c r="A7962" t="s">
        <v>16756</v>
      </c>
      <c r="B7962" t="s">
        <v>16757</v>
      </c>
      <c r="C7962" t="s">
        <v>2695</v>
      </c>
      <c r="D7962" s="254" t="s">
        <v>0</v>
      </c>
      <c r="E7962"/>
      <c r="F7962"/>
      <c r="G7962"/>
      <c r="H7962"/>
      <c r="I7962" s="489"/>
      <c r="J7962" s="1362"/>
      <c r="K7962" s="1362"/>
      <c r="L7962" s="1362"/>
    </row>
    <row r="7963" spans="1:12" x14ac:dyDescent="0.25">
      <c r="A7963" t="s">
        <v>16758</v>
      </c>
      <c r="B7963" t="s">
        <v>16759</v>
      </c>
      <c r="C7963" t="s">
        <v>2595</v>
      </c>
      <c r="D7963" s="254">
        <v>194.42</v>
      </c>
      <c r="E7963"/>
      <c r="F7963"/>
      <c r="G7963"/>
      <c r="H7963"/>
      <c r="I7963" s="489"/>
      <c r="J7963" s="1362"/>
      <c r="K7963" s="1362"/>
      <c r="L7963" s="1362"/>
    </row>
    <row r="7964" spans="1:12" x14ac:dyDescent="0.25">
      <c r="A7964" t="s">
        <v>16760</v>
      </c>
      <c r="B7964" t="s">
        <v>16761</v>
      </c>
      <c r="C7964" t="s">
        <v>2595</v>
      </c>
      <c r="D7964" s="254">
        <v>110.01</v>
      </c>
      <c r="E7964"/>
      <c r="F7964"/>
      <c r="G7964"/>
      <c r="H7964"/>
      <c r="I7964" s="489"/>
      <c r="J7964" s="1362"/>
      <c r="K7964" s="1362"/>
      <c r="L7964" s="1362"/>
    </row>
    <row r="7965" spans="1:12" x14ac:dyDescent="0.25">
      <c r="A7965" t="s">
        <v>16762</v>
      </c>
      <c r="B7965" t="s">
        <v>16763</v>
      </c>
      <c r="C7965" t="s">
        <v>2595</v>
      </c>
      <c r="D7965" s="254">
        <v>144.22</v>
      </c>
      <c r="E7965"/>
      <c r="F7965"/>
      <c r="G7965"/>
      <c r="H7965"/>
      <c r="I7965" s="489"/>
      <c r="J7965" s="1362"/>
      <c r="K7965" s="1362"/>
      <c r="L7965" s="1362"/>
    </row>
    <row r="7966" spans="1:12" x14ac:dyDescent="0.25">
      <c r="A7966" t="s">
        <v>16764</v>
      </c>
      <c r="B7966" t="s">
        <v>16765</v>
      </c>
      <c r="C7966" t="s">
        <v>2595</v>
      </c>
      <c r="D7966" s="254">
        <v>508.74</v>
      </c>
      <c r="E7966"/>
      <c r="F7966"/>
      <c r="G7966"/>
      <c r="H7966"/>
      <c r="I7966" s="489"/>
      <c r="J7966" s="1362"/>
      <c r="K7966" s="1362"/>
      <c r="L7966" s="1362"/>
    </row>
    <row r="7967" spans="1:12" x14ac:dyDescent="0.25">
      <c r="A7967" t="s">
        <v>16766</v>
      </c>
      <c r="B7967" t="s">
        <v>16767</v>
      </c>
      <c r="C7967" t="s">
        <v>2598</v>
      </c>
      <c r="D7967" s="254">
        <v>10.18</v>
      </c>
      <c r="E7967"/>
      <c r="F7967"/>
      <c r="G7967"/>
      <c r="H7967"/>
      <c r="I7967" s="489"/>
      <c r="J7967" s="1362"/>
      <c r="K7967" s="1362"/>
      <c r="L7967" s="1362"/>
    </row>
    <row r="7968" spans="1:12" x14ac:dyDescent="0.25">
      <c r="A7968" t="s">
        <v>16768</v>
      </c>
      <c r="B7968" t="s">
        <v>16769</v>
      </c>
      <c r="C7968" t="s">
        <v>2595</v>
      </c>
      <c r="D7968" s="254">
        <v>130.46</v>
      </c>
      <c r="E7968"/>
      <c r="F7968"/>
      <c r="G7968"/>
      <c r="H7968"/>
      <c r="I7968" s="489"/>
      <c r="J7968" s="1362"/>
      <c r="K7968" s="1362"/>
      <c r="L7968" s="1362"/>
    </row>
    <row r="7969" spans="1:12" x14ac:dyDescent="0.25">
      <c r="A7969" t="s">
        <v>16770</v>
      </c>
      <c r="B7969" t="s">
        <v>16771</v>
      </c>
      <c r="C7969" t="s">
        <v>2595</v>
      </c>
      <c r="D7969" s="254">
        <v>383.97</v>
      </c>
      <c r="E7969"/>
      <c r="F7969"/>
      <c r="G7969"/>
      <c r="H7969"/>
      <c r="I7969" s="489"/>
      <c r="J7969" s="1362"/>
      <c r="K7969" s="1362"/>
      <c r="L7969" s="1362"/>
    </row>
    <row r="7970" spans="1:12" x14ac:dyDescent="0.25">
      <c r="A7970" t="s">
        <v>16772</v>
      </c>
      <c r="B7970" t="s">
        <v>16773</v>
      </c>
      <c r="C7970" t="s">
        <v>2595</v>
      </c>
      <c r="D7970" s="254">
        <v>230.35</v>
      </c>
      <c r="E7970"/>
      <c r="F7970"/>
      <c r="G7970"/>
      <c r="H7970"/>
      <c r="I7970" s="489"/>
      <c r="J7970" s="1362"/>
      <c r="K7970" s="1362"/>
      <c r="L7970" s="1362"/>
    </row>
    <row r="7971" spans="1:12" x14ac:dyDescent="0.25">
      <c r="A7971" t="s">
        <v>16774</v>
      </c>
      <c r="B7971" t="s">
        <v>16775</v>
      </c>
      <c r="C7971" t="s">
        <v>2595</v>
      </c>
      <c r="D7971" s="254">
        <v>123.67</v>
      </c>
      <c r="E7971"/>
      <c r="F7971"/>
      <c r="G7971"/>
      <c r="H7971"/>
      <c r="I7971" s="489"/>
      <c r="J7971" s="1362"/>
      <c r="K7971" s="1362"/>
      <c r="L7971" s="1362"/>
    </row>
    <row r="7972" spans="1:12" x14ac:dyDescent="0.25">
      <c r="A7972" t="s">
        <v>16776</v>
      </c>
      <c r="B7972" t="s">
        <v>16777</v>
      </c>
      <c r="C7972" t="s">
        <v>2595</v>
      </c>
      <c r="D7972" s="254">
        <v>442</v>
      </c>
      <c r="E7972"/>
      <c r="F7972"/>
      <c r="G7972"/>
      <c r="H7972"/>
      <c r="I7972" s="489"/>
      <c r="J7972" s="1362"/>
      <c r="K7972" s="1362"/>
      <c r="L7972" s="1362"/>
    </row>
    <row r="7973" spans="1:12" x14ac:dyDescent="0.25">
      <c r="A7973" t="s">
        <v>16778</v>
      </c>
      <c r="B7973" t="s">
        <v>16779</v>
      </c>
      <c r="C7973" t="s">
        <v>2598</v>
      </c>
      <c r="D7973" s="254">
        <v>11.35</v>
      </c>
      <c r="E7973"/>
      <c r="F7973"/>
      <c r="G7973"/>
      <c r="H7973"/>
      <c r="I7973" s="489"/>
      <c r="J7973" s="1362"/>
      <c r="K7973" s="1362"/>
      <c r="L7973" s="1362"/>
    </row>
    <row r="7974" spans="1:12" x14ac:dyDescent="0.25">
      <c r="A7974" t="s">
        <v>16780</v>
      </c>
      <c r="B7974" t="s">
        <v>16781</v>
      </c>
      <c r="C7974" t="s">
        <v>2598</v>
      </c>
      <c r="D7974" s="254">
        <v>13.59</v>
      </c>
      <c r="E7974"/>
      <c r="F7974"/>
      <c r="G7974"/>
      <c r="H7974"/>
      <c r="I7974" s="489"/>
      <c r="J7974" s="1362"/>
      <c r="K7974" s="1362"/>
      <c r="L7974" s="1362"/>
    </row>
    <row r="7975" spans="1:12" x14ac:dyDescent="0.25">
      <c r="A7975" t="s">
        <v>16782</v>
      </c>
      <c r="B7975" t="s">
        <v>16783</v>
      </c>
      <c r="C7975" t="s">
        <v>2598</v>
      </c>
      <c r="D7975" s="254">
        <v>24.11</v>
      </c>
      <c r="E7975"/>
      <c r="F7975"/>
      <c r="G7975"/>
      <c r="H7975"/>
      <c r="I7975" s="489"/>
      <c r="J7975" s="1362"/>
      <c r="K7975" s="1362"/>
      <c r="L7975" s="1362"/>
    </row>
    <row r="7976" spans="1:12" x14ac:dyDescent="0.25">
      <c r="A7976" t="s">
        <v>16784</v>
      </c>
      <c r="B7976" t="s">
        <v>16785</v>
      </c>
      <c r="C7976" t="s">
        <v>2716</v>
      </c>
      <c r="D7976" s="254">
        <v>48.3</v>
      </c>
      <c r="E7976"/>
      <c r="F7976"/>
      <c r="G7976"/>
      <c r="H7976"/>
      <c r="I7976" s="489"/>
      <c r="J7976" s="1362"/>
      <c r="K7976" s="1362"/>
      <c r="L7976" s="1362"/>
    </row>
    <row r="7977" spans="1:12" x14ac:dyDescent="0.25">
      <c r="A7977" t="s">
        <v>16786</v>
      </c>
      <c r="B7977" t="s">
        <v>16787</v>
      </c>
      <c r="C7977" t="s">
        <v>2640</v>
      </c>
      <c r="D7977" s="254">
        <v>11847.13</v>
      </c>
      <c r="E7977"/>
      <c r="F7977"/>
      <c r="G7977"/>
      <c r="H7977"/>
      <c r="I7977" s="489"/>
      <c r="J7977" s="1362"/>
      <c r="K7977" s="1362"/>
      <c r="L7977" s="1362"/>
    </row>
    <row r="7978" spans="1:12" x14ac:dyDescent="0.25">
      <c r="A7978" t="s">
        <v>16788</v>
      </c>
      <c r="B7978" t="s">
        <v>16789</v>
      </c>
      <c r="C7978" t="s">
        <v>2640</v>
      </c>
      <c r="D7978" s="254">
        <v>17877.5</v>
      </c>
      <c r="E7978"/>
      <c r="F7978"/>
      <c r="G7978"/>
      <c r="H7978"/>
      <c r="I7978" s="489"/>
      <c r="J7978" s="1362"/>
      <c r="K7978" s="1362"/>
      <c r="L7978" s="1362"/>
    </row>
    <row r="7979" spans="1:12" x14ac:dyDescent="0.25">
      <c r="A7979" t="s">
        <v>16790</v>
      </c>
      <c r="B7979" t="s">
        <v>16791</v>
      </c>
      <c r="C7979" t="s">
        <v>2640</v>
      </c>
      <c r="D7979" s="254">
        <v>37556.559999999998</v>
      </c>
      <c r="E7979"/>
      <c r="F7979"/>
      <c r="G7979"/>
      <c r="H7979"/>
      <c r="I7979" s="489"/>
      <c r="J7979" s="1362"/>
      <c r="K7979" s="1362"/>
      <c r="L7979" s="1362"/>
    </row>
    <row r="7980" spans="1:12" x14ac:dyDescent="0.25">
      <c r="A7980" t="s">
        <v>16792</v>
      </c>
      <c r="B7980" t="s">
        <v>16793</v>
      </c>
      <c r="C7980" t="s">
        <v>2640</v>
      </c>
      <c r="D7980" s="254">
        <v>74303.100000000006</v>
      </c>
      <c r="E7980"/>
      <c r="F7980"/>
      <c r="G7980"/>
      <c r="H7980"/>
      <c r="I7980" s="489"/>
      <c r="J7980" s="1362"/>
      <c r="K7980" s="1362"/>
      <c r="L7980" s="1362"/>
    </row>
    <row r="7981" spans="1:12" x14ac:dyDescent="0.25">
      <c r="A7981" t="s">
        <v>16794</v>
      </c>
      <c r="B7981" t="s">
        <v>16795</v>
      </c>
      <c r="C7981" t="s">
        <v>2640</v>
      </c>
      <c r="D7981" s="254">
        <v>12178.3</v>
      </c>
      <c r="E7981"/>
      <c r="F7981"/>
      <c r="G7981"/>
      <c r="H7981"/>
      <c r="I7981" s="489"/>
      <c r="J7981" s="1362"/>
      <c r="K7981" s="1362"/>
      <c r="L7981" s="1362"/>
    </row>
    <row r="7982" spans="1:12" x14ac:dyDescent="0.25">
      <c r="A7982" t="s">
        <v>16796</v>
      </c>
      <c r="B7982" t="s">
        <v>16797</v>
      </c>
      <c r="C7982" t="s">
        <v>2640</v>
      </c>
      <c r="D7982" s="254">
        <v>22329.16</v>
      </c>
      <c r="E7982"/>
      <c r="F7982"/>
      <c r="G7982"/>
      <c r="H7982"/>
      <c r="I7982" s="489"/>
      <c r="J7982" s="1362"/>
      <c r="K7982" s="1362"/>
      <c r="L7982" s="1362"/>
    </row>
    <row r="7983" spans="1:12" x14ac:dyDescent="0.25">
      <c r="A7983" t="s">
        <v>16798</v>
      </c>
      <c r="B7983" t="s">
        <v>16799</v>
      </c>
      <c r="C7983" t="s">
        <v>2640</v>
      </c>
      <c r="D7983" s="254">
        <v>43646.17</v>
      </c>
      <c r="E7983"/>
      <c r="F7983"/>
      <c r="G7983"/>
      <c r="H7983"/>
      <c r="I7983" s="489"/>
      <c r="J7983" s="1362"/>
      <c r="K7983" s="1362"/>
      <c r="L7983" s="1362"/>
    </row>
    <row r="7984" spans="1:12" x14ac:dyDescent="0.25">
      <c r="A7984" t="s">
        <v>16800</v>
      </c>
      <c r="B7984" t="s">
        <v>16801</v>
      </c>
      <c r="C7984" t="s">
        <v>2640</v>
      </c>
      <c r="D7984" s="254">
        <v>86934.27</v>
      </c>
      <c r="E7984"/>
      <c r="F7984"/>
      <c r="G7984"/>
      <c r="H7984"/>
      <c r="I7984" s="489"/>
      <c r="J7984" s="1362"/>
      <c r="K7984" s="1362"/>
      <c r="L7984" s="1362"/>
    </row>
    <row r="7985" spans="1:12" x14ac:dyDescent="0.25">
      <c r="A7985" t="s">
        <v>16802</v>
      </c>
      <c r="B7985" t="s">
        <v>16803</v>
      </c>
      <c r="C7985" t="s">
        <v>2598</v>
      </c>
      <c r="D7985" s="254">
        <v>286.22000000000003</v>
      </c>
      <c r="E7985"/>
      <c r="F7985"/>
      <c r="G7985"/>
      <c r="H7985"/>
      <c r="I7985" s="489"/>
      <c r="J7985" s="1362"/>
      <c r="K7985" s="1362"/>
      <c r="L7985" s="1362"/>
    </row>
    <row r="7986" spans="1:12" x14ac:dyDescent="0.25">
      <c r="A7986" t="s">
        <v>16804</v>
      </c>
      <c r="B7986" t="s">
        <v>16805</v>
      </c>
      <c r="C7986" t="s">
        <v>2640</v>
      </c>
      <c r="D7986" s="254">
        <v>0.18</v>
      </c>
      <c r="E7986"/>
      <c r="F7986"/>
      <c r="G7986"/>
      <c r="H7986"/>
      <c r="I7986" s="489"/>
      <c r="J7986" s="1362"/>
      <c r="K7986" s="1362"/>
      <c r="L7986" s="1362"/>
    </row>
    <row r="7987" spans="1:12" x14ac:dyDescent="0.25">
      <c r="A7987" t="s">
        <v>16806</v>
      </c>
      <c r="B7987" t="s">
        <v>16807</v>
      </c>
      <c r="C7987" t="s">
        <v>2598</v>
      </c>
      <c r="D7987" s="254">
        <v>20.8</v>
      </c>
      <c r="E7987"/>
      <c r="F7987"/>
      <c r="G7987"/>
      <c r="H7987"/>
      <c r="I7987" s="489"/>
      <c r="J7987" s="1362"/>
      <c r="K7987" s="1362"/>
      <c r="L7987" s="1362"/>
    </row>
    <row r="7988" spans="1:12" x14ac:dyDescent="0.25">
      <c r="A7988" t="s">
        <v>16808</v>
      </c>
      <c r="B7988" t="s">
        <v>16809</v>
      </c>
      <c r="C7988" t="s">
        <v>2640</v>
      </c>
      <c r="D7988" s="254">
        <v>1.1100000000000001</v>
      </c>
      <c r="E7988"/>
      <c r="F7988"/>
      <c r="G7988"/>
      <c r="H7988"/>
      <c r="I7988" s="489"/>
      <c r="J7988" s="1362"/>
      <c r="K7988" s="1362"/>
      <c r="L7988" s="1362"/>
    </row>
    <row r="7989" spans="1:12" x14ac:dyDescent="0.25">
      <c r="A7989" t="s">
        <v>16810</v>
      </c>
      <c r="B7989" t="s">
        <v>16811</v>
      </c>
      <c r="C7989" t="s">
        <v>2640</v>
      </c>
      <c r="D7989" s="254">
        <v>2.81</v>
      </c>
      <c r="E7989"/>
      <c r="F7989"/>
      <c r="G7989"/>
      <c r="H7989"/>
      <c r="I7989" s="489"/>
      <c r="J7989" s="1362"/>
      <c r="K7989" s="1362"/>
      <c r="L7989" s="1362"/>
    </row>
    <row r="7990" spans="1:12" x14ac:dyDescent="0.25">
      <c r="A7990" t="s">
        <v>16812</v>
      </c>
      <c r="B7990" t="s">
        <v>16813</v>
      </c>
      <c r="C7990" t="s">
        <v>2598</v>
      </c>
      <c r="D7990" s="254">
        <v>444.3</v>
      </c>
      <c r="E7990"/>
      <c r="F7990"/>
      <c r="G7990"/>
      <c r="H7990"/>
      <c r="I7990" s="489"/>
      <c r="J7990" s="1362"/>
      <c r="K7990" s="1362"/>
      <c r="L7990" s="1362"/>
    </row>
    <row r="7991" spans="1:12" x14ac:dyDescent="0.25">
      <c r="A7991" t="s">
        <v>16814</v>
      </c>
      <c r="B7991" t="s">
        <v>16815</v>
      </c>
      <c r="C7991" t="s">
        <v>2598</v>
      </c>
      <c r="D7991" s="254">
        <v>98.84</v>
      </c>
      <c r="E7991"/>
      <c r="F7991"/>
      <c r="G7991"/>
      <c r="H7991"/>
      <c r="I7991" s="489"/>
      <c r="J7991" s="1362"/>
      <c r="K7991" s="1362"/>
      <c r="L7991" s="1362"/>
    </row>
    <row r="7992" spans="1:12" x14ac:dyDescent="0.25">
      <c r="A7992" t="s">
        <v>16816</v>
      </c>
      <c r="B7992" t="s">
        <v>16817</v>
      </c>
      <c r="C7992" t="s">
        <v>2598</v>
      </c>
      <c r="D7992" s="254">
        <v>285.08</v>
      </c>
      <c r="E7992"/>
      <c r="F7992"/>
      <c r="G7992"/>
      <c r="H7992"/>
      <c r="I7992" s="489"/>
      <c r="J7992" s="1362"/>
      <c r="K7992" s="1362"/>
      <c r="L7992" s="1362"/>
    </row>
    <row r="7993" spans="1:12" x14ac:dyDescent="0.25">
      <c r="A7993" t="s">
        <v>16818</v>
      </c>
      <c r="B7993" t="s">
        <v>16819</v>
      </c>
      <c r="C7993" t="s">
        <v>2640</v>
      </c>
      <c r="D7993" s="254">
        <v>3448.18</v>
      </c>
      <c r="E7993"/>
      <c r="F7993"/>
      <c r="G7993"/>
      <c r="H7993"/>
      <c r="I7993" s="489"/>
      <c r="J7993" s="1362"/>
      <c r="K7993" s="1362"/>
      <c r="L7993" s="1362"/>
    </row>
    <row r="7994" spans="1:12" x14ac:dyDescent="0.25">
      <c r="A7994" t="s">
        <v>16820</v>
      </c>
      <c r="B7994" t="s">
        <v>16821</v>
      </c>
      <c r="C7994" t="s">
        <v>2640</v>
      </c>
      <c r="D7994" s="254">
        <v>3830.87</v>
      </c>
      <c r="E7994"/>
      <c r="F7994"/>
      <c r="G7994"/>
      <c r="H7994"/>
      <c r="I7994" s="489"/>
      <c r="J7994" s="1362"/>
      <c r="K7994" s="1362"/>
      <c r="L7994" s="1362"/>
    </row>
    <row r="7995" spans="1:12" x14ac:dyDescent="0.25">
      <c r="A7995" t="s">
        <v>16822</v>
      </c>
      <c r="B7995" t="s">
        <v>16823</v>
      </c>
      <c r="C7995" t="s">
        <v>2640</v>
      </c>
      <c r="D7995" s="254">
        <v>6305.31</v>
      </c>
      <c r="E7995"/>
      <c r="F7995"/>
      <c r="G7995"/>
      <c r="H7995"/>
      <c r="I7995" s="489"/>
      <c r="J7995" s="1362"/>
      <c r="K7995" s="1362"/>
      <c r="L7995" s="1362"/>
    </row>
    <row r="7996" spans="1:12" x14ac:dyDescent="0.25">
      <c r="A7996" t="s">
        <v>16824</v>
      </c>
      <c r="B7996" t="s">
        <v>16825</v>
      </c>
      <c r="C7996" t="s">
        <v>2640</v>
      </c>
      <c r="D7996" s="254">
        <v>7734.97</v>
      </c>
      <c r="E7996"/>
      <c r="F7996"/>
      <c r="G7996"/>
      <c r="H7996"/>
      <c r="I7996" s="489"/>
      <c r="J7996" s="1362"/>
      <c r="K7996" s="1362"/>
      <c r="L7996" s="1362"/>
    </row>
    <row r="7997" spans="1:12" x14ac:dyDescent="0.25">
      <c r="A7997" t="s">
        <v>16826</v>
      </c>
      <c r="B7997" t="s">
        <v>16827</v>
      </c>
      <c r="C7997" t="s">
        <v>2640</v>
      </c>
      <c r="D7997" s="254">
        <v>8511.84</v>
      </c>
      <c r="E7997"/>
      <c r="F7997"/>
      <c r="G7997"/>
      <c r="H7997"/>
      <c r="I7997" s="489"/>
      <c r="J7997" s="1362"/>
      <c r="K7997" s="1362"/>
      <c r="L7997" s="1362"/>
    </row>
    <row r="7998" spans="1:12" x14ac:dyDescent="0.25">
      <c r="A7998" t="s">
        <v>16828</v>
      </c>
      <c r="B7998" t="s">
        <v>16829</v>
      </c>
      <c r="C7998" t="s">
        <v>2640</v>
      </c>
      <c r="D7998" s="254">
        <v>32.950000000000003</v>
      </c>
      <c r="E7998"/>
      <c r="F7998"/>
      <c r="G7998"/>
      <c r="H7998"/>
      <c r="I7998" s="489"/>
      <c r="J7998" s="1362"/>
      <c r="K7998" s="1362"/>
      <c r="L7998" s="1362"/>
    </row>
    <row r="7999" spans="1:12" x14ac:dyDescent="0.25">
      <c r="A7999" t="s">
        <v>16830</v>
      </c>
      <c r="B7999" t="s">
        <v>16831</v>
      </c>
      <c r="C7999" t="s">
        <v>2640</v>
      </c>
      <c r="D7999" s="254">
        <v>344.86</v>
      </c>
      <c r="E7999"/>
      <c r="F7999"/>
      <c r="G7999"/>
      <c r="H7999"/>
      <c r="I7999" s="489"/>
      <c r="J7999" s="1362"/>
      <c r="K7999" s="1362"/>
      <c r="L7999" s="1362"/>
    </row>
    <row r="8000" spans="1:12" x14ac:dyDescent="0.25">
      <c r="A8000" t="s">
        <v>16832</v>
      </c>
      <c r="B8000" t="s">
        <v>16833</v>
      </c>
      <c r="C8000" t="s">
        <v>2640</v>
      </c>
      <c r="D8000" s="254">
        <v>184.04</v>
      </c>
      <c r="E8000"/>
      <c r="F8000"/>
      <c r="G8000"/>
      <c r="H8000"/>
      <c r="I8000" s="489"/>
      <c r="J8000" s="1362"/>
      <c r="K8000" s="1362"/>
      <c r="L8000" s="1362"/>
    </row>
    <row r="8001" spans="1:12" x14ac:dyDescent="0.25">
      <c r="A8001" t="s">
        <v>16834</v>
      </c>
      <c r="B8001" t="s">
        <v>16835</v>
      </c>
      <c r="C8001" t="s">
        <v>2598</v>
      </c>
      <c r="D8001" s="254">
        <v>359.19</v>
      </c>
      <c r="E8001"/>
      <c r="F8001"/>
      <c r="G8001"/>
      <c r="H8001"/>
      <c r="I8001" s="489"/>
      <c r="J8001" s="1362"/>
      <c r="K8001" s="1362"/>
      <c r="L8001" s="1362"/>
    </row>
    <row r="8002" spans="1:12" x14ac:dyDescent="0.25">
      <c r="A8002" t="s">
        <v>16836</v>
      </c>
      <c r="B8002" t="s">
        <v>16837</v>
      </c>
      <c r="C8002" t="s">
        <v>2640</v>
      </c>
      <c r="D8002" s="254">
        <v>81.040000000000006</v>
      </c>
      <c r="E8002"/>
      <c r="F8002"/>
      <c r="G8002"/>
      <c r="H8002"/>
      <c r="I8002" s="489"/>
      <c r="J8002" s="1362"/>
      <c r="K8002" s="1362"/>
      <c r="L8002" s="1362"/>
    </row>
    <row r="8003" spans="1:12" x14ac:dyDescent="0.25">
      <c r="A8003" t="s">
        <v>16838</v>
      </c>
      <c r="B8003" t="s">
        <v>12064</v>
      </c>
      <c r="C8003" t="s">
        <v>2596</v>
      </c>
      <c r="D8003" s="254" t="s">
        <v>0</v>
      </c>
      <c r="E8003"/>
      <c r="F8003"/>
      <c r="G8003"/>
      <c r="H8003"/>
      <c r="I8003" s="489"/>
      <c r="J8003" s="1362"/>
      <c r="K8003" s="1362"/>
      <c r="L8003" s="1362"/>
    </row>
    <row r="8004" spans="1:12" x14ac:dyDescent="0.25">
      <c r="A8004" t="s">
        <v>16839</v>
      </c>
      <c r="B8004" t="s">
        <v>12063</v>
      </c>
      <c r="C8004" t="s">
        <v>2596</v>
      </c>
      <c r="D8004" s="254" t="s">
        <v>0</v>
      </c>
      <c r="E8004"/>
      <c r="F8004"/>
      <c r="G8004"/>
      <c r="H8004"/>
      <c r="I8004" s="489"/>
      <c r="J8004" s="1362"/>
      <c r="K8004" s="1362"/>
      <c r="L8004" s="1362"/>
    </row>
    <row r="8005" spans="1:12" x14ac:dyDescent="0.25">
      <c r="A8005" t="s">
        <v>16840</v>
      </c>
      <c r="B8005" t="s">
        <v>8952</v>
      </c>
      <c r="C8005" t="s">
        <v>2596</v>
      </c>
      <c r="D8005" s="254" t="s">
        <v>0</v>
      </c>
      <c r="E8005"/>
      <c r="F8005"/>
      <c r="G8005"/>
      <c r="H8005"/>
      <c r="I8005" s="489"/>
      <c r="J8005" s="1362"/>
      <c r="K8005" s="1362"/>
      <c r="L8005" s="1362"/>
    </row>
    <row r="8006" spans="1:12" x14ac:dyDescent="0.25">
      <c r="A8006" t="s">
        <v>16841</v>
      </c>
      <c r="B8006" t="s">
        <v>16842</v>
      </c>
      <c r="C8006" t="s">
        <v>2596</v>
      </c>
      <c r="D8006" s="254" t="s">
        <v>0</v>
      </c>
      <c r="E8006"/>
      <c r="F8006"/>
      <c r="G8006"/>
      <c r="H8006"/>
      <c r="I8006" s="489"/>
      <c r="J8006" s="1362"/>
      <c r="K8006" s="1362"/>
      <c r="L8006" s="1362"/>
    </row>
    <row r="8007" spans="1:12" x14ac:dyDescent="0.25">
      <c r="A8007" t="s">
        <v>16843</v>
      </c>
      <c r="B8007" t="s">
        <v>16844</v>
      </c>
      <c r="C8007" t="s">
        <v>2596</v>
      </c>
      <c r="D8007" s="254" t="s">
        <v>0</v>
      </c>
      <c r="E8007"/>
      <c r="F8007"/>
      <c r="G8007"/>
      <c r="H8007"/>
      <c r="I8007" s="489"/>
      <c r="J8007" s="1362"/>
      <c r="K8007" s="1362"/>
      <c r="L8007" s="1362"/>
    </row>
    <row r="8008" spans="1:12" x14ac:dyDescent="0.25">
      <c r="A8008" t="s">
        <v>16845</v>
      </c>
      <c r="B8008" t="s">
        <v>16846</v>
      </c>
      <c r="C8008" t="s">
        <v>2596</v>
      </c>
      <c r="D8008" s="254" t="s">
        <v>0</v>
      </c>
      <c r="E8008"/>
      <c r="F8008"/>
      <c r="G8008"/>
      <c r="H8008"/>
      <c r="I8008" s="489"/>
      <c r="J8008" s="1362"/>
      <c r="K8008" s="1362"/>
      <c r="L8008" s="1362"/>
    </row>
    <row r="8009" spans="1:12" x14ac:dyDescent="0.25">
      <c r="A8009" t="s">
        <v>16847</v>
      </c>
      <c r="B8009" t="s">
        <v>16848</v>
      </c>
      <c r="C8009" t="s">
        <v>2596</v>
      </c>
      <c r="D8009" s="254" t="s">
        <v>0</v>
      </c>
      <c r="E8009"/>
      <c r="F8009"/>
      <c r="G8009"/>
      <c r="H8009"/>
      <c r="I8009" s="489"/>
      <c r="J8009" s="1362"/>
      <c r="K8009" s="1362"/>
      <c r="L8009" s="1362"/>
    </row>
    <row r="8010" spans="1:12" x14ac:dyDescent="0.25">
      <c r="A8010" t="s">
        <v>16849</v>
      </c>
      <c r="B8010" t="s">
        <v>16850</v>
      </c>
      <c r="C8010" t="s">
        <v>2596</v>
      </c>
      <c r="D8010" s="254" t="s">
        <v>0</v>
      </c>
      <c r="E8010"/>
      <c r="F8010"/>
      <c r="G8010"/>
      <c r="H8010"/>
      <c r="I8010" s="489"/>
      <c r="J8010" s="1362"/>
      <c r="K8010" s="1362"/>
      <c r="L8010" s="1362"/>
    </row>
    <row r="8011" spans="1:12" x14ac:dyDescent="0.25">
      <c r="A8011" t="s">
        <v>16851</v>
      </c>
      <c r="B8011" t="s">
        <v>16852</v>
      </c>
      <c r="C8011" t="s">
        <v>2596</v>
      </c>
      <c r="D8011" s="254" t="s">
        <v>0</v>
      </c>
      <c r="E8011"/>
      <c r="F8011"/>
      <c r="G8011"/>
      <c r="H8011"/>
      <c r="I8011" s="489"/>
      <c r="J8011" s="1362"/>
      <c r="K8011" s="1362"/>
      <c r="L8011" s="1362"/>
    </row>
    <row r="8012" spans="1:12" x14ac:dyDescent="0.25">
      <c r="A8012" t="s">
        <v>16853</v>
      </c>
      <c r="B8012" t="s">
        <v>16854</v>
      </c>
      <c r="C8012" t="s">
        <v>2695</v>
      </c>
      <c r="D8012" s="254" t="s">
        <v>0</v>
      </c>
      <c r="E8012"/>
      <c r="F8012"/>
      <c r="G8012"/>
      <c r="H8012"/>
      <c r="I8012" s="489"/>
      <c r="J8012" s="1362"/>
      <c r="K8012" s="1362"/>
      <c r="L8012" s="1362"/>
    </row>
    <row r="8013" spans="1:12" x14ac:dyDescent="0.25">
      <c r="A8013" t="s">
        <v>16855</v>
      </c>
      <c r="B8013" t="s">
        <v>16856</v>
      </c>
      <c r="C8013" t="s">
        <v>2596</v>
      </c>
      <c r="D8013" s="254" t="s">
        <v>0</v>
      </c>
      <c r="E8013"/>
      <c r="F8013"/>
      <c r="G8013"/>
      <c r="H8013"/>
      <c r="I8013" s="489"/>
      <c r="J8013" s="1362"/>
      <c r="K8013" s="1362"/>
      <c r="L8013" s="1362"/>
    </row>
    <row r="8014" spans="1:12" x14ac:dyDescent="0.25">
      <c r="A8014" t="s">
        <v>16857</v>
      </c>
      <c r="B8014" t="s">
        <v>12808</v>
      </c>
      <c r="C8014" t="s">
        <v>2596</v>
      </c>
      <c r="D8014" s="254" t="s">
        <v>0</v>
      </c>
      <c r="E8014"/>
      <c r="F8014"/>
      <c r="G8014"/>
      <c r="H8014"/>
      <c r="I8014" s="489"/>
      <c r="J8014" s="1362"/>
      <c r="K8014" s="1362"/>
      <c r="L8014" s="1362"/>
    </row>
    <row r="8015" spans="1:12" x14ac:dyDescent="0.25">
      <c r="A8015" t="s">
        <v>16858</v>
      </c>
      <c r="B8015" t="s">
        <v>95</v>
      </c>
      <c r="C8015" t="s">
        <v>2596</v>
      </c>
      <c r="D8015" s="254" t="s">
        <v>0</v>
      </c>
      <c r="E8015"/>
      <c r="F8015"/>
      <c r="G8015"/>
      <c r="H8015"/>
      <c r="I8015" s="489"/>
      <c r="J8015" s="1362"/>
      <c r="K8015" s="1362"/>
      <c r="L8015" s="1362"/>
    </row>
    <row r="8016" spans="1:12" x14ac:dyDescent="0.25">
      <c r="A8016" t="s">
        <v>16859</v>
      </c>
      <c r="B8016" t="s">
        <v>16860</v>
      </c>
      <c r="C8016" t="s">
        <v>2695</v>
      </c>
      <c r="D8016" s="254" t="s">
        <v>0</v>
      </c>
      <c r="E8016"/>
      <c r="F8016"/>
      <c r="G8016"/>
      <c r="H8016"/>
      <c r="I8016" s="489"/>
      <c r="J8016" s="1362"/>
      <c r="K8016" s="1362"/>
      <c r="L8016" s="1362"/>
    </row>
    <row r="8017" spans="1:12" x14ac:dyDescent="0.25">
      <c r="A8017" t="s">
        <v>16861</v>
      </c>
      <c r="B8017" t="s">
        <v>16862</v>
      </c>
      <c r="C8017" t="s">
        <v>2640</v>
      </c>
      <c r="D8017" s="254" t="s">
        <v>0</v>
      </c>
      <c r="E8017"/>
      <c r="F8017"/>
      <c r="G8017"/>
      <c r="H8017"/>
      <c r="I8017" s="489"/>
      <c r="J8017" s="1362"/>
      <c r="K8017" s="1362"/>
      <c r="L8017" s="1362"/>
    </row>
    <row r="8018" spans="1:12" x14ac:dyDescent="0.25">
      <c r="A8018" t="s">
        <v>16863</v>
      </c>
      <c r="B8018" t="s">
        <v>16864</v>
      </c>
      <c r="C8018" t="s">
        <v>13878</v>
      </c>
      <c r="D8018" s="254">
        <v>53.25</v>
      </c>
      <c r="E8018"/>
      <c r="F8018"/>
      <c r="G8018"/>
      <c r="H8018"/>
      <c r="I8018" s="489"/>
      <c r="J8018" s="1362"/>
      <c r="K8018" s="1362"/>
      <c r="L8018" s="1362"/>
    </row>
    <row r="8019" spans="1:12" x14ac:dyDescent="0.25">
      <c r="A8019" t="s">
        <v>16865</v>
      </c>
      <c r="B8019" t="s">
        <v>16866</v>
      </c>
      <c r="C8019" t="s">
        <v>13878</v>
      </c>
      <c r="D8019" s="254">
        <v>89.94</v>
      </c>
      <c r="E8019"/>
      <c r="F8019"/>
      <c r="G8019"/>
      <c r="H8019"/>
      <c r="I8019" s="489"/>
      <c r="J8019" s="1362"/>
      <c r="K8019" s="1362"/>
      <c r="L8019" s="1362"/>
    </row>
    <row r="8020" spans="1:12" x14ac:dyDescent="0.25">
      <c r="A8020" t="s">
        <v>16867</v>
      </c>
      <c r="B8020" t="s">
        <v>16868</v>
      </c>
      <c r="C8020" t="s">
        <v>13878</v>
      </c>
      <c r="D8020" s="254">
        <v>82.17</v>
      </c>
      <c r="E8020"/>
      <c r="F8020"/>
      <c r="G8020"/>
      <c r="H8020"/>
      <c r="I8020" s="489"/>
      <c r="J8020" s="1362"/>
      <c r="K8020" s="1362"/>
      <c r="L8020" s="1362"/>
    </row>
    <row r="8021" spans="1:12" x14ac:dyDescent="0.25">
      <c r="A8021" t="s">
        <v>16869</v>
      </c>
      <c r="B8021" t="s">
        <v>16870</v>
      </c>
      <c r="C8021" t="s">
        <v>2640</v>
      </c>
      <c r="D8021" s="254">
        <v>107417.49</v>
      </c>
      <c r="E8021"/>
      <c r="F8021"/>
      <c r="G8021"/>
      <c r="H8021"/>
      <c r="I8021" s="489"/>
      <c r="J8021" s="1362"/>
      <c r="K8021" s="1362"/>
      <c r="L8021" s="1362"/>
    </row>
    <row r="8022" spans="1:12" x14ac:dyDescent="0.25">
      <c r="A8022" t="s">
        <v>16871</v>
      </c>
      <c r="B8022" t="s">
        <v>16872</v>
      </c>
      <c r="C8022" t="s">
        <v>2640</v>
      </c>
      <c r="D8022" s="254">
        <v>145651.1</v>
      </c>
      <c r="E8022"/>
      <c r="F8022"/>
      <c r="G8022"/>
      <c r="H8022"/>
      <c r="I8022" s="489"/>
      <c r="J8022" s="1362"/>
      <c r="K8022" s="1362"/>
      <c r="L8022" s="1362"/>
    </row>
    <row r="8023" spans="1:12" x14ac:dyDescent="0.25">
      <c r="A8023" t="s">
        <v>16873</v>
      </c>
      <c r="B8023" t="s">
        <v>16874</v>
      </c>
      <c r="C8023" t="s">
        <v>2640</v>
      </c>
      <c r="D8023" s="254">
        <v>63.55</v>
      </c>
      <c r="E8023"/>
      <c r="F8023"/>
      <c r="G8023"/>
      <c r="H8023"/>
      <c r="I8023" s="489"/>
      <c r="J8023" s="1362"/>
      <c r="K8023" s="1362"/>
      <c r="L8023" s="1362"/>
    </row>
    <row r="8024" spans="1:12" x14ac:dyDescent="0.25">
      <c r="A8024" t="s">
        <v>16875</v>
      </c>
      <c r="B8024" t="s">
        <v>16876</v>
      </c>
      <c r="C8024" t="s">
        <v>2640</v>
      </c>
      <c r="D8024" s="254">
        <v>12.48</v>
      </c>
      <c r="E8024"/>
      <c r="F8024"/>
      <c r="G8024"/>
      <c r="H8024"/>
      <c r="I8024" s="489"/>
      <c r="J8024" s="1362"/>
      <c r="K8024" s="1362"/>
      <c r="L8024" s="1362"/>
    </row>
    <row r="8025" spans="1:12" x14ac:dyDescent="0.25">
      <c r="A8025" t="s">
        <v>16877</v>
      </c>
      <c r="B8025" t="s">
        <v>16878</v>
      </c>
      <c r="C8025" t="s">
        <v>2640</v>
      </c>
      <c r="D8025" s="254">
        <v>188629.84</v>
      </c>
      <c r="E8025"/>
      <c r="F8025"/>
      <c r="G8025"/>
      <c r="H8025"/>
      <c r="I8025" s="489"/>
      <c r="J8025" s="1362"/>
      <c r="K8025" s="1362"/>
      <c r="L8025" s="1362"/>
    </row>
    <row r="8026" spans="1:12" x14ac:dyDescent="0.25">
      <c r="A8026" t="s">
        <v>16879</v>
      </c>
      <c r="B8026" t="s">
        <v>16880</v>
      </c>
      <c r="C8026" t="s">
        <v>2640</v>
      </c>
      <c r="D8026" s="254">
        <v>1651.59</v>
      </c>
      <c r="E8026"/>
      <c r="F8026"/>
      <c r="G8026"/>
      <c r="H8026"/>
      <c r="I8026" s="489"/>
      <c r="J8026" s="1362"/>
      <c r="K8026" s="1362"/>
      <c r="L8026" s="1362"/>
    </row>
    <row r="8027" spans="1:12" x14ac:dyDescent="0.25">
      <c r="A8027" t="s">
        <v>16881</v>
      </c>
      <c r="B8027" t="s">
        <v>16882</v>
      </c>
      <c r="C8027" t="s">
        <v>2598</v>
      </c>
      <c r="D8027" s="254">
        <v>290.2</v>
      </c>
      <c r="E8027"/>
      <c r="F8027"/>
      <c r="G8027"/>
      <c r="H8027"/>
      <c r="I8027" s="489"/>
      <c r="J8027" s="1362"/>
      <c r="K8027" s="1362"/>
      <c r="L8027" s="1362"/>
    </row>
    <row r="8028" spans="1:12" x14ac:dyDescent="0.25">
      <c r="A8028" t="s">
        <v>16883</v>
      </c>
      <c r="B8028" t="s">
        <v>16884</v>
      </c>
      <c r="C8028" t="s">
        <v>2640</v>
      </c>
      <c r="D8028" s="254">
        <v>4728.46</v>
      </c>
      <c r="E8028"/>
      <c r="F8028"/>
      <c r="G8028"/>
      <c r="H8028"/>
      <c r="I8028" s="489"/>
      <c r="J8028" s="1362"/>
      <c r="K8028" s="1362"/>
      <c r="L8028" s="1362"/>
    </row>
    <row r="8029" spans="1:12" x14ac:dyDescent="0.25">
      <c r="A8029" t="s">
        <v>16885</v>
      </c>
      <c r="B8029" t="s">
        <v>16886</v>
      </c>
      <c r="C8029" t="s">
        <v>2640</v>
      </c>
      <c r="D8029" s="254">
        <v>2028</v>
      </c>
      <c r="E8029"/>
      <c r="F8029"/>
      <c r="G8029"/>
      <c r="H8029"/>
      <c r="I8029" s="489"/>
      <c r="J8029" s="1362"/>
      <c r="K8029" s="1362"/>
      <c r="L8029" s="1362"/>
    </row>
    <row r="8030" spans="1:12" x14ac:dyDescent="0.25">
      <c r="A8030" t="s">
        <v>16887</v>
      </c>
      <c r="B8030" t="s">
        <v>16888</v>
      </c>
      <c r="C8030" t="s">
        <v>2716</v>
      </c>
      <c r="D8030" s="254">
        <v>41.12</v>
      </c>
      <c r="E8030"/>
      <c r="F8030"/>
      <c r="G8030"/>
      <c r="H8030"/>
      <c r="I8030" s="489"/>
      <c r="J8030" s="1362"/>
      <c r="K8030" s="1362"/>
      <c r="L8030" s="1362"/>
    </row>
    <row r="8031" spans="1:12" x14ac:dyDescent="0.25">
      <c r="A8031" t="s">
        <v>16889</v>
      </c>
      <c r="B8031" t="s">
        <v>16890</v>
      </c>
      <c r="C8031" t="s">
        <v>2695</v>
      </c>
      <c r="D8031" s="254" t="s">
        <v>0</v>
      </c>
      <c r="E8031"/>
      <c r="F8031"/>
      <c r="G8031"/>
      <c r="H8031"/>
      <c r="I8031" s="489"/>
      <c r="J8031" s="1362"/>
      <c r="K8031" s="1362"/>
      <c r="L8031" s="1362"/>
    </row>
    <row r="8032" spans="1:12" x14ac:dyDescent="0.25">
      <c r="A8032" t="s">
        <v>16891</v>
      </c>
      <c r="B8032" t="s">
        <v>16892</v>
      </c>
      <c r="C8032" t="s">
        <v>2596</v>
      </c>
      <c r="D8032" s="254" t="s">
        <v>0</v>
      </c>
      <c r="E8032"/>
      <c r="F8032"/>
      <c r="G8032"/>
      <c r="H8032"/>
      <c r="I8032" s="489"/>
      <c r="J8032" s="1362"/>
      <c r="K8032" s="1362"/>
      <c r="L8032" s="1362"/>
    </row>
    <row r="8033" spans="1:12" x14ac:dyDescent="0.25">
      <c r="A8033" t="s">
        <v>16893</v>
      </c>
      <c r="B8033" t="s">
        <v>16894</v>
      </c>
      <c r="C8033" t="s">
        <v>2695</v>
      </c>
      <c r="D8033" s="254" t="s">
        <v>0</v>
      </c>
      <c r="E8033"/>
      <c r="F8033"/>
      <c r="G8033"/>
      <c r="H8033"/>
      <c r="I8033" s="489"/>
      <c r="J8033" s="1362"/>
      <c r="K8033" s="1362"/>
      <c r="L8033" s="1362"/>
    </row>
    <row r="8034" spans="1:12" x14ac:dyDescent="0.25">
      <c r="A8034" t="s">
        <v>16895</v>
      </c>
      <c r="B8034" t="s">
        <v>16896</v>
      </c>
      <c r="C8034" t="s">
        <v>2640</v>
      </c>
      <c r="D8034" s="254" t="s">
        <v>0</v>
      </c>
      <c r="E8034"/>
      <c r="F8034"/>
      <c r="G8034"/>
      <c r="H8034"/>
      <c r="I8034" s="489"/>
      <c r="J8034" s="1362"/>
      <c r="K8034" s="1362"/>
      <c r="L8034" s="1362"/>
    </row>
    <row r="8035" spans="1:12" x14ac:dyDescent="0.25">
      <c r="A8035" t="s">
        <v>16897</v>
      </c>
      <c r="B8035" t="s">
        <v>16898</v>
      </c>
      <c r="C8035" t="s">
        <v>2640</v>
      </c>
      <c r="D8035" s="254" t="s">
        <v>0</v>
      </c>
      <c r="E8035"/>
      <c r="F8035"/>
      <c r="G8035"/>
      <c r="H8035"/>
      <c r="I8035" s="489"/>
      <c r="J8035" s="1362"/>
      <c r="K8035" s="1362"/>
      <c r="L8035" s="1362"/>
    </row>
    <row r="8036" spans="1:12" x14ac:dyDescent="0.25">
      <c r="A8036" t="s">
        <v>16899</v>
      </c>
      <c r="B8036" t="s">
        <v>16900</v>
      </c>
      <c r="C8036" t="s">
        <v>2640</v>
      </c>
      <c r="D8036" s="254" t="s">
        <v>0</v>
      </c>
      <c r="E8036"/>
      <c r="F8036"/>
      <c r="G8036"/>
      <c r="H8036"/>
      <c r="I8036" s="489"/>
      <c r="J8036" s="1362"/>
      <c r="K8036" s="1362"/>
      <c r="L8036" s="1362"/>
    </row>
    <row r="8037" spans="1:12" x14ac:dyDescent="0.25">
      <c r="A8037" t="s">
        <v>16901</v>
      </c>
      <c r="B8037" t="s">
        <v>16902</v>
      </c>
      <c r="C8037" t="s">
        <v>2598</v>
      </c>
      <c r="D8037" s="254">
        <v>151.38999999999999</v>
      </c>
      <c r="E8037"/>
      <c r="F8037"/>
      <c r="G8037"/>
      <c r="H8037"/>
      <c r="I8037" s="489"/>
      <c r="J8037" s="1362"/>
      <c r="K8037" s="1362"/>
      <c r="L8037" s="1362"/>
    </row>
    <row r="8038" spans="1:12" x14ac:dyDescent="0.25">
      <c r="A8038" t="s">
        <v>16903</v>
      </c>
      <c r="B8038" t="s">
        <v>16904</v>
      </c>
      <c r="C8038" t="s">
        <v>2598</v>
      </c>
      <c r="D8038" s="254">
        <v>148.79</v>
      </c>
      <c r="E8038"/>
      <c r="F8038"/>
      <c r="G8038"/>
      <c r="H8038"/>
      <c r="I8038" s="489"/>
      <c r="J8038" s="1362"/>
      <c r="K8038" s="1362"/>
      <c r="L8038" s="1362"/>
    </row>
    <row r="8039" spans="1:12" x14ac:dyDescent="0.25">
      <c r="A8039" t="s">
        <v>16905</v>
      </c>
      <c r="B8039" t="s">
        <v>16906</v>
      </c>
      <c r="C8039" t="s">
        <v>2596</v>
      </c>
      <c r="D8039" s="254" t="s">
        <v>0</v>
      </c>
      <c r="E8039"/>
      <c r="F8039"/>
      <c r="G8039"/>
      <c r="H8039"/>
      <c r="I8039" s="489"/>
      <c r="J8039" s="1362"/>
      <c r="K8039" s="1362"/>
      <c r="L8039" s="1362"/>
    </row>
    <row r="8040" spans="1:12" x14ac:dyDescent="0.25">
      <c r="A8040" t="s">
        <v>16907</v>
      </c>
      <c r="B8040" t="s">
        <v>16908</v>
      </c>
      <c r="C8040" t="s">
        <v>2596</v>
      </c>
      <c r="D8040" s="254" t="s">
        <v>0</v>
      </c>
      <c r="E8040"/>
      <c r="F8040"/>
      <c r="G8040"/>
      <c r="H8040"/>
      <c r="I8040" s="489"/>
      <c r="J8040" s="1362"/>
      <c r="K8040" s="1362"/>
      <c r="L8040" s="1362"/>
    </row>
    <row r="8041" spans="1:12" x14ac:dyDescent="0.25">
      <c r="A8041" t="s">
        <v>16909</v>
      </c>
      <c r="B8041" t="s">
        <v>16910</v>
      </c>
      <c r="C8041" t="s">
        <v>2598</v>
      </c>
      <c r="D8041" s="254">
        <v>312.52</v>
      </c>
      <c r="E8041"/>
      <c r="F8041"/>
      <c r="G8041"/>
      <c r="H8041"/>
      <c r="I8041" s="489"/>
      <c r="J8041" s="1362"/>
      <c r="K8041" s="1362"/>
      <c r="L8041" s="1362"/>
    </row>
    <row r="8042" spans="1:12" x14ac:dyDescent="0.25">
      <c r="A8042" t="s">
        <v>16911</v>
      </c>
      <c r="B8042" t="s">
        <v>16912</v>
      </c>
      <c r="C8042" t="s">
        <v>2598</v>
      </c>
      <c r="D8042" s="254">
        <v>529.80999999999995</v>
      </c>
      <c r="E8042"/>
      <c r="F8042"/>
      <c r="G8042"/>
      <c r="H8042"/>
      <c r="I8042" s="489"/>
      <c r="J8042" s="1362"/>
      <c r="K8042" s="1362"/>
      <c r="L8042" s="1362"/>
    </row>
    <row r="8043" spans="1:12" x14ac:dyDescent="0.25">
      <c r="A8043" t="s">
        <v>16913</v>
      </c>
      <c r="B8043" t="s">
        <v>16914</v>
      </c>
      <c r="C8043" t="s">
        <v>2598</v>
      </c>
      <c r="D8043" s="254">
        <v>584.58000000000004</v>
      </c>
      <c r="E8043"/>
      <c r="F8043"/>
      <c r="G8043"/>
      <c r="H8043"/>
      <c r="I8043" s="489"/>
      <c r="J8043" s="1362"/>
      <c r="K8043" s="1362"/>
      <c r="L8043" s="1362"/>
    </row>
    <row r="8044" spans="1:12" x14ac:dyDescent="0.25">
      <c r="A8044" t="s">
        <v>16915</v>
      </c>
      <c r="B8044" t="s">
        <v>16916</v>
      </c>
      <c r="C8044" t="s">
        <v>2598</v>
      </c>
      <c r="D8044" s="254">
        <v>589.89</v>
      </c>
      <c r="E8044"/>
      <c r="F8044"/>
      <c r="G8044"/>
      <c r="H8044"/>
      <c r="I8044" s="489"/>
      <c r="J8044" s="1362"/>
      <c r="K8044" s="1362"/>
      <c r="L8044" s="1362"/>
    </row>
    <row r="8045" spans="1:12" x14ac:dyDescent="0.25">
      <c r="A8045" t="s">
        <v>16917</v>
      </c>
      <c r="B8045" t="s">
        <v>16918</v>
      </c>
      <c r="C8045" t="s">
        <v>2598</v>
      </c>
      <c r="D8045" s="254">
        <v>657.17</v>
      </c>
      <c r="E8045"/>
      <c r="F8045"/>
      <c r="G8045"/>
      <c r="H8045"/>
      <c r="I8045" s="489"/>
      <c r="J8045" s="1362"/>
      <c r="K8045" s="1362"/>
      <c r="L8045" s="1362"/>
    </row>
    <row r="8046" spans="1:12" x14ac:dyDescent="0.25">
      <c r="A8046" t="s">
        <v>16919</v>
      </c>
      <c r="B8046" t="s">
        <v>16920</v>
      </c>
      <c r="C8046" t="s">
        <v>2598</v>
      </c>
      <c r="D8046" s="254">
        <v>856.09</v>
      </c>
      <c r="E8046"/>
      <c r="F8046"/>
      <c r="G8046"/>
      <c r="H8046"/>
      <c r="I8046" s="489"/>
      <c r="J8046" s="1362"/>
      <c r="K8046" s="1362"/>
      <c r="L8046" s="1362"/>
    </row>
    <row r="8047" spans="1:12" x14ac:dyDescent="0.25">
      <c r="A8047" t="s">
        <v>16921</v>
      </c>
      <c r="B8047" t="s">
        <v>16922</v>
      </c>
      <c r="C8047" t="s">
        <v>2598</v>
      </c>
      <c r="D8047" s="254">
        <v>732.64</v>
      </c>
      <c r="E8047"/>
      <c r="F8047"/>
      <c r="G8047"/>
      <c r="H8047"/>
      <c r="I8047" s="489"/>
      <c r="J8047" s="1362"/>
      <c r="K8047" s="1362"/>
      <c r="L8047" s="1362"/>
    </row>
    <row r="8048" spans="1:12" x14ac:dyDescent="0.25">
      <c r="A8048" t="s">
        <v>16923</v>
      </c>
      <c r="B8048" t="s">
        <v>16924</v>
      </c>
      <c r="C8048" t="s">
        <v>2598</v>
      </c>
      <c r="D8048" s="254">
        <v>956.81</v>
      </c>
      <c r="E8048"/>
      <c r="F8048"/>
      <c r="G8048"/>
      <c r="H8048"/>
      <c r="I8048" s="489"/>
      <c r="J8048" s="1362"/>
      <c r="K8048" s="1362"/>
      <c r="L8048" s="1362"/>
    </row>
    <row r="8049" spans="1:12" x14ac:dyDescent="0.25">
      <c r="A8049" t="s">
        <v>16925</v>
      </c>
      <c r="B8049" t="s">
        <v>16926</v>
      </c>
      <c r="C8049" t="s">
        <v>2598</v>
      </c>
      <c r="D8049" s="254">
        <v>3902.59</v>
      </c>
      <c r="E8049"/>
      <c r="F8049"/>
      <c r="G8049"/>
      <c r="H8049"/>
      <c r="I8049" s="489"/>
      <c r="J8049" s="1362"/>
      <c r="K8049" s="1362"/>
      <c r="L8049" s="1362"/>
    </row>
    <row r="8050" spans="1:12" x14ac:dyDescent="0.25">
      <c r="A8050" t="s">
        <v>16927</v>
      </c>
      <c r="B8050" t="s">
        <v>16928</v>
      </c>
      <c r="C8050" t="s">
        <v>2598</v>
      </c>
      <c r="D8050" s="254">
        <v>252.82</v>
      </c>
      <c r="E8050"/>
      <c r="F8050"/>
      <c r="G8050"/>
      <c r="H8050"/>
      <c r="I8050" s="489"/>
      <c r="J8050" s="1362"/>
      <c r="K8050" s="1362"/>
      <c r="L8050" s="1362"/>
    </row>
    <row r="8051" spans="1:12" x14ac:dyDescent="0.25">
      <c r="A8051" t="s">
        <v>16929</v>
      </c>
      <c r="B8051" t="s">
        <v>16930</v>
      </c>
      <c r="C8051" t="s">
        <v>2598</v>
      </c>
      <c r="D8051" s="254">
        <v>268.26</v>
      </c>
      <c r="E8051"/>
      <c r="F8051"/>
      <c r="G8051"/>
      <c r="H8051"/>
      <c r="I8051" s="489"/>
      <c r="J8051" s="1362"/>
      <c r="K8051" s="1362"/>
      <c r="L8051" s="1362"/>
    </row>
    <row r="8052" spans="1:12" x14ac:dyDescent="0.25">
      <c r="A8052" t="s">
        <v>16931</v>
      </c>
      <c r="B8052" t="s">
        <v>16932</v>
      </c>
      <c r="C8052" t="s">
        <v>2598</v>
      </c>
      <c r="D8052" s="254">
        <v>238.06</v>
      </c>
      <c r="E8052"/>
      <c r="F8052"/>
      <c r="G8052"/>
      <c r="H8052"/>
      <c r="I8052" s="489"/>
      <c r="J8052" s="1362"/>
      <c r="K8052" s="1362"/>
      <c r="L8052" s="1362"/>
    </row>
    <row r="8053" spans="1:12" x14ac:dyDescent="0.25">
      <c r="A8053" t="s">
        <v>16933</v>
      </c>
      <c r="B8053" t="s">
        <v>16934</v>
      </c>
      <c r="C8053" t="s">
        <v>2598</v>
      </c>
      <c r="D8053" s="254">
        <v>397.63</v>
      </c>
      <c r="E8053"/>
      <c r="F8053"/>
      <c r="G8053"/>
      <c r="H8053"/>
      <c r="I8053" s="489"/>
      <c r="J8053" s="1362"/>
      <c r="K8053" s="1362"/>
      <c r="L8053" s="1362"/>
    </row>
    <row r="8054" spans="1:12" x14ac:dyDescent="0.25">
      <c r="A8054" t="s">
        <v>16935</v>
      </c>
      <c r="B8054" t="s">
        <v>16936</v>
      </c>
      <c r="C8054" t="s">
        <v>2598</v>
      </c>
      <c r="D8054" s="254">
        <v>898.17</v>
      </c>
      <c r="E8054"/>
      <c r="F8054"/>
      <c r="G8054"/>
      <c r="H8054"/>
      <c r="I8054" s="489"/>
      <c r="J8054" s="1362"/>
      <c r="K8054" s="1362"/>
      <c r="L8054" s="1362"/>
    </row>
    <row r="8055" spans="1:12" x14ac:dyDescent="0.25">
      <c r="A8055" t="s">
        <v>16937</v>
      </c>
      <c r="B8055" t="s">
        <v>16938</v>
      </c>
      <c r="C8055" t="s">
        <v>2598</v>
      </c>
      <c r="D8055" s="254">
        <v>1803.14</v>
      </c>
      <c r="E8055"/>
      <c r="F8055"/>
      <c r="G8055"/>
      <c r="H8055"/>
      <c r="I8055" s="489"/>
      <c r="J8055" s="1362"/>
      <c r="K8055" s="1362"/>
      <c r="L8055" s="1362"/>
    </row>
    <row r="8056" spans="1:12" x14ac:dyDescent="0.25">
      <c r="A8056" t="s">
        <v>16939</v>
      </c>
      <c r="B8056" t="s">
        <v>16940</v>
      </c>
      <c r="C8056" t="s">
        <v>2598</v>
      </c>
      <c r="D8056" s="254">
        <v>509.23</v>
      </c>
      <c r="E8056"/>
      <c r="F8056"/>
      <c r="G8056"/>
      <c r="H8056"/>
      <c r="I8056" s="489"/>
      <c r="J8056" s="1362"/>
      <c r="K8056" s="1362"/>
      <c r="L8056" s="1362"/>
    </row>
    <row r="8057" spans="1:12" x14ac:dyDescent="0.25">
      <c r="A8057" t="s">
        <v>16941</v>
      </c>
      <c r="B8057" t="s">
        <v>16942</v>
      </c>
      <c r="C8057" t="s">
        <v>2598</v>
      </c>
      <c r="D8057" s="254">
        <v>620.77</v>
      </c>
      <c r="E8057"/>
      <c r="F8057"/>
      <c r="G8057"/>
      <c r="H8057"/>
      <c r="I8057" s="489"/>
      <c r="J8057" s="1362"/>
      <c r="K8057" s="1362"/>
      <c r="L8057" s="1362"/>
    </row>
    <row r="8058" spans="1:12" x14ac:dyDescent="0.25">
      <c r="A8058" t="s">
        <v>16943</v>
      </c>
      <c r="B8058" t="s">
        <v>16944</v>
      </c>
      <c r="C8058" t="s">
        <v>2598</v>
      </c>
      <c r="D8058" s="254">
        <v>795.81</v>
      </c>
      <c r="E8058"/>
      <c r="F8058"/>
      <c r="G8058"/>
      <c r="H8058"/>
      <c r="I8058" s="489"/>
      <c r="J8058" s="1362"/>
      <c r="K8058" s="1362"/>
      <c r="L8058" s="1362"/>
    </row>
    <row r="8059" spans="1:12" x14ac:dyDescent="0.25">
      <c r="A8059" t="s">
        <v>16945</v>
      </c>
      <c r="B8059" t="s">
        <v>16946</v>
      </c>
      <c r="C8059" t="s">
        <v>2598</v>
      </c>
      <c r="D8059" s="254">
        <v>691.42</v>
      </c>
      <c r="E8059"/>
      <c r="F8059"/>
      <c r="G8059"/>
      <c r="H8059"/>
      <c r="I8059" s="489"/>
      <c r="J8059" s="1362"/>
      <c r="K8059" s="1362"/>
      <c r="L8059" s="1362"/>
    </row>
    <row r="8060" spans="1:12" x14ac:dyDescent="0.25">
      <c r="A8060" t="s">
        <v>16947</v>
      </c>
      <c r="B8060" t="s">
        <v>16948</v>
      </c>
      <c r="C8060" t="s">
        <v>2598</v>
      </c>
      <c r="D8060" s="254">
        <v>1130.5</v>
      </c>
      <c r="E8060"/>
      <c r="F8060"/>
      <c r="G8060"/>
      <c r="H8060"/>
      <c r="I8060" s="489"/>
      <c r="J8060" s="1362"/>
      <c r="K8060" s="1362"/>
      <c r="L8060" s="1362"/>
    </row>
    <row r="8061" spans="1:12" x14ac:dyDescent="0.25">
      <c r="A8061" t="s">
        <v>16949</v>
      </c>
      <c r="B8061" t="s">
        <v>16950</v>
      </c>
      <c r="C8061" t="s">
        <v>2598</v>
      </c>
      <c r="D8061" s="254">
        <v>1410.41</v>
      </c>
      <c r="E8061"/>
      <c r="F8061"/>
      <c r="G8061"/>
      <c r="H8061"/>
      <c r="I8061" s="489"/>
      <c r="J8061" s="1362"/>
      <c r="K8061" s="1362"/>
      <c r="L8061" s="1362"/>
    </row>
    <row r="8062" spans="1:12" x14ac:dyDescent="0.25">
      <c r="A8062" t="s">
        <v>16951</v>
      </c>
      <c r="B8062" t="s">
        <v>16952</v>
      </c>
      <c r="C8062" t="s">
        <v>2598</v>
      </c>
      <c r="D8062" s="254">
        <v>1848.7</v>
      </c>
      <c r="E8062"/>
      <c r="F8062"/>
      <c r="G8062"/>
      <c r="H8062"/>
      <c r="I8062" s="489"/>
      <c r="J8062" s="1362"/>
      <c r="K8062" s="1362"/>
      <c r="L8062" s="1362"/>
    </row>
    <row r="8063" spans="1:12" x14ac:dyDescent="0.25">
      <c r="A8063" t="s">
        <v>16953</v>
      </c>
      <c r="B8063" t="s">
        <v>16954</v>
      </c>
      <c r="C8063" t="s">
        <v>2595</v>
      </c>
      <c r="D8063" s="254">
        <v>1908.73</v>
      </c>
      <c r="E8063"/>
      <c r="F8063"/>
      <c r="G8063"/>
      <c r="H8063"/>
      <c r="I8063" s="489"/>
      <c r="J8063" s="1362"/>
      <c r="K8063" s="1362"/>
      <c r="L8063" s="1362"/>
    </row>
    <row r="8064" spans="1:12" x14ac:dyDescent="0.25">
      <c r="A8064" t="s">
        <v>16955</v>
      </c>
      <c r="B8064" t="s">
        <v>16956</v>
      </c>
      <c r="C8064" t="s">
        <v>2695</v>
      </c>
      <c r="D8064" s="254" t="s">
        <v>0</v>
      </c>
      <c r="E8064"/>
      <c r="F8064"/>
      <c r="G8064"/>
      <c r="H8064"/>
      <c r="I8064" s="489"/>
      <c r="J8064" s="1362"/>
      <c r="K8064" s="1362"/>
      <c r="L8064" s="1362"/>
    </row>
    <row r="8065" spans="1:12" x14ac:dyDescent="0.25">
      <c r="A8065" t="s">
        <v>16957</v>
      </c>
      <c r="B8065" t="s">
        <v>16958</v>
      </c>
      <c r="C8065" t="s">
        <v>2695</v>
      </c>
      <c r="D8065" s="254" t="s">
        <v>0</v>
      </c>
      <c r="E8065"/>
      <c r="F8065"/>
      <c r="G8065"/>
      <c r="H8065"/>
      <c r="I8065" s="489"/>
      <c r="J8065" s="1362"/>
      <c r="K8065" s="1362"/>
      <c r="L8065" s="1362"/>
    </row>
    <row r="8066" spans="1:12" x14ac:dyDescent="0.25">
      <c r="A8066" t="s">
        <v>16959</v>
      </c>
      <c r="B8066" t="s">
        <v>16960</v>
      </c>
      <c r="C8066" t="s">
        <v>2695</v>
      </c>
      <c r="D8066" s="254" t="s">
        <v>0</v>
      </c>
      <c r="E8066"/>
      <c r="F8066"/>
      <c r="G8066"/>
      <c r="H8066"/>
      <c r="I8066" s="489"/>
      <c r="J8066" s="1362"/>
      <c r="K8066" s="1362"/>
      <c r="L8066" s="1362"/>
    </row>
    <row r="8067" spans="1:12" x14ac:dyDescent="0.25">
      <c r="A8067" t="s">
        <v>16961</v>
      </c>
      <c r="B8067" t="s">
        <v>16962</v>
      </c>
      <c r="C8067" t="s">
        <v>2695</v>
      </c>
      <c r="D8067" s="254" t="s">
        <v>0</v>
      </c>
      <c r="E8067"/>
      <c r="F8067"/>
      <c r="G8067"/>
      <c r="H8067"/>
      <c r="I8067" s="489"/>
      <c r="J8067" s="1362"/>
      <c r="K8067" s="1362"/>
      <c r="L8067" s="1362"/>
    </row>
    <row r="8068" spans="1:12" x14ac:dyDescent="0.25">
      <c r="A8068" t="s">
        <v>16963</v>
      </c>
      <c r="B8068" t="s">
        <v>16964</v>
      </c>
      <c r="C8068" t="s">
        <v>2695</v>
      </c>
      <c r="D8068" s="254" t="s">
        <v>0</v>
      </c>
      <c r="E8068"/>
      <c r="F8068"/>
      <c r="G8068"/>
      <c r="H8068"/>
      <c r="I8068" s="489"/>
      <c r="J8068" s="1362"/>
      <c r="K8068" s="1362"/>
      <c r="L8068" s="1362"/>
    </row>
    <row r="8069" spans="1:12" x14ac:dyDescent="0.25">
      <c r="A8069" t="s">
        <v>16965</v>
      </c>
      <c r="B8069" t="s">
        <v>16966</v>
      </c>
      <c r="C8069" t="s">
        <v>2695</v>
      </c>
      <c r="D8069" s="254" t="s">
        <v>0</v>
      </c>
      <c r="E8069"/>
      <c r="F8069"/>
      <c r="G8069"/>
      <c r="H8069"/>
      <c r="I8069" s="489"/>
      <c r="J8069" s="1362"/>
      <c r="K8069" s="1362"/>
      <c r="L8069" s="1362"/>
    </row>
    <row r="8070" spans="1:12" x14ac:dyDescent="0.25">
      <c r="A8070" t="s">
        <v>16967</v>
      </c>
      <c r="B8070" t="s">
        <v>16968</v>
      </c>
      <c r="C8070" t="s">
        <v>2640</v>
      </c>
      <c r="D8070" s="254" t="s">
        <v>0</v>
      </c>
      <c r="E8070"/>
      <c r="F8070"/>
      <c r="G8070"/>
      <c r="H8070"/>
      <c r="I8070" s="489"/>
      <c r="J8070" s="1362"/>
      <c r="K8070" s="1362"/>
      <c r="L8070" s="1362"/>
    </row>
    <row r="8071" spans="1:12" x14ac:dyDescent="0.25">
      <c r="A8071" t="s">
        <v>16969</v>
      </c>
      <c r="B8071" t="s">
        <v>16970</v>
      </c>
      <c r="C8071" t="s">
        <v>2640</v>
      </c>
      <c r="D8071" s="254" t="s">
        <v>0</v>
      </c>
      <c r="E8071"/>
      <c r="F8071"/>
      <c r="G8071"/>
      <c r="H8071"/>
      <c r="I8071" s="489"/>
      <c r="J8071" s="1362"/>
      <c r="K8071" s="1362"/>
      <c r="L8071" s="1362"/>
    </row>
    <row r="8072" spans="1:12" x14ac:dyDescent="0.25">
      <c r="A8072" t="s">
        <v>16971</v>
      </c>
      <c r="B8072" t="s">
        <v>16972</v>
      </c>
      <c r="C8072" t="s">
        <v>2640</v>
      </c>
      <c r="D8072" s="254" t="s">
        <v>0</v>
      </c>
      <c r="E8072"/>
      <c r="F8072"/>
      <c r="G8072"/>
      <c r="H8072"/>
      <c r="I8072" s="489"/>
      <c r="J8072" s="1362"/>
      <c r="K8072" s="1362"/>
      <c r="L8072" s="1362"/>
    </row>
    <row r="8073" spans="1:12" x14ac:dyDescent="0.25">
      <c r="A8073" t="s">
        <v>16973</v>
      </c>
      <c r="B8073" t="s">
        <v>16974</v>
      </c>
      <c r="C8073" t="s">
        <v>2640</v>
      </c>
      <c r="D8073" s="254" t="s">
        <v>0</v>
      </c>
      <c r="E8073"/>
      <c r="F8073"/>
      <c r="G8073"/>
      <c r="H8073"/>
      <c r="I8073" s="489"/>
      <c r="J8073" s="1362"/>
      <c r="K8073" s="1362"/>
      <c r="L8073" s="1362"/>
    </row>
    <row r="8074" spans="1:12" x14ac:dyDescent="0.25">
      <c r="A8074" t="s">
        <v>16975</v>
      </c>
      <c r="B8074" t="s">
        <v>16976</v>
      </c>
      <c r="C8074" t="s">
        <v>2640</v>
      </c>
      <c r="D8074" s="254" t="s">
        <v>0</v>
      </c>
      <c r="E8074"/>
      <c r="F8074"/>
      <c r="G8074"/>
      <c r="H8074"/>
      <c r="I8074" s="489"/>
      <c r="J8074" s="1362"/>
      <c r="K8074" s="1362"/>
      <c r="L8074" s="1362"/>
    </row>
    <row r="8075" spans="1:12" x14ac:dyDescent="0.25">
      <c r="A8075" t="s">
        <v>16977</v>
      </c>
      <c r="B8075" t="s">
        <v>16978</v>
      </c>
      <c r="C8075" t="s">
        <v>2695</v>
      </c>
      <c r="D8075" s="254" t="s">
        <v>0</v>
      </c>
      <c r="E8075"/>
      <c r="F8075"/>
      <c r="G8075"/>
      <c r="H8075"/>
      <c r="I8075" s="489"/>
      <c r="J8075" s="1362"/>
      <c r="K8075" s="1362"/>
      <c r="L8075" s="1362"/>
    </row>
    <row r="8076" spans="1:12" x14ac:dyDescent="0.25">
      <c r="A8076" t="s">
        <v>16979</v>
      </c>
      <c r="B8076" t="s">
        <v>16980</v>
      </c>
      <c r="C8076" t="s">
        <v>2640</v>
      </c>
      <c r="D8076" s="254">
        <v>13.7</v>
      </c>
      <c r="E8076"/>
      <c r="F8076"/>
      <c r="G8076"/>
      <c r="H8076"/>
      <c r="I8076" s="489"/>
      <c r="J8076" s="1362"/>
      <c r="K8076" s="1362"/>
      <c r="L8076" s="1362"/>
    </row>
    <row r="8077" spans="1:12" x14ac:dyDescent="0.25">
      <c r="A8077" t="s">
        <v>16981</v>
      </c>
      <c r="B8077" t="s">
        <v>16982</v>
      </c>
      <c r="C8077" t="s">
        <v>2640</v>
      </c>
      <c r="D8077" s="254">
        <v>23.97</v>
      </c>
      <c r="E8077"/>
      <c r="F8077"/>
      <c r="G8077"/>
      <c r="H8077"/>
      <c r="I8077" s="489"/>
      <c r="J8077" s="1362"/>
      <c r="K8077" s="1362"/>
      <c r="L8077" s="1362"/>
    </row>
    <row r="8078" spans="1:12" x14ac:dyDescent="0.25">
      <c r="A8078" t="s">
        <v>16983</v>
      </c>
      <c r="B8078" t="s">
        <v>16984</v>
      </c>
      <c r="C8078" t="s">
        <v>2640</v>
      </c>
      <c r="D8078" s="254">
        <v>24.53</v>
      </c>
      <c r="E8078"/>
      <c r="F8078"/>
      <c r="G8078"/>
      <c r="H8078"/>
      <c r="I8078" s="489"/>
      <c r="J8078" s="1362"/>
      <c r="K8078" s="1362"/>
      <c r="L8078" s="1362"/>
    </row>
    <row r="8079" spans="1:12" x14ac:dyDescent="0.25">
      <c r="A8079" t="s">
        <v>16985</v>
      </c>
      <c r="B8079" t="s">
        <v>16986</v>
      </c>
      <c r="C8079" t="s">
        <v>2640</v>
      </c>
      <c r="D8079" s="254">
        <v>24.37</v>
      </c>
      <c r="E8079"/>
      <c r="F8079"/>
      <c r="G8079"/>
      <c r="H8079"/>
      <c r="I8079" s="489"/>
      <c r="J8079" s="1362"/>
      <c r="K8079" s="1362"/>
      <c r="L8079" s="1362"/>
    </row>
    <row r="8080" spans="1:12" x14ac:dyDescent="0.25">
      <c r="A8080" t="s">
        <v>16987</v>
      </c>
      <c r="B8080" t="s">
        <v>16988</v>
      </c>
      <c r="C8080" t="s">
        <v>2640</v>
      </c>
      <c r="D8080" s="254">
        <v>14.04</v>
      </c>
      <c r="E8080"/>
      <c r="F8080"/>
      <c r="G8080"/>
      <c r="H8080"/>
      <c r="I8080" s="489"/>
      <c r="J8080" s="1362"/>
      <c r="K8080" s="1362"/>
      <c r="L8080" s="1362"/>
    </row>
    <row r="8081" spans="1:12" x14ac:dyDescent="0.25">
      <c r="A8081" t="s">
        <v>16989</v>
      </c>
      <c r="B8081" t="s">
        <v>16990</v>
      </c>
      <c r="C8081" t="s">
        <v>2640</v>
      </c>
      <c r="D8081" s="254">
        <v>20.6</v>
      </c>
      <c r="E8081"/>
      <c r="F8081"/>
      <c r="G8081"/>
      <c r="H8081"/>
      <c r="I8081" s="489"/>
      <c r="J8081" s="1362"/>
      <c r="K8081" s="1362"/>
      <c r="L8081" s="1362"/>
    </row>
    <row r="8082" spans="1:12" x14ac:dyDescent="0.25">
      <c r="A8082" t="s">
        <v>16991</v>
      </c>
      <c r="B8082" t="s">
        <v>16992</v>
      </c>
      <c r="C8082" t="s">
        <v>2640</v>
      </c>
      <c r="D8082" s="254">
        <v>20.38</v>
      </c>
      <c r="E8082"/>
      <c r="F8082"/>
      <c r="G8082"/>
      <c r="H8082"/>
      <c r="I8082" s="489"/>
      <c r="J8082" s="1362"/>
      <c r="K8082" s="1362"/>
      <c r="L8082" s="1362"/>
    </row>
    <row r="8083" spans="1:12" x14ac:dyDescent="0.25">
      <c r="A8083" t="s">
        <v>16993</v>
      </c>
      <c r="B8083" t="s">
        <v>16994</v>
      </c>
      <c r="C8083" t="s">
        <v>2640</v>
      </c>
      <c r="D8083" s="254">
        <v>23.68</v>
      </c>
      <c r="E8083"/>
      <c r="F8083"/>
      <c r="G8083"/>
      <c r="H8083"/>
      <c r="I8083" s="489"/>
      <c r="J8083" s="1362"/>
      <c r="K8083" s="1362"/>
      <c r="L8083" s="1362"/>
    </row>
    <row r="8084" spans="1:12" x14ac:dyDescent="0.25">
      <c r="A8084" t="s">
        <v>16995</v>
      </c>
      <c r="B8084" t="s">
        <v>16996</v>
      </c>
      <c r="C8084" t="s">
        <v>2640</v>
      </c>
      <c r="D8084" s="254">
        <v>11.26</v>
      </c>
      <c r="E8084"/>
      <c r="F8084"/>
      <c r="G8084"/>
      <c r="H8084"/>
      <c r="I8084" s="489"/>
      <c r="J8084" s="1362"/>
      <c r="K8084" s="1362"/>
      <c r="L8084" s="1362"/>
    </row>
    <row r="8085" spans="1:12" x14ac:dyDescent="0.25">
      <c r="A8085" t="s">
        <v>16997</v>
      </c>
      <c r="B8085" t="s">
        <v>16998</v>
      </c>
      <c r="C8085" t="s">
        <v>2640</v>
      </c>
      <c r="D8085" s="254">
        <v>18.57</v>
      </c>
      <c r="E8085"/>
      <c r="F8085"/>
      <c r="G8085"/>
      <c r="H8085"/>
      <c r="I8085" s="489"/>
      <c r="J8085" s="1362"/>
      <c r="K8085" s="1362"/>
      <c r="L8085" s="1362"/>
    </row>
    <row r="8086" spans="1:12" x14ac:dyDescent="0.25">
      <c r="A8086" t="s">
        <v>16999</v>
      </c>
      <c r="B8086" t="s">
        <v>17000</v>
      </c>
      <c r="C8086" t="s">
        <v>2640</v>
      </c>
      <c r="D8086" s="254">
        <v>19.71</v>
      </c>
      <c r="E8086"/>
      <c r="F8086"/>
      <c r="G8086"/>
      <c r="H8086"/>
      <c r="I8086" s="489"/>
      <c r="J8086" s="1362"/>
      <c r="K8086" s="1362"/>
      <c r="L8086" s="1362"/>
    </row>
    <row r="8087" spans="1:12" x14ac:dyDescent="0.25">
      <c r="A8087" t="s">
        <v>17001</v>
      </c>
      <c r="B8087" t="s">
        <v>17002</v>
      </c>
      <c r="C8087" t="s">
        <v>2640</v>
      </c>
      <c r="D8087" s="254">
        <v>29.09</v>
      </c>
      <c r="E8087"/>
      <c r="F8087"/>
      <c r="G8087"/>
      <c r="H8087"/>
      <c r="I8087" s="489"/>
      <c r="J8087" s="1362"/>
      <c r="K8087" s="1362"/>
      <c r="L8087" s="1362"/>
    </row>
    <row r="8088" spans="1:12" x14ac:dyDescent="0.25">
      <c r="A8088" t="s">
        <v>17003</v>
      </c>
      <c r="B8088" t="s">
        <v>17004</v>
      </c>
      <c r="C8088" t="s">
        <v>2640</v>
      </c>
      <c r="D8088" s="254">
        <v>10.81</v>
      </c>
      <c r="E8088"/>
      <c r="F8088"/>
      <c r="G8088"/>
      <c r="H8088"/>
      <c r="I8088" s="489"/>
      <c r="J8088" s="1362"/>
      <c r="K8088" s="1362"/>
      <c r="L8088" s="1362"/>
    </row>
    <row r="8089" spans="1:12" x14ac:dyDescent="0.25">
      <c r="A8089" t="s">
        <v>17005</v>
      </c>
      <c r="B8089" t="s">
        <v>17006</v>
      </c>
      <c r="C8089" t="s">
        <v>2640</v>
      </c>
      <c r="D8089" s="254">
        <v>17.579999999999998</v>
      </c>
      <c r="E8089"/>
      <c r="F8089"/>
      <c r="G8089"/>
      <c r="H8089"/>
      <c r="I8089" s="489"/>
      <c r="J8089" s="1362"/>
      <c r="K8089" s="1362"/>
      <c r="L8089" s="1362"/>
    </row>
    <row r="8090" spans="1:12" x14ac:dyDescent="0.25">
      <c r="A8090" t="s">
        <v>17007</v>
      </c>
      <c r="B8090" t="s">
        <v>17008</v>
      </c>
      <c r="C8090" t="s">
        <v>2640</v>
      </c>
      <c r="D8090" s="254">
        <v>18.059999999999999</v>
      </c>
      <c r="E8090"/>
      <c r="F8090"/>
      <c r="G8090"/>
      <c r="H8090"/>
      <c r="I8090" s="489"/>
      <c r="J8090" s="1362"/>
      <c r="K8090" s="1362"/>
      <c r="L8090" s="1362"/>
    </row>
    <row r="8091" spans="1:12" x14ac:dyDescent="0.25">
      <c r="A8091" t="s">
        <v>17009</v>
      </c>
      <c r="B8091" t="s">
        <v>17010</v>
      </c>
      <c r="C8091" t="s">
        <v>2640</v>
      </c>
      <c r="D8091" s="254">
        <v>19.600000000000001</v>
      </c>
      <c r="E8091"/>
      <c r="F8091"/>
      <c r="G8091"/>
      <c r="H8091"/>
      <c r="I8091" s="489"/>
      <c r="J8091" s="1362"/>
      <c r="K8091" s="1362"/>
      <c r="L8091" s="1362"/>
    </row>
    <row r="8092" spans="1:12" x14ac:dyDescent="0.25">
      <c r="A8092" t="s">
        <v>17011</v>
      </c>
      <c r="B8092" t="s">
        <v>17012</v>
      </c>
      <c r="C8092" t="s">
        <v>2640</v>
      </c>
      <c r="D8092" s="254">
        <v>30.55</v>
      </c>
      <c r="E8092"/>
      <c r="F8092"/>
      <c r="G8092"/>
      <c r="H8092"/>
      <c r="I8092" s="489"/>
      <c r="J8092" s="1362"/>
      <c r="K8092" s="1362"/>
      <c r="L8092" s="1362"/>
    </row>
    <row r="8093" spans="1:12" x14ac:dyDescent="0.25">
      <c r="A8093" t="s">
        <v>17013</v>
      </c>
      <c r="B8093" t="s">
        <v>17014</v>
      </c>
      <c r="C8093" t="s">
        <v>2640</v>
      </c>
      <c r="D8093" s="254">
        <v>37.659999999999997</v>
      </c>
      <c r="E8093"/>
      <c r="F8093"/>
      <c r="G8093"/>
      <c r="H8093"/>
      <c r="I8093" s="489"/>
      <c r="J8093" s="1362"/>
      <c r="K8093" s="1362"/>
      <c r="L8093" s="1362"/>
    </row>
    <row r="8094" spans="1:12" x14ac:dyDescent="0.25">
      <c r="A8094" t="s">
        <v>17015</v>
      </c>
      <c r="B8094" t="s">
        <v>17016</v>
      </c>
      <c r="C8094" t="s">
        <v>2640</v>
      </c>
      <c r="D8094" s="254">
        <v>41.93</v>
      </c>
      <c r="E8094"/>
      <c r="F8094"/>
      <c r="G8094"/>
      <c r="H8094"/>
      <c r="I8094" s="489"/>
      <c r="J8094" s="1362"/>
      <c r="K8094" s="1362"/>
      <c r="L8094" s="1362"/>
    </row>
    <row r="8095" spans="1:12" x14ac:dyDescent="0.25">
      <c r="A8095" t="s">
        <v>17017</v>
      </c>
      <c r="B8095" t="s">
        <v>17018</v>
      </c>
      <c r="C8095" t="s">
        <v>2640</v>
      </c>
      <c r="D8095" s="254">
        <v>30.03</v>
      </c>
      <c r="E8095"/>
      <c r="F8095"/>
      <c r="G8095"/>
      <c r="H8095"/>
      <c r="I8095" s="489"/>
      <c r="J8095" s="1362"/>
      <c r="K8095" s="1362"/>
      <c r="L8095" s="1362"/>
    </row>
    <row r="8096" spans="1:12" x14ac:dyDescent="0.25">
      <c r="A8096" t="s">
        <v>17019</v>
      </c>
      <c r="B8096" t="s">
        <v>17020</v>
      </c>
      <c r="C8096" t="s">
        <v>2640</v>
      </c>
      <c r="D8096" s="254">
        <v>29.99</v>
      </c>
      <c r="E8096"/>
      <c r="F8096"/>
      <c r="G8096"/>
      <c r="H8096"/>
      <c r="I8096" s="489"/>
      <c r="J8096" s="1362"/>
      <c r="K8096" s="1362"/>
      <c r="L8096" s="1362"/>
    </row>
    <row r="8097" spans="1:12" x14ac:dyDescent="0.25">
      <c r="A8097" t="s">
        <v>17021</v>
      </c>
      <c r="B8097" t="s">
        <v>17022</v>
      </c>
      <c r="C8097" t="s">
        <v>2640</v>
      </c>
      <c r="D8097" s="254">
        <v>37.01</v>
      </c>
      <c r="E8097"/>
      <c r="F8097"/>
      <c r="G8097"/>
      <c r="H8097"/>
      <c r="I8097" s="489"/>
      <c r="J8097" s="1362"/>
      <c r="K8097" s="1362"/>
      <c r="L8097" s="1362"/>
    </row>
    <row r="8098" spans="1:12" x14ac:dyDescent="0.25">
      <c r="A8098" t="s">
        <v>17023</v>
      </c>
      <c r="B8098" t="s">
        <v>17024</v>
      </c>
      <c r="C8098" t="s">
        <v>2640</v>
      </c>
      <c r="D8098" s="254">
        <v>41.12</v>
      </c>
      <c r="E8098"/>
      <c r="F8098"/>
      <c r="G8098"/>
      <c r="H8098"/>
      <c r="I8098" s="489"/>
      <c r="J8098" s="1362"/>
      <c r="K8098" s="1362"/>
      <c r="L8098" s="1362"/>
    </row>
    <row r="8099" spans="1:12" x14ac:dyDescent="0.25">
      <c r="A8099" t="s">
        <v>17025</v>
      </c>
      <c r="B8099" t="s">
        <v>17026</v>
      </c>
      <c r="C8099" t="s">
        <v>2640</v>
      </c>
      <c r="D8099" s="254">
        <v>59.68</v>
      </c>
      <c r="E8099"/>
      <c r="F8099"/>
      <c r="G8099"/>
      <c r="H8099"/>
      <c r="I8099" s="489"/>
      <c r="J8099" s="1362"/>
      <c r="K8099" s="1362"/>
      <c r="L8099" s="1362"/>
    </row>
    <row r="8100" spans="1:12" x14ac:dyDescent="0.25">
      <c r="A8100" t="s">
        <v>17027</v>
      </c>
      <c r="B8100" t="s">
        <v>17028</v>
      </c>
      <c r="C8100" t="s">
        <v>2640</v>
      </c>
      <c r="D8100" s="254">
        <v>30.55</v>
      </c>
      <c r="E8100"/>
      <c r="F8100"/>
      <c r="G8100"/>
      <c r="H8100"/>
      <c r="I8100" s="489"/>
      <c r="J8100" s="1362"/>
      <c r="K8100" s="1362"/>
      <c r="L8100" s="1362"/>
    </row>
    <row r="8101" spans="1:12" x14ac:dyDescent="0.25">
      <c r="A8101" t="s">
        <v>17029</v>
      </c>
      <c r="B8101" t="s">
        <v>17030</v>
      </c>
      <c r="C8101" t="s">
        <v>2640</v>
      </c>
      <c r="D8101" s="254">
        <v>37.659999999999997</v>
      </c>
      <c r="E8101"/>
      <c r="F8101"/>
      <c r="G8101"/>
      <c r="H8101"/>
      <c r="I8101" s="489"/>
      <c r="J8101" s="1362"/>
      <c r="K8101" s="1362"/>
      <c r="L8101" s="1362"/>
    </row>
    <row r="8102" spans="1:12" x14ac:dyDescent="0.25">
      <c r="A8102" t="s">
        <v>17031</v>
      </c>
      <c r="B8102" t="s">
        <v>17032</v>
      </c>
      <c r="C8102" t="s">
        <v>2640</v>
      </c>
      <c r="D8102" s="254">
        <v>41.93</v>
      </c>
      <c r="E8102"/>
      <c r="F8102"/>
      <c r="G8102"/>
      <c r="H8102"/>
      <c r="I8102" s="489"/>
      <c r="J8102" s="1362"/>
      <c r="K8102" s="1362"/>
      <c r="L8102" s="1362"/>
    </row>
    <row r="8103" spans="1:12" x14ac:dyDescent="0.25">
      <c r="A8103" t="s">
        <v>17033</v>
      </c>
      <c r="B8103" t="s">
        <v>17034</v>
      </c>
      <c r="C8103" t="s">
        <v>2640</v>
      </c>
      <c r="D8103" s="254">
        <v>29.38</v>
      </c>
      <c r="E8103"/>
      <c r="F8103"/>
      <c r="G8103"/>
      <c r="H8103"/>
      <c r="I8103" s="489"/>
      <c r="J8103" s="1362"/>
      <c r="K8103" s="1362"/>
      <c r="L8103" s="1362"/>
    </row>
    <row r="8104" spans="1:12" x14ac:dyDescent="0.25">
      <c r="A8104" t="s">
        <v>17035</v>
      </c>
      <c r="B8104" t="s">
        <v>17036</v>
      </c>
      <c r="C8104" t="s">
        <v>2640</v>
      </c>
      <c r="D8104" s="254">
        <v>29.85</v>
      </c>
      <c r="E8104"/>
      <c r="F8104"/>
      <c r="G8104"/>
      <c r="H8104"/>
      <c r="I8104" s="489"/>
      <c r="J8104" s="1362"/>
      <c r="K8104" s="1362"/>
      <c r="L8104" s="1362"/>
    </row>
    <row r="8105" spans="1:12" x14ac:dyDescent="0.25">
      <c r="A8105" t="s">
        <v>17037</v>
      </c>
      <c r="B8105" t="s">
        <v>17038</v>
      </c>
      <c r="C8105" t="s">
        <v>2640</v>
      </c>
      <c r="D8105" s="254">
        <v>36.950000000000003</v>
      </c>
      <c r="E8105"/>
      <c r="F8105"/>
      <c r="G8105"/>
      <c r="H8105"/>
      <c r="I8105" s="489"/>
      <c r="J8105" s="1362"/>
      <c r="K8105" s="1362"/>
      <c r="L8105" s="1362"/>
    </row>
    <row r="8106" spans="1:12" x14ac:dyDescent="0.25">
      <c r="A8106" t="s">
        <v>17039</v>
      </c>
      <c r="B8106" t="s">
        <v>17040</v>
      </c>
      <c r="C8106" t="s">
        <v>2640</v>
      </c>
      <c r="D8106" s="254">
        <v>41.12</v>
      </c>
      <c r="E8106"/>
      <c r="F8106"/>
      <c r="G8106"/>
      <c r="H8106"/>
      <c r="I8106" s="489"/>
      <c r="J8106" s="1362"/>
      <c r="K8106" s="1362"/>
      <c r="L8106" s="1362"/>
    </row>
    <row r="8107" spans="1:12" x14ac:dyDescent="0.25">
      <c r="A8107" t="s">
        <v>17041</v>
      </c>
      <c r="B8107" t="s">
        <v>17042</v>
      </c>
      <c r="C8107" t="s">
        <v>2640</v>
      </c>
      <c r="D8107" s="254">
        <v>59.68</v>
      </c>
      <c r="E8107"/>
      <c r="F8107"/>
      <c r="G8107"/>
      <c r="H8107"/>
      <c r="I8107" s="489"/>
      <c r="J8107" s="1362"/>
      <c r="K8107" s="1362"/>
      <c r="L8107" s="1362"/>
    </row>
    <row r="8108" spans="1:12" x14ac:dyDescent="0.25">
      <c r="A8108" t="s">
        <v>17043</v>
      </c>
      <c r="B8108" t="s">
        <v>17044</v>
      </c>
      <c r="C8108" t="s">
        <v>2640</v>
      </c>
      <c r="D8108" s="254">
        <v>26.08</v>
      </c>
      <c r="E8108"/>
      <c r="F8108"/>
      <c r="G8108"/>
      <c r="H8108"/>
      <c r="I8108" s="489"/>
      <c r="J8108" s="1362"/>
      <c r="K8108" s="1362"/>
      <c r="L8108" s="1362"/>
    </row>
    <row r="8109" spans="1:12" x14ac:dyDescent="0.25">
      <c r="A8109" t="s">
        <v>17045</v>
      </c>
      <c r="B8109" t="s">
        <v>17046</v>
      </c>
      <c r="C8109" t="s">
        <v>2640</v>
      </c>
      <c r="D8109" s="254">
        <v>21.1</v>
      </c>
      <c r="E8109"/>
      <c r="F8109"/>
      <c r="G8109"/>
      <c r="H8109"/>
      <c r="I8109" s="489"/>
      <c r="J8109" s="1362"/>
      <c r="K8109" s="1362"/>
      <c r="L8109" s="1362"/>
    </row>
    <row r="8110" spans="1:12" x14ac:dyDescent="0.25">
      <c r="A8110" t="s">
        <v>17047</v>
      </c>
      <c r="B8110" t="s">
        <v>17048</v>
      </c>
      <c r="C8110" t="s">
        <v>2640</v>
      </c>
      <c r="D8110" s="254">
        <v>32.29</v>
      </c>
      <c r="E8110"/>
      <c r="F8110"/>
      <c r="G8110"/>
      <c r="H8110"/>
      <c r="I8110" s="489"/>
      <c r="J8110" s="1362"/>
      <c r="K8110" s="1362"/>
      <c r="L8110" s="1362"/>
    </row>
    <row r="8111" spans="1:12" x14ac:dyDescent="0.25">
      <c r="A8111" t="s">
        <v>17049</v>
      </c>
      <c r="B8111" t="s">
        <v>17050</v>
      </c>
      <c r="C8111" t="s">
        <v>2640</v>
      </c>
      <c r="D8111" s="254">
        <v>23.39</v>
      </c>
      <c r="E8111"/>
      <c r="F8111"/>
      <c r="G8111"/>
      <c r="H8111"/>
      <c r="I8111" s="489"/>
      <c r="J8111" s="1362"/>
      <c r="K8111" s="1362"/>
      <c r="L8111" s="1362"/>
    </row>
    <row r="8112" spans="1:12" x14ac:dyDescent="0.25">
      <c r="A8112" t="s">
        <v>17051</v>
      </c>
      <c r="B8112" t="s">
        <v>17052</v>
      </c>
      <c r="C8112" t="s">
        <v>2640</v>
      </c>
      <c r="D8112" s="254">
        <v>17.559999999999999</v>
      </c>
      <c r="E8112"/>
      <c r="F8112"/>
      <c r="G8112"/>
      <c r="H8112"/>
      <c r="I8112" s="489"/>
      <c r="J8112" s="1362"/>
      <c r="K8112" s="1362"/>
      <c r="L8112" s="1362"/>
    </row>
    <row r="8113" spans="1:12" x14ac:dyDescent="0.25">
      <c r="A8113" t="s">
        <v>17053</v>
      </c>
      <c r="B8113" t="s">
        <v>17054</v>
      </c>
      <c r="C8113" t="s">
        <v>2640</v>
      </c>
      <c r="D8113" s="254">
        <v>59.63</v>
      </c>
      <c r="E8113"/>
      <c r="F8113"/>
      <c r="G8113"/>
      <c r="H8113"/>
      <c r="I8113" s="489"/>
      <c r="J8113" s="1362"/>
      <c r="K8113" s="1362"/>
      <c r="L8113" s="1362"/>
    </row>
    <row r="8114" spans="1:12" x14ac:dyDescent="0.25">
      <c r="A8114" t="s">
        <v>17055</v>
      </c>
      <c r="B8114" t="s">
        <v>17056</v>
      </c>
      <c r="C8114" t="s">
        <v>2640</v>
      </c>
      <c r="D8114" s="254">
        <v>20.92</v>
      </c>
      <c r="E8114"/>
      <c r="F8114"/>
      <c r="G8114"/>
      <c r="H8114"/>
      <c r="I8114" s="489"/>
      <c r="J8114" s="1362"/>
      <c r="K8114" s="1362"/>
      <c r="L8114" s="1362"/>
    </row>
    <row r="8115" spans="1:12" x14ac:dyDescent="0.25">
      <c r="A8115" t="s">
        <v>17057</v>
      </c>
      <c r="B8115" t="s">
        <v>17058</v>
      </c>
      <c r="C8115" t="s">
        <v>2640</v>
      </c>
      <c r="D8115" s="254">
        <v>17.7</v>
      </c>
      <c r="E8115"/>
      <c r="F8115"/>
      <c r="G8115"/>
      <c r="H8115"/>
      <c r="I8115" s="489"/>
      <c r="J8115" s="1362"/>
      <c r="K8115" s="1362"/>
      <c r="L8115" s="1362"/>
    </row>
    <row r="8116" spans="1:12" x14ac:dyDescent="0.25">
      <c r="A8116" t="s">
        <v>17059</v>
      </c>
      <c r="B8116" t="s">
        <v>17060</v>
      </c>
      <c r="C8116" t="s">
        <v>2640</v>
      </c>
      <c r="D8116" s="254">
        <v>29</v>
      </c>
      <c r="E8116"/>
      <c r="F8116"/>
      <c r="G8116"/>
      <c r="H8116"/>
      <c r="I8116" s="489"/>
      <c r="J8116" s="1362"/>
      <c r="K8116" s="1362"/>
      <c r="L8116" s="1362"/>
    </row>
    <row r="8117" spans="1:12" x14ac:dyDescent="0.25">
      <c r="A8117" t="s">
        <v>17061</v>
      </c>
      <c r="B8117" t="s">
        <v>17062</v>
      </c>
      <c r="C8117" t="s">
        <v>2640</v>
      </c>
      <c r="D8117" s="254">
        <v>17.28</v>
      </c>
      <c r="E8117"/>
      <c r="F8117"/>
      <c r="G8117"/>
      <c r="H8117"/>
      <c r="I8117" s="489"/>
      <c r="J8117" s="1362"/>
      <c r="K8117" s="1362"/>
      <c r="L8117" s="1362"/>
    </row>
    <row r="8118" spans="1:12" x14ac:dyDescent="0.25">
      <c r="A8118" t="s">
        <v>17063</v>
      </c>
      <c r="B8118" t="s">
        <v>17064</v>
      </c>
      <c r="C8118" t="s">
        <v>2640</v>
      </c>
      <c r="D8118" s="254">
        <v>14.64</v>
      </c>
      <c r="E8118"/>
      <c r="F8118"/>
      <c r="G8118"/>
      <c r="H8118"/>
      <c r="I8118" s="489"/>
      <c r="J8118" s="1362"/>
      <c r="K8118" s="1362"/>
      <c r="L8118" s="1362"/>
    </row>
    <row r="8119" spans="1:12" x14ac:dyDescent="0.25">
      <c r="A8119" t="s">
        <v>17065</v>
      </c>
      <c r="B8119" t="s">
        <v>17066</v>
      </c>
      <c r="C8119" t="s">
        <v>2640</v>
      </c>
      <c r="D8119" s="254">
        <v>50.9</v>
      </c>
      <c r="E8119"/>
      <c r="F8119"/>
      <c r="G8119"/>
      <c r="H8119"/>
      <c r="I8119" s="489"/>
      <c r="J8119" s="1362"/>
      <c r="K8119" s="1362"/>
      <c r="L8119" s="1362"/>
    </row>
    <row r="8120" spans="1:12" x14ac:dyDescent="0.25">
      <c r="A8120" t="s">
        <v>17067</v>
      </c>
      <c r="B8120" t="s">
        <v>17068</v>
      </c>
      <c r="C8120" t="s">
        <v>2640</v>
      </c>
      <c r="D8120" s="254">
        <v>69.81</v>
      </c>
      <c r="E8120"/>
      <c r="F8120"/>
      <c r="G8120"/>
      <c r="H8120"/>
      <c r="I8120" s="489"/>
      <c r="J8120" s="1362"/>
      <c r="K8120" s="1362"/>
      <c r="L8120" s="1362"/>
    </row>
    <row r="8121" spans="1:12" x14ac:dyDescent="0.25">
      <c r="A8121" t="s">
        <v>17069</v>
      </c>
      <c r="B8121" t="s">
        <v>17070</v>
      </c>
      <c r="C8121" t="s">
        <v>2640</v>
      </c>
      <c r="D8121" s="254">
        <v>68.349999999999994</v>
      </c>
      <c r="E8121"/>
      <c r="F8121"/>
      <c r="G8121"/>
      <c r="H8121"/>
      <c r="I8121" s="489"/>
      <c r="J8121" s="1362"/>
      <c r="K8121" s="1362"/>
      <c r="L8121" s="1362"/>
    </row>
    <row r="8122" spans="1:12" x14ac:dyDescent="0.25">
      <c r="A8122" t="s">
        <v>17071</v>
      </c>
      <c r="B8122" t="s">
        <v>17072</v>
      </c>
      <c r="C8122" t="s">
        <v>2640</v>
      </c>
      <c r="D8122" s="254">
        <v>53.26</v>
      </c>
      <c r="E8122"/>
      <c r="F8122"/>
      <c r="G8122"/>
      <c r="H8122"/>
      <c r="I8122" s="489"/>
      <c r="J8122" s="1362"/>
      <c r="K8122" s="1362"/>
      <c r="L8122" s="1362"/>
    </row>
    <row r="8123" spans="1:12" x14ac:dyDescent="0.25">
      <c r="A8123" t="s">
        <v>17073</v>
      </c>
      <c r="B8123" t="s">
        <v>17074</v>
      </c>
      <c r="C8123" t="s">
        <v>2640</v>
      </c>
      <c r="D8123" s="254">
        <v>51.3</v>
      </c>
      <c r="E8123"/>
      <c r="F8123"/>
      <c r="G8123"/>
      <c r="H8123"/>
      <c r="I8123" s="489"/>
      <c r="J8123" s="1362"/>
      <c r="K8123" s="1362"/>
      <c r="L8123" s="1362"/>
    </row>
    <row r="8124" spans="1:12" x14ac:dyDescent="0.25">
      <c r="A8124" t="s">
        <v>17075</v>
      </c>
      <c r="B8124" t="s">
        <v>17076</v>
      </c>
      <c r="C8124" t="s">
        <v>2695</v>
      </c>
      <c r="D8124" s="254" t="s">
        <v>0</v>
      </c>
      <c r="E8124"/>
      <c r="F8124"/>
      <c r="G8124"/>
      <c r="H8124"/>
      <c r="I8124" s="489"/>
      <c r="J8124" s="1362"/>
      <c r="K8124" s="1362"/>
      <c r="L8124" s="1362"/>
    </row>
    <row r="8125" spans="1:12" x14ac:dyDescent="0.25">
      <c r="A8125" t="s">
        <v>17077</v>
      </c>
      <c r="B8125" t="s">
        <v>17078</v>
      </c>
      <c r="C8125" t="s">
        <v>2640</v>
      </c>
      <c r="D8125" s="254">
        <v>17243.73</v>
      </c>
      <c r="E8125"/>
      <c r="F8125"/>
      <c r="G8125"/>
      <c r="H8125"/>
      <c r="I8125" s="489"/>
      <c r="J8125" s="1362"/>
      <c r="K8125" s="1362"/>
      <c r="L8125" s="1362"/>
    </row>
    <row r="8126" spans="1:12" x14ac:dyDescent="0.25">
      <c r="A8126" t="s">
        <v>17079</v>
      </c>
      <c r="B8126" t="s">
        <v>17080</v>
      </c>
      <c r="C8126" t="s">
        <v>2640</v>
      </c>
      <c r="D8126" s="254">
        <v>19888.759999999998</v>
      </c>
      <c r="E8126"/>
      <c r="F8126"/>
      <c r="G8126"/>
      <c r="H8126"/>
      <c r="I8126" s="489"/>
      <c r="J8126" s="1362"/>
      <c r="K8126" s="1362"/>
      <c r="L8126" s="1362"/>
    </row>
    <row r="8127" spans="1:12" x14ac:dyDescent="0.25">
      <c r="A8127" t="s">
        <v>17081</v>
      </c>
      <c r="B8127" t="s">
        <v>17082</v>
      </c>
      <c r="C8127" t="s">
        <v>2640</v>
      </c>
      <c r="D8127" s="254">
        <v>33717.32</v>
      </c>
      <c r="E8127"/>
      <c r="F8127"/>
      <c r="G8127"/>
      <c r="H8127"/>
      <c r="I8127" s="489"/>
      <c r="J8127" s="1362"/>
      <c r="K8127" s="1362"/>
      <c r="L8127" s="1362"/>
    </row>
    <row r="8128" spans="1:12" x14ac:dyDescent="0.25">
      <c r="A8128" t="s">
        <v>17083</v>
      </c>
      <c r="B8128" t="s">
        <v>17084</v>
      </c>
      <c r="C8128" t="s">
        <v>2640</v>
      </c>
      <c r="D8128" s="254">
        <v>48153.96</v>
      </c>
      <c r="E8128"/>
      <c r="F8128"/>
      <c r="G8128"/>
      <c r="H8128"/>
      <c r="I8128" s="489"/>
      <c r="J8128" s="1362"/>
      <c r="K8128" s="1362"/>
      <c r="L8128" s="1362"/>
    </row>
    <row r="8129" spans="1:12" x14ac:dyDescent="0.25">
      <c r="A8129" t="s">
        <v>17085</v>
      </c>
      <c r="B8129" t="s">
        <v>17086</v>
      </c>
      <c r="C8129" t="s">
        <v>2640</v>
      </c>
      <c r="D8129" s="254" t="s">
        <v>0</v>
      </c>
      <c r="E8129"/>
      <c r="F8129"/>
      <c r="G8129"/>
      <c r="H8129"/>
      <c r="I8129" s="489"/>
      <c r="J8129" s="1362"/>
      <c r="K8129" s="1362"/>
      <c r="L8129" s="1362"/>
    </row>
    <row r="8130" spans="1:12" x14ac:dyDescent="0.25">
      <c r="A8130" t="s">
        <v>17087</v>
      </c>
      <c r="B8130" t="s">
        <v>17088</v>
      </c>
      <c r="C8130" t="s">
        <v>2640</v>
      </c>
      <c r="D8130" s="254" t="s">
        <v>0</v>
      </c>
      <c r="E8130"/>
      <c r="F8130"/>
      <c r="G8130"/>
      <c r="H8130"/>
      <c r="I8130" s="489"/>
      <c r="J8130" s="1362"/>
      <c r="K8130" s="1362"/>
      <c r="L8130" s="1362"/>
    </row>
    <row r="8131" spans="1:12" x14ac:dyDescent="0.25">
      <c r="A8131" t="s">
        <v>17089</v>
      </c>
      <c r="B8131" t="s">
        <v>17090</v>
      </c>
      <c r="C8131" t="s">
        <v>2640</v>
      </c>
      <c r="D8131" s="254" t="s">
        <v>0</v>
      </c>
      <c r="E8131"/>
      <c r="F8131"/>
      <c r="G8131"/>
      <c r="H8131"/>
      <c r="I8131" s="489"/>
      <c r="J8131" s="1362"/>
      <c r="K8131" s="1362"/>
      <c r="L8131" s="1362"/>
    </row>
    <row r="8132" spans="1:12" x14ac:dyDescent="0.25">
      <c r="A8132" t="s">
        <v>17091</v>
      </c>
      <c r="B8132" t="s">
        <v>17092</v>
      </c>
      <c r="C8132" t="s">
        <v>2640</v>
      </c>
      <c r="D8132" s="254" t="s">
        <v>0</v>
      </c>
      <c r="E8132"/>
      <c r="F8132"/>
      <c r="G8132"/>
      <c r="H8132"/>
      <c r="I8132" s="489"/>
      <c r="J8132" s="1362"/>
      <c r="K8132" s="1362"/>
      <c r="L8132" s="1362"/>
    </row>
    <row r="8133" spans="1:12" x14ac:dyDescent="0.25">
      <c r="A8133" t="s">
        <v>17093</v>
      </c>
      <c r="B8133" t="s">
        <v>17094</v>
      </c>
      <c r="C8133" t="s">
        <v>2640</v>
      </c>
      <c r="D8133" s="254">
        <v>57.48</v>
      </c>
      <c r="E8133"/>
      <c r="F8133"/>
      <c r="G8133"/>
      <c r="H8133"/>
      <c r="I8133" s="489"/>
      <c r="J8133" s="1362"/>
      <c r="K8133" s="1362"/>
      <c r="L8133" s="1362"/>
    </row>
    <row r="8134" spans="1:12" x14ac:dyDescent="0.25">
      <c r="A8134" t="s">
        <v>17095</v>
      </c>
      <c r="B8134" t="s">
        <v>17096</v>
      </c>
      <c r="C8134" t="s">
        <v>2640</v>
      </c>
      <c r="D8134" s="254">
        <v>55.68</v>
      </c>
      <c r="E8134"/>
      <c r="F8134"/>
      <c r="G8134"/>
      <c r="H8134"/>
      <c r="I8134" s="489"/>
      <c r="J8134" s="1362"/>
      <c r="K8134" s="1362"/>
      <c r="L8134" s="1362"/>
    </row>
    <row r="8135" spans="1:12" x14ac:dyDescent="0.25">
      <c r="A8135" t="s">
        <v>17097</v>
      </c>
      <c r="B8135" t="s">
        <v>17098</v>
      </c>
      <c r="C8135" t="s">
        <v>2640</v>
      </c>
      <c r="D8135" s="254">
        <v>138.80000000000001</v>
      </c>
      <c r="E8135"/>
      <c r="F8135"/>
      <c r="G8135"/>
      <c r="H8135"/>
      <c r="I8135" s="489"/>
      <c r="J8135" s="1362"/>
      <c r="K8135" s="1362"/>
      <c r="L8135" s="1362"/>
    </row>
    <row r="8136" spans="1:12" x14ac:dyDescent="0.25">
      <c r="A8136" t="s">
        <v>17099</v>
      </c>
      <c r="B8136" t="s">
        <v>17100</v>
      </c>
      <c r="C8136" t="s">
        <v>2640</v>
      </c>
      <c r="D8136" s="254">
        <v>271.68</v>
      </c>
      <c r="E8136"/>
      <c r="F8136"/>
      <c r="G8136"/>
      <c r="H8136"/>
      <c r="I8136" s="489"/>
      <c r="J8136" s="1362"/>
      <c r="K8136" s="1362"/>
      <c r="L8136" s="1362"/>
    </row>
    <row r="8137" spans="1:12" x14ac:dyDescent="0.25">
      <c r="A8137" t="s">
        <v>17101</v>
      </c>
      <c r="B8137" t="s">
        <v>17102</v>
      </c>
      <c r="C8137" t="s">
        <v>2640</v>
      </c>
      <c r="D8137" s="254">
        <v>76.08</v>
      </c>
      <c r="E8137"/>
      <c r="F8137"/>
      <c r="G8137"/>
      <c r="H8137"/>
      <c r="I8137" s="489"/>
      <c r="J8137" s="1362"/>
      <c r="K8137" s="1362"/>
      <c r="L8137" s="1362"/>
    </row>
    <row r="8138" spans="1:12" x14ac:dyDescent="0.25">
      <c r="A8138" t="s">
        <v>17103</v>
      </c>
      <c r="B8138" t="s">
        <v>17104</v>
      </c>
      <c r="C8138" t="s">
        <v>2640</v>
      </c>
      <c r="D8138" s="254">
        <v>173.04</v>
      </c>
      <c r="E8138"/>
      <c r="F8138"/>
      <c r="G8138"/>
      <c r="H8138"/>
      <c r="I8138" s="489"/>
      <c r="J8138" s="1362"/>
      <c r="K8138" s="1362"/>
      <c r="L8138" s="1362"/>
    </row>
    <row r="8139" spans="1:12" x14ac:dyDescent="0.25">
      <c r="A8139" t="s">
        <v>17105</v>
      </c>
      <c r="B8139" t="s">
        <v>17106</v>
      </c>
      <c r="C8139" t="s">
        <v>2640</v>
      </c>
      <c r="D8139" s="254">
        <v>3.56</v>
      </c>
      <c r="E8139"/>
      <c r="F8139"/>
      <c r="G8139"/>
      <c r="H8139"/>
      <c r="I8139" s="489"/>
      <c r="J8139" s="1362"/>
      <c r="K8139" s="1362"/>
      <c r="L8139" s="1362"/>
    </row>
    <row r="8140" spans="1:12" x14ac:dyDescent="0.25">
      <c r="A8140" t="s">
        <v>17107</v>
      </c>
      <c r="B8140" t="s">
        <v>17108</v>
      </c>
      <c r="C8140" t="s">
        <v>2640</v>
      </c>
      <c r="D8140" s="254">
        <v>1.38</v>
      </c>
      <c r="E8140"/>
      <c r="F8140"/>
      <c r="G8140"/>
      <c r="H8140"/>
      <c r="I8140" s="489"/>
      <c r="J8140" s="1362"/>
      <c r="K8140" s="1362"/>
      <c r="L8140" s="1362"/>
    </row>
    <row r="8141" spans="1:12" x14ac:dyDescent="0.25">
      <c r="A8141" t="s">
        <v>17109</v>
      </c>
      <c r="B8141" t="s">
        <v>17110</v>
      </c>
      <c r="C8141" t="s">
        <v>2640</v>
      </c>
      <c r="D8141" s="254">
        <v>0.76</v>
      </c>
      <c r="E8141"/>
      <c r="F8141"/>
      <c r="G8141"/>
      <c r="H8141"/>
      <c r="I8141" s="489"/>
      <c r="J8141" s="1362"/>
      <c r="K8141" s="1362"/>
      <c r="L8141" s="1362"/>
    </row>
    <row r="8142" spans="1:12" x14ac:dyDescent="0.25">
      <c r="A8142" t="s">
        <v>17111</v>
      </c>
      <c r="B8142" t="s">
        <v>17112</v>
      </c>
      <c r="C8142" t="s">
        <v>2640</v>
      </c>
      <c r="D8142" s="254">
        <v>318.52</v>
      </c>
      <c r="E8142"/>
      <c r="F8142"/>
      <c r="G8142"/>
      <c r="H8142"/>
      <c r="I8142" s="489"/>
      <c r="J8142" s="1362"/>
      <c r="K8142" s="1362"/>
      <c r="L8142" s="1362"/>
    </row>
    <row r="8143" spans="1:12" x14ac:dyDescent="0.25">
      <c r="A8143" t="s">
        <v>17113</v>
      </c>
      <c r="B8143" t="s">
        <v>17114</v>
      </c>
      <c r="C8143" t="s">
        <v>2640</v>
      </c>
      <c r="D8143" s="254">
        <v>1.25</v>
      </c>
      <c r="E8143"/>
      <c r="F8143"/>
      <c r="G8143"/>
      <c r="H8143"/>
      <c r="I8143" s="489"/>
      <c r="J8143" s="1362"/>
      <c r="K8143" s="1362"/>
      <c r="L8143" s="1362"/>
    </row>
    <row r="8144" spans="1:12" x14ac:dyDescent="0.25">
      <c r="A8144" t="s">
        <v>17115</v>
      </c>
      <c r="B8144" t="s">
        <v>17116</v>
      </c>
      <c r="C8144" t="s">
        <v>13878</v>
      </c>
      <c r="D8144" s="254">
        <v>53.38</v>
      </c>
      <c r="E8144"/>
      <c r="F8144"/>
      <c r="G8144"/>
      <c r="H8144"/>
      <c r="I8144" s="489"/>
      <c r="J8144" s="1362"/>
      <c r="K8144" s="1362"/>
      <c r="L8144" s="1362"/>
    </row>
    <row r="8145" spans="1:12" x14ac:dyDescent="0.25">
      <c r="A8145" t="s">
        <v>17117</v>
      </c>
      <c r="B8145" t="s">
        <v>17118</v>
      </c>
      <c r="C8145" t="s">
        <v>13878</v>
      </c>
      <c r="D8145" s="254">
        <v>130.87</v>
      </c>
      <c r="E8145"/>
      <c r="F8145"/>
      <c r="G8145"/>
      <c r="H8145"/>
      <c r="I8145" s="489"/>
      <c r="J8145" s="1362"/>
      <c r="K8145" s="1362"/>
      <c r="L8145" s="1362"/>
    </row>
    <row r="8146" spans="1:12" x14ac:dyDescent="0.25">
      <c r="A8146" t="s">
        <v>17119</v>
      </c>
      <c r="B8146" t="s">
        <v>17120</v>
      </c>
      <c r="C8146" t="s">
        <v>13878</v>
      </c>
      <c r="D8146" s="254">
        <v>76.2</v>
      </c>
      <c r="E8146"/>
      <c r="F8146"/>
      <c r="G8146"/>
      <c r="H8146"/>
      <c r="I8146" s="489"/>
      <c r="J8146" s="1362"/>
      <c r="K8146" s="1362"/>
      <c r="L8146" s="1362"/>
    </row>
    <row r="8147" spans="1:12" x14ac:dyDescent="0.25">
      <c r="A8147" t="s">
        <v>17121</v>
      </c>
      <c r="B8147" t="s">
        <v>17122</v>
      </c>
      <c r="C8147" t="s">
        <v>13878</v>
      </c>
      <c r="D8147" s="254">
        <v>168.37</v>
      </c>
      <c r="E8147"/>
      <c r="F8147"/>
      <c r="G8147"/>
      <c r="H8147"/>
      <c r="I8147" s="489"/>
      <c r="J8147" s="1362"/>
      <c r="K8147" s="1362"/>
      <c r="L8147" s="1362"/>
    </row>
    <row r="8148" spans="1:12" x14ac:dyDescent="0.25">
      <c r="A8148" t="s">
        <v>17123</v>
      </c>
      <c r="B8148" t="s">
        <v>17124</v>
      </c>
      <c r="C8148" t="s">
        <v>13878</v>
      </c>
      <c r="D8148" s="254">
        <v>50.66</v>
      </c>
      <c r="E8148"/>
      <c r="F8148"/>
      <c r="G8148"/>
      <c r="H8148"/>
      <c r="I8148" s="489"/>
      <c r="J8148" s="1362"/>
      <c r="K8148" s="1362"/>
      <c r="L8148" s="1362"/>
    </row>
    <row r="8149" spans="1:12" x14ac:dyDescent="0.25">
      <c r="A8149" t="s">
        <v>17125</v>
      </c>
      <c r="B8149" t="s">
        <v>17126</v>
      </c>
      <c r="C8149" t="s">
        <v>13878</v>
      </c>
      <c r="D8149" s="254">
        <v>63.77</v>
      </c>
      <c r="E8149"/>
      <c r="F8149"/>
      <c r="G8149"/>
      <c r="H8149"/>
      <c r="I8149" s="489"/>
      <c r="J8149" s="1362"/>
      <c r="K8149" s="1362"/>
      <c r="L8149" s="1362"/>
    </row>
    <row r="8150" spans="1:12" x14ac:dyDescent="0.25">
      <c r="A8150" t="s">
        <v>17127</v>
      </c>
      <c r="B8150" t="s">
        <v>17128</v>
      </c>
      <c r="C8150" t="s">
        <v>2640</v>
      </c>
      <c r="D8150" s="254">
        <v>2.8</v>
      </c>
      <c r="E8150"/>
      <c r="F8150"/>
      <c r="G8150"/>
      <c r="H8150"/>
      <c r="I8150" s="489"/>
      <c r="J8150" s="1362"/>
      <c r="K8150" s="1362"/>
      <c r="L8150" s="1362"/>
    </row>
    <row r="8151" spans="1:12" x14ac:dyDescent="0.25">
      <c r="A8151" t="s">
        <v>17129</v>
      </c>
      <c r="B8151" t="s">
        <v>17130</v>
      </c>
      <c r="C8151" t="s">
        <v>2640</v>
      </c>
      <c r="D8151" s="254">
        <v>3.76</v>
      </c>
      <c r="E8151"/>
      <c r="F8151"/>
      <c r="G8151"/>
      <c r="H8151"/>
      <c r="I8151" s="489"/>
      <c r="J8151" s="1362"/>
      <c r="K8151" s="1362"/>
      <c r="L8151" s="1362"/>
    </row>
    <row r="8152" spans="1:12" x14ac:dyDescent="0.25">
      <c r="A8152" t="s">
        <v>17131</v>
      </c>
      <c r="B8152" t="s">
        <v>17132</v>
      </c>
      <c r="C8152" t="s">
        <v>2598</v>
      </c>
      <c r="D8152" s="254">
        <v>46.74</v>
      </c>
      <c r="E8152"/>
      <c r="F8152"/>
      <c r="G8152"/>
      <c r="H8152"/>
      <c r="I8152" s="489"/>
      <c r="J8152" s="1362"/>
      <c r="K8152" s="1362"/>
      <c r="L8152" s="1362"/>
    </row>
    <row r="8153" spans="1:12" x14ac:dyDescent="0.25">
      <c r="A8153" t="s">
        <v>17133</v>
      </c>
      <c r="B8153" t="s">
        <v>17134</v>
      </c>
      <c r="C8153" t="s">
        <v>2598</v>
      </c>
      <c r="D8153" s="254">
        <v>149.96</v>
      </c>
      <c r="E8153"/>
      <c r="F8153"/>
      <c r="G8153"/>
      <c r="H8153"/>
      <c r="I8153" s="489"/>
      <c r="J8153" s="1362"/>
      <c r="K8153" s="1362"/>
      <c r="L8153" s="1362"/>
    </row>
    <row r="8154" spans="1:12" x14ac:dyDescent="0.25">
      <c r="A8154" t="s">
        <v>17135</v>
      </c>
      <c r="B8154" t="s">
        <v>17136</v>
      </c>
      <c r="C8154" t="s">
        <v>2716</v>
      </c>
      <c r="D8154" s="254">
        <v>34.79</v>
      </c>
      <c r="E8154"/>
      <c r="F8154"/>
      <c r="G8154"/>
      <c r="H8154"/>
      <c r="I8154" s="489"/>
      <c r="J8154" s="1362"/>
      <c r="K8154" s="1362"/>
      <c r="L8154" s="1362"/>
    </row>
    <row r="8155" spans="1:12" x14ac:dyDescent="0.25">
      <c r="A8155" t="s">
        <v>17137</v>
      </c>
      <c r="B8155" t="s">
        <v>17138</v>
      </c>
      <c r="C8155" t="s">
        <v>2640</v>
      </c>
      <c r="D8155" s="254">
        <v>1.1499999999999999</v>
      </c>
      <c r="E8155"/>
      <c r="F8155"/>
      <c r="G8155"/>
      <c r="H8155"/>
      <c r="I8155" s="489"/>
      <c r="J8155" s="1362"/>
      <c r="K8155" s="1362"/>
      <c r="L8155" s="1362"/>
    </row>
    <row r="8156" spans="1:12" x14ac:dyDescent="0.25">
      <c r="A8156" t="s">
        <v>17139</v>
      </c>
      <c r="B8156" t="s">
        <v>17140</v>
      </c>
      <c r="C8156" t="s">
        <v>2640</v>
      </c>
      <c r="D8156" s="254">
        <v>0.54</v>
      </c>
      <c r="E8156"/>
      <c r="F8156"/>
      <c r="G8156"/>
      <c r="H8156"/>
      <c r="I8156" s="489"/>
      <c r="J8156" s="1362"/>
      <c r="K8156" s="1362"/>
      <c r="L8156" s="1362"/>
    </row>
    <row r="8157" spans="1:12" x14ac:dyDescent="0.25">
      <c r="A8157" t="s">
        <v>17141</v>
      </c>
      <c r="B8157" t="s">
        <v>17142</v>
      </c>
      <c r="C8157" t="s">
        <v>2640</v>
      </c>
      <c r="D8157" s="254">
        <v>0.26</v>
      </c>
      <c r="E8157"/>
      <c r="F8157"/>
      <c r="G8157"/>
      <c r="H8157"/>
      <c r="I8157" s="489"/>
      <c r="J8157" s="1362"/>
      <c r="K8157" s="1362"/>
      <c r="L8157" s="1362"/>
    </row>
    <row r="8158" spans="1:12" x14ac:dyDescent="0.25">
      <c r="A8158" t="s">
        <v>17143</v>
      </c>
      <c r="B8158" t="s">
        <v>17144</v>
      </c>
      <c r="C8158" t="s">
        <v>2640</v>
      </c>
      <c r="D8158" s="254">
        <v>0.28999999999999998</v>
      </c>
      <c r="E8158"/>
      <c r="F8158"/>
      <c r="G8158"/>
      <c r="H8158"/>
      <c r="I8158" s="489"/>
      <c r="J8158" s="1362"/>
      <c r="K8158" s="1362"/>
      <c r="L8158" s="1362"/>
    </row>
    <row r="8159" spans="1:12" x14ac:dyDescent="0.25">
      <c r="A8159" t="s">
        <v>17145</v>
      </c>
      <c r="B8159" t="s">
        <v>17146</v>
      </c>
      <c r="C8159" t="s">
        <v>2640</v>
      </c>
      <c r="D8159" s="254">
        <v>4.1100000000000003</v>
      </c>
      <c r="E8159"/>
      <c r="F8159"/>
      <c r="G8159"/>
      <c r="H8159"/>
      <c r="I8159" s="489"/>
      <c r="J8159" s="1362"/>
      <c r="K8159" s="1362"/>
      <c r="L8159" s="1362"/>
    </row>
    <row r="8160" spans="1:12" x14ac:dyDescent="0.25">
      <c r="A8160" t="s">
        <v>17147</v>
      </c>
      <c r="B8160" t="s">
        <v>17148</v>
      </c>
      <c r="C8160" t="s">
        <v>2598</v>
      </c>
      <c r="D8160" s="254">
        <v>42.19</v>
      </c>
      <c r="E8160"/>
      <c r="F8160"/>
      <c r="G8160"/>
      <c r="H8160"/>
      <c r="I8160" s="489"/>
      <c r="J8160" s="1362"/>
      <c r="K8160" s="1362"/>
      <c r="L8160" s="1362"/>
    </row>
    <row r="8161" spans="1:12" x14ac:dyDescent="0.25">
      <c r="A8161" t="s">
        <v>17149</v>
      </c>
      <c r="B8161" t="s">
        <v>17150</v>
      </c>
      <c r="C8161" t="s">
        <v>2598</v>
      </c>
      <c r="D8161" s="254">
        <v>20.63</v>
      </c>
      <c r="E8161"/>
      <c r="F8161"/>
      <c r="G8161"/>
      <c r="H8161"/>
      <c r="I8161" s="489"/>
      <c r="J8161" s="1362"/>
      <c r="K8161" s="1362"/>
      <c r="L8161" s="1362"/>
    </row>
    <row r="8162" spans="1:12" x14ac:dyDescent="0.25">
      <c r="A8162" t="s">
        <v>17151</v>
      </c>
      <c r="B8162" t="s">
        <v>17152</v>
      </c>
      <c r="C8162" t="s">
        <v>13878</v>
      </c>
      <c r="D8162" s="254">
        <v>15.22</v>
      </c>
      <c r="E8162"/>
      <c r="F8162"/>
      <c r="G8162"/>
      <c r="H8162"/>
      <c r="I8162" s="489"/>
      <c r="J8162" s="1362"/>
      <c r="K8162" s="1362"/>
      <c r="L8162" s="1362"/>
    </row>
    <row r="8163" spans="1:12" x14ac:dyDescent="0.25">
      <c r="A8163" t="s">
        <v>17153</v>
      </c>
      <c r="B8163" t="s">
        <v>17154</v>
      </c>
      <c r="C8163" t="s">
        <v>2716</v>
      </c>
      <c r="D8163" s="254">
        <v>26.82</v>
      </c>
      <c r="E8163"/>
      <c r="F8163"/>
      <c r="G8163"/>
      <c r="H8163"/>
      <c r="I8163" s="489"/>
      <c r="J8163" s="1362"/>
      <c r="K8163" s="1362"/>
      <c r="L8163" s="1362"/>
    </row>
    <row r="8164" spans="1:12" x14ac:dyDescent="0.25">
      <c r="A8164"/>
      <c r="B8164"/>
      <c r="C8164"/>
      <c r="D8164" s="254"/>
      <c r="E8164"/>
      <c r="F8164"/>
      <c r="G8164"/>
      <c r="H8164"/>
      <c r="I8164" s="489"/>
      <c r="J8164" s="1362"/>
      <c r="K8164" s="1362"/>
      <c r="L8164" s="1362"/>
    </row>
    <row r="8165" spans="1:12" x14ac:dyDescent="0.25">
      <c r="A8165"/>
      <c r="B8165"/>
      <c r="C8165"/>
      <c r="D8165" s="254"/>
      <c r="E8165"/>
      <c r="F8165"/>
      <c r="G8165"/>
      <c r="H8165"/>
      <c r="I8165" s="489"/>
      <c r="J8165" s="1362"/>
      <c r="K8165" s="1362"/>
      <c r="L8165" s="1362"/>
    </row>
    <row r="8166" spans="1:12" x14ac:dyDescent="0.25">
      <c r="A8166"/>
      <c r="B8166"/>
      <c r="C8166"/>
      <c r="D8166" s="254"/>
      <c r="E8166"/>
      <c r="F8166"/>
      <c r="G8166"/>
      <c r="H8166"/>
      <c r="I8166" s="489"/>
      <c r="J8166" s="1362"/>
      <c r="K8166" s="1362"/>
      <c r="L8166" s="1362"/>
    </row>
    <row r="8167" spans="1:12" x14ac:dyDescent="0.25">
      <c r="A8167"/>
      <c r="B8167"/>
      <c r="C8167"/>
      <c r="D8167" s="254"/>
      <c r="E8167"/>
      <c r="F8167"/>
      <c r="G8167"/>
      <c r="H8167"/>
      <c r="I8167" s="489"/>
      <c r="J8167" s="1362"/>
      <c r="K8167" s="1362"/>
      <c r="L8167" s="1362"/>
    </row>
    <row r="8168" spans="1:12" x14ac:dyDescent="0.25">
      <c r="A8168" t="s">
        <v>17155</v>
      </c>
      <c r="B8168" t="s">
        <v>2852</v>
      </c>
      <c r="C8168" t="s">
        <v>149</v>
      </c>
      <c r="D8168" s="254">
        <v>7.73</v>
      </c>
      <c r="E8168"/>
      <c r="F8168"/>
      <c r="G8168"/>
      <c r="H8168"/>
      <c r="I8168" s="489"/>
      <c r="J8168" s="1362"/>
      <c r="K8168" s="1362"/>
      <c r="L8168" s="1362"/>
    </row>
    <row r="8169" spans="1:12" x14ac:dyDescent="0.25">
      <c r="A8169" t="s">
        <v>17156</v>
      </c>
      <c r="B8169" t="s">
        <v>17157</v>
      </c>
      <c r="C8169" t="s">
        <v>149</v>
      </c>
      <c r="D8169" s="254">
        <v>9.2799999999999994</v>
      </c>
      <c r="E8169"/>
      <c r="F8169"/>
      <c r="G8169"/>
      <c r="H8169"/>
      <c r="I8169" s="489"/>
      <c r="J8169" s="1362"/>
      <c r="K8169" s="1362"/>
      <c r="L8169" s="1362"/>
    </row>
    <row r="8170" spans="1:12" x14ac:dyDescent="0.25">
      <c r="A8170" t="s">
        <v>17158</v>
      </c>
      <c r="B8170" t="s">
        <v>17159</v>
      </c>
      <c r="C8170" t="s">
        <v>5725</v>
      </c>
      <c r="D8170" s="254">
        <v>1897.25</v>
      </c>
      <c r="E8170"/>
      <c r="F8170"/>
      <c r="G8170"/>
      <c r="H8170"/>
      <c r="I8170" s="489"/>
      <c r="J8170" s="1362"/>
      <c r="K8170" s="1362"/>
      <c r="L8170" s="1362"/>
    </row>
    <row r="8171" spans="1:12" x14ac:dyDescent="0.25">
      <c r="A8171" t="s">
        <v>17160</v>
      </c>
      <c r="B8171" t="s">
        <v>17161</v>
      </c>
      <c r="C8171" t="s">
        <v>5725</v>
      </c>
      <c r="D8171" s="254">
        <v>1694.69</v>
      </c>
      <c r="E8171"/>
      <c r="F8171"/>
      <c r="G8171"/>
      <c r="H8171"/>
      <c r="I8171" s="489"/>
      <c r="J8171" s="1362"/>
      <c r="K8171" s="1362"/>
      <c r="L8171" s="1362"/>
    </row>
    <row r="8172" spans="1:12" x14ac:dyDescent="0.25">
      <c r="A8172" t="s">
        <v>17162</v>
      </c>
      <c r="B8172" t="s">
        <v>17163</v>
      </c>
      <c r="C8172" t="s">
        <v>149</v>
      </c>
      <c r="D8172" s="254">
        <v>11.44</v>
      </c>
      <c r="E8172"/>
      <c r="F8172"/>
      <c r="G8172"/>
      <c r="H8172"/>
      <c r="I8172" s="489"/>
      <c r="J8172" s="1362"/>
      <c r="K8172" s="1362"/>
      <c r="L8172" s="1362"/>
    </row>
    <row r="8173" spans="1:12" x14ac:dyDescent="0.25">
      <c r="A8173" t="s">
        <v>17164</v>
      </c>
      <c r="B8173" t="s">
        <v>17165</v>
      </c>
      <c r="C8173" t="s">
        <v>5725</v>
      </c>
      <c r="D8173" s="254">
        <v>1826.87</v>
      </c>
      <c r="E8173"/>
      <c r="F8173"/>
      <c r="G8173"/>
      <c r="H8173"/>
      <c r="I8173" s="489"/>
      <c r="J8173" s="1362"/>
      <c r="K8173" s="1362"/>
      <c r="L8173" s="1362"/>
    </row>
    <row r="8174" spans="1:12" x14ac:dyDescent="0.25">
      <c r="A8174" t="s">
        <v>17166</v>
      </c>
      <c r="B8174" t="s">
        <v>17167</v>
      </c>
      <c r="C8174" t="s">
        <v>149</v>
      </c>
      <c r="D8174" s="254">
        <v>11.55</v>
      </c>
      <c r="E8174"/>
      <c r="F8174"/>
      <c r="G8174"/>
      <c r="H8174"/>
      <c r="I8174" s="489"/>
      <c r="J8174" s="1362"/>
      <c r="K8174" s="1362"/>
      <c r="L8174" s="1362"/>
    </row>
    <row r="8175" spans="1:12" x14ac:dyDescent="0.25">
      <c r="A8175" t="s">
        <v>17168</v>
      </c>
      <c r="B8175" t="s">
        <v>17169</v>
      </c>
      <c r="C8175" t="s">
        <v>149</v>
      </c>
      <c r="D8175" s="254">
        <v>9.3000000000000007</v>
      </c>
      <c r="E8175"/>
      <c r="F8175"/>
      <c r="G8175"/>
      <c r="H8175"/>
      <c r="I8175" s="489"/>
      <c r="J8175" s="1362"/>
      <c r="K8175" s="1362"/>
      <c r="L8175" s="1362"/>
    </row>
    <row r="8176" spans="1:12" x14ac:dyDescent="0.25">
      <c r="A8176" t="s">
        <v>17170</v>
      </c>
      <c r="B8176" t="s">
        <v>17171</v>
      </c>
      <c r="C8176" t="s">
        <v>5725</v>
      </c>
      <c r="D8176" s="254">
        <v>4191.1899999999996</v>
      </c>
      <c r="E8176"/>
      <c r="F8176"/>
      <c r="G8176"/>
      <c r="H8176"/>
      <c r="I8176" s="489"/>
      <c r="J8176" s="1362"/>
      <c r="K8176" s="1362"/>
      <c r="L8176" s="1362"/>
    </row>
    <row r="8177" spans="1:12" x14ac:dyDescent="0.25">
      <c r="A8177" t="s">
        <v>17172</v>
      </c>
      <c r="B8177" t="s">
        <v>17173</v>
      </c>
      <c r="C8177" t="s">
        <v>149</v>
      </c>
      <c r="D8177" s="254">
        <v>10.06</v>
      </c>
      <c r="E8177"/>
      <c r="F8177"/>
      <c r="G8177"/>
      <c r="H8177"/>
      <c r="I8177" s="489"/>
      <c r="J8177" s="1362"/>
      <c r="K8177" s="1362"/>
      <c r="L8177" s="1362"/>
    </row>
    <row r="8178" spans="1:12" x14ac:dyDescent="0.25">
      <c r="A8178" t="s">
        <v>17174</v>
      </c>
      <c r="B8178" t="s">
        <v>17175</v>
      </c>
      <c r="C8178" t="s">
        <v>5725</v>
      </c>
      <c r="D8178" s="254">
        <v>3832.23</v>
      </c>
      <c r="E8178"/>
      <c r="F8178"/>
      <c r="G8178"/>
      <c r="H8178"/>
      <c r="I8178" s="489"/>
      <c r="J8178" s="1362"/>
      <c r="K8178" s="1362"/>
      <c r="L8178" s="1362"/>
    </row>
    <row r="8179" spans="1:12" x14ac:dyDescent="0.25">
      <c r="A8179" t="s">
        <v>17176</v>
      </c>
      <c r="B8179" t="s">
        <v>17177</v>
      </c>
      <c r="C8179" t="s">
        <v>5725</v>
      </c>
      <c r="D8179" s="254">
        <v>12958.97</v>
      </c>
      <c r="E8179"/>
      <c r="F8179"/>
      <c r="G8179"/>
      <c r="H8179"/>
      <c r="I8179" s="489"/>
      <c r="J8179" s="1362"/>
      <c r="K8179" s="1362"/>
      <c r="L8179" s="1362"/>
    </row>
    <row r="8180" spans="1:12" x14ac:dyDescent="0.25">
      <c r="A8180" t="s">
        <v>17178</v>
      </c>
      <c r="B8180" t="s">
        <v>17179</v>
      </c>
      <c r="C8180" t="s">
        <v>5725</v>
      </c>
      <c r="D8180" s="254">
        <v>1358.52</v>
      </c>
      <c r="E8180"/>
      <c r="F8180"/>
      <c r="G8180"/>
      <c r="H8180"/>
      <c r="I8180" s="489"/>
      <c r="J8180" s="1362"/>
      <c r="K8180" s="1362"/>
      <c r="L8180" s="1362"/>
    </row>
    <row r="8181" spans="1:12" x14ac:dyDescent="0.25">
      <c r="A8181" t="s">
        <v>17180</v>
      </c>
      <c r="B8181" t="s">
        <v>17181</v>
      </c>
      <c r="C8181" t="s">
        <v>149</v>
      </c>
      <c r="D8181" s="254">
        <v>7.75</v>
      </c>
      <c r="E8181"/>
      <c r="F8181"/>
      <c r="G8181"/>
      <c r="H8181"/>
      <c r="I8181" s="489"/>
      <c r="J8181" s="1362"/>
      <c r="K8181" s="1362"/>
      <c r="L8181" s="1362"/>
    </row>
    <row r="8182" spans="1:12" x14ac:dyDescent="0.25">
      <c r="A8182" t="s">
        <v>17182</v>
      </c>
      <c r="B8182" t="s">
        <v>17183</v>
      </c>
      <c r="C8182" t="s">
        <v>5725</v>
      </c>
      <c r="D8182" s="254">
        <v>12958.97</v>
      </c>
      <c r="E8182"/>
      <c r="F8182"/>
      <c r="G8182"/>
      <c r="H8182"/>
      <c r="I8182" s="489"/>
      <c r="J8182" s="1362"/>
      <c r="K8182" s="1362"/>
      <c r="L8182" s="1362"/>
    </row>
    <row r="8183" spans="1:12" x14ac:dyDescent="0.25">
      <c r="A8183" t="s">
        <v>6397</v>
      </c>
      <c r="B8183" t="s">
        <v>2751</v>
      </c>
      <c r="C8183" t="s">
        <v>149</v>
      </c>
      <c r="D8183" s="254">
        <v>9.4499999999999993</v>
      </c>
      <c r="E8183"/>
      <c r="F8183"/>
      <c r="G8183"/>
      <c r="H8183"/>
      <c r="I8183" s="489"/>
      <c r="J8183" s="1362"/>
      <c r="K8183" s="1362"/>
      <c r="L8183" s="1362"/>
    </row>
    <row r="8184" spans="1:12" x14ac:dyDescent="0.25">
      <c r="A8184" t="s">
        <v>17184</v>
      </c>
      <c r="B8184" t="s">
        <v>17185</v>
      </c>
      <c r="C8184" t="s">
        <v>149</v>
      </c>
      <c r="D8184" s="254">
        <v>8.7200000000000006</v>
      </c>
      <c r="E8184"/>
      <c r="F8184"/>
      <c r="G8184"/>
      <c r="H8184"/>
      <c r="I8184" s="489"/>
      <c r="J8184" s="1362"/>
      <c r="K8184" s="1362"/>
      <c r="L8184" s="1362"/>
    </row>
    <row r="8185" spans="1:12" x14ac:dyDescent="0.25">
      <c r="A8185" t="s">
        <v>17186</v>
      </c>
      <c r="B8185" t="s">
        <v>17187</v>
      </c>
      <c r="C8185" t="s">
        <v>149</v>
      </c>
      <c r="D8185" s="254">
        <v>8.76</v>
      </c>
      <c r="E8185"/>
      <c r="F8185"/>
      <c r="G8185"/>
      <c r="H8185"/>
      <c r="I8185" s="489"/>
      <c r="J8185" s="1362"/>
      <c r="K8185" s="1362"/>
      <c r="L8185" s="1362"/>
    </row>
    <row r="8186" spans="1:12" x14ac:dyDescent="0.25">
      <c r="A8186" t="s">
        <v>6398</v>
      </c>
      <c r="B8186" t="s">
        <v>2740</v>
      </c>
      <c r="C8186" t="s">
        <v>149</v>
      </c>
      <c r="D8186" s="254">
        <v>6.61</v>
      </c>
      <c r="E8186"/>
      <c r="F8186"/>
      <c r="G8186"/>
      <c r="H8186"/>
      <c r="I8186" s="489"/>
      <c r="J8186" s="1362"/>
      <c r="K8186" s="1362"/>
      <c r="L8186" s="1362"/>
    </row>
    <row r="8187" spans="1:12" x14ac:dyDescent="0.25">
      <c r="A8187" t="s">
        <v>17188</v>
      </c>
      <c r="B8187" t="s">
        <v>2739</v>
      </c>
      <c r="C8187" t="s">
        <v>149</v>
      </c>
      <c r="D8187" s="254">
        <v>13.49</v>
      </c>
      <c r="E8187"/>
      <c r="F8187"/>
      <c r="G8187"/>
      <c r="H8187"/>
      <c r="I8187" s="489"/>
      <c r="J8187" s="1362"/>
      <c r="K8187" s="1362"/>
      <c r="L8187" s="1362"/>
    </row>
    <row r="8188" spans="1:12" x14ac:dyDescent="0.25">
      <c r="A8188" t="s">
        <v>17189</v>
      </c>
      <c r="B8188" t="s">
        <v>17190</v>
      </c>
      <c r="C8188" t="s">
        <v>5725</v>
      </c>
      <c r="D8188" s="254">
        <v>8594.98</v>
      </c>
      <c r="E8188"/>
      <c r="F8188"/>
      <c r="G8188"/>
      <c r="H8188"/>
      <c r="I8188" s="489"/>
      <c r="J8188" s="1362"/>
      <c r="K8188" s="1362"/>
      <c r="L8188" s="1362"/>
    </row>
    <row r="8189" spans="1:12" x14ac:dyDescent="0.25">
      <c r="A8189" t="s">
        <v>17191</v>
      </c>
      <c r="B8189" t="s">
        <v>17192</v>
      </c>
      <c r="C8189" t="s">
        <v>5725</v>
      </c>
      <c r="D8189" s="254">
        <v>1414.07</v>
      </c>
      <c r="E8189"/>
      <c r="F8189"/>
      <c r="G8189"/>
      <c r="H8189"/>
      <c r="I8189" s="489"/>
      <c r="J8189" s="1362"/>
      <c r="K8189" s="1362"/>
      <c r="L8189" s="1362"/>
    </row>
    <row r="8190" spans="1:12" x14ac:dyDescent="0.25">
      <c r="A8190" t="s">
        <v>6457</v>
      </c>
      <c r="B8190" t="s">
        <v>4627</v>
      </c>
      <c r="C8190" t="s">
        <v>149</v>
      </c>
      <c r="D8190" s="254">
        <v>9.89</v>
      </c>
      <c r="E8190"/>
      <c r="F8190"/>
      <c r="G8190"/>
      <c r="H8190"/>
      <c r="I8190" s="489"/>
      <c r="J8190" s="1362"/>
      <c r="K8190" s="1362"/>
      <c r="L8190" s="1362"/>
    </row>
    <row r="8191" spans="1:12" x14ac:dyDescent="0.25">
      <c r="A8191" t="s">
        <v>17193</v>
      </c>
      <c r="B8191" t="s">
        <v>17194</v>
      </c>
      <c r="C8191" t="s">
        <v>5725</v>
      </c>
      <c r="D8191" s="254">
        <v>2072.4</v>
      </c>
      <c r="E8191"/>
      <c r="F8191"/>
      <c r="G8191"/>
      <c r="H8191"/>
      <c r="I8191" s="489"/>
      <c r="J8191" s="1362"/>
      <c r="K8191" s="1362"/>
      <c r="L8191" s="1362"/>
    </row>
    <row r="8192" spans="1:12" x14ac:dyDescent="0.25">
      <c r="A8192" t="s">
        <v>17195</v>
      </c>
      <c r="B8192" t="s">
        <v>17196</v>
      </c>
      <c r="C8192" t="s">
        <v>149</v>
      </c>
      <c r="D8192" s="254">
        <v>7.73</v>
      </c>
      <c r="E8192"/>
      <c r="F8192"/>
      <c r="G8192"/>
      <c r="H8192"/>
      <c r="I8192" s="489"/>
      <c r="J8192" s="1362"/>
      <c r="K8192" s="1362"/>
      <c r="L8192" s="1362"/>
    </row>
    <row r="8193" spans="1:12" x14ac:dyDescent="0.25">
      <c r="A8193" t="s">
        <v>17197</v>
      </c>
      <c r="B8193" t="s">
        <v>17198</v>
      </c>
      <c r="C8193" t="s">
        <v>149</v>
      </c>
      <c r="D8193" s="254">
        <v>54.59</v>
      </c>
      <c r="E8193"/>
      <c r="F8193"/>
      <c r="G8193"/>
      <c r="H8193"/>
      <c r="I8193" s="489"/>
      <c r="J8193" s="1362"/>
      <c r="K8193" s="1362"/>
      <c r="L8193" s="1362"/>
    </row>
    <row r="8194" spans="1:12" x14ac:dyDescent="0.25">
      <c r="A8194" t="s">
        <v>17199</v>
      </c>
      <c r="B8194" t="s">
        <v>17200</v>
      </c>
      <c r="C8194" t="s">
        <v>5725</v>
      </c>
      <c r="D8194" s="254">
        <v>4055.25</v>
      </c>
      <c r="E8194"/>
      <c r="F8194"/>
      <c r="G8194"/>
      <c r="H8194"/>
      <c r="I8194" s="489"/>
      <c r="J8194" s="1362"/>
      <c r="K8194" s="1362"/>
      <c r="L8194" s="1362"/>
    </row>
    <row r="8195" spans="1:12" x14ac:dyDescent="0.25">
      <c r="A8195" t="s">
        <v>17201</v>
      </c>
      <c r="B8195" t="s">
        <v>17202</v>
      </c>
      <c r="C8195" t="s">
        <v>5725</v>
      </c>
      <c r="D8195" s="254">
        <v>6204.37</v>
      </c>
      <c r="E8195"/>
      <c r="F8195"/>
      <c r="G8195"/>
      <c r="H8195"/>
      <c r="I8195" s="489"/>
      <c r="J8195" s="1362"/>
      <c r="K8195" s="1362"/>
      <c r="L8195" s="1362"/>
    </row>
    <row r="8196" spans="1:12" x14ac:dyDescent="0.25">
      <c r="A8196" t="s">
        <v>17203</v>
      </c>
      <c r="B8196" t="s">
        <v>17204</v>
      </c>
      <c r="C8196" t="s">
        <v>5725</v>
      </c>
      <c r="D8196" s="254">
        <v>1440.15</v>
      </c>
      <c r="E8196"/>
      <c r="F8196"/>
      <c r="G8196"/>
      <c r="H8196"/>
      <c r="I8196" s="489"/>
      <c r="J8196" s="1362"/>
      <c r="K8196" s="1362"/>
      <c r="L8196" s="1362"/>
    </row>
    <row r="8197" spans="1:12" x14ac:dyDescent="0.25">
      <c r="A8197" t="s">
        <v>17205</v>
      </c>
      <c r="B8197" t="s">
        <v>17206</v>
      </c>
      <c r="C8197" t="s">
        <v>149</v>
      </c>
      <c r="D8197" s="254">
        <v>8.02</v>
      </c>
      <c r="E8197"/>
      <c r="F8197"/>
      <c r="G8197"/>
      <c r="H8197"/>
      <c r="I8197" s="489"/>
      <c r="J8197" s="1362"/>
      <c r="K8197" s="1362"/>
      <c r="L8197" s="1362"/>
    </row>
    <row r="8198" spans="1:12" x14ac:dyDescent="0.25">
      <c r="A8198" t="s">
        <v>17207</v>
      </c>
      <c r="B8198" t="s">
        <v>17208</v>
      </c>
      <c r="C8198" t="s">
        <v>5725</v>
      </c>
      <c r="D8198" s="254">
        <v>5300.06</v>
      </c>
      <c r="E8198"/>
      <c r="F8198"/>
      <c r="G8198"/>
      <c r="H8198"/>
      <c r="I8198" s="489"/>
      <c r="J8198" s="1362"/>
      <c r="K8198" s="1362"/>
      <c r="L8198" s="1362"/>
    </row>
    <row r="8199" spans="1:12" x14ac:dyDescent="0.25">
      <c r="A8199" t="s">
        <v>17209</v>
      </c>
      <c r="B8199" t="s">
        <v>17210</v>
      </c>
      <c r="C8199" t="s">
        <v>149</v>
      </c>
      <c r="D8199" s="254">
        <v>11.31</v>
      </c>
      <c r="E8199"/>
      <c r="F8199"/>
      <c r="G8199"/>
      <c r="H8199"/>
      <c r="I8199" s="489"/>
      <c r="J8199" s="1362"/>
      <c r="K8199" s="1362"/>
      <c r="L8199" s="1362"/>
    </row>
    <row r="8200" spans="1:12" x14ac:dyDescent="0.25">
      <c r="A8200" t="s">
        <v>17211</v>
      </c>
      <c r="B8200" t="s">
        <v>17212</v>
      </c>
      <c r="C8200" t="s">
        <v>149</v>
      </c>
      <c r="D8200" s="254">
        <v>15.3</v>
      </c>
      <c r="E8200"/>
      <c r="F8200"/>
      <c r="G8200"/>
      <c r="H8200"/>
      <c r="I8200" s="489"/>
      <c r="J8200" s="1362"/>
      <c r="K8200" s="1362"/>
      <c r="L8200" s="1362"/>
    </row>
    <row r="8201" spans="1:12" x14ac:dyDescent="0.25">
      <c r="A8201" t="s">
        <v>17213</v>
      </c>
      <c r="B8201" t="s">
        <v>17214</v>
      </c>
      <c r="C8201" t="s">
        <v>149</v>
      </c>
      <c r="D8201" s="254">
        <v>7.73</v>
      </c>
      <c r="E8201"/>
      <c r="F8201"/>
      <c r="G8201"/>
      <c r="H8201"/>
      <c r="I8201" s="489"/>
      <c r="J8201" s="1362"/>
      <c r="K8201" s="1362"/>
      <c r="L8201" s="1362"/>
    </row>
    <row r="8202" spans="1:12" x14ac:dyDescent="0.25">
      <c r="A8202" t="s">
        <v>17215</v>
      </c>
      <c r="B8202" t="s">
        <v>17216</v>
      </c>
      <c r="C8202" t="s">
        <v>5725</v>
      </c>
      <c r="D8202" s="254">
        <v>2782.03</v>
      </c>
      <c r="E8202"/>
      <c r="F8202"/>
      <c r="G8202"/>
      <c r="H8202"/>
      <c r="I8202" s="489"/>
      <c r="J8202" s="1362"/>
      <c r="K8202" s="1362"/>
      <c r="L8202" s="1362"/>
    </row>
    <row r="8203" spans="1:12" x14ac:dyDescent="0.25">
      <c r="A8203" t="s">
        <v>17217</v>
      </c>
      <c r="B8203" t="s">
        <v>17218</v>
      </c>
      <c r="C8203" t="s">
        <v>5725</v>
      </c>
      <c r="D8203" s="254">
        <v>2002.36</v>
      </c>
      <c r="E8203"/>
      <c r="F8203"/>
      <c r="G8203"/>
      <c r="H8203"/>
      <c r="I8203" s="489"/>
      <c r="J8203" s="1362"/>
      <c r="K8203" s="1362"/>
      <c r="L8203" s="1362"/>
    </row>
    <row r="8204" spans="1:12" x14ac:dyDescent="0.25">
      <c r="A8204" t="s">
        <v>17219</v>
      </c>
      <c r="B8204" t="s">
        <v>17220</v>
      </c>
      <c r="C8204" t="s">
        <v>5725</v>
      </c>
      <c r="D8204" s="254">
        <v>1839.2</v>
      </c>
      <c r="E8204"/>
      <c r="F8204"/>
      <c r="G8204"/>
      <c r="H8204"/>
      <c r="I8204" s="489"/>
      <c r="J8204" s="1362"/>
      <c r="K8204" s="1362"/>
      <c r="L8204" s="1362"/>
    </row>
    <row r="8205" spans="1:12" x14ac:dyDescent="0.25">
      <c r="A8205" t="s">
        <v>17221</v>
      </c>
      <c r="B8205" t="s">
        <v>17222</v>
      </c>
      <c r="C8205" t="s">
        <v>5725</v>
      </c>
      <c r="D8205" s="254">
        <v>9676.41</v>
      </c>
      <c r="E8205"/>
      <c r="F8205"/>
      <c r="G8205"/>
      <c r="H8205"/>
      <c r="I8205" s="489"/>
      <c r="J8205" s="1362"/>
      <c r="K8205" s="1362"/>
      <c r="L8205" s="1362"/>
    </row>
    <row r="8206" spans="1:12" x14ac:dyDescent="0.25">
      <c r="A8206" t="s">
        <v>17223</v>
      </c>
      <c r="B8206" t="s">
        <v>17224</v>
      </c>
      <c r="C8206" t="s">
        <v>149</v>
      </c>
      <c r="D8206" s="254">
        <v>9.42</v>
      </c>
      <c r="E8206"/>
      <c r="F8206"/>
      <c r="G8206"/>
      <c r="H8206"/>
      <c r="I8206" s="489"/>
      <c r="J8206" s="1362"/>
      <c r="K8206" s="1362"/>
      <c r="L8206" s="1362"/>
    </row>
    <row r="8207" spans="1:12" x14ac:dyDescent="0.25">
      <c r="A8207" t="s">
        <v>17225</v>
      </c>
      <c r="B8207" t="s">
        <v>17226</v>
      </c>
      <c r="C8207" t="s">
        <v>149</v>
      </c>
      <c r="D8207" s="254">
        <v>7.73</v>
      </c>
      <c r="E8207"/>
      <c r="F8207"/>
      <c r="G8207"/>
      <c r="H8207"/>
      <c r="I8207" s="489"/>
      <c r="J8207" s="1362"/>
      <c r="K8207" s="1362"/>
      <c r="L8207" s="1362"/>
    </row>
    <row r="8208" spans="1:12" x14ac:dyDescent="0.25">
      <c r="A8208" t="s">
        <v>17227</v>
      </c>
      <c r="B8208" t="s">
        <v>17228</v>
      </c>
      <c r="C8208" t="s">
        <v>5725</v>
      </c>
      <c r="D8208" s="254">
        <v>1617.49</v>
      </c>
      <c r="E8208"/>
      <c r="F8208"/>
      <c r="G8208"/>
      <c r="H8208"/>
      <c r="I8208" s="489"/>
      <c r="J8208" s="1362"/>
      <c r="K8208" s="1362"/>
      <c r="L8208" s="1362"/>
    </row>
    <row r="8209" spans="1:12" x14ac:dyDescent="0.25">
      <c r="A8209" t="s">
        <v>17229</v>
      </c>
      <c r="B8209" t="s">
        <v>17230</v>
      </c>
      <c r="C8209" t="s">
        <v>5725</v>
      </c>
      <c r="D8209" s="254">
        <v>1866.42</v>
      </c>
      <c r="E8209"/>
      <c r="F8209"/>
      <c r="G8209"/>
      <c r="H8209"/>
      <c r="I8209" s="489"/>
      <c r="J8209" s="1362"/>
      <c r="K8209" s="1362"/>
      <c r="L8209" s="1362"/>
    </row>
    <row r="8210" spans="1:12" x14ac:dyDescent="0.25">
      <c r="A8210" t="s">
        <v>17231</v>
      </c>
      <c r="B8210" t="s">
        <v>17232</v>
      </c>
      <c r="C8210" t="s">
        <v>149</v>
      </c>
      <c r="D8210" s="254">
        <v>8.3800000000000008</v>
      </c>
      <c r="E8210"/>
      <c r="F8210"/>
      <c r="G8210"/>
      <c r="H8210"/>
      <c r="I8210" s="489"/>
      <c r="J8210" s="1362"/>
      <c r="K8210" s="1362"/>
      <c r="L8210" s="1362"/>
    </row>
    <row r="8211" spans="1:12" x14ac:dyDescent="0.25">
      <c r="A8211" t="s">
        <v>17233</v>
      </c>
      <c r="B8211" t="s">
        <v>17234</v>
      </c>
      <c r="C8211" t="s">
        <v>5725</v>
      </c>
      <c r="D8211" s="254">
        <v>1844.62</v>
      </c>
      <c r="E8211"/>
      <c r="F8211"/>
      <c r="G8211"/>
      <c r="H8211"/>
      <c r="I8211" s="489"/>
      <c r="J8211" s="1362"/>
      <c r="K8211" s="1362"/>
      <c r="L8211" s="1362"/>
    </row>
    <row r="8212" spans="1:12" x14ac:dyDescent="0.25">
      <c r="A8212" t="s">
        <v>17235</v>
      </c>
      <c r="B8212" t="s">
        <v>17236</v>
      </c>
      <c r="C8212" t="s">
        <v>5725</v>
      </c>
      <c r="D8212" s="254">
        <v>2608.5300000000002</v>
      </c>
      <c r="E8212"/>
      <c r="F8212"/>
      <c r="G8212"/>
      <c r="H8212"/>
      <c r="I8212" s="489"/>
      <c r="J8212" s="1362"/>
      <c r="K8212" s="1362"/>
      <c r="L8212" s="1362"/>
    </row>
    <row r="8213" spans="1:12" x14ac:dyDescent="0.25">
      <c r="A8213" t="s">
        <v>17237</v>
      </c>
      <c r="B8213" t="s">
        <v>17238</v>
      </c>
      <c r="C8213" t="s">
        <v>149</v>
      </c>
      <c r="D8213" s="254">
        <v>6.61</v>
      </c>
      <c r="E8213"/>
      <c r="F8213"/>
      <c r="G8213"/>
      <c r="H8213"/>
      <c r="I8213" s="489"/>
      <c r="J8213" s="1362"/>
      <c r="K8213" s="1362"/>
      <c r="L8213" s="1362"/>
    </row>
    <row r="8214" spans="1:12" x14ac:dyDescent="0.25">
      <c r="A8214" t="s">
        <v>17239</v>
      </c>
      <c r="B8214" t="s">
        <v>17240</v>
      </c>
      <c r="C8214" t="s">
        <v>149</v>
      </c>
      <c r="D8214" s="254">
        <v>7.73</v>
      </c>
      <c r="E8214"/>
      <c r="F8214"/>
      <c r="G8214"/>
      <c r="H8214"/>
      <c r="I8214" s="489"/>
      <c r="J8214" s="1362"/>
      <c r="K8214" s="1362"/>
      <c r="L8214" s="1362"/>
    </row>
    <row r="8215" spans="1:12" x14ac:dyDescent="0.25">
      <c r="A8215" t="s">
        <v>17241</v>
      </c>
      <c r="B8215" t="s">
        <v>17242</v>
      </c>
      <c r="C8215" t="s">
        <v>5725</v>
      </c>
      <c r="D8215" s="254">
        <v>10513.95</v>
      </c>
      <c r="E8215"/>
      <c r="F8215"/>
      <c r="G8215"/>
      <c r="H8215"/>
      <c r="I8215" s="489"/>
      <c r="J8215" s="1362"/>
      <c r="K8215" s="1362"/>
      <c r="L8215" s="1362"/>
    </row>
    <row r="8216" spans="1:12" x14ac:dyDescent="0.25">
      <c r="A8216" t="s">
        <v>17243</v>
      </c>
      <c r="B8216" t="s">
        <v>17244</v>
      </c>
      <c r="C8216" t="s">
        <v>5725</v>
      </c>
      <c r="D8216" s="254">
        <v>2688.16</v>
      </c>
      <c r="E8216"/>
      <c r="F8216"/>
      <c r="G8216"/>
      <c r="H8216"/>
      <c r="I8216" s="489"/>
      <c r="J8216" s="1362"/>
      <c r="K8216" s="1362"/>
      <c r="L8216" s="1362"/>
    </row>
    <row r="8217" spans="1:12" x14ac:dyDescent="0.25">
      <c r="A8217" t="s">
        <v>17245</v>
      </c>
      <c r="B8217" t="s">
        <v>17246</v>
      </c>
      <c r="C8217" t="s">
        <v>149</v>
      </c>
      <c r="D8217" s="254">
        <v>9.39</v>
      </c>
      <c r="E8217"/>
      <c r="F8217"/>
      <c r="G8217"/>
      <c r="H8217"/>
      <c r="I8217" s="489"/>
      <c r="J8217" s="1362"/>
      <c r="K8217" s="1362"/>
      <c r="L8217" s="1362"/>
    </row>
    <row r="8218" spans="1:12" x14ac:dyDescent="0.25">
      <c r="A8218" t="s">
        <v>17247</v>
      </c>
      <c r="B8218" t="s">
        <v>17248</v>
      </c>
      <c r="C8218" t="s">
        <v>5725</v>
      </c>
      <c r="D8218" s="254">
        <v>3172.15</v>
      </c>
      <c r="E8218"/>
      <c r="F8218"/>
      <c r="G8218"/>
      <c r="H8218"/>
      <c r="I8218" s="489"/>
      <c r="J8218" s="1362"/>
      <c r="K8218" s="1362"/>
      <c r="L8218" s="1362"/>
    </row>
    <row r="8219" spans="1:12" x14ac:dyDescent="0.25">
      <c r="A8219" t="s">
        <v>17249</v>
      </c>
      <c r="B8219" t="s">
        <v>17250</v>
      </c>
      <c r="C8219" t="s">
        <v>5725</v>
      </c>
      <c r="D8219" s="254">
        <v>3832.23</v>
      </c>
      <c r="E8219"/>
      <c r="F8219"/>
      <c r="G8219"/>
      <c r="H8219"/>
      <c r="I8219" s="489"/>
      <c r="J8219" s="1362"/>
      <c r="K8219" s="1362"/>
      <c r="L8219" s="1362"/>
    </row>
    <row r="8220" spans="1:12" x14ac:dyDescent="0.25">
      <c r="A8220" t="s">
        <v>17251</v>
      </c>
      <c r="B8220" t="s">
        <v>17252</v>
      </c>
      <c r="C8220" t="s">
        <v>149</v>
      </c>
      <c r="D8220" s="254">
        <v>9.1199999999999992</v>
      </c>
      <c r="E8220"/>
      <c r="F8220"/>
      <c r="G8220"/>
      <c r="H8220"/>
      <c r="I8220" s="489"/>
      <c r="J8220" s="1362"/>
      <c r="K8220" s="1362"/>
      <c r="L8220" s="1362"/>
    </row>
    <row r="8221" spans="1:12" x14ac:dyDescent="0.25">
      <c r="A8221" t="s">
        <v>17253</v>
      </c>
      <c r="B8221" t="s">
        <v>17254</v>
      </c>
      <c r="C8221" t="s">
        <v>149</v>
      </c>
      <c r="D8221" s="254">
        <v>11.51</v>
      </c>
      <c r="E8221"/>
      <c r="F8221"/>
      <c r="G8221"/>
      <c r="H8221"/>
      <c r="I8221" s="489"/>
      <c r="J8221" s="1362"/>
      <c r="K8221" s="1362"/>
      <c r="L8221" s="1362"/>
    </row>
    <row r="8222" spans="1:12" x14ac:dyDescent="0.25">
      <c r="A8222" t="s">
        <v>17255</v>
      </c>
      <c r="B8222" t="s">
        <v>17256</v>
      </c>
      <c r="C8222" t="s">
        <v>5725</v>
      </c>
      <c r="D8222" s="254">
        <v>2274.5</v>
      </c>
      <c r="E8222"/>
      <c r="F8222"/>
      <c r="G8222"/>
      <c r="H8222"/>
      <c r="I8222" s="489"/>
      <c r="J8222" s="1362"/>
      <c r="K8222" s="1362"/>
      <c r="L8222" s="1362"/>
    </row>
    <row r="8223" spans="1:12" x14ac:dyDescent="0.25">
      <c r="A8223" t="s">
        <v>17257</v>
      </c>
      <c r="B8223" t="s">
        <v>17258</v>
      </c>
      <c r="C8223" t="s">
        <v>5725</v>
      </c>
      <c r="D8223" s="254">
        <v>2805.44</v>
      </c>
      <c r="E8223"/>
      <c r="F8223"/>
      <c r="G8223"/>
      <c r="H8223"/>
      <c r="I8223" s="489"/>
      <c r="J8223" s="1362"/>
      <c r="K8223" s="1362"/>
      <c r="L8223" s="1362"/>
    </row>
    <row r="8224" spans="1:12" x14ac:dyDescent="0.25">
      <c r="A8224" t="s">
        <v>17259</v>
      </c>
      <c r="B8224" t="s">
        <v>17260</v>
      </c>
      <c r="C8224" t="s">
        <v>5725</v>
      </c>
      <c r="D8224" s="254">
        <v>2527.71</v>
      </c>
      <c r="E8224"/>
      <c r="F8224"/>
      <c r="G8224"/>
      <c r="H8224"/>
      <c r="I8224" s="489"/>
      <c r="J8224" s="1362"/>
      <c r="K8224" s="1362"/>
      <c r="L8224" s="1362"/>
    </row>
    <row r="8225" spans="1:12" x14ac:dyDescent="0.25">
      <c r="A8225" t="s">
        <v>17261</v>
      </c>
      <c r="B8225" t="s">
        <v>17262</v>
      </c>
      <c r="C8225" t="s">
        <v>5725</v>
      </c>
      <c r="D8225" s="254">
        <v>3055.99</v>
      </c>
      <c r="E8225"/>
      <c r="F8225"/>
      <c r="G8225"/>
      <c r="H8225"/>
      <c r="I8225" s="489"/>
      <c r="J8225" s="1362"/>
      <c r="K8225" s="1362"/>
      <c r="L8225" s="1362"/>
    </row>
    <row r="8226" spans="1:12" x14ac:dyDescent="0.25">
      <c r="A8226" t="s">
        <v>17263</v>
      </c>
      <c r="B8226" t="s">
        <v>17264</v>
      </c>
      <c r="C8226" t="s">
        <v>149</v>
      </c>
      <c r="D8226" s="254">
        <v>14.42</v>
      </c>
      <c r="E8226"/>
      <c r="F8226"/>
      <c r="G8226"/>
      <c r="H8226"/>
      <c r="I8226" s="489"/>
      <c r="J8226" s="1362"/>
      <c r="K8226" s="1362"/>
      <c r="L8226" s="1362"/>
    </row>
    <row r="8227" spans="1:12" x14ac:dyDescent="0.25">
      <c r="A8227" t="s">
        <v>17265</v>
      </c>
      <c r="B8227" t="s">
        <v>17266</v>
      </c>
      <c r="C8227" t="s">
        <v>5725</v>
      </c>
      <c r="D8227" s="254">
        <v>4192.3</v>
      </c>
      <c r="E8227"/>
      <c r="F8227"/>
      <c r="G8227"/>
      <c r="H8227"/>
      <c r="I8227" s="489"/>
      <c r="J8227" s="1362"/>
      <c r="K8227" s="1362"/>
      <c r="L8227" s="1362"/>
    </row>
    <row r="8228" spans="1:12" x14ac:dyDescent="0.25">
      <c r="A8228" t="s">
        <v>17267</v>
      </c>
      <c r="B8228" t="s">
        <v>17268</v>
      </c>
      <c r="C8228" t="s">
        <v>5725</v>
      </c>
      <c r="D8228" s="254">
        <v>3832.23</v>
      </c>
      <c r="E8228"/>
      <c r="F8228"/>
      <c r="G8228"/>
      <c r="H8228"/>
      <c r="I8228" s="489"/>
      <c r="J8228" s="1362"/>
      <c r="K8228" s="1362"/>
      <c r="L8228" s="1362"/>
    </row>
    <row r="8229" spans="1:12" x14ac:dyDescent="0.25">
      <c r="A8229" t="s">
        <v>17269</v>
      </c>
      <c r="B8229" t="s">
        <v>17270</v>
      </c>
      <c r="C8229" t="s">
        <v>149</v>
      </c>
      <c r="D8229" s="254">
        <v>7.73</v>
      </c>
      <c r="E8229"/>
      <c r="F8229"/>
      <c r="G8229"/>
      <c r="H8229"/>
      <c r="I8229" s="489"/>
      <c r="J8229" s="1362"/>
      <c r="K8229" s="1362"/>
      <c r="L8229" s="1362"/>
    </row>
    <row r="8230" spans="1:12" x14ac:dyDescent="0.25">
      <c r="A8230" t="s">
        <v>17271</v>
      </c>
      <c r="B8230" t="s">
        <v>17272</v>
      </c>
      <c r="C8230" t="s">
        <v>5725</v>
      </c>
      <c r="D8230" s="254">
        <v>3545.63</v>
      </c>
      <c r="E8230"/>
      <c r="F8230"/>
      <c r="G8230"/>
      <c r="H8230"/>
      <c r="I8230" s="489"/>
      <c r="J8230" s="1362"/>
      <c r="K8230" s="1362"/>
      <c r="L8230" s="1362"/>
    </row>
    <row r="8231" spans="1:12" x14ac:dyDescent="0.25">
      <c r="A8231" t="s">
        <v>17273</v>
      </c>
      <c r="B8231" t="s">
        <v>17274</v>
      </c>
      <c r="C8231" t="s">
        <v>5725</v>
      </c>
      <c r="D8231" s="254">
        <v>12449.83</v>
      </c>
      <c r="E8231"/>
      <c r="F8231"/>
      <c r="G8231"/>
      <c r="H8231"/>
      <c r="I8231" s="489"/>
      <c r="J8231" s="1362"/>
      <c r="K8231" s="1362"/>
      <c r="L8231" s="1362"/>
    </row>
    <row r="8232" spans="1:12" x14ac:dyDescent="0.25">
      <c r="A8232" t="s">
        <v>17275</v>
      </c>
      <c r="B8232" t="s">
        <v>17276</v>
      </c>
      <c r="C8232" t="s">
        <v>149</v>
      </c>
      <c r="D8232" s="254">
        <v>7.82</v>
      </c>
      <c r="E8232"/>
      <c r="F8232"/>
      <c r="G8232"/>
      <c r="H8232"/>
      <c r="I8232" s="489"/>
      <c r="J8232" s="1362"/>
      <c r="K8232" s="1362"/>
      <c r="L8232" s="1362"/>
    </row>
    <row r="8233" spans="1:12" x14ac:dyDescent="0.25">
      <c r="A8233" t="s">
        <v>17277</v>
      </c>
      <c r="B8233" t="s">
        <v>17278</v>
      </c>
      <c r="C8233" t="s">
        <v>5725</v>
      </c>
      <c r="D8233" s="254">
        <v>3832.23</v>
      </c>
      <c r="E8233"/>
      <c r="F8233"/>
      <c r="G8233"/>
      <c r="H8233"/>
      <c r="I8233" s="489"/>
      <c r="J8233" s="1362"/>
      <c r="K8233" s="1362"/>
      <c r="L8233" s="1362"/>
    </row>
    <row r="8234" spans="1:12" x14ac:dyDescent="0.25">
      <c r="A8234" t="s">
        <v>17279</v>
      </c>
      <c r="B8234" t="s">
        <v>17280</v>
      </c>
      <c r="C8234" t="s">
        <v>5725</v>
      </c>
      <c r="D8234" s="254">
        <v>1839.2</v>
      </c>
      <c r="E8234"/>
      <c r="F8234"/>
      <c r="G8234"/>
      <c r="H8234"/>
      <c r="I8234" s="489"/>
      <c r="J8234" s="1362"/>
      <c r="K8234" s="1362"/>
      <c r="L8234" s="1362"/>
    </row>
    <row r="8235" spans="1:12" x14ac:dyDescent="0.25">
      <c r="A8235" t="s">
        <v>17281</v>
      </c>
      <c r="B8235" t="s">
        <v>17282</v>
      </c>
      <c r="C8235" t="s">
        <v>5725</v>
      </c>
      <c r="D8235" s="254">
        <v>3215.77</v>
      </c>
      <c r="E8235"/>
      <c r="F8235"/>
      <c r="G8235"/>
      <c r="H8235"/>
      <c r="I8235" s="489"/>
      <c r="J8235" s="1362"/>
      <c r="K8235" s="1362"/>
      <c r="L8235" s="1362"/>
    </row>
    <row r="8236" spans="1:12" x14ac:dyDescent="0.25">
      <c r="A8236" t="s">
        <v>17283</v>
      </c>
      <c r="B8236" t="s">
        <v>17284</v>
      </c>
      <c r="C8236" t="s">
        <v>5725</v>
      </c>
      <c r="D8236" s="254">
        <v>3518.96</v>
      </c>
      <c r="E8236"/>
      <c r="F8236"/>
      <c r="G8236"/>
      <c r="H8236"/>
      <c r="I8236" s="489"/>
      <c r="J8236" s="1362"/>
      <c r="K8236" s="1362"/>
      <c r="L8236" s="1362"/>
    </row>
    <row r="8237" spans="1:12" x14ac:dyDescent="0.25">
      <c r="A8237" t="s">
        <v>17285</v>
      </c>
      <c r="B8237" t="s">
        <v>17286</v>
      </c>
      <c r="C8237" t="s">
        <v>5725</v>
      </c>
      <c r="D8237" s="254">
        <v>3832.23</v>
      </c>
      <c r="E8237"/>
      <c r="F8237"/>
      <c r="G8237"/>
      <c r="H8237"/>
      <c r="I8237" s="489"/>
      <c r="J8237" s="1362"/>
      <c r="K8237" s="1362"/>
      <c r="L8237" s="1362"/>
    </row>
    <row r="8238" spans="1:12" x14ac:dyDescent="0.25">
      <c r="A8238" t="s">
        <v>17287</v>
      </c>
      <c r="B8238" t="s">
        <v>17288</v>
      </c>
      <c r="C8238" t="s">
        <v>5725</v>
      </c>
      <c r="D8238" s="254">
        <v>1896.4</v>
      </c>
      <c r="E8238"/>
      <c r="F8238"/>
      <c r="G8238"/>
      <c r="H8238"/>
      <c r="I8238" s="489"/>
      <c r="J8238" s="1362"/>
      <c r="K8238" s="1362"/>
      <c r="L8238" s="1362"/>
    </row>
    <row r="8239" spans="1:12" x14ac:dyDescent="0.25">
      <c r="A8239" t="s">
        <v>17289</v>
      </c>
      <c r="B8239" t="s">
        <v>17290</v>
      </c>
      <c r="C8239" t="s">
        <v>5725</v>
      </c>
      <c r="D8239" s="254">
        <v>11912.39</v>
      </c>
      <c r="E8239"/>
      <c r="F8239"/>
      <c r="G8239"/>
      <c r="H8239"/>
      <c r="I8239" s="489"/>
      <c r="J8239" s="1362"/>
      <c r="K8239" s="1362"/>
      <c r="L8239" s="1362"/>
    </row>
    <row r="8240" spans="1:12" x14ac:dyDescent="0.25">
      <c r="A8240" t="s">
        <v>17291</v>
      </c>
      <c r="B8240" t="s">
        <v>17292</v>
      </c>
      <c r="C8240" t="s">
        <v>5725</v>
      </c>
      <c r="D8240" s="254">
        <v>7690.4</v>
      </c>
      <c r="E8240"/>
      <c r="F8240"/>
      <c r="G8240"/>
      <c r="H8240"/>
      <c r="I8240" s="489"/>
      <c r="J8240" s="1362"/>
      <c r="K8240" s="1362"/>
      <c r="L8240" s="1362"/>
    </row>
    <row r="8241" spans="1:12" x14ac:dyDescent="0.25">
      <c r="A8241" t="s">
        <v>17293</v>
      </c>
      <c r="B8241" t="s">
        <v>17294</v>
      </c>
      <c r="C8241" t="s">
        <v>5725</v>
      </c>
      <c r="D8241" s="254">
        <v>2128.17</v>
      </c>
      <c r="E8241"/>
      <c r="F8241"/>
      <c r="G8241"/>
      <c r="H8241"/>
      <c r="I8241" s="489"/>
      <c r="J8241" s="1362"/>
      <c r="K8241" s="1362"/>
      <c r="L8241" s="1362"/>
    </row>
    <row r="8242" spans="1:12" x14ac:dyDescent="0.25">
      <c r="A8242" t="s">
        <v>17295</v>
      </c>
      <c r="B8242" t="s">
        <v>17296</v>
      </c>
      <c r="C8242" t="s">
        <v>5725</v>
      </c>
      <c r="D8242" s="254">
        <v>2732.63</v>
      </c>
      <c r="E8242"/>
      <c r="F8242"/>
      <c r="G8242"/>
      <c r="H8242"/>
      <c r="I8242" s="489"/>
      <c r="J8242" s="1362"/>
      <c r="K8242" s="1362"/>
      <c r="L8242" s="1362"/>
    </row>
    <row r="8243" spans="1:12" x14ac:dyDescent="0.25">
      <c r="A8243" t="s">
        <v>17297</v>
      </c>
      <c r="B8243" t="s">
        <v>17298</v>
      </c>
      <c r="C8243" t="s">
        <v>5725</v>
      </c>
      <c r="D8243" s="254">
        <v>2002.36</v>
      </c>
      <c r="E8243"/>
      <c r="F8243"/>
      <c r="G8243"/>
      <c r="H8243"/>
      <c r="I8243" s="489"/>
      <c r="J8243" s="1362"/>
      <c r="K8243" s="1362"/>
      <c r="L8243" s="1362"/>
    </row>
    <row r="8244" spans="1:12" x14ac:dyDescent="0.25">
      <c r="A8244" t="s">
        <v>17299</v>
      </c>
      <c r="B8244" t="s">
        <v>17300</v>
      </c>
      <c r="C8244" t="s">
        <v>149</v>
      </c>
      <c r="D8244" s="254">
        <v>24.09</v>
      </c>
      <c r="E8244"/>
      <c r="F8244"/>
      <c r="G8244"/>
      <c r="H8244"/>
      <c r="I8244" s="489"/>
      <c r="J8244" s="1362"/>
      <c r="K8244" s="1362"/>
      <c r="L8244" s="1362"/>
    </row>
    <row r="8245" spans="1:12" x14ac:dyDescent="0.25">
      <c r="A8245" t="s">
        <v>17301</v>
      </c>
      <c r="B8245" t="s">
        <v>17302</v>
      </c>
      <c r="C8245" t="s">
        <v>5725</v>
      </c>
      <c r="D8245" s="254">
        <v>3595.34</v>
      </c>
      <c r="E8245"/>
      <c r="F8245"/>
      <c r="G8245"/>
      <c r="H8245"/>
      <c r="I8245" s="489"/>
      <c r="J8245" s="1362"/>
      <c r="K8245" s="1362"/>
      <c r="L8245" s="1362"/>
    </row>
    <row r="8246" spans="1:12" x14ac:dyDescent="0.25">
      <c r="A8246" t="s">
        <v>17303</v>
      </c>
      <c r="B8246" t="s">
        <v>17304</v>
      </c>
      <c r="C8246" t="s">
        <v>149</v>
      </c>
      <c r="D8246" s="254">
        <v>11.22</v>
      </c>
      <c r="E8246"/>
      <c r="F8246"/>
      <c r="G8246"/>
      <c r="H8246"/>
      <c r="I8246" s="489"/>
      <c r="J8246" s="1362"/>
      <c r="K8246" s="1362"/>
      <c r="L8246" s="1362"/>
    </row>
    <row r="8247" spans="1:12" x14ac:dyDescent="0.25">
      <c r="A8247" t="s">
        <v>17305</v>
      </c>
      <c r="B8247" t="s">
        <v>17306</v>
      </c>
      <c r="C8247" t="s">
        <v>5725</v>
      </c>
      <c r="D8247" s="254">
        <v>3832.23</v>
      </c>
      <c r="E8247"/>
      <c r="F8247"/>
      <c r="G8247"/>
      <c r="H8247"/>
      <c r="I8247" s="489"/>
      <c r="J8247" s="1362"/>
      <c r="K8247" s="1362"/>
      <c r="L8247" s="1362"/>
    </row>
    <row r="8248" spans="1:12" x14ac:dyDescent="0.25">
      <c r="A8248" t="s">
        <v>17307</v>
      </c>
      <c r="B8248" t="s">
        <v>17308</v>
      </c>
      <c r="C8248" t="s">
        <v>5725</v>
      </c>
      <c r="D8248" s="254">
        <v>5300.06</v>
      </c>
      <c r="E8248"/>
      <c r="F8248"/>
      <c r="G8248"/>
      <c r="H8248"/>
      <c r="I8248" s="489"/>
      <c r="J8248" s="1362"/>
      <c r="K8248" s="1362"/>
      <c r="L8248" s="1362"/>
    </row>
    <row r="8249" spans="1:12" x14ac:dyDescent="0.25">
      <c r="A8249" t="s">
        <v>17309</v>
      </c>
      <c r="B8249" t="s">
        <v>17310</v>
      </c>
      <c r="C8249" t="s">
        <v>149</v>
      </c>
      <c r="D8249" s="254">
        <v>7.73</v>
      </c>
      <c r="E8249"/>
      <c r="F8249"/>
      <c r="G8249"/>
      <c r="H8249"/>
      <c r="I8249" s="489"/>
      <c r="J8249" s="1362"/>
      <c r="K8249" s="1362"/>
      <c r="L8249" s="1362"/>
    </row>
    <row r="8250" spans="1:12" x14ac:dyDescent="0.25">
      <c r="A8250" t="s">
        <v>17311</v>
      </c>
      <c r="B8250" t="s">
        <v>17312</v>
      </c>
      <c r="C8250" t="s">
        <v>149</v>
      </c>
      <c r="D8250" s="254">
        <v>6.61</v>
      </c>
      <c r="E8250"/>
      <c r="F8250"/>
      <c r="G8250"/>
      <c r="H8250"/>
      <c r="I8250" s="489"/>
      <c r="J8250" s="1362"/>
      <c r="K8250" s="1362"/>
      <c r="L8250" s="1362"/>
    </row>
    <row r="8251" spans="1:12" x14ac:dyDescent="0.25">
      <c r="A8251" t="s">
        <v>17313</v>
      </c>
      <c r="B8251" t="s">
        <v>17314</v>
      </c>
      <c r="C8251" t="s">
        <v>149</v>
      </c>
      <c r="D8251" s="254">
        <v>11.55</v>
      </c>
      <c r="E8251"/>
      <c r="F8251"/>
      <c r="G8251"/>
      <c r="H8251"/>
      <c r="I8251" s="489"/>
      <c r="J8251" s="1362"/>
      <c r="K8251" s="1362"/>
      <c r="L8251" s="1362"/>
    </row>
    <row r="8252" spans="1:12" x14ac:dyDescent="0.25">
      <c r="A8252" t="s">
        <v>17315</v>
      </c>
      <c r="B8252" t="s">
        <v>17316</v>
      </c>
      <c r="C8252" t="s">
        <v>149</v>
      </c>
      <c r="D8252" s="254">
        <v>10.06</v>
      </c>
      <c r="E8252"/>
      <c r="F8252"/>
      <c r="G8252"/>
      <c r="H8252"/>
      <c r="I8252" s="489"/>
      <c r="J8252" s="1362"/>
      <c r="K8252" s="1362"/>
      <c r="L8252" s="1362"/>
    </row>
    <row r="8253" spans="1:12" x14ac:dyDescent="0.25">
      <c r="A8253" t="s">
        <v>17317</v>
      </c>
      <c r="B8253" t="s">
        <v>17318</v>
      </c>
      <c r="C8253" t="s">
        <v>149</v>
      </c>
      <c r="D8253" s="254">
        <v>11.31</v>
      </c>
      <c r="E8253"/>
      <c r="F8253"/>
      <c r="G8253"/>
      <c r="H8253"/>
      <c r="I8253" s="489"/>
      <c r="J8253" s="1362"/>
      <c r="K8253" s="1362"/>
      <c r="L8253" s="1362"/>
    </row>
    <row r="8254" spans="1:12" x14ac:dyDescent="0.25">
      <c r="A8254" t="s">
        <v>17319</v>
      </c>
      <c r="B8254" t="s">
        <v>17320</v>
      </c>
      <c r="C8254" t="s">
        <v>149</v>
      </c>
      <c r="D8254" s="254">
        <v>11.51</v>
      </c>
      <c r="E8254"/>
      <c r="F8254"/>
      <c r="G8254"/>
      <c r="H8254"/>
      <c r="I8254" s="489"/>
      <c r="J8254" s="1362"/>
      <c r="K8254" s="1362"/>
      <c r="L8254" s="1362"/>
    </row>
    <row r="8255" spans="1:12" x14ac:dyDescent="0.25">
      <c r="A8255" t="s">
        <v>17321</v>
      </c>
      <c r="B8255" t="s">
        <v>17322</v>
      </c>
      <c r="C8255" t="s">
        <v>149</v>
      </c>
      <c r="D8255" s="254">
        <v>8.02</v>
      </c>
      <c r="E8255"/>
      <c r="F8255"/>
      <c r="G8255"/>
      <c r="H8255"/>
      <c r="I8255" s="489"/>
      <c r="J8255" s="1362"/>
      <c r="K8255" s="1362"/>
      <c r="L8255" s="1362"/>
    </row>
    <row r="8256" spans="1:12" x14ac:dyDescent="0.25">
      <c r="A8256" t="s">
        <v>17323</v>
      </c>
      <c r="B8256" t="s">
        <v>17324</v>
      </c>
      <c r="C8256" t="s">
        <v>149</v>
      </c>
      <c r="D8256" s="254">
        <v>8.02</v>
      </c>
      <c r="E8256"/>
      <c r="F8256"/>
      <c r="G8256"/>
      <c r="H8256"/>
      <c r="I8256" s="489"/>
      <c r="J8256" s="1362"/>
      <c r="K8256" s="1362"/>
      <c r="L8256" s="1362"/>
    </row>
    <row r="8257" spans="1:12" x14ac:dyDescent="0.25">
      <c r="A8257" t="s">
        <v>17325</v>
      </c>
      <c r="B8257" t="s">
        <v>17326</v>
      </c>
      <c r="C8257" t="s">
        <v>149</v>
      </c>
      <c r="D8257" s="254">
        <v>13.89</v>
      </c>
      <c r="E8257"/>
      <c r="F8257"/>
      <c r="G8257"/>
      <c r="H8257"/>
      <c r="I8257" s="489"/>
      <c r="J8257" s="1362"/>
      <c r="K8257" s="1362"/>
      <c r="L8257" s="1362"/>
    </row>
    <row r="8258" spans="1:12" x14ac:dyDescent="0.25">
      <c r="A8258" t="s">
        <v>17327</v>
      </c>
      <c r="B8258" t="s">
        <v>17328</v>
      </c>
      <c r="C8258" t="s">
        <v>149</v>
      </c>
      <c r="D8258" s="254">
        <v>24.09</v>
      </c>
      <c r="E8258"/>
      <c r="F8258"/>
      <c r="G8258"/>
      <c r="H8258"/>
      <c r="I8258" s="489"/>
      <c r="J8258" s="1362"/>
      <c r="K8258" s="1362"/>
      <c r="L8258" s="1362"/>
    </row>
    <row r="8259" spans="1:12" x14ac:dyDescent="0.25">
      <c r="A8259" t="s">
        <v>17329</v>
      </c>
      <c r="B8259" t="s">
        <v>17330</v>
      </c>
      <c r="C8259" t="s">
        <v>149</v>
      </c>
      <c r="D8259" s="254">
        <v>8.3800000000000008</v>
      </c>
      <c r="E8259"/>
      <c r="F8259"/>
      <c r="G8259"/>
      <c r="H8259"/>
      <c r="I8259" s="489"/>
      <c r="J8259" s="1362"/>
      <c r="K8259" s="1362"/>
      <c r="L8259" s="1362"/>
    </row>
    <row r="8260" spans="1:12" x14ac:dyDescent="0.25">
      <c r="A8260" t="s">
        <v>17331</v>
      </c>
      <c r="B8260" t="s">
        <v>17332</v>
      </c>
      <c r="C8260" t="s">
        <v>149</v>
      </c>
      <c r="D8260" s="254">
        <v>10.28</v>
      </c>
      <c r="E8260"/>
      <c r="F8260"/>
      <c r="G8260"/>
      <c r="H8260"/>
      <c r="I8260" s="489"/>
      <c r="J8260" s="1362"/>
      <c r="K8260" s="1362"/>
      <c r="L8260" s="1362"/>
    </row>
    <row r="8261" spans="1:12" x14ac:dyDescent="0.25">
      <c r="A8261" t="s">
        <v>17333</v>
      </c>
      <c r="B8261" t="s">
        <v>17334</v>
      </c>
      <c r="C8261" t="s">
        <v>149</v>
      </c>
      <c r="D8261" s="254">
        <v>15.3</v>
      </c>
      <c r="E8261"/>
      <c r="F8261"/>
      <c r="G8261"/>
      <c r="H8261"/>
      <c r="I8261" s="489"/>
      <c r="J8261" s="1362"/>
      <c r="K8261" s="1362"/>
      <c r="L8261" s="1362"/>
    </row>
    <row r="8262" spans="1:12" x14ac:dyDescent="0.25">
      <c r="A8262" t="s">
        <v>17335</v>
      </c>
      <c r="B8262" t="s">
        <v>17336</v>
      </c>
      <c r="C8262" t="s">
        <v>149</v>
      </c>
      <c r="D8262" s="254">
        <v>16.34</v>
      </c>
      <c r="E8262"/>
      <c r="F8262"/>
      <c r="G8262"/>
      <c r="H8262"/>
      <c r="I8262" s="489"/>
      <c r="J8262" s="1362"/>
      <c r="K8262" s="1362"/>
      <c r="L8262" s="1362"/>
    </row>
    <row r="8263" spans="1:12" x14ac:dyDescent="0.25">
      <c r="A8263" t="s">
        <v>17337</v>
      </c>
      <c r="B8263" t="s">
        <v>17338</v>
      </c>
      <c r="C8263" t="s">
        <v>5725</v>
      </c>
      <c r="D8263" s="254">
        <v>10302</v>
      </c>
      <c r="E8263"/>
      <c r="F8263"/>
      <c r="G8263"/>
      <c r="H8263"/>
      <c r="I8263" s="489"/>
      <c r="J8263" s="1362"/>
      <c r="K8263" s="1362"/>
      <c r="L8263" s="1362"/>
    </row>
    <row r="8264" spans="1:12" x14ac:dyDescent="0.25">
      <c r="A8264" t="s">
        <v>17339</v>
      </c>
      <c r="B8264" t="s">
        <v>17340</v>
      </c>
      <c r="C8264" t="s">
        <v>5725</v>
      </c>
      <c r="D8264" s="254">
        <v>3215.77</v>
      </c>
      <c r="E8264"/>
      <c r="F8264"/>
      <c r="G8264"/>
      <c r="H8264"/>
      <c r="I8264" s="489"/>
      <c r="J8264" s="1362"/>
      <c r="K8264" s="1362"/>
      <c r="L8264" s="1362"/>
    </row>
    <row r="8265" spans="1:12" x14ac:dyDescent="0.25">
      <c r="A8265" t="s">
        <v>17341</v>
      </c>
      <c r="B8265" t="s">
        <v>17342</v>
      </c>
      <c r="C8265" t="s">
        <v>5725</v>
      </c>
      <c r="D8265" s="254">
        <v>2007.33</v>
      </c>
      <c r="E8265"/>
      <c r="F8265"/>
      <c r="G8265"/>
      <c r="H8265"/>
      <c r="I8265" s="489"/>
      <c r="J8265" s="1362"/>
      <c r="K8265" s="1362"/>
      <c r="L8265" s="1362"/>
    </row>
    <row r="8266" spans="1:12" x14ac:dyDescent="0.25">
      <c r="A8266" t="s">
        <v>17343</v>
      </c>
      <c r="B8266" t="s">
        <v>17344</v>
      </c>
      <c r="C8266" t="s">
        <v>5725</v>
      </c>
      <c r="D8266" s="254">
        <v>2725.55</v>
      </c>
      <c r="E8266"/>
      <c r="F8266"/>
      <c r="G8266"/>
      <c r="H8266"/>
      <c r="I8266" s="489"/>
      <c r="J8266" s="1362"/>
      <c r="K8266" s="1362"/>
      <c r="L8266" s="1362"/>
    </row>
    <row r="8267" spans="1:12" x14ac:dyDescent="0.25">
      <c r="A8267" t="s">
        <v>17345</v>
      </c>
      <c r="B8267" t="s">
        <v>17346</v>
      </c>
      <c r="C8267" t="s">
        <v>5725</v>
      </c>
      <c r="D8267" s="254">
        <v>1896.4</v>
      </c>
      <c r="E8267"/>
      <c r="F8267"/>
      <c r="G8267"/>
      <c r="H8267"/>
      <c r="I8267" s="489"/>
      <c r="J8267" s="1362"/>
      <c r="K8267" s="1362"/>
      <c r="L8267" s="1362"/>
    </row>
    <row r="8268" spans="1:12" x14ac:dyDescent="0.25">
      <c r="A8268" t="s">
        <v>17347</v>
      </c>
      <c r="B8268" t="s">
        <v>17348</v>
      </c>
      <c r="C8268" t="s">
        <v>5725</v>
      </c>
      <c r="D8268" s="254">
        <v>9676.41</v>
      </c>
      <c r="E8268"/>
      <c r="F8268"/>
      <c r="G8268"/>
      <c r="H8268"/>
      <c r="I8268" s="489"/>
      <c r="J8268" s="1362"/>
      <c r="K8268" s="1362"/>
      <c r="L8268" s="1362"/>
    </row>
    <row r="8269" spans="1:12" x14ac:dyDescent="0.25">
      <c r="A8269" t="s">
        <v>17349</v>
      </c>
      <c r="B8269" t="s">
        <v>17350</v>
      </c>
      <c r="C8269" t="s">
        <v>5725</v>
      </c>
      <c r="D8269" s="254">
        <v>2079.25</v>
      </c>
      <c r="E8269"/>
      <c r="F8269"/>
      <c r="G8269"/>
      <c r="H8269"/>
      <c r="I8269" s="489"/>
      <c r="J8269" s="1362"/>
      <c r="K8269" s="1362"/>
      <c r="L8269" s="1362"/>
    </row>
    <row r="8270" spans="1:12" x14ac:dyDescent="0.25">
      <c r="A8270" t="s">
        <v>17351</v>
      </c>
      <c r="B8270" t="s">
        <v>17352</v>
      </c>
      <c r="C8270" t="s">
        <v>5725</v>
      </c>
      <c r="D8270" s="254">
        <v>2214.34</v>
      </c>
      <c r="E8270"/>
      <c r="F8270"/>
      <c r="G8270"/>
      <c r="H8270"/>
      <c r="I8270" s="489"/>
      <c r="J8270" s="1362"/>
      <c r="K8270" s="1362"/>
      <c r="L8270" s="1362"/>
    </row>
    <row r="8271" spans="1:12" x14ac:dyDescent="0.25">
      <c r="A8271" t="s">
        <v>17353</v>
      </c>
      <c r="B8271" t="s">
        <v>17354</v>
      </c>
      <c r="C8271" t="s">
        <v>5725</v>
      </c>
      <c r="D8271" s="254">
        <v>1454.38</v>
      </c>
      <c r="E8271"/>
      <c r="F8271"/>
      <c r="G8271"/>
      <c r="H8271"/>
      <c r="I8271" s="489"/>
      <c r="J8271" s="1362"/>
      <c r="K8271" s="1362"/>
      <c r="L8271" s="1362"/>
    </row>
    <row r="8272" spans="1:12" x14ac:dyDescent="0.25">
      <c r="A8272" t="s">
        <v>17355</v>
      </c>
      <c r="B8272" t="s">
        <v>17356</v>
      </c>
      <c r="C8272" t="s">
        <v>5725</v>
      </c>
      <c r="D8272" s="254">
        <v>17951.57</v>
      </c>
      <c r="E8272"/>
      <c r="F8272"/>
      <c r="G8272"/>
      <c r="H8272"/>
      <c r="I8272" s="489"/>
      <c r="J8272" s="1362"/>
      <c r="K8272" s="1362"/>
      <c r="L8272" s="1362"/>
    </row>
    <row r="8273" spans="1:12" x14ac:dyDescent="0.25">
      <c r="A8273" t="s">
        <v>17357</v>
      </c>
      <c r="B8273" t="s">
        <v>17358</v>
      </c>
      <c r="C8273" t="s">
        <v>149</v>
      </c>
      <c r="D8273" s="254">
        <v>9.39</v>
      </c>
      <c r="E8273"/>
      <c r="F8273"/>
      <c r="G8273"/>
      <c r="H8273"/>
      <c r="I8273" s="489"/>
      <c r="J8273" s="1362"/>
      <c r="K8273" s="1362"/>
      <c r="L8273" s="1362"/>
    </row>
    <row r="8274" spans="1:12" x14ac:dyDescent="0.25">
      <c r="A8274" t="s">
        <v>17359</v>
      </c>
      <c r="B8274" t="s">
        <v>17360</v>
      </c>
      <c r="C8274" t="s">
        <v>5725</v>
      </c>
      <c r="D8274" s="254">
        <v>2262.27</v>
      </c>
      <c r="E8274"/>
      <c r="F8274"/>
      <c r="G8274"/>
      <c r="H8274"/>
      <c r="I8274" s="489"/>
      <c r="J8274" s="1362"/>
      <c r="K8274" s="1362"/>
      <c r="L8274" s="1362"/>
    </row>
    <row r="8275" spans="1:12" x14ac:dyDescent="0.25">
      <c r="A8275" t="s">
        <v>17361</v>
      </c>
      <c r="B8275" t="s">
        <v>17362</v>
      </c>
      <c r="C8275" t="s">
        <v>149</v>
      </c>
      <c r="D8275" s="254">
        <v>8.06</v>
      </c>
      <c r="E8275"/>
      <c r="F8275"/>
      <c r="G8275"/>
      <c r="H8275"/>
      <c r="I8275" s="489"/>
      <c r="J8275" s="1362"/>
      <c r="K8275" s="1362"/>
      <c r="L8275" s="1362"/>
    </row>
    <row r="8276" spans="1:12" x14ac:dyDescent="0.25">
      <c r="A8276" t="s">
        <v>17363</v>
      </c>
      <c r="B8276" t="s">
        <v>17364</v>
      </c>
      <c r="C8276" t="s">
        <v>149</v>
      </c>
      <c r="D8276" s="254">
        <v>8.06</v>
      </c>
      <c r="E8276"/>
      <c r="F8276"/>
      <c r="G8276"/>
      <c r="H8276"/>
      <c r="I8276" s="489"/>
      <c r="J8276" s="1362"/>
      <c r="K8276" s="1362"/>
      <c r="L8276" s="1362"/>
    </row>
    <row r="8277" spans="1:12" x14ac:dyDescent="0.25">
      <c r="A8277" t="s">
        <v>17365</v>
      </c>
      <c r="B8277" t="s">
        <v>17366</v>
      </c>
      <c r="C8277" t="s">
        <v>149</v>
      </c>
      <c r="D8277" s="254">
        <v>8.4</v>
      </c>
      <c r="E8277"/>
      <c r="F8277"/>
      <c r="G8277"/>
      <c r="H8277"/>
      <c r="I8277" s="489"/>
      <c r="J8277" s="1362"/>
      <c r="K8277" s="1362"/>
      <c r="L8277" s="1362"/>
    </row>
    <row r="8278" spans="1:12" x14ac:dyDescent="0.25">
      <c r="A8278" t="s">
        <v>17367</v>
      </c>
      <c r="B8278" t="s">
        <v>17368</v>
      </c>
      <c r="C8278" t="s">
        <v>149</v>
      </c>
      <c r="D8278" s="254">
        <v>8.4</v>
      </c>
      <c r="E8278"/>
      <c r="F8278"/>
      <c r="G8278"/>
      <c r="H8278"/>
      <c r="I8278" s="489"/>
      <c r="J8278" s="1362"/>
      <c r="K8278" s="1362"/>
      <c r="L8278" s="1362"/>
    </row>
    <row r="8279" spans="1:12" x14ac:dyDescent="0.25">
      <c r="A8279" t="s">
        <v>17369</v>
      </c>
      <c r="B8279" t="s">
        <v>17370</v>
      </c>
      <c r="C8279" t="s">
        <v>149</v>
      </c>
      <c r="D8279" s="254">
        <v>8.06</v>
      </c>
      <c r="E8279"/>
      <c r="F8279"/>
      <c r="G8279"/>
      <c r="H8279"/>
      <c r="I8279" s="489"/>
      <c r="J8279" s="1362"/>
      <c r="K8279" s="1362"/>
      <c r="L8279" s="1362"/>
    </row>
    <row r="8280" spans="1:12" x14ac:dyDescent="0.25">
      <c r="A8280" t="s">
        <v>17371</v>
      </c>
      <c r="B8280" t="s">
        <v>17372</v>
      </c>
      <c r="C8280" t="s">
        <v>149</v>
      </c>
      <c r="D8280" s="254">
        <v>12.15</v>
      </c>
      <c r="E8280"/>
      <c r="F8280"/>
      <c r="G8280"/>
      <c r="H8280"/>
      <c r="I8280" s="489"/>
      <c r="J8280" s="1362"/>
      <c r="K8280" s="1362"/>
      <c r="L8280" s="1362"/>
    </row>
    <row r="8281" spans="1:12" x14ac:dyDescent="0.25">
      <c r="A8281" t="s">
        <v>17373</v>
      </c>
      <c r="B8281" t="s">
        <v>17374</v>
      </c>
      <c r="C8281" t="s">
        <v>5725</v>
      </c>
      <c r="D8281" s="254">
        <v>2671.93</v>
      </c>
      <c r="E8281"/>
      <c r="F8281"/>
      <c r="G8281"/>
      <c r="H8281"/>
      <c r="I8281" s="489"/>
      <c r="J8281" s="1362"/>
      <c r="K8281" s="1362"/>
      <c r="L8281" s="1362"/>
    </row>
    <row r="8282" spans="1:12" x14ac:dyDescent="0.25">
      <c r="A8282"/>
      <c r="B8282"/>
      <c r="C8282"/>
      <c r="D8282" s="254"/>
      <c r="E8282"/>
      <c r="F8282"/>
      <c r="G8282"/>
      <c r="H8282"/>
      <c r="I8282" s="489"/>
      <c r="J8282" s="1362"/>
      <c r="K8282" s="1362"/>
      <c r="L8282" s="1362"/>
    </row>
    <row r="8283" spans="1:12" x14ac:dyDescent="0.25">
      <c r="A8283"/>
      <c r="B8283"/>
      <c r="C8283"/>
      <c r="D8283" s="254"/>
      <c r="E8283"/>
      <c r="F8283"/>
      <c r="G8283"/>
      <c r="H8283"/>
      <c r="I8283" s="489"/>
      <c r="J8283" s="1362"/>
      <c r="K8283" s="1362"/>
      <c r="L8283" s="1362"/>
    </row>
    <row r="8284" spans="1:12" x14ac:dyDescent="0.25">
      <c r="A8284"/>
      <c r="B8284"/>
      <c r="C8284"/>
      <c r="D8284" s="254"/>
      <c r="E8284"/>
      <c r="F8284"/>
      <c r="G8284"/>
      <c r="H8284"/>
      <c r="I8284" s="489"/>
      <c r="J8284" s="1362"/>
      <c r="K8284" s="1362"/>
      <c r="L8284" s="1362"/>
    </row>
    <row r="8285" spans="1:12" x14ac:dyDescent="0.25">
      <c r="A8285"/>
      <c r="B8285"/>
      <c r="C8285"/>
      <c r="D8285" s="254"/>
      <c r="E8285"/>
      <c r="F8285"/>
      <c r="G8285"/>
      <c r="H8285"/>
      <c r="I8285" s="489"/>
      <c r="J8285" s="1362"/>
      <c r="K8285" s="1362"/>
      <c r="L8285" s="1362"/>
    </row>
    <row r="8286" spans="1:12" x14ac:dyDescent="0.25">
      <c r="A8286"/>
      <c r="B8286"/>
      <c r="C8286"/>
      <c r="D8286" s="254"/>
      <c r="E8286"/>
      <c r="F8286"/>
      <c r="G8286"/>
      <c r="H8286"/>
      <c r="I8286" s="489"/>
      <c r="J8286" s="1362"/>
      <c r="K8286" s="1362"/>
      <c r="L8286" s="1362"/>
    </row>
    <row r="8287" spans="1:12" x14ac:dyDescent="0.25">
      <c r="A8287"/>
      <c r="B8287"/>
      <c r="C8287"/>
      <c r="D8287" s="254"/>
      <c r="E8287"/>
      <c r="F8287"/>
      <c r="G8287"/>
      <c r="H8287"/>
      <c r="I8287" s="489"/>
      <c r="J8287" s="1362"/>
      <c r="K8287" s="1362"/>
      <c r="L8287" s="1362"/>
    </row>
    <row r="8288" spans="1:12" x14ac:dyDescent="0.25">
      <c r="A8288" t="s">
        <v>17375</v>
      </c>
      <c r="B8288" t="s">
        <v>17376</v>
      </c>
      <c r="C8288" t="s">
        <v>149</v>
      </c>
      <c r="D8288" s="254">
        <v>15.47</v>
      </c>
      <c r="E8288">
        <v>9.6137999999999995</v>
      </c>
      <c r="F8288"/>
      <c r="G8288"/>
      <c r="H8288"/>
      <c r="I8288" s="489"/>
      <c r="J8288" s="1362"/>
      <c r="K8288" s="1362"/>
      <c r="L8288" s="1362"/>
    </row>
    <row r="8289" spans="1:12" x14ac:dyDescent="0.25">
      <c r="A8289" t="s">
        <v>17377</v>
      </c>
      <c r="B8289" t="s">
        <v>17378</v>
      </c>
      <c r="C8289" t="s">
        <v>149</v>
      </c>
      <c r="D8289" s="254">
        <v>16.78</v>
      </c>
      <c r="E8289">
        <v>10.428000000000001</v>
      </c>
      <c r="F8289"/>
      <c r="G8289"/>
      <c r="H8289"/>
      <c r="I8289" s="489"/>
      <c r="J8289" s="1362"/>
      <c r="K8289" s="1362"/>
      <c r="L8289" s="1362"/>
    </row>
    <row r="8290" spans="1:12" x14ac:dyDescent="0.25">
      <c r="A8290" t="s">
        <v>17379</v>
      </c>
      <c r="B8290" t="s">
        <v>17380</v>
      </c>
      <c r="C8290" t="s">
        <v>149</v>
      </c>
      <c r="D8290" s="254">
        <v>18.41</v>
      </c>
      <c r="E8290">
        <v>11.4437</v>
      </c>
      <c r="F8290"/>
      <c r="G8290"/>
      <c r="H8290"/>
      <c r="I8290" s="489"/>
      <c r="J8290" s="1362"/>
      <c r="K8290" s="1362"/>
      <c r="L8290" s="1362"/>
    </row>
    <row r="8291" spans="1:12" x14ac:dyDescent="0.25">
      <c r="A8291" t="s">
        <v>17381</v>
      </c>
      <c r="B8291" t="s">
        <v>17382</v>
      </c>
      <c r="C8291" t="s">
        <v>149</v>
      </c>
      <c r="D8291" s="254">
        <v>18.52</v>
      </c>
      <c r="E8291">
        <v>11.5093</v>
      </c>
      <c r="F8291"/>
      <c r="G8291"/>
      <c r="H8291"/>
      <c r="I8291" s="489"/>
      <c r="J8291" s="1362"/>
      <c r="K8291" s="1362"/>
      <c r="L8291" s="1362"/>
    </row>
    <row r="8292" spans="1:12" x14ac:dyDescent="0.25">
      <c r="A8292" t="s">
        <v>17383</v>
      </c>
      <c r="B8292" t="s">
        <v>17384</v>
      </c>
      <c r="C8292" t="s">
        <v>149</v>
      </c>
      <c r="D8292" s="254">
        <v>19.22</v>
      </c>
      <c r="E8292">
        <v>11.9475</v>
      </c>
      <c r="F8292"/>
      <c r="G8292"/>
      <c r="H8292"/>
      <c r="I8292" s="489"/>
      <c r="J8292" s="1362"/>
      <c r="K8292" s="1362"/>
      <c r="L8292" s="1362"/>
    </row>
    <row r="8293" spans="1:12" x14ac:dyDescent="0.25">
      <c r="A8293" t="s">
        <v>17385</v>
      </c>
      <c r="B8293" t="s">
        <v>17386</v>
      </c>
      <c r="C8293" t="s">
        <v>149</v>
      </c>
      <c r="D8293" s="254">
        <v>0.71</v>
      </c>
      <c r="E8293">
        <v>0.47539999999999999</v>
      </c>
      <c r="F8293"/>
      <c r="G8293"/>
      <c r="H8293"/>
      <c r="I8293" s="489"/>
      <c r="J8293" s="1362"/>
      <c r="K8293" s="1362"/>
      <c r="L8293" s="1362"/>
    </row>
    <row r="8294" spans="1:12" x14ac:dyDescent="0.25">
      <c r="A8294" t="s">
        <v>17387</v>
      </c>
      <c r="B8294" t="s">
        <v>17388</v>
      </c>
      <c r="C8294" t="s">
        <v>149</v>
      </c>
      <c r="D8294" s="254">
        <v>26.25</v>
      </c>
      <c r="E8294">
        <v>8.9672999999999998</v>
      </c>
      <c r="F8294"/>
      <c r="G8294"/>
      <c r="H8294"/>
      <c r="I8294" s="489"/>
      <c r="J8294" s="1362"/>
      <c r="K8294" s="1362"/>
      <c r="L8294" s="1362"/>
    </row>
    <row r="8295" spans="1:12" x14ac:dyDescent="0.25">
      <c r="A8295" t="s">
        <v>17389</v>
      </c>
      <c r="B8295" t="s">
        <v>17390</v>
      </c>
      <c r="C8295" t="s">
        <v>149</v>
      </c>
      <c r="D8295" s="254">
        <v>3.16</v>
      </c>
      <c r="E8295">
        <v>2.0815000000000001</v>
      </c>
      <c r="F8295"/>
      <c r="G8295"/>
      <c r="H8295"/>
      <c r="I8295" s="489"/>
      <c r="J8295" s="1362"/>
      <c r="K8295" s="1362"/>
      <c r="L8295" s="1362"/>
    </row>
    <row r="8296" spans="1:12" x14ac:dyDescent="0.25">
      <c r="A8296" t="s">
        <v>17391</v>
      </c>
      <c r="B8296" t="s">
        <v>17392</v>
      </c>
      <c r="C8296" t="s">
        <v>149</v>
      </c>
      <c r="D8296" s="254">
        <v>516.58000000000004</v>
      </c>
      <c r="E8296">
        <v>140.8031</v>
      </c>
      <c r="F8296"/>
      <c r="G8296"/>
      <c r="H8296"/>
      <c r="I8296" s="489"/>
      <c r="J8296" s="1362"/>
      <c r="K8296" s="1362"/>
      <c r="L8296" s="1362"/>
    </row>
    <row r="8297" spans="1:12" x14ac:dyDescent="0.25">
      <c r="A8297" t="s">
        <v>17393</v>
      </c>
      <c r="B8297" t="s">
        <v>17394</v>
      </c>
      <c r="C8297" t="s">
        <v>149</v>
      </c>
      <c r="D8297" s="254">
        <v>1.59</v>
      </c>
      <c r="E8297">
        <v>1.07</v>
      </c>
      <c r="F8297"/>
      <c r="G8297"/>
      <c r="H8297"/>
      <c r="I8297" s="489"/>
      <c r="J8297" s="1362"/>
      <c r="K8297" s="1362"/>
      <c r="L8297" s="1362"/>
    </row>
    <row r="8298" spans="1:12" x14ac:dyDescent="0.25">
      <c r="A8298" t="s">
        <v>17395</v>
      </c>
      <c r="B8298" t="s">
        <v>17396</v>
      </c>
      <c r="C8298" t="s">
        <v>149</v>
      </c>
      <c r="D8298" s="254">
        <v>0.64</v>
      </c>
      <c r="E8298">
        <v>0.43930000000000002</v>
      </c>
      <c r="F8298"/>
      <c r="G8298"/>
      <c r="H8298"/>
      <c r="I8298" s="489"/>
      <c r="J8298" s="1362"/>
      <c r="K8298" s="1362"/>
      <c r="L8298" s="1362"/>
    </row>
    <row r="8299" spans="1:12" x14ac:dyDescent="0.25">
      <c r="A8299" t="s">
        <v>17397</v>
      </c>
      <c r="B8299" t="s">
        <v>17398</v>
      </c>
      <c r="C8299" t="s">
        <v>149</v>
      </c>
      <c r="D8299" s="254">
        <v>337.38</v>
      </c>
      <c r="E8299">
        <v>233.78639999999999</v>
      </c>
      <c r="F8299"/>
      <c r="G8299"/>
      <c r="H8299"/>
      <c r="I8299" s="489"/>
      <c r="J8299" s="1362"/>
      <c r="K8299" s="1362"/>
      <c r="L8299" s="1362"/>
    </row>
    <row r="8300" spans="1:12" x14ac:dyDescent="0.25">
      <c r="A8300" t="s">
        <v>17399</v>
      </c>
      <c r="B8300" t="s">
        <v>17400</v>
      </c>
      <c r="C8300" t="s">
        <v>149</v>
      </c>
      <c r="D8300" s="254">
        <v>30.97</v>
      </c>
      <c r="E8300">
        <v>27.472000000000001</v>
      </c>
      <c r="F8300"/>
      <c r="G8300"/>
      <c r="H8300"/>
      <c r="I8300" s="489"/>
      <c r="J8300" s="1362"/>
      <c r="K8300" s="1362"/>
      <c r="L8300" s="1362"/>
    </row>
    <row r="8301" spans="1:12" x14ac:dyDescent="0.25">
      <c r="A8301" t="s">
        <v>17401</v>
      </c>
      <c r="B8301" t="s">
        <v>17402</v>
      </c>
      <c r="C8301" t="s">
        <v>149</v>
      </c>
      <c r="D8301" s="254">
        <v>1647.48</v>
      </c>
      <c r="E8301">
        <v>819.67</v>
      </c>
      <c r="F8301"/>
      <c r="G8301"/>
      <c r="H8301"/>
      <c r="I8301" s="489"/>
      <c r="J8301" s="1362"/>
      <c r="K8301" s="1362"/>
      <c r="L8301" s="1362"/>
    </row>
    <row r="8302" spans="1:12" x14ac:dyDescent="0.25">
      <c r="A8302" t="s">
        <v>17403</v>
      </c>
      <c r="B8302" t="s">
        <v>17404</v>
      </c>
      <c r="C8302" t="s">
        <v>149</v>
      </c>
      <c r="D8302" s="254">
        <v>233.23</v>
      </c>
      <c r="E8302">
        <v>110.72539999999999</v>
      </c>
      <c r="F8302"/>
      <c r="G8302"/>
      <c r="H8302"/>
      <c r="I8302" s="489"/>
      <c r="J8302" s="1362"/>
      <c r="K8302" s="1362"/>
      <c r="L8302" s="1362"/>
    </row>
    <row r="8303" spans="1:12" x14ac:dyDescent="0.25">
      <c r="A8303" t="s">
        <v>17405</v>
      </c>
      <c r="B8303" t="s">
        <v>17406</v>
      </c>
      <c r="C8303" t="s">
        <v>149</v>
      </c>
      <c r="D8303" s="254">
        <v>57.5</v>
      </c>
      <c r="E8303">
        <v>42.615699999999997</v>
      </c>
      <c r="F8303"/>
      <c r="G8303"/>
      <c r="H8303"/>
      <c r="I8303" s="489"/>
      <c r="J8303" s="1362"/>
      <c r="K8303" s="1362"/>
      <c r="L8303" s="1362"/>
    </row>
    <row r="8304" spans="1:12" x14ac:dyDescent="0.25">
      <c r="A8304" t="s">
        <v>17407</v>
      </c>
      <c r="B8304" t="s">
        <v>17408</v>
      </c>
      <c r="C8304" t="s">
        <v>149</v>
      </c>
      <c r="D8304" s="254">
        <v>1468.46</v>
      </c>
      <c r="E8304">
        <v>417.09679999999997</v>
      </c>
      <c r="F8304"/>
      <c r="G8304"/>
      <c r="H8304"/>
      <c r="I8304" s="489"/>
      <c r="J8304" s="1362"/>
      <c r="K8304" s="1362"/>
      <c r="L8304" s="1362"/>
    </row>
    <row r="8305" spans="1:12" x14ac:dyDescent="0.25">
      <c r="A8305" t="s">
        <v>17409</v>
      </c>
      <c r="B8305" t="s">
        <v>17410</v>
      </c>
      <c r="C8305" t="s">
        <v>149</v>
      </c>
      <c r="D8305" s="254">
        <v>519.04</v>
      </c>
      <c r="E8305">
        <v>21.9099</v>
      </c>
      <c r="F8305"/>
      <c r="G8305"/>
      <c r="H8305"/>
      <c r="I8305" s="489"/>
      <c r="J8305" s="1362"/>
      <c r="K8305" s="1362"/>
      <c r="L8305" s="1362"/>
    </row>
    <row r="8306" spans="1:12" x14ac:dyDescent="0.25">
      <c r="A8306" t="s">
        <v>17411</v>
      </c>
      <c r="B8306" t="s">
        <v>17412</v>
      </c>
      <c r="C8306" t="s">
        <v>149</v>
      </c>
      <c r="D8306" s="254">
        <v>106.26</v>
      </c>
      <c r="E8306">
        <v>76.046099999999996</v>
      </c>
      <c r="F8306"/>
      <c r="G8306"/>
      <c r="H8306"/>
      <c r="I8306" s="489"/>
      <c r="J8306" s="1362"/>
      <c r="K8306" s="1362"/>
      <c r="L8306" s="1362"/>
    </row>
    <row r="8307" spans="1:12" x14ac:dyDescent="0.25">
      <c r="A8307" t="s">
        <v>17413</v>
      </c>
      <c r="B8307" t="s">
        <v>17414</v>
      </c>
      <c r="C8307" t="s">
        <v>149</v>
      </c>
      <c r="D8307" s="254">
        <v>486.66</v>
      </c>
      <c r="E8307">
        <v>218.33529999999999</v>
      </c>
      <c r="F8307"/>
      <c r="G8307"/>
      <c r="H8307"/>
      <c r="I8307" s="489"/>
      <c r="J8307" s="1362"/>
      <c r="K8307" s="1362"/>
      <c r="L8307" s="1362"/>
    </row>
    <row r="8308" spans="1:12" x14ac:dyDescent="0.25">
      <c r="A8308" t="s">
        <v>17415</v>
      </c>
      <c r="B8308" t="s">
        <v>17416</v>
      </c>
      <c r="C8308" t="s">
        <v>149</v>
      </c>
      <c r="D8308" s="254">
        <v>23.65</v>
      </c>
      <c r="E8308">
        <v>23.194500000000001</v>
      </c>
      <c r="F8308"/>
      <c r="G8308"/>
      <c r="H8308"/>
      <c r="I8308" s="489"/>
      <c r="J8308" s="1362"/>
      <c r="K8308" s="1362"/>
      <c r="L8308" s="1362"/>
    </row>
    <row r="8309" spans="1:12" x14ac:dyDescent="0.25">
      <c r="A8309" t="s">
        <v>17417</v>
      </c>
      <c r="B8309" t="s">
        <v>17418</v>
      </c>
      <c r="C8309" t="s">
        <v>149</v>
      </c>
      <c r="D8309" s="254">
        <v>52.65</v>
      </c>
      <c r="E8309">
        <v>46.171900000000001</v>
      </c>
      <c r="F8309"/>
      <c r="G8309"/>
      <c r="H8309"/>
      <c r="I8309" s="489"/>
      <c r="J8309" s="1362"/>
      <c r="K8309" s="1362"/>
      <c r="L8309" s="1362"/>
    </row>
    <row r="8310" spans="1:12" x14ac:dyDescent="0.25">
      <c r="A8310" t="s">
        <v>17419</v>
      </c>
      <c r="B8310" t="s">
        <v>17420</v>
      </c>
      <c r="C8310" t="s">
        <v>149</v>
      </c>
      <c r="D8310" s="254">
        <v>4.9400000000000004</v>
      </c>
      <c r="E8310">
        <v>2.8879999999999999</v>
      </c>
      <c r="F8310"/>
      <c r="G8310"/>
      <c r="H8310"/>
      <c r="I8310" s="489"/>
      <c r="J8310" s="1362"/>
      <c r="K8310" s="1362"/>
      <c r="L8310" s="1362"/>
    </row>
    <row r="8311" spans="1:12" x14ac:dyDescent="0.25">
      <c r="A8311" t="s">
        <v>17421</v>
      </c>
      <c r="B8311" t="s">
        <v>17422</v>
      </c>
      <c r="C8311" t="s">
        <v>149</v>
      </c>
      <c r="D8311" s="254">
        <v>34.22</v>
      </c>
      <c r="E8311">
        <v>23.016999999999999</v>
      </c>
      <c r="F8311"/>
      <c r="G8311"/>
      <c r="H8311"/>
      <c r="I8311" s="489"/>
      <c r="J8311" s="1362"/>
      <c r="K8311" s="1362"/>
      <c r="L8311" s="1362"/>
    </row>
    <row r="8312" spans="1:12" x14ac:dyDescent="0.25">
      <c r="A8312" t="s">
        <v>17423</v>
      </c>
      <c r="B8312" t="s">
        <v>17424</v>
      </c>
      <c r="C8312" t="s">
        <v>149</v>
      </c>
      <c r="D8312" s="254">
        <v>56.71</v>
      </c>
      <c r="E8312">
        <v>48.474200000000003</v>
      </c>
      <c r="F8312"/>
      <c r="G8312"/>
      <c r="H8312"/>
      <c r="I8312" s="489"/>
      <c r="J8312" s="1362"/>
      <c r="K8312" s="1362"/>
      <c r="L8312" s="1362"/>
    </row>
    <row r="8313" spans="1:12" x14ac:dyDescent="0.25">
      <c r="A8313" t="s">
        <v>17425</v>
      </c>
      <c r="B8313" t="s">
        <v>17426</v>
      </c>
      <c r="C8313" t="s">
        <v>149</v>
      </c>
      <c r="D8313" s="254">
        <v>1.74</v>
      </c>
      <c r="E8313">
        <v>0.98499999999999999</v>
      </c>
      <c r="F8313"/>
      <c r="G8313"/>
      <c r="H8313"/>
      <c r="I8313" s="489"/>
      <c r="J8313" s="1362"/>
      <c r="K8313" s="1362"/>
      <c r="L8313" s="1362"/>
    </row>
    <row r="8314" spans="1:12" x14ac:dyDescent="0.25">
      <c r="A8314" t="s">
        <v>17427</v>
      </c>
      <c r="B8314" t="s">
        <v>17428</v>
      </c>
      <c r="C8314" t="s">
        <v>149</v>
      </c>
      <c r="D8314" s="254">
        <v>61.56</v>
      </c>
      <c r="E8314">
        <v>45.357799999999997</v>
      </c>
      <c r="F8314"/>
      <c r="G8314"/>
      <c r="H8314"/>
      <c r="I8314" s="489"/>
      <c r="J8314" s="1362"/>
      <c r="K8314" s="1362"/>
      <c r="L8314" s="1362"/>
    </row>
    <row r="8315" spans="1:12" x14ac:dyDescent="0.25">
      <c r="A8315" t="s">
        <v>17429</v>
      </c>
      <c r="B8315" t="s">
        <v>17430</v>
      </c>
      <c r="C8315" t="s">
        <v>149</v>
      </c>
      <c r="D8315" s="254">
        <v>48.94</v>
      </c>
      <c r="E8315">
        <v>44.069800000000001</v>
      </c>
      <c r="F8315"/>
      <c r="G8315"/>
      <c r="H8315"/>
      <c r="I8315" s="489"/>
      <c r="J8315" s="1362"/>
      <c r="K8315" s="1362"/>
      <c r="L8315" s="1362"/>
    </row>
    <row r="8316" spans="1:12" x14ac:dyDescent="0.25">
      <c r="A8316" t="s">
        <v>17431</v>
      </c>
      <c r="B8316" t="s">
        <v>17432</v>
      </c>
      <c r="C8316" t="s">
        <v>149</v>
      </c>
      <c r="D8316" s="254">
        <v>53.76</v>
      </c>
      <c r="E8316">
        <v>46.801400000000001</v>
      </c>
      <c r="F8316"/>
      <c r="G8316"/>
      <c r="H8316"/>
      <c r="I8316" s="489"/>
      <c r="J8316" s="1362"/>
      <c r="K8316" s="1362"/>
      <c r="L8316" s="1362"/>
    </row>
    <row r="8317" spans="1:12" x14ac:dyDescent="0.25">
      <c r="A8317" t="s">
        <v>17433</v>
      </c>
      <c r="B8317" t="s">
        <v>17434</v>
      </c>
      <c r="C8317" t="s">
        <v>149</v>
      </c>
      <c r="D8317" s="254">
        <v>61.79</v>
      </c>
      <c r="E8317">
        <v>51.354300000000002</v>
      </c>
      <c r="F8317"/>
      <c r="G8317"/>
      <c r="H8317"/>
      <c r="I8317" s="489"/>
      <c r="J8317" s="1362"/>
      <c r="K8317" s="1362"/>
      <c r="L8317" s="1362"/>
    </row>
    <row r="8318" spans="1:12" x14ac:dyDescent="0.25">
      <c r="A8318" t="s">
        <v>17435</v>
      </c>
      <c r="B8318" t="s">
        <v>17436</v>
      </c>
      <c r="C8318" t="s">
        <v>149</v>
      </c>
      <c r="D8318" s="254">
        <v>69.83</v>
      </c>
      <c r="E8318">
        <v>55.907299999999999</v>
      </c>
      <c r="F8318"/>
      <c r="G8318"/>
      <c r="H8318"/>
      <c r="I8318" s="489"/>
      <c r="J8318" s="1362"/>
      <c r="K8318" s="1362"/>
      <c r="L8318" s="1362"/>
    </row>
    <row r="8319" spans="1:12" x14ac:dyDescent="0.25">
      <c r="A8319" t="s">
        <v>17437</v>
      </c>
      <c r="B8319" t="s">
        <v>17438</v>
      </c>
      <c r="C8319" t="s">
        <v>149</v>
      </c>
      <c r="D8319" s="254">
        <v>435.98</v>
      </c>
      <c r="E8319">
        <v>253.57310000000001</v>
      </c>
      <c r="F8319"/>
      <c r="G8319"/>
      <c r="H8319"/>
      <c r="I8319" s="489"/>
      <c r="J8319" s="1362"/>
      <c r="K8319" s="1362"/>
      <c r="L8319" s="1362"/>
    </row>
    <row r="8320" spans="1:12" x14ac:dyDescent="0.25">
      <c r="A8320" t="s">
        <v>17439</v>
      </c>
      <c r="B8320" t="s">
        <v>17440</v>
      </c>
      <c r="C8320" t="s">
        <v>149</v>
      </c>
      <c r="D8320" s="254">
        <v>39.99</v>
      </c>
      <c r="E8320">
        <v>38.998800000000003</v>
      </c>
      <c r="F8320"/>
      <c r="G8320"/>
      <c r="H8320"/>
      <c r="I8320" s="489"/>
      <c r="J8320" s="1362"/>
      <c r="K8320" s="1362"/>
      <c r="L8320" s="1362"/>
    </row>
    <row r="8321" spans="1:12" x14ac:dyDescent="0.25">
      <c r="A8321" t="s">
        <v>17441</v>
      </c>
      <c r="B8321" t="s">
        <v>17442</v>
      </c>
      <c r="C8321" t="s">
        <v>149</v>
      </c>
      <c r="D8321" s="254">
        <v>58.37</v>
      </c>
      <c r="E8321">
        <v>46.4</v>
      </c>
      <c r="F8321"/>
      <c r="G8321"/>
      <c r="H8321"/>
      <c r="I8321" s="489"/>
      <c r="J8321" s="1362"/>
      <c r="K8321" s="1362"/>
      <c r="L8321" s="1362"/>
    </row>
    <row r="8322" spans="1:12" x14ac:dyDescent="0.25">
      <c r="A8322" t="s">
        <v>17443</v>
      </c>
      <c r="B8322" t="s">
        <v>17444</v>
      </c>
      <c r="C8322" t="s">
        <v>149</v>
      </c>
      <c r="D8322" s="254">
        <v>7.0000000000000007E-2</v>
      </c>
      <c r="E8322">
        <v>0.05</v>
      </c>
      <c r="F8322"/>
      <c r="G8322"/>
      <c r="H8322"/>
      <c r="I8322" s="489"/>
      <c r="J8322" s="1362"/>
      <c r="K8322" s="1362"/>
      <c r="L8322" s="1362"/>
    </row>
    <row r="8323" spans="1:12" x14ac:dyDescent="0.25">
      <c r="A8323" t="s">
        <v>17445</v>
      </c>
      <c r="B8323" t="s">
        <v>17446</v>
      </c>
      <c r="C8323" t="s">
        <v>149</v>
      </c>
      <c r="D8323" s="254">
        <v>239.78</v>
      </c>
      <c r="E8323">
        <v>87.336200000000005</v>
      </c>
      <c r="F8323"/>
      <c r="G8323"/>
      <c r="H8323"/>
      <c r="I8323" s="489"/>
      <c r="J8323" s="1362"/>
      <c r="K8323" s="1362"/>
      <c r="L8323" s="1362"/>
    </row>
    <row r="8324" spans="1:12" x14ac:dyDescent="0.25">
      <c r="A8324" t="s">
        <v>17447</v>
      </c>
      <c r="B8324" t="s">
        <v>17448</v>
      </c>
      <c r="C8324" t="s">
        <v>149</v>
      </c>
      <c r="D8324" s="254">
        <v>80</v>
      </c>
      <c r="E8324">
        <v>35.513100000000001</v>
      </c>
      <c r="F8324"/>
      <c r="G8324"/>
      <c r="H8324"/>
      <c r="I8324" s="489"/>
      <c r="J8324" s="1362"/>
      <c r="K8324" s="1362"/>
      <c r="L8324" s="1362"/>
    </row>
    <row r="8325" spans="1:12" x14ac:dyDescent="0.25">
      <c r="A8325" t="s">
        <v>17449</v>
      </c>
      <c r="B8325" t="s">
        <v>17450</v>
      </c>
      <c r="C8325" t="s">
        <v>149</v>
      </c>
      <c r="D8325" s="254">
        <v>495.81</v>
      </c>
      <c r="E8325">
        <v>312.23059999999998</v>
      </c>
      <c r="F8325"/>
      <c r="G8325"/>
      <c r="H8325"/>
      <c r="I8325" s="489"/>
      <c r="J8325" s="1362"/>
      <c r="K8325" s="1362"/>
      <c r="L8325" s="1362"/>
    </row>
    <row r="8326" spans="1:12" x14ac:dyDescent="0.25">
      <c r="A8326" t="s">
        <v>17451</v>
      </c>
      <c r="B8326" t="s">
        <v>17452</v>
      </c>
      <c r="C8326" t="s">
        <v>149</v>
      </c>
      <c r="D8326" s="254">
        <v>56.26</v>
      </c>
      <c r="E8326">
        <v>44.176200000000001</v>
      </c>
      <c r="F8326"/>
      <c r="G8326"/>
      <c r="H8326"/>
      <c r="I8326" s="489"/>
      <c r="J8326" s="1362"/>
      <c r="K8326" s="1362"/>
      <c r="L8326" s="1362"/>
    </row>
    <row r="8327" spans="1:12" x14ac:dyDescent="0.25">
      <c r="A8327" t="s">
        <v>17453</v>
      </c>
      <c r="B8327" t="s">
        <v>17454</v>
      </c>
      <c r="C8327" t="s">
        <v>149</v>
      </c>
      <c r="D8327" s="254">
        <v>58.78</v>
      </c>
      <c r="E8327">
        <v>45.563899999999997</v>
      </c>
      <c r="F8327"/>
      <c r="G8327"/>
      <c r="H8327"/>
      <c r="I8327" s="489"/>
      <c r="J8327" s="1362"/>
      <c r="K8327" s="1362"/>
      <c r="L8327" s="1362"/>
    </row>
    <row r="8328" spans="1:12" x14ac:dyDescent="0.25">
      <c r="A8328" t="s">
        <v>17455</v>
      </c>
      <c r="B8328" t="s">
        <v>17456</v>
      </c>
      <c r="C8328" t="s">
        <v>149</v>
      </c>
      <c r="D8328" s="254">
        <v>63.59</v>
      </c>
      <c r="E8328">
        <v>48.221600000000002</v>
      </c>
      <c r="F8328"/>
      <c r="G8328"/>
      <c r="H8328"/>
      <c r="I8328" s="489"/>
      <c r="J8328" s="1362"/>
      <c r="K8328" s="1362"/>
      <c r="L8328" s="1362"/>
    </row>
    <row r="8329" spans="1:12" x14ac:dyDescent="0.25">
      <c r="A8329" t="s">
        <v>17457</v>
      </c>
      <c r="B8329" t="s">
        <v>17458</v>
      </c>
      <c r="C8329" t="s">
        <v>149</v>
      </c>
      <c r="D8329" s="254">
        <v>66.66</v>
      </c>
      <c r="E8329">
        <v>49.914400000000001</v>
      </c>
      <c r="F8329"/>
      <c r="G8329"/>
      <c r="H8329"/>
      <c r="I8329" s="489"/>
      <c r="J8329" s="1362"/>
      <c r="K8329" s="1362"/>
      <c r="L8329" s="1362"/>
    </row>
    <row r="8330" spans="1:12" x14ac:dyDescent="0.25">
      <c r="A8330" t="s">
        <v>17459</v>
      </c>
      <c r="B8330" t="s">
        <v>17460</v>
      </c>
      <c r="C8330" t="s">
        <v>149</v>
      </c>
      <c r="D8330" s="254">
        <v>198.1</v>
      </c>
      <c r="E8330">
        <v>74.772800000000004</v>
      </c>
      <c r="F8330"/>
      <c r="G8330"/>
      <c r="H8330"/>
      <c r="I8330" s="489"/>
      <c r="J8330" s="1362"/>
      <c r="K8330" s="1362"/>
      <c r="L8330" s="1362"/>
    </row>
    <row r="8331" spans="1:12" x14ac:dyDescent="0.25">
      <c r="A8331" t="s">
        <v>17461</v>
      </c>
      <c r="B8331" t="s">
        <v>17462</v>
      </c>
      <c r="C8331" t="s">
        <v>149</v>
      </c>
      <c r="D8331" s="254">
        <v>295.02999999999997</v>
      </c>
      <c r="E8331">
        <v>152.26130000000001</v>
      </c>
      <c r="F8331"/>
      <c r="G8331"/>
      <c r="H8331"/>
      <c r="I8331" s="489"/>
      <c r="J8331" s="1362"/>
      <c r="K8331" s="1362"/>
      <c r="L8331" s="1362"/>
    </row>
    <row r="8332" spans="1:12" x14ac:dyDescent="0.25">
      <c r="A8332" t="s">
        <v>17463</v>
      </c>
      <c r="B8332" t="s">
        <v>17464</v>
      </c>
      <c r="C8332" t="s">
        <v>149</v>
      </c>
      <c r="D8332" s="254">
        <v>158.06</v>
      </c>
      <c r="E8332">
        <v>94.594700000000003</v>
      </c>
      <c r="F8332"/>
      <c r="G8332"/>
      <c r="H8332"/>
      <c r="I8332" s="489"/>
      <c r="J8332" s="1362"/>
      <c r="K8332" s="1362"/>
      <c r="L8332" s="1362"/>
    </row>
    <row r="8333" spans="1:12" x14ac:dyDescent="0.25">
      <c r="A8333" t="s">
        <v>17465</v>
      </c>
      <c r="B8333" t="s">
        <v>17466</v>
      </c>
      <c r="C8333" t="s">
        <v>149</v>
      </c>
      <c r="D8333" s="254">
        <v>247.9</v>
      </c>
      <c r="E8333">
        <v>103.94629999999999</v>
      </c>
      <c r="F8333"/>
      <c r="G8333"/>
      <c r="H8333"/>
      <c r="I8333" s="489"/>
      <c r="J8333" s="1362"/>
      <c r="K8333" s="1362"/>
      <c r="L8333" s="1362"/>
    </row>
    <row r="8334" spans="1:12" x14ac:dyDescent="0.25">
      <c r="A8334" t="s">
        <v>17467</v>
      </c>
      <c r="B8334" t="s">
        <v>17468</v>
      </c>
      <c r="C8334" t="s">
        <v>149</v>
      </c>
      <c r="D8334" s="254">
        <v>74.36</v>
      </c>
      <c r="E8334">
        <v>41.6295</v>
      </c>
      <c r="F8334"/>
      <c r="G8334"/>
      <c r="H8334"/>
      <c r="I8334" s="489"/>
      <c r="J8334" s="1362"/>
      <c r="K8334" s="1362"/>
      <c r="L8334" s="1362"/>
    </row>
    <row r="8335" spans="1:12" x14ac:dyDescent="0.25">
      <c r="A8335" t="s">
        <v>17469</v>
      </c>
      <c r="B8335" t="s">
        <v>17470</v>
      </c>
      <c r="C8335" t="s">
        <v>149</v>
      </c>
      <c r="D8335" s="254">
        <v>224.52</v>
      </c>
      <c r="E8335">
        <v>141.7867</v>
      </c>
      <c r="F8335"/>
      <c r="G8335"/>
      <c r="H8335"/>
      <c r="I8335" s="489"/>
      <c r="J8335" s="1362"/>
      <c r="K8335" s="1362"/>
      <c r="L8335" s="1362"/>
    </row>
    <row r="8336" spans="1:12" x14ac:dyDescent="0.25">
      <c r="A8336" t="s">
        <v>17471</v>
      </c>
      <c r="B8336" t="s">
        <v>17472</v>
      </c>
      <c r="C8336" t="s">
        <v>149</v>
      </c>
      <c r="D8336" s="254">
        <v>83.1</v>
      </c>
      <c r="E8336">
        <v>56.89</v>
      </c>
      <c r="F8336"/>
      <c r="G8336"/>
      <c r="H8336"/>
      <c r="I8336" s="489"/>
      <c r="J8336" s="1362"/>
      <c r="K8336" s="1362"/>
      <c r="L8336" s="1362"/>
    </row>
    <row r="8337" spans="1:12" x14ac:dyDescent="0.25">
      <c r="A8337" t="s">
        <v>17473</v>
      </c>
      <c r="B8337" t="s">
        <v>17474</v>
      </c>
      <c r="C8337" t="s">
        <v>149</v>
      </c>
      <c r="D8337" s="254">
        <v>117.82</v>
      </c>
      <c r="E8337">
        <v>101.3493</v>
      </c>
      <c r="F8337"/>
      <c r="G8337"/>
      <c r="H8337"/>
      <c r="I8337" s="489"/>
      <c r="J8337" s="1362"/>
      <c r="K8337" s="1362"/>
      <c r="L8337" s="1362"/>
    </row>
    <row r="8338" spans="1:12" x14ac:dyDescent="0.25">
      <c r="A8338" t="s">
        <v>17475</v>
      </c>
      <c r="B8338" t="s">
        <v>17476</v>
      </c>
      <c r="C8338" t="s">
        <v>149</v>
      </c>
      <c r="D8338" s="254">
        <v>29.87</v>
      </c>
      <c r="E8338">
        <v>26.566600000000001</v>
      </c>
      <c r="F8338"/>
      <c r="G8338"/>
      <c r="H8338"/>
      <c r="I8338" s="489"/>
      <c r="J8338" s="1362"/>
      <c r="K8338" s="1362"/>
      <c r="L8338" s="1362"/>
    </row>
    <row r="8339" spans="1:12" x14ac:dyDescent="0.25">
      <c r="A8339" t="s">
        <v>17477</v>
      </c>
      <c r="B8339" t="s">
        <v>17478</v>
      </c>
      <c r="C8339" t="s">
        <v>149</v>
      </c>
      <c r="D8339" s="254">
        <v>43.24</v>
      </c>
      <c r="E8339">
        <v>33.354900000000001</v>
      </c>
      <c r="F8339"/>
      <c r="G8339"/>
      <c r="H8339"/>
      <c r="I8339" s="489"/>
      <c r="J8339" s="1362"/>
      <c r="K8339" s="1362"/>
      <c r="L8339" s="1362"/>
    </row>
    <row r="8340" spans="1:12" x14ac:dyDescent="0.25">
      <c r="A8340" t="s">
        <v>17479</v>
      </c>
      <c r="B8340" t="s">
        <v>17480</v>
      </c>
      <c r="C8340" t="s">
        <v>149</v>
      </c>
      <c r="D8340" s="254">
        <v>117.82</v>
      </c>
      <c r="E8340">
        <v>101.3493</v>
      </c>
      <c r="F8340"/>
      <c r="G8340"/>
      <c r="H8340"/>
      <c r="I8340" s="489"/>
      <c r="J8340" s="1362"/>
      <c r="K8340" s="1362"/>
      <c r="L8340" s="1362"/>
    </row>
    <row r="8341" spans="1:12" x14ac:dyDescent="0.25">
      <c r="A8341" t="s">
        <v>17481</v>
      </c>
      <c r="B8341" t="s">
        <v>17482</v>
      </c>
      <c r="C8341" t="s">
        <v>149</v>
      </c>
      <c r="D8341" s="254">
        <v>56.76</v>
      </c>
      <c r="E8341">
        <v>56.121499999999997</v>
      </c>
      <c r="F8341"/>
      <c r="G8341"/>
      <c r="H8341"/>
      <c r="I8341" s="489"/>
      <c r="J8341" s="1362"/>
      <c r="K8341" s="1362"/>
      <c r="L8341" s="1362"/>
    </row>
    <row r="8342" spans="1:12" x14ac:dyDescent="0.25">
      <c r="A8342" t="s">
        <v>17483</v>
      </c>
      <c r="B8342" t="s">
        <v>17484</v>
      </c>
      <c r="C8342" t="s">
        <v>149</v>
      </c>
      <c r="D8342" s="254">
        <v>0.21</v>
      </c>
      <c r="E8342">
        <v>0.13619999999999999</v>
      </c>
      <c r="F8342"/>
      <c r="G8342"/>
      <c r="H8342"/>
      <c r="I8342" s="489"/>
      <c r="J8342" s="1362"/>
      <c r="K8342" s="1362"/>
      <c r="L8342" s="1362"/>
    </row>
    <row r="8343" spans="1:12" x14ac:dyDescent="0.25">
      <c r="A8343" t="s">
        <v>17485</v>
      </c>
      <c r="B8343" t="s">
        <v>17486</v>
      </c>
      <c r="C8343" t="s">
        <v>149</v>
      </c>
      <c r="D8343" s="254">
        <v>1.0900000000000001</v>
      </c>
      <c r="E8343">
        <v>0.70720000000000005</v>
      </c>
      <c r="F8343"/>
      <c r="G8343"/>
      <c r="H8343"/>
      <c r="I8343" s="489"/>
      <c r="J8343" s="1362"/>
      <c r="K8343" s="1362"/>
      <c r="L8343" s="1362"/>
    </row>
    <row r="8344" spans="1:12" x14ac:dyDescent="0.25">
      <c r="A8344" t="s">
        <v>17487</v>
      </c>
      <c r="B8344" t="s">
        <v>17488</v>
      </c>
      <c r="C8344" t="s">
        <v>149</v>
      </c>
      <c r="D8344" s="254">
        <v>2678.88</v>
      </c>
      <c r="E8344">
        <v>1441.2869000000001</v>
      </c>
      <c r="F8344"/>
      <c r="G8344"/>
      <c r="H8344"/>
      <c r="I8344" s="489"/>
      <c r="J8344" s="1362"/>
      <c r="K8344" s="1362"/>
      <c r="L8344" s="1362"/>
    </row>
    <row r="8345" spans="1:12" x14ac:dyDescent="0.25">
      <c r="A8345" t="s">
        <v>17489</v>
      </c>
      <c r="B8345" t="s">
        <v>17490</v>
      </c>
      <c r="C8345" t="s">
        <v>149</v>
      </c>
      <c r="D8345" s="254">
        <v>1.62</v>
      </c>
      <c r="E8345">
        <v>1.1033999999999999</v>
      </c>
      <c r="F8345"/>
      <c r="G8345"/>
      <c r="H8345"/>
      <c r="I8345" s="489"/>
      <c r="J8345" s="1362"/>
      <c r="K8345" s="1362"/>
      <c r="L8345" s="1362"/>
    </row>
    <row r="8346" spans="1:12" x14ac:dyDescent="0.25">
      <c r="A8346" t="s">
        <v>17491</v>
      </c>
      <c r="B8346" t="s">
        <v>17492</v>
      </c>
      <c r="C8346" t="s">
        <v>149</v>
      </c>
      <c r="D8346" s="254">
        <v>2928.75</v>
      </c>
      <c r="E8346">
        <v>1731.7035000000001</v>
      </c>
      <c r="F8346"/>
      <c r="G8346"/>
      <c r="H8346"/>
      <c r="I8346" s="489"/>
      <c r="J8346" s="1362"/>
      <c r="K8346" s="1362"/>
      <c r="L8346" s="1362"/>
    </row>
    <row r="8347" spans="1:12" x14ac:dyDescent="0.25">
      <c r="A8347" t="s">
        <v>17493</v>
      </c>
      <c r="B8347" t="s">
        <v>17494</v>
      </c>
      <c r="C8347" t="s">
        <v>149</v>
      </c>
      <c r="D8347" s="254">
        <v>20.5</v>
      </c>
      <c r="E8347">
        <v>3.8393000000000002</v>
      </c>
      <c r="F8347"/>
      <c r="G8347"/>
      <c r="H8347"/>
      <c r="I8347" s="489"/>
      <c r="J8347" s="1362"/>
      <c r="K8347" s="1362"/>
      <c r="L8347" s="1362"/>
    </row>
    <row r="8348" spans="1:12" x14ac:dyDescent="0.25">
      <c r="A8348" t="s">
        <v>17495</v>
      </c>
      <c r="B8348" t="s">
        <v>17496</v>
      </c>
      <c r="C8348" t="s">
        <v>149</v>
      </c>
      <c r="D8348" s="254">
        <v>256.26</v>
      </c>
      <c r="E8348">
        <v>117.8283</v>
      </c>
      <c r="F8348"/>
      <c r="G8348"/>
      <c r="H8348"/>
      <c r="I8348" s="489"/>
      <c r="J8348" s="1362"/>
      <c r="K8348" s="1362"/>
      <c r="L8348" s="1362"/>
    </row>
    <row r="8349" spans="1:12" x14ac:dyDescent="0.25">
      <c r="A8349" t="s">
        <v>17497</v>
      </c>
      <c r="B8349" t="s">
        <v>17498</v>
      </c>
      <c r="C8349" t="s">
        <v>149</v>
      </c>
      <c r="D8349" s="254">
        <v>519.89</v>
      </c>
      <c r="E8349">
        <v>231.57509999999999</v>
      </c>
      <c r="F8349"/>
      <c r="G8349"/>
      <c r="H8349"/>
      <c r="I8349" s="489"/>
      <c r="J8349" s="1362"/>
      <c r="K8349" s="1362"/>
      <c r="L8349" s="1362"/>
    </row>
    <row r="8350" spans="1:12" x14ac:dyDescent="0.25">
      <c r="A8350" t="s">
        <v>17499</v>
      </c>
      <c r="B8350" t="s">
        <v>17500</v>
      </c>
      <c r="C8350" t="s">
        <v>149</v>
      </c>
      <c r="D8350" s="254">
        <v>9.7100000000000009</v>
      </c>
      <c r="E8350">
        <v>0.80500000000000005</v>
      </c>
      <c r="F8350"/>
      <c r="G8350"/>
      <c r="H8350"/>
      <c r="I8350" s="489"/>
      <c r="J8350" s="1362"/>
      <c r="K8350" s="1362"/>
      <c r="L8350" s="1362"/>
    </row>
    <row r="8351" spans="1:12" x14ac:dyDescent="0.25">
      <c r="A8351" t="s">
        <v>17501</v>
      </c>
      <c r="B8351" t="s">
        <v>17502</v>
      </c>
      <c r="C8351" t="s">
        <v>149</v>
      </c>
      <c r="D8351" s="254">
        <v>51.71</v>
      </c>
      <c r="E8351">
        <v>42.819000000000003</v>
      </c>
      <c r="F8351"/>
      <c r="G8351"/>
      <c r="H8351"/>
      <c r="I8351" s="489"/>
      <c r="J8351" s="1362"/>
      <c r="K8351" s="1362"/>
      <c r="L8351" s="1362"/>
    </row>
    <row r="8352" spans="1:12" x14ac:dyDescent="0.25">
      <c r="A8352" t="s">
        <v>17503</v>
      </c>
      <c r="B8352" t="s">
        <v>17504</v>
      </c>
      <c r="C8352" t="s">
        <v>149</v>
      </c>
      <c r="D8352" s="254">
        <v>0.77</v>
      </c>
      <c r="E8352">
        <v>0.52580000000000005</v>
      </c>
      <c r="F8352"/>
      <c r="G8352"/>
      <c r="H8352"/>
      <c r="I8352" s="489"/>
      <c r="J8352" s="1362"/>
      <c r="K8352" s="1362"/>
      <c r="L8352" s="1362"/>
    </row>
    <row r="8353" spans="1:12" x14ac:dyDescent="0.25">
      <c r="A8353" t="s">
        <v>17505</v>
      </c>
      <c r="B8353" t="s">
        <v>17506</v>
      </c>
      <c r="C8353" t="s">
        <v>149</v>
      </c>
      <c r="D8353" s="254">
        <v>983.65</v>
      </c>
      <c r="E8353">
        <v>295.56119999999999</v>
      </c>
      <c r="F8353"/>
      <c r="G8353"/>
      <c r="H8353"/>
      <c r="I8353" s="489"/>
      <c r="J8353" s="1362"/>
      <c r="K8353" s="1362"/>
      <c r="L8353" s="1362"/>
    </row>
    <row r="8354" spans="1:12" x14ac:dyDescent="0.25">
      <c r="A8354" t="s">
        <v>17507</v>
      </c>
      <c r="B8354" t="s">
        <v>17508</v>
      </c>
      <c r="C8354" t="s">
        <v>149</v>
      </c>
      <c r="D8354" s="254">
        <v>192.26</v>
      </c>
      <c r="E8354">
        <v>61.878900000000002</v>
      </c>
      <c r="F8354"/>
      <c r="G8354"/>
      <c r="H8354"/>
      <c r="I8354" s="489"/>
      <c r="J8354" s="1362"/>
      <c r="K8354" s="1362"/>
      <c r="L8354" s="1362"/>
    </row>
    <row r="8355" spans="1:12" x14ac:dyDescent="0.25">
      <c r="A8355" t="s">
        <v>17509</v>
      </c>
      <c r="B8355" t="s">
        <v>17510</v>
      </c>
      <c r="C8355" t="s">
        <v>149</v>
      </c>
      <c r="D8355" s="254">
        <v>58.47</v>
      </c>
      <c r="E8355">
        <v>39.936900000000001</v>
      </c>
      <c r="F8355"/>
      <c r="G8355"/>
      <c r="H8355"/>
      <c r="I8355" s="489"/>
      <c r="J8355" s="1362"/>
      <c r="K8355" s="1362"/>
      <c r="L8355" s="1362"/>
    </row>
    <row r="8356" spans="1:12" x14ac:dyDescent="0.25">
      <c r="A8356" t="s">
        <v>17511</v>
      </c>
      <c r="B8356" t="s">
        <v>17512</v>
      </c>
      <c r="C8356" t="s">
        <v>149</v>
      </c>
      <c r="D8356" s="254">
        <v>0.1</v>
      </c>
      <c r="E8356">
        <v>7.1800000000000003E-2</v>
      </c>
      <c r="F8356"/>
      <c r="G8356"/>
      <c r="H8356"/>
      <c r="I8356" s="489"/>
      <c r="J8356" s="1362"/>
      <c r="K8356" s="1362"/>
      <c r="L8356" s="1362"/>
    </row>
    <row r="8357" spans="1:12" x14ac:dyDescent="0.25">
      <c r="A8357" t="s">
        <v>17513</v>
      </c>
      <c r="B8357" t="s">
        <v>17514</v>
      </c>
      <c r="C8357" t="s">
        <v>149</v>
      </c>
      <c r="D8357" s="254">
        <v>42.87</v>
      </c>
      <c r="E8357">
        <v>36.700600000000001</v>
      </c>
      <c r="F8357"/>
      <c r="G8357"/>
      <c r="H8357"/>
      <c r="I8357" s="489"/>
      <c r="J8357" s="1362"/>
      <c r="K8357" s="1362"/>
      <c r="L8357" s="1362"/>
    </row>
    <row r="8358" spans="1:12" x14ac:dyDescent="0.25">
      <c r="A8358" t="s">
        <v>17515</v>
      </c>
      <c r="B8358" t="s">
        <v>17516</v>
      </c>
      <c r="C8358" t="s">
        <v>149</v>
      </c>
      <c r="D8358" s="254">
        <v>1100.3499999999999</v>
      </c>
      <c r="E8358">
        <v>521.65300000000002</v>
      </c>
      <c r="F8358"/>
      <c r="G8358"/>
      <c r="H8358"/>
      <c r="I8358" s="489"/>
      <c r="J8358" s="1362"/>
      <c r="K8358" s="1362"/>
      <c r="L8358" s="1362"/>
    </row>
    <row r="8359" spans="1:12" x14ac:dyDescent="0.25">
      <c r="A8359" t="s">
        <v>17517</v>
      </c>
      <c r="B8359" t="s">
        <v>17518</v>
      </c>
      <c r="C8359" t="s">
        <v>149</v>
      </c>
      <c r="D8359" s="254">
        <v>248.59</v>
      </c>
      <c r="E8359">
        <v>189.7962</v>
      </c>
      <c r="F8359"/>
      <c r="G8359"/>
      <c r="H8359"/>
      <c r="I8359" s="489"/>
      <c r="J8359" s="1362"/>
      <c r="K8359" s="1362"/>
      <c r="L8359" s="1362"/>
    </row>
    <row r="8360" spans="1:12" x14ac:dyDescent="0.25">
      <c r="A8360" t="s">
        <v>17519</v>
      </c>
      <c r="B8360" t="s">
        <v>17520</v>
      </c>
      <c r="C8360" t="s">
        <v>149</v>
      </c>
      <c r="D8360" s="254">
        <v>28.53</v>
      </c>
      <c r="E8360">
        <v>16.675799999999999</v>
      </c>
      <c r="F8360"/>
      <c r="G8360"/>
      <c r="H8360"/>
      <c r="I8360" s="489"/>
      <c r="J8360" s="1362"/>
      <c r="K8360" s="1362"/>
      <c r="L8360" s="1362"/>
    </row>
    <row r="8361" spans="1:12" x14ac:dyDescent="0.25">
      <c r="A8361" t="s">
        <v>17521</v>
      </c>
      <c r="B8361" t="s">
        <v>17522</v>
      </c>
      <c r="C8361" t="s">
        <v>149</v>
      </c>
      <c r="D8361" s="254">
        <v>175.94</v>
      </c>
      <c r="E8361">
        <v>131.8485</v>
      </c>
      <c r="F8361"/>
      <c r="G8361"/>
      <c r="H8361"/>
      <c r="I8361" s="489"/>
      <c r="J8361" s="1362"/>
      <c r="K8361" s="1362"/>
      <c r="L8361" s="1362"/>
    </row>
    <row r="8362" spans="1:12" x14ac:dyDescent="0.25">
      <c r="A8362" t="s">
        <v>17523</v>
      </c>
      <c r="B8362" t="s">
        <v>17524</v>
      </c>
      <c r="C8362" t="s">
        <v>149</v>
      </c>
      <c r="D8362" s="254">
        <v>31.33</v>
      </c>
      <c r="E8362">
        <v>28.806999999999999</v>
      </c>
      <c r="F8362"/>
      <c r="G8362"/>
      <c r="H8362"/>
      <c r="I8362" s="489"/>
      <c r="J8362" s="1362"/>
      <c r="K8362" s="1362"/>
      <c r="L8362" s="1362"/>
    </row>
    <row r="8363" spans="1:12" x14ac:dyDescent="0.25">
      <c r="A8363" t="s">
        <v>17525</v>
      </c>
      <c r="B8363" t="s">
        <v>17526</v>
      </c>
      <c r="C8363" t="s">
        <v>149</v>
      </c>
      <c r="D8363" s="254">
        <v>31.08</v>
      </c>
      <c r="E8363">
        <v>24.623699999999999</v>
      </c>
      <c r="F8363"/>
      <c r="G8363"/>
      <c r="H8363"/>
      <c r="I8363" s="489"/>
      <c r="J8363" s="1362"/>
      <c r="K8363" s="1362"/>
      <c r="L8363" s="1362"/>
    </row>
    <row r="8364" spans="1:12" x14ac:dyDescent="0.25">
      <c r="A8364" t="s">
        <v>17527</v>
      </c>
      <c r="B8364" t="s">
        <v>17528</v>
      </c>
      <c r="C8364" t="s">
        <v>149</v>
      </c>
      <c r="D8364" s="254">
        <v>43.46</v>
      </c>
      <c r="E8364">
        <v>34.430799999999998</v>
      </c>
      <c r="F8364"/>
      <c r="G8364"/>
      <c r="H8364"/>
      <c r="I8364" s="489"/>
      <c r="J8364" s="1362"/>
      <c r="K8364" s="1362"/>
      <c r="L8364" s="1362"/>
    </row>
    <row r="8365" spans="1:12" x14ac:dyDescent="0.25">
      <c r="A8365" t="s">
        <v>17529</v>
      </c>
      <c r="B8365" t="s">
        <v>17530</v>
      </c>
      <c r="C8365" t="s">
        <v>149</v>
      </c>
      <c r="D8365" s="254">
        <v>22.58</v>
      </c>
      <c r="E8365">
        <v>17.888000000000002</v>
      </c>
      <c r="F8365"/>
      <c r="G8365"/>
      <c r="H8365"/>
      <c r="I8365" s="489"/>
      <c r="J8365" s="1362"/>
      <c r="K8365" s="1362"/>
      <c r="L8365" s="1362"/>
    </row>
    <row r="8366" spans="1:12" x14ac:dyDescent="0.25">
      <c r="A8366" t="s">
        <v>17531</v>
      </c>
      <c r="B8366" t="s">
        <v>17532</v>
      </c>
      <c r="C8366" t="s">
        <v>149</v>
      </c>
      <c r="D8366" s="254">
        <v>208.37</v>
      </c>
      <c r="E8366">
        <v>70.7714</v>
      </c>
      <c r="F8366"/>
      <c r="G8366"/>
      <c r="H8366"/>
      <c r="I8366" s="489"/>
      <c r="J8366" s="1362"/>
      <c r="K8366" s="1362"/>
      <c r="L8366" s="1362"/>
    </row>
    <row r="8367" spans="1:12" x14ac:dyDescent="0.25">
      <c r="A8367" t="s">
        <v>17533</v>
      </c>
      <c r="B8367" t="s">
        <v>17534</v>
      </c>
      <c r="C8367" t="s">
        <v>149</v>
      </c>
      <c r="D8367" s="254">
        <v>9.86</v>
      </c>
      <c r="E8367">
        <v>0.43919999999999998</v>
      </c>
      <c r="F8367"/>
      <c r="G8367"/>
      <c r="H8367"/>
      <c r="I8367" s="489"/>
      <c r="J8367" s="1362"/>
      <c r="K8367" s="1362"/>
      <c r="L8367" s="1362"/>
    </row>
    <row r="8368" spans="1:12" x14ac:dyDescent="0.25">
      <c r="A8368" t="s">
        <v>17535</v>
      </c>
      <c r="B8368" t="s">
        <v>17536</v>
      </c>
      <c r="C8368" t="s">
        <v>149</v>
      </c>
      <c r="D8368" s="254">
        <v>678.81</v>
      </c>
      <c r="E8368">
        <v>150.21459999999999</v>
      </c>
      <c r="F8368"/>
      <c r="G8368"/>
      <c r="H8368"/>
      <c r="I8368" s="489"/>
      <c r="J8368" s="1362"/>
      <c r="K8368" s="1362"/>
      <c r="L8368" s="1362"/>
    </row>
    <row r="8369" spans="1:12" x14ac:dyDescent="0.25">
      <c r="A8369" t="s">
        <v>13734</v>
      </c>
      <c r="B8369" t="s">
        <v>17537</v>
      </c>
      <c r="C8369" t="s">
        <v>149</v>
      </c>
      <c r="D8369" s="254">
        <v>37.92</v>
      </c>
      <c r="E8369">
        <v>5.6989000000000001</v>
      </c>
      <c r="F8369"/>
      <c r="G8369"/>
      <c r="H8369"/>
      <c r="I8369" s="489"/>
      <c r="J8369" s="1362"/>
      <c r="K8369" s="1362"/>
      <c r="L8369" s="1362"/>
    </row>
    <row r="8370" spans="1:12" x14ac:dyDescent="0.25">
      <c r="A8370" t="s">
        <v>17538</v>
      </c>
      <c r="B8370" t="s">
        <v>17539</v>
      </c>
      <c r="C8370" t="s">
        <v>149</v>
      </c>
      <c r="D8370" s="254">
        <v>2353.6999999999998</v>
      </c>
      <c r="E8370">
        <v>1194.6096</v>
      </c>
      <c r="F8370"/>
      <c r="G8370"/>
      <c r="H8370"/>
      <c r="I8370" s="489"/>
      <c r="J8370" s="1362"/>
      <c r="K8370" s="1362"/>
      <c r="L8370" s="1362"/>
    </row>
    <row r="8371" spans="1:12" x14ac:dyDescent="0.25">
      <c r="A8371" t="s">
        <v>17540</v>
      </c>
      <c r="B8371" t="s">
        <v>17541</v>
      </c>
      <c r="C8371" t="s">
        <v>149</v>
      </c>
      <c r="D8371" s="254">
        <v>3852.15</v>
      </c>
      <c r="E8371">
        <v>1990.9192</v>
      </c>
      <c r="F8371"/>
      <c r="G8371"/>
      <c r="H8371"/>
      <c r="I8371" s="489"/>
      <c r="J8371" s="1362"/>
      <c r="K8371" s="1362"/>
      <c r="L8371" s="1362"/>
    </row>
    <row r="8372" spans="1:12" x14ac:dyDescent="0.25">
      <c r="A8372" t="s">
        <v>17542</v>
      </c>
      <c r="B8372" t="s">
        <v>17543</v>
      </c>
      <c r="C8372" t="s">
        <v>149</v>
      </c>
      <c r="D8372" s="254">
        <v>153.46</v>
      </c>
      <c r="E8372">
        <v>54.239699999999999</v>
      </c>
      <c r="F8372"/>
      <c r="G8372"/>
      <c r="H8372"/>
      <c r="I8372" s="489"/>
      <c r="J8372" s="1362"/>
      <c r="K8372" s="1362"/>
      <c r="L8372" s="1362"/>
    </row>
    <row r="8373" spans="1:12" x14ac:dyDescent="0.25">
      <c r="A8373" t="s">
        <v>17544</v>
      </c>
      <c r="B8373" t="s">
        <v>17545</v>
      </c>
      <c r="C8373" t="s">
        <v>149</v>
      </c>
      <c r="D8373" s="254">
        <v>28.41</v>
      </c>
      <c r="E8373">
        <v>4.8657000000000004</v>
      </c>
      <c r="F8373"/>
      <c r="G8373"/>
      <c r="H8373"/>
      <c r="I8373" s="489"/>
      <c r="J8373" s="1362"/>
      <c r="K8373" s="1362"/>
      <c r="L8373" s="1362"/>
    </row>
    <row r="8374" spans="1:12" x14ac:dyDescent="0.25">
      <c r="A8374" t="s">
        <v>17546</v>
      </c>
      <c r="B8374" t="s">
        <v>17547</v>
      </c>
      <c r="C8374" t="s">
        <v>149</v>
      </c>
      <c r="D8374" s="254">
        <v>43.45</v>
      </c>
      <c r="E8374">
        <v>28.357900000000001</v>
      </c>
      <c r="F8374"/>
      <c r="G8374"/>
      <c r="H8374"/>
      <c r="I8374" s="489"/>
      <c r="J8374" s="1362"/>
      <c r="K8374" s="1362"/>
      <c r="L8374" s="1362"/>
    </row>
    <row r="8375" spans="1:12" x14ac:dyDescent="0.25">
      <c r="A8375" t="s">
        <v>17548</v>
      </c>
      <c r="B8375" t="s">
        <v>17549</v>
      </c>
      <c r="C8375" t="s">
        <v>149</v>
      </c>
      <c r="D8375" s="254">
        <v>41.95</v>
      </c>
      <c r="E8375">
        <v>27.4847</v>
      </c>
      <c r="F8375"/>
      <c r="G8375"/>
      <c r="H8375"/>
      <c r="I8375" s="489"/>
      <c r="J8375" s="1362"/>
      <c r="K8375" s="1362"/>
      <c r="L8375" s="1362"/>
    </row>
    <row r="8376" spans="1:12" x14ac:dyDescent="0.25">
      <c r="A8376" t="s">
        <v>17550</v>
      </c>
      <c r="B8376" t="s">
        <v>17551</v>
      </c>
      <c r="C8376" t="s">
        <v>149</v>
      </c>
      <c r="D8376" s="254">
        <v>864.35</v>
      </c>
      <c r="E8376">
        <v>223.33860000000001</v>
      </c>
      <c r="F8376"/>
      <c r="G8376"/>
      <c r="H8376"/>
      <c r="I8376" s="489"/>
      <c r="J8376" s="1362"/>
      <c r="K8376" s="1362"/>
      <c r="L8376" s="1362"/>
    </row>
    <row r="8377" spans="1:12" x14ac:dyDescent="0.25">
      <c r="A8377" t="s">
        <v>17552</v>
      </c>
      <c r="B8377" t="s">
        <v>17553</v>
      </c>
      <c r="C8377" t="s">
        <v>149</v>
      </c>
      <c r="D8377" s="254">
        <v>80.64</v>
      </c>
      <c r="E8377">
        <v>52.3506</v>
      </c>
      <c r="F8377"/>
      <c r="G8377"/>
      <c r="H8377"/>
      <c r="I8377" s="489"/>
      <c r="J8377" s="1362"/>
      <c r="K8377" s="1362"/>
      <c r="L8377" s="1362"/>
    </row>
    <row r="8378" spans="1:12" x14ac:dyDescent="0.25">
      <c r="A8378" t="s">
        <v>17554</v>
      </c>
      <c r="B8378" t="s">
        <v>17555</v>
      </c>
      <c r="C8378" t="s">
        <v>149</v>
      </c>
      <c r="D8378" s="254">
        <v>6.06</v>
      </c>
      <c r="E8378">
        <v>0.79369999999999996</v>
      </c>
      <c r="F8378"/>
      <c r="G8378"/>
      <c r="H8378"/>
      <c r="I8378" s="489"/>
      <c r="J8378" s="1362"/>
      <c r="K8378" s="1362"/>
      <c r="L8378" s="1362"/>
    </row>
    <row r="8379" spans="1:12" x14ac:dyDescent="0.25">
      <c r="A8379" t="s">
        <v>17556</v>
      </c>
      <c r="B8379" t="s">
        <v>17557</v>
      </c>
      <c r="C8379" t="s">
        <v>149</v>
      </c>
      <c r="D8379" s="254">
        <v>864.86</v>
      </c>
      <c r="E8379">
        <v>354.54450000000003</v>
      </c>
      <c r="F8379"/>
      <c r="G8379"/>
      <c r="H8379"/>
      <c r="I8379" s="489"/>
      <c r="J8379" s="1362"/>
      <c r="K8379" s="1362"/>
      <c r="L8379" s="1362"/>
    </row>
    <row r="8380" spans="1:12" x14ac:dyDescent="0.25">
      <c r="A8380" t="s">
        <v>17558</v>
      </c>
      <c r="B8380" t="s">
        <v>17559</v>
      </c>
      <c r="C8380" t="s">
        <v>149</v>
      </c>
      <c r="D8380" s="254">
        <v>481.84</v>
      </c>
      <c r="E8380">
        <v>190.49889999999999</v>
      </c>
      <c r="F8380"/>
      <c r="G8380"/>
      <c r="H8380"/>
      <c r="I8380" s="489"/>
      <c r="J8380" s="1362"/>
      <c r="K8380" s="1362"/>
      <c r="L8380" s="1362"/>
    </row>
    <row r="8381" spans="1:12" x14ac:dyDescent="0.25">
      <c r="A8381" t="s">
        <v>17560</v>
      </c>
      <c r="B8381" t="s">
        <v>17561</v>
      </c>
      <c r="C8381" t="s">
        <v>149</v>
      </c>
      <c r="D8381" s="254">
        <v>60.99</v>
      </c>
      <c r="E8381">
        <v>43.561599999999999</v>
      </c>
      <c r="F8381"/>
      <c r="G8381"/>
      <c r="H8381"/>
      <c r="I8381" s="489"/>
      <c r="J8381" s="1362"/>
      <c r="K8381" s="1362"/>
      <c r="L8381" s="1362"/>
    </row>
    <row r="8382" spans="1:12" x14ac:dyDescent="0.25">
      <c r="A8382" t="s">
        <v>17562</v>
      </c>
      <c r="B8382" t="s">
        <v>17563</v>
      </c>
      <c r="C8382" t="s">
        <v>149</v>
      </c>
      <c r="D8382" s="254">
        <v>3.41</v>
      </c>
      <c r="E8382">
        <v>2.3338999999999999</v>
      </c>
      <c r="F8382"/>
      <c r="G8382"/>
      <c r="H8382"/>
      <c r="I8382" s="489"/>
      <c r="J8382" s="1362"/>
      <c r="K8382" s="1362"/>
      <c r="L8382" s="1362"/>
    </row>
    <row r="8383" spans="1:12" x14ac:dyDescent="0.25">
      <c r="A8383" t="s">
        <v>17564</v>
      </c>
      <c r="B8383" t="s">
        <v>17565</v>
      </c>
      <c r="C8383" t="s">
        <v>149</v>
      </c>
      <c r="D8383" s="254">
        <v>23.53</v>
      </c>
      <c r="E8383">
        <v>16.1082</v>
      </c>
      <c r="F8383"/>
      <c r="G8383"/>
      <c r="H8383"/>
      <c r="I8383" s="489"/>
      <c r="J8383" s="1362"/>
      <c r="K8383" s="1362"/>
      <c r="L8383" s="1362"/>
    </row>
    <row r="8384" spans="1:12" x14ac:dyDescent="0.25">
      <c r="A8384" t="s">
        <v>17566</v>
      </c>
      <c r="B8384" t="s">
        <v>17567</v>
      </c>
      <c r="C8384" t="s">
        <v>149</v>
      </c>
      <c r="D8384" s="254">
        <v>1.1100000000000001</v>
      </c>
      <c r="E8384">
        <v>0.76170000000000004</v>
      </c>
      <c r="F8384"/>
      <c r="G8384"/>
      <c r="H8384"/>
      <c r="I8384" s="489"/>
      <c r="J8384" s="1362"/>
      <c r="K8384" s="1362"/>
      <c r="L8384" s="1362"/>
    </row>
    <row r="8385" spans="1:12" x14ac:dyDescent="0.25">
      <c r="A8385" t="s">
        <v>17568</v>
      </c>
      <c r="B8385" t="s">
        <v>17569</v>
      </c>
      <c r="C8385" t="s">
        <v>149</v>
      </c>
      <c r="D8385" s="254">
        <v>321.27999999999997</v>
      </c>
      <c r="E8385">
        <v>112.4012</v>
      </c>
      <c r="F8385"/>
      <c r="G8385"/>
      <c r="H8385"/>
      <c r="I8385" s="489"/>
      <c r="J8385" s="1362"/>
      <c r="K8385" s="1362"/>
      <c r="L8385" s="1362"/>
    </row>
    <row r="8386" spans="1:12" x14ac:dyDescent="0.25">
      <c r="A8386" t="s">
        <v>17570</v>
      </c>
      <c r="B8386" t="s">
        <v>17571</v>
      </c>
      <c r="C8386" t="s">
        <v>149</v>
      </c>
      <c r="D8386" s="254">
        <v>159.66999999999999</v>
      </c>
      <c r="E8386">
        <v>66.114500000000007</v>
      </c>
      <c r="F8386"/>
      <c r="G8386"/>
      <c r="H8386"/>
      <c r="I8386" s="489"/>
      <c r="J8386" s="1362"/>
      <c r="K8386" s="1362"/>
      <c r="L8386" s="1362"/>
    </row>
    <row r="8387" spans="1:12" x14ac:dyDescent="0.25">
      <c r="A8387" t="s">
        <v>17572</v>
      </c>
      <c r="B8387" t="s">
        <v>17573</v>
      </c>
      <c r="C8387" t="s">
        <v>149</v>
      </c>
      <c r="D8387" s="254">
        <v>196.14</v>
      </c>
      <c r="E8387">
        <v>68.394599999999997</v>
      </c>
      <c r="F8387"/>
      <c r="G8387"/>
      <c r="H8387"/>
      <c r="I8387" s="489"/>
      <c r="J8387" s="1362"/>
      <c r="K8387" s="1362"/>
      <c r="L8387" s="1362"/>
    </row>
    <row r="8388" spans="1:12" x14ac:dyDescent="0.25">
      <c r="A8388" t="s">
        <v>17574</v>
      </c>
      <c r="B8388" t="s">
        <v>17575</v>
      </c>
      <c r="C8388" t="s">
        <v>149</v>
      </c>
      <c r="D8388" s="254">
        <v>863.74</v>
      </c>
      <c r="E8388">
        <v>361.13510000000002</v>
      </c>
      <c r="F8388"/>
      <c r="G8388"/>
      <c r="H8388"/>
      <c r="I8388" s="489"/>
      <c r="J8388" s="1362"/>
      <c r="K8388" s="1362"/>
      <c r="L8388" s="1362"/>
    </row>
    <row r="8389" spans="1:12" x14ac:dyDescent="0.25">
      <c r="A8389" t="s">
        <v>17576</v>
      </c>
      <c r="B8389" t="s">
        <v>17577</v>
      </c>
      <c r="C8389" t="s">
        <v>149</v>
      </c>
      <c r="D8389" s="254">
        <v>31.72</v>
      </c>
      <c r="E8389">
        <v>27.683599999999998</v>
      </c>
      <c r="F8389"/>
      <c r="G8389"/>
      <c r="H8389"/>
      <c r="I8389" s="489"/>
      <c r="J8389" s="1362"/>
      <c r="K8389" s="1362"/>
      <c r="L8389" s="1362"/>
    </row>
    <row r="8390" spans="1:12" x14ac:dyDescent="0.25">
      <c r="A8390" t="s">
        <v>17578</v>
      </c>
      <c r="B8390" t="s">
        <v>17579</v>
      </c>
      <c r="C8390" t="s">
        <v>149</v>
      </c>
      <c r="D8390" s="254">
        <v>846.24</v>
      </c>
      <c r="E8390">
        <v>410.4348</v>
      </c>
      <c r="F8390"/>
      <c r="G8390"/>
      <c r="H8390"/>
      <c r="I8390" s="489"/>
      <c r="J8390" s="1362"/>
      <c r="K8390" s="1362"/>
      <c r="L8390" s="1362"/>
    </row>
    <row r="8391" spans="1:12" x14ac:dyDescent="0.25">
      <c r="A8391" t="s">
        <v>17580</v>
      </c>
      <c r="B8391" t="s">
        <v>17581</v>
      </c>
      <c r="C8391" t="s">
        <v>149</v>
      </c>
      <c r="D8391" s="254">
        <v>80.41</v>
      </c>
      <c r="E8391">
        <v>38.577399999999997</v>
      </c>
      <c r="F8391"/>
      <c r="G8391"/>
      <c r="H8391"/>
      <c r="I8391" s="489"/>
      <c r="J8391" s="1362"/>
      <c r="K8391" s="1362"/>
      <c r="L8391" s="1362"/>
    </row>
    <row r="8392" spans="1:12" x14ac:dyDescent="0.25">
      <c r="A8392" t="s">
        <v>17582</v>
      </c>
      <c r="B8392" t="s">
        <v>17583</v>
      </c>
      <c r="C8392" t="s">
        <v>149</v>
      </c>
      <c r="D8392" s="254">
        <v>4811.1099999999997</v>
      </c>
      <c r="E8392">
        <v>1554.3028999999999</v>
      </c>
      <c r="F8392"/>
      <c r="G8392"/>
      <c r="H8392"/>
      <c r="I8392" s="489"/>
      <c r="J8392" s="1362"/>
      <c r="K8392" s="1362"/>
      <c r="L8392" s="1362"/>
    </row>
    <row r="8393" spans="1:12" x14ac:dyDescent="0.25">
      <c r="A8393" t="s">
        <v>17584</v>
      </c>
      <c r="B8393" t="s">
        <v>17585</v>
      </c>
      <c r="C8393" t="s">
        <v>149</v>
      </c>
      <c r="D8393" s="254">
        <v>443.79</v>
      </c>
      <c r="E8393">
        <v>197.04589999999999</v>
      </c>
      <c r="F8393"/>
      <c r="G8393"/>
      <c r="H8393"/>
      <c r="I8393" s="489"/>
      <c r="J8393" s="1362"/>
      <c r="K8393" s="1362"/>
      <c r="L8393" s="1362"/>
    </row>
    <row r="8394" spans="1:12" x14ac:dyDescent="0.25">
      <c r="A8394" t="s">
        <v>17586</v>
      </c>
      <c r="B8394" t="s">
        <v>17587</v>
      </c>
      <c r="C8394" t="s">
        <v>149</v>
      </c>
      <c r="D8394" s="254">
        <v>236.76</v>
      </c>
      <c r="E8394">
        <v>57.966200000000001</v>
      </c>
      <c r="F8394"/>
      <c r="G8394"/>
      <c r="H8394"/>
      <c r="I8394" s="489"/>
      <c r="J8394" s="1362"/>
      <c r="K8394" s="1362"/>
      <c r="L8394" s="1362"/>
    </row>
    <row r="8395" spans="1:12" x14ac:dyDescent="0.25">
      <c r="A8395" t="s">
        <v>17588</v>
      </c>
      <c r="B8395" t="s">
        <v>17589</v>
      </c>
      <c r="C8395" t="s">
        <v>149</v>
      </c>
      <c r="D8395" s="254">
        <v>12.7</v>
      </c>
      <c r="E8395">
        <v>8.4231999999999996</v>
      </c>
      <c r="F8395"/>
      <c r="G8395"/>
      <c r="H8395"/>
      <c r="I8395" s="489"/>
      <c r="J8395" s="1362"/>
      <c r="K8395" s="1362"/>
      <c r="L8395" s="1362"/>
    </row>
    <row r="8396" spans="1:12" x14ac:dyDescent="0.25">
      <c r="A8396" t="s">
        <v>17590</v>
      </c>
      <c r="B8396" t="s">
        <v>17591</v>
      </c>
      <c r="C8396" t="s">
        <v>149</v>
      </c>
      <c r="D8396" s="254">
        <v>46.23</v>
      </c>
      <c r="E8396">
        <v>39.01</v>
      </c>
      <c r="F8396"/>
      <c r="G8396"/>
      <c r="H8396"/>
      <c r="I8396" s="489"/>
      <c r="J8396" s="1362"/>
      <c r="K8396" s="1362"/>
      <c r="L8396" s="1362"/>
    </row>
    <row r="8397" spans="1:12" x14ac:dyDescent="0.25">
      <c r="A8397" t="s">
        <v>17592</v>
      </c>
      <c r="B8397" t="s">
        <v>17593</v>
      </c>
      <c r="C8397" t="s">
        <v>149</v>
      </c>
      <c r="D8397" s="254">
        <v>49.92</v>
      </c>
      <c r="E8397">
        <v>44.6267</v>
      </c>
      <c r="F8397"/>
      <c r="G8397"/>
      <c r="H8397"/>
      <c r="I8397" s="489"/>
      <c r="J8397" s="1362"/>
      <c r="K8397" s="1362"/>
      <c r="L8397" s="1362"/>
    </row>
    <row r="8398" spans="1:12" x14ac:dyDescent="0.25">
      <c r="A8398" t="s">
        <v>17594</v>
      </c>
      <c r="B8398" t="s">
        <v>17595</v>
      </c>
      <c r="C8398" t="s">
        <v>149</v>
      </c>
      <c r="D8398" s="254">
        <v>56.13</v>
      </c>
      <c r="E8398">
        <v>24.844799999999999</v>
      </c>
      <c r="F8398"/>
      <c r="G8398"/>
      <c r="H8398"/>
      <c r="I8398" s="489"/>
      <c r="J8398" s="1362"/>
      <c r="K8398" s="1362"/>
      <c r="L8398" s="1362"/>
    </row>
    <row r="8399" spans="1:12" x14ac:dyDescent="0.25">
      <c r="A8399" t="s">
        <v>17596</v>
      </c>
      <c r="B8399" t="s">
        <v>17597</v>
      </c>
      <c r="C8399" t="s">
        <v>149</v>
      </c>
      <c r="D8399" s="254">
        <v>771.72</v>
      </c>
      <c r="E8399">
        <v>332.3143</v>
      </c>
      <c r="F8399"/>
      <c r="G8399"/>
      <c r="H8399"/>
      <c r="I8399" s="489"/>
      <c r="J8399" s="1362"/>
      <c r="K8399" s="1362"/>
      <c r="L8399" s="1362"/>
    </row>
    <row r="8400" spans="1:12" x14ac:dyDescent="0.25">
      <c r="A8400" t="s">
        <v>17598</v>
      </c>
      <c r="B8400" t="s">
        <v>17599</v>
      </c>
      <c r="C8400" t="s">
        <v>149</v>
      </c>
      <c r="D8400" s="254">
        <v>0.22</v>
      </c>
      <c r="E8400">
        <v>0.12570000000000001</v>
      </c>
      <c r="F8400"/>
      <c r="G8400"/>
      <c r="H8400"/>
      <c r="I8400" s="489"/>
      <c r="J8400" s="1362"/>
      <c r="K8400" s="1362"/>
      <c r="L8400" s="1362"/>
    </row>
    <row r="8401" spans="1:12" x14ac:dyDescent="0.25">
      <c r="A8401" t="s">
        <v>17600</v>
      </c>
      <c r="B8401" t="s">
        <v>17601</v>
      </c>
      <c r="C8401" t="s">
        <v>149</v>
      </c>
      <c r="D8401" s="254">
        <v>0.2</v>
      </c>
      <c r="E8401">
        <v>0.1108</v>
      </c>
      <c r="F8401"/>
      <c r="G8401"/>
      <c r="H8401"/>
      <c r="I8401" s="489"/>
      <c r="J8401" s="1362"/>
      <c r="K8401" s="1362"/>
      <c r="L8401" s="1362"/>
    </row>
    <row r="8402" spans="1:12" x14ac:dyDescent="0.25">
      <c r="A8402" t="s">
        <v>17602</v>
      </c>
      <c r="B8402" t="s">
        <v>17603</v>
      </c>
      <c r="C8402" t="s">
        <v>149</v>
      </c>
      <c r="D8402" s="254">
        <v>99.67</v>
      </c>
      <c r="E8402">
        <v>54.5411</v>
      </c>
      <c r="F8402"/>
      <c r="G8402"/>
      <c r="H8402"/>
      <c r="I8402" s="489"/>
      <c r="J8402" s="1362"/>
      <c r="K8402" s="1362"/>
      <c r="L8402" s="1362"/>
    </row>
    <row r="8403" spans="1:12" x14ac:dyDescent="0.25">
      <c r="A8403" t="s">
        <v>17604</v>
      </c>
      <c r="B8403" t="s">
        <v>17605</v>
      </c>
      <c r="C8403" t="s">
        <v>149</v>
      </c>
      <c r="D8403" s="254">
        <v>15.91</v>
      </c>
      <c r="E8403">
        <v>8.5746000000000002</v>
      </c>
      <c r="F8403"/>
      <c r="G8403"/>
      <c r="H8403"/>
      <c r="I8403" s="489"/>
      <c r="J8403" s="1362"/>
      <c r="K8403" s="1362"/>
      <c r="L8403" s="1362"/>
    </row>
    <row r="8404" spans="1:12" x14ac:dyDescent="0.25">
      <c r="A8404" t="s">
        <v>17606</v>
      </c>
      <c r="B8404" t="s">
        <v>17607</v>
      </c>
      <c r="C8404" t="s">
        <v>149</v>
      </c>
      <c r="D8404" s="254">
        <v>6.09</v>
      </c>
      <c r="E8404">
        <v>0.40839999999999999</v>
      </c>
      <c r="F8404"/>
      <c r="G8404"/>
      <c r="H8404"/>
      <c r="I8404" s="489"/>
      <c r="J8404" s="1362"/>
      <c r="K8404" s="1362"/>
      <c r="L8404" s="1362"/>
    </row>
    <row r="8405" spans="1:12" x14ac:dyDescent="0.25">
      <c r="A8405" t="s">
        <v>17608</v>
      </c>
      <c r="B8405" t="s">
        <v>17609</v>
      </c>
      <c r="C8405" t="s">
        <v>149</v>
      </c>
      <c r="D8405" s="254">
        <v>2338.17</v>
      </c>
      <c r="E8405">
        <v>293.65620000000001</v>
      </c>
      <c r="F8405"/>
      <c r="G8405"/>
      <c r="H8405"/>
      <c r="I8405" s="489"/>
      <c r="J8405" s="1362"/>
      <c r="K8405" s="1362"/>
      <c r="L8405" s="1362"/>
    </row>
    <row r="8406" spans="1:12" x14ac:dyDescent="0.25">
      <c r="A8406" t="s">
        <v>17610</v>
      </c>
      <c r="B8406" t="s">
        <v>17611</v>
      </c>
      <c r="C8406" t="s">
        <v>149</v>
      </c>
      <c r="D8406" s="254">
        <v>2338.17</v>
      </c>
      <c r="E8406">
        <v>293.65620000000001</v>
      </c>
      <c r="F8406"/>
      <c r="G8406"/>
      <c r="H8406"/>
      <c r="I8406" s="489"/>
      <c r="J8406" s="1362"/>
      <c r="K8406" s="1362"/>
      <c r="L8406" s="1362"/>
    </row>
    <row r="8407" spans="1:12" x14ac:dyDescent="0.25">
      <c r="A8407" t="s">
        <v>17612</v>
      </c>
      <c r="B8407" t="s">
        <v>17613</v>
      </c>
      <c r="C8407" t="s">
        <v>149</v>
      </c>
      <c r="D8407" s="254">
        <v>22.07</v>
      </c>
      <c r="E8407">
        <v>17.485499999999998</v>
      </c>
      <c r="F8407"/>
      <c r="G8407"/>
      <c r="H8407"/>
      <c r="I8407" s="489"/>
      <c r="J8407" s="1362"/>
      <c r="K8407" s="1362"/>
      <c r="L8407" s="1362"/>
    </row>
    <row r="8408" spans="1:12" x14ac:dyDescent="0.25">
      <c r="A8408" t="s">
        <v>17614</v>
      </c>
      <c r="B8408" t="s">
        <v>17615</v>
      </c>
      <c r="C8408" t="s">
        <v>149</v>
      </c>
      <c r="D8408" s="254">
        <v>23.98</v>
      </c>
      <c r="E8408">
        <v>18.996500000000001</v>
      </c>
      <c r="F8408"/>
      <c r="G8408"/>
      <c r="H8408"/>
      <c r="I8408" s="489"/>
      <c r="J8408" s="1362"/>
      <c r="K8408" s="1362"/>
      <c r="L8408" s="1362"/>
    </row>
    <row r="8409" spans="1:12" x14ac:dyDescent="0.25">
      <c r="A8409" t="s">
        <v>17616</v>
      </c>
      <c r="B8409" t="s">
        <v>17617</v>
      </c>
      <c r="C8409" t="s">
        <v>149</v>
      </c>
      <c r="D8409" s="254">
        <v>27.19</v>
      </c>
      <c r="E8409">
        <v>21.541799999999999</v>
      </c>
      <c r="F8409"/>
      <c r="G8409"/>
      <c r="H8409"/>
      <c r="I8409" s="489"/>
      <c r="J8409" s="1362"/>
      <c r="K8409" s="1362"/>
      <c r="L8409" s="1362"/>
    </row>
    <row r="8410" spans="1:12" x14ac:dyDescent="0.25">
      <c r="A8410" t="s">
        <v>17618</v>
      </c>
      <c r="B8410" t="s">
        <v>17619</v>
      </c>
      <c r="C8410" t="s">
        <v>149</v>
      </c>
      <c r="D8410" s="254">
        <v>31.08</v>
      </c>
      <c r="E8410">
        <v>24.623699999999999</v>
      </c>
      <c r="F8410"/>
      <c r="G8410"/>
      <c r="H8410"/>
      <c r="I8410" s="489"/>
      <c r="J8410" s="1362"/>
      <c r="K8410" s="1362"/>
      <c r="L8410" s="1362"/>
    </row>
    <row r="8411" spans="1:12" x14ac:dyDescent="0.25">
      <c r="A8411" t="s">
        <v>17620</v>
      </c>
      <c r="B8411" t="s">
        <v>17621</v>
      </c>
      <c r="C8411" t="s">
        <v>149</v>
      </c>
      <c r="D8411" s="254">
        <v>29.83</v>
      </c>
      <c r="E8411">
        <v>23.633500000000002</v>
      </c>
      <c r="F8411"/>
      <c r="G8411"/>
      <c r="H8411"/>
      <c r="I8411" s="489"/>
      <c r="J8411" s="1362"/>
      <c r="K8411" s="1362"/>
      <c r="L8411" s="1362"/>
    </row>
    <row r="8412" spans="1:12" x14ac:dyDescent="0.25">
      <c r="A8412" t="s">
        <v>17622</v>
      </c>
      <c r="B8412" t="s">
        <v>17623</v>
      </c>
      <c r="C8412" t="s">
        <v>149</v>
      </c>
      <c r="D8412" s="254">
        <v>28.62</v>
      </c>
      <c r="E8412">
        <v>22.675000000000001</v>
      </c>
      <c r="F8412"/>
      <c r="G8412"/>
      <c r="H8412"/>
      <c r="I8412" s="489"/>
      <c r="J8412" s="1362"/>
      <c r="K8412" s="1362"/>
      <c r="L8412" s="1362"/>
    </row>
    <row r="8413" spans="1:12" x14ac:dyDescent="0.25">
      <c r="A8413" t="s">
        <v>17624</v>
      </c>
      <c r="B8413" t="s">
        <v>17625</v>
      </c>
      <c r="C8413" t="s">
        <v>149</v>
      </c>
      <c r="D8413" s="254">
        <v>250.23</v>
      </c>
      <c r="E8413">
        <v>121.9924</v>
      </c>
      <c r="F8413"/>
      <c r="G8413"/>
      <c r="H8413"/>
      <c r="I8413" s="489"/>
      <c r="J8413" s="1362"/>
      <c r="K8413" s="1362"/>
      <c r="L8413" s="1362"/>
    </row>
    <row r="8414" spans="1:12" x14ac:dyDescent="0.25">
      <c r="A8414" t="s">
        <v>17626</v>
      </c>
      <c r="B8414" t="s">
        <v>17627</v>
      </c>
      <c r="C8414" t="s">
        <v>149</v>
      </c>
      <c r="D8414" s="254">
        <v>405.28</v>
      </c>
      <c r="E8414">
        <v>178.3338</v>
      </c>
      <c r="F8414"/>
      <c r="G8414"/>
      <c r="H8414"/>
      <c r="I8414" s="489"/>
      <c r="J8414" s="1362"/>
      <c r="K8414" s="1362"/>
      <c r="L8414" s="1362"/>
    </row>
    <row r="8415" spans="1:12" x14ac:dyDescent="0.25">
      <c r="A8415" t="s">
        <v>17628</v>
      </c>
      <c r="B8415" t="s">
        <v>17629</v>
      </c>
      <c r="C8415" t="s">
        <v>149</v>
      </c>
      <c r="D8415" s="254">
        <v>328.43</v>
      </c>
      <c r="E8415">
        <v>119.55459999999999</v>
      </c>
      <c r="F8415"/>
      <c r="G8415"/>
      <c r="H8415"/>
      <c r="I8415" s="489"/>
      <c r="J8415" s="1362"/>
      <c r="K8415" s="1362"/>
      <c r="L8415" s="1362"/>
    </row>
    <row r="8416" spans="1:12" x14ac:dyDescent="0.25">
      <c r="A8416" t="s">
        <v>17630</v>
      </c>
      <c r="B8416" t="s">
        <v>17631</v>
      </c>
      <c r="C8416" t="s">
        <v>149</v>
      </c>
      <c r="D8416" s="254">
        <v>606.65</v>
      </c>
      <c r="E8416">
        <v>267.25319999999999</v>
      </c>
      <c r="F8416"/>
      <c r="G8416"/>
      <c r="H8416"/>
      <c r="I8416" s="489"/>
      <c r="J8416" s="1362"/>
      <c r="K8416" s="1362"/>
      <c r="L8416" s="1362"/>
    </row>
    <row r="8417" spans="1:12" x14ac:dyDescent="0.25">
      <c r="A8417" t="s">
        <v>17632</v>
      </c>
      <c r="B8417" t="s">
        <v>17633</v>
      </c>
      <c r="C8417" t="s">
        <v>149</v>
      </c>
      <c r="D8417" s="254">
        <v>540.01</v>
      </c>
      <c r="E8417">
        <v>233.05520000000001</v>
      </c>
      <c r="F8417"/>
      <c r="G8417"/>
      <c r="H8417"/>
      <c r="I8417" s="489"/>
      <c r="J8417" s="1362"/>
      <c r="K8417" s="1362"/>
      <c r="L8417" s="1362"/>
    </row>
    <row r="8418" spans="1:12" x14ac:dyDescent="0.25">
      <c r="A8418" t="s">
        <v>17634</v>
      </c>
      <c r="B8418" t="s">
        <v>17635</v>
      </c>
      <c r="C8418" t="s">
        <v>149</v>
      </c>
      <c r="D8418" s="254">
        <v>146.15</v>
      </c>
      <c r="E8418">
        <v>90.8262</v>
      </c>
      <c r="F8418"/>
      <c r="G8418"/>
      <c r="H8418"/>
      <c r="I8418" s="489"/>
      <c r="J8418" s="1362"/>
      <c r="K8418" s="1362"/>
      <c r="L8418" s="1362"/>
    </row>
    <row r="8419" spans="1:12" x14ac:dyDescent="0.25">
      <c r="A8419" t="s">
        <v>17636</v>
      </c>
      <c r="B8419" t="s">
        <v>17637</v>
      </c>
      <c r="C8419" t="s">
        <v>149</v>
      </c>
      <c r="D8419" s="254">
        <v>15.58</v>
      </c>
      <c r="E8419">
        <v>8.5968999999999998</v>
      </c>
      <c r="F8419"/>
      <c r="G8419"/>
      <c r="H8419"/>
      <c r="I8419" s="489"/>
      <c r="J8419" s="1362"/>
      <c r="K8419" s="1362"/>
      <c r="L8419" s="1362"/>
    </row>
    <row r="8420" spans="1:12" x14ac:dyDescent="0.25">
      <c r="A8420" t="s">
        <v>17638</v>
      </c>
      <c r="B8420" t="s">
        <v>17639</v>
      </c>
      <c r="C8420" t="s">
        <v>149</v>
      </c>
      <c r="D8420" s="254">
        <v>0.75</v>
      </c>
      <c r="E8420">
        <v>0.41610000000000003</v>
      </c>
      <c r="F8420"/>
      <c r="G8420"/>
      <c r="H8420"/>
      <c r="I8420" s="489"/>
      <c r="J8420" s="1362"/>
      <c r="K8420" s="1362"/>
      <c r="L8420" s="1362"/>
    </row>
    <row r="8421" spans="1:12" x14ac:dyDescent="0.25">
      <c r="A8421" t="s">
        <v>17640</v>
      </c>
      <c r="B8421" t="s">
        <v>17641</v>
      </c>
      <c r="C8421" t="s">
        <v>149</v>
      </c>
      <c r="D8421" s="254">
        <v>32.15</v>
      </c>
      <c r="E8421">
        <v>30.703499999999998</v>
      </c>
      <c r="F8421"/>
      <c r="G8421"/>
      <c r="H8421"/>
      <c r="I8421" s="489"/>
      <c r="J8421" s="1362"/>
      <c r="K8421" s="1362"/>
      <c r="L8421" s="1362"/>
    </row>
    <row r="8422" spans="1:12" x14ac:dyDescent="0.25">
      <c r="A8422" t="s">
        <v>17642</v>
      </c>
      <c r="B8422" t="s">
        <v>17643</v>
      </c>
      <c r="C8422" t="s">
        <v>149</v>
      </c>
      <c r="D8422" s="254">
        <v>1909.88</v>
      </c>
      <c r="E8422">
        <v>871.14319999999998</v>
      </c>
      <c r="F8422"/>
      <c r="G8422"/>
      <c r="H8422"/>
      <c r="I8422" s="489"/>
      <c r="J8422" s="1362"/>
      <c r="K8422" s="1362"/>
      <c r="L8422" s="1362"/>
    </row>
    <row r="8423" spans="1:12" x14ac:dyDescent="0.25">
      <c r="A8423" t="s">
        <v>17644</v>
      </c>
      <c r="B8423" t="s">
        <v>17645</v>
      </c>
      <c r="C8423" t="s">
        <v>149</v>
      </c>
      <c r="D8423" s="254">
        <v>1.25</v>
      </c>
      <c r="E8423">
        <v>0.86890000000000001</v>
      </c>
      <c r="F8423"/>
      <c r="G8423"/>
      <c r="H8423"/>
      <c r="I8423" s="489"/>
      <c r="J8423" s="1362"/>
      <c r="K8423" s="1362"/>
      <c r="L8423" s="1362"/>
    </row>
    <row r="8424" spans="1:12" x14ac:dyDescent="0.25">
      <c r="A8424" t="s">
        <v>17646</v>
      </c>
      <c r="B8424" t="s">
        <v>17647</v>
      </c>
      <c r="C8424" t="s">
        <v>149</v>
      </c>
      <c r="D8424" s="254">
        <v>54.29</v>
      </c>
      <c r="E8424">
        <v>46.840400000000002</v>
      </c>
      <c r="F8424"/>
      <c r="G8424"/>
      <c r="H8424"/>
      <c r="I8424" s="489"/>
      <c r="J8424" s="1362"/>
      <c r="K8424" s="1362"/>
      <c r="L8424" s="1362"/>
    </row>
    <row r="8425" spans="1:12" x14ac:dyDescent="0.25">
      <c r="A8425" t="s">
        <v>17648</v>
      </c>
      <c r="B8425" t="s">
        <v>17649</v>
      </c>
      <c r="C8425" t="s">
        <v>149</v>
      </c>
      <c r="D8425" s="254">
        <v>4.1500000000000004</v>
      </c>
      <c r="E8425">
        <v>2.8883999999999999</v>
      </c>
      <c r="F8425"/>
      <c r="G8425"/>
      <c r="H8425"/>
      <c r="I8425" s="489"/>
      <c r="J8425" s="1362"/>
      <c r="K8425" s="1362"/>
      <c r="L8425" s="1362"/>
    </row>
    <row r="8426" spans="1:12" x14ac:dyDescent="0.25">
      <c r="A8426" t="s">
        <v>17650</v>
      </c>
      <c r="B8426" t="s">
        <v>17651</v>
      </c>
      <c r="C8426" t="s">
        <v>149</v>
      </c>
      <c r="D8426" s="254">
        <v>0.7</v>
      </c>
      <c r="E8426">
        <v>0.48409999999999997</v>
      </c>
      <c r="F8426"/>
      <c r="G8426"/>
      <c r="H8426"/>
      <c r="I8426" s="489"/>
      <c r="J8426" s="1362"/>
      <c r="K8426" s="1362"/>
      <c r="L8426" s="1362"/>
    </row>
    <row r="8427" spans="1:12" x14ac:dyDescent="0.25">
      <c r="A8427" t="s">
        <v>17652</v>
      </c>
      <c r="B8427" t="s">
        <v>17653</v>
      </c>
      <c r="C8427" t="s">
        <v>149</v>
      </c>
      <c r="D8427" s="254">
        <v>1.33</v>
      </c>
      <c r="E8427">
        <v>0.92900000000000005</v>
      </c>
      <c r="F8427"/>
      <c r="G8427"/>
      <c r="H8427"/>
      <c r="I8427" s="489"/>
      <c r="J8427" s="1362"/>
      <c r="K8427" s="1362"/>
      <c r="L8427" s="1362"/>
    </row>
    <row r="8428" spans="1:12" x14ac:dyDescent="0.25">
      <c r="A8428" t="s">
        <v>17654</v>
      </c>
      <c r="B8428" t="s">
        <v>17655</v>
      </c>
      <c r="C8428" t="s">
        <v>149</v>
      </c>
      <c r="D8428" s="254">
        <v>72.66</v>
      </c>
      <c r="E8428">
        <v>58.959099999999999</v>
      </c>
      <c r="F8428"/>
      <c r="G8428"/>
      <c r="H8428"/>
      <c r="I8428" s="489"/>
      <c r="J8428" s="1362"/>
      <c r="K8428" s="1362"/>
      <c r="L8428" s="1362"/>
    </row>
    <row r="8429" spans="1:12" x14ac:dyDescent="0.25">
      <c r="A8429" t="s">
        <v>17656</v>
      </c>
      <c r="B8429" t="s">
        <v>17657</v>
      </c>
      <c r="C8429" t="s">
        <v>149</v>
      </c>
      <c r="D8429" s="254">
        <v>16</v>
      </c>
      <c r="E8429">
        <v>3.9809000000000001</v>
      </c>
      <c r="F8429"/>
      <c r="G8429"/>
      <c r="H8429"/>
      <c r="I8429" s="489"/>
      <c r="J8429" s="1362"/>
      <c r="K8429" s="1362"/>
      <c r="L8429" s="1362"/>
    </row>
    <row r="8430" spans="1:12" x14ac:dyDescent="0.25">
      <c r="A8430" t="s">
        <v>17658</v>
      </c>
      <c r="B8430" t="s">
        <v>17659</v>
      </c>
      <c r="C8430" t="s">
        <v>149</v>
      </c>
      <c r="D8430" s="254">
        <v>30.15</v>
      </c>
      <c r="E8430">
        <v>6.0914999999999999</v>
      </c>
      <c r="F8430"/>
      <c r="G8430"/>
      <c r="H8430"/>
      <c r="I8430" s="489"/>
      <c r="J8430" s="1362"/>
      <c r="K8430" s="1362"/>
      <c r="L8430" s="1362"/>
    </row>
    <row r="8431" spans="1:12" x14ac:dyDescent="0.25">
      <c r="A8431" t="s">
        <v>17660</v>
      </c>
      <c r="B8431" t="s">
        <v>17661</v>
      </c>
      <c r="C8431" t="s">
        <v>149</v>
      </c>
      <c r="D8431" s="254">
        <v>5.73</v>
      </c>
      <c r="E8431">
        <v>3.1627999999999998</v>
      </c>
      <c r="F8431"/>
      <c r="G8431"/>
      <c r="H8431"/>
      <c r="I8431" s="489"/>
      <c r="J8431" s="1362"/>
      <c r="K8431" s="1362"/>
      <c r="L8431" s="1362"/>
    </row>
    <row r="8432" spans="1:12" x14ac:dyDescent="0.25">
      <c r="A8432" t="s">
        <v>17662</v>
      </c>
      <c r="B8432" t="s">
        <v>17663</v>
      </c>
      <c r="C8432" t="s">
        <v>149</v>
      </c>
      <c r="D8432" s="254">
        <v>0.76</v>
      </c>
      <c r="E8432">
        <v>0.52149999999999996</v>
      </c>
      <c r="F8432"/>
      <c r="G8432"/>
      <c r="H8432"/>
      <c r="I8432" s="489"/>
      <c r="J8432" s="1362"/>
      <c r="K8432" s="1362"/>
      <c r="L8432" s="1362"/>
    </row>
    <row r="8433" spans="1:12" x14ac:dyDescent="0.25">
      <c r="A8433" t="s">
        <v>17664</v>
      </c>
      <c r="B8433" t="s">
        <v>17665</v>
      </c>
      <c r="C8433" t="s">
        <v>149</v>
      </c>
      <c r="D8433" s="254">
        <v>7.87</v>
      </c>
      <c r="E8433">
        <v>4.8746</v>
      </c>
      <c r="F8433"/>
      <c r="G8433"/>
      <c r="H8433"/>
      <c r="I8433" s="489"/>
      <c r="J8433" s="1362"/>
      <c r="K8433" s="1362"/>
      <c r="L8433" s="1362"/>
    </row>
    <row r="8434" spans="1:12" x14ac:dyDescent="0.25">
      <c r="A8434" t="s">
        <v>17666</v>
      </c>
      <c r="B8434" t="s">
        <v>17667</v>
      </c>
      <c r="C8434" t="s">
        <v>149</v>
      </c>
      <c r="D8434" s="254">
        <v>1.48</v>
      </c>
      <c r="E8434">
        <v>0.9153</v>
      </c>
      <c r="F8434"/>
      <c r="G8434"/>
      <c r="H8434"/>
      <c r="I8434" s="489"/>
      <c r="J8434" s="1362"/>
      <c r="K8434" s="1362"/>
      <c r="L8434" s="1362"/>
    </row>
    <row r="8435" spans="1:12" x14ac:dyDescent="0.25">
      <c r="A8435" t="s">
        <v>17668</v>
      </c>
      <c r="B8435" t="s">
        <v>17669</v>
      </c>
      <c r="C8435" t="s">
        <v>149</v>
      </c>
      <c r="D8435" s="254">
        <v>3.67</v>
      </c>
      <c r="E8435">
        <v>2.0261</v>
      </c>
      <c r="F8435"/>
      <c r="G8435"/>
      <c r="H8435"/>
      <c r="I8435" s="489"/>
      <c r="J8435" s="1362"/>
      <c r="K8435" s="1362"/>
      <c r="L8435" s="1362"/>
    </row>
    <row r="8436" spans="1:12" x14ac:dyDescent="0.25">
      <c r="A8436" t="s">
        <v>17670</v>
      </c>
      <c r="B8436" t="s">
        <v>17671</v>
      </c>
      <c r="C8436" t="s">
        <v>149</v>
      </c>
      <c r="D8436" s="254">
        <v>30.04</v>
      </c>
      <c r="E8436">
        <v>26.799900000000001</v>
      </c>
      <c r="F8436"/>
      <c r="G8436"/>
      <c r="H8436"/>
      <c r="I8436" s="489"/>
      <c r="J8436" s="1362"/>
      <c r="K8436" s="1362"/>
      <c r="L8436" s="1362"/>
    </row>
    <row r="8437" spans="1:12" x14ac:dyDescent="0.25">
      <c r="A8437" t="s">
        <v>17672</v>
      </c>
      <c r="B8437" t="s">
        <v>17673</v>
      </c>
      <c r="C8437" t="s">
        <v>149</v>
      </c>
      <c r="D8437" s="254">
        <v>79.34</v>
      </c>
      <c r="E8437">
        <v>51.087800000000001</v>
      </c>
      <c r="F8437"/>
      <c r="G8437"/>
      <c r="H8437"/>
      <c r="I8437" s="489"/>
      <c r="J8437" s="1362"/>
      <c r="K8437" s="1362"/>
      <c r="L8437" s="1362"/>
    </row>
    <row r="8438" spans="1:12" x14ac:dyDescent="0.25">
      <c r="A8438" t="s">
        <v>17674</v>
      </c>
      <c r="B8438" t="s">
        <v>17675</v>
      </c>
      <c r="C8438" t="s">
        <v>149</v>
      </c>
      <c r="D8438" s="254">
        <v>264.02</v>
      </c>
      <c r="E8438">
        <v>109.7197</v>
      </c>
      <c r="F8438"/>
      <c r="G8438"/>
      <c r="H8438"/>
      <c r="I8438" s="489"/>
      <c r="J8438" s="1362"/>
      <c r="K8438" s="1362"/>
      <c r="L8438" s="1362"/>
    </row>
    <row r="8439" spans="1:12" x14ac:dyDescent="0.25">
      <c r="A8439" t="s">
        <v>17676</v>
      </c>
      <c r="B8439" t="s">
        <v>17677</v>
      </c>
      <c r="C8439" t="s">
        <v>149</v>
      </c>
      <c r="D8439" s="254">
        <v>143.41999999999999</v>
      </c>
      <c r="E8439">
        <v>97.424300000000002</v>
      </c>
      <c r="F8439"/>
      <c r="G8439"/>
      <c r="H8439"/>
      <c r="I8439" s="489"/>
      <c r="J8439" s="1362"/>
      <c r="K8439" s="1362"/>
      <c r="L8439" s="1362"/>
    </row>
    <row r="8440" spans="1:12" x14ac:dyDescent="0.25">
      <c r="A8440" t="s">
        <v>17678</v>
      </c>
      <c r="B8440" t="s">
        <v>17679</v>
      </c>
      <c r="C8440" t="s">
        <v>149</v>
      </c>
      <c r="D8440" s="254">
        <v>98.92</v>
      </c>
      <c r="E8440">
        <v>69.854299999999995</v>
      </c>
      <c r="F8440"/>
      <c r="G8440"/>
      <c r="H8440"/>
      <c r="I8440" s="489"/>
      <c r="J8440" s="1362"/>
      <c r="K8440" s="1362"/>
      <c r="L8440" s="1362"/>
    </row>
    <row r="8441" spans="1:12" x14ac:dyDescent="0.25">
      <c r="A8441" t="s">
        <v>17680</v>
      </c>
      <c r="B8441" t="s">
        <v>17681</v>
      </c>
      <c r="C8441" t="s">
        <v>149</v>
      </c>
      <c r="D8441" s="254">
        <v>18.649999999999999</v>
      </c>
      <c r="E8441">
        <v>11.756500000000001</v>
      </c>
      <c r="F8441"/>
      <c r="G8441"/>
      <c r="H8441"/>
      <c r="I8441" s="489"/>
      <c r="J8441" s="1362"/>
      <c r="K8441" s="1362"/>
      <c r="L8441" s="1362"/>
    </row>
    <row r="8442" spans="1:12" x14ac:dyDescent="0.25">
      <c r="A8442" t="s">
        <v>17682</v>
      </c>
      <c r="B8442" t="s">
        <v>17683</v>
      </c>
      <c r="C8442" t="s">
        <v>149</v>
      </c>
      <c r="D8442" s="254">
        <v>2.1</v>
      </c>
      <c r="E8442">
        <v>1.3515999999999999</v>
      </c>
      <c r="F8442"/>
      <c r="G8442"/>
      <c r="H8442"/>
      <c r="I8442" s="489"/>
      <c r="J8442" s="1362"/>
      <c r="K8442" s="1362"/>
      <c r="L8442" s="1362"/>
    </row>
    <row r="8443" spans="1:12" x14ac:dyDescent="0.25">
      <c r="A8443" t="s">
        <v>17684</v>
      </c>
      <c r="B8443" t="s">
        <v>17685</v>
      </c>
      <c r="C8443" t="s">
        <v>149</v>
      </c>
      <c r="D8443" s="254">
        <v>403.69</v>
      </c>
      <c r="E8443">
        <v>177.4478</v>
      </c>
      <c r="F8443"/>
      <c r="G8443"/>
      <c r="H8443"/>
      <c r="I8443" s="489"/>
      <c r="J8443" s="1362"/>
      <c r="K8443" s="1362"/>
      <c r="L8443" s="1362"/>
    </row>
    <row r="8444" spans="1:12" x14ac:dyDescent="0.25">
      <c r="A8444" t="s">
        <v>17686</v>
      </c>
      <c r="B8444" t="s">
        <v>17687</v>
      </c>
      <c r="C8444" t="s">
        <v>149</v>
      </c>
      <c r="D8444" s="254">
        <v>62.54</v>
      </c>
      <c r="E8444">
        <v>30.313600000000001</v>
      </c>
      <c r="F8444"/>
      <c r="G8444"/>
      <c r="H8444"/>
      <c r="I8444" s="489"/>
      <c r="J8444" s="1362"/>
      <c r="K8444" s="1362"/>
      <c r="L8444" s="1362"/>
    </row>
    <row r="8445" spans="1:12" x14ac:dyDescent="0.25">
      <c r="A8445" t="s">
        <v>17688</v>
      </c>
      <c r="B8445" t="s">
        <v>17689</v>
      </c>
      <c r="C8445" t="s">
        <v>149</v>
      </c>
      <c r="D8445" s="254">
        <v>134.1</v>
      </c>
      <c r="E8445">
        <v>21.0839</v>
      </c>
      <c r="F8445"/>
      <c r="G8445"/>
      <c r="H8445"/>
      <c r="I8445" s="489"/>
      <c r="J8445" s="1362"/>
      <c r="K8445" s="1362"/>
      <c r="L8445" s="1362"/>
    </row>
    <row r="8446" spans="1:12" x14ac:dyDescent="0.25">
      <c r="A8446" t="s">
        <v>17690</v>
      </c>
      <c r="B8446" t="s">
        <v>17691</v>
      </c>
      <c r="C8446" t="s">
        <v>149</v>
      </c>
      <c r="D8446" s="254">
        <v>302.13</v>
      </c>
      <c r="E8446">
        <v>89.233699999999999</v>
      </c>
      <c r="F8446"/>
      <c r="G8446"/>
      <c r="H8446"/>
      <c r="I8446" s="489"/>
      <c r="J8446" s="1362"/>
      <c r="K8446" s="1362"/>
      <c r="L8446" s="1362"/>
    </row>
    <row r="8447" spans="1:12" x14ac:dyDescent="0.25">
      <c r="A8447" t="s">
        <v>17692</v>
      </c>
      <c r="B8447" t="s">
        <v>17693</v>
      </c>
      <c r="C8447" t="s">
        <v>149</v>
      </c>
      <c r="D8447" s="254">
        <v>349.87</v>
      </c>
      <c r="E8447">
        <v>148.4117</v>
      </c>
      <c r="F8447"/>
      <c r="G8447"/>
      <c r="H8447"/>
      <c r="I8447" s="489"/>
      <c r="J8447" s="1362"/>
      <c r="K8447" s="1362"/>
      <c r="L8447" s="1362"/>
    </row>
    <row r="8448" spans="1:12" x14ac:dyDescent="0.25">
      <c r="A8448" t="s">
        <v>17694</v>
      </c>
      <c r="B8448" t="s">
        <v>17695</v>
      </c>
      <c r="C8448" t="s">
        <v>149</v>
      </c>
      <c r="D8448" s="254">
        <v>931.51</v>
      </c>
      <c r="E8448">
        <v>423.2783</v>
      </c>
      <c r="F8448"/>
      <c r="G8448"/>
      <c r="H8448"/>
      <c r="I8448" s="489"/>
      <c r="J8448" s="1362"/>
      <c r="K8448" s="1362"/>
      <c r="L8448" s="1362"/>
    </row>
    <row r="8449" spans="1:12" x14ac:dyDescent="0.25">
      <c r="A8449" t="s">
        <v>17696</v>
      </c>
      <c r="B8449" t="s">
        <v>17697</v>
      </c>
      <c r="C8449" t="s">
        <v>149</v>
      </c>
      <c r="D8449" s="254">
        <v>380.1</v>
      </c>
      <c r="E8449">
        <v>51.498800000000003</v>
      </c>
      <c r="F8449"/>
      <c r="G8449"/>
      <c r="H8449"/>
      <c r="I8449" s="489"/>
      <c r="J8449" s="1362"/>
      <c r="K8449" s="1362"/>
      <c r="L8449" s="1362"/>
    </row>
    <row r="8450" spans="1:12" x14ac:dyDescent="0.25">
      <c r="A8450" t="s">
        <v>17698</v>
      </c>
      <c r="B8450" t="s">
        <v>17699</v>
      </c>
      <c r="C8450" t="s">
        <v>149</v>
      </c>
      <c r="D8450" s="254">
        <v>4.79</v>
      </c>
      <c r="E8450">
        <v>3.3380999999999998</v>
      </c>
      <c r="F8450"/>
      <c r="G8450"/>
      <c r="H8450"/>
      <c r="I8450" s="489"/>
      <c r="J8450" s="1362"/>
      <c r="K8450" s="1362"/>
      <c r="L8450" s="1362"/>
    </row>
    <row r="8451" spans="1:12" x14ac:dyDescent="0.25">
      <c r="A8451" t="s">
        <v>17700</v>
      </c>
      <c r="B8451" t="s">
        <v>17701</v>
      </c>
      <c r="C8451" t="s">
        <v>149</v>
      </c>
      <c r="D8451" s="254">
        <v>49.06</v>
      </c>
      <c r="E8451">
        <v>26.144400000000001</v>
      </c>
      <c r="F8451"/>
      <c r="G8451"/>
      <c r="H8451"/>
      <c r="I8451" s="489"/>
      <c r="J8451" s="1362"/>
      <c r="K8451" s="1362"/>
      <c r="L8451" s="1362"/>
    </row>
    <row r="8452" spans="1:12" x14ac:dyDescent="0.25">
      <c r="A8452" t="s">
        <v>17702</v>
      </c>
      <c r="B8452" t="s">
        <v>17703</v>
      </c>
      <c r="C8452" t="s">
        <v>149</v>
      </c>
      <c r="D8452" s="254">
        <v>4.03</v>
      </c>
      <c r="E8452">
        <v>0.22140000000000001</v>
      </c>
      <c r="F8452"/>
      <c r="G8452"/>
      <c r="H8452"/>
      <c r="I8452" s="489"/>
      <c r="J8452" s="1362"/>
      <c r="K8452" s="1362"/>
      <c r="L8452" s="1362"/>
    </row>
    <row r="8453" spans="1:12" x14ac:dyDescent="0.25">
      <c r="A8453" t="s">
        <v>17704</v>
      </c>
      <c r="B8453" t="s">
        <v>17705</v>
      </c>
      <c r="C8453" t="s">
        <v>149</v>
      </c>
      <c r="D8453" s="254">
        <v>23.79</v>
      </c>
      <c r="E8453">
        <v>13.8033</v>
      </c>
      <c r="F8453"/>
      <c r="G8453"/>
      <c r="H8453"/>
      <c r="I8453" s="489"/>
      <c r="J8453" s="1362"/>
      <c r="K8453" s="1362"/>
      <c r="L8453" s="1362"/>
    </row>
    <row r="8454" spans="1:12" x14ac:dyDescent="0.25">
      <c r="A8454" t="s">
        <v>17706</v>
      </c>
      <c r="B8454" t="s">
        <v>17707</v>
      </c>
      <c r="C8454" t="s">
        <v>149</v>
      </c>
      <c r="D8454" s="254">
        <v>1008.36</v>
      </c>
      <c r="E8454">
        <v>379.55880000000002</v>
      </c>
      <c r="F8454"/>
      <c r="G8454"/>
      <c r="H8454"/>
      <c r="I8454" s="489"/>
      <c r="J8454" s="1362"/>
      <c r="K8454" s="1362"/>
      <c r="L8454" s="1362"/>
    </row>
    <row r="8455" spans="1:12" x14ac:dyDescent="0.25">
      <c r="A8455" t="s">
        <v>17708</v>
      </c>
      <c r="B8455" t="s">
        <v>17709</v>
      </c>
      <c r="C8455" t="s">
        <v>149</v>
      </c>
      <c r="D8455" s="254">
        <v>253.2</v>
      </c>
      <c r="E8455">
        <v>94.103399999999993</v>
      </c>
      <c r="F8455"/>
      <c r="G8455"/>
      <c r="H8455"/>
      <c r="I8455" s="489"/>
      <c r="J8455" s="1362"/>
      <c r="K8455" s="1362"/>
      <c r="L8455" s="1362"/>
    </row>
    <row r="8456" spans="1:12" x14ac:dyDescent="0.25">
      <c r="A8456" t="s">
        <v>17710</v>
      </c>
      <c r="B8456" t="s">
        <v>17711</v>
      </c>
      <c r="C8456" t="s">
        <v>149</v>
      </c>
      <c r="D8456" s="254">
        <v>273.07</v>
      </c>
      <c r="E8456">
        <v>203.54079999999999</v>
      </c>
      <c r="F8456"/>
      <c r="G8456"/>
      <c r="H8456"/>
      <c r="I8456" s="489"/>
      <c r="J8456" s="1362"/>
      <c r="K8456" s="1362"/>
      <c r="L8456" s="1362"/>
    </row>
    <row r="8457" spans="1:12" x14ac:dyDescent="0.25">
      <c r="A8457" t="s">
        <v>13725</v>
      </c>
      <c r="B8457" t="s">
        <v>17712</v>
      </c>
      <c r="C8457" t="s">
        <v>149</v>
      </c>
      <c r="D8457" s="254">
        <v>163.31</v>
      </c>
      <c r="E8457">
        <v>74.734099999999998</v>
      </c>
      <c r="F8457"/>
      <c r="G8457"/>
      <c r="H8457"/>
      <c r="I8457" s="489"/>
      <c r="J8457" s="1362"/>
      <c r="K8457" s="1362"/>
      <c r="L8457" s="1362"/>
    </row>
    <row r="8458" spans="1:12" x14ac:dyDescent="0.25">
      <c r="A8458" t="s">
        <v>17713</v>
      </c>
      <c r="B8458" t="s">
        <v>17714</v>
      </c>
      <c r="C8458" t="s">
        <v>149</v>
      </c>
      <c r="D8458" s="254">
        <v>25.79</v>
      </c>
      <c r="E8458">
        <v>24.3399</v>
      </c>
      <c r="F8458"/>
      <c r="G8458"/>
      <c r="H8458"/>
      <c r="I8458" s="489"/>
      <c r="J8458" s="1362"/>
      <c r="K8458" s="1362"/>
      <c r="L8458" s="1362"/>
    </row>
    <row r="8459" spans="1:12" x14ac:dyDescent="0.25">
      <c r="A8459" t="s">
        <v>17715</v>
      </c>
      <c r="B8459" t="s">
        <v>17716</v>
      </c>
      <c r="C8459" t="s">
        <v>149</v>
      </c>
      <c r="D8459" s="254">
        <v>162.01</v>
      </c>
      <c r="E8459">
        <v>67.241500000000002</v>
      </c>
      <c r="F8459"/>
      <c r="G8459"/>
      <c r="H8459"/>
      <c r="I8459" s="489"/>
      <c r="J8459" s="1362"/>
      <c r="K8459" s="1362"/>
      <c r="L8459" s="1362"/>
    </row>
    <row r="8460" spans="1:12" x14ac:dyDescent="0.25">
      <c r="A8460" t="s">
        <v>17717</v>
      </c>
      <c r="B8460" t="s">
        <v>17718</v>
      </c>
      <c r="C8460" t="s">
        <v>149</v>
      </c>
      <c r="D8460" s="254">
        <v>477.78</v>
      </c>
      <c r="E8460">
        <v>308.75490000000002</v>
      </c>
      <c r="F8460"/>
      <c r="G8460"/>
      <c r="H8460"/>
      <c r="I8460" s="489"/>
      <c r="J8460" s="1362"/>
      <c r="K8460" s="1362"/>
      <c r="L8460" s="1362"/>
    </row>
    <row r="8461" spans="1:12" x14ac:dyDescent="0.25">
      <c r="A8461" t="s">
        <v>17719</v>
      </c>
      <c r="B8461" t="s">
        <v>17720</v>
      </c>
      <c r="C8461" t="s">
        <v>149</v>
      </c>
      <c r="D8461" s="254">
        <v>211.11</v>
      </c>
      <c r="E8461">
        <v>70.304500000000004</v>
      </c>
      <c r="F8461"/>
      <c r="G8461"/>
      <c r="H8461"/>
      <c r="I8461" s="489"/>
      <c r="J8461" s="1362"/>
      <c r="K8461" s="1362"/>
      <c r="L8461" s="1362"/>
    </row>
    <row r="8462" spans="1:12" x14ac:dyDescent="0.25">
      <c r="A8462" t="s">
        <v>17721</v>
      </c>
      <c r="B8462" t="s">
        <v>17722</v>
      </c>
      <c r="C8462" t="s">
        <v>149</v>
      </c>
      <c r="D8462" s="254">
        <v>11.01</v>
      </c>
      <c r="E8462">
        <v>6.0753000000000004</v>
      </c>
      <c r="F8462"/>
      <c r="G8462"/>
      <c r="H8462"/>
      <c r="I8462" s="489"/>
      <c r="J8462" s="1362"/>
      <c r="K8462" s="1362"/>
      <c r="L8462" s="1362"/>
    </row>
    <row r="8463" spans="1:12" x14ac:dyDescent="0.25">
      <c r="A8463" t="s">
        <v>17723</v>
      </c>
      <c r="B8463" t="s">
        <v>17724</v>
      </c>
      <c r="C8463" t="s">
        <v>149</v>
      </c>
      <c r="D8463" s="254">
        <v>23.53</v>
      </c>
      <c r="E8463">
        <v>23.222100000000001</v>
      </c>
      <c r="F8463"/>
      <c r="G8463"/>
      <c r="H8463"/>
      <c r="I8463" s="489"/>
      <c r="J8463" s="1362"/>
      <c r="K8463" s="1362"/>
      <c r="L8463" s="1362"/>
    </row>
    <row r="8464" spans="1:12" x14ac:dyDescent="0.25">
      <c r="A8464" t="s">
        <v>17725</v>
      </c>
      <c r="B8464" t="s">
        <v>17726</v>
      </c>
      <c r="C8464" t="s">
        <v>149</v>
      </c>
      <c r="D8464" s="254">
        <v>110.52</v>
      </c>
      <c r="E8464">
        <v>37.459200000000003</v>
      </c>
      <c r="F8464"/>
      <c r="G8464"/>
      <c r="H8464"/>
      <c r="I8464" s="489"/>
      <c r="J8464" s="1362"/>
      <c r="K8464" s="1362"/>
      <c r="L8464" s="1362"/>
    </row>
    <row r="8465" spans="1:12" x14ac:dyDescent="0.25">
      <c r="A8465" t="s">
        <v>17727</v>
      </c>
      <c r="B8465" t="s">
        <v>17728</v>
      </c>
      <c r="C8465" t="s">
        <v>149</v>
      </c>
      <c r="D8465" s="254">
        <v>3.75</v>
      </c>
      <c r="E8465">
        <v>2.3285</v>
      </c>
      <c r="F8465"/>
      <c r="G8465"/>
      <c r="H8465"/>
      <c r="I8465" s="489"/>
      <c r="J8465" s="1362"/>
      <c r="K8465" s="1362"/>
      <c r="L8465" s="1362"/>
    </row>
    <row r="8466" spans="1:12" x14ac:dyDescent="0.25">
      <c r="A8466" t="s">
        <v>17729</v>
      </c>
      <c r="B8466" t="s">
        <v>17730</v>
      </c>
      <c r="C8466" t="s">
        <v>149</v>
      </c>
      <c r="D8466" s="254">
        <v>38.96</v>
      </c>
      <c r="E8466">
        <v>35.455599999999997</v>
      </c>
      <c r="F8466"/>
      <c r="G8466"/>
      <c r="H8466"/>
      <c r="I8466" s="489"/>
      <c r="J8466" s="1362"/>
      <c r="K8466" s="1362"/>
      <c r="L8466" s="1362"/>
    </row>
    <row r="8467" spans="1:12" x14ac:dyDescent="0.25">
      <c r="A8467" t="s">
        <v>17731</v>
      </c>
      <c r="B8467" t="s">
        <v>17732</v>
      </c>
      <c r="C8467" t="s">
        <v>149</v>
      </c>
      <c r="D8467" s="254">
        <v>269.64999999999998</v>
      </c>
      <c r="E8467">
        <v>87.5685</v>
      </c>
      <c r="F8467"/>
      <c r="G8467"/>
      <c r="H8467"/>
      <c r="I8467" s="489"/>
      <c r="J8467" s="1362"/>
      <c r="K8467" s="1362"/>
      <c r="L8467" s="1362"/>
    </row>
    <row r="8468" spans="1:12" x14ac:dyDescent="0.25">
      <c r="A8468" t="s">
        <v>17733</v>
      </c>
      <c r="B8468" t="s">
        <v>17734</v>
      </c>
      <c r="C8468" t="s">
        <v>149</v>
      </c>
      <c r="D8468" s="254">
        <v>821.48</v>
      </c>
      <c r="E8468">
        <v>299.67939999999999</v>
      </c>
      <c r="F8468"/>
      <c r="G8468"/>
      <c r="H8468"/>
      <c r="I8468" s="489"/>
      <c r="J8468" s="1362"/>
      <c r="K8468" s="1362"/>
      <c r="L8468" s="1362"/>
    </row>
    <row r="8469" spans="1:12" x14ac:dyDescent="0.25">
      <c r="A8469" t="s">
        <v>17735</v>
      </c>
      <c r="B8469" t="s">
        <v>17736</v>
      </c>
      <c r="C8469" t="s">
        <v>149</v>
      </c>
      <c r="D8469" s="254">
        <v>7.67</v>
      </c>
      <c r="E8469">
        <v>4.2926000000000002</v>
      </c>
      <c r="F8469"/>
      <c r="G8469"/>
      <c r="H8469"/>
      <c r="I8469" s="489"/>
      <c r="J8469" s="1362"/>
      <c r="K8469" s="1362"/>
      <c r="L8469" s="1362"/>
    </row>
    <row r="8470" spans="1:12" x14ac:dyDescent="0.25">
      <c r="A8470" t="s">
        <v>17737</v>
      </c>
      <c r="B8470" t="s">
        <v>17738</v>
      </c>
      <c r="C8470" t="s">
        <v>149</v>
      </c>
      <c r="D8470" s="254">
        <v>10.6</v>
      </c>
      <c r="E8470">
        <v>6.8254999999999999</v>
      </c>
      <c r="F8470"/>
      <c r="G8470"/>
      <c r="H8470"/>
      <c r="I8470" s="489"/>
      <c r="J8470" s="1362"/>
      <c r="K8470" s="1362"/>
      <c r="L8470" s="1362"/>
    </row>
    <row r="8471" spans="1:12" x14ac:dyDescent="0.25">
      <c r="A8471" t="s">
        <v>17739</v>
      </c>
      <c r="B8471" t="s">
        <v>17740</v>
      </c>
      <c r="C8471" t="s">
        <v>149</v>
      </c>
      <c r="D8471" s="254">
        <v>321.83</v>
      </c>
      <c r="E8471">
        <v>127.4371</v>
      </c>
      <c r="F8471"/>
      <c r="G8471"/>
      <c r="H8471"/>
      <c r="I8471" s="489"/>
      <c r="J8471" s="1362"/>
      <c r="K8471" s="1362"/>
      <c r="L8471" s="1362"/>
    </row>
    <row r="8472" spans="1:12" x14ac:dyDescent="0.25">
      <c r="A8472" t="s">
        <v>17741</v>
      </c>
      <c r="B8472" t="s">
        <v>17742</v>
      </c>
      <c r="C8472" t="s">
        <v>149</v>
      </c>
      <c r="D8472" s="254">
        <v>0.14000000000000001</v>
      </c>
      <c r="E8472">
        <v>7.6100000000000001E-2</v>
      </c>
      <c r="F8472"/>
      <c r="G8472"/>
      <c r="H8472"/>
      <c r="I8472" s="489"/>
      <c r="J8472" s="1362"/>
      <c r="K8472" s="1362"/>
      <c r="L8472" s="1362"/>
    </row>
    <row r="8473" spans="1:12" x14ac:dyDescent="0.25">
      <c r="A8473" t="s">
        <v>17743</v>
      </c>
      <c r="B8473" t="s">
        <v>17744</v>
      </c>
      <c r="C8473" t="s">
        <v>149</v>
      </c>
      <c r="D8473" s="254">
        <v>0.36</v>
      </c>
      <c r="E8473">
        <v>0.20799999999999999</v>
      </c>
      <c r="F8473"/>
      <c r="G8473"/>
      <c r="H8473"/>
      <c r="I8473" s="489"/>
      <c r="J8473" s="1362"/>
      <c r="K8473" s="1362"/>
      <c r="L8473" s="1362"/>
    </row>
    <row r="8474" spans="1:12" x14ac:dyDescent="0.25">
      <c r="A8474" t="s">
        <v>17745</v>
      </c>
      <c r="B8474" t="s">
        <v>17746</v>
      </c>
      <c r="C8474" t="s">
        <v>149</v>
      </c>
      <c r="D8474" s="254">
        <v>0.89</v>
      </c>
      <c r="E8474">
        <v>0.61029999999999995</v>
      </c>
      <c r="F8474"/>
      <c r="G8474"/>
      <c r="H8474"/>
      <c r="I8474" s="489"/>
      <c r="J8474" s="1362"/>
      <c r="K8474" s="1362"/>
      <c r="L8474" s="1362"/>
    </row>
    <row r="8475" spans="1:12" x14ac:dyDescent="0.25">
      <c r="A8475" t="s">
        <v>17747</v>
      </c>
      <c r="B8475" t="s">
        <v>17748</v>
      </c>
      <c r="C8475" t="s">
        <v>149</v>
      </c>
      <c r="D8475" s="254">
        <v>1.92</v>
      </c>
      <c r="E8475">
        <v>1.2746</v>
      </c>
      <c r="F8475"/>
      <c r="G8475"/>
      <c r="H8475"/>
      <c r="I8475" s="489"/>
      <c r="J8475" s="1362"/>
      <c r="K8475" s="1362"/>
      <c r="L8475" s="1362"/>
    </row>
    <row r="8476" spans="1:12" x14ac:dyDescent="0.25">
      <c r="A8476" t="s">
        <v>17749</v>
      </c>
      <c r="B8476" t="s">
        <v>17750</v>
      </c>
      <c r="C8476" t="s">
        <v>149</v>
      </c>
      <c r="D8476" s="254">
        <v>4.5999999999999996</v>
      </c>
      <c r="E8476">
        <v>3.1457000000000002</v>
      </c>
      <c r="F8476"/>
      <c r="G8476"/>
      <c r="H8476"/>
      <c r="I8476" s="489"/>
      <c r="J8476" s="1362"/>
      <c r="K8476" s="1362"/>
      <c r="L8476" s="1362"/>
    </row>
    <row r="8477" spans="1:12" x14ac:dyDescent="0.25">
      <c r="A8477" t="s">
        <v>6395</v>
      </c>
      <c r="B8477" t="s">
        <v>6396</v>
      </c>
      <c r="C8477" t="s">
        <v>149</v>
      </c>
      <c r="D8477" s="254">
        <v>7.66</v>
      </c>
      <c r="E8477">
        <v>0.80640000000000001</v>
      </c>
      <c r="F8477"/>
      <c r="G8477"/>
      <c r="H8477"/>
      <c r="I8477" s="489"/>
      <c r="J8477" s="1362"/>
      <c r="K8477" s="1362"/>
      <c r="L8477" s="1362"/>
    </row>
    <row r="8478" spans="1:12" x14ac:dyDescent="0.25">
      <c r="A8478" t="s">
        <v>17751</v>
      </c>
      <c r="B8478" t="s">
        <v>17752</v>
      </c>
      <c r="C8478" t="s">
        <v>149</v>
      </c>
      <c r="D8478" s="254">
        <v>52.66</v>
      </c>
      <c r="E8478">
        <v>35.968400000000003</v>
      </c>
      <c r="F8478"/>
      <c r="G8478"/>
      <c r="H8478"/>
      <c r="I8478" s="489"/>
      <c r="J8478" s="1362"/>
      <c r="K8478" s="1362"/>
      <c r="L8478" s="1362"/>
    </row>
    <row r="8479" spans="1:12" x14ac:dyDescent="0.25">
      <c r="A8479" t="s">
        <v>17753</v>
      </c>
      <c r="B8479" t="s">
        <v>17754</v>
      </c>
      <c r="C8479" t="s">
        <v>149</v>
      </c>
      <c r="D8479" s="254">
        <v>77.47</v>
      </c>
      <c r="E8479">
        <v>42.972999999999999</v>
      </c>
      <c r="F8479"/>
      <c r="G8479"/>
      <c r="H8479"/>
      <c r="I8479" s="489"/>
      <c r="J8479" s="1362"/>
      <c r="K8479" s="1362"/>
      <c r="L8479" s="1362"/>
    </row>
    <row r="8480" spans="1:12" x14ac:dyDescent="0.25">
      <c r="A8480" t="s">
        <v>17755</v>
      </c>
      <c r="B8480" t="s">
        <v>17756</v>
      </c>
      <c r="C8480" t="s">
        <v>149</v>
      </c>
      <c r="D8480" s="254">
        <v>365.49</v>
      </c>
      <c r="E8480">
        <v>80.313900000000004</v>
      </c>
      <c r="F8480"/>
      <c r="G8480"/>
      <c r="H8480"/>
      <c r="I8480" s="489"/>
      <c r="J8480" s="1362"/>
      <c r="K8480" s="1362"/>
      <c r="L8480" s="1362"/>
    </row>
    <row r="8481" spans="1:12" x14ac:dyDescent="0.25">
      <c r="A8481" t="s">
        <v>17757</v>
      </c>
      <c r="B8481" t="s">
        <v>17758</v>
      </c>
      <c r="C8481" t="s">
        <v>149</v>
      </c>
      <c r="D8481" s="254">
        <v>3.9</v>
      </c>
      <c r="E8481">
        <v>2.5874000000000001</v>
      </c>
      <c r="F8481"/>
      <c r="G8481"/>
      <c r="H8481"/>
      <c r="I8481" s="489"/>
      <c r="J8481" s="1362"/>
      <c r="K8481" s="1362"/>
      <c r="L8481" s="1362"/>
    </row>
    <row r="8482" spans="1:12" x14ac:dyDescent="0.25">
      <c r="A8482" t="s">
        <v>17759</v>
      </c>
      <c r="B8482" t="s">
        <v>17760</v>
      </c>
      <c r="C8482" t="s">
        <v>149</v>
      </c>
      <c r="D8482" s="254">
        <v>8.94</v>
      </c>
      <c r="E8482">
        <v>5.9283999999999999</v>
      </c>
      <c r="F8482"/>
      <c r="G8482"/>
      <c r="H8482"/>
      <c r="I8482" s="489"/>
      <c r="J8482" s="1362"/>
      <c r="K8482" s="1362"/>
      <c r="L8482" s="1362"/>
    </row>
    <row r="8483" spans="1:12" x14ac:dyDescent="0.25">
      <c r="A8483" t="s">
        <v>17761</v>
      </c>
      <c r="B8483" t="s">
        <v>17762</v>
      </c>
      <c r="C8483" t="s">
        <v>149</v>
      </c>
      <c r="D8483" s="254">
        <v>634.4</v>
      </c>
      <c r="E8483">
        <v>281.72989999999999</v>
      </c>
      <c r="F8483"/>
      <c r="G8483"/>
      <c r="H8483"/>
      <c r="I8483" s="489"/>
      <c r="J8483" s="1362"/>
      <c r="K8483" s="1362"/>
      <c r="L8483" s="1362"/>
    </row>
    <row r="8484" spans="1:12" x14ac:dyDescent="0.25">
      <c r="A8484" t="s">
        <v>17763</v>
      </c>
      <c r="B8484" t="s">
        <v>17764</v>
      </c>
      <c r="C8484" t="s">
        <v>149</v>
      </c>
      <c r="D8484" s="254">
        <v>822.2</v>
      </c>
      <c r="E8484">
        <v>300.04020000000003</v>
      </c>
      <c r="F8484"/>
      <c r="G8484"/>
      <c r="H8484"/>
      <c r="I8484" s="489"/>
      <c r="J8484" s="1362"/>
      <c r="K8484" s="1362"/>
      <c r="L8484" s="1362"/>
    </row>
    <row r="8485" spans="1:12" x14ac:dyDescent="0.25">
      <c r="A8485" t="s">
        <v>17765</v>
      </c>
      <c r="B8485" t="s">
        <v>17766</v>
      </c>
      <c r="C8485" t="s">
        <v>149</v>
      </c>
      <c r="D8485" s="254">
        <v>508.95</v>
      </c>
      <c r="E8485">
        <v>238.61539999999999</v>
      </c>
      <c r="F8485"/>
      <c r="G8485"/>
      <c r="H8485"/>
      <c r="I8485" s="489"/>
      <c r="J8485" s="1362"/>
      <c r="K8485" s="1362"/>
      <c r="L8485" s="1362"/>
    </row>
    <row r="8486" spans="1:12" x14ac:dyDescent="0.25">
      <c r="A8486" t="s">
        <v>17767</v>
      </c>
      <c r="B8486" t="s">
        <v>17768</v>
      </c>
      <c r="C8486" t="s">
        <v>149</v>
      </c>
      <c r="D8486" s="254">
        <v>17.04</v>
      </c>
      <c r="E8486">
        <v>1.7378</v>
      </c>
      <c r="F8486"/>
      <c r="G8486"/>
      <c r="H8486"/>
      <c r="I8486" s="489"/>
      <c r="J8486" s="1362"/>
      <c r="K8486" s="1362"/>
      <c r="L8486" s="1362"/>
    </row>
    <row r="8487" spans="1:12" x14ac:dyDescent="0.25">
      <c r="A8487" t="s">
        <v>17769</v>
      </c>
      <c r="B8487" t="s">
        <v>17770</v>
      </c>
      <c r="C8487" t="s">
        <v>149</v>
      </c>
      <c r="D8487" s="254">
        <v>0.21</v>
      </c>
      <c r="E8487">
        <v>0.1361</v>
      </c>
      <c r="F8487"/>
      <c r="G8487"/>
      <c r="H8487"/>
      <c r="I8487" s="489"/>
      <c r="J8487" s="1362"/>
      <c r="K8487" s="1362"/>
      <c r="L8487" s="1362"/>
    </row>
    <row r="8488" spans="1:12" x14ac:dyDescent="0.25">
      <c r="A8488" t="s">
        <v>17771</v>
      </c>
      <c r="B8488" t="s">
        <v>17772</v>
      </c>
      <c r="C8488" t="s">
        <v>149</v>
      </c>
      <c r="D8488" s="254">
        <v>421.61</v>
      </c>
      <c r="E8488">
        <v>179.94040000000001</v>
      </c>
      <c r="F8488"/>
      <c r="G8488"/>
      <c r="H8488"/>
      <c r="I8488" s="489"/>
      <c r="J8488" s="1362"/>
      <c r="K8488" s="1362"/>
      <c r="L8488" s="1362"/>
    </row>
    <row r="8489" spans="1:12" x14ac:dyDescent="0.25">
      <c r="A8489" t="s">
        <v>17773</v>
      </c>
      <c r="B8489" t="s">
        <v>17774</v>
      </c>
      <c r="C8489" t="s">
        <v>149</v>
      </c>
      <c r="D8489" s="254">
        <v>0.88</v>
      </c>
      <c r="E8489">
        <v>0.55959999999999999</v>
      </c>
      <c r="F8489"/>
      <c r="G8489"/>
      <c r="H8489"/>
      <c r="I8489" s="489"/>
      <c r="J8489" s="1362"/>
      <c r="K8489" s="1362"/>
      <c r="L8489" s="1362"/>
    </row>
    <row r="8490" spans="1:12" x14ac:dyDescent="0.25">
      <c r="A8490" t="s">
        <v>17775</v>
      </c>
      <c r="B8490" t="s">
        <v>17776</v>
      </c>
      <c r="C8490" t="s">
        <v>149</v>
      </c>
      <c r="D8490" s="254">
        <v>532.86</v>
      </c>
      <c r="E8490">
        <v>225.90180000000001</v>
      </c>
      <c r="F8490"/>
      <c r="G8490"/>
      <c r="H8490"/>
      <c r="I8490" s="489"/>
      <c r="J8490" s="1362"/>
      <c r="K8490" s="1362"/>
      <c r="L8490" s="1362"/>
    </row>
    <row r="8491" spans="1:12" x14ac:dyDescent="0.25">
      <c r="A8491" t="s">
        <v>17777</v>
      </c>
      <c r="B8491" t="s">
        <v>17778</v>
      </c>
      <c r="C8491" t="s">
        <v>149</v>
      </c>
      <c r="D8491" s="254">
        <v>306.27</v>
      </c>
      <c r="E8491">
        <v>131.69</v>
      </c>
      <c r="F8491"/>
      <c r="G8491"/>
      <c r="H8491"/>
      <c r="I8491" s="489"/>
      <c r="J8491" s="1362"/>
      <c r="K8491" s="1362"/>
      <c r="L8491" s="1362"/>
    </row>
    <row r="8492" spans="1:12" x14ac:dyDescent="0.25">
      <c r="A8492" t="s">
        <v>17779</v>
      </c>
      <c r="B8492" t="s">
        <v>17780</v>
      </c>
      <c r="C8492" t="s">
        <v>149</v>
      </c>
      <c r="D8492" s="254">
        <v>143.21</v>
      </c>
      <c r="E8492">
        <v>36.535699999999999</v>
      </c>
      <c r="F8492"/>
      <c r="G8492"/>
      <c r="H8492"/>
      <c r="I8492" s="489"/>
      <c r="J8492" s="1362"/>
      <c r="K8492" s="1362"/>
      <c r="L8492" s="1362"/>
    </row>
    <row r="8493" spans="1:12" x14ac:dyDescent="0.25">
      <c r="A8493" t="s">
        <v>17781</v>
      </c>
      <c r="B8493" t="s">
        <v>17782</v>
      </c>
      <c r="C8493" t="s">
        <v>149</v>
      </c>
      <c r="D8493" s="254">
        <v>3.98</v>
      </c>
      <c r="E8493">
        <v>2.4716999999999998</v>
      </c>
      <c r="F8493"/>
      <c r="G8493"/>
      <c r="H8493"/>
      <c r="I8493" s="489"/>
      <c r="J8493" s="1362"/>
      <c r="K8493" s="1362"/>
      <c r="L8493" s="1362"/>
    </row>
    <row r="8494" spans="1:12" x14ac:dyDescent="0.25">
      <c r="A8494" t="s">
        <v>17783</v>
      </c>
      <c r="B8494" t="s">
        <v>17784</v>
      </c>
      <c r="C8494" t="s">
        <v>149</v>
      </c>
      <c r="D8494" s="254">
        <v>813.05</v>
      </c>
      <c r="E8494">
        <v>235.44669999999999</v>
      </c>
      <c r="F8494"/>
      <c r="G8494"/>
      <c r="H8494"/>
      <c r="I8494" s="489"/>
      <c r="J8494" s="1362"/>
      <c r="K8494" s="1362"/>
      <c r="L8494" s="1362"/>
    </row>
    <row r="8495" spans="1:12" x14ac:dyDescent="0.25">
      <c r="A8495" t="s">
        <v>17785</v>
      </c>
      <c r="B8495" t="s">
        <v>17786</v>
      </c>
      <c r="C8495" t="s">
        <v>149</v>
      </c>
      <c r="D8495" s="254">
        <v>329.42</v>
      </c>
      <c r="E8495">
        <v>111.0363</v>
      </c>
      <c r="F8495"/>
      <c r="G8495"/>
      <c r="H8495"/>
      <c r="I8495" s="489"/>
      <c r="J8495" s="1362"/>
      <c r="K8495" s="1362"/>
      <c r="L8495" s="1362"/>
    </row>
    <row r="8496" spans="1:12" x14ac:dyDescent="0.25">
      <c r="A8496" t="s">
        <v>17787</v>
      </c>
      <c r="B8496" t="s">
        <v>17788</v>
      </c>
      <c r="C8496" t="s">
        <v>149</v>
      </c>
      <c r="D8496" s="254">
        <v>13.64</v>
      </c>
      <c r="E8496">
        <v>8.7863000000000007</v>
      </c>
      <c r="F8496"/>
      <c r="G8496"/>
      <c r="H8496"/>
      <c r="I8496" s="489"/>
      <c r="J8496" s="1362"/>
      <c r="K8496" s="1362"/>
      <c r="L8496" s="1362"/>
    </row>
    <row r="8497" spans="1:12" x14ac:dyDescent="0.25">
      <c r="A8497" t="s">
        <v>17789</v>
      </c>
      <c r="B8497" t="s">
        <v>17790</v>
      </c>
      <c r="C8497" t="s">
        <v>149</v>
      </c>
      <c r="D8497" s="254">
        <v>200.65</v>
      </c>
      <c r="E8497">
        <v>89.719399999999993</v>
      </c>
      <c r="F8497"/>
      <c r="G8497"/>
      <c r="H8497"/>
      <c r="I8497" s="489"/>
      <c r="J8497" s="1362"/>
      <c r="K8497" s="1362"/>
      <c r="L8497" s="1362"/>
    </row>
    <row r="8498" spans="1:12" x14ac:dyDescent="0.25">
      <c r="A8498" t="s">
        <v>17791</v>
      </c>
      <c r="B8498" t="s">
        <v>17792</v>
      </c>
      <c r="C8498" t="s">
        <v>149</v>
      </c>
      <c r="D8498" s="254">
        <v>29.66</v>
      </c>
      <c r="E8498">
        <v>23.796900000000001</v>
      </c>
      <c r="F8498"/>
      <c r="G8498"/>
      <c r="H8498"/>
      <c r="I8498" s="489"/>
      <c r="J8498" s="1362"/>
      <c r="K8498" s="1362"/>
      <c r="L8498" s="1362"/>
    </row>
    <row r="8499" spans="1:12" x14ac:dyDescent="0.25">
      <c r="A8499" t="s">
        <v>17793</v>
      </c>
      <c r="B8499" t="s">
        <v>17794</v>
      </c>
      <c r="C8499" t="s">
        <v>149</v>
      </c>
      <c r="D8499" s="254">
        <v>9.43</v>
      </c>
      <c r="E8499">
        <v>0.56710000000000005</v>
      </c>
      <c r="F8499"/>
      <c r="G8499"/>
      <c r="H8499"/>
      <c r="I8499" s="489"/>
      <c r="J8499" s="1362"/>
      <c r="K8499" s="1362"/>
      <c r="L8499" s="1362"/>
    </row>
    <row r="8500" spans="1:12" x14ac:dyDescent="0.25">
      <c r="A8500" t="s">
        <v>17795</v>
      </c>
      <c r="B8500" t="s">
        <v>17796</v>
      </c>
      <c r="C8500" t="s">
        <v>149</v>
      </c>
      <c r="D8500" s="254">
        <v>10.47</v>
      </c>
      <c r="E8500">
        <v>1.2763</v>
      </c>
      <c r="F8500"/>
      <c r="G8500"/>
      <c r="H8500"/>
      <c r="I8500" s="489"/>
      <c r="J8500" s="1362"/>
      <c r="K8500" s="1362"/>
      <c r="L8500" s="1362"/>
    </row>
    <row r="8501" spans="1:12" x14ac:dyDescent="0.25">
      <c r="A8501" t="s">
        <v>17797</v>
      </c>
      <c r="B8501" t="s">
        <v>17798</v>
      </c>
      <c r="C8501" t="s">
        <v>149</v>
      </c>
      <c r="D8501" s="254">
        <v>861.31</v>
      </c>
      <c r="E8501">
        <v>320.1266</v>
      </c>
      <c r="F8501"/>
      <c r="G8501"/>
      <c r="H8501"/>
      <c r="I8501" s="489"/>
      <c r="J8501" s="1362"/>
      <c r="K8501" s="1362"/>
      <c r="L8501" s="1362"/>
    </row>
    <row r="8502" spans="1:12" x14ac:dyDescent="0.25">
      <c r="A8502" t="s">
        <v>17799</v>
      </c>
      <c r="B8502" t="s">
        <v>17800</v>
      </c>
      <c r="C8502" t="s">
        <v>149</v>
      </c>
      <c r="D8502" s="254">
        <v>200.8</v>
      </c>
      <c r="E8502">
        <v>100.9294</v>
      </c>
      <c r="F8502"/>
      <c r="G8502"/>
      <c r="H8502"/>
      <c r="I8502" s="489"/>
      <c r="J8502" s="1362"/>
      <c r="K8502" s="1362"/>
      <c r="L8502" s="1362"/>
    </row>
    <row r="8503" spans="1:12" x14ac:dyDescent="0.25">
      <c r="A8503" t="s">
        <v>17801</v>
      </c>
      <c r="B8503" t="s">
        <v>17802</v>
      </c>
      <c r="C8503" t="s">
        <v>149</v>
      </c>
      <c r="D8503" s="254">
        <v>92.73</v>
      </c>
      <c r="E8503">
        <v>70.677499999999995</v>
      </c>
      <c r="F8503"/>
      <c r="G8503"/>
      <c r="H8503"/>
      <c r="I8503" s="489"/>
      <c r="J8503" s="1362"/>
      <c r="K8503" s="1362"/>
      <c r="L8503" s="1362"/>
    </row>
    <row r="8504" spans="1:12" x14ac:dyDescent="0.25">
      <c r="A8504" t="s">
        <v>17803</v>
      </c>
      <c r="B8504" t="s">
        <v>17804</v>
      </c>
      <c r="C8504" t="s">
        <v>149</v>
      </c>
      <c r="D8504" s="254">
        <v>23.79</v>
      </c>
      <c r="E8504">
        <v>1.7905</v>
      </c>
      <c r="F8504"/>
      <c r="G8504"/>
      <c r="H8504"/>
      <c r="I8504" s="489"/>
      <c r="J8504" s="1362"/>
      <c r="K8504" s="1362"/>
      <c r="L8504" s="1362"/>
    </row>
    <row r="8505" spans="1:12" x14ac:dyDescent="0.25">
      <c r="A8505" t="s">
        <v>17805</v>
      </c>
      <c r="B8505" t="s">
        <v>17806</v>
      </c>
      <c r="C8505" t="s">
        <v>149</v>
      </c>
      <c r="D8505" s="254">
        <v>3654.5</v>
      </c>
      <c r="E8505">
        <v>1314.9117000000001</v>
      </c>
      <c r="F8505"/>
      <c r="G8505"/>
      <c r="H8505"/>
      <c r="I8505" s="489"/>
      <c r="J8505" s="1362"/>
      <c r="K8505" s="1362"/>
      <c r="L8505" s="1362"/>
    </row>
    <row r="8506" spans="1:12" x14ac:dyDescent="0.25">
      <c r="A8506" t="s">
        <v>17807</v>
      </c>
      <c r="B8506" t="s">
        <v>17808</v>
      </c>
      <c r="C8506" t="s">
        <v>149</v>
      </c>
      <c r="D8506" s="254">
        <v>4345.1899999999996</v>
      </c>
      <c r="E8506">
        <v>1555.9881</v>
      </c>
      <c r="F8506"/>
      <c r="G8506"/>
      <c r="H8506"/>
      <c r="I8506" s="489"/>
      <c r="J8506" s="1362"/>
      <c r="K8506" s="1362"/>
      <c r="L8506" s="1362"/>
    </row>
    <row r="8507" spans="1:12" x14ac:dyDescent="0.25">
      <c r="A8507" t="s">
        <v>17809</v>
      </c>
      <c r="B8507" t="s">
        <v>17810</v>
      </c>
      <c r="C8507" t="s">
        <v>149</v>
      </c>
      <c r="D8507" s="254">
        <v>8398.0400000000009</v>
      </c>
      <c r="E8507">
        <v>2994.2570000000001</v>
      </c>
      <c r="F8507"/>
      <c r="G8507"/>
      <c r="H8507"/>
      <c r="I8507" s="489"/>
      <c r="J8507" s="1362"/>
      <c r="K8507" s="1362"/>
      <c r="L8507" s="1362"/>
    </row>
    <row r="8508" spans="1:12" x14ac:dyDescent="0.25">
      <c r="A8508" t="s">
        <v>17811</v>
      </c>
      <c r="B8508" t="s">
        <v>17812</v>
      </c>
      <c r="C8508" t="s">
        <v>149</v>
      </c>
      <c r="D8508" s="254">
        <v>11162.05</v>
      </c>
      <c r="E8508">
        <v>3946.1781999999998</v>
      </c>
      <c r="F8508"/>
      <c r="G8508"/>
      <c r="H8508"/>
      <c r="I8508" s="489"/>
      <c r="J8508" s="1362"/>
      <c r="K8508" s="1362"/>
      <c r="L8508" s="1362"/>
    </row>
    <row r="8509" spans="1:12" x14ac:dyDescent="0.25">
      <c r="A8509" t="s">
        <v>17813</v>
      </c>
      <c r="B8509" t="s">
        <v>17814</v>
      </c>
      <c r="C8509" t="s">
        <v>149</v>
      </c>
      <c r="D8509" s="254">
        <v>13002.77</v>
      </c>
      <c r="E8509">
        <v>4446.45</v>
      </c>
      <c r="F8509"/>
      <c r="G8509"/>
      <c r="H8509"/>
      <c r="I8509" s="489"/>
      <c r="J8509" s="1362"/>
      <c r="K8509" s="1362"/>
      <c r="L8509" s="1362"/>
    </row>
    <row r="8510" spans="1:12" x14ac:dyDescent="0.25">
      <c r="A8510" t="s">
        <v>17815</v>
      </c>
      <c r="B8510" t="s">
        <v>17816</v>
      </c>
      <c r="C8510" t="s">
        <v>149</v>
      </c>
      <c r="D8510" s="254">
        <v>15557.13</v>
      </c>
      <c r="E8510">
        <v>5230.9602999999997</v>
      </c>
      <c r="F8510"/>
      <c r="G8510"/>
      <c r="H8510"/>
      <c r="I8510" s="489"/>
      <c r="J8510" s="1362"/>
      <c r="K8510" s="1362"/>
      <c r="L8510" s="1362"/>
    </row>
    <row r="8511" spans="1:12" x14ac:dyDescent="0.25">
      <c r="A8511" t="s">
        <v>17817</v>
      </c>
      <c r="B8511" t="s">
        <v>17818</v>
      </c>
      <c r="C8511" t="s">
        <v>149</v>
      </c>
      <c r="D8511" s="254">
        <v>67.290000000000006</v>
      </c>
      <c r="E8511">
        <v>55.430100000000003</v>
      </c>
      <c r="F8511"/>
      <c r="G8511"/>
      <c r="H8511"/>
      <c r="I8511" s="489"/>
      <c r="J8511" s="1362"/>
      <c r="K8511" s="1362"/>
      <c r="L8511" s="1362"/>
    </row>
    <row r="8512" spans="1:12" x14ac:dyDescent="0.25">
      <c r="A8512" t="s">
        <v>17819</v>
      </c>
      <c r="B8512" t="s">
        <v>17820</v>
      </c>
      <c r="C8512" t="s">
        <v>149</v>
      </c>
      <c r="D8512" s="254">
        <v>361.61</v>
      </c>
      <c r="E8512">
        <v>45.329300000000003</v>
      </c>
      <c r="F8512"/>
      <c r="G8512"/>
      <c r="H8512"/>
      <c r="I8512" s="489"/>
      <c r="J8512" s="1362"/>
      <c r="K8512" s="1362"/>
      <c r="L8512" s="1362"/>
    </row>
    <row r="8513" spans="1:12" x14ac:dyDescent="0.25">
      <c r="A8513" t="s">
        <v>17821</v>
      </c>
      <c r="B8513" t="s">
        <v>17822</v>
      </c>
      <c r="C8513" t="s">
        <v>149</v>
      </c>
      <c r="D8513" s="254">
        <v>449.7</v>
      </c>
      <c r="E8513">
        <v>168.44560000000001</v>
      </c>
      <c r="F8513"/>
      <c r="G8513"/>
      <c r="H8513"/>
      <c r="I8513" s="489"/>
      <c r="J8513" s="1362"/>
      <c r="K8513" s="1362"/>
      <c r="L8513" s="1362"/>
    </row>
    <row r="8514" spans="1:12" x14ac:dyDescent="0.25">
      <c r="A8514" t="s">
        <v>17823</v>
      </c>
      <c r="B8514" t="s">
        <v>17824</v>
      </c>
      <c r="C8514" t="s">
        <v>149</v>
      </c>
      <c r="D8514" s="254">
        <v>899.48</v>
      </c>
      <c r="E8514">
        <v>150.67349999999999</v>
      </c>
      <c r="F8514"/>
      <c r="G8514"/>
      <c r="H8514"/>
      <c r="I8514" s="489"/>
      <c r="J8514" s="1362"/>
      <c r="K8514" s="1362"/>
      <c r="L8514" s="1362"/>
    </row>
    <row r="8515" spans="1:12" x14ac:dyDescent="0.25">
      <c r="A8515" t="s">
        <v>17825</v>
      </c>
      <c r="B8515" t="s">
        <v>17826</v>
      </c>
      <c r="C8515" t="s">
        <v>149</v>
      </c>
      <c r="D8515" s="254">
        <v>334.2</v>
      </c>
      <c r="E8515">
        <v>226.1679</v>
      </c>
      <c r="F8515"/>
      <c r="G8515"/>
      <c r="H8515"/>
      <c r="I8515" s="489"/>
      <c r="J8515" s="1362"/>
      <c r="K8515" s="1362"/>
      <c r="L8515" s="1362"/>
    </row>
    <row r="8516" spans="1:12" x14ac:dyDescent="0.25">
      <c r="A8516" t="s">
        <v>17827</v>
      </c>
      <c r="B8516" t="s">
        <v>17828</v>
      </c>
      <c r="C8516" t="s">
        <v>149</v>
      </c>
      <c r="D8516" s="254">
        <v>162.63999999999999</v>
      </c>
      <c r="E8516">
        <v>47.787300000000002</v>
      </c>
      <c r="F8516"/>
      <c r="G8516"/>
      <c r="H8516"/>
      <c r="I8516" s="489"/>
      <c r="J8516" s="1362"/>
      <c r="K8516" s="1362"/>
      <c r="L8516" s="1362"/>
    </row>
    <row r="8517" spans="1:12" x14ac:dyDescent="0.25">
      <c r="A8517" t="s">
        <v>17829</v>
      </c>
      <c r="B8517" t="s">
        <v>17830</v>
      </c>
      <c r="C8517" t="s">
        <v>149</v>
      </c>
      <c r="D8517" s="254">
        <v>37.090000000000003</v>
      </c>
      <c r="E8517">
        <v>8.4331999999999994</v>
      </c>
      <c r="F8517"/>
      <c r="G8517"/>
      <c r="H8517"/>
      <c r="I8517" s="489"/>
      <c r="J8517" s="1362"/>
      <c r="K8517" s="1362"/>
      <c r="L8517" s="1362"/>
    </row>
    <row r="8518" spans="1:12" x14ac:dyDescent="0.25">
      <c r="A8518" t="s">
        <v>17831</v>
      </c>
      <c r="B8518" t="s">
        <v>17832</v>
      </c>
      <c r="C8518" t="s">
        <v>149</v>
      </c>
      <c r="D8518" s="254">
        <v>1020.59</v>
      </c>
      <c r="E8518">
        <v>662.48080000000004</v>
      </c>
      <c r="F8518"/>
      <c r="G8518"/>
      <c r="H8518"/>
      <c r="I8518" s="489"/>
      <c r="J8518" s="1362"/>
      <c r="K8518" s="1362"/>
      <c r="L8518" s="1362"/>
    </row>
    <row r="8519" spans="1:12" x14ac:dyDescent="0.25">
      <c r="A8519" t="s">
        <v>17833</v>
      </c>
      <c r="B8519" t="s">
        <v>17834</v>
      </c>
      <c r="C8519" t="s">
        <v>149</v>
      </c>
      <c r="D8519" s="254">
        <v>66.39</v>
      </c>
      <c r="E8519">
        <v>56.511699999999998</v>
      </c>
      <c r="F8519"/>
      <c r="G8519"/>
      <c r="H8519"/>
      <c r="I8519" s="489"/>
      <c r="J8519" s="1362"/>
      <c r="K8519" s="1362"/>
      <c r="L8519" s="1362"/>
    </row>
    <row r="8520" spans="1:12" x14ac:dyDescent="0.25">
      <c r="A8520" t="s">
        <v>17835</v>
      </c>
      <c r="B8520" t="s">
        <v>17836</v>
      </c>
      <c r="C8520" t="s">
        <v>149</v>
      </c>
      <c r="D8520" s="254">
        <v>796.85</v>
      </c>
      <c r="E8520">
        <v>391.40940000000001</v>
      </c>
      <c r="F8520"/>
      <c r="G8520"/>
      <c r="H8520"/>
      <c r="I8520" s="489"/>
      <c r="J8520" s="1362"/>
      <c r="K8520" s="1362"/>
      <c r="L8520" s="1362"/>
    </row>
    <row r="8521" spans="1:12" x14ac:dyDescent="0.25">
      <c r="A8521" t="s">
        <v>17837</v>
      </c>
      <c r="B8521" t="s">
        <v>17838</v>
      </c>
      <c r="C8521" t="s">
        <v>149</v>
      </c>
      <c r="D8521" s="254">
        <v>1.64</v>
      </c>
      <c r="E8521">
        <v>0.96099999999999997</v>
      </c>
      <c r="F8521"/>
      <c r="G8521"/>
      <c r="H8521"/>
      <c r="I8521" s="489"/>
      <c r="J8521" s="1362"/>
      <c r="K8521" s="1362"/>
      <c r="L8521" s="1362"/>
    </row>
    <row r="8522" spans="1:12" x14ac:dyDescent="0.25">
      <c r="A8522" t="s">
        <v>17839</v>
      </c>
      <c r="B8522" t="s">
        <v>17840</v>
      </c>
      <c r="C8522" t="s">
        <v>149</v>
      </c>
      <c r="D8522" s="254">
        <v>216.56</v>
      </c>
      <c r="E8522">
        <v>141.59139999999999</v>
      </c>
      <c r="F8522"/>
      <c r="G8522"/>
      <c r="H8522"/>
      <c r="I8522" s="489"/>
      <c r="J8522" s="1362"/>
      <c r="K8522" s="1362"/>
      <c r="L8522" s="1362"/>
    </row>
    <row r="8523" spans="1:12" x14ac:dyDescent="0.25">
      <c r="A8523" t="s">
        <v>17841</v>
      </c>
      <c r="B8523" t="s">
        <v>17842</v>
      </c>
      <c r="C8523" t="s">
        <v>149</v>
      </c>
      <c r="D8523" s="254">
        <v>53.42</v>
      </c>
      <c r="E8523">
        <v>43.830199999999998</v>
      </c>
      <c r="F8523"/>
      <c r="G8523"/>
      <c r="H8523"/>
      <c r="I8523" s="489"/>
      <c r="J8523" s="1362"/>
      <c r="K8523" s="1362"/>
      <c r="L8523" s="1362"/>
    </row>
    <row r="8524" spans="1:12" x14ac:dyDescent="0.25">
      <c r="A8524" t="s">
        <v>17843</v>
      </c>
      <c r="B8524" t="s">
        <v>17844</v>
      </c>
      <c r="C8524" t="s">
        <v>149</v>
      </c>
      <c r="D8524" s="254">
        <v>840.71</v>
      </c>
      <c r="E8524">
        <v>383.9862</v>
      </c>
      <c r="F8524"/>
      <c r="G8524"/>
      <c r="H8524"/>
      <c r="I8524" s="489"/>
      <c r="J8524" s="1362"/>
      <c r="K8524" s="1362"/>
      <c r="L8524" s="1362"/>
    </row>
    <row r="8525" spans="1:12" x14ac:dyDescent="0.25">
      <c r="A8525" t="s">
        <v>17845</v>
      </c>
      <c r="B8525" t="s">
        <v>17846</v>
      </c>
      <c r="C8525" t="s">
        <v>149</v>
      </c>
      <c r="D8525" s="254">
        <v>1049.18</v>
      </c>
      <c r="E8525">
        <v>447.6266</v>
      </c>
      <c r="F8525"/>
      <c r="G8525"/>
      <c r="H8525"/>
      <c r="I8525" s="489"/>
      <c r="J8525" s="1362"/>
      <c r="K8525" s="1362"/>
      <c r="L8525" s="1362"/>
    </row>
    <row r="8526" spans="1:12" x14ac:dyDescent="0.25">
      <c r="A8526" t="s">
        <v>17847</v>
      </c>
      <c r="B8526" t="s">
        <v>17848</v>
      </c>
      <c r="C8526" t="s">
        <v>149</v>
      </c>
      <c r="D8526" s="254">
        <v>122.27</v>
      </c>
      <c r="E8526">
        <v>73.489099999999993</v>
      </c>
      <c r="F8526"/>
      <c r="G8526"/>
      <c r="H8526"/>
      <c r="I8526" s="489"/>
      <c r="J8526" s="1362"/>
      <c r="K8526" s="1362"/>
      <c r="L8526" s="1362"/>
    </row>
    <row r="8527" spans="1:12" x14ac:dyDescent="0.25">
      <c r="A8527" t="s">
        <v>17849</v>
      </c>
      <c r="B8527" t="s">
        <v>17850</v>
      </c>
      <c r="C8527" t="s">
        <v>149</v>
      </c>
      <c r="D8527" s="254">
        <v>38.729999999999997</v>
      </c>
      <c r="E8527">
        <v>26.9269</v>
      </c>
      <c r="F8527"/>
      <c r="G8527"/>
      <c r="H8527"/>
      <c r="I8527" s="489"/>
      <c r="J8527" s="1362"/>
      <c r="K8527" s="1362"/>
      <c r="L8527" s="1362"/>
    </row>
    <row r="8528" spans="1:12" x14ac:dyDescent="0.25">
      <c r="A8528" t="s">
        <v>17851</v>
      </c>
      <c r="B8528" t="s">
        <v>17852</v>
      </c>
      <c r="C8528" t="s">
        <v>149</v>
      </c>
      <c r="D8528" s="254">
        <v>7.86</v>
      </c>
      <c r="E8528">
        <v>4.9969999999999999</v>
      </c>
      <c r="F8528"/>
      <c r="G8528"/>
      <c r="H8528"/>
      <c r="I8528" s="489"/>
      <c r="J8528" s="1362"/>
      <c r="K8528" s="1362"/>
      <c r="L8528" s="1362"/>
    </row>
    <row r="8529" spans="1:12" x14ac:dyDescent="0.25">
      <c r="A8529" t="s">
        <v>17853</v>
      </c>
      <c r="B8529" t="s">
        <v>17854</v>
      </c>
      <c r="C8529" t="s">
        <v>149</v>
      </c>
      <c r="D8529" s="254">
        <v>14.75</v>
      </c>
      <c r="E8529">
        <v>9.3744999999999994</v>
      </c>
      <c r="F8529"/>
      <c r="G8529"/>
      <c r="H8529"/>
      <c r="I8529" s="489"/>
      <c r="J8529" s="1362"/>
      <c r="K8529" s="1362"/>
      <c r="L8529" s="1362"/>
    </row>
    <row r="8530" spans="1:12" x14ac:dyDescent="0.25">
      <c r="A8530" t="s">
        <v>17855</v>
      </c>
      <c r="B8530" t="s">
        <v>17856</v>
      </c>
      <c r="C8530" t="s">
        <v>149</v>
      </c>
      <c r="D8530" s="254">
        <v>24902.76</v>
      </c>
      <c r="E8530">
        <v>8133.2691999999997</v>
      </c>
      <c r="F8530"/>
      <c r="G8530"/>
      <c r="H8530"/>
      <c r="I8530" s="489"/>
      <c r="J8530" s="1362"/>
      <c r="K8530" s="1362"/>
      <c r="L8530" s="1362"/>
    </row>
    <row r="8531" spans="1:12" x14ac:dyDescent="0.25">
      <c r="A8531" t="s">
        <v>17857</v>
      </c>
      <c r="B8531" t="s">
        <v>17858</v>
      </c>
      <c r="C8531" t="s">
        <v>149</v>
      </c>
      <c r="D8531" s="254">
        <v>35835.379999999997</v>
      </c>
      <c r="E8531">
        <v>11596.633900000001</v>
      </c>
      <c r="F8531"/>
      <c r="G8531"/>
      <c r="H8531"/>
      <c r="I8531" s="489"/>
      <c r="J8531" s="1362"/>
      <c r="K8531" s="1362"/>
      <c r="L8531" s="1362"/>
    </row>
    <row r="8532" spans="1:12" x14ac:dyDescent="0.25">
      <c r="A8532" t="s">
        <v>17859</v>
      </c>
      <c r="B8532" t="s">
        <v>17860</v>
      </c>
      <c r="C8532" t="s">
        <v>149</v>
      </c>
      <c r="D8532" s="254">
        <v>46851.59</v>
      </c>
      <c r="E8532">
        <v>15059.556200000001</v>
      </c>
      <c r="F8532"/>
      <c r="G8532"/>
      <c r="H8532"/>
      <c r="I8532" s="489"/>
      <c r="J8532" s="1362"/>
      <c r="K8532" s="1362"/>
      <c r="L8532" s="1362"/>
    </row>
    <row r="8533" spans="1:12" x14ac:dyDescent="0.25">
      <c r="A8533" t="s">
        <v>17861</v>
      </c>
      <c r="B8533" t="s">
        <v>17862</v>
      </c>
      <c r="C8533" t="s">
        <v>149</v>
      </c>
      <c r="D8533" s="254">
        <v>410.86</v>
      </c>
      <c r="E8533">
        <v>86.7303</v>
      </c>
      <c r="F8533"/>
      <c r="G8533"/>
      <c r="H8533"/>
      <c r="I8533" s="489"/>
      <c r="J8533" s="1362"/>
      <c r="K8533" s="1362"/>
      <c r="L8533" s="1362"/>
    </row>
    <row r="8534" spans="1:12" x14ac:dyDescent="0.25">
      <c r="A8534" t="s">
        <v>17863</v>
      </c>
      <c r="B8534" t="s">
        <v>17864</v>
      </c>
      <c r="C8534" t="s">
        <v>149</v>
      </c>
      <c r="D8534" s="254">
        <v>3.36</v>
      </c>
      <c r="E8534">
        <v>2.0872000000000002</v>
      </c>
      <c r="F8534"/>
      <c r="G8534"/>
      <c r="H8534"/>
      <c r="I8534" s="489"/>
      <c r="J8534" s="1362"/>
      <c r="K8534" s="1362"/>
      <c r="L8534" s="1362"/>
    </row>
    <row r="8535" spans="1:12" x14ac:dyDescent="0.25">
      <c r="A8535" t="s">
        <v>17865</v>
      </c>
      <c r="B8535" t="s">
        <v>17866</v>
      </c>
      <c r="C8535" t="s">
        <v>149</v>
      </c>
      <c r="D8535" s="254">
        <v>135.01</v>
      </c>
      <c r="E8535">
        <v>21.2607</v>
      </c>
      <c r="F8535"/>
      <c r="G8535"/>
      <c r="H8535"/>
      <c r="I8535" s="489"/>
      <c r="J8535" s="1362"/>
      <c r="K8535" s="1362"/>
      <c r="L8535" s="1362"/>
    </row>
    <row r="8536" spans="1:12" x14ac:dyDescent="0.25">
      <c r="A8536" t="s">
        <v>17867</v>
      </c>
      <c r="B8536" t="s">
        <v>17868</v>
      </c>
      <c r="C8536" t="s">
        <v>149</v>
      </c>
      <c r="D8536" s="254">
        <v>0.75</v>
      </c>
      <c r="E8536">
        <v>0.44009999999999999</v>
      </c>
      <c r="F8536"/>
      <c r="G8536"/>
      <c r="H8536"/>
      <c r="I8536" s="489"/>
      <c r="J8536" s="1362"/>
      <c r="K8536" s="1362"/>
      <c r="L8536" s="1362"/>
    </row>
    <row r="8537" spans="1:12" x14ac:dyDescent="0.25">
      <c r="A8537" t="s">
        <v>17869</v>
      </c>
      <c r="B8537" t="s">
        <v>17870</v>
      </c>
      <c r="C8537" t="s">
        <v>149</v>
      </c>
      <c r="D8537" s="254">
        <v>72.849999999999994</v>
      </c>
      <c r="E8537">
        <v>58.248899999999999</v>
      </c>
      <c r="F8537"/>
      <c r="G8537"/>
      <c r="H8537"/>
      <c r="I8537" s="489"/>
      <c r="J8537" s="1362"/>
      <c r="K8537" s="1362"/>
      <c r="L8537" s="1362"/>
    </row>
    <row r="8538" spans="1:12" x14ac:dyDescent="0.25">
      <c r="A8538" t="s">
        <v>17871</v>
      </c>
      <c r="B8538" t="s">
        <v>17872</v>
      </c>
      <c r="C8538" t="s">
        <v>149</v>
      </c>
      <c r="D8538" s="254">
        <v>10.51</v>
      </c>
      <c r="E8538">
        <v>6.5327999999999999</v>
      </c>
      <c r="F8538"/>
      <c r="G8538"/>
      <c r="H8538"/>
      <c r="I8538" s="489"/>
      <c r="J8538" s="1362"/>
      <c r="K8538" s="1362"/>
      <c r="L8538" s="1362"/>
    </row>
    <row r="8539" spans="1:12" x14ac:dyDescent="0.25">
      <c r="A8539" t="s">
        <v>17873</v>
      </c>
      <c r="B8539" t="s">
        <v>17874</v>
      </c>
      <c r="C8539" t="s">
        <v>149</v>
      </c>
      <c r="D8539" s="254">
        <v>11.99</v>
      </c>
      <c r="E8539">
        <v>7.4518000000000004</v>
      </c>
      <c r="F8539"/>
      <c r="G8539"/>
      <c r="H8539"/>
      <c r="I8539" s="489"/>
      <c r="J8539" s="1362"/>
      <c r="K8539" s="1362"/>
      <c r="L8539" s="1362"/>
    </row>
    <row r="8540" spans="1:12" x14ac:dyDescent="0.25">
      <c r="A8540" t="s">
        <v>17875</v>
      </c>
      <c r="B8540" t="s">
        <v>17876</v>
      </c>
      <c r="C8540" t="s">
        <v>149</v>
      </c>
      <c r="D8540" s="254">
        <v>13.14</v>
      </c>
      <c r="E8540">
        <v>8.1681000000000008</v>
      </c>
      <c r="F8540"/>
      <c r="G8540"/>
      <c r="H8540"/>
      <c r="I8540" s="489"/>
      <c r="J8540" s="1362"/>
      <c r="K8540" s="1362"/>
      <c r="L8540" s="1362"/>
    </row>
    <row r="8541" spans="1:12" x14ac:dyDescent="0.25">
      <c r="A8541" t="s">
        <v>17877</v>
      </c>
      <c r="B8541" t="s">
        <v>17878</v>
      </c>
      <c r="C8541" t="s">
        <v>149</v>
      </c>
      <c r="D8541" s="254">
        <v>619.80999999999995</v>
      </c>
      <c r="E8541">
        <v>171.40309999999999</v>
      </c>
      <c r="F8541"/>
      <c r="G8541"/>
      <c r="H8541"/>
      <c r="I8541" s="489"/>
      <c r="J8541" s="1362"/>
      <c r="K8541" s="1362"/>
      <c r="L8541" s="1362"/>
    </row>
    <row r="8542" spans="1:12" x14ac:dyDescent="0.25">
      <c r="A8542" t="s">
        <v>17879</v>
      </c>
      <c r="B8542" t="s">
        <v>17880</v>
      </c>
      <c r="C8542" t="s">
        <v>149</v>
      </c>
      <c r="D8542" s="254">
        <v>856.56</v>
      </c>
      <c r="E8542">
        <v>188.0933</v>
      </c>
      <c r="F8542"/>
      <c r="G8542"/>
      <c r="H8542"/>
      <c r="I8542" s="489"/>
      <c r="J8542" s="1362"/>
      <c r="K8542" s="1362"/>
      <c r="L8542" s="1362"/>
    </row>
    <row r="8543" spans="1:12" x14ac:dyDescent="0.25">
      <c r="A8543" t="s">
        <v>17881</v>
      </c>
      <c r="B8543" t="s">
        <v>17882</v>
      </c>
      <c r="C8543" t="s">
        <v>149</v>
      </c>
      <c r="D8543" s="254">
        <v>1353.71</v>
      </c>
      <c r="E8543">
        <v>297.53460000000001</v>
      </c>
      <c r="F8543"/>
      <c r="G8543"/>
      <c r="H8543"/>
      <c r="I8543" s="489"/>
      <c r="J8543" s="1362"/>
      <c r="K8543" s="1362"/>
      <c r="L8543" s="1362"/>
    </row>
    <row r="8544" spans="1:12" x14ac:dyDescent="0.25">
      <c r="A8544" t="s">
        <v>17883</v>
      </c>
      <c r="B8544" t="s">
        <v>17884</v>
      </c>
      <c r="C8544" t="s">
        <v>149</v>
      </c>
      <c r="D8544" s="254">
        <v>2239.8200000000002</v>
      </c>
      <c r="E8544">
        <v>407.3777</v>
      </c>
      <c r="F8544"/>
      <c r="G8544"/>
      <c r="H8544"/>
      <c r="I8544" s="489"/>
      <c r="J8544" s="1362"/>
      <c r="K8544" s="1362"/>
      <c r="L8544" s="1362"/>
    </row>
    <row r="8545" spans="1:12" x14ac:dyDescent="0.25">
      <c r="A8545" t="s">
        <v>17885</v>
      </c>
      <c r="B8545" t="s">
        <v>17886</v>
      </c>
      <c r="C8545" t="s">
        <v>149</v>
      </c>
      <c r="D8545" s="254">
        <v>583.03</v>
      </c>
      <c r="E8545">
        <v>190.0624</v>
      </c>
      <c r="F8545"/>
      <c r="G8545"/>
      <c r="H8545"/>
      <c r="I8545" s="489"/>
      <c r="J8545" s="1362"/>
      <c r="K8545" s="1362"/>
      <c r="L8545" s="1362"/>
    </row>
    <row r="8546" spans="1:12" x14ac:dyDescent="0.25">
      <c r="A8546" t="s">
        <v>17887</v>
      </c>
      <c r="B8546" t="s">
        <v>17888</v>
      </c>
      <c r="C8546" t="s">
        <v>149</v>
      </c>
      <c r="D8546" s="254">
        <v>29.41</v>
      </c>
      <c r="E8546">
        <v>7.1315</v>
      </c>
      <c r="F8546"/>
      <c r="G8546"/>
      <c r="H8546"/>
      <c r="I8546" s="489"/>
      <c r="J8546" s="1362"/>
      <c r="K8546" s="1362"/>
      <c r="L8546" s="1362"/>
    </row>
    <row r="8547" spans="1:12" x14ac:dyDescent="0.25">
      <c r="A8547" t="s">
        <v>17889</v>
      </c>
      <c r="B8547" t="s">
        <v>17890</v>
      </c>
      <c r="C8547" t="s">
        <v>149</v>
      </c>
      <c r="D8547" s="254">
        <v>57.64</v>
      </c>
      <c r="E8547">
        <v>10.274900000000001</v>
      </c>
      <c r="F8547"/>
      <c r="G8547"/>
      <c r="H8547"/>
      <c r="I8547" s="489"/>
      <c r="J8547" s="1362"/>
      <c r="K8547" s="1362"/>
      <c r="L8547" s="1362"/>
    </row>
    <row r="8548" spans="1:12" x14ac:dyDescent="0.25">
      <c r="A8548" t="s">
        <v>17891</v>
      </c>
      <c r="B8548" t="s">
        <v>17892</v>
      </c>
      <c r="C8548" t="s">
        <v>149</v>
      </c>
      <c r="D8548" s="254">
        <v>274.27</v>
      </c>
      <c r="E8548">
        <v>144.49459999999999</v>
      </c>
      <c r="F8548"/>
      <c r="G8548"/>
      <c r="H8548"/>
      <c r="I8548" s="489"/>
      <c r="J8548" s="1362"/>
      <c r="K8548" s="1362"/>
      <c r="L8548" s="1362"/>
    </row>
    <row r="8549" spans="1:12" x14ac:dyDescent="0.25">
      <c r="A8549" t="s">
        <v>17893</v>
      </c>
      <c r="B8549" t="s">
        <v>17894</v>
      </c>
      <c r="C8549" t="s">
        <v>149</v>
      </c>
      <c r="D8549" s="254">
        <v>0.46</v>
      </c>
      <c r="E8549">
        <v>0.31240000000000001</v>
      </c>
      <c r="F8549"/>
      <c r="G8549"/>
      <c r="H8549"/>
      <c r="I8549" s="489"/>
      <c r="J8549" s="1362"/>
      <c r="K8549" s="1362"/>
      <c r="L8549" s="1362"/>
    </row>
    <row r="8550" spans="1:12" x14ac:dyDescent="0.25">
      <c r="A8550" t="s">
        <v>17895</v>
      </c>
      <c r="B8550" t="s">
        <v>17896</v>
      </c>
      <c r="C8550" t="s">
        <v>149</v>
      </c>
      <c r="D8550" s="254">
        <v>49.45</v>
      </c>
      <c r="E8550">
        <v>9.6884999999999994</v>
      </c>
      <c r="F8550"/>
      <c r="G8550"/>
      <c r="H8550"/>
      <c r="I8550" s="489"/>
      <c r="J8550" s="1362"/>
      <c r="K8550" s="1362"/>
      <c r="L8550" s="1362"/>
    </row>
    <row r="8551" spans="1:12" x14ac:dyDescent="0.25">
      <c r="A8551" t="s">
        <v>17897</v>
      </c>
      <c r="B8551" t="s">
        <v>17898</v>
      </c>
      <c r="C8551" t="s">
        <v>149</v>
      </c>
      <c r="D8551" s="254">
        <v>10.53</v>
      </c>
      <c r="E8551">
        <v>1.1356999999999999</v>
      </c>
      <c r="F8551"/>
      <c r="G8551"/>
      <c r="H8551"/>
      <c r="I8551" s="489"/>
      <c r="J8551" s="1362"/>
      <c r="K8551" s="1362"/>
      <c r="L8551" s="1362"/>
    </row>
    <row r="8552" spans="1:12" x14ac:dyDescent="0.25">
      <c r="A8552" t="s">
        <v>17899</v>
      </c>
      <c r="B8552" t="s">
        <v>17900</v>
      </c>
      <c r="C8552" t="s">
        <v>149</v>
      </c>
      <c r="D8552" s="254">
        <v>342.6</v>
      </c>
      <c r="E8552">
        <v>49.832900000000002</v>
      </c>
      <c r="F8552"/>
      <c r="G8552"/>
      <c r="H8552"/>
      <c r="I8552" s="489"/>
      <c r="J8552" s="1362"/>
      <c r="K8552" s="1362"/>
      <c r="L8552" s="1362"/>
    </row>
    <row r="8553" spans="1:12" x14ac:dyDescent="0.25">
      <c r="A8553" t="s">
        <v>17901</v>
      </c>
      <c r="B8553" t="s">
        <v>17902</v>
      </c>
      <c r="C8553" t="s">
        <v>149</v>
      </c>
      <c r="D8553" s="254">
        <v>66.8</v>
      </c>
      <c r="E8553">
        <v>13.399699999999999</v>
      </c>
      <c r="F8553"/>
      <c r="G8553"/>
      <c r="H8553"/>
      <c r="I8553" s="489"/>
      <c r="J8553" s="1362"/>
      <c r="K8553" s="1362"/>
      <c r="L8553" s="1362"/>
    </row>
    <row r="8554" spans="1:12" x14ac:dyDescent="0.25">
      <c r="A8554" t="s">
        <v>17903</v>
      </c>
      <c r="B8554" t="s">
        <v>17904</v>
      </c>
      <c r="C8554" t="s">
        <v>149</v>
      </c>
      <c r="D8554" s="254">
        <v>496.73</v>
      </c>
      <c r="E8554">
        <v>238.45490000000001</v>
      </c>
      <c r="F8554"/>
      <c r="G8554"/>
      <c r="H8554"/>
      <c r="I8554" s="489"/>
      <c r="J8554" s="1362"/>
      <c r="K8554" s="1362"/>
      <c r="L8554" s="1362"/>
    </row>
    <row r="8555" spans="1:12" x14ac:dyDescent="0.25">
      <c r="A8555" t="s">
        <v>17905</v>
      </c>
      <c r="B8555" t="s">
        <v>17906</v>
      </c>
      <c r="C8555" t="s">
        <v>149</v>
      </c>
      <c r="D8555" s="254">
        <v>513.71</v>
      </c>
      <c r="E8555">
        <v>66.914699999999996</v>
      </c>
      <c r="F8555"/>
      <c r="G8555"/>
      <c r="H8555"/>
      <c r="I8555" s="489"/>
      <c r="J8555" s="1362"/>
      <c r="K8555" s="1362"/>
      <c r="L8555" s="1362"/>
    </row>
    <row r="8556" spans="1:12" x14ac:dyDescent="0.25">
      <c r="A8556" t="s">
        <v>17907</v>
      </c>
      <c r="B8556" t="s">
        <v>17908</v>
      </c>
      <c r="C8556" t="s">
        <v>149</v>
      </c>
      <c r="D8556" s="254">
        <v>634.54999999999995</v>
      </c>
      <c r="E8556">
        <v>308.69709999999998</v>
      </c>
      <c r="F8556"/>
      <c r="G8556"/>
      <c r="H8556"/>
      <c r="I8556" s="489"/>
      <c r="J8556" s="1362"/>
      <c r="K8556" s="1362"/>
      <c r="L8556" s="1362"/>
    </row>
    <row r="8557" spans="1:12" x14ac:dyDescent="0.25">
      <c r="A8557" t="s">
        <v>17909</v>
      </c>
      <c r="B8557" t="s">
        <v>17910</v>
      </c>
      <c r="C8557" t="s">
        <v>149</v>
      </c>
      <c r="D8557" s="254">
        <v>634.54999999999995</v>
      </c>
      <c r="E8557">
        <v>308.69709999999998</v>
      </c>
      <c r="F8557"/>
      <c r="G8557"/>
      <c r="H8557"/>
      <c r="I8557" s="489"/>
      <c r="J8557" s="1362"/>
      <c r="K8557" s="1362"/>
      <c r="L8557" s="1362"/>
    </row>
    <row r="8558" spans="1:12" x14ac:dyDescent="0.25">
      <c r="A8558" t="s">
        <v>17911</v>
      </c>
      <c r="B8558" t="s">
        <v>17912</v>
      </c>
      <c r="C8558" t="s">
        <v>149</v>
      </c>
      <c r="D8558" s="254">
        <v>632.94000000000005</v>
      </c>
      <c r="E8558">
        <v>307.87310000000002</v>
      </c>
      <c r="F8558"/>
      <c r="G8558"/>
      <c r="H8558"/>
      <c r="I8558" s="489"/>
      <c r="J8558" s="1362"/>
      <c r="K8558" s="1362"/>
      <c r="L8558" s="1362"/>
    </row>
    <row r="8559" spans="1:12" x14ac:dyDescent="0.25">
      <c r="A8559" t="s">
        <v>17913</v>
      </c>
      <c r="B8559" t="s">
        <v>17914</v>
      </c>
      <c r="C8559" t="s">
        <v>149</v>
      </c>
      <c r="D8559" s="254">
        <v>632.94000000000005</v>
      </c>
      <c r="E8559">
        <v>307.87310000000002</v>
      </c>
      <c r="F8559"/>
      <c r="G8559"/>
      <c r="H8559"/>
      <c r="I8559" s="489"/>
      <c r="J8559" s="1362"/>
      <c r="K8559" s="1362"/>
      <c r="L8559" s="1362"/>
    </row>
    <row r="8560" spans="1:12" x14ac:dyDescent="0.25">
      <c r="A8560" t="s">
        <v>17915</v>
      </c>
      <c r="B8560" t="s">
        <v>17916</v>
      </c>
      <c r="C8560" t="s">
        <v>149</v>
      </c>
      <c r="D8560" s="254">
        <v>29.63</v>
      </c>
      <c r="E8560">
        <v>27.572800000000001</v>
      </c>
      <c r="F8560"/>
      <c r="G8560"/>
      <c r="H8560"/>
      <c r="I8560" s="489"/>
      <c r="J8560" s="1362"/>
      <c r="K8560" s="1362"/>
      <c r="L8560" s="1362"/>
    </row>
    <row r="8561" spans="1:12" x14ac:dyDescent="0.25">
      <c r="A8561" t="s">
        <v>13729</v>
      </c>
      <c r="B8561" t="s">
        <v>17917</v>
      </c>
      <c r="C8561" t="s">
        <v>149</v>
      </c>
      <c r="D8561" s="254">
        <v>426.39</v>
      </c>
      <c r="E8561">
        <v>202.6061</v>
      </c>
      <c r="F8561"/>
      <c r="G8561"/>
      <c r="H8561"/>
      <c r="I8561" s="489"/>
      <c r="J8561" s="1362"/>
      <c r="K8561" s="1362"/>
      <c r="L8561" s="1362"/>
    </row>
    <row r="8562" spans="1:12" x14ac:dyDescent="0.25">
      <c r="A8562" t="s">
        <v>17918</v>
      </c>
      <c r="B8562" t="s">
        <v>17919</v>
      </c>
      <c r="C8562" t="s">
        <v>149</v>
      </c>
      <c r="D8562" s="254">
        <v>62.74</v>
      </c>
      <c r="E8562">
        <v>11.129899999999999</v>
      </c>
      <c r="F8562"/>
      <c r="G8562"/>
      <c r="H8562"/>
      <c r="I8562" s="489"/>
      <c r="J8562" s="1362"/>
      <c r="K8562" s="1362"/>
      <c r="L8562" s="1362"/>
    </row>
    <row r="8563" spans="1:12" x14ac:dyDescent="0.25">
      <c r="A8563" t="s">
        <v>17920</v>
      </c>
      <c r="B8563" t="s">
        <v>17921</v>
      </c>
      <c r="C8563" t="s">
        <v>149</v>
      </c>
      <c r="D8563" s="254">
        <v>1.05</v>
      </c>
      <c r="E8563">
        <v>0.5806</v>
      </c>
      <c r="F8563"/>
      <c r="G8563"/>
      <c r="H8563"/>
      <c r="I8563" s="489"/>
      <c r="J8563" s="1362"/>
      <c r="K8563" s="1362"/>
      <c r="L8563" s="1362"/>
    </row>
    <row r="8564" spans="1:12" x14ac:dyDescent="0.25">
      <c r="A8564" t="s">
        <v>17922</v>
      </c>
      <c r="B8564" t="s">
        <v>17923</v>
      </c>
      <c r="C8564" t="s">
        <v>149</v>
      </c>
      <c r="D8564" s="254">
        <v>682.39</v>
      </c>
      <c r="E8564">
        <v>328.43680000000001</v>
      </c>
      <c r="F8564"/>
      <c r="G8564"/>
      <c r="H8564"/>
      <c r="I8564" s="489"/>
      <c r="J8564" s="1362"/>
      <c r="K8564" s="1362"/>
      <c r="L8564" s="1362"/>
    </row>
    <row r="8565" spans="1:12" x14ac:dyDescent="0.25">
      <c r="A8565" t="s">
        <v>17924</v>
      </c>
      <c r="B8565" t="s">
        <v>17925</v>
      </c>
      <c r="C8565" t="s">
        <v>149</v>
      </c>
      <c r="D8565" s="254">
        <v>3.25</v>
      </c>
      <c r="E8565">
        <v>2.0209000000000001</v>
      </c>
      <c r="F8565"/>
      <c r="G8565"/>
      <c r="H8565"/>
      <c r="I8565" s="489"/>
      <c r="J8565" s="1362"/>
      <c r="K8565" s="1362"/>
      <c r="L8565" s="1362"/>
    </row>
    <row r="8566" spans="1:12" x14ac:dyDescent="0.25">
      <c r="A8566" t="s">
        <v>17926</v>
      </c>
      <c r="B8566" t="s">
        <v>17927</v>
      </c>
      <c r="C8566" t="s">
        <v>149</v>
      </c>
      <c r="D8566" s="254">
        <v>256.52</v>
      </c>
      <c r="E8566">
        <v>38.212899999999998</v>
      </c>
      <c r="F8566"/>
      <c r="G8566"/>
      <c r="H8566"/>
      <c r="I8566" s="489"/>
      <c r="J8566" s="1362"/>
      <c r="K8566" s="1362"/>
      <c r="L8566" s="1362"/>
    </row>
    <row r="8567" spans="1:12" x14ac:dyDescent="0.25">
      <c r="A8567" t="s">
        <v>17928</v>
      </c>
      <c r="B8567" t="s">
        <v>17929</v>
      </c>
      <c r="C8567" t="s">
        <v>149</v>
      </c>
      <c r="D8567" s="254">
        <v>200.98</v>
      </c>
      <c r="E8567">
        <v>132.90479999999999</v>
      </c>
      <c r="F8567"/>
      <c r="G8567"/>
      <c r="H8567"/>
      <c r="I8567" s="489"/>
      <c r="J8567" s="1362"/>
      <c r="K8567" s="1362"/>
      <c r="L8567" s="1362"/>
    </row>
    <row r="8568" spans="1:12" x14ac:dyDescent="0.25">
      <c r="A8568" t="s">
        <v>17930</v>
      </c>
      <c r="B8568" t="s">
        <v>17931</v>
      </c>
      <c r="C8568" t="s">
        <v>149</v>
      </c>
      <c r="D8568" s="254">
        <v>84.86</v>
      </c>
      <c r="E8568">
        <v>70.873900000000006</v>
      </c>
      <c r="F8568"/>
      <c r="G8568"/>
      <c r="H8568"/>
      <c r="I8568" s="489"/>
      <c r="J8568" s="1362"/>
      <c r="K8568" s="1362"/>
      <c r="L8568" s="1362"/>
    </row>
    <row r="8569" spans="1:12" x14ac:dyDescent="0.25">
      <c r="A8569" t="s">
        <v>17932</v>
      </c>
      <c r="B8569" t="s">
        <v>17933</v>
      </c>
      <c r="C8569" t="s">
        <v>149</v>
      </c>
      <c r="D8569" s="254">
        <v>0.87</v>
      </c>
      <c r="E8569">
        <v>0.48170000000000002</v>
      </c>
      <c r="F8569"/>
      <c r="G8569"/>
      <c r="H8569"/>
      <c r="I8569" s="489"/>
      <c r="J8569" s="1362"/>
      <c r="K8569" s="1362"/>
      <c r="L8569" s="1362"/>
    </row>
    <row r="8570" spans="1:12" x14ac:dyDescent="0.25">
      <c r="A8570" t="s">
        <v>17934</v>
      </c>
      <c r="B8570" t="s">
        <v>17935</v>
      </c>
      <c r="C8570" t="s">
        <v>149</v>
      </c>
      <c r="D8570" s="254">
        <v>266.64999999999998</v>
      </c>
      <c r="E8570">
        <v>45.209299999999999</v>
      </c>
      <c r="F8570"/>
      <c r="G8570"/>
      <c r="H8570"/>
      <c r="I8570" s="489"/>
      <c r="J8570" s="1362"/>
      <c r="K8570" s="1362"/>
      <c r="L8570" s="1362"/>
    </row>
    <row r="8571" spans="1:12" x14ac:dyDescent="0.25">
      <c r="A8571" t="s">
        <v>17936</v>
      </c>
      <c r="B8571" t="s">
        <v>17937</v>
      </c>
      <c r="C8571" t="s">
        <v>149</v>
      </c>
      <c r="D8571" s="254">
        <v>24.4</v>
      </c>
      <c r="E8571">
        <v>23.574200000000001</v>
      </c>
      <c r="F8571"/>
      <c r="G8571"/>
      <c r="H8571"/>
      <c r="I8571" s="489"/>
      <c r="J8571" s="1362"/>
      <c r="K8571" s="1362"/>
      <c r="L8571" s="1362"/>
    </row>
    <row r="8572" spans="1:12" x14ac:dyDescent="0.25">
      <c r="A8572" t="s">
        <v>17938</v>
      </c>
      <c r="B8572" t="s">
        <v>17939</v>
      </c>
      <c r="C8572" t="s">
        <v>149</v>
      </c>
      <c r="D8572" s="254">
        <v>1467.39</v>
      </c>
      <c r="E8572">
        <v>474.15750000000003</v>
      </c>
      <c r="F8572"/>
      <c r="G8572"/>
      <c r="H8572"/>
      <c r="I8572" s="489"/>
      <c r="J8572" s="1362"/>
      <c r="K8572" s="1362"/>
      <c r="L8572" s="1362"/>
    </row>
    <row r="8573" spans="1:12" x14ac:dyDescent="0.25">
      <c r="A8573" t="s">
        <v>17940</v>
      </c>
      <c r="B8573" t="s">
        <v>17941</v>
      </c>
      <c r="C8573" t="s">
        <v>149</v>
      </c>
      <c r="D8573" s="254">
        <v>292.45999999999998</v>
      </c>
      <c r="E8573">
        <v>89.884500000000003</v>
      </c>
      <c r="F8573"/>
      <c r="G8573"/>
      <c r="H8573"/>
      <c r="I8573" s="489"/>
      <c r="J8573" s="1362"/>
      <c r="K8573" s="1362"/>
      <c r="L8573" s="1362"/>
    </row>
    <row r="8574" spans="1:12" x14ac:dyDescent="0.25">
      <c r="A8574" t="s">
        <v>17942</v>
      </c>
      <c r="B8574" t="s">
        <v>17943</v>
      </c>
      <c r="C8574" t="s">
        <v>149</v>
      </c>
      <c r="D8574" s="254">
        <v>100.94</v>
      </c>
      <c r="E8574">
        <v>50.4208</v>
      </c>
      <c r="F8574"/>
      <c r="G8574"/>
      <c r="H8574"/>
      <c r="I8574" s="489"/>
      <c r="J8574" s="1362"/>
      <c r="K8574" s="1362"/>
      <c r="L8574" s="1362"/>
    </row>
    <row r="8575" spans="1:12" x14ac:dyDescent="0.25">
      <c r="A8575" t="s">
        <v>17944</v>
      </c>
      <c r="B8575" t="s">
        <v>17945</v>
      </c>
      <c r="C8575" t="s">
        <v>149</v>
      </c>
      <c r="D8575" s="254">
        <v>0.86</v>
      </c>
      <c r="E8575">
        <v>0.47370000000000001</v>
      </c>
      <c r="F8575"/>
      <c r="G8575"/>
      <c r="H8575"/>
      <c r="I8575" s="489"/>
      <c r="J8575" s="1362"/>
      <c r="K8575" s="1362"/>
      <c r="L8575" s="1362"/>
    </row>
    <row r="8576" spans="1:12" x14ac:dyDescent="0.25">
      <c r="A8576" t="s">
        <v>17946</v>
      </c>
      <c r="B8576" t="s">
        <v>17947</v>
      </c>
      <c r="C8576" t="s">
        <v>149</v>
      </c>
      <c r="D8576" s="254">
        <v>115.08</v>
      </c>
      <c r="E8576">
        <v>47.589799999999997</v>
      </c>
      <c r="F8576"/>
      <c r="G8576"/>
      <c r="H8576"/>
      <c r="I8576" s="489"/>
      <c r="J8576" s="1362"/>
      <c r="K8576" s="1362"/>
      <c r="L8576" s="1362"/>
    </row>
    <row r="8577" spans="1:12" x14ac:dyDescent="0.25">
      <c r="A8577" t="s">
        <v>17948</v>
      </c>
      <c r="B8577" t="s">
        <v>17949</v>
      </c>
      <c r="C8577" t="s">
        <v>149</v>
      </c>
      <c r="D8577" s="254">
        <v>196.85</v>
      </c>
      <c r="E8577">
        <v>71.727500000000006</v>
      </c>
      <c r="F8577"/>
      <c r="G8577"/>
      <c r="H8577"/>
      <c r="I8577" s="489"/>
      <c r="J8577" s="1362"/>
      <c r="K8577" s="1362"/>
      <c r="L8577" s="1362"/>
    </row>
    <row r="8578" spans="1:12" x14ac:dyDescent="0.25">
      <c r="A8578" t="s">
        <v>17950</v>
      </c>
      <c r="B8578" t="s">
        <v>17951</v>
      </c>
      <c r="C8578" t="s">
        <v>149</v>
      </c>
      <c r="D8578" s="254">
        <v>1116.1099999999999</v>
      </c>
      <c r="E8578">
        <v>590.56539999999995</v>
      </c>
      <c r="F8578"/>
      <c r="G8578"/>
      <c r="H8578"/>
      <c r="I8578" s="489"/>
      <c r="J8578" s="1362"/>
      <c r="K8578" s="1362"/>
      <c r="L8578" s="1362"/>
    </row>
    <row r="8579" spans="1:12" x14ac:dyDescent="0.25">
      <c r="A8579" t="s">
        <v>17952</v>
      </c>
      <c r="B8579" t="s">
        <v>17953</v>
      </c>
      <c r="C8579" t="s">
        <v>149</v>
      </c>
      <c r="D8579" s="254">
        <v>68.709999999999994</v>
      </c>
      <c r="E8579">
        <v>53.168100000000003</v>
      </c>
      <c r="F8579"/>
      <c r="G8579"/>
      <c r="H8579"/>
      <c r="I8579" s="489"/>
      <c r="J8579" s="1362"/>
      <c r="K8579" s="1362"/>
      <c r="L8579" s="1362"/>
    </row>
    <row r="8580" spans="1:12" x14ac:dyDescent="0.25">
      <c r="A8580" t="s">
        <v>17954</v>
      </c>
      <c r="B8580" t="s">
        <v>17955</v>
      </c>
      <c r="C8580" t="s">
        <v>149</v>
      </c>
      <c r="D8580" s="254">
        <v>32.07</v>
      </c>
      <c r="E8580">
        <v>30.094899999999999</v>
      </c>
      <c r="F8580"/>
      <c r="G8580"/>
      <c r="H8580"/>
      <c r="I8580" s="489"/>
      <c r="J8580" s="1362"/>
      <c r="K8580" s="1362"/>
      <c r="L8580" s="1362"/>
    </row>
    <row r="8581" spans="1:12" x14ac:dyDescent="0.25">
      <c r="A8581" t="s">
        <v>17956</v>
      </c>
      <c r="B8581" t="s">
        <v>17957</v>
      </c>
      <c r="C8581" t="s">
        <v>149</v>
      </c>
      <c r="D8581" s="254">
        <v>26.59</v>
      </c>
      <c r="E8581">
        <v>24.911999999999999</v>
      </c>
      <c r="F8581"/>
      <c r="G8581"/>
      <c r="H8581"/>
      <c r="I8581" s="489"/>
      <c r="J8581" s="1362"/>
      <c r="K8581" s="1362"/>
      <c r="L8581" s="1362"/>
    </row>
    <row r="8582" spans="1:12" x14ac:dyDescent="0.25">
      <c r="A8582" t="s">
        <v>17958</v>
      </c>
      <c r="B8582" t="s">
        <v>17959</v>
      </c>
      <c r="C8582" t="s">
        <v>149</v>
      </c>
      <c r="D8582" s="254">
        <v>156.05000000000001</v>
      </c>
      <c r="E8582">
        <v>55.682299999999998</v>
      </c>
      <c r="F8582"/>
      <c r="G8582"/>
      <c r="H8582"/>
      <c r="I8582" s="489"/>
      <c r="J8582" s="1362"/>
      <c r="K8582" s="1362"/>
      <c r="L8582" s="1362"/>
    </row>
    <row r="8583" spans="1:12" x14ac:dyDescent="0.25">
      <c r="A8583" t="s">
        <v>17960</v>
      </c>
      <c r="B8583" t="s">
        <v>17961</v>
      </c>
      <c r="C8583" t="s">
        <v>149</v>
      </c>
      <c r="D8583" s="254">
        <v>210.9</v>
      </c>
      <c r="E8583">
        <v>69.349299999999999</v>
      </c>
      <c r="F8583"/>
      <c r="G8583"/>
      <c r="H8583"/>
      <c r="I8583" s="489"/>
      <c r="J8583" s="1362"/>
      <c r="K8583" s="1362"/>
      <c r="L8583" s="1362"/>
    </row>
    <row r="8584" spans="1:12" x14ac:dyDescent="0.25">
      <c r="A8584" t="s">
        <v>17962</v>
      </c>
      <c r="B8584" t="s">
        <v>17963</v>
      </c>
      <c r="C8584" t="s">
        <v>149</v>
      </c>
      <c r="D8584" s="254">
        <v>614.71</v>
      </c>
      <c r="E8584">
        <v>220.1583</v>
      </c>
      <c r="F8584"/>
      <c r="G8584"/>
      <c r="H8584"/>
      <c r="I8584" s="489"/>
      <c r="J8584" s="1362"/>
      <c r="K8584" s="1362"/>
      <c r="L8584" s="1362"/>
    </row>
    <row r="8585" spans="1:12" x14ac:dyDescent="0.25">
      <c r="A8585" t="s">
        <v>17964</v>
      </c>
      <c r="B8585" t="s">
        <v>17965</v>
      </c>
      <c r="C8585" t="s">
        <v>149</v>
      </c>
      <c r="D8585" s="254">
        <v>27.34</v>
      </c>
      <c r="E8585">
        <v>25.1707</v>
      </c>
      <c r="F8585"/>
      <c r="G8585"/>
      <c r="H8585"/>
      <c r="I8585" s="489"/>
      <c r="J8585" s="1362"/>
      <c r="K8585" s="1362"/>
      <c r="L8585" s="1362"/>
    </row>
    <row r="8586" spans="1:12" x14ac:dyDescent="0.25">
      <c r="A8586" t="s">
        <v>17966</v>
      </c>
      <c r="B8586" t="s">
        <v>17967</v>
      </c>
      <c r="C8586" t="s">
        <v>149</v>
      </c>
      <c r="D8586" s="254">
        <v>3.36</v>
      </c>
      <c r="E8586">
        <v>2.0872000000000002</v>
      </c>
      <c r="F8586"/>
      <c r="G8586"/>
      <c r="H8586"/>
      <c r="I8586" s="489"/>
      <c r="J8586" s="1362"/>
      <c r="K8586" s="1362"/>
      <c r="L8586" s="1362"/>
    </row>
    <row r="8587" spans="1:12" x14ac:dyDescent="0.25">
      <c r="A8587" t="s">
        <v>17968</v>
      </c>
      <c r="B8587" t="s">
        <v>17969</v>
      </c>
      <c r="C8587" t="s">
        <v>149</v>
      </c>
      <c r="D8587" s="254">
        <v>29.87</v>
      </c>
      <c r="E8587">
        <v>26.566600000000001</v>
      </c>
      <c r="F8587"/>
      <c r="G8587"/>
      <c r="H8587"/>
      <c r="I8587" s="489"/>
      <c r="J8587" s="1362"/>
      <c r="K8587" s="1362"/>
      <c r="L8587" s="1362"/>
    </row>
    <row r="8588" spans="1:12" x14ac:dyDescent="0.25">
      <c r="A8588" t="s">
        <v>17970</v>
      </c>
      <c r="B8588" t="s">
        <v>17971</v>
      </c>
      <c r="C8588" t="s">
        <v>149</v>
      </c>
      <c r="D8588" s="254">
        <v>25.1</v>
      </c>
      <c r="E8588">
        <v>24.044</v>
      </c>
      <c r="F8588"/>
      <c r="G8588"/>
      <c r="H8588"/>
      <c r="I8588" s="489"/>
      <c r="J8588" s="1362"/>
      <c r="K8588" s="1362"/>
      <c r="L8588" s="1362"/>
    </row>
    <row r="8589" spans="1:12" x14ac:dyDescent="0.25">
      <c r="A8589" t="s">
        <v>17972</v>
      </c>
      <c r="B8589" t="s">
        <v>17973</v>
      </c>
      <c r="C8589" t="s">
        <v>149</v>
      </c>
      <c r="D8589" s="254">
        <v>25.32</v>
      </c>
      <c r="E8589">
        <v>24.0792</v>
      </c>
      <c r="F8589"/>
      <c r="G8589"/>
      <c r="H8589"/>
      <c r="I8589" s="489"/>
      <c r="J8589" s="1362"/>
      <c r="K8589" s="1362"/>
      <c r="L8589" s="1362"/>
    </row>
    <row r="8590" spans="1:12" x14ac:dyDescent="0.25">
      <c r="A8590" t="s">
        <v>17974</v>
      </c>
      <c r="B8590" t="s">
        <v>17975</v>
      </c>
      <c r="C8590" t="s">
        <v>149</v>
      </c>
      <c r="D8590" s="254">
        <v>24.46</v>
      </c>
      <c r="E8590">
        <v>23.607900000000001</v>
      </c>
      <c r="F8590"/>
      <c r="G8590"/>
      <c r="H8590"/>
      <c r="I8590" s="489"/>
      <c r="J8590" s="1362"/>
      <c r="K8590" s="1362"/>
      <c r="L8590" s="1362"/>
    </row>
    <row r="8591" spans="1:12" x14ac:dyDescent="0.25">
      <c r="A8591" t="s">
        <v>17976</v>
      </c>
      <c r="B8591" t="s">
        <v>17977</v>
      </c>
      <c r="C8591" t="s">
        <v>149</v>
      </c>
      <c r="D8591" s="254">
        <v>40.17</v>
      </c>
      <c r="E8591">
        <v>26.762599999999999</v>
      </c>
      <c r="F8591"/>
      <c r="G8591"/>
      <c r="H8591"/>
      <c r="I8591" s="489"/>
      <c r="J8591" s="1362"/>
      <c r="K8591" s="1362"/>
      <c r="L8591" s="1362"/>
    </row>
    <row r="8592" spans="1:12" x14ac:dyDescent="0.25">
      <c r="A8592" t="s">
        <v>17978</v>
      </c>
      <c r="B8592" t="s">
        <v>17979</v>
      </c>
      <c r="C8592" t="s">
        <v>149</v>
      </c>
      <c r="D8592" s="254">
        <v>3326.85</v>
      </c>
      <c r="E8592">
        <v>1860.7117000000001</v>
      </c>
      <c r="F8592"/>
      <c r="G8592"/>
      <c r="H8592"/>
      <c r="I8592" s="489"/>
      <c r="J8592" s="1362"/>
      <c r="K8592" s="1362"/>
      <c r="L8592" s="1362"/>
    </row>
    <row r="8593" spans="1:12" x14ac:dyDescent="0.25">
      <c r="A8593" t="s">
        <v>17980</v>
      </c>
      <c r="B8593" t="s">
        <v>17981</v>
      </c>
      <c r="C8593" t="s">
        <v>149</v>
      </c>
      <c r="D8593" s="254">
        <v>1780.93</v>
      </c>
      <c r="E8593">
        <v>929.30029999999999</v>
      </c>
      <c r="F8593"/>
      <c r="G8593"/>
      <c r="H8593"/>
      <c r="I8593" s="489"/>
      <c r="J8593" s="1362"/>
      <c r="K8593" s="1362"/>
      <c r="L8593" s="1362"/>
    </row>
    <row r="8594" spans="1:12" x14ac:dyDescent="0.25">
      <c r="A8594" t="s">
        <v>17982</v>
      </c>
      <c r="B8594" t="s">
        <v>17983</v>
      </c>
      <c r="C8594" t="s">
        <v>149</v>
      </c>
      <c r="D8594" s="254">
        <v>823.19</v>
      </c>
      <c r="E8594">
        <v>273.649</v>
      </c>
      <c r="F8594"/>
      <c r="G8594"/>
      <c r="H8594"/>
      <c r="I8594" s="489"/>
      <c r="J8594" s="1362"/>
      <c r="K8594" s="1362"/>
      <c r="L8594" s="1362"/>
    </row>
    <row r="8595" spans="1:12" x14ac:dyDescent="0.25">
      <c r="A8595" t="s">
        <v>17984</v>
      </c>
      <c r="B8595" t="s">
        <v>17985</v>
      </c>
      <c r="C8595" t="s">
        <v>149</v>
      </c>
      <c r="D8595" s="254">
        <v>39.94</v>
      </c>
      <c r="E8595">
        <v>38.967199999999998</v>
      </c>
      <c r="F8595"/>
      <c r="G8595"/>
      <c r="H8595"/>
      <c r="I8595" s="489"/>
      <c r="J8595" s="1362"/>
      <c r="K8595" s="1362"/>
      <c r="L8595" s="1362"/>
    </row>
    <row r="8596" spans="1:12" x14ac:dyDescent="0.25">
      <c r="A8596" t="s">
        <v>17986</v>
      </c>
      <c r="B8596" t="s">
        <v>17987</v>
      </c>
      <c r="C8596" t="s">
        <v>149</v>
      </c>
      <c r="D8596" s="254">
        <v>0.15</v>
      </c>
      <c r="E8596">
        <v>0.1021</v>
      </c>
      <c r="F8596"/>
      <c r="G8596"/>
      <c r="H8596"/>
      <c r="I8596" s="489"/>
      <c r="J8596" s="1362"/>
      <c r="K8596" s="1362"/>
      <c r="L8596" s="1362"/>
    </row>
    <row r="8597" spans="1:12" x14ac:dyDescent="0.25">
      <c r="A8597" t="s">
        <v>17988</v>
      </c>
      <c r="B8597" t="s">
        <v>17989</v>
      </c>
      <c r="C8597" t="s">
        <v>149</v>
      </c>
      <c r="D8597" s="254">
        <v>955.64</v>
      </c>
      <c r="E8597">
        <v>603.00869999999998</v>
      </c>
      <c r="F8597"/>
      <c r="G8597"/>
      <c r="H8597"/>
      <c r="I8597" s="489"/>
      <c r="J8597" s="1362"/>
      <c r="K8597" s="1362"/>
      <c r="L8597" s="1362"/>
    </row>
    <row r="8598" spans="1:12" x14ac:dyDescent="0.25">
      <c r="A8598" t="s">
        <v>17990</v>
      </c>
      <c r="B8598" t="s">
        <v>17991</v>
      </c>
      <c r="C8598" t="s">
        <v>149</v>
      </c>
      <c r="D8598" s="254">
        <v>0.45</v>
      </c>
      <c r="E8598">
        <v>0.31159999999999999</v>
      </c>
      <c r="F8598"/>
      <c r="G8598"/>
      <c r="H8598"/>
      <c r="I8598" s="489"/>
      <c r="J8598" s="1362"/>
      <c r="K8598" s="1362"/>
      <c r="L8598" s="1362"/>
    </row>
    <row r="8599" spans="1:12" x14ac:dyDescent="0.25">
      <c r="A8599" t="s">
        <v>17992</v>
      </c>
      <c r="B8599" t="s">
        <v>17993</v>
      </c>
      <c r="C8599" t="s">
        <v>149</v>
      </c>
      <c r="D8599" s="254">
        <v>39.47</v>
      </c>
      <c r="E8599">
        <v>38.700499999999998</v>
      </c>
      <c r="F8599"/>
      <c r="G8599"/>
      <c r="H8599"/>
      <c r="I8599" s="489"/>
      <c r="J8599" s="1362"/>
      <c r="K8599" s="1362"/>
      <c r="L8599" s="1362"/>
    </row>
    <row r="8600" spans="1:12" x14ac:dyDescent="0.25">
      <c r="A8600" t="s">
        <v>17994</v>
      </c>
      <c r="B8600" t="s">
        <v>17995</v>
      </c>
      <c r="C8600" t="s">
        <v>149</v>
      </c>
      <c r="D8600" s="254">
        <v>41.39</v>
      </c>
      <c r="E8600">
        <v>39.787500000000001</v>
      </c>
      <c r="F8600"/>
      <c r="G8600"/>
      <c r="H8600"/>
      <c r="I8600" s="489"/>
      <c r="J8600" s="1362"/>
      <c r="K8600" s="1362"/>
      <c r="L8600" s="1362"/>
    </row>
    <row r="8601" spans="1:12" x14ac:dyDescent="0.25">
      <c r="A8601" t="s">
        <v>17996</v>
      </c>
      <c r="B8601" t="s">
        <v>17997</v>
      </c>
      <c r="C8601" t="s">
        <v>149</v>
      </c>
      <c r="D8601" s="254">
        <v>43.58</v>
      </c>
      <c r="E8601">
        <v>41.031500000000001</v>
      </c>
      <c r="F8601"/>
      <c r="G8601"/>
      <c r="H8601"/>
      <c r="I8601" s="489"/>
      <c r="J8601" s="1362"/>
      <c r="K8601" s="1362"/>
      <c r="L8601" s="1362"/>
    </row>
    <row r="8602" spans="1:12" x14ac:dyDescent="0.25">
      <c r="A8602" t="s">
        <v>17998</v>
      </c>
      <c r="B8602" t="s">
        <v>17999</v>
      </c>
      <c r="C8602" t="s">
        <v>149</v>
      </c>
      <c r="D8602" s="254">
        <v>44.64</v>
      </c>
      <c r="E8602">
        <v>41.633099999999999</v>
      </c>
      <c r="F8602"/>
      <c r="G8602"/>
      <c r="H8602"/>
      <c r="I8602" s="489"/>
      <c r="J8602" s="1362"/>
      <c r="K8602" s="1362"/>
      <c r="L8602" s="1362"/>
    </row>
    <row r="8603" spans="1:12" x14ac:dyDescent="0.25">
      <c r="A8603" t="s">
        <v>18000</v>
      </c>
      <c r="B8603" t="s">
        <v>18001</v>
      </c>
      <c r="C8603" t="s">
        <v>149</v>
      </c>
      <c r="D8603" s="254">
        <v>45.12</v>
      </c>
      <c r="E8603">
        <v>41.906500000000001</v>
      </c>
      <c r="F8603"/>
      <c r="G8603"/>
      <c r="H8603"/>
      <c r="I8603" s="489"/>
      <c r="J8603" s="1362"/>
      <c r="K8603" s="1362"/>
      <c r="L8603" s="1362"/>
    </row>
    <row r="8604" spans="1:12" x14ac:dyDescent="0.25">
      <c r="A8604" t="s">
        <v>18002</v>
      </c>
      <c r="B8604" t="s">
        <v>18003</v>
      </c>
      <c r="C8604" t="s">
        <v>149</v>
      </c>
      <c r="D8604" s="254">
        <v>45.63</v>
      </c>
      <c r="E8604">
        <v>42.1935</v>
      </c>
      <c r="F8604"/>
      <c r="G8604"/>
      <c r="H8604"/>
      <c r="I8604" s="489"/>
      <c r="J8604" s="1362"/>
      <c r="K8604" s="1362"/>
      <c r="L8604" s="1362"/>
    </row>
    <row r="8605" spans="1:12" x14ac:dyDescent="0.25">
      <c r="A8605" t="s">
        <v>18004</v>
      </c>
      <c r="B8605" t="s">
        <v>18005</v>
      </c>
      <c r="C8605" t="s">
        <v>149</v>
      </c>
      <c r="D8605" s="254">
        <v>58.32</v>
      </c>
      <c r="E8605">
        <v>39.134500000000003</v>
      </c>
      <c r="F8605"/>
      <c r="G8605"/>
      <c r="H8605"/>
      <c r="I8605" s="489"/>
      <c r="J8605" s="1362"/>
      <c r="K8605" s="1362"/>
      <c r="L8605" s="1362"/>
    </row>
    <row r="8606" spans="1:12" x14ac:dyDescent="0.25">
      <c r="A8606" t="s">
        <v>18006</v>
      </c>
      <c r="B8606" t="s">
        <v>18007</v>
      </c>
      <c r="C8606" t="s">
        <v>149</v>
      </c>
      <c r="D8606" s="254">
        <v>72.010000000000005</v>
      </c>
      <c r="E8606">
        <v>39.424599999999998</v>
      </c>
      <c r="F8606"/>
      <c r="G8606"/>
      <c r="H8606"/>
      <c r="I8606" s="489"/>
      <c r="J8606" s="1362"/>
      <c r="K8606" s="1362"/>
      <c r="L8606" s="1362"/>
    </row>
    <row r="8607" spans="1:12" x14ac:dyDescent="0.25">
      <c r="A8607" t="s">
        <v>18008</v>
      </c>
      <c r="B8607" t="s">
        <v>18009</v>
      </c>
      <c r="C8607" t="s">
        <v>149</v>
      </c>
      <c r="D8607" s="254">
        <v>13.86</v>
      </c>
      <c r="E8607">
        <v>4.8094999999999999</v>
      </c>
      <c r="F8607"/>
      <c r="G8607"/>
      <c r="H8607"/>
      <c r="I8607" s="489"/>
      <c r="J8607" s="1362"/>
      <c r="K8607" s="1362"/>
      <c r="L8607" s="1362"/>
    </row>
    <row r="8608" spans="1:12" x14ac:dyDescent="0.25">
      <c r="A8608" t="s">
        <v>18010</v>
      </c>
      <c r="B8608" t="s">
        <v>18011</v>
      </c>
      <c r="C8608" t="s">
        <v>149</v>
      </c>
      <c r="D8608" s="254">
        <v>22.28</v>
      </c>
      <c r="E8608">
        <v>12.462300000000001</v>
      </c>
      <c r="F8608"/>
      <c r="G8608"/>
      <c r="H8608"/>
      <c r="I8608" s="489"/>
      <c r="J8608" s="1362"/>
      <c r="K8608" s="1362"/>
      <c r="L8608" s="1362"/>
    </row>
    <row r="8609" spans="1:12" x14ac:dyDescent="0.25">
      <c r="A8609" t="s">
        <v>18012</v>
      </c>
      <c r="B8609" t="s">
        <v>18013</v>
      </c>
      <c r="C8609" t="s">
        <v>149</v>
      </c>
      <c r="D8609" s="254">
        <v>10.91</v>
      </c>
      <c r="E8609">
        <v>4.0999999999999996</v>
      </c>
      <c r="F8609"/>
      <c r="G8609"/>
      <c r="H8609"/>
      <c r="I8609" s="489"/>
      <c r="J8609" s="1362"/>
      <c r="K8609" s="1362"/>
      <c r="L8609" s="1362"/>
    </row>
    <row r="8610" spans="1:12" x14ac:dyDescent="0.25">
      <c r="A8610" t="s">
        <v>18014</v>
      </c>
      <c r="B8610" t="s">
        <v>18015</v>
      </c>
      <c r="C8610" t="s">
        <v>149</v>
      </c>
      <c r="D8610" s="254">
        <v>13.23</v>
      </c>
      <c r="E8610">
        <v>5.9275000000000002</v>
      </c>
      <c r="F8610"/>
      <c r="G8610"/>
      <c r="H8610"/>
      <c r="I8610" s="489"/>
      <c r="J8610" s="1362"/>
      <c r="K8610" s="1362"/>
      <c r="L8610" s="1362"/>
    </row>
    <row r="8611" spans="1:12" x14ac:dyDescent="0.25">
      <c r="A8611" t="s">
        <v>18016</v>
      </c>
      <c r="B8611" t="s">
        <v>18017</v>
      </c>
      <c r="C8611" t="s">
        <v>149</v>
      </c>
      <c r="D8611" s="254">
        <v>24.26</v>
      </c>
      <c r="E8611">
        <v>7.2571000000000003</v>
      </c>
      <c r="F8611"/>
      <c r="G8611"/>
      <c r="H8611"/>
      <c r="I8611" s="489"/>
      <c r="J8611" s="1362"/>
      <c r="K8611" s="1362"/>
      <c r="L8611" s="1362"/>
    </row>
    <row r="8612" spans="1:12" x14ac:dyDescent="0.25">
      <c r="A8612" t="s">
        <v>18018</v>
      </c>
      <c r="B8612" t="s">
        <v>18019</v>
      </c>
      <c r="C8612" t="s">
        <v>149</v>
      </c>
      <c r="D8612" s="254">
        <v>24.83</v>
      </c>
      <c r="E8612">
        <v>7.5731000000000002</v>
      </c>
      <c r="F8612"/>
      <c r="G8612"/>
      <c r="H8612"/>
      <c r="I8612" s="489"/>
      <c r="J8612" s="1362"/>
      <c r="K8612" s="1362"/>
      <c r="L8612" s="1362"/>
    </row>
    <row r="8613" spans="1:12" x14ac:dyDescent="0.25">
      <c r="A8613" t="s">
        <v>18020</v>
      </c>
      <c r="B8613" t="s">
        <v>18021</v>
      </c>
      <c r="C8613" t="s">
        <v>149</v>
      </c>
      <c r="D8613" s="254">
        <v>47.96</v>
      </c>
      <c r="E8613">
        <v>37.4039</v>
      </c>
      <c r="F8613"/>
      <c r="G8613"/>
      <c r="H8613"/>
      <c r="I8613" s="489"/>
      <c r="J8613" s="1362"/>
      <c r="K8613" s="1362"/>
      <c r="L8613" s="1362"/>
    </row>
    <row r="8614" spans="1:12" x14ac:dyDescent="0.25">
      <c r="A8614" t="s">
        <v>18022</v>
      </c>
      <c r="B8614" t="s">
        <v>18023</v>
      </c>
      <c r="C8614" t="s">
        <v>149</v>
      </c>
      <c r="D8614" s="254">
        <v>12.6</v>
      </c>
      <c r="E8614">
        <v>2.3778000000000001</v>
      </c>
      <c r="F8614"/>
      <c r="G8614"/>
      <c r="H8614"/>
      <c r="I8614" s="489"/>
      <c r="J8614" s="1362"/>
      <c r="K8614" s="1362"/>
      <c r="L8614" s="1362"/>
    </row>
    <row r="8615" spans="1:12" x14ac:dyDescent="0.25">
      <c r="A8615" t="s">
        <v>18024</v>
      </c>
      <c r="B8615" t="s">
        <v>18025</v>
      </c>
      <c r="C8615" t="s">
        <v>149</v>
      </c>
      <c r="D8615" s="254">
        <v>9.81</v>
      </c>
      <c r="E8615">
        <v>4.3166000000000002</v>
      </c>
      <c r="F8615"/>
      <c r="G8615"/>
      <c r="H8615"/>
      <c r="I8615" s="489"/>
      <c r="J8615" s="1362"/>
      <c r="K8615" s="1362"/>
      <c r="L8615" s="1362"/>
    </row>
    <row r="8616" spans="1:12" x14ac:dyDescent="0.25">
      <c r="A8616" t="s">
        <v>18026</v>
      </c>
      <c r="B8616" t="s">
        <v>18027</v>
      </c>
      <c r="C8616" t="s">
        <v>149</v>
      </c>
      <c r="D8616" s="254">
        <v>0.65</v>
      </c>
      <c r="E8616">
        <v>0.35920000000000002</v>
      </c>
      <c r="F8616"/>
      <c r="G8616"/>
      <c r="H8616"/>
      <c r="I8616" s="489"/>
      <c r="J8616" s="1362"/>
      <c r="K8616" s="1362"/>
      <c r="L8616" s="1362"/>
    </row>
    <row r="8617" spans="1:12" x14ac:dyDescent="0.25">
      <c r="A8617" t="s">
        <v>18028</v>
      </c>
      <c r="B8617" t="s">
        <v>18029</v>
      </c>
      <c r="C8617" t="s">
        <v>149</v>
      </c>
      <c r="D8617" s="254">
        <v>22.8</v>
      </c>
      <c r="E8617">
        <v>7.8217999999999996</v>
      </c>
      <c r="F8617"/>
      <c r="G8617"/>
      <c r="H8617"/>
      <c r="I8617" s="489"/>
      <c r="J8617" s="1362"/>
      <c r="K8617" s="1362"/>
      <c r="L8617" s="1362"/>
    </row>
    <row r="8618" spans="1:12" x14ac:dyDescent="0.25">
      <c r="A8618" t="s">
        <v>18030</v>
      </c>
      <c r="B8618" t="s">
        <v>18031</v>
      </c>
      <c r="C8618" t="s">
        <v>149</v>
      </c>
      <c r="D8618" s="254">
        <v>0.15</v>
      </c>
      <c r="E8618">
        <v>0.11509999999999999</v>
      </c>
      <c r="F8618"/>
      <c r="G8618"/>
      <c r="H8618"/>
      <c r="I8618" s="489"/>
      <c r="J8618" s="1362"/>
      <c r="K8618" s="1362"/>
      <c r="L8618" s="1362"/>
    </row>
    <row r="8619" spans="1:12" x14ac:dyDescent="0.25">
      <c r="A8619" t="s">
        <v>18032</v>
      </c>
      <c r="B8619" t="s">
        <v>18033</v>
      </c>
      <c r="C8619" t="s">
        <v>149</v>
      </c>
      <c r="D8619" s="254">
        <v>144.49</v>
      </c>
      <c r="E8619">
        <v>37.295099999999998</v>
      </c>
      <c r="F8619"/>
      <c r="G8619"/>
      <c r="H8619"/>
      <c r="I8619" s="489"/>
      <c r="J8619" s="1362"/>
      <c r="K8619" s="1362"/>
      <c r="L8619" s="1362"/>
    </row>
    <row r="8620" spans="1:12" x14ac:dyDescent="0.25">
      <c r="A8620" t="s">
        <v>18034</v>
      </c>
      <c r="B8620" t="s">
        <v>18035</v>
      </c>
      <c r="C8620" t="s">
        <v>149</v>
      </c>
      <c r="D8620" s="254">
        <v>26.58</v>
      </c>
      <c r="E8620">
        <v>25.2254</v>
      </c>
      <c r="F8620"/>
      <c r="G8620"/>
      <c r="H8620"/>
      <c r="I8620" s="489"/>
      <c r="J8620" s="1362"/>
      <c r="K8620" s="1362"/>
      <c r="L8620" s="1362"/>
    </row>
    <row r="8621" spans="1:12" x14ac:dyDescent="0.25">
      <c r="A8621" t="s">
        <v>18036</v>
      </c>
      <c r="B8621" t="s">
        <v>18037</v>
      </c>
      <c r="C8621" t="s">
        <v>149</v>
      </c>
      <c r="D8621" s="254">
        <v>26.78</v>
      </c>
      <c r="E8621">
        <v>25.358899999999998</v>
      </c>
      <c r="F8621"/>
      <c r="G8621"/>
      <c r="H8621"/>
      <c r="I8621" s="489"/>
      <c r="J8621" s="1362"/>
      <c r="K8621" s="1362"/>
      <c r="L8621" s="1362"/>
    </row>
    <row r="8622" spans="1:12" x14ac:dyDescent="0.25">
      <c r="A8622" t="s">
        <v>18038</v>
      </c>
      <c r="B8622" t="s">
        <v>18039</v>
      </c>
      <c r="C8622" t="s">
        <v>149</v>
      </c>
      <c r="D8622" s="254">
        <v>23.29</v>
      </c>
      <c r="E8622">
        <v>22.968499999999999</v>
      </c>
      <c r="F8622"/>
      <c r="G8622"/>
      <c r="H8622"/>
      <c r="I8622" s="489"/>
      <c r="J8622" s="1362"/>
      <c r="K8622" s="1362"/>
      <c r="L8622" s="1362"/>
    </row>
    <row r="8623" spans="1:12" x14ac:dyDescent="0.25">
      <c r="A8623" t="s">
        <v>18040</v>
      </c>
      <c r="B8623" t="s">
        <v>18041</v>
      </c>
      <c r="C8623" t="s">
        <v>149</v>
      </c>
      <c r="D8623" s="254">
        <v>23.94</v>
      </c>
      <c r="E8623">
        <v>23.3124</v>
      </c>
      <c r="F8623"/>
      <c r="G8623"/>
      <c r="H8623"/>
      <c r="I8623" s="489"/>
      <c r="J8623" s="1362"/>
      <c r="K8623" s="1362"/>
      <c r="L8623" s="1362"/>
    </row>
    <row r="8624" spans="1:12" x14ac:dyDescent="0.25">
      <c r="A8624" t="s">
        <v>18042</v>
      </c>
      <c r="B8624" t="s">
        <v>18043</v>
      </c>
      <c r="C8624" t="s">
        <v>149</v>
      </c>
      <c r="D8624" s="254">
        <v>6.27</v>
      </c>
      <c r="E8624">
        <v>3.6661999999999999</v>
      </c>
      <c r="F8624"/>
      <c r="G8624"/>
      <c r="H8624"/>
      <c r="I8624" s="489"/>
      <c r="J8624" s="1362"/>
      <c r="K8624" s="1362"/>
      <c r="L8624" s="1362"/>
    </row>
    <row r="8625" spans="1:12" x14ac:dyDescent="0.25">
      <c r="A8625" t="s">
        <v>18044</v>
      </c>
      <c r="B8625" t="s">
        <v>18045</v>
      </c>
      <c r="C8625" t="s">
        <v>149</v>
      </c>
      <c r="D8625" s="254">
        <v>472.6</v>
      </c>
      <c r="E8625">
        <v>160.79310000000001</v>
      </c>
      <c r="F8625"/>
      <c r="G8625"/>
      <c r="H8625"/>
      <c r="I8625" s="489"/>
      <c r="J8625" s="1362"/>
      <c r="K8625" s="1362"/>
      <c r="L8625" s="1362"/>
    </row>
    <row r="8626" spans="1:12" x14ac:dyDescent="0.25">
      <c r="A8626" t="s">
        <v>18046</v>
      </c>
      <c r="B8626" t="s">
        <v>18047</v>
      </c>
      <c r="C8626" t="s">
        <v>149</v>
      </c>
      <c r="D8626" s="254">
        <v>98.33</v>
      </c>
      <c r="E8626">
        <v>69.492999999999995</v>
      </c>
      <c r="F8626"/>
      <c r="G8626"/>
      <c r="H8626"/>
      <c r="I8626" s="489"/>
      <c r="J8626" s="1362"/>
      <c r="K8626" s="1362"/>
      <c r="L8626" s="1362"/>
    </row>
    <row r="8627" spans="1:12" x14ac:dyDescent="0.25">
      <c r="A8627" t="s">
        <v>18048</v>
      </c>
      <c r="B8627" t="s">
        <v>18049</v>
      </c>
      <c r="C8627" t="s">
        <v>149</v>
      </c>
      <c r="D8627" s="254">
        <v>329.56</v>
      </c>
      <c r="E8627">
        <v>135.97730000000001</v>
      </c>
      <c r="F8627"/>
      <c r="G8627"/>
      <c r="H8627"/>
      <c r="I8627" s="489"/>
      <c r="J8627" s="1362"/>
      <c r="K8627" s="1362"/>
      <c r="L8627" s="1362"/>
    </row>
    <row r="8628" spans="1:12" x14ac:dyDescent="0.25">
      <c r="A8628" t="s">
        <v>18050</v>
      </c>
      <c r="B8628" t="s">
        <v>18051</v>
      </c>
      <c r="C8628" t="s">
        <v>149</v>
      </c>
      <c r="D8628" s="254">
        <v>2.79</v>
      </c>
      <c r="E8628">
        <v>1.5379</v>
      </c>
      <c r="F8628"/>
      <c r="G8628"/>
      <c r="H8628"/>
      <c r="I8628" s="489"/>
      <c r="J8628" s="1362"/>
      <c r="K8628" s="1362"/>
      <c r="L8628" s="1362"/>
    </row>
    <row r="8629" spans="1:12" x14ac:dyDescent="0.25">
      <c r="A8629" t="s">
        <v>18052</v>
      </c>
      <c r="B8629" t="s">
        <v>18053</v>
      </c>
      <c r="C8629" t="s">
        <v>149</v>
      </c>
      <c r="D8629" s="254">
        <v>0.63</v>
      </c>
      <c r="E8629">
        <v>0.39400000000000002</v>
      </c>
      <c r="F8629"/>
      <c r="G8629"/>
      <c r="H8629"/>
      <c r="I8629" s="489"/>
      <c r="J8629" s="1362"/>
      <c r="K8629" s="1362"/>
      <c r="L8629" s="1362"/>
    </row>
    <row r="8630" spans="1:12" x14ac:dyDescent="0.25">
      <c r="A8630" t="s">
        <v>18054</v>
      </c>
      <c r="B8630" t="s">
        <v>18055</v>
      </c>
      <c r="C8630" t="s">
        <v>149</v>
      </c>
      <c r="D8630" s="254">
        <v>237.78</v>
      </c>
      <c r="E8630">
        <v>102.7315</v>
      </c>
      <c r="F8630"/>
      <c r="G8630"/>
      <c r="H8630"/>
      <c r="I8630" s="489"/>
      <c r="J8630" s="1362"/>
      <c r="K8630" s="1362"/>
      <c r="L8630" s="1362"/>
    </row>
    <row r="8631" spans="1:12" x14ac:dyDescent="0.25">
      <c r="A8631" t="s">
        <v>18056</v>
      </c>
      <c r="B8631" t="s">
        <v>18057</v>
      </c>
      <c r="C8631" t="s">
        <v>149</v>
      </c>
      <c r="D8631" s="254">
        <v>45.47</v>
      </c>
      <c r="E8631">
        <v>3.6414</v>
      </c>
      <c r="F8631"/>
      <c r="G8631"/>
      <c r="H8631"/>
      <c r="I8631" s="489"/>
      <c r="J8631" s="1362"/>
      <c r="K8631" s="1362"/>
      <c r="L8631" s="1362"/>
    </row>
    <row r="8632" spans="1:12" x14ac:dyDescent="0.25">
      <c r="A8632" t="s">
        <v>18058</v>
      </c>
      <c r="B8632" t="s">
        <v>18059</v>
      </c>
      <c r="C8632" t="s">
        <v>149</v>
      </c>
      <c r="D8632" s="254">
        <v>54.12</v>
      </c>
      <c r="E8632">
        <v>41.475999999999999</v>
      </c>
      <c r="F8632"/>
      <c r="G8632"/>
      <c r="H8632"/>
      <c r="I8632" s="489"/>
      <c r="J8632" s="1362"/>
      <c r="K8632" s="1362"/>
      <c r="L8632" s="1362"/>
    </row>
    <row r="8633" spans="1:12" x14ac:dyDescent="0.25">
      <c r="A8633" t="s">
        <v>18060</v>
      </c>
      <c r="B8633" t="s">
        <v>18061</v>
      </c>
      <c r="C8633" t="s">
        <v>149</v>
      </c>
      <c r="D8633" s="254">
        <v>12.11</v>
      </c>
      <c r="E8633">
        <v>0.72389999999999999</v>
      </c>
      <c r="F8633"/>
      <c r="G8633"/>
      <c r="H8633"/>
      <c r="I8633" s="489"/>
      <c r="J8633" s="1362"/>
      <c r="K8633" s="1362"/>
      <c r="L8633" s="1362"/>
    </row>
    <row r="8634" spans="1:12" x14ac:dyDescent="0.25">
      <c r="A8634" t="s">
        <v>18062</v>
      </c>
      <c r="B8634" t="s">
        <v>18063</v>
      </c>
      <c r="C8634" t="s">
        <v>149</v>
      </c>
      <c r="D8634" s="254">
        <v>325.2</v>
      </c>
      <c r="E8634">
        <v>39.895099999999999</v>
      </c>
      <c r="F8634"/>
      <c r="G8634"/>
      <c r="H8634"/>
      <c r="I8634" s="489"/>
      <c r="J8634" s="1362"/>
      <c r="K8634" s="1362"/>
      <c r="L8634" s="1362"/>
    </row>
    <row r="8635" spans="1:12" x14ac:dyDescent="0.25">
      <c r="A8635" t="s">
        <v>18064</v>
      </c>
      <c r="B8635" t="s">
        <v>18065</v>
      </c>
      <c r="C8635" t="s">
        <v>149</v>
      </c>
      <c r="D8635" s="254">
        <v>77.900000000000006</v>
      </c>
      <c r="E8635">
        <v>48.984200000000001</v>
      </c>
      <c r="F8635"/>
      <c r="G8635"/>
      <c r="H8635"/>
      <c r="I8635" s="489"/>
      <c r="J8635" s="1362"/>
      <c r="K8635" s="1362"/>
      <c r="L8635" s="1362"/>
    </row>
    <row r="8636" spans="1:12" x14ac:dyDescent="0.25">
      <c r="A8636" t="s">
        <v>18066</v>
      </c>
      <c r="B8636" t="s">
        <v>18067</v>
      </c>
      <c r="C8636" t="s">
        <v>149</v>
      </c>
      <c r="D8636" s="254">
        <v>163.31</v>
      </c>
      <c r="E8636">
        <v>74.734099999999998</v>
      </c>
      <c r="F8636"/>
      <c r="G8636"/>
      <c r="H8636"/>
      <c r="I8636" s="489"/>
      <c r="J8636" s="1362"/>
      <c r="K8636" s="1362"/>
      <c r="L8636" s="1362"/>
    </row>
    <row r="8637" spans="1:12" x14ac:dyDescent="0.25">
      <c r="A8637" t="s">
        <v>18068</v>
      </c>
      <c r="B8637" t="s">
        <v>18069</v>
      </c>
      <c r="C8637" t="s">
        <v>149</v>
      </c>
      <c r="D8637" s="254">
        <v>163.31</v>
      </c>
      <c r="E8637">
        <v>74.734099999999998</v>
      </c>
      <c r="F8637"/>
      <c r="G8637"/>
      <c r="H8637"/>
      <c r="I8637" s="489"/>
      <c r="J8637" s="1362"/>
      <c r="K8637" s="1362"/>
      <c r="L8637" s="1362"/>
    </row>
    <row r="8638" spans="1:12" x14ac:dyDescent="0.25">
      <c r="A8638" t="s">
        <v>18070</v>
      </c>
      <c r="B8638" t="s">
        <v>18071</v>
      </c>
      <c r="C8638" t="s">
        <v>149</v>
      </c>
      <c r="D8638" s="254">
        <v>163.31</v>
      </c>
      <c r="E8638">
        <v>74.734099999999998</v>
      </c>
      <c r="F8638"/>
      <c r="G8638"/>
      <c r="H8638"/>
      <c r="I8638" s="489"/>
      <c r="J8638" s="1362"/>
      <c r="K8638" s="1362"/>
      <c r="L8638" s="1362"/>
    </row>
    <row r="8639" spans="1:12" x14ac:dyDescent="0.25">
      <c r="A8639" t="s">
        <v>18072</v>
      </c>
      <c r="B8639" t="s">
        <v>18073</v>
      </c>
      <c r="C8639" t="s">
        <v>149</v>
      </c>
      <c r="D8639" s="254">
        <v>163.31</v>
      </c>
      <c r="E8639">
        <v>74.734099999999998</v>
      </c>
      <c r="F8639"/>
      <c r="G8639"/>
      <c r="H8639"/>
      <c r="I8639" s="489"/>
      <c r="J8639" s="1362"/>
      <c r="K8639" s="1362"/>
      <c r="L8639" s="1362"/>
    </row>
    <row r="8640" spans="1:12" x14ac:dyDescent="0.25">
      <c r="A8640" t="s">
        <v>18074</v>
      </c>
      <c r="B8640" t="s">
        <v>18075</v>
      </c>
      <c r="C8640" t="s">
        <v>149</v>
      </c>
      <c r="D8640" s="254">
        <v>163.31</v>
      </c>
      <c r="E8640">
        <v>74.734099999999998</v>
      </c>
      <c r="F8640"/>
      <c r="G8640"/>
      <c r="H8640"/>
      <c r="I8640" s="489"/>
      <c r="J8640" s="1362"/>
      <c r="K8640" s="1362"/>
      <c r="L8640" s="1362"/>
    </row>
    <row r="8641" spans="1:12" x14ac:dyDescent="0.25">
      <c r="A8641" t="s">
        <v>18076</v>
      </c>
      <c r="B8641" t="s">
        <v>18077</v>
      </c>
      <c r="C8641" t="s">
        <v>149</v>
      </c>
      <c r="D8641" s="254">
        <v>599.5</v>
      </c>
      <c r="E8641">
        <v>260.09980000000002</v>
      </c>
      <c r="F8641"/>
      <c r="G8641"/>
      <c r="H8641"/>
      <c r="I8641" s="489"/>
      <c r="J8641" s="1362"/>
      <c r="K8641" s="1362"/>
      <c r="L8641" s="1362"/>
    </row>
    <row r="8642" spans="1:12" x14ac:dyDescent="0.25">
      <c r="A8642" t="s">
        <v>18078</v>
      </c>
      <c r="B8642" t="s">
        <v>18079</v>
      </c>
      <c r="C8642" t="s">
        <v>149</v>
      </c>
      <c r="D8642" s="254">
        <v>165.15</v>
      </c>
      <c r="E8642">
        <v>7.0906000000000002</v>
      </c>
      <c r="F8642"/>
      <c r="G8642"/>
      <c r="H8642"/>
      <c r="I8642" s="489"/>
      <c r="J8642" s="1362"/>
      <c r="K8642" s="1362"/>
      <c r="L8642" s="1362"/>
    </row>
    <row r="8643" spans="1:12" x14ac:dyDescent="0.25">
      <c r="A8643" t="s">
        <v>18080</v>
      </c>
      <c r="B8643" t="s">
        <v>18081</v>
      </c>
      <c r="C8643" t="s">
        <v>149</v>
      </c>
      <c r="D8643" s="254">
        <v>820.74</v>
      </c>
      <c r="E8643">
        <v>383.27480000000003</v>
      </c>
      <c r="F8643"/>
      <c r="G8643"/>
      <c r="H8643"/>
      <c r="I8643" s="489"/>
      <c r="J8643" s="1362"/>
      <c r="K8643" s="1362"/>
      <c r="L8643" s="1362"/>
    </row>
    <row r="8644" spans="1:12" x14ac:dyDescent="0.25">
      <c r="A8644" t="s">
        <v>18082</v>
      </c>
      <c r="B8644" t="s">
        <v>18083</v>
      </c>
      <c r="C8644" t="s">
        <v>149</v>
      </c>
      <c r="D8644" s="254">
        <v>366.42</v>
      </c>
      <c r="E8644">
        <v>13.4428</v>
      </c>
      <c r="F8644"/>
      <c r="G8644"/>
      <c r="H8644"/>
      <c r="I8644" s="489"/>
      <c r="J8644" s="1362"/>
      <c r="K8644" s="1362"/>
      <c r="L8644" s="1362"/>
    </row>
    <row r="8645" spans="1:12" x14ac:dyDescent="0.25">
      <c r="A8645" t="s">
        <v>18084</v>
      </c>
      <c r="B8645" t="s">
        <v>18085</v>
      </c>
      <c r="C8645" t="s">
        <v>149</v>
      </c>
      <c r="D8645" s="254">
        <v>119.84</v>
      </c>
      <c r="E8645">
        <v>5.2971000000000004</v>
      </c>
      <c r="F8645"/>
      <c r="G8645"/>
      <c r="H8645"/>
      <c r="I8645" s="489"/>
      <c r="J8645" s="1362"/>
      <c r="K8645" s="1362"/>
      <c r="L8645" s="1362"/>
    </row>
    <row r="8646" spans="1:12" x14ac:dyDescent="0.25">
      <c r="A8646" t="s">
        <v>18086</v>
      </c>
      <c r="B8646" t="s">
        <v>18087</v>
      </c>
      <c r="C8646" t="s">
        <v>149</v>
      </c>
      <c r="D8646" s="254">
        <v>71.010000000000005</v>
      </c>
      <c r="E8646">
        <v>44.154499999999999</v>
      </c>
      <c r="F8646"/>
      <c r="G8646"/>
      <c r="H8646"/>
      <c r="I8646" s="489"/>
      <c r="J8646" s="1362"/>
      <c r="K8646" s="1362"/>
      <c r="L8646" s="1362"/>
    </row>
    <row r="8647" spans="1:12" x14ac:dyDescent="0.25">
      <c r="A8647" t="s">
        <v>18088</v>
      </c>
      <c r="B8647" t="s">
        <v>18089</v>
      </c>
      <c r="C8647" t="s">
        <v>149</v>
      </c>
      <c r="D8647" s="254">
        <v>102.66</v>
      </c>
      <c r="E8647">
        <v>66.758700000000005</v>
      </c>
      <c r="F8647"/>
      <c r="G8647"/>
      <c r="H8647"/>
      <c r="I8647" s="489"/>
      <c r="J8647" s="1362"/>
      <c r="K8647" s="1362"/>
      <c r="L8647" s="1362"/>
    </row>
    <row r="8648" spans="1:12" x14ac:dyDescent="0.25">
      <c r="A8648" t="s">
        <v>18090</v>
      </c>
      <c r="B8648" t="s">
        <v>18091</v>
      </c>
      <c r="C8648" t="s">
        <v>149</v>
      </c>
      <c r="D8648" s="254">
        <v>29.86</v>
      </c>
      <c r="E8648">
        <v>26.584700000000002</v>
      </c>
      <c r="F8648"/>
      <c r="G8648"/>
      <c r="H8648"/>
      <c r="I8648" s="489"/>
      <c r="J8648" s="1362"/>
      <c r="K8648" s="1362"/>
      <c r="L8648" s="1362"/>
    </row>
    <row r="8649" spans="1:12" x14ac:dyDescent="0.25">
      <c r="A8649" t="s">
        <v>18092</v>
      </c>
      <c r="B8649" t="s">
        <v>18093</v>
      </c>
      <c r="C8649" t="s">
        <v>149</v>
      </c>
      <c r="D8649" s="254">
        <v>128.24</v>
      </c>
      <c r="E8649">
        <v>67.578699999999998</v>
      </c>
      <c r="F8649"/>
      <c r="G8649"/>
      <c r="H8649"/>
      <c r="I8649" s="489"/>
      <c r="J8649" s="1362"/>
      <c r="K8649" s="1362"/>
      <c r="L8649" s="1362"/>
    </row>
    <row r="8650" spans="1:12" x14ac:dyDescent="0.25">
      <c r="A8650" t="s">
        <v>18094</v>
      </c>
      <c r="B8650" t="s">
        <v>18095</v>
      </c>
      <c r="C8650" t="s">
        <v>149</v>
      </c>
      <c r="D8650" s="254">
        <v>391.39</v>
      </c>
      <c r="E8650">
        <v>189.1636</v>
      </c>
      <c r="F8650"/>
      <c r="G8650"/>
      <c r="H8650"/>
      <c r="I8650" s="489"/>
      <c r="J8650" s="1362"/>
      <c r="K8650" s="1362"/>
      <c r="L8650" s="1362"/>
    </row>
    <row r="8651" spans="1:12" x14ac:dyDescent="0.25">
      <c r="A8651" t="s">
        <v>18096</v>
      </c>
      <c r="B8651" t="s">
        <v>18097</v>
      </c>
      <c r="C8651" t="s">
        <v>149</v>
      </c>
      <c r="D8651" s="254">
        <v>30.08</v>
      </c>
      <c r="E8651">
        <v>23.992899999999999</v>
      </c>
      <c r="F8651"/>
      <c r="G8651"/>
      <c r="H8651"/>
      <c r="I8651" s="489"/>
      <c r="J8651" s="1362"/>
      <c r="K8651" s="1362"/>
      <c r="L8651" s="1362"/>
    </row>
    <row r="8652" spans="1:12" x14ac:dyDescent="0.25">
      <c r="A8652" t="s">
        <v>18098</v>
      </c>
      <c r="B8652" t="s">
        <v>18099</v>
      </c>
      <c r="C8652" t="s">
        <v>149</v>
      </c>
      <c r="D8652" s="254">
        <v>0.57999999999999996</v>
      </c>
      <c r="E8652">
        <v>0.3997</v>
      </c>
      <c r="F8652"/>
      <c r="G8652"/>
      <c r="H8652"/>
      <c r="I8652" s="489"/>
      <c r="J8652" s="1362"/>
      <c r="K8652" s="1362"/>
      <c r="L8652" s="1362"/>
    </row>
    <row r="8653" spans="1:12" x14ac:dyDescent="0.25">
      <c r="A8653" t="s">
        <v>18100</v>
      </c>
      <c r="B8653" t="s">
        <v>18101</v>
      </c>
      <c r="C8653" t="s">
        <v>149</v>
      </c>
      <c r="D8653" s="254">
        <v>102.44</v>
      </c>
      <c r="E8653">
        <v>62.633600000000001</v>
      </c>
      <c r="F8653"/>
      <c r="G8653"/>
      <c r="H8653"/>
      <c r="I8653" s="489"/>
      <c r="J8653" s="1362"/>
      <c r="K8653" s="1362"/>
      <c r="L8653" s="1362"/>
    </row>
    <row r="8654" spans="1:12" x14ac:dyDescent="0.25">
      <c r="A8654" t="s">
        <v>18102</v>
      </c>
      <c r="B8654" t="s">
        <v>18103</v>
      </c>
      <c r="C8654" t="s">
        <v>149</v>
      </c>
      <c r="D8654" s="254">
        <v>6.21</v>
      </c>
      <c r="E8654">
        <v>3.6284999999999998</v>
      </c>
      <c r="F8654"/>
      <c r="G8654"/>
      <c r="H8654"/>
      <c r="I8654" s="489"/>
      <c r="J8654" s="1362"/>
      <c r="K8654" s="1362"/>
      <c r="L8654" s="1362"/>
    </row>
    <row r="8655" spans="1:12" x14ac:dyDescent="0.25">
      <c r="A8655" t="s">
        <v>18104</v>
      </c>
      <c r="B8655" t="s">
        <v>18105</v>
      </c>
      <c r="C8655" t="s">
        <v>149</v>
      </c>
      <c r="D8655" s="254">
        <v>1421.38</v>
      </c>
      <c r="E8655">
        <v>749.88639999999998</v>
      </c>
      <c r="F8655"/>
      <c r="G8655"/>
      <c r="H8655"/>
      <c r="I8655" s="489"/>
      <c r="J8655" s="1362"/>
      <c r="K8655" s="1362"/>
      <c r="L8655" s="1362"/>
    </row>
    <row r="8656" spans="1:12" x14ac:dyDescent="0.25">
      <c r="A8656" t="s">
        <v>18106</v>
      </c>
      <c r="B8656" t="s">
        <v>18107</v>
      </c>
      <c r="C8656" t="s">
        <v>149</v>
      </c>
      <c r="D8656" s="254">
        <v>309.48</v>
      </c>
      <c r="E8656">
        <v>150.8777</v>
      </c>
      <c r="F8656"/>
      <c r="G8656"/>
      <c r="H8656"/>
      <c r="I8656" s="489"/>
      <c r="J8656" s="1362"/>
      <c r="K8656" s="1362"/>
      <c r="L8656" s="1362"/>
    </row>
    <row r="8657" spans="1:12" x14ac:dyDescent="0.25">
      <c r="A8657" t="s">
        <v>18108</v>
      </c>
      <c r="B8657" t="s">
        <v>18109</v>
      </c>
      <c r="C8657" t="s">
        <v>149</v>
      </c>
      <c r="D8657" s="254">
        <v>1900.2</v>
      </c>
      <c r="E8657">
        <v>861.4633</v>
      </c>
      <c r="F8657"/>
      <c r="G8657"/>
      <c r="H8657"/>
      <c r="I8657" s="489"/>
      <c r="J8657" s="1362"/>
      <c r="K8657" s="1362"/>
      <c r="L8657" s="1362"/>
    </row>
    <row r="8658" spans="1:12" x14ac:dyDescent="0.25">
      <c r="A8658" t="s">
        <v>18110</v>
      </c>
      <c r="B8658" t="s">
        <v>18111</v>
      </c>
      <c r="C8658" t="s">
        <v>149</v>
      </c>
      <c r="D8658" s="254">
        <v>377.42</v>
      </c>
      <c r="E8658">
        <v>151.8657</v>
      </c>
      <c r="F8658"/>
      <c r="G8658"/>
      <c r="H8658"/>
      <c r="I8658" s="489"/>
      <c r="J8658" s="1362"/>
      <c r="K8658" s="1362"/>
      <c r="L8658" s="1362"/>
    </row>
    <row r="8659" spans="1:12" x14ac:dyDescent="0.25">
      <c r="A8659" t="s">
        <v>18112</v>
      </c>
      <c r="B8659" t="s">
        <v>18113</v>
      </c>
      <c r="C8659" t="s">
        <v>149</v>
      </c>
      <c r="D8659" s="254">
        <v>505.18</v>
      </c>
      <c r="E8659">
        <v>92.010300000000001</v>
      </c>
      <c r="F8659"/>
      <c r="G8659"/>
      <c r="H8659"/>
      <c r="I8659" s="489"/>
      <c r="J8659" s="1362"/>
      <c r="K8659" s="1362"/>
      <c r="L8659" s="1362"/>
    </row>
    <row r="8660" spans="1:12" x14ac:dyDescent="0.25">
      <c r="A8660" t="s">
        <v>18114</v>
      </c>
      <c r="B8660" t="s">
        <v>18115</v>
      </c>
      <c r="C8660" t="s">
        <v>149</v>
      </c>
      <c r="D8660" s="254">
        <v>481.36</v>
      </c>
      <c r="E8660">
        <v>78.337900000000005</v>
      </c>
      <c r="F8660"/>
      <c r="G8660"/>
      <c r="H8660"/>
      <c r="I8660" s="489"/>
      <c r="J8660" s="1362"/>
      <c r="K8660" s="1362"/>
      <c r="L8660" s="1362"/>
    </row>
    <row r="8661" spans="1:12" x14ac:dyDescent="0.25">
      <c r="A8661" t="s">
        <v>18116</v>
      </c>
      <c r="B8661" t="s">
        <v>18117</v>
      </c>
      <c r="C8661" t="s">
        <v>149</v>
      </c>
      <c r="D8661" s="254">
        <v>23.82</v>
      </c>
      <c r="E8661">
        <v>13.6724</v>
      </c>
      <c r="F8661"/>
      <c r="G8661"/>
      <c r="H8661"/>
      <c r="I8661" s="489"/>
      <c r="J8661" s="1362"/>
      <c r="K8661" s="1362"/>
      <c r="L8661" s="1362"/>
    </row>
    <row r="8662" spans="1:12" x14ac:dyDescent="0.25">
      <c r="A8662" t="s">
        <v>18118</v>
      </c>
      <c r="B8662" t="s">
        <v>18119</v>
      </c>
      <c r="C8662" t="s">
        <v>149</v>
      </c>
      <c r="D8662" s="254">
        <v>575.19000000000005</v>
      </c>
      <c r="E8662">
        <v>153.4434</v>
      </c>
      <c r="F8662"/>
      <c r="G8662"/>
      <c r="H8662"/>
      <c r="I8662" s="489"/>
      <c r="J8662" s="1362"/>
      <c r="K8662" s="1362"/>
      <c r="L8662" s="1362"/>
    </row>
    <row r="8663" spans="1:12" x14ac:dyDescent="0.25">
      <c r="A8663" t="s">
        <v>18120</v>
      </c>
      <c r="B8663" t="s">
        <v>18121</v>
      </c>
      <c r="C8663" t="s">
        <v>149</v>
      </c>
      <c r="D8663" s="254">
        <v>466.46</v>
      </c>
      <c r="E8663">
        <v>91.291300000000007</v>
      </c>
      <c r="F8663"/>
      <c r="G8663"/>
      <c r="H8663"/>
      <c r="I8663" s="489"/>
      <c r="J8663" s="1362"/>
      <c r="K8663" s="1362"/>
      <c r="L8663" s="1362"/>
    </row>
    <row r="8664" spans="1:12" x14ac:dyDescent="0.25">
      <c r="A8664" t="s">
        <v>18122</v>
      </c>
      <c r="B8664" t="s">
        <v>18123</v>
      </c>
      <c r="C8664" t="s">
        <v>149</v>
      </c>
      <c r="D8664" s="254">
        <v>90.44</v>
      </c>
      <c r="E8664">
        <v>51.6997</v>
      </c>
      <c r="F8664"/>
      <c r="G8664"/>
      <c r="H8664"/>
      <c r="I8664" s="489"/>
      <c r="J8664" s="1362"/>
      <c r="K8664" s="1362"/>
      <c r="L8664" s="1362"/>
    </row>
    <row r="8665" spans="1:12" x14ac:dyDescent="0.25">
      <c r="A8665" t="s">
        <v>18124</v>
      </c>
      <c r="B8665" t="s">
        <v>18125</v>
      </c>
      <c r="C8665" t="s">
        <v>149</v>
      </c>
      <c r="D8665" s="254">
        <v>18.28</v>
      </c>
      <c r="E8665">
        <v>10.452400000000001</v>
      </c>
      <c r="F8665"/>
      <c r="G8665"/>
      <c r="H8665"/>
      <c r="I8665" s="489"/>
      <c r="J8665" s="1362"/>
      <c r="K8665" s="1362"/>
      <c r="L8665" s="1362"/>
    </row>
    <row r="8666" spans="1:12" x14ac:dyDescent="0.25">
      <c r="A8666" t="s">
        <v>18126</v>
      </c>
      <c r="B8666" t="s">
        <v>18127</v>
      </c>
      <c r="C8666" t="s">
        <v>149</v>
      </c>
      <c r="D8666" s="254">
        <v>484.63</v>
      </c>
      <c r="E8666">
        <v>118.5427</v>
      </c>
      <c r="F8666"/>
      <c r="G8666"/>
      <c r="H8666"/>
      <c r="I8666" s="489"/>
      <c r="J8666" s="1362"/>
      <c r="K8666" s="1362"/>
      <c r="L8666" s="1362"/>
    </row>
    <row r="8667" spans="1:12" x14ac:dyDescent="0.25">
      <c r="A8667" t="s">
        <v>18128</v>
      </c>
      <c r="B8667" t="s">
        <v>18129</v>
      </c>
      <c r="C8667" t="s">
        <v>149</v>
      </c>
      <c r="D8667" s="254">
        <v>401.54</v>
      </c>
      <c r="E8667">
        <v>74.927199999999999</v>
      </c>
      <c r="F8667"/>
      <c r="G8667"/>
      <c r="H8667"/>
      <c r="I8667" s="489"/>
      <c r="J8667" s="1362"/>
      <c r="K8667" s="1362"/>
      <c r="L8667" s="1362"/>
    </row>
    <row r="8668" spans="1:12" x14ac:dyDescent="0.25">
      <c r="A8668" t="s">
        <v>18130</v>
      </c>
      <c r="B8668" t="s">
        <v>18131</v>
      </c>
      <c r="C8668" t="s">
        <v>149</v>
      </c>
      <c r="D8668" s="254">
        <v>83.09</v>
      </c>
      <c r="E8668">
        <v>43.615499999999997</v>
      </c>
      <c r="F8668"/>
      <c r="G8668"/>
      <c r="H8668"/>
      <c r="I8668" s="489"/>
      <c r="J8668" s="1362"/>
      <c r="K8668" s="1362"/>
      <c r="L8668" s="1362"/>
    </row>
    <row r="8669" spans="1:12" x14ac:dyDescent="0.25">
      <c r="A8669" t="s">
        <v>18132</v>
      </c>
      <c r="B8669" t="s">
        <v>18133</v>
      </c>
      <c r="C8669" t="s">
        <v>149</v>
      </c>
      <c r="D8669" s="254">
        <v>680.08</v>
      </c>
      <c r="E8669">
        <v>253.03639999999999</v>
      </c>
      <c r="F8669"/>
      <c r="G8669"/>
      <c r="H8669"/>
      <c r="I8669" s="489"/>
      <c r="J8669" s="1362"/>
      <c r="K8669" s="1362"/>
      <c r="L8669" s="1362"/>
    </row>
    <row r="8670" spans="1:12" x14ac:dyDescent="0.25">
      <c r="A8670" t="s">
        <v>18134</v>
      </c>
      <c r="B8670" t="s">
        <v>18135</v>
      </c>
      <c r="C8670" t="s">
        <v>149</v>
      </c>
      <c r="D8670" s="254">
        <v>372.45</v>
      </c>
      <c r="E8670">
        <v>77.194999999999993</v>
      </c>
      <c r="F8670"/>
      <c r="G8670"/>
      <c r="H8670"/>
      <c r="I8670" s="489"/>
      <c r="J8670" s="1362"/>
      <c r="K8670" s="1362"/>
      <c r="L8670" s="1362"/>
    </row>
    <row r="8671" spans="1:12" x14ac:dyDescent="0.25">
      <c r="A8671" t="s">
        <v>18136</v>
      </c>
      <c r="B8671" t="s">
        <v>18137</v>
      </c>
      <c r="C8671" t="s">
        <v>149</v>
      </c>
      <c r="D8671" s="254">
        <v>307.63</v>
      </c>
      <c r="E8671">
        <v>175.84139999999999</v>
      </c>
      <c r="F8671"/>
      <c r="G8671"/>
      <c r="H8671"/>
      <c r="I8671" s="489"/>
      <c r="J8671" s="1362"/>
      <c r="K8671" s="1362"/>
      <c r="L8671" s="1362"/>
    </row>
    <row r="8672" spans="1:12" x14ac:dyDescent="0.25">
      <c r="A8672" t="s">
        <v>18138</v>
      </c>
      <c r="B8672" t="s">
        <v>18139</v>
      </c>
      <c r="C8672" t="s">
        <v>149</v>
      </c>
      <c r="D8672" s="254">
        <v>446.1</v>
      </c>
      <c r="E8672">
        <v>128.61089999999999</v>
      </c>
      <c r="F8672"/>
      <c r="G8672"/>
      <c r="H8672"/>
      <c r="I8672" s="489"/>
      <c r="J8672" s="1362"/>
      <c r="K8672" s="1362"/>
      <c r="L8672" s="1362"/>
    </row>
    <row r="8673" spans="1:12" x14ac:dyDescent="0.25">
      <c r="A8673" t="s">
        <v>18140</v>
      </c>
      <c r="B8673" t="s">
        <v>18141</v>
      </c>
      <c r="C8673" t="s">
        <v>149</v>
      </c>
      <c r="D8673" s="254">
        <v>364.71</v>
      </c>
      <c r="E8673">
        <v>73.226299999999995</v>
      </c>
      <c r="F8673"/>
      <c r="G8673"/>
      <c r="H8673"/>
      <c r="I8673" s="489"/>
      <c r="J8673" s="1362"/>
      <c r="K8673" s="1362"/>
      <c r="L8673" s="1362"/>
    </row>
    <row r="8674" spans="1:12" x14ac:dyDescent="0.25">
      <c r="A8674" t="s">
        <v>18142</v>
      </c>
      <c r="B8674" t="s">
        <v>18143</v>
      </c>
      <c r="C8674" t="s">
        <v>149</v>
      </c>
      <c r="D8674" s="254">
        <v>6.26</v>
      </c>
      <c r="E8674">
        <v>3.4943</v>
      </c>
      <c r="F8674"/>
      <c r="G8674"/>
      <c r="H8674"/>
      <c r="I8674" s="489"/>
      <c r="J8674" s="1362"/>
      <c r="K8674" s="1362"/>
      <c r="L8674" s="1362"/>
    </row>
    <row r="8675" spans="1:12" x14ac:dyDescent="0.25">
      <c r="A8675" t="s">
        <v>18144</v>
      </c>
      <c r="B8675" t="s">
        <v>18145</v>
      </c>
      <c r="C8675" t="s">
        <v>149</v>
      </c>
      <c r="D8675" s="254">
        <v>75.13</v>
      </c>
      <c r="E8675">
        <v>51.890300000000003</v>
      </c>
      <c r="F8675"/>
      <c r="G8675"/>
      <c r="H8675"/>
      <c r="I8675" s="489"/>
      <c r="J8675" s="1362"/>
      <c r="K8675" s="1362"/>
      <c r="L8675" s="1362"/>
    </row>
    <row r="8676" spans="1:12" x14ac:dyDescent="0.25">
      <c r="A8676" t="s">
        <v>13746</v>
      </c>
      <c r="B8676" t="s">
        <v>18146</v>
      </c>
      <c r="C8676" t="s">
        <v>149</v>
      </c>
      <c r="D8676" s="254">
        <v>379.14</v>
      </c>
      <c r="E8676">
        <v>139.8278</v>
      </c>
      <c r="F8676"/>
      <c r="G8676"/>
      <c r="H8676"/>
      <c r="I8676" s="489"/>
      <c r="J8676" s="1362"/>
      <c r="K8676" s="1362"/>
      <c r="L8676" s="1362"/>
    </row>
    <row r="8677" spans="1:12" x14ac:dyDescent="0.25">
      <c r="A8677" t="s">
        <v>18147</v>
      </c>
      <c r="B8677" t="s">
        <v>18148</v>
      </c>
      <c r="C8677" t="s">
        <v>149</v>
      </c>
      <c r="D8677" s="254">
        <v>271.22000000000003</v>
      </c>
      <c r="E8677">
        <v>58.585099999999997</v>
      </c>
      <c r="F8677"/>
      <c r="G8677"/>
      <c r="H8677"/>
      <c r="I8677" s="489"/>
      <c r="J8677" s="1362"/>
      <c r="K8677" s="1362"/>
      <c r="L8677" s="1362"/>
    </row>
    <row r="8678" spans="1:12" x14ac:dyDescent="0.25">
      <c r="A8678" t="s">
        <v>18149</v>
      </c>
      <c r="B8678" t="s">
        <v>18150</v>
      </c>
      <c r="C8678" t="s">
        <v>149</v>
      </c>
      <c r="D8678" s="254">
        <v>2.76</v>
      </c>
      <c r="E8678">
        <v>1.5402</v>
      </c>
      <c r="F8678"/>
      <c r="G8678"/>
      <c r="H8678"/>
      <c r="I8678" s="489"/>
      <c r="J8678" s="1362"/>
      <c r="K8678" s="1362"/>
      <c r="L8678" s="1362"/>
    </row>
    <row r="8679" spans="1:12" x14ac:dyDescent="0.25">
      <c r="A8679" t="s">
        <v>18151</v>
      </c>
      <c r="B8679" t="s">
        <v>18152</v>
      </c>
      <c r="C8679" t="s">
        <v>149</v>
      </c>
      <c r="D8679" s="254">
        <v>55.34</v>
      </c>
      <c r="E8679">
        <v>40.845500000000001</v>
      </c>
      <c r="F8679"/>
      <c r="G8679"/>
      <c r="H8679"/>
      <c r="I8679" s="489"/>
      <c r="J8679" s="1362"/>
      <c r="K8679" s="1362"/>
      <c r="L8679" s="1362"/>
    </row>
    <row r="8680" spans="1:12" x14ac:dyDescent="0.25">
      <c r="A8680" t="s">
        <v>18153</v>
      </c>
      <c r="B8680" t="s">
        <v>18154</v>
      </c>
      <c r="C8680" t="s">
        <v>149</v>
      </c>
      <c r="D8680" s="254">
        <v>49.82</v>
      </c>
      <c r="E8680">
        <v>38.856999999999999</v>
      </c>
      <c r="F8680"/>
      <c r="G8680"/>
      <c r="H8680"/>
      <c r="I8680" s="489"/>
      <c r="J8680" s="1362"/>
      <c r="K8680" s="1362"/>
      <c r="L8680" s="1362"/>
    </row>
    <row r="8681" spans="1:12" x14ac:dyDescent="0.25">
      <c r="A8681" t="s">
        <v>18155</v>
      </c>
      <c r="B8681" t="s">
        <v>18156</v>
      </c>
      <c r="C8681" t="s">
        <v>149</v>
      </c>
      <c r="D8681" s="254">
        <v>242.92</v>
      </c>
      <c r="E8681">
        <v>60.828800000000001</v>
      </c>
      <c r="F8681"/>
      <c r="G8681"/>
      <c r="H8681"/>
      <c r="I8681" s="489"/>
      <c r="J8681" s="1362"/>
      <c r="K8681" s="1362"/>
      <c r="L8681" s="1362"/>
    </row>
    <row r="8682" spans="1:12" x14ac:dyDescent="0.25">
      <c r="A8682" t="s">
        <v>18157</v>
      </c>
      <c r="B8682" t="s">
        <v>18158</v>
      </c>
      <c r="C8682" t="s">
        <v>149</v>
      </c>
      <c r="D8682" s="254">
        <v>232.88</v>
      </c>
      <c r="E8682">
        <v>55.429099999999998</v>
      </c>
      <c r="F8682"/>
      <c r="G8682"/>
      <c r="H8682"/>
      <c r="I8682" s="489"/>
      <c r="J8682" s="1362"/>
      <c r="K8682" s="1362"/>
      <c r="L8682" s="1362"/>
    </row>
    <row r="8683" spans="1:12" x14ac:dyDescent="0.25">
      <c r="A8683" t="s">
        <v>18159</v>
      </c>
      <c r="B8683" t="s">
        <v>18160</v>
      </c>
      <c r="C8683" t="s">
        <v>149</v>
      </c>
      <c r="D8683" s="254">
        <v>10.039999999999999</v>
      </c>
      <c r="E8683">
        <v>5.3997000000000002</v>
      </c>
      <c r="F8683"/>
      <c r="G8683"/>
      <c r="H8683"/>
      <c r="I8683" s="489"/>
      <c r="J8683" s="1362"/>
      <c r="K8683" s="1362"/>
      <c r="L8683" s="1362"/>
    </row>
    <row r="8684" spans="1:12" x14ac:dyDescent="0.25">
      <c r="A8684" t="s">
        <v>18161</v>
      </c>
      <c r="B8684" t="s">
        <v>18162</v>
      </c>
      <c r="C8684" t="s">
        <v>149</v>
      </c>
      <c r="D8684" s="254">
        <v>320.83999999999997</v>
      </c>
      <c r="E8684">
        <v>97.6614</v>
      </c>
      <c r="F8684"/>
      <c r="G8684"/>
      <c r="H8684"/>
      <c r="I8684" s="489"/>
      <c r="J8684" s="1362"/>
      <c r="K8684" s="1362"/>
      <c r="L8684" s="1362"/>
    </row>
    <row r="8685" spans="1:12" x14ac:dyDescent="0.25">
      <c r="A8685" t="s">
        <v>18163</v>
      </c>
      <c r="B8685" t="s">
        <v>18164</v>
      </c>
      <c r="C8685" t="s">
        <v>149</v>
      </c>
      <c r="D8685" s="254">
        <v>279.45</v>
      </c>
      <c r="E8685">
        <v>64.983199999999997</v>
      </c>
      <c r="F8685"/>
      <c r="G8685"/>
      <c r="H8685"/>
      <c r="I8685" s="489"/>
      <c r="J8685" s="1362"/>
      <c r="K8685" s="1362"/>
      <c r="L8685" s="1362"/>
    </row>
    <row r="8686" spans="1:12" x14ac:dyDescent="0.25">
      <c r="A8686" t="s">
        <v>18165</v>
      </c>
      <c r="B8686" t="s">
        <v>18166</v>
      </c>
      <c r="C8686" t="s">
        <v>149</v>
      </c>
      <c r="D8686" s="254">
        <v>41.38</v>
      </c>
      <c r="E8686">
        <v>32.678199999999997</v>
      </c>
      <c r="F8686"/>
      <c r="G8686"/>
      <c r="H8686"/>
      <c r="I8686" s="489"/>
      <c r="J8686" s="1362"/>
      <c r="K8686" s="1362"/>
      <c r="L8686" s="1362"/>
    </row>
    <row r="8687" spans="1:12" x14ac:dyDescent="0.25">
      <c r="A8687" t="s">
        <v>18167</v>
      </c>
      <c r="B8687" t="s">
        <v>18168</v>
      </c>
      <c r="C8687" t="s">
        <v>149</v>
      </c>
      <c r="D8687" s="254">
        <v>542.69000000000005</v>
      </c>
      <c r="E8687">
        <v>141.6576</v>
      </c>
      <c r="F8687"/>
      <c r="G8687"/>
      <c r="H8687"/>
      <c r="I8687" s="489"/>
      <c r="J8687" s="1362"/>
      <c r="K8687" s="1362"/>
      <c r="L8687" s="1362"/>
    </row>
    <row r="8688" spans="1:12" x14ac:dyDescent="0.25">
      <c r="A8688" t="s">
        <v>18169</v>
      </c>
      <c r="B8688" t="s">
        <v>18170</v>
      </c>
      <c r="C8688" t="s">
        <v>149</v>
      </c>
      <c r="D8688" s="254">
        <v>453.94</v>
      </c>
      <c r="E8688">
        <v>83.510099999999994</v>
      </c>
      <c r="F8688"/>
      <c r="G8688"/>
      <c r="H8688"/>
      <c r="I8688" s="489"/>
      <c r="J8688" s="1362"/>
      <c r="K8688" s="1362"/>
      <c r="L8688" s="1362"/>
    </row>
    <row r="8689" spans="1:12" x14ac:dyDescent="0.25">
      <c r="A8689" t="s">
        <v>18171</v>
      </c>
      <c r="B8689" t="s">
        <v>18172</v>
      </c>
      <c r="C8689" t="s">
        <v>149</v>
      </c>
      <c r="D8689" s="254">
        <v>88.75</v>
      </c>
      <c r="E8689">
        <v>58.147500000000001</v>
      </c>
      <c r="F8689"/>
      <c r="G8689"/>
      <c r="H8689"/>
      <c r="I8689" s="489"/>
      <c r="J8689" s="1362"/>
      <c r="K8689" s="1362"/>
      <c r="L8689" s="1362"/>
    </row>
    <row r="8690" spans="1:12" x14ac:dyDescent="0.25">
      <c r="A8690" t="s">
        <v>18173</v>
      </c>
      <c r="B8690" t="s">
        <v>18174</v>
      </c>
      <c r="C8690" t="s">
        <v>149</v>
      </c>
      <c r="D8690" s="254">
        <v>302.5</v>
      </c>
      <c r="E8690">
        <v>61.840400000000002</v>
      </c>
      <c r="F8690"/>
      <c r="G8690"/>
      <c r="H8690"/>
      <c r="I8690" s="489"/>
      <c r="J8690" s="1362"/>
      <c r="K8690" s="1362"/>
      <c r="L8690" s="1362"/>
    </row>
    <row r="8691" spans="1:12" x14ac:dyDescent="0.25">
      <c r="A8691" t="s">
        <v>18175</v>
      </c>
      <c r="B8691" t="s">
        <v>18176</v>
      </c>
      <c r="C8691" t="s">
        <v>149</v>
      </c>
      <c r="D8691" s="254">
        <v>302.5</v>
      </c>
      <c r="E8691">
        <v>61.840400000000002</v>
      </c>
      <c r="F8691"/>
      <c r="G8691"/>
      <c r="H8691"/>
      <c r="I8691" s="489"/>
      <c r="J8691" s="1362"/>
      <c r="K8691" s="1362"/>
      <c r="L8691" s="1362"/>
    </row>
    <row r="8692" spans="1:12" x14ac:dyDescent="0.25">
      <c r="A8692" t="s">
        <v>18177</v>
      </c>
      <c r="B8692" t="s">
        <v>18178</v>
      </c>
      <c r="C8692" t="s">
        <v>149</v>
      </c>
      <c r="D8692" s="254">
        <v>5.37</v>
      </c>
      <c r="E8692">
        <v>3.6732</v>
      </c>
      <c r="F8692"/>
      <c r="G8692"/>
      <c r="H8692"/>
      <c r="I8692" s="489"/>
      <c r="J8692" s="1362"/>
      <c r="K8692" s="1362"/>
      <c r="L8692" s="1362"/>
    </row>
    <row r="8693" spans="1:12" x14ac:dyDescent="0.25">
      <c r="A8693" t="s">
        <v>18179</v>
      </c>
      <c r="B8693" t="s">
        <v>18180</v>
      </c>
      <c r="C8693" t="s">
        <v>149</v>
      </c>
      <c r="D8693" s="254">
        <v>5.37</v>
      </c>
      <c r="E8693">
        <v>3.6732</v>
      </c>
      <c r="F8693"/>
      <c r="G8693"/>
      <c r="H8693"/>
      <c r="I8693" s="489"/>
      <c r="J8693" s="1362"/>
      <c r="K8693" s="1362"/>
      <c r="L8693" s="1362"/>
    </row>
    <row r="8694" spans="1:12" x14ac:dyDescent="0.25">
      <c r="A8694" t="s">
        <v>18181</v>
      </c>
      <c r="B8694" t="s">
        <v>18182</v>
      </c>
      <c r="C8694" t="s">
        <v>149</v>
      </c>
      <c r="D8694" s="254">
        <v>52.46</v>
      </c>
      <c r="E8694">
        <v>28.6751</v>
      </c>
      <c r="F8694"/>
      <c r="G8694"/>
      <c r="H8694"/>
      <c r="I8694" s="489"/>
      <c r="J8694" s="1362"/>
      <c r="K8694" s="1362"/>
      <c r="L8694" s="1362"/>
    </row>
    <row r="8695" spans="1:12" x14ac:dyDescent="0.25">
      <c r="A8695" t="s">
        <v>18183</v>
      </c>
      <c r="B8695" t="s">
        <v>18184</v>
      </c>
      <c r="C8695" t="s">
        <v>149</v>
      </c>
      <c r="D8695" s="254">
        <v>52.46</v>
      </c>
      <c r="E8695">
        <v>28.6751</v>
      </c>
      <c r="F8695"/>
      <c r="G8695"/>
      <c r="H8695"/>
      <c r="I8695" s="489"/>
      <c r="J8695" s="1362"/>
      <c r="K8695" s="1362"/>
      <c r="L8695" s="1362"/>
    </row>
    <row r="8696" spans="1:12" x14ac:dyDescent="0.25">
      <c r="A8696" t="s">
        <v>18185</v>
      </c>
      <c r="B8696" t="s">
        <v>18186</v>
      </c>
      <c r="C8696" t="s">
        <v>149</v>
      </c>
      <c r="D8696" s="254">
        <v>310.70999999999998</v>
      </c>
      <c r="E8696">
        <v>77.213700000000003</v>
      </c>
      <c r="F8696"/>
      <c r="G8696"/>
      <c r="H8696"/>
      <c r="I8696" s="489"/>
      <c r="J8696" s="1362"/>
      <c r="K8696" s="1362"/>
      <c r="L8696" s="1362"/>
    </row>
    <row r="8697" spans="1:12" x14ac:dyDescent="0.25">
      <c r="A8697" t="s">
        <v>18187</v>
      </c>
      <c r="B8697" t="s">
        <v>18188</v>
      </c>
      <c r="C8697" t="s">
        <v>149</v>
      </c>
      <c r="D8697" s="254">
        <v>301.81</v>
      </c>
      <c r="E8697">
        <v>72.540800000000004</v>
      </c>
      <c r="F8697"/>
      <c r="G8697"/>
      <c r="H8697"/>
      <c r="I8697" s="489"/>
      <c r="J8697" s="1362"/>
      <c r="K8697" s="1362"/>
      <c r="L8697" s="1362"/>
    </row>
    <row r="8698" spans="1:12" x14ac:dyDescent="0.25">
      <c r="A8698" t="s">
        <v>18189</v>
      </c>
      <c r="B8698" t="s">
        <v>18190</v>
      </c>
      <c r="C8698" t="s">
        <v>149</v>
      </c>
      <c r="D8698" s="254">
        <v>8.9</v>
      </c>
      <c r="E8698">
        <v>4.6729000000000003</v>
      </c>
      <c r="F8698"/>
      <c r="G8698"/>
      <c r="H8698"/>
      <c r="I8698" s="489"/>
      <c r="J8698" s="1362"/>
      <c r="K8698" s="1362"/>
      <c r="L8698" s="1362"/>
    </row>
    <row r="8699" spans="1:12" x14ac:dyDescent="0.25">
      <c r="A8699" t="s">
        <v>18191</v>
      </c>
      <c r="B8699" t="s">
        <v>18192</v>
      </c>
      <c r="C8699" t="s">
        <v>149</v>
      </c>
      <c r="D8699" s="254">
        <v>524.39</v>
      </c>
      <c r="E8699">
        <v>102.3485</v>
      </c>
      <c r="F8699"/>
      <c r="G8699"/>
      <c r="H8699"/>
      <c r="I8699" s="489"/>
      <c r="J8699" s="1362"/>
      <c r="K8699" s="1362"/>
      <c r="L8699" s="1362"/>
    </row>
    <row r="8700" spans="1:12" x14ac:dyDescent="0.25">
      <c r="A8700" t="s">
        <v>18114</v>
      </c>
      <c r="B8700" t="s">
        <v>18115</v>
      </c>
      <c r="C8700" t="s">
        <v>149</v>
      </c>
      <c r="D8700" s="254">
        <v>481.36</v>
      </c>
      <c r="E8700">
        <v>78.337900000000005</v>
      </c>
      <c r="F8700"/>
      <c r="G8700"/>
      <c r="H8700"/>
      <c r="I8700" s="489"/>
      <c r="J8700" s="1362"/>
      <c r="K8700" s="1362"/>
      <c r="L8700" s="1362"/>
    </row>
    <row r="8701" spans="1:12" x14ac:dyDescent="0.25">
      <c r="A8701" t="s">
        <v>18193</v>
      </c>
      <c r="B8701" t="s">
        <v>18194</v>
      </c>
      <c r="C8701" t="s">
        <v>149</v>
      </c>
      <c r="D8701" s="254">
        <v>43.03</v>
      </c>
      <c r="E8701">
        <v>24.0106</v>
      </c>
      <c r="F8701"/>
      <c r="G8701"/>
      <c r="H8701"/>
      <c r="I8701" s="489"/>
      <c r="J8701" s="1362"/>
      <c r="K8701" s="1362"/>
      <c r="L8701" s="1362"/>
    </row>
    <row r="8702" spans="1:12" x14ac:dyDescent="0.25">
      <c r="A8702" t="s">
        <v>18195</v>
      </c>
      <c r="B8702" t="s">
        <v>18196</v>
      </c>
      <c r="C8702" t="s">
        <v>149</v>
      </c>
      <c r="D8702" s="254">
        <v>611.14</v>
      </c>
      <c r="E8702">
        <v>173.99770000000001</v>
      </c>
      <c r="F8702"/>
      <c r="G8702"/>
      <c r="H8702"/>
      <c r="I8702" s="489"/>
      <c r="J8702" s="1362"/>
      <c r="K8702" s="1362"/>
      <c r="L8702" s="1362"/>
    </row>
    <row r="8703" spans="1:12" x14ac:dyDescent="0.25">
      <c r="A8703" t="s">
        <v>18120</v>
      </c>
      <c r="B8703" t="s">
        <v>18121</v>
      </c>
      <c r="C8703" t="s">
        <v>149</v>
      </c>
      <c r="D8703" s="254">
        <v>466.46</v>
      </c>
      <c r="E8703">
        <v>91.291300000000007</v>
      </c>
      <c r="F8703"/>
      <c r="G8703"/>
      <c r="H8703"/>
      <c r="I8703" s="489"/>
      <c r="J8703" s="1362"/>
      <c r="K8703" s="1362"/>
      <c r="L8703" s="1362"/>
    </row>
    <row r="8704" spans="1:12" x14ac:dyDescent="0.25">
      <c r="A8704" t="s">
        <v>18197</v>
      </c>
      <c r="B8704" t="s">
        <v>18198</v>
      </c>
      <c r="C8704" t="s">
        <v>149</v>
      </c>
      <c r="D8704" s="254">
        <v>53.57</v>
      </c>
      <c r="E8704">
        <v>30.6203</v>
      </c>
      <c r="F8704"/>
      <c r="G8704"/>
      <c r="H8704"/>
      <c r="I8704" s="489"/>
      <c r="J8704" s="1362"/>
      <c r="K8704" s="1362"/>
      <c r="L8704" s="1362"/>
    </row>
    <row r="8705" spans="1:12" x14ac:dyDescent="0.25">
      <c r="A8705" t="s">
        <v>18199</v>
      </c>
      <c r="B8705" t="s">
        <v>18200</v>
      </c>
      <c r="C8705" t="s">
        <v>149</v>
      </c>
      <c r="D8705" s="254">
        <v>91.12</v>
      </c>
      <c r="E8705">
        <v>52.086100000000002</v>
      </c>
      <c r="F8705"/>
      <c r="G8705"/>
      <c r="H8705"/>
      <c r="I8705" s="489"/>
      <c r="J8705" s="1362"/>
      <c r="K8705" s="1362"/>
      <c r="L8705" s="1362"/>
    </row>
    <row r="8706" spans="1:12" x14ac:dyDescent="0.25">
      <c r="A8706" t="s">
        <v>18201</v>
      </c>
      <c r="B8706" t="s">
        <v>18202</v>
      </c>
      <c r="C8706" t="s">
        <v>149</v>
      </c>
      <c r="D8706" s="254">
        <v>707.19</v>
      </c>
      <c r="E8706">
        <v>227.3614</v>
      </c>
      <c r="F8706"/>
      <c r="G8706"/>
      <c r="H8706"/>
      <c r="I8706" s="489"/>
      <c r="J8706" s="1362"/>
      <c r="K8706" s="1362"/>
      <c r="L8706" s="1362"/>
    </row>
    <row r="8707" spans="1:12" x14ac:dyDescent="0.25">
      <c r="A8707" t="s">
        <v>18197</v>
      </c>
      <c r="B8707" t="s">
        <v>18198</v>
      </c>
      <c r="C8707" t="s">
        <v>149</v>
      </c>
      <c r="D8707" s="254">
        <v>53.57</v>
      </c>
      <c r="E8707">
        <v>30.6203</v>
      </c>
      <c r="F8707"/>
      <c r="G8707"/>
      <c r="H8707"/>
      <c r="I8707" s="489"/>
      <c r="J8707" s="1362"/>
      <c r="K8707" s="1362"/>
      <c r="L8707" s="1362"/>
    </row>
    <row r="8708" spans="1:12" x14ac:dyDescent="0.25">
      <c r="A8708" t="s">
        <v>18203</v>
      </c>
      <c r="B8708" t="s">
        <v>18204</v>
      </c>
      <c r="C8708" t="s">
        <v>149</v>
      </c>
      <c r="D8708" s="254">
        <v>492.56</v>
      </c>
      <c r="E8708">
        <v>104.66970000000001</v>
      </c>
      <c r="F8708"/>
      <c r="G8708"/>
      <c r="H8708"/>
      <c r="I8708" s="489"/>
      <c r="J8708" s="1362"/>
      <c r="K8708" s="1362"/>
      <c r="L8708" s="1362"/>
    </row>
    <row r="8709" spans="1:12" x14ac:dyDescent="0.25">
      <c r="A8709" t="s">
        <v>18205</v>
      </c>
      <c r="B8709" t="s">
        <v>18206</v>
      </c>
      <c r="C8709" t="s">
        <v>149</v>
      </c>
      <c r="D8709" s="254">
        <v>69.95</v>
      </c>
      <c r="E8709">
        <v>39.985300000000002</v>
      </c>
      <c r="F8709"/>
      <c r="G8709"/>
      <c r="H8709"/>
      <c r="I8709" s="489"/>
      <c r="J8709" s="1362"/>
      <c r="K8709" s="1362"/>
      <c r="L8709" s="1362"/>
    </row>
    <row r="8710" spans="1:12" x14ac:dyDescent="0.25">
      <c r="A8710" t="s">
        <v>18199</v>
      </c>
      <c r="B8710" t="s">
        <v>18200</v>
      </c>
      <c r="C8710" t="s">
        <v>149</v>
      </c>
      <c r="D8710" s="254">
        <v>91.12</v>
      </c>
      <c r="E8710">
        <v>52.086100000000002</v>
      </c>
      <c r="F8710"/>
      <c r="G8710"/>
      <c r="H8710"/>
      <c r="I8710" s="489"/>
      <c r="J8710" s="1362"/>
      <c r="K8710" s="1362"/>
      <c r="L8710" s="1362"/>
    </row>
    <row r="8711" spans="1:12" x14ac:dyDescent="0.25">
      <c r="A8711" t="s">
        <v>18207</v>
      </c>
      <c r="B8711" t="s">
        <v>18208</v>
      </c>
      <c r="C8711" t="s">
        <v>149</v>
      </c>
      <c r="D8711" s="254">
        <v>1334.62</v>
      </c>
      <c r="E8711">
        <v>492.72649999999999</v>
      </c>
      <c r="F8711"/>
      <c r="G8711"/>
      <c r="H8711"/>
      <c r="I8711" s="489"/>
      <c r="J8711" s="1362"/>
      <c r="K8711" s="1362"/>
      <c r="L8711" s="1362"/>
    </row>
    <row r="8712" spans="1:12" x14ac:dyDescent="0.25">
      <c r="A8712" t="s">
        <v>18209</v>
      </c>
      <c r="B8712" t="s">
        <v>18210</v>
      </c>
      <c r="C8712" t="s">
        <v>149</v>
      </c>
      <c r="D8712" s="254">
        <v>1077.6500000000001</v>
      </c>
      <c r="E8712">
        <v>345.83319999999998</v>
      </c>
      <c r="F8712"/>
      <c r="G8712"/>
      <c r="H8712"/>
      <c r="I8712" s="489"/>
      <c r="J8712" s="1362"/>
      <c r="K8712" s="1362"/>
      <c r="L8712" s="1362"/>
    </row>
    <row r="8713" spans="1:12" x14ac:dyDescent="0.25">
      <c r="A8713" t="s">
        <v>18197</v>
      </c>
      <c r="B8713" t="s">
        <v>18198</v>
      </c>
      <c r="C8713" t="s">
        <v>149</v>
      </c>
      <c r="D8713" s="254">
        <v>53.57</v>
      </c>
      <c r="E8713">
        <v>30.6203</v>
      </c>
      <c r="F8713"/>
      <c r="G8713"/>
      <c r="H8713"/>
      <c r="I8713" s="489"/>
      <c r="J8713" s="1362"/>
      <c r="K8713" s="1362"/>
      <c r="L8713" s="1362"/>
    </row>
    <row r="8714" spans="1:12" x14ac:dyDescent="0.25">
      <c r="A8714" t="s">
        <v>18211</v>
      </c>
      <c r="B8714" t="s">
        <v>18212</v>
      </c>
      <c r="C8714" t="s">
        <v>149</v>
      </c>
      <c r="D8714" s="254">
        <v>112.29</v>
      </c>
      <c r="E8714">
        <v>64.186899999999994</v>
      </c>
      <c r="F8714"/>
      <c r="G8714"/>
      <c r="H8714"/>
      <c r="I8714" s="489"/>
      <c r="J8714" s="1362"/>
      <c r="K8714" s="1362"/>
      <c r="L8714" s="1362"/>
    </row>
    <row r="8715" spans="1:12" x14ac:dyDescent="0.25">
      <c r="A8715" t="s">
        <v>18199</v>
      </c>
      <c r="B8715" t="s">
        <v>18200</v>
      </c>
      <c r="C8715" t="s">
        <v>149</v>
      </c>
      <c r="D8715" s="254">
        <v>91.12</v>
      </c>
      <c r="E8715">
        <v>52.086100000000002</v>
      </c>
      <c r="F8715"/>
      <c r="G8715"/>
      <c r="H8715"/>
      <c r="I8715" s="489"/>
      <c r="J8715" s="1362"/>
      <c r="K8715" s="1362"/>
      <c r="L8715" s="1362"/>
    </row>
    <row r="8716" spans="1:12" x14ac:dyDescent="0.25">
      <c r="A8716" t="s">
        <v>18213</v>
      </c>
      <c r="B8716" t="s">
        <v>18214</v>
      </c>
      <c r="C8716" t="s">
        <v>149</v>
      </c>
      <c r="D8716" s="254">
        <v>404.07</v>
      </c>
      <c r="E8716">
        <v>96.349100000000007</v>
      </c>
      <c r="F8716"/>
      <c r="G8716"/>
      <c r="H8716"/>
      <c r="I8716" s="489"/>
      <c r="J8716" s="1362"/>
      <c r="K8716" s="1362"/>
      <c r="L8716" s="1362"/>
    </row>
    <row r="8717" spans="1:12" x14ac:dyDescent="0.25">
      <c r="A8717" t="s">
        <v>18215</v>
      </c>
      <c r="B8717" t="s">
        <v>18216</v>
      </c>
      <c r="C8717" t="s">
        <v>149</v>
      </c>
      <c r="D8717" s="254">
        <v>39.36</v>
      </c>
      <c r="E8717">
        <v>23.122800000000002</v>
      </c>
      <c r="F8717"/>
      <c r="G8717"/>
      <c r="H8717"/>
      <c r="I8717" s="489"/>
      <c r="J8717" s="1362"/>
      <c r="K8717" s="1362"/>
      <c r="L8717" s="1362"/>
    </row>
    <row r="8718" spans="1:12" x14ac:dyDescent="0.25">
      <c r="A8718" t="s">
        <v>18140</v>
      </c>
      <c r="B8718" t="s">
        <v>18141</v>
      </c>
      <c r="C8718" t="s">
        <v>149</v>
      </c>
      <c r="D8718" s="254">
        <v>364.71</v>
      </c>
      <c r="E8718">
        <v>73.226299999999995</v>
      </c>
      <c r="F8718"/>
      <c r="G8718"/>
      <c r="H8718"/>
      <c r="I8718" s="489"/>
      <c r="J8718" s="1362"/>
      <c r="K8718" s="1362"/>
      <c r="L8718" s="1362"/>
    </row>
    <row r="8719" spans="1:12" x14ac:dyDescent="0.25">
      <c r="A8719" t="s">
        <v>18217</v>
      </c>
      <c r="B8719" t="s">
        <v>18218</v>
      </c>
      <c r="C8719" t="s">
        <v>149</v>
      </c>
      <c r="D8719" s="254">
        <v>346.6</v>
      </c>
      <c r="E8719">
        <v>101.6307</v>
      </c>
      <c r="F8719"/>
      <c r="G8719"/>
      <c r="H8719"/>
      <c r="I8719" s="489"/>
      <c r="J8719" s="1362"/>
      <c r="K8719" s="1362"/>
      <c r="L8719" s="1362"/>
    </row>
    <row r="8720" spans="1:12" x14ac:dyDescent="0.25">
      <c r="A8720" t="s">
        <v>18219</v>
      </c>
      <c r="B8720" t="s">
        <v>18220</v>
      </c>
      <c r="C8720" t="s">
        <v>149</v>
      </c>
      <c r="D8720" s="254">
        <v>313.91000000000003</v>
      </c>
      <c r="E8720">
        <v>84.474000000000004</v>
      </c>
      <c r="F8720"/>
      <c r="G8720"/>
      <c r="H8720"/>
      <c r="I8720" s="489"/>
      <c r="J8720" s="1362"/>
      <c r="K8720" s="1362"/>
      <c r="L8720" s="1362"/>
    </row>
    <row r="8721" spans="1:12" x14ac:dyDescent="0.25">
      <c r="A8721" t="s">
        <v>18221</v>
      </c>
      <c r="B8721" t="s">
        <v>18222</v>
      </c>
      <c r="C8721" t="s">
        <v>149</v>
      </c>
      <c r="D8721" s="254">
        <v>32.69</v>
      </c>
      <c r="E8721">
        <v>17.156700000000001</v>
      </c>
      <c r="F8721"/>
      <c r="G8721"/>
      <c r="H8721"/>
      <c r="I8721" s="489"/>
      <c r="J8721" s="1362"/>
      <c r="K8721" s="1362"/>
      <c r="L8721" s="1362"/>
    </row>
    <row r="8722" spans="1:12" x14ac:dyDescent="0.25">
      <c r="A8722" t="s">
        <v>18223</v>
      </c>
      <c r="B8722" t="s">
        <v>18224</v>
      </c>
      <c r="C8722" t="s">
        <v>149</v>
      </c>
      <c r="D8722" s="254">
        <v>339.58</v>
      </c>
      <c r="E8722">
        <v>130.64830000000001</v>
      </c>
      <c r="F8722"/>
      <c r="G8722"/>
      <c r="H8722"/>
      <c r="I8722" s="489"/>
      <c r="J8722" s="1362"/>
      <c r="K8722" s="1362"/>
      <c r="L8722" s="1362"/>
    </row>
    <row r="8723" spans="1:12" x14ac:dyDescent="0.25">
      <c r="A8723" t="s">
        <v>18225</v>
      </c>
      <c r="B8723" t="s">
        <v>18226</v>
      </c>
      <c r="C8723" t="s">
        <v>149</v>
      </c>
      <c r="D8723" s="254">
        <v>236.99</v>
      </c>
      <c r="E8723">
        <v>61.0839</v>
      </c>
      <c r="F8723"/>
      <c r="G8723"/>
      <c r="H8723"/>
      <c r="I8723" s="489"/>
      <c r="J8723" s="1362"/>
      <c r="K8723" s="1362"/>
      <c r="L8723" s="1362"/>
    </row>
    <row r="8724" spans="1:12" x14ac:dyDescent="0.25">
      <c r="A8724" t="s">
        <v>18227</v>
      </c>
      <c r="B8724" t="s">
        <v>18228</v>
      </c>
      <c r="C8724" t="s">
        <v>149</v>
      </c>
      <c r="D8724" s="254">
        <v>102.59</v>
      </c>
      <c r="E8724">
        <v>69.564400000000006</v>
      </c>
      <c r="F8724"/>
      <c r="G8724"/>
      <c r="H8724"/>
      <c r="I8724" s="489"/>
      <c r="J8724" s="1362"/>
      <c r="K8724" s="1362"/>
      <c r="L8724" s="1362"/>
    </row>
    <row r="8725" spans="1:12" x14ac:dyDescent="0.25">
      <c r="A8725" t="s">
        <v>18229</v>
      </c>
      <c r="B8725" t="s">
        <v>18230</v>
      </c>
      <c r="C8725" t="s">
        <v>149</v>
      </c>
      <c r="D8725" s="254">
        <v>200.27</v>
      </c>
      <c r="E8725">
        <v>66.2804</v>
      </c>
      <c r="F8725"/>
      <c r="G8725"/>
      <c r="H8725"/>
      <c r="I8725" s="489"/>
      <c r="J8725" s="1362"/>
      <c r="K8725" s="1362"/>
      <c r="L8725" s="1362"/>
    </row>
    <row r="8726" spans="1:12" x14ac:dyDescent="0.25">
      <c r="A8726" t="s">
        <v>18231</v>
      </c>
      <c r="B8726" t="s">
        <v>18232</v>
      </c>
      <c r="C8726" t="s">
        <v>149</v>
      </c>
      <c r="D8726" s="254">
        <v>189.28</v>
      </c>
      <c r="E8726">
        <v>60.512799999999999</v>
      </c>
      <c r="F8726"/>
      <c r="G8726"/>
      <c r="H8726"/>
      <c r="I8726" s="489"/>
      <c r="J8726" s="1362"/>
      <c r="K8726" s="1362"/>
      <c r="L8726" s="1362"/>
    </row>
    <row r="8727" spans="1:12" x14ac:dyDescent="0.25">
      <c r="A8727" t="s">
        <v>18233</v>
      </c>
      <c r="B8727" t="s">
        <v>18234</v>
      </c>
      <c r="C8727" t="s">
        <v>149</v>
      </c>
      <c r="D8727" s="254">
        <v>10.99</v>
      </c>
      <c r="E8727">
        <v>5.7675999999999998</v>
      </c>
      <c r="F8727"/>
      <c r="G8727"/>
      <c r="H8727"/>
      <c r="I8727" s="489"/>
      <c r="J8727" s="1362"/>
      <c r="K8727" s="1362"/>
      <c r="L8727" s="1362"/>
    </row>
    <row r="8728" spans="1:12" x14ac:dyDescent="0.25">
      <c r="A8728" t="s">
        <v>18235</v>
      </c>
      <c r="B8728" t="s">
        <v>18236</v>
      </c>
      <c r="C8728" t="s">
        <v>149</v>
      </c>
      <c r="D8728" s="254">
        <v>196.34</v>
      </c>
      <c r="E8728">
        <v>64.392600000000002</v>
      </c>
      <c r="F8728"/>
      <c r="G8728"/>
      <c r="H8728"/>
      <c r="I8728" s="489"/>
      <c r="J8728" s="1362"/>
      <c r="K8728" s="1362"/>
      <c r="L8728" s="1362"/>
    </row>
    <row r="8729" spans="1:12" x14ac:dyDescent="0.25">
      <c r="A8729" t="s">
        <v>18237</v>
      </c>
      <c r="B8729" t="s">
        <v>18238</v>
      </c>
      <c r="C8729" t="s">
        <v>149</v>
      </c>
      <c r="D8729" s="254">
        <v>190.54</v>
      </c>
      <c r="E8729">
        <v>61.157899999999998</v>
      </c>
      <c r="F8729"/>
      <c r="G8729"/>
      <c r="H8729"/>
      <c r="I8729" s="489"/>
      <c r="J8729" s="1362"/>
      <c r="K8729" s="1362"/>
      <c r="L8729" s="1362"/>
    </row>
    <row r="8730" spans="1:12" x14ac:dyDescent="0.25">
      <c r="A8730" t="s">
        <v>18239</v>
      </c>
      <c r="B8730" t="s">
        <v>18240</v>
      </c>
      <c r="C8730" t="s">
        <v>149</v>
      </c>
      <c r="D8730" s="254">
        <v>5.8</v>
      </c>
      <c r="E8730">
        <v>3.2347000000000001</v>
      </c>
      <c r="F8730"/>
      <c r="G8730"/>
      <c r="H8730"/>
      <c r="I8730" s="489"/>
      <c r="J8730" s="1362"/>
      <c r="K8730" s="1362"/>
      <c r="L8730" s="1362"/>
    </row>
    <row r="8731" spans="1:12" x14ac:dyDescent="0.25">
      <c r="A8731" t="s">
        <v>18241</v>
      </c>
      <c r="B8731" t="s">
        <v>18242</v>
      </c>
      <c r="C8731" t="s">
        <v>149</v>
      </c>
      <c r="D8731" s="254">
        <v>298.92</v>
      </c>
      <c r="E8731">
        <v>68.853499999999997</v>
      </c>
      <c r="F8731"/>
      <c r="G8731"/>
      <c r="H8731"/>
      <c r="I8731" s="489"/>
      <c r="J8731" s="1362"/>
      <c r="K8731" s="1362"/>
      <c r="L8731" s="1362"/>
    </row>
    <row r="8732" spans="1:12" x14ac:dyDescent="0.25">
      <c r="A8732" t="s">
        <v>18147</v>
      </c>
      <c r="B8732" t="s">
        <v>18148</v>
      </c>
      <c r="C8732" t="s">
        <v>149</v>
      </c>
      <c r="D8732" s="254">
        <v>271.22000000000003</v>
      </c>
      <c r="E8732">
        <v>58.585099999999997</v>
      </c>
      <c r="F8732"/>
      <c r="G8732"/>
      <c r="H8732"/>
      <c r="I8732" s="489"/>
      <c r="J8732" s="1362"/>
      <c r="K8732" s="1362"/>
      <c r="L8732" s="1362"/>
    </row>
    <row r="8733" spans="1:12" x14ac:dyDescent="0.25">
      <c r="A8733" t="s">
        <v>18243</v>
      </c>
      <c r="B8733" t="s">
        <v>18244</v>
      </c>
      <c r="C8733" t="s">
        <v>149</v>
      </c>
      <c r="D8733" s="254">
        <v>27.69</v>
      </c>
      <c r="E8733">
        <v>10.2684</v>
      </c>
      <c r="F8733"/>
      <c r="G8733"/>
      <c r="H8733"/>
      <c r="I8733" s="489"/>
      <c r="J8733" s="1362"/>
      <c r="K8733" s="1362"/>
      <c r="L8733" s="1362"/>
    </row>
    <row r="8734" spans="1:12" x14ac:dyDescent="0.25">
      <c r="A8734" t="s">
        <v>18245</v>
      </c>
      <c r="B8734" t="s">
        <v>18246</v>
      </c>
      <c r="C8734" t="s">
        <v>149</v>
      </c>
      <c r="D8734" s="254">
        <v>307.49</v>
      </c>
      <c r="E8734">
        <v>75.913600000000002</v>
      </c>
      <c r="F8734"/>
      <c r="G8734"/>
      <c r="H8734"/>
      <c r="I8734" s="489"/>
      <c r="J8734" s="1362"/>
      <c r="K8734" s="1362"/>
      <c r="L8734" s="1362"/>
    </row>
    <row r="8735" spans="1:12" x14ac:dyDescent="0.25">
      <c r="A8735" t="s">
        <v>18247</v>
      </c>
      <c r="B8735" t="s">
        <v>18248</v>
      </c>
      <c r="C8735" t="s">
        <v>149</v>
      </c>
      <c r="D8735" s="254">
        <v>293.2</v>
      </c>
      <c r="E8735">
        <v>68.131200000000007</v>
      </c>
      <c r="F8735"/>
      <c r="G8735"/>
      <c r="H8735"/>
      <c r="I8735" s="489"/>
      <c r="J8735" s="1362"/>
      <c r="K8735" s="1362"/>
      <c r="L8735" s="1362"/>
    </row>
    <row r="8736" spans="1:12" x14ac:dyDescent="0.25">
      <c r="A8736" t="s">
        <v>18249</v>
      </c>
      <c r="B8736" t="s">
        <v>18250</v>
      </c>
      <c r="C8736" t="s">
        <v>149</v>
      </c>
      <c r="D8736" s="254">
        <v>14.28</v>
      </c>
      <c r="E8736">
        <v>7.7824</v>
      </c>
      <c r="F8736"/>
      <c r="G8736"/>
      <c r="H8736"/>
      <c r="I8736" s="489"/>
      <c r="J8736" s="1362"/>
      <c r="K8736" s="1362"/>
      <c r="L8736" s="1362"/>
    </row>
    <row r="8737" spans="1:12" x14ac:dyDescent="0.25">
      <c r="A8737" t="s">
        <v>18251</v>
      </c>
      <c r="B8737" t="s">
        <v>18252</v>
      </c>
      <c r="C8737" t="s">
        <v>149</v>
      </c>
      <c r="D8737" s="254">
        <v>375.76</v>
      </c>
      <c r="E8737">
        <v>77.473399999999998</v>
      </c>
      <c r="F8737"/>
      <c r="G8737"/>
      <c r="H8737"/>
      <c r="I8737" s="489"/>
      <c r="J8737" s="1362"/>
      <c r="K8737" s="1362"/>
      <c r="L8737" s="1362"/>
    </row>
    <row r="8738" spans="1:12" x14ac:dyDescent="0.25">
      <c r="A8738" t="s">
        <v>18253</v>
      </c>
      <c r="B8738" t="s">
        <v>18254</v>
      </c>
      <c r="C8738" t="s">
        <v>149</v>
      </c>
      <c r="D8738" s="254">
        <v>359.02</v>
      </c>
      <c r="E8738">
        <v>68.131200000000007</v>
      </c>
      <c r="F8738"/>
      <c r="G8738"/>
      <c r="H8738"/>
      <c r="I8738" s="489"/>
      <c r="J8738" s="1362"/>
      <c r="K8738" s="1362"/>
      <c r="L8738" s="1362"/>
    </row>
    <row r="8739" spans="1:12" x14ac:dyDescent="0.25">
      <c r="A8739" t="s">
        <v>18255</v>
      </c>
      <c r="B8739" t="s">
        <v>18256</v>
      </c>
      <c r="C8739" t="s">
        <v>149</v>
      </c>
      <c r="D8739" s="254">
        <v>16.739999999999998</v>
      </c>
      <c r="E8739">
        <v>9.3422000000000001</v>
      </c>
      <c r="F8739"/>
      <c r="G8739"/>
      <c r="H8739"/>
      <c r="I8739" s="489"/>
      <c r="J8739" s="1362"/>
      <c r="K8739" s="1362"/>
      <c r="L8739" s="1362"/>
    </row>
    <row r="8740" spans="1:12" x14ac:dyDescent="0.25">
      <c r="A8740" t="s">
        <v>18257</v>
      </c>
      <c r="B8740" t="s">
        <v>18258</v>
      </c>
      <c r="C8740" t="s">
        <v>149</v>
      </c>
      <c r="D8740" s="254">
        <v>321.45999999999998</v>
      </c>
      <c r="E8740">
        <v>84.978899999999996</v>
      </c>
      <c r="F8740"/>
      <c r="G8740"/>
      <c r="H8740"/>
      <c r="I8740" s="489"/>
      <c r="J8740" s="1362"/>
      <c r="K8740" s="1362"/>
      <c r="L8740" s="1362"/>
    </row>
    <row r="8741" spans="1:12" x14ac:dyDescent="0.25">
      <c r="A8741" t="s">
        <v>18259</v>
      </c>
      <c r="B8741" t="s">
        <v>18260</v>
      </c>
      <c r="C8741" t="s">
        <v>149</v>
      </c>
      <c r="D8741" s="254">
        <v>306.63</v>
      </c>
      <c r="E8741">
        <v>77.194999999999993</v>
      </c>
      <c r="F8741"/>
      <c r="G8741"/>
      <c r="H8741"/>
      <c r="I8741" s="489"/>
      <c r="J8741" s="1362"/>
      <c r="K8741" s="1362"/>
      <c r="L8741" s="1362"/>
    </row>
    <row r="8742" spans="1:12" x14ac:dyDescent="0.25">
      <c r="A8742" t="s">
        <v>18261</v>
      </c>
      <c r="B8742" t="s">
        <v>18262</v>
      </c>
      <c r="C8742" t="s">
        <v>149</v>
      </c>
      <c r="D8742" s="254">
        <v>14.83</v>
      </c>
      <c r="E8742">
        <v>7.7839</v>
      </c>
      <c r="F8742"/>
      <c r="G8742"/>
      <c r="H8742"/>
      <c r="I8742" s="489"/>
      <c r="J8742" s="1362"/>
      <c r="K8742" s="1362"/>
      <c r="L8742" s="1362"/>
    </row>
    <row r="8743" spans="1:12" x14ac:dyDescent="0.25">
      <c r="A8743" t="s">
        <v>18263</v>
      </c>
      <c r="B8743" t="s">
        <v>18264</v>
      </c>
      <c r="C8743" t="s">
        <v>149</v>
      </c>
      <c r="D8743" s="254">
        <v>315.48</v>
      </c>
      <c r="E8743">
        <v>79.718400000000003</v>
      </c>
      <c r="F8743"/>
      <c r="G8743"/>
      <c r="H8743"/>
      <c r="I8743" s="489"/>
      <c r="J8743" s="1362"/>
      <c r="K8743" s="1362"/>
      <c r="L8743" s="1362"/>
    </row>
    <row r="8744" spans="1:12" x14ac:dyDescent="0.25">
      <c r="A8744" t="s">
        <v>18187</v>
      </c>
      <c r="B8744" t="s">
        <v>18188</v>
      </c>
      <c r="C8744" t="s">
        <v>149</v>
      </c>
      <c r="D8744" s="254">
        <v>301.81</v>
      </c>
      <c r="E8744">
        <v>72.540800000000004</v>
      </c>
      <c r="F8744"/>
      <c r="G8744"/>
      <c r="H8744"/>
      <c r="I8744" s="489"/>
      <c r="J8744" s="1362"/>
      <c r="K8744" s="1362"/>
      <c r="L8744" s="1362"/>
    </row>
    <row r="8745" spans="1:12" x14ac:dyDescent="0.25">
      <c r="A8745" t="s">
        <v>18265</v>
      </c>
      <c r="B8745" t="s">
        <v>18266</v>
      </c>
      <c r="C8745" t="s">
        <v>149</v>
      </c>
      <c r="D8745" s="254">
        <v>13.67</v>
      </c>
      <c r="E8745">
        <v>7.1776</v>
      </c>
      <c r="F8745"/>
      <c r="G8745"/>
      <c r="H8745"/>
      <c r="I8745" s="489"/>
      <c r="J8745" s="1362"/>
      <c r="K8745" s="1362"/>
      <c r="L8745" s="1362"/>
    </row>
    <row r="8746" spans="1:12" x14ac:dyDescent="0.25">
      <c r="A8746" t="s">
        <v>13723</v>
      </c>
      <c r="B8746" t="s">
        <v>18267</v>
      </c>
      <c r="C8746" t="s">
        <v>149</v>
      </c>
      <c r="D8746" s="254">
        <v>300.83999999999997</v>
      </c>
      <c r="E8746">
        <v>72.335700000000003</v>
      </c>
      <c r="F8746"/>
      <c r="G8746"/>
      <c r="H8746"/>
      <c r="I8746" s="489"/>
      <c r="J8746" s="1362"/>
      <c r="K8746" s="1362"/>
      <c r="L8746" s="1362"/>
    </row>
    <row r="8747" spans="1:12" x14ac:dyDescent="0.25">
      <c r="A8747" t="s">
        <v>18268</v>
      </c>
      <c r="B8747" t="s">
        <v>18269</v>
      </c>
      <c r="C8747" t="s">
        <v>149</v>
      </c>
      <c r="D8747" s="254">
        <v>294.42</v>
      </c>
      <c r="E8747">
        <v>68.755899999999997</v>
      </c>
      <c r="F8747"/>
      <c r="G8747"/>
      <c r="H8747"/>
      <c r="I8747" s="489"/>
      <c r="J8747" s="1362"/>
      <c r="K8747" s="1362"/>
      <c r="L8747" s="1362"/>
    </row>
    <row r="8748" spans="1:12" x14ac:dyDescent="0.25">
      <c r="A8748" t="s">
        <v>18270</v>
      </c>
      <c r="B8748" t="s">
        <v>18271</v>
      </c>
      <c r="C8748" t="s">
        <v>149</v>
      </c>
      <c r="D8748" s="254">
        <v>6.42</v>
      </c>
      <c r="E8748">
        <v>3.5798000000000001</v>
      </c>
      <c r="F8748"/>
      <c r="G8748"/>
      <c r="H8748"/>
      <c r="I8748" s="489"/>
      <c r="J8748" s="1362"/>
      <c r="K8748" s="1362"/>
      <c r="L8748" s="1362"/>
    </row>
    <row r="8749" spans="1:12" x14ac:dyDescent="0.25">
      <c r="A8749" t="s">
        <v>18272</v>
      </c>
      <c r="B8749" t="s">
        <v>18273</v>
      </c>
      <c r="C8749" t="s">
        <v>149</v>
      </c>
      <c r="D8749" s="254">
        <v>336.21</v>
      </c>
      <c r="E8749">
        <v>92.7196</v>
      </c>
      <c r="F8749"/>
      <c r="G8749"/>
      <c r="H8749"/>
      <c r="I8749" s="489"/>
      <c r="J8749" s="1362"/>
      <c r="K8749" s="1362"/>
      <c r="L8749" s="1362"/>
    </row>
    <row r="8750" spans="1:12" x14ac:dyDescent="0.25">
      <c r="A8750" t="s">
        <v>18259</v>
      </c>
      <c r="B8750" t="s">
        <v>18260</v>
      </c>
      <c r="C8750" t="s">
        <v>149</v>
      </c>
      <c r="D8750" s="254">
        <v>306.63</v>
      </c>
      <c r="E8750">
        <v>77.194999999999993</v>
      </c>
      <c r="F8750"/>
      <c r="G8750"/>
      <c r="H8750"/>
      <c r="I8750" s="489"/>
      <c r="J8750" s="1362"/>
      <c r="K8750" s="1362"/>
      <c r="L8750" s="1362"/>
    </row>
    <row r="8751" spans="1:12" x14ac:dyDescent="0.25">
      <c r="A8751" t="s">
        <v>18274</v>
      </c>
      <c r="B8751" t="s">
        <v>18275</v>
      </c>
      <c r="C8751" t="s">
        <v>149</v>
      </c>
      <c r="D8751" s="254">
        <v>29.58</v>
      </c>
      <c r="E8751">
        <v>15.5246</v>
      </c>
      <c r="F8751"/>
      <c r="G8751"/>
      <c r="H8751"/>
      <c r="I8751" s="489"/>
      <c r="J8751" s="1362"/>
      <c r="K8751" s="1362"/>
      <c r="L8751" s="1362"/>
    </row>
    <row r="8752" spans="1:12" x14ac:dyDescent="0.25">
      <c r="A8752" t="s">
        <v>18276</v>
      </c>
      <c r="B8752" t="s">
        <v>18277</v>
      </c>
      <c r="C8752" t="s">
        <v>149</v>
      </c>
      <c r="D8752" s="254">
        <v>343.55</v>
      </c>
      <c r="E8752">
        <v>83.049800000000005</v>
      </c>
      <c r="F8752"/>
      <c r="G8752"/>
      <c r="H8752"/>
      <c r="I8752" s="489"/>
      <c r="J8752" s="1362"/>
      <c r="K8752" s="1362"/>
      <c r="L8752" s="1362"/>
    </row>
    <row r="8753" spans="1:12" x14ac:dyDescent="0.25">
      <c r="A8753" t="s">
        <v>18278</v>
      </c>
      <c r="B8753" t="s">
        <v>18279</v>
      </c>
      <c r="C8753" t="s">
        <v>149</v>
      </c>
      <c r="D8753" s="254">
        <v>330.26</v>
      </c>
      <c r="E8753">
        <v>76.071700000000007</v>
      </c>
      <c r="F8753"/>
      <c r="G8753"/>
      <c r="H8753"/>
      <c r="I8753" s="489"/>
      <c r="J8753" s="1362"/>
      <c r="K8753" s="1362"/>
      <c r="L8753" s="1362"/>
    </row>
    <row r="8754" spans="1:12" x14ac:dyDescent="0.25">
      <c r="A8754" t="s">
        <v>18280</v>
      </c>
      <c r="B8754" t="s">
        <v>18281</v>
      </c>
      <c r="C8754" t="s">
        <v>149</v>
      </c>
      <c r="D8754" s="254">
        <v>13.29</v>
      </c>
      <c r="E8754">
        <v>6.9781000000000004</v>
      </c>
      <c r="F8754"/>
      <c r="G8754"/>
      <c r="H8754"/>
      <c r="I8754" s="489"/>
      <c r="J8754" s="1362"/>
      <c r="K8754" s="1362"/>
      <c r="L8754" s="1362"/>
    </row>
    <row r="8755" spans="1:12" x14ac:dyDescent="0.25">
      <c r="A8755" t="s">
        <v>18282</v>
      </c>
      <c r="B8755" t="s">
        <v>18283</v>
      </c>
      <c r="C8755" t="s">
        <v>149</v>
      </c>
      <c r="D8755" s="254">
        <v>285.93</v>
      </c>
      <c r="E8755">
        <v>66.792299999999997</v>
      </c>
      <c r="F8755"/>
      <c r="G8755"/>
      <c r="H8755"/>
      <c r="I8755" s="489"/>
      <c r="J8755" s="1362"/>
      <c r="K8755" s="1362"/>
      <c r="L8755" s="1362"/>
    </row>
    <row r="8756" spans="1:12" x14ac:dyDescent="0.25">
      <c r="A8756" t="s">
        <v>18147</v>
      </c>
      <c r="B8756" t="s">
        <v>18148</v>
      </c>
      <c r="C8756" t="s">
        <v>149</v>
      </c>
      <c r="D8756" s="254">
        <v>271.22000000000003</v>
      </c>
      <c r="E8756">
        <v>58.585099999999997</v>
      </c>
      <c r="F8756"/>
      <c r="G8756"/>
      <c r="H8756"/>
      <c r="I8756" s="489"/>
      <c r="J8756" s="1362"/>
      <c r="K8756" s="1362"/>
      <c r="L8756" s="1362"/>
    </row>
    <row r="8757" spans="1:12" x14ac:dyDescent="0.25">
      <c r="A8757" t="s">
        <v>18284</v>
      </c>
      <c r="B8757" t="s">
        <v>18285</v>
      </c>
      <c r="C8757" t="s">
        <v>149</v>
      </c>
      <c r="D8757" s="254">
        <v>14.71</v>
      </c>
      <c r="E8757">
        <v>8.2072000000000003</v>
      </c>
      <c r="F8757"/>
      <c r="G8757"/>
      <c r="H8757"/>
      <c r="I8757" s="489"/>
      <c r="J8757" s="1362"/>
      <c r="K8757" s="1362"/>
      <c r="L8757" s="1362"/>
    </row>
    <row r="8758" spans="1:12" x14ac:dyDescent="0.25">
      <c r="A8758" t="s">
        <v>18286</v>
      </c>
      <c r="B8758" t="s">
        <v>18287</v>
      </c>
      <c r="C8758" t="s">
        <v>149</v>
      </c>
      <c r="D8758" s="254">
        <v>407.16</v>
      </c>
      <c r="E8758">
        <v>148.25229999999999</v>
      </c>
      <c r="F8758"/>
      <c r="G8758"/>
      <c r="H8758"/>
      <c r="I8758" s="489"/>
      <c r="J8758" s="1362"/>
      <c r="K8758" s="1362"/>
      <c r="L8758" s="1362"/>
    </row>
    <row r="8759" spans="1:12" x14ac:dyDescent="0.25">
      <c r="A8759" t="s">
        <v>18288</v>
      </c>
      <c r="B8759" t="s">
        <v>18289</v>
      </c>
      <c r="C8759" t="s">
        <v>149</v>
      </c>
      <c r="D8759" s="254">
        <v>229.93</v>
      </c>
      <c r="E8759">
        <v>53.914299999999997</v>
      </c>
      <c r="F8759"/>
      <c r="G8759"/>
      <c r="H8759"/>
      <c r="I8759" s="489"/>
      <c r="J8759" s="1362"/>
      <c r="K8759" s="1362"/>
      <c r="L8759" s="1362"/>
    </row>
    <row r="8760" spans="1:12" x14ac:dyDescent="0.25">
      <c r="A8760" t="s">
        <v>18290</v>
      </c>
      <c r="B8760" t="s">
        <v>18291</v>
      </c>
      <c r="C8760" t="s">
        <v>149</v>
      </c>
      <c r="D8760" s="254">
        <v>177.24</v>
      </c>
      <c r="E8760">
        <v>94.337999999999994</v>
      </c>
      <c r="F8760"/>
      <c r="G8760"/>
      <c r="H8760"/>
      <c r="I8760" s="489"/>
      <c r="J8760" s="1362"/>
      <c r="K8760" s="1362"/>
      <c r="L8760" s="1362"/>
    </row>
    <row r="8761" spans="1:12" x14ac:dyDescent="0.25">
      <c r="A8761" t="s">
        <v>18292</v>
      </c>
      <c r="B8761" t="s">
        <v>18293</v>
      </c>
      <c r="C8761" t="s">
        <v>149</v>
      </c>
      <c r="D8761" s="254">
        <v>562.72</v>
      </c>
      <c r="E8761">
        <v>216.35589999999999</v>
      </c>
      <c r="F8761"/>
      <c r="G8761"/>
      <c r="H8761"/>
      <c r="I8761" s="489"/>
      <c r="J8761" s="1362"/>
      <c r="K8761" s="1362"/>
      <c r="L8761" s="1362"/>
    </row>
    <row r="8762" spans="1:12" x14ac:dyDescent="0.25">
      <c r="A8762" t="s">
        <v>18294</v>
      </c>
      <c r="B8762" t="s">
        <v>18295</v>
      </c>
      <c r="C8762" t="s">
        <v>149</v>
      </c>
      <c r="D8762" s="254">
        <v>275.69</v>
      </c>
      <c r="E8762">
        <v>63.055500000000002</v>
      </c>
      <c r="F8762"/>
      <c r="G8762"/>
      <c r="H8762"/>
      <c r="I8762" s="489"/>
      <c r="J8762" s="1362"/>
      <c r="K8762" s="1362"/>
      <c r="L8762" s="1362"/>
    </row>
    <row r="8763" spans="1:12" x14ac:dyDescent="0.25">
      <c r="A8763" t="s">
        <v>18296</v>
      </c>
      <c r="B8763" t="s">
        <v>18297</v>
      </c>
      <c r="C8763" t="s">
        <v>149</v>
      </c>
      <c r="D8763" s="254">
        <v>53.52</v>
      </c>
      <c r="E8763">
        <v>9.9010999999999996</v>
      </c>
      <c r="F8763"/>
      <c r="G8763"/>
      <c r="H8763"/>
      <c r="I8763" s="489"/>
      <c r="J8763" s="1362"/>
      <c r="K8763" s="1362"/>
      <c r="L8763" s="1362"/>
    </row>
    <row r="8764" spans="1:12" x14ac:dyDescent="0.25">
      <c r="A8764" t="s">
        <v>18298</v>
      </c>
      <c r="B8764" t="s">
        <v>18299</v>
      </c>
      <c r="C8764" t="s">
        <v>149</v>
      </c>
      <c r="D8764" s="254">
        <v>233.5</v>
      </c>
      <c r="E8764">
        <v>143.39930000000001</v>
      </c>
      <c r="F8764"/>
      <c r="G8764"/>
      <c r="H8764"/>
      <c r="I8764" s="489"/>
      <c r="J8764" s="1362"/>
      <c r="K8764" s="1362"/>
      <c r="L8764" s="1362"/>
    </row>
    <row r="8765" spans="1:12" x14ac:dyDescent="0.25">
      <c r="A8765" t="s">
        <v>13739</v>
      </c>
      <c r="B8765" t="s">
        <v>18300</v>
      </c>
      <c r="C8765" t="s">
        <v>149</v>
      </c>
      <c r="D8765" s="254">
        <v>194.4</v>
      </c>
      <c r="E8765">
        <v>63.2425</v>
      </c>
      <c r="F8765"/>
      <c r="G8765"/>
      <c r="H8765"/>
      <c r="I8765" s="489"/>
      <c r="J8765" s="1362"/>
      <c r="K8765" s="1362"/>
      <c r="L8765" s="1362"/>
    </row>
    <row r="8766" spans="1:12" x14ac:dyDescent="0.25">
      <c r="A8766" t="s">
        <v>18301</v>
      </c>
      <c r="B8766" t="s">
        <v>18302</v>
      </c>
      <c r="C8766" t="s">
        <v>149</v>
      </c>
      <c r="D8766" s="254">
        <v>185.52</v>
      </c>
      <c r="E8766">
        <v>58.585099999999997</v>
      </c>
      <c r="F8766"/>
      <c r="G8766"/>
      <c r="H8766"/>
      <c r="I8766" s="489"/>
      <c r="J8766" s="1362"/>
      <c r="K8766" s="1362"/>
      <c r="L8766" s="1362"/>
    </row>
    <row r="8767" spans="1:12" x14ac:dyDescent="0.25">
      <c r="A8767" t="s">
        <v>18303</v>
      </c>
      <c r="B8767" t="s">
        <v>18304</v>
      </c>
      <c r="C8767" t="s">
        <v>149</v>
      </c>
      <c r="D8767" s="254">
        <v>8.8699999999999992</v>
      </c>
      <c r="E8767">
        <v>4.6574</v>
      </c>
      <c r="F8767"/>
      <c r="G8767"/>
      <c r="H8767"/>
      <c r="I8767" s="489"/>
      <c r="J8767" s="1362"/>
      <c r="K8767" s="1362"/>
      <c r="L8767" s="1362"/>
    </row>
    <row r="8768" spans="1:12" x14ac:dyDescent="0.25">
      <c r="A8768" t="s">
        <v>18305</v>
      </c>
      <c r="B8768" t="s">
        <v>18306</v>
      </c>
      <c r="C8768" t="s">
        <v>149</v>
      </c>
      <c r="D8768" s="254">
        <v>427.38</v>
      </c>
      <c r="E8768">
        <v>116.7443</v>
      </c>
      <c r="F8768"/>
      <c r="G8768"/>
      <c r="H8768"/>
      <c r="I8768" s="489"/>
      <c r="J8768" s="1362"/>
      <c r="K8768" s="1362"/>
      <c r="L8768" s="1362"/>
    </row>
    <row r="8769" spans="1:12" x14ac:dyDescent="0.25">
      <c r="A8769" t="s">
        <v>18307</v>
      </c>
      <c r="B8769" t="s">
        <v>18308</v>
      </c>
      <c r="C8769" t="s">
        <v>149</v>
      </c>
      <c r="D8769" s="254">
        <v>363.28</v>
      </c>
      <c r="E8769">
        <v>80.102800000000002</v>
      </c>
      <c r="F8769"/>
      <c r="G8769"/>
      <c r="H8769"/>
      <c r="I8769" s="489"/>
      <c r="J8769" s="1362"/>
      <c r="K8769" s="1362"/>
      <c r="L8769" s="1362"/>
    </row>
    <row r="8770" spans="1:12" x14ac:dyDescent="0.25">
      <c r="A8770" t="s">
        <v>18309</v>
      </c>
      <c r="B8770" t="s">
        <v>18310</v>
      </c>
      <c r="C8770" t="s">
        <v>149</v>
      </c>
      <c r="D8770" s="254">
        <v>64.099999999999994</v>
      </c>
      <c r="E8770">
        <v>36.641500000000001</v>
      </c>
      <c r="F8770"/>
      <c r="G8770"/>
      <c r="H8770"/>
      <c r="I8770" s="489"/>
      <c r="J8770" s="1362"/>
      <c r="K8770" s="1362"/>
      <c r="L8770" s="1362"/>
    </row>
    <row r="8771" spans="1:12" x14ac:dyDescent="0.25">
      <c r="A8771" t="s">
        <v>18311</v>
      </c>
      <c r="B8771" t="s">
        <v>18312</v>
      </c>
      <c r="C8771" t="s">
        <v>149</v>
      </c>
      <c r="D8771" s="254">
        <v>460.59</v>
      </c>
      <c r="E8771">
        <v>119.49679999999999</v>
      </c>
      <c r="F8771"/>
      <c r="G8771"/>
      <c r="H8771"/>
      <c r="I8771" s="489"/>
      <c r="J8771" s="1362"/>
      <c r="K8771" s="1362"/>
      <c r="L8771" s="1362"/>
    </row>
    <row r="8772" spans="1:12" x14ac:dyDescent="0.25">
      <c r="A8772" t="s">
        <v>18313</v>
      </c>
      <c r="B8772" t="s">
        <v>18314</v>
      </c>
      <c r="C8772" t="s">
        <v>149</v>
      </c>
      <c r="D8772" s="254">
        <v>388.59</v>
      </c>
      <c r="E8772">
        <v>78.337900000000005</v>
      </c>
      <c r="F8772"/>
      <c r="G8772"/>
      <c r="H8772"/>
      <c r="I8772" s="489"/>
      <c r="J8772" s="1362"/>
      <c r="K8772" s="1362"/>
      <c r="L8772" s="1362"/>
    </row>
    <row r="8773" spans="1:12" x14ac:dyDescent="0.25">
      <c r="A8773" t="s">
        <v>18315</v>
      </c>
      <c r="B8773" t="s">
        <v>18316</v>
      </c>
      <c r="C8773" t="s">
        <v>149</v>
      </c>
      <c r="D8773" s="254">
        <v>72</v>
      </c>
      <c r="E8773">
        <v>41.158900000000003</v>
      </c>
      <c r="F8773"/>
      <c r="G8773"/>
      <c r="H8773"/>
      <c r="I8773" s="489"/>
      <c r="J8773" s="1362"/>
      <c r="K8773" s="1362"/>
      <c r="L8773" s="1362"/>
    </row>
    <row r="8774" spans="1:12" x14ac:dyDescent="0.25">
      <c r="A8774" t="s">
        <v>18317</v>
      </c>
      <c r="B8774" t="s">
        <v>18318</v>
      </c>
      <c r="C8774" t="s">
        <v>149</v>
      </c>
      <c r="D8774" s="254">
        <v>320.93</v>
      </c>
      <c r="E8774">
        <v>84.696899999999999</v>
      </c>
      <c r="F8774"/>
      <c r="G8774"/>
      <c r="H8774"/>
      <c r="I8774" s="489"/>
      <c r="J8774" s="1362"/>
      <c r="K8774" s="1362"/>
      <c r="L8774" s="1362"/>
    </row>
    <row r="8775" spans="1:12" x14ac:dyDescent="0.25">
      <c r="A8775" t="s">
        <v>18259</v>
      </c>
      <c r="B8775" t="s">
        <v>18260</v>
      </c>
      <c r="C8775" t="s">
        <v>149</v>
      </c>
      <c r="D8775" s="254">
        <v>306.63</v>
      </c>
      <c r="E8775">
        <v>77.194999999999993</v>
      </c>
      <c r="F8775"/>
      <c r="G8775"/>
      <c r="H8775"/>
      <c r="I8775" s="489"/>
      <c r="J8775" s="1362"/>
      <c r="K8775" s="1362"/>
      <c r="L8775" s="1362"/>
    </row>
    <row r="8776" spans="1:12" x14ac:dyDescent="0.25">
      <c r="A8776" t="s">
        <v>18319</v>
      </c>
      <c r="B8776" t="s">
        <v>18320</v>
      </c>
      <c r="C8776" t="s">
        <v>149</v>
      </c>
      <c r="D8776" s="254">
        <v>14.29</v>
      </c>
      <c r="E8776">
        <v>7.5019</v>
      </c>
      <c r="F8776"/>
      <c r="G8776"/>
      <c r="H8776"/>
      <c r="I8776" s="489"/>
      <c r="J8776" s="1362"/>
      <c r="K8776" s="1362"/>
      <c r="L8776" s="1362"/>
    </row>
    <row r="8777" spans="1:12" x14ac:dyDescent="0.25">
      <c r="A8777" t="s">
        <v>18321</v>
      </c>
      <c r="B8777" t="s">
        <v>18322</v>
      </c>
      <c r="C8777" t="s">
        <v>149</v>
      </c>
      <c r="D8777" s="254">
        <v>291.95</v>
      </c>
      <c r="E8777">
        <v>69.925200000000004</v>
      </c>
      <c r="F8777"/>
      <c r="G8777"/>
      <c r="H8777"/>
      <c r="I8777" s="489"/>
      <c r="J8777" s="1362"/>
      <c r="K8777" s="1362"/>
      <c r="L8777" s="1362"/>
    </row>
    <row r="8778" spans="1:12" x14ac:dyDescent="0.25">
      <c r="A8778" t="s">
        <v>18323</v>
      </c>
      <c r="B8778" t="s">
        <v>18324</v>
      </c>
      <c r="C8778" t="s">
        <v>149</v>
      </c>
      <c r="D8778" s="254">
        <v>276.24</v>
      </c>
      <c r="E8778">
        <v>61.157899999999998</v>
      </c>
      <c r="F8778"/>
      <c r="G8778"/>
      <c r="H8778"/>
      <c r="I8778" s="489"/>
      <c r="J8778" s="1362"/>
      <c r="K8778" s="1362"/>
      <c r="L8778" s="1362"/>
    </row>
    <row r="8779" spans="1:12" x14ac:dyDescent="0.25">
      <c r="A8779" t="s">
        <v>18325</v>
      </c>
      <c r="B8779" t="s">
        <v>18326</v>
      </c>
      <c r="C8779" t="s">
        <v>149</v>
      </c>
      <c r="D8779" s="254">
        <v>15.71</v>
      </c>
      <c r="E8779">
        <v>8.7673000000000005</v>
      </c>
      <c r="F8779"/>
      <c r="G8779"/>
      <c r="H8779"/>
      <c r="I8779" s="489"/>
      <c r="J8779" s="1362"/>
      <c r="K8779" s="1362"/>
      <c r="L8779" s="1362"/>
    </row>
    <row r="8780" spans="1:12" x14ac:dyDescent="0.25">
      <c r="A8780" t="s">
        <v>18327</v>
      </c>
      <c r="B8780" t="s">
        <v>18328</v>
      </c>
      <c r="C8780" t="s">
        <v>149</v>
      </c>
      <c r="D8780" s="254">
        <v>814.63</v>
      </c>
      <c r="E8780">
        <v>228.7611</v>
      </c>
      <c r="F8780"/>
      <c r="G8780"/>
      <c r="H8780"/>
      <c r="I8780" s="489"/>
      <c r="J8780" s="1362"/>
      <c r="K8780" s="1362"/>
      <c r="L8780" s="1362"/>
    </row>
    <row r="8781" spans="1:12" x14ac:dyDescent="0.25">
      <c r="A8781" t="s">
        <v>18329</v>
      </c>
      <c r="B8781" t="s">
        <v>18330</v>
      </c>
      <c r="C8781" t="s">
        <v>149</v>
      </c>
      <c r="D8781" s="254">
        <v>447.3</v>
      </c>
      <c r="E8781">
        <v>80.102800000000002</v>
      </c>
      <c r="F8781"/>
      <c r="G8781"/>
      <c r="H8781"/>
      <c r="I8781" s="489"/>
      <c r="J8781" s="1362"/>
      <c r="K8781" s="1362"/>
      <c r="L8781" s="1362"/>
    </row>
    <row r="8782" spans="1:12" x14ac:dyDescent="0.25">
      <c r="A8782" t="s">
        <v>18331</v>
      </c>
      <c r="B8782" t="s">
        <v>18332</v>
      </c>
      <c r="C8782" t="s">
        <v>149</v>
      </c>
      <c r="D8782" s="254">
        <v>367.33</v>
      </c>
      <c r="E8782">
        <v>148.6583</v>
      </c>
      <c r="F8782"/>
      <c r="G8782"/>
      <c r="H8782"/>
      <c r="I8782" s="489"/>
      <c r="J8782" s="1362"/>
      <c r="K8782" s="1362"/>
      <c r="L8782" s="1362"/>
    </row>
    <row r="8783" spans="1:12" x14ac:dyDescent="0.25">
      <c r="A8783" t="s">
        <v>18333</v>
      </c>
      <c r="B8783" t="s">
        <v>18334</v>
      </c>
      <c r="C8783" t="s">
        <v>149</v>
      </c>
      <c r="D8783" s="254">
        <v>339.32</v>
      </c>
      <c r="E8783">
        <v>94.351699999999994</v>
      </c>
      <c r="F8783"/>
      <c r="G8783"/>
      <c r="H8783"/>
      <c r="I8783" s="489"/>
      <c r="J8783" s="1362"/>
      <c r="K8783" s="1362"/>
      <c r="L8783" s="1362"/>
    </row>
    <row r="8784" spans="1:12" x14ac:dyDescent="0.25">
      <c r="A8784" t="s">
        <v>18259</v>
      </c>
      <c r="B8784" t="s">
        <v>18260</v>
      </c>
      <c r="C8784" t="s">
        <v>149</v>
      </c>
      <c r="D8784" s="254">
        <v>306.63</v>
      </c>
      <c r="E8784">
        <v>77.194999999999993</v>
      </c>
      <c r="F8784"/>
      <c r="G8784"/>
      <c r="H8784"/>
      <c r="I8784" s="489"/>
      <c r="J8784" s="1362"/>
      <c r="K8784" s="1362"/>
      <c r="L8784" s="1362"/>
    </row>
    <row r="8785" spans="1:12" x14ac:dyDescent="0.25">
      <c r="A8785" t="s">
        <v>18221</v>
      </c>
      <c r="B8785" t="s">
        <v>18222</v>
      </c>
      <c r="C8785" t="s">
        <v>149</v>
      </c>
      <c r="D8785" s="254">
        <v>32.69</v>
      </c>
      <c r="E8785">
        <v>17.156700000000001</v>
      </c>
      <c r="F8785"/>
      <c r="G8785"/>
      <c r="H8785"/>
      <c r="I8785" s="489"/>
      <c r="J8785" s="1362"/>
      <c r="K8785" s="1362"/>
      <c r="L8785" s="1362"/>
    </row>
    <row r="8786" spans="1:12" x14ac:dyDescent="0.25">
      <c r="A8786" t="s">
        <v>18335</v>
      </c>
      <c r="B8786" t="s">
        <v>18336</v>
      </c>
      <c r="C8786" t="s">
        <v>149</v>
      </c>
      <c r="D8786" s="254">
        <v>1496.14</v>
      </c>
      <c r="E8786">
        <v>585.06089999999995</v>
      </c>
      <c r="F8786"/>
      <c r="G8786"/>
      <c r="H8786"/>
      <c r="I8786" s="489"/>
      <c r="J8786" s="1362"/>
      <c r="K8786" s="1362"/>
      <c r="L8786" s="1362"/>
    </row>
    <row r="8787" spans="1:12" x14ac:dyDescent="0.25">
      <c r="A8787" t="s">
        <v>18209</v>
      </c>
      <c r="B8787" t="s">
        <v>18210</v>
      </c>
      <c r="C8787" t="s">
        <v>149</v>
      </c>
      <c r="D8787" s="254">
        <v>1077.6500000000001</v>
      </c>
      <c r="E8787">
        <v>345.83319999999998</v>
      </c>
      <c r="F8787"/>
      <c r="G8787"/>
      <c r="H8787"/>
      <c r="I8787" s="489"/>
      <c r="J8787" s="1362"/>
      <c r="K8787" s="1362"/>
      <c r="L8787" s="1362"/>
    </row>
    <row r="8788" spans="1:12" x14ac:dyDescent="0.25">
      <c r="A8788" t="s">
        <v>18337</v>
      </c>
      <c r="B8788" t="s">
        <v>18338</v>
      </c>
      <c r="C8788" t="s">
        <v>149</v>
      </c>
      <c r="D8788" s="254">
        <v>166.59</v>
      </c>
      <c r="E8788">
        <v>95.228099999999998</v>
      </c>
      <c r="F8788"/>
      <c r="G8788"/>
      <c r="H8788"/>
      <c r="I8788" s="489"/>
      <c r="J8788" s="1362"/>
      <c r="K8788" s="1362"/>
      <c r="L8788" s="1362"/>
    </row>
    <row r="8789" spans="1:12" x14ac:dyDescent="0.25">
      <c r="A8789" t="s">
        <v>18197</v>
      </c>
      <c r="B8789" t="s">
        <v>18198</v>
      </c>
      <c r="C8789" t="s">
        <v>149</v>
      </c>
      <c r="D8789" s="254">
        <v>53.57</v>
      </c>
      <c r="E8789">
        <v>30.6203</v>
      </c>
      <c r="F8789"/>
      <c r="G8789"/>
      <c r="H8789"/>
      <c r="I8789" s="489"/>
      <c r="J8789" s="1362"/>
      <c r="K8789" s="1362"/>
      <c r="L8789" s="1362"/>
    </row>
    <row r="8790" spans="1:12" x14ac:dyDescent="0.25">
      <c r="A8790" t="s">
        <v>18339</v>
      </c>
      <c r="B8790" t="s">
        <v>18340</v>
      </c>
      <c r="C8790" t="s">
        <v>149</v>
      </c>
      <c r="D8790" s="254">
        <v>198.34</v>
      </c>
      <c r="E8790">
        <v>113.3793</v>
      </c>
      <c r="F8790"/>
      <c r="G8790"/>
      <c r="H8790"/>
      <c r="I8790" s="489"/>
      <c r="J8790" s="1362"/>
      <c r="K8790" s="1362"/>
      <c r="L8790" s="1362"/>
    </row>
    <row r="8791" spans="1:12" x14ac:dyDescent="0.25">
      <c r="A8791" t="s">
        <v>18341</v>
      </c>
      <c r="B8791" t="s">
        <v>18342</v>
      </c>
      <c r="C8791" t="s">
        <v>149</v>
      </c>
      <c r="D8791" s="254">
        <v>378.27</v>
      </c>
      <c r="E8791">
        <v>78.870500000000007</v>
      </c>
      <c r="F8791"/>
      <c r="G8791"/>
      <c r="H8791"/>
      <c r="I8791" s="489"/>
      <c r="J8791" s="1362"/>
      <c r="K8791" s="1362"/>
      <c r="L8791" s="1362"/>
    </row>
    <row r="8792" spans="1:12" x14ac:dyDescent="0.25">
      <c r="A8792" t="s">
        <v>18253</v>
      </c>
      <c r="B8792" t="s">
        <v>18254</v>
      </c>
      <c r="C8792" t="s">
        <v>149</v>
      </c>
      <c r="D8792" s="254">
        <v>359.02</v>
      </c>
      <c r="E8792">
        <v>68.131200000000007</v>
      </c>
      <c r="F8792"/>
      <c r="G8792"/>
      <c r="H8792"/>
      <c r="I8792" s="489"/>
      <c r="J8792" s="1362"/>
      <c r="K8792" s="1362"/>
      <c r="L8792" s="1362"/>
    </row>
    <row r="8793" spans="1:12" x14ac:dyDescent="0.25">
      <c r="A8793" t="s">
        <v>18343</v>
      </c>
      <c r="B8793" t="s">
        <v>18344</v>
      </c>
      <c r="C8793" t="s">
        <v>149</v>
      </c>
      <c r="D8793" s="254">
        <v>19.25</v>
      </c>
      <c r="E8793">
        <v>10.7393</v>
      </c>
      <c r="F8793"/>
      <c r="G8793"/>
      <c r="H8793"/>
      <c r="I8793" s="489"/>
      <c r="J8793" s="1362"/>
      <c r="K8793" s="1362"/>
      <c r="L8793" s="1362"/>
    </row>
    <row r="8794" spans="1:12" x14ac:dyDescent="0.25">
      <c r="A8794" t="s">
        <v>13724</v>
      </c>
      <c r="B8794" t="s">
        <v>18345</v>
      </c>
      <c r="C8794" t="s">
        <v>149</v>
      </c>
      <c r="D8794" s="254">
        <v>339.73</v>
      </c>
      <c r="E8794">
        <v>108.5295</v>
      </c>
      <c r="F8794"/>
      <c r="G8794"/>
      <c r="H8794"/>
      <c r="I8794" s="489"/>
      <c r="J8794" s="1362"/>
      <c r="K8794" s="1362"/>
      <c r="L8794" s="1362"/>
    </row>
    <row r="8795" spans="1:12" x14ac:dyDescent="0.25">
      <c r="A8795" t="s">
        <v>18346</v>
      </c>
      <c r="B8795" t="s">
        <v>18347</v>
      </c>
      <c r="C8795" t="s">
        <v>149</v>
      </c>
      <c r="D8795" s="254">
        <v>280.70999999999998</v>
      </c>
      <c r="E8795">
        <v>65.628299999999996</v>
      </c>
      <c r="F8795"/>
      <c r="G8795"/>
      <c r="H8795"/>
      <c r="I8795" s="489"/>
      <c r="J8795" s="1362"/>
      <c r="K8795" s="1362"/>
      <c r="L8795" s="1362"/>
    </row>
    <row r="8796" spans="1:12" x14ac:dyDescent="0.25">
      <c r="A8796" t="s">
        <v>18348</v>
      </c>
      <c r="B8796" t="s">
        <v>18349</v>
      </c>
      <c r="C8796" t="s">
        <v>149</v>
      </c>
      <c r="D8796" s="254">
        <v>3.68</v>
      </c>
      <c r="E8796">
        <v>2.0556999999999999</v>
      </c>
      <c r="F8796"/>
      <c r="G8796"/>
      <c r="H8796"/>
      <c r="I8796" s="489"/>
      <c r="J8796" s="1362"/>
      <c r="K8796" s="1362"/>
      <c r="L8796" s="1362"/>
    </row>
    <row r="8797" spans="1:12" x14ac:dyDescent="0.25">
      <c r="A8797" t="s">
        <v>18151</v>
      </c>
      <c r="B8797" t="s">
        <v>18152</v>
      </c>
      <c r="C8797" t="s">
        <v>149</v>
      </c>
      <c r="D8797" s="254">
        <v>55.34</v>
      </c>
      <c r="E8797">
        <v>40.845500000000001</v>
      </c>
      <c r="F8797"/>
      <c r="G8797"/>
      <c r="H8797"/>
      <c r="I8797" s="489"/>
      <c r="J8797" s="1362"/>
      <c r="K8797" s="1362"/>
      <c r="L8797" s="1362"/>
    </row>
    <row r="8798" spans="1:12" x14ac:dyDescent="0.25">
      <c r="A8798" t="s">
        <v>13726</v>
      </c>
      <c r="B8798" t="s">
        <v>18350</v>
      </c>
      <c r="C8798" t="s">
        <v>149</v>
      </c>
      <c r="D8798" s="254">
        <v>159.11000000000001</v>
      </c>
      <c r="E8798">
        <v>52.723199999999999</v>
      </c>
      <c r="F8798"/>
      <c r="G8798"/>
      <c r="H8798"/>
      <c r="I8798" s="489"/>
      <c r="J8798" s="1362"/>
      <c r="K8798" s="1362"/>
      <c r="L8798" s="1362"/>
    </row>
    <row r="8799" spans="1:12" x14ac:dyDescent="0.25">
      <c r="A8799" t="s">
        <v>18351</v>
      </c>
      <c r="B8799" t="s">
        <v>18352</v>
      </c>
      <c r="C8799" t="s">
        <v>149</v>
      </c>
      <c r="D8799" s="254">
        <v>155.94</v>
      </c>
      <c r="E8799">
        <v>50.9587</v>
      </c>
      <c r="F8799"/>
      <c r="G8799"/>
      <c r="H8799"/>
      <c r="I8799" s="489"/>
      <c r="J8799" s="1362"/>
      <c r="K8799" s="1362"/>
      <c r="L8799" s="1362"/>
    </row>
    <row r="8800" spans="1:12" x14ac:dyDescent="0.25">
      <c r="A8800" t="s">
        <v>18353</v>
      </c>
      <c r="B8800" t="s">
        <v>18354</v>
      </c>
      <c r="C8800" t="s">
        <v>149</v>
      </c>
      <c r="D8800" s="254">
        <v>3.16</v>
      </c>
      <c r="E8800">
        <v>1.7645</v>
      </c>
      <c r="F8800"/>
      <c r="G8800"/>
      <c r="H8800"/>
      <c r="I8800" s="489"/>
      <c r="J8800" s="1362"/>
      <c r="K8800" s="1362"/>
      <c r="L8800" s="1362"/>
    </row>
    <row r="8801" spans="1:12" x14ac:dyDescent="0.25">
      <c r="A8801" t="s">
        <v>18355</v>
      </c>
      <c r="B8801" t="s">
        <v>18356</v>
      </c>
      <c r="C8801" t="s">
        <v>149</v>
      </c>
      <c r="D8801" s="254">
        <v>362.01</v>
      </c>
      <c r="E8801">
        <v>130.93129999999999</v>
      </c>
      <c r="F8801"/>
      <c r="G8801"/>
      <c r="H8801"/>
      <c r="I8801" s="489"/>
      <c r="J8801" s="1362"/>
      <c r="K8801" s="1362"/>
      <c r="L8801" s="1362"/>
    </row>
    <row r="8802" spans="1:12" x14ac:dyDescent="0.25">
      <c r="A8802" t="s">
        <v>18346</v>
      </c>
      <c r="B8802" t="s">
        <v>18347</v>
      </c>
      <c r="C8802" t="s">
        <v>149</v>
      </c>
      <c r="D8802" s="254">
        <v>280.70999999999998</v>
      </c>
      <c r="E8802">
        <v>65.628299999999996</v>
      </c>
      <c r="F8802"/>
      <c r="G8802"/>
      <c r="H8802"/>
      <c r="I8802" s="489"/>
      <c r="J8802" s="1362"/>
      <c r="K8802" s="1362"/>
      <c r="L8802" s="1362"/>
    </row>
    <row r="8803" spans="1:12" x14ac:dyDescent="0.25">
      <c r="A8803" t="s">
        <v>18357</v>
      </c>
      <c r="B8803" t="s">
        <v>18358</v>
      </c>
      <c r="C8803" t="s">
        <v>149</v>
      </c>
      <c r="D8803" s="254">
        <v>3.8</v>
      </c>
      <c r="E8803">
        <v>2.1177999999999999</v>
      </c>
      <c r="F8803"/>
      <c r="G8803"/>
      <c r="H8803"/>
      <c r="I8803" s="489"/>
      <c r="J8803" s="1362"/>
      <c r="K8803" s="1362"/>
      <c r="L8803" s="1362"/>
    </row>
    <row r="8804" spans="1:12" x14ac:dyDescent="0.25">
      <c r="A8804" t="s">
        <v>18359</v>
      </c>
      <c r="B8804" t="s">
        <v>18360</v>
      </c>
      <c r="C8804" t="s">
        <v>149</v>
      </c>
      <c r="D8804" s="254">
        <v>71.709999999999994</v>
      </c>
      <c r="E8804">
        <v>59.950499999999998</v>
      </c>
      <c r="F8804"/>
      <c r="G8804"/>
      <c r="H8804"/>
      <c r="I8804" s="489"/>
      <c r="J8804" s="1362"/>
      <c r="K8804" s="1362"/>
      <c r="L8804" s="1362"/>
    </row>
    <row r="8805" spans="1:12" x14ac:dyDescent="0.25">
      <c r="A8805" t="s">
        <v>18239</v>
      </c>
      <c r="B8805" t="s">
        <v>18240</v>
      </c>
      <c r="C8805" t="s">
        <v>149</v>
      </c>
      <c r="D8805" s="254">
        <v>5.8</v>
      </c>
      <c r="E8805">
        <v>3.2347000000000001</v>
      </c>
      <c r="F8805"/>
      <c r="G8805"/>
      <c r="H8805"/>
      <c r="I8805" s="489"/>
      <c r="J8805" s="1362"/>
      <c r="K8805" s="1362"/>
      <c r="L8805" s="1362"/>
    </row>
    <row r="8806" spans="1:12" x14ac:dyDescent="0.25">
      <c r="A8806" t="s">
        <v>18361</v>
      </c>
      <c r="B8806" t="s">
        <v>18362</v>
      </c>
      <c r="C8806" t="s">
        <v>149</v>
      </c>
      <c r="D8806" s="254">
        <v>812.56</v>
      </c>
      <c r="E8806">
        <v>405.70839999999998</v>
      </c>
      <c r="F8806"/>
      <c r="G8806"/>
      <c r="H8806"/>
      <c r="I8806" s="489"/>
      <c r="J8806" s="1362"/>
      <c r="K8806" s="1362"/>
      <c r="L8806" s="1362"/>
    </row>
    <row r="8807" spans="1:12" x14ac:dyDescent="0.25">
      <c r="A8807" t="s">
        <v>18363</v>
      </c>
      <c r="B8807" t="s">
        <v>18364</v>
      </c>
      <c r="C8807" t="s">
        <v>149</v>
      </c>
      <c r="D8807" s="254">
        <v>228.41</v>
      </c>
      <c r="E8807">
        <v>50.9587</v>
      </c>
      <c r="F8807"/>
      <c r="G8807"/>
      <c r="H8807"/>
      <c r="I8807" s="489"/>
      <c r="J8807" s="1362"/>
      <c r="K8807" s="1362"/>
      <c r="L8807" s="1362"/>
    </row>
    <row r="8808" spans="1:12" x14ac:dyDescent="0.25">
      <c r="A8808" t="s">
        <v>18365</v>
      </c>
      <c r="B8808" t="s">
        <v>18366</v>
      </c>
      <c r="C8808" t="s">
        <v>149</v>
      </c>
      <c r="D8808" s="254">
        <v>584.15</v>
      </c>
      <c r="E8808">
        <v>354.74970000000002</v>
      </c>
      <c r="F8808"/>
      <c r="G8808"/>
      <c r="H8808"/>
      <c r="I8808" s="489"/>
      <c r="J8808" s="1362"/>
      <c r="K8808" s="1362"/>
      <c r="L8808" s="1362"/>
    </row>
    <row r="8809" spans="1:12" x14ac:dyDescent="0.25">
      <c r="A8809" t="s">
        <v>18367</v>
      </c>
      <c r="B8809" t="s">
        <v>18368</v>
      </c>
      <c r="C8809" t="s">
        <v>149</v>
      </c>
      <c r="D8809" s="254">
        <v>327.23</v>
      </c>
      <c r="E8809">
        <v>118.29559999999999</v>
      </c>
      <c r="F8809"/>
      <c r="G8809"/>
      <c r="H8809"/>
      <c r="I8809" s="489"/>
      <c r="J8809" s="1362"/>
      <c r="K8809" s="1362"/>
      <c r="L8809" s="1362"/>
    </row>
    <row r="8810" spans="1:12" x14ac:dyDescent="0.25">
      <c r="A8810" t="s">
        <v>18369</v>
      </c>
      <c r="B8810" t="s">
        <v>18370</v>
      </c>
      <c r="C8810" t="s">
        <v>149</v>
      </c>
      <c r="D8810" s="254">
        <v>229.71</v>
      </c>
      <c r="E8810">
        <v>53.804900000000004</v>
      </c>
      <c r="F8810"/>
      <c r="G8810"/>
      <c r="H8810"/>
      <c r="I8810" s="489"/>
      <c r="J8810" s="1362"/>
      <c r="K8810" s="1362"/>
      <c r="L8810" s="1362"/>
    </row>
    <row r="8811" spans="1:12" x14ac:dyDescent="0.25">
      <c r="A8811" t="s">
        <v>18371</v>
      </c>
      <c r="B8811" t="s">
        <v>18372</v>
      </c>
      <c r="C8811" t="s">
        <v>149</v>
      </c>
      <c r="D8811" s="254">
        <v>97.51</v>
      </c>
      <c r="E8811">
        <v>64.490700000000004</v>
      </c>
      <c r="F8811"/>
      <c r="G8811"/>
      <c r="H8811"/>
      <c r="I8811" s="489"/>
      <c r="J8811" s="1362"/>
      <c r="K8811" s="1362"/>
      <c r="L8811" s="1362"/>
    </row>
    <row r="8812" spans="1:12" x14ac:dyDescent="0.25">
      <c r="A8812" t="s">
        <v>18373</v>
      </c>
      <c r="B8812" t="s">
        <v>18374</v>
      </c>
      <c r="C8812" t="s">
        <v>149</v>
      </c>
      <c r="D8812" s="254">
        <v>621.35</v>
      </c>
      <c r="E8812">
        <v>270.50220000000002</v>
      </c>
      <c r="F8812"/>
      <c r="G8812"/>
      <c r="H8812"/>
      <c r="I8812" s="489"/>
      <c r="J8812" s="1362"/>
      <c r="K8812" s="1362"/>
      <c r="L8812" s="1362"/>
    </row>
    <row r="8813" spans="1:12" x14ac:dyDescent="0.25">
      <c r="A8813" t="s">
        <v>18346</v>
      </c>
      <c r="B8813" t="s">
        <v>18347</v>
      </c>
      <c r="C8813" t="s">
        <v>149</v>
      </c>
      <c r="D8813" s="254">
        <v>280.70999999999998</v>
      </c>
      <c r="E8813">
        <v>65.628299999999996</v>
      </c>
      <c r="F8813"/>
      <c r="G8813"/>
      <c r="H8813"/>
      <c r="I8813" s="489"/>
      <c r="J8813" s="1362"/>
      <c r="K8813" s="1362"/>
      <c r="L8813" s="1362"/>
    </row>
    <row r="8814" spans="1:12" x14ac:dyDescent="0.25">
      <c r="A8814" t="s">
        <v>18375</v>
      </c>
      <c r="B8814" t="s">
        <v>18376</v>
      </c>
      <c r="C8814" t="s">
        <v>149</v>
      </c>
      <c r="D8814" s="254">
        <v>340.64</v>
      </c>
      <c r="E8814">
        <v>204.87389999999999</v>
      </c>
      <c r="F8814"/>
      <c r="G8814"/>
      <c r="H8814"/>
      <c r="I8814" s="489"/>
      <c r="J8814" s="1362"/>
      <c r="K8814" s="1362"/>
      <c r="L8814" s="1362"/>
    </row>
    <row r="8815" spans="1:12" x14ac:dyDescent="0.25">
      <c r="A8815" t="s">
        <v>18377</v>
      </c>
      <c r="B8815" t="s">
        <v>18378</v>
      </c>
      <c r="C8815" t="s">
        <v>149</v>
      </c>
      <c r="D8815" s="254">
        <v>360.18</v>
      </c>
      <c r="E8815">
        <v>115.99250000000001</v>
      </c>
      <c r="F8815"/>
      <c r="G8815"/>
      <c r="H8815"/>
      <c r="I8815" s="489"/>
      <c r="J8815" s="1362"/>
      <c r="K8815" s="1362"/>
      <c r="L8815" s="1362"/>
    </row>
    <row r="8816" spans="1:12" x14ac:dyDescent="0.25">
      <c r="A8816" t="s">
        <v>18147</v>
      </c>
      <c r="B8816" t="s">
        <v>18148</v>
      </c>
      <c r="C8816" t="s">
        <v>149</v>
      </c>
      <c r="D8816" s="254">
        <v>271.22000000000003</v>
      </c>
      <c r="E8816">
        <v>58.585099999999997</v>
      </c>
      <c r="F8816"/>
      <c r="G8816"/>
      <c r="H8816"/>
      <c r="I8816" s="489"/>
      <c r="J8816" s="1362"/>
      <c r="K8816" s="1362"/>
      <c r="L8816" s="1362"/>
    </row>
    <row r="8817" spans="1:12" x14ac:dyDescent="0.25">
      <c r="A8817" t="s">
        <v>18379</v>
      </c>
      <c r="B8817" t="s">
        <v>18380</v>
      </c>
      <c r="C8817" t="s">
        <v>149</v>
      </c>
      <c r="D8817" s="254">
        <v>88.95</v>
      </c>
      <c r="E8817">
        <v>57.407400000000003</v>
      </c>
      <c r="F8817"/>
      <c r="G8817"/>
      <c r="H8817"/>
      <c r="I8817" s="489"/>
      <c r="J8817" s="1362"/>
      <c r="K8817" s="1362"/>
      <c r="L8817" s="1362"/>
    </row>
    <row r="8818" spans="1:12" x14ac:dyDescent="0.25">
      <c r="A8818"/>
      <c r="B8818"/>
      <c r="C8818"/>
      <c r="D8818" s="254"/>
      <c r="E8818"/>
      <c r="F8818"/>
      <c r="G8818"/>
      <c r="H8818"/>
      <c r="I8818" s="489"/>
      <c r="J8818" s="1362"/>
      <c r="K8818" s="1362"/>
      <c r="L8818" s="1362"/>
    </row>
    <row r="8819" spans="1:12" x14ac:dyDescent="0.25">
      <c r="A8819"/>
      <c r="B8819"/>
      <c r="C8819"/>
      <c r="D8819" s="254"/>
      <c r="E8819"/>
      <c r="F8819"/>
      <c r="G8819"/>
      <c r="H8819"/>
      <c r="I8819" s="489"/>
      <c r="J8819" s="1362"/>
      <c r="K8819" s="1362"/>
      <c r="L8819" s="1362"/>
    </row>
    <row r="8820" spans="1:12" x14ac:dyDescent="0.25">
      <c r="A8820"/>
      <c r="B8820"/>
      <c r="C8820"/>
      <c r="D8820" s="254"/>
      <c r="E8820"/>
      <c r="F8820"/>
      <c r="G8820"/>
      <c r="H8820"/>
      <c r="I8820" s="489"/>
      <c r="J8820" s="1362"/>
      <c r="K8820" s="1362"/>
      <c r="L8820" s="1362"/>
    </row>
    <row r="8821" spans="1:12" x14ac:dyDescent="0.25">
      <c r="A8821"/>
      <c r="B8821"/>
      <c r="C8821"/>
      <c r="D8821" s="254"/>
      <c r="E8821"/>
      <c r="F8821"/>
      <c r="G8821"/>
      <c r="H8821"/>
      <c r="I8821" s="489"/>
      <c r="J8821" s="1362"/>
      <c r="K8821" s="1362"/>
      <c r="L8821" s="1362"/>
    </row>
    <row r="8822" spans="1:12" x14ac:dyDescent="0.25">
      <c r="A8822"/>
      <c r="B8822"/>
      <c r="C8822"/>
      <c r="D8822" s="254"/>
      <c r="E8822"/>
      <c r="F8822"/>
      <c r="G8822"/>
      <c r="H8822"/>
      <c r="I8822" s="489"/>
      <c r="J8822" s="1362"/>
      <c r="K8822" s="1362"/>
      <c r="L8822" s="1362"/>
    </row>
    <row r="8823" spans="1:12" x14ac:dyDescent="0.25">
      <c r="A8823"/>
      <c r="B8823"/>
      <c r="C8823"/>
      <c r="D8823" s="254"/>
      <c r="E8823"/>
      <c r="F8823"/>
      <c r="G8823"/>
      <c r="H8823"/>
      <c r="I8823" s="489"/>
      <c r="J8823" s="1362"/>
      <c r="K8823" s="1362"/>
      <c r="L8823" s="1362"/>
    </row>
    <row r="8824" spans="1:12" x14ac:dyDescent="0.25">
      <c r="A8824"/>
      <c r="B8824"/>
      <c r="C8824"/>
      <c r="D8824" s="254"/>
      <c r="E8824"/>
      <c r="F8824"/>
      <c r="G8824"/>
      <c r="H8824"/>
      <c r="I8824" s="489"/>
      <c r="J8824" s="1362"/>
      <c r="K8824" s="1362"/>
      <c r="L8824" s="1362"/>
    </row>
    <row r="8825" spans="1:12" x14ac:dyDescent="0.25">
      <c r="A8825"/>
      <c r="B8825"/>
      <c r="C8825"/>
      <c r="D8825" s="254"/>
      <c r="E8825"/>
      <c r="F8825"/>
      <c r="G8825"/>
      <c r="H8825"/>
      <c r="I8825" s="489"/>
      <c r="J8825" s="1362"/>
      <c r="K8825" s="1362"/>
      <c r="L8825" s="1362"/>
    </row>
    <row r="8826" spans="1:12" x14ac:dyDescent="0.25">
      <c r="A8826"/>
      <c r="B8826"/>
      <c r="C8826"/>
      <c r="D8826" s="254"/>
      <c r="E8826"/>
      <c r="F8826"/>
      <c r="G8826"/>
      <c r="H8826"/>
      <c r="I8826" s="489"/>
      <c r="J8826" s="1362"/>
      <c r="K8826" s="1362"/>
      <c r="L8826" s="1362"/>
    </row>
    <row r="8827" spans="1:12" x14ac:dyDescent="0.25">
      <c r="A8827"/>
      <c r="B8827"/>
      <c r="C8827"/>
      <c r="D8827" s="254"/>
      <c r="E8827"/>
      <c r="F8827"/>
      <c r="G8827"/>
      <c r="H8827"/>
      <c r="I8827" s="489"/>
      <c r="J8827" s="1362"/>
      <c r="K8827" s="1362"/>
      <c r="L8827" s="1362"/>
    </row>
    <row r="8828" spans="1:12" x14ac:dyDescent="0.25">
      <c r="A8828">
        <v>97141</v>
      </c>
      <c r="B8828" t="s">
        <v>150</v>
      </c>
      <c r="C8828" t="s">
        <v>151</v>
      </c>
      <c r="D8828" s="254">
        <v>8.41</v>
      </c>
      <c r="E8828"/>
      <c r="F8828"/>
      <c r="G8828"/>
      <c r="H8828"/>
      <c r="I8828" s="489"/>
      <c r="J8828" s="1362"/>
      <c r="K8828" s="1362"/>
      <c r="L8828" s="1362"/>
    </row>
    <row r="8829" spans="1:12" x14ac:dyDescent="0.25">
      <c r="A8829">
        <v>97142</v>
      </c>
      <c r="B8829" t="s">
        <v>152</v>
      </c>
      <c r="C8829" t="s">
        <v>151</v>
      </c>
      <c r="D8829" s="254">
        <v>9.36</v>
      </c>
      <c r="E8829"/>
      <c r="F8829"/>
      <c r="G8829"/>
      <c r="H8829"/>
      <c r="I8829" s="489"/>
      <c r="J8829" s="1362"/>
      <c r="K8829" s="1362"/>
      <c r="L8829" s="1362"/>
    </row>
    <row r="8830" spans="1:12" x14ac:dyDescent="0.25">
      <c r="A8830">
        <v>97143</v>
      </c>
      <c r="B8830" t="s">
        <v>153</v>
      </c>
      <c r="C8830" t="s">
        <v>151</v>
      </c>
      <c r="D8830" s="254">
        <v>11.74</v>
      </c>
      <c r="E8830"/>
      <c r="F8830"/>
      <c r="G8830"/>
      <c r="H8830"/>
      <c r="I8830" s="489"/>
      <c r="J8830" s="1362"/>
      <c r="K8830" s="1362"/>
      <c r="L8830" s="1362"/>
    </row>
    <row r="8831" spans="1:12" x14ac:dyDescent="0.25">
      <c r="A8831">
        <v>97144</v>
      </c>
      <c r="B8831" t="s">
        <v>154</v>
      </c>
      <c r="C8831" t="s">
        <v>151</v>
      </c>
      <c r="D8831" s="254">
        <v>14.09</v>
      </c>
      <c r="E8831"/>
      <c r="F8831"/>
      <c r="G8831"/>
      <c r="H8831"/>
      <c r="I8831" s="489"/>
      <c r="J8831" s="1362"/>
      <c r="K8831" s="1362"/>
      <c r="L8831" s="1362"/>
    </row>
    <row r="8832" spans="1:12" x14ac:dyDescent="0.25">
      <c r="A8832">
        <v>97145</v>
      </c>
      <c r="B8832" t="s">
        <v>155</v>
      </c>
      <c r="C8832" t="s">
        <v>151</v>
      </c>
      <c r="D8832" s="254">
        <v>16.5</v>
      </c>
      <c r="E8832"/>
      <c r="F8832"/>
      <c r="G8832"/>
      <c r="H8832"/>
      <c r="I8832" s="489"/>
      <c r="J8832" s="1362"/>
      <c r="K8832" s="1362"/>
      <c r="L8832" s="1362"/>
    </row>
    <row r="8833" spans="1:12" x14ac:dyDescent="0.25">
      <c r="A8833">
        <v>97146</v>
      </c>
      <c r="B8833" t="s">
        <v>156</v>
      </c>
      <c r="C8833" t="s">
        <v>151</v>
      </c>
      <c r="D8833" s="254">
        <v>18.89</v>
      </c>
      <c r="E8833"/>
      <c r="F8833"/>
      <c r="G8833"/>
      <c r="H8833"/>
      <c r="I8833" s="489"/>
      <c r="J8833" s="1362"/>
      <c r="K8833" s="1362"/>
      <c r="L8833" s="1362"/>
    </row>
    <row r="8834" spans="1:12" x14ac:dyDescent="0.25">
      <c r="A8834">
        <v>97147</v>
      </c>
      <c r="B8834" t="s">
        <v>157</v>
      </c>
      <c r="C8834" t="s">
        <v>151</v>
      </c>
      <c r="D8834" s="254">
        <v>21.29</v>
      </c>
      <c r="E8834"/>
      <c r="F8834"/>
      <c r="G8834"/>
      <c r="H8834"/>
      <c r="I8834" s="489"/>
      <c r="J8834" s="1362"/>
      <c r="K8834" s="1362"/>
      <c r="L8834" s="1362"/>
    </row>
    <row r="8835" spans="1:12" x14ac:dyDescent="0.25">
      <c r="A8835">
        <v>97148</v>
      </c>
      <c r="B8835" t="s">
        <v>158</v>
      </c>
      <c r="C8835" t="s">
        <v>151</v>
      </c>
      <c r="D8835" s="254">
        <v>23.68</v>
      </c>
      <c r="E8835"/>
      <c r="F8835"/>
      <c r="G8835"/>
      <c r="H8835"/>
      <c r="I8835" s="489"/>
      <c r="J8835" s="1362"/>
      <c r="K8835" s="1362"/>
      <c r="L8835" s="1362"/>
    </row>
    <row r="8836" spans="1:12" x14ac:dyDescent="0.25">
      <c r="A8836">
        <v>97149</v>
      </c>
      <c r="B8836" t="s">
        <v>159</v>
      </c>
      <c r="C8836" t="s">
        <v>151</v>
      </c>
      <c r="D8836" s="254">
        <v>26.12</v>
      </c>
      <c r="E8836"/>
      <c r="F8836"/>
      <c r="G8836"/>
      <c r="H8836"/>
      <c r="I8836" s="489"/>
      <c r="J8836" s="1362"/>
      <c r="K8836" s="1362"/>
      <c r="L8836" s="1362"/>
    </row>
    <row r="8837" spans="1:12" x14ac:dyDescent="0.25">
      <c r="A8837">
        <v>97150</v>
      </c>
      <c r="B8837" t="s">
        <v>160</v>
      </c>
      <c r="C8837" t="s">
        <v>151</v>
      </c>
      <c r="D8837" s="254">
        <v>33.119999999999997</v>
      </c>
      <c r="E8837"/>
      <c r="F8837"/>
      <c r="G8837"/>
      <c r="H8837"/>
      <c r="I8837" s="489"/>
      <c r="J8837" s="1362"/>
      <c r="K8837" s="1362"/>
      <c r="L8837" s="1362"/>
    </row>
    <row r="8838" spans="1:12" x14ac:dyDescent="0.25">
      <c r="A8838">
        <v>97151</v>
      </c>
      <c r="B8838" t="s">
        <v>161</v>
      </c>
      <c r="C8838" t="s">
        <v>151</v>
      </c>
      <c r="D8838" s="254">
        <v>38.61</v>
      </c>
      <c r="E8838"/>
      <c r="F8838"/>
      <c r="G8838"/>
      <c r="H8838"/>
      <c r="I8838" s="489"/>
      <c r="J8838" s="1362"/>
      <c r="K8838" s="1362"/>
      <c r="L8838" s="1362"/>
    </row>
    <row r="8839" spans="1:12" x14ac:dyDescent="0.25">
      <c r="A8839">
        <v>97152</v>
      </c>
      <c r="B8839" t="s">
        <v>162</v>
      </c>
      <c r="C8839" t="s">
        <v>151</v>
      </c>
      <c r="D8839" s="254">
        <v>43.84</v>
      </c>
      <c r="E8839"/>
      <c r="F8839"/>
      <c r="G8839"/>
      <c r="H8839"/>
      <c r="I8839" s="489"/>
      <c r="J8839" s="1362"/>
      <c r="K8839" s="1362"/>
      <c r="L8839" s="1362"/>
    </row>
    <row r="8840" spans="1:12" x14ac:dyDescent="0.25">
      <c r="A8840">
        <v>97153</v>
      </c>
      <c r="B8840" t="s">
        <v>163</v>
      </c>
      <c r="C8840" t="s">
        <v>151</v>
      </c>
      <c r="D8840" s="254">
        <v>49.23</v>
      </c>
      <c r="E8840"/>
      <c r="F8840"/>
      <c r="G8840"/>
      <c r="H8840"/>
      <c r="I8840" s="489"/>
      <c r="J8840" s="1362"/>
      <c r="K8840" s="1362"/>
      <c r="L8840" s="1362"/>
    </row>
    <row r="8841" spans="1:12" x14ac:dyDescent="0.25">
      <c r="A8841">
        <v>97154</v>
      </c>
      <c r="B8841" t="s">
        <v>164</v>
      </c>
      <c r="C8841" t="s">
        <v>151</v>
      </c>
      <c r="D8841" s="254">
        <v>54.64</v>
      </c>
      <c r="E8841"/>
      <c r="F8841"/>
      <c r="G8841"/>
      <c r="H8841"/>
      <c r="I8841" s="489"/>
      <c r="J8841" s="1362"/>
      <c r="K8841" s="1362"/>
      <c r="L8841" s="1362"/>
    </row>
    <row r="8842" spans="1:12" x14ac:dyDescent="0.25">
      <c r="A8842">
        <v>97155</v>
      </c>
      <c r="B8842" t="s">
        <v>165</v>
      </c>
      <c r="C8842" t="s">
        <v>151</v>
      </c>
      <c r="D8842" s="254">
        <v>60.08</v>
      </c>
      <c r="E8842"/>
      <c r="F8842"/>
      <c r="G8842"/>
      <c r="H8842"/>
      <c r="I8842" s="489"/>
      <c r="J8842" s="1362"/>
      <c r="K8842" s="1362"/>
      <c r="L8842" s="1362"/>
    </row>
    <row r="8843" spans="1:12" x14ac:dyDescent="0.25">
      <c r="A8843">
        <v>97156</v>
      </c>
      <c r="B8843" t="s">
        <v>166</v>
      </c>
      <c r="C8843" t="s">
        <v>151</v>
      </c>
      <c r="D8843" s="254">
        <v>71.400000000000006</v>
      </c>
      <c r="E8843"/>
      <c r="F8843"/>
      <c r="G8843"/>
      <c r="H8843"/>
      <c r="I8843" s="489"/>
      <c r="J8843" s="1362"/>
      <c r="K8843" s="1362"/>
      <c r="L8843" s="1362"/>
    </row>
    <row r="8844" spans="1:12" x14ac:dyDescent="0.25">
      <c r="A8844">
        <v>97157</v>
      </c>
      <c r="B8844" t="s">
        <v>167</v>
      </c>
      <c r="C8844" t="s">
        <v>151</v>
      </c>
      <c r="D8844" s="254">
        <v>5.15</v>
      </c>
      <c r="E8844"/>
      <c r="F8844"/>
      <c r="G8844"/>
      <c r="H8844"/>
      <c r="I8844" s="489"/>
      <c r="J8844" s="1362"/>
      <c r="K8844" s="1362"/>
      <c r="L8844" s="1362"/>
    </row>
    <row r="8845" spans="1:12" x14ac:dyDescent="0.25">
      <c r="A8845">
        <v>97158</v>
      </c>
      <c r="B8845" t="s">
        <v>168</v>
      </c>
      <c r="C8845" t="s">
        <v>151</v>
      </c>
      <c r="D8845" s="254">
        <v>5.74</v>
      </c>
      <c r="E8845"/>
      <c r="F8845"/>
      <c r="G8845"/>
      <c r="H8845"/>
      <c r="I8845" s="489"/>
      <c r="J8845" s="1362"/>
      <c r="K8845" s="1362"/>
      <c r="L8845" s="1362"/>
    </row>
    <row r="8846" spans="1:12" x14ac:dyDescent="0.25">
      <c r="A8846">
        <v>97159</v>
      </c>
      <c r="B8846" t="s">
        <v>169</v>
      </c>
      <c r="C8846" t="s">
        <v>151</v>
      </c>
      <c r="D8846" s="254">
        <v>7.2</v>
      </c>
      <c r="E8846"/>
      <c r="F8846"/>
      <c r="G8846"/>
      <c r="H8846"/>
      <c r="I8846" s="489"/>
      <c r="J8846" s="1362"/>
      <c r="K8846" s="1362"/>
      <c r="L8846" s="1362"/>
    </row>
    <row r="8847" spans="1:12" x14ac:dyDescent="0.25">
      <c r="A8847">
        <v>97160</v>
      </c>
      <c r="B8847" t="s">
        <v>170</v>
      </c>
      <c r="C8847" t="s">
        <v>151</v>
      </c>
      <c r="D8847" s="254">
        <v>8.64</v>
      </c>
      <c r="E8847"/>
      <c r="F8847"/>
      <c r="G8847"/>
      <c r="H8847"/>
      <c r="I8847" s="489"/>
      <c r="J8847" s="1362"/>
      <c r="K8847" s="1362"/>
      <c r="L8847" s="1362"/>
    </row>
    <row r="8848" spans="1:12" x14ac:dyDescent="0.25">
      <c r="A8848">
        <v>97161</v>
      </c>
      <c r="B8848" t="s">
        <v>171</v>
      </c>
      <c r="C8848" t="s">
        <v>151</v>
      </c>
      <c r="D8848" s="254">
        <v>10.14</v>
      </c>
      <c r="E8848"/>
      <c r="F8848"/>
      <c r="G8848"/>
      <c r="H8848"/>
      <c r="I8848" s="489"/>
      <c r="J8848" s="1362"/>
      <c r="K8848" s="1362"/>
      <c r="L8848" s="1362"/>
    </row>
    <row r="8849" spans="1:12" x14ac:dyDescent="0.25">
      <c r="A8849">
        <v>97162</v>
      </c>
      <c r="B8849" t="s">
        <v>172</v>
      </c>
      <c r="C8849" t="s">
        <v>151</v>
      </c>
      <c r="D8849" s="254">
        <v>11.61</v>
      </c>
      <c r="E8849"/>
      <c r="F8849"/>
      <c r="G8849"/>
      <c r="H8849"/>
      <c r="I8849" s="489"/>
      <c r="J8849" s="1362"/>
      <c r="K8849" s="1362"/>
      <c r="L8849" s="1362"/>
    </row>
    <row r="8850" spans="1:12" x14ac:dyDescent="0.25">
      <c r="A8850">
        <v>97163</v>
      </c>
      <c r="B8850" t="s">
        <v>173</v>
      </c>
      <c r="C8850" t="s">
        <v>151</v>
      </c>
      <c r="D8850" s="254">
        <v>13.09</v>
      </c>
      <c r="E8850"/>
      <c r="F8850"/>
      <c r="G8850"/>
      <c r="H8850"/>
      <c r="I8850" s="489"/>
      <c r="J8850" s="1362"/>
      <c r="K8850" s="1362"/>
      <c r="L8850" s="1362"/>
    </row>
    <row r="8851" spans="1:12" x14ac:dyDescent="0.25">
      <c r="A8851">
        <v>97164</v>
      </c>
      <c r="B8851" t="s">
        <v>174</v>
      </c>
      <c r="C8851" t="s">
        <v>151</v>
      </c>
      <c r="D8851" s="254">
        <v>14.58</v>
      </c>
      <c r="E8851"/>
      <c r="F8851"/>
      <c r="G8851"/>
      <c r="H8851"/>
      <c r="I8851" s="489"/>
      <c r="J8851" s="1362"/>
      <c r="K8851" s="1362"/>
      <c r="L8851" s="1362"/>
    </row>
    <row r="8852" spans="1:12" x14ac:dyDescent="0.25">
      <c r="A8852">
        <v>97165</v>
      </c>
      <c r="B8852" t="s">
        <v>175</v>
      </c>
      <c r="C8852" t="s">
        <v>151</v>
      </c>
      <c r="D8852" s="254">
        <v>16.09</v>
      </c>
      <c r="E8852"/>
      <c r="F8852"/>
      <c r="G8852"/>
      <c r="H8852"/>
      <c r="I8852" s="489"/>
      <c r="J8852" s="1362"/>
      <c r="K8852" s="1362"/>
      <c r="L8852" s="1362"/>
    </row>
    <row r="8853" spans="1:12" x14ac:dyDescent="0.25">
      <c r="A8853">
        <v>97166</v>
      </c>
      <c r="B8853" t="s">
        <v>176</v>
      </c>
      <c r="C8853" t="s">
        <v>151</v>
      </c>
      <c r="D8853" s="254">
        <v>20.399999999999999</v>
      </c>
      <c r="E8853"/>
      <c r="F8853"/>
      <c r="G8853"/>
      <c r="H8853"/>
      <c r="I8853" s="489"/>
      <c r="J8853" s="1362"/>
      <c r="K8853" s="1362"/>
      <c r="L8853" s="1362"/>
    </row>
    <row r="8854" spans="1:12" x14ac:dyDescent="0.25">
      <c r="A8854">
        <v>97167</v>
      </c>
      <c r="B8854" t="s">
        <v>177</v>
      </c>
      <c r="C8854" t="s">
        <v>151</v>
      </c>
      <c r="D8854" s="254">
        <v>23.82</v>
      </c>
      <c r="E8854"/>
      <c r="F8854"/>
      <c r="G8854"/>
      <c r="H8854"/>
      <c r="I8854" s="489"/>
      <c r="J8854" s="1362"/>
      <c r="K8854" s="1362"/>
      <c r="L8854" s="1362"/>
    </row>
    <row r="8855" spans="1:12" x14ac:dyDescent="0.25">
      <c r="A8855">
        <v>97168</v>
      </c>
      <c r="B8855" t="s">
        <v>178</v>
      </c>
      <c r="C8855" t="s">
        <v>151</v>
      </c>
      <c r="D8855" s="254">
        <v>26.95</v>
      </c>
      <c r="E8855"/>
      <c r="F8855"/>
      <c r="G8855"/>
      <c r="H8855"/>
      <c r="I8855" s="489"/>
      <c r="J8855" s="1362"/>
      <c r="K8855" s="1362"/>
      <c r="L8855" s="1362"/>
    </row>
    <row r="8856" spans="1:12" x14ac:dyDescent="0.25">
      <c r="A8856">
        <v>97169</v>
      </c>
      <c r="B8856" t="s">
        <v>179</v>
      </c>
      <c r="C8856" t="s">
        <v>151</v>
      </c>
      <c r="D8856" s="254">
        <v>30.26</v>
      </c>
      <c r="E8856"/>
      <c r="F8856"/>
      <c r="G8856"/>
      <c r="H8856"/>
      <c r="I8856" s="489"/>
      <c r="J8856" s="1362"/>
      <c r="K8856" s="1362"/>
      <c r="L8856" s="1362"/>
    </row>
    <row r="8857" spans="1:12" x14ac:dyDescent="0.25">
      <c r="A8857">
        <v>97170</v>
      </c>
      <c r="B8857" t="s">
        <v>180</v>
      </c>
      <c r="C8857" t="s">
        <v>151</v>
      </c>
      <c r="D8857" s="254">
        <v>33.6</v>
      </c>
      <c r="E8857"/>
      <c r="F8857"/>
      <c r="G8857"/>
      <c r="H8857"/>
      <c r="I8857" s="489"/>
      <c r="J8857" s="1362"/>
      <c r="K8857" s="1362"/>
      <c r="L8857" s="1362"/>
    </row>
    <row r="8858" spans="1:12" x14ac:dyDescent="0.25">
      <c r="A8858">
        <v>97171</v>
      </c>
      <c r="B8858" t="s">
        <v>181</v>
      </c>
      <c r="C8858" t="s">
        <v>151</v>
      </c>
      <c r="D8858" s="254">
        <v>36.96</v>
      </c>
      <c r="E8858"/>
      <c r="F8858"/>
      <c r="G8858"/>
      <c r="H8858"/>
      <c r="I8858" s="489"/>
      <c r="J8858" s="1362"/>
      <c r="K8858" s="1362"/>
      <c r="L8858" s="1362"/>
    </row>
    <row r="8859" spans="1:12" x14ac:dyDescent="0.25">
      <c r="A8859">
        <v>97172</v>
      </c>
      <c r="B8859" t="s">
        <v>182</v>
      </c>
      <c r="C8859" t="s">
        <v>151</v>
      </c>
      <c r="D8859" s="254">
        <v>44.13</v>
      </c>
      <c r="E8859"/>
      <c r="F8859"/>
      <c r="G8859"/>
      <c r="H8859"/>
      <c r="I8859" s="489"/>
      <c r="J8859" s="1362"/>
      <c r="K8859" s="1362"/>
      <c r="L8859" s="1362"/>
    </row>
    <row r="8860" spans="1:12" x14ac:dyDescent="0.25">
      <c r="A8860">
        <v>97173</v>
      </c>
      <c r="B8860" t="s">
        <v>183</v>
      </c>
      <c r="C8860" t="s">
        <v>151</v>
      </c>
      <c r="D8860" s="254">
        <v>39.520000000000003</v>
      </c>
      <c r="E8860"/>
      <c r="F8860"/>
      <c r="G8860"/>
      <c r="H8860"/>
      <c r="I8860" s="489"/>
      <c r="J8860" s="1362"/>
      <c r="K8860" s="1362"/>
      <c r="L8860" s="1362"/>
    </row>
    <row r="8861" spans="1:12" x14ac:dyDescent="0.25">
      <c r="A8861">
        <v>97174</v>
      </c>
      <c r="B8861" t="s">
        <v>184</v>
      </c>
      <c r="C8861" t="s">
        <v>151</v>
      </c>
      <c r="D8861" s="254">
        <v>45.77</v>
      </c>
      <c r="E8861"/>
      <c r="F8861"/>
      <c r="G8861"/>
      <c r="H8861"/>
      <c r="I8861" s="489"/>
      <c r="J8861" s="1362"/>
      <c r="K8861" s="1362"/>
      <c r="L8861" s="1362"/>
    </row>
    <row r="8862" spans="1:12" x14ac:dyDescent="0.25">
      <c r="A8862">
        <v>97175</v>
      </c>
      <c r="B8862" t="s">
        <v>185</v>
      </c>
      <c r="C8862" t="s">
        <v>151</v>
      </c>
      <c r="D8862" s="254">
        <v>52.02</v>
      </c>
      <c r="E8862"/>
      <c r="F8862"/>
      <c r="G8862"/>
      <c r="H8862"/>
      <c r="I8862" s="489"/>
      <c r="J8862" s="1362"/>
      <c r="K8862" s="1362"/>
      <c r="L8862" s="1362"/>
    </row>
    <row r="8863" spans="1:12" x14ac:dyDescent="0.25">
      <c r="A8863">
        <v>97176</v>
      </c>
      <c r="B8863" t="s">
        <v>186</v>
      </c>
      <c r="C8863" t="s">
        <v>151</v>
      </c>
      <c r="D8863" s="254">
        <v>58.26</v>
      </c>
      <c r="E8863"/>
      <c r="F8863"/>
      <c r="G8863"/>
      <c r="H8863"/>
      <c r="I8863" s="489"/>
      <c r="J8863" s="1362"/>
      <c r="K8863" s="1362"/>
      <c r="L8863" s="1362"/>
    </row>
    <row r="8864" spans="1:12" x14ac:dyDescent="0.25">
      <c r="A8864">
        <v>97177</v>
      </c>
      <c r="B8864" t="s">
        <v>187</v>
      </c>
      <c r="C8864" t="s">
        <v>151</v>
      </c>
      <c r="D8864" s="254">
        <v>70.760000000000005</v>
      </c>
      <c r="E8864"/>
      <c r="F8864"/>
      <c r="G8864"/>
      <c r="H8864"/>
      <c r="I8864" s="489"/>
      <c r="J8864" s="1362"/>
      <c r="K8864" s="1362"/>
      <c r="L8864" s="1362"/>
    </row>
    <row r="8865" spans="1:12" x14ac:dyDescent="0.25">
      <c r="A8865">
        <v>97178</v>
      </c>
      <c r="B8865" t="s">
        <v>188</v>
      </c>
      <c r="C8865" t="s">
        <v>151</v>
      </c>
      <c r="D8865" s="254">
        <v>83.26</v>
      </c>
      <c r="E8865"/>
      <c r="F8865"/>
      <c r="G8865"/>
      <c r="H8865"/>
      <c r="I8865" s="489"/>
      <c r="J8865" s="1362"/>
      <c r="K8865" s="1362"/>
      <c r="L8865" s="1362"/>
    </row>
    <row r="8866" spans="1:12" x14ac:dyDescent="0.25">
      <c r="A8866">
        <v>97179</v>
      </c>
      <c r="B8866" t="s">
        <v>189</v>
      </c>
      <c r="C8866" t="s">
        <v>151</v>
      </c>
      <c r="D8866" s="254">
        <v>95.74</v>
      </c>
      <c r="E8866"/>
      <c r="F8866"/>
      <c r="G8866"/>
      <c r="H8866"/>
      <c r="I8866" s="489"/>
      <c r="J8866" s="1362"/>
      <c r="K8866" s="1362"/>
      <c r="L8866" s="1362"/>
    </row>
    <row r="8867" spans="1:12" x14ac:dyDescent="0.25">
      <c r="A8867">
        <v>97180</v>
      </c>
      <c r="B8867" t="s">
        <v>190</v>
      </c>
      <c r="C8867" t="s">
        <v>151</v>
      </c>
      <c r="D8867" s="254">
        <v>108.25</v>
      </c>
      <c r="E8867"/>
      <c r="F8867"/>
      <c r="G8867"/>
      <c r="H8867"/>
      <c r="I8867" s="489"/>
      <c r="J8867" s="1362"/>
      <c r="K8867" s="1362"/>
      <c r="L8867" s="1362"/>
    </row>
    <row r="8868" spans="1:12" x14ac:dyDescent="0.25">
      <c r="A8868">
        <v>97181</v>
      </c>
      <c r="B8868" t="s">
        <v>191</v>
      </c>
      <c r="C8868" t="s">
        <v>151</v>
      </c>
      <c r="D8868" s="254">
        <v>125.49</v>
      </c>
      <c r="E8868"/>
      <c r="F8868"/>
      <c r="G8868"/>
      <c r="H8868"/>
      <c r="I8868" s="489"/>
      <c r="J8868" s="1362"/>
      <c r="K8868" s="1362"/>
      <c r="L8868" s="1362"/>
    </row>
    <row r="8869" spans="1:12" x14ac:dyDescent="0.25">
      <c r="A8869">
        <v>97182</v>
      </c>
      <c r="B8869" t="s">
        <v>192</v>
      </c>
      <c r="C8869" t="s">
        <v>151</v>
      </c>
      <c r="D8869" s="254">
        <v>138.5</v>
      </c>
      <c r="E8869"/>
      <c r="F8869"/>
      <c r="G8869"/>
      <c r="H8869"/>
      <c r="I8869" s="489"/>
      <c r="J8869" s="1362"/>
      <c r="K8869" s="1362"/>
      <c r="L8869" s="1362"/>
    </row>
    <row r="8870" spans="1:12" x14ac:dyDescent="0.25">
      <c r="A8870">
        <v>97183</v>
      </c>
      <c r="B8870" t="s">
        <v>193</v>
      </c>
      <c r="C8870" t="s">
        <v>151</v>
      </c>
      <c r="D8870" s="254">
        <v>32.56</v>
      </c>
      <c r="E8870"/>
      <c r="F8870"/>
      <c r="G8870"/>
      <c r="H8870"/>
      <c r="I8870" s="489"/>
      <c r="J8870" s="1362"/>
      <c r="K8870" s="1362"/>
      <c r="L8870" s="1362"/>
    </row>
    <row r="8871" spans="1:12" x14ac:dyDescent="0.25">
      <c r="A8871">
        <v>97184</v>
      </c>
      <c r="B8871" t="s">
        <v>194</v>
      </c>
      <c r="C8871" t="s">
        <v>151</v>
      </c>
      <c r="D8871" s="254">
        <v>37.78</v>
      </c>
      <c r="E8871"/>
      <c r="F8871"/>
      <c r="G8871"/>
      <c r="H8871"/>
      <c r="I8871" s="489"/>
      <c r="J8871" s="1362"/>
      <c r="K8871" s="1362"/>
      <c r="L8871" s="1362"/>
    </row>
    <row r="8872" spans="1:12" x14ac:dyDescent="0.25">
      <c r="A8872">
        <v>97185</v>
      </c>
      <c r="B8872" t="s">
        <v>195</v>
      </c>
      <c r="C8872" t="s">
        <v>151</v>
      </c>
      <c r="D8872" s="254">
        <v>43.01</v>
      </c>
      <c r="E8872"/>
      <c r="F8872"/>
      <c r="G8872"/>
      <c r="H8872"/>
      <c r="I8872" s="489"/>
      <c r="J8872" s="1362"/>
      <c r="K8872" s="1362"/>
      <c r="L8872" s="1362"/>
    </row>
    <row r="8873" spans="1:12" x14ac:dyDescent="0.25">
      <c r="A8873">
        <v>97186</v>
      </c>
      <c r="B8873" t="s">
        <v>196</v>
      </c>
      <c r="C8873" t="s">
        <v>151</v>
      </c>
      <c r="D8873" s="254">
        <v>48.23</v>
      </c>
      <c r="E8873"/>
      <c r="F8873"/>
      <c r="G8873"/>
      <c r="H8873"/>
      <c r="I8873" s="489"/>
      <c r="J8873" s="1362"/>
      <c r="K8873" s="1362"/>
      <c r="L8873" s="1362"/>
    </row>
    <row r="8874" spans="1:12" x14ac:dyDescent="0.25">
      <c r="A8874">
        <v>97187</v>
      </c>
      <c r="B8874" t="s">
        <v>2949</v>
      </c>
      <c r="C8874" t="s">
        <v>151</v>
      </c>
      <c r="D8874" s="254">
        <v>58.68</v>
      </c>
      <c r="E8874"/>
      <c r="F8874"/>
      <c r="G8874"/>
      <c r="H8874"/>
      <c r="I8874" s="489"/>
      <c r="J8874" s="1362"/>
      <c r="K8874" s="1362"/>
      <c r="L8874" s="1362"/>
    </row>
    <row r="8875" spans="1:12" x14ac:dyDescent="0.25">
      <c r="A8875">
        <v>97188</v>
      </c>
      <c r="B8875" t="s">
        <v>197</v>
      </c>
      <c r="C8875" t="s">
        <v>151</v>
      </c>
      <c r="D8875" s="254">
        <v>69.12</v>
      </c>
      <c r="E8875"/>
      <c r="F8875"/>
      <c r="G8875"/>
      <c r="H8875"/>
      <c r="I8875" s="489"/>
      <c r="J8875" s="1362"/>
      <c r="K8875" s="1362"/>
      <c r="L8875" s="1362"/>
    </row>
    <row r="8876" spans="1:12" x14ac:dyDescent="0.25">
      <c r="A8876">
        <v>97189</v>
      </c>
      <c r="B8876" t="s">
        <v>198</v>
      </c>
      <c r="C8876" t="s">
        <v>151</v>
      </c>
      <c r="D8876" s="254">
        <v>79.56</v>
      </c>
      <c r="E8876"/>
      <c r="F8876"/>
      <c r="G8876"/>
      <c r="H8876"/>
      <c r="I8876" s="489"/>
      <c r="J8876" s="1362"/>
      <c r="K8876" s="1362"/>
      <c r="L8876" s="1362"/>
    </row>
    <row r="8877" spans="1:12" x14ac:dyDescent="0.25">
      <c r="A8877">
        <v>97190</v>
      </c>
      <c r="B8877" t="s">
        <v>199</v>
      </c>
      <c r="C8877" t="s">
        <v>151</v>
      </c>
      <c r="D8877" s="254">
        <v>90.01</v>
      </c>
      <c r="E8877"/>
      <c r="F8877"/>
      <c r="G8877"/>
      <c r="H8877"/>
      <c r="I8877" s="489"/>
      <c r="J8877" s="1362"/>
      <c r="K8877" s="1362"/>
      <c r="L8877" s="1362"/>
    </row>
    <row r="8878" spans="1:12" x14ac:dyDescent="0.25">
      <c r="A8878">
        <v>97191</v>
      </c>
      <c r="B8878" t="s">
        <v>200</v>
      </c>
      <c r="C8878" t="s">
        <v>151</v>
      </c>
      <c r="D8878" s="254">
        <v>104.03</v>
      </c>
      <c r="E8878"/>
      <c r="F8878"/>
      <c r="G8878"/>
      <c r="H8878"/>
      <c r="I8878" s="489"/>
      <c r="J8878" s="1362"/>
      <c r="K8878" s="1362"/>
      <c r="L8878" s="1362"/>
    </row>
    <row r="8879" spans="1:12" x14ac:dyDescent="0.25">
      <c r="A8879">
        <v>97192</v>
      </c>
      <c r="B8879" t="s">
        <v>201</v>
      </c>
      <c r="C8879" t="s">
        <v>151</v>
      </c>
      <c r="D8879" s="254">
        <v>114.85</v>
      </c>
      <c r="E8879"/>
      <c r="F8879"/>
      <c r="G8879"/>
      <c r="H8879"/>
      <c r="I8879" s="489"/>
      <c r="J8879" s="1362"/>
      <c r="K8879" s="1362"/>
      <c r="L8879" s="1362"/>
    </row>
    <row r="8880" spans="1:12" x14ac:dyDescent="0.25">
      <c r="A8880">
        <v>90694</v>
      </c>
      <c r="B8880" t="s">
        <v>5920</v>
      </c>
      <c r="C8880" t="s">
        <v>151</v>
      </c>
      <c r="D8880" s="254">
        <v>46.68</v>
      </c>
      <c r="E8880"/>
      <c r="F8880"/>
      <c r="G8880"/>
      <c r="H8880"/>
      <c r="I8880" s="489"/>
      <c r="J8880" s="1362"/>
      <c r="K8880" s="1362"/>
      <c r="L8880" s="1362"/>
    </row>
    <row r="8881" spans="1:12" x14ac:dyDescent="0.25">
      <c r="A8881">
        <v>90695</v>
      </c>
      <c r="B8881" t="s">
        <v>5921</v>
      </c>
      <c r="C8881" t="s">
        <v>151</v>
      </c>
      <c r="D8881" s="254">
        <v>97.16</v>
      </c>
      <c r="E8881"/>
      <c r="F8881"/>
      <c r="G8881"/>
      <c r="H8881"/>
      <c r="I8881" s="489"/>
      <c r="J8881" s="1362"/>
      <c r="K8881" s="1362"/>
      <c r="L8881" s="1362"/>
    </row>
    <row r="8882" spans="1:12" x14ac:dyDescent="0.25">
      <c r="A8882">
        <v>90696</v>
      </c>
      <c r="B8882" t="s">
        <v>5922</v>
      </c>
      <c r="C8882" t="s">
        <v>151</v>
      </c>
      <c r="D8882" s="254">
        <v>144.33000000000001</v>
      </c>
      <c r="E8882"/>
      <c r="F8882"/>
      <c r="G8882"/>
      <c r="H8882"/>
      <c r="I8882" s="489"/>
      <c r="J8882" s="1362"/>
      <c r="K8882" s="1362"/>
      <c r="L8882" s="1362"/>
    </row>
    <row r="8883" spans="1:12" x14ac:dyDescent="0.25">
      <c r="A8883">
        <v>90697</v>
      </c>
      <c r="B8883" t="s">
        <v>5923</v>
      </c>
      <c r="C8883" t="s">
        <v>151</v>
      </c>
      <c r="D8883" s="254">
        <v>243.26</v>
      </c>
      <c r="E8883"/>
      <c r="F8883"/>
      <c r="G8883"/>
      <c r="H8883"/>
      <c r="I8883" s="489"/>
      <c r="J8883" s="1362"/>
      <c r="K8883" s="1362"/>
      <c r="L8883" s="1362"/>
    </row>
    <row r="8884" spans="1:12" x14ac:dyDescent="0.25">
      <c r="A8884">
        <v>90698</v>
      </c>
      <c r="B8884" t="s">
        <v>5924</v>
      </c>
      <c r="C8884" t="s">
        <v>151</v>
      </c>
      <c r="D8884" s="254">
        <v>390.04</v>
      </c>
      <c r="E8884"/>
      <c r="F8884"/>
      <c r="G8884"/>
      <c r="H8884"/>
      <c r="I8884" s="489"/>
      <c r="J8884" s="1362"/>
      <c r="K8884" s="1362"/>
      <c r="L8884" s="1362"/>
    </row>
    <row r="8885" spans="1:12" x14ac:dyDescent="0.25">
      <c r="A8885">
        <v>90699</v>
      </c>
      <c r="B8885" t="s">
        <v>5925</v>
      </c>
      <c r="C8885" t="s">
        <v>151</v>
      </c>
      <c r="D8885" s="254">
        <v>482.26</v>
      </c>
      <c r="E8885"/>
      <c r="F8885"/>
      <c r="G8885"/>
      <c r="H8885"/>
      <c r="I8885" s="489"/>
      <c r="J8885" s="1362"/>
      <c r="K8885" s="1362"/>
      <c r="L8885" s="1362"/>
    </row>
    <row r="8886" spans="1:12" x14ac:dyDescent="0.25">
      <c r="A8886">
        <v>90700</v>
      </c>
      <c r="B8886" t="s">
        <v>5926</v>
      </c>
      <c r="C8886" t="s">
        <v>151</v>
      </c>
      <c r="D8886" s="254">
        <v>625.23</v>
      </c>
      <c r="E8886"/>
      <c r="F8886"/>
      <c r="G8886"/>
      <c r="H8886"/>
      <c r="I8886" s="489"/>
      <c r="J8886" s="1362"/>
      <c r="K8886" s="1362"/>
      <c r="L8886" s="1362"/>
    </row>
    <row r="8887" spans="1:12" x14ac:dyDescent="0.25">
      <c r="A8887">
        <v>90701</v>
      </c>
      <c r="B8887" t="s">
        <v>5927</v>
      </c>
      <c r="C8887" t="s">
        <v>151</v>
      </c>
      <c r="D8887" s="254">
        <v>78.64</v>
      </c>
      <c r="E8887"/>
      <c r="F8887"/>
      <c r="G8887"/>
      <c r="H8887"/>
      <c r="I8887" s="489"/>
      <c r="J8887" s="1362"/>
      <c r="K8887" s="1362"/>
      <c r="L8887" s="1362"/>
    </row>
    <row r="8888" spans="1:12" x14ac:dyDescent="0.25">
      <c r="A8888">
        <v>90702</v>
      </c>
      <c r="B8888" t="s">
        <v>5928</v>
      </c>
      <c r="C8888" t="s">
        <v>151</v>
      </c>
      <c r="D8888" s="254">
        <v>126.06</v>
      </c>
      <c r="E8888"/>
      <c r="F8888"/>
      <c r="G8888"/>
      <c r="H8888"/>
      <c r="I8888" s="489"/>
      <c r="J8888" s="1362"/>
      <c r="K8888" s="1362"/>
      <c r="L8888" s="1362"/>
    </row>
    <row r="8889" spans="1:12" x14ac:dyDescent="0.25">
      <c r="A8889">
        <v>90703</v>
      </c>
      <c r="B8889" t="s">
        <v>5929</v>
      </c>
      <c r="C8889" t="s">
        <v>151</v>
      </c>
      <c r="D8889" s="254">
        <v>208.06</v>
      </c>
      <c r="E8889"/>
      <c r="F8889"/>
      <c r="G8889"/>
      <c r="H8889"/>
      <c r="I8889" s="489"/>
      <c r="J8889" s="1362"/>
      <c r="K8889" s="1362"/>
      <c r="L8889" s="1362"/>
    </row>
    <row r="8890" spans="1:12" x14ac:dyDescent="0.25">
      <c r="A8890">
        <v>90704</v>
      </c>
      <c r="B8890" t="s">
        <v>5930</v>
      </c>
      <c r="C8890" t="s">
        <v>151</v>
      </c>
      <c r="D8890" s="254">
        <v>294.18</v>
      </c>
      <c r="E8890"/>
      <c r="F8890"/>
      <c r="G8890"/>
      <c r="H8890"/>
      <c r="I8890" s="489"/>
      <c r="J8890" s="1362"/>
      <c r="K8890" s="1362"/>
      <c r="L8890" s="1362"/>
    </row>
    <row r="8891" spans="1:12" x14ac:dyDescent="0.25">
      <c r="A8891">
        <v>90705</v>
      </c>
      <c r="B8891" t="s">
        <v>5931</v>
      </c>
      <c r="C8891" t="s">
        <v>151</v>
      </c>
      <c r="D8891" s="254">
        <v>402.1</v>
      </c>
      <c r="E8891"/>
      <c r="F8891"/>
      <c r="G8891"/>
      <c r="H8891"/>
      <c r="I8891" s="489"/>
      <c r="J8891" s="1362"/>
      <c r="K8891" s="1362"/>
      <c r="L8891" s="1362"/>
    </row>
    <row r="8892" spans="1:12" x14ac:dyDescent="0.25">
      <c r="A8892">
        <v>90706</v>
      </c>
      <c r="B8892" t="s">
        <v>5932</v>
      </c>
      <c r="C8892" t="s">
        <v>151</v>
      </c>
      <c r="D8892" s="254">
        <v>470.99</v>
      </c>
      <c r="E8892"/>
      <c r="F8892"/>
      <c r="G8892"/>
      <c r="H8892"/>
      <c r="I8892" s="489"/>
      <c r="J8892" s="1362"/>
      <c r="K8892" s="1362"/>
      <c r="L8892" s="1362"/>
    </row>
    <row r="8893" spans="1:12" x14ac:dyDescent="0.25">
      <c r="A8893">
        <v>90708</v>
      </c>
      <c r="B8893" t="s">
        <v>5933</v>
      </c>
      <c r="C8893" t="s">
        <v>151</v>
      </c>
      <c r="D8893" s="254">
        <v>767.39</v>
      </c>
      <c r="E8893"/>
      <c r="F8893"/>
      <c r="G8893"/>
      <c r="H8893"/>
      <c r="I8893" s="489"/>
      <c r="J8893" s="1362"/>
      <c r="K8893" s="1362"/>
      <c r="L8893" s="1362"/>
    </row>
    <row r="8894" spans="1:12" x14ac:dyDescent="0.25">
      <c r="A8894">
        <v>90724</v>
      </c>
      <c r="B8894" t="s">
        <v>5934</v>
      </c>
      <c r="C8894" t="s">
        <v>138</v>
      </c>
      <c r="D8894" s="254">
        <v>24.08</v>
      </c>
      <c r="E8894"/>
      <c r="F8894"/>
      <c r="G8894"/>
      <c r="H8894"/>
      <c r="I8894" s="489"/>
      <c r="J8894" s="1362"/>
      <c r="K8894" s="1362"/>
      <c r="L8894" s="1362"/>
    </row>
    <row r="8895" spans="1:12" x14ac:dyDescent="0.25">
      <c r="A8895">
        <v>90725</v>
      </c>
      <c r="B8895" t="s">
        <v>5935</v>
      </c>
      <c r="C8895" t="s">
        <v>138</v>
      </c>
      <c r="D8895" s="254">
        <v>29.65</v>
      </c>
      <c r="E8895"/>
      <c r="F8895"/>
      <c r="G8895"/>
      <c r="H8895"/>
      <c r="I8895" s="489"/>
      <c r="J8895" s="1362"/>
      <c r="K8895" s="1362"/>
      <c r="L8895" s="1362"/>
    </row>
    <row r="8896" spans="1:12" x14ac:dyDescent="0.25">
      <c r="A8896">
        <v>90726</v>
      </c>
      <c r="B8896" t="s">
        <v>5936</v>
      </c>
      <c r="C8896" t="s">
        <v>138</v>
      </c>
      <c r="D8896" s="254">
        <v>35.28</v>
      </c>
      <c r="E8896"/>
      <c r="F8896"/>
      <c r="G8896"/>
      <c r="H8896"/>
      <c r="I8896" s="489"/>
      <c r="J8896" s="1362"/>
      <c r="K8896" s="1362"/>
      <c r="L8896" s="1362"/>
    </row>
    <row r="8897" spans="1:12" x14ac:dyDescent="0.25">
      <c r="A8897">
        <v>90727</v>
      </c>
      <c r="B8897" t="s">
        <v>5937</v>
      </c>
      <c r="C8897" t="s">
        <v>138</v>
      </c>
      <c r="D8897" s="254">
        <v>40.869999999999997</v>
      </c>
      <c r="E8897"/>
      <c r="F8897"/>
      <c r="G8897"/>
      <c r="H8897"/>
      <c r="I8897" s="489"/>
      <c r="J8897" s="1362"/>
      <c r="K8897" s="1362"/>
      <c r="L8897" s="1362"/>
    </row>
    <row r="8898" spans="1:12" x14ac:dyDescent="0.25">
      <c r="A8898">
        <v>90728</v>
      </c>
      <c r="B8898" t="s">
        <v>5938</v>
      </c>
      <c r="C8898" t="s">
        <v>138</v>
      </c>
      <c r="D8898" s="254">
        <v>46.43</v>
      </c>
      <c r="E8898"/>
      <c r="F8898"/>
      <c r="G8898"/>
      <c r="H8898"/>
      <c r="I8898" s="489"/>
      <c r="J8898" s="1362"/>
      <c r="K8898" s="1362"/>
      <c r="L8898" s="1362"/>
    </row>
    <row r="8899" spans="1:12" x14ac:dyDescent="0.25">
      <c r="A8899">
        <v>90729</v>
      </c>
      <c r="B8899" t="s">
        <v>5939</v>
      </c>
      <c r="C8899" t="s">
        <v>138</v>
      </c>
      <c r="D8899" s="254">
        <v>52.01</v>
      </c>
      <c r="E8899"/>
      <c r="F8899"/>
      <c r="G8899"/>
      <c r="H8899"/>
      <c r="I8899" s="489"/>
      <c r="J8899" s="1362"/>
      <c r="K8899" s="1362"/>
      <c r="L8899" s="1362"/>
    </row>
    <row r="8900" spans="1:12" x14ac:dyDescent="0.25">
      <c r="A8900">
        <v>90730</v>
      </c>
      <c r="B8900" t="s">
        <v>5940</v>
      </c>
      <c r="C8900" t="s">
        <v>138</v>
      </c>
      <c r="D8900" s="254">
        <v>57.57</v>
      </c>
      <c r="E8900"/>
      <c r="F8900"/>
      <c r="G8900"/>
      <c r="H8900"/>
      <c r="I8900" s="489"/>
      <c r="J8900" s="1362"/>
      <c r="K8900" s="1362"/>
      <c r="L8900" s="1362"/>
    </row>
    <row r="8901" spans="1:12" x14ac:dyDescent="0.25">
      <c r="A8901">
        <v>90731</v>
      </c>
      <c r="B8901" t="s">
        <v>5941</v>
      </c>
      <c r="C8901" t="s">
        <v>138</v>
      </c>
      <c r="D8901" s="254">
        <v>63.15</v>
      </c>
      <c r="E8901"/>
      <c r="F8901"/>
      <c r="G8901"/>
      <c r="H8901"/>
      <c r="I8901" s="489"/>
      <c r="J8901" s="1362"/>
      <c r="K8901" s="1362"/>
      <c r="L8901" s="1362"/>
    </row>
    <row r="8902" spans="1:12" x14ac:dyDescent="0.25">
      <c r="A8902">
        <v>90732</v>
      </c>
      <c r="B8902" t="s">
        <v>5942</v>
      </c>
      <c r="C8902" t="s">
        <v>138</v>
      </c>
      <c r="D8902" s="254">
        <v>79.849999999999994</v>
      </c>
      <c r="E8902"/>
      <c r="F8902"/>
      <c r="G8902"/>
      <c r="H8902"/>
      <c r="I8902" s="489"/>
      <c r="J8902" s="1362"/>
      <c r="K8902" s="1362"/>
      <c r="L8902" s="1362"/>
    </row>
    <row r="8903" spans="1:12" x14ac:dyDescent="0.25">
      <c r="A8903">
        <v>90733</v>
      </c>
      <c r="B8903" t="s">
        <v>5943</v>
      </c>
      <c r="C8903" t="s">
        <v>151</v>
      </c>
      <c r="D8903" s="254">
        <v>3.37</v>
      </c>
      <c r="E8903"/>
      <c r="F8903"/>
      <c r="G8903"/>
      <c r="H8903"/>
      <c r="I8903" s="489"/>
      <c r="J8903" s="1362"/>
      <c r="K8903" s="1362"/>
      <c r="L8903" s="1362"/>
    </row>
    <row r="8904" spans="1:12" x14ac:dyDescent="0.25">
      <c r="A8904">
        <v>90734</v>
      </c>
      <c r="B8904" t="s">
        <v>5944</v>
      </c>
      <c r="C8904" t="s">
        <v>151</v>
      </c>
      <c r="D8904" s="254">
        <v>3.99</v>
      </c>
      <c r="E8904"/>
      <c r="F8904"/>
      <c r="G8904"/>
      <c r="H8904"/>
      <c r="I8904" s="489"/>
      <c r="J8904" s="1362"/>
      <c r="K8904" s="1362"/>
      <c r="L8904" s="1362"/>
    </row>
    <row r="8905" spans="1:12" x14ac:dyDescent="0.25">
      <c r="A8905">
        <v>90735</v>
      </c>
      <c r="B8905" t="s">
        <v>5945</v>
      </c>
      <c r="C8905" t="s">
        <v>151</v>
      </c>
      <c r="D8905" s="254">
        <v>4.6100000000000003</v>
      </c>
      <c r="E8905"/>
      <c r="F8905"/>
      <c r="G8905"/>
      <c r="H8905"/>
      <c r="I8905" s="489"/>
      <c r="J8905" s="1362"/>
      <c r="K8905" s="1362"/>
      <c r="L8905" s="1362"/>
    </row>
    <row r="8906" spans="1:12" x14ac:dyDescent="0.25">
      <c r="A8906">
        <v>90736</v>
      </c>
      <c r="B8906" t="s">
        <v>5946</v>
      </c>
      <c r="C8906" t="s">
        <v>151</v>
      </c>
      <c r="D8906" s="254">
        <v>5.24</v>
      </c>
      <c r="E8906"/>
      <c r="F8906"/>
      <c r="G8906"/>
      <c r="H8906"/>
      <c r="I8906" s="489"/>
      <c r="J8906" s="1362"/>
      <c r="K8906" s="1362"/>
      <c r="L8906" s="1362"/>
    </row>
    <row r="8907" spans="1:12" x14ac:dyDescent="0.25">
      <c r="A8907">
        <v>90737</v>
      </c>
      <c r="B8907" t="s">
        <v>5947</v>
      </c>
      <c r="C8907" t="s">
        <v>151</v>
      </c>
      <c r="D8907" s="254">
        <v>5.86</v>
      </c>
      <c r="E8907"/>
      <c r="F8907"/>
      <c r="G8907"/>
      <c r="H8907"/>
      <c r="I8907" s="489"/>
      <c r="J8907" s="1362"/>
      <c r="K8907" s="1362"/>
      <c r="L8907" s="1362"/>
    </row>
    <row r="8908" spans="1:12" x14ac:dyDescent="0.25">
      <c r="A8908">
        <v>90738</v>
      </c>
      <c r="B8908" t="s">
        <v>5948</v>
      </c>
      <c r="C8908" t="s">
        <v>151</v>
      </c>
      <c r="D8908" s="254">
        <v>6.49</v>
      </c>
      <c r="E8908"/>
      <c r="F8908"/>
      <c r="G8908"/>
      <c r="H8908"/>
      <c r="I8908" s="489"/>
      <c r="J8908" s="1362"/>
      <c r="K8908" s="1362"/>
      <c r="L8908" s="1362"/>
    </row>
    <row r="8909" spans="1:12" x14ac:dyDescent="0.25">
      <c r="A8909">
        <v>90739</v>
      </c>
      <c r="B8909" t="s">
        <v>5949</v>
      </c>
      <c r="C8909" t="s">
        <v>151</v>
      </c>
      <c r="D8909" s="254">
        <v>9.1199999999999992</v>
      </c>
      <c r="E8909"/>
      <c r="F8909"/>
      <c r="G8909"/>
      <c r="H8909"/>
      <c r="I8909" s="489"/>
      <c r="J8909" s="1362"/>
      <c r="K8909" s="1362"/>
      <c r="L8909" s="1362"/>
    </row>
    <row r="8910" spans="1:12" x14ac:dyDescent="0.25">
      <c r="A8910">
        <v>90740</v>
      </c>
      <c r="B8910" t="s">
        <v>5950</v>
      </c>
      <c r="C8910" t="s">
        <v>151</v>
      </c>
      <c r="D8910" s="254">
        <v>4.4400000000000004</v>
      </c>
      <c r="E8910"/>
      <c r="F8910"/>
      <c r="G8910"/>
      <c r="H8910"/>
      <c r="I8910" s="489"/>
      <c r="J8910" s="1362"/>
      <c r="K8910" s="1362"/>
      <c r="L8910" s="1362"/>
    </row>
    <row r="8911" spans="1:12" x14ac:dyDescent="0.25">
      <c r="A8911">
        <v>90741</v>
      </c>
      <c r="B8911" t="s">
        <v>5951</v>
      </c>
      <c r="C8911" t="s">
        <v>151</v>
      </c>
      <c r="D8911" s="254">
        <v>5.07</v>
      </c>
      <c r="E8911"/>
      <c r="F8911"/>
      <c r="G8911"/>
      <c r="H8911"/>
      <c r="I8911" s="489"/>
      <c r="J8911" s="1362"/>
      <c r="K8911" s="1362"/>
      <c r="L8911" s="1362"/>
    </row>
    <row r="8912" spans="1:12" x14ac:dyDescent="0.25">
      <c r="A8912">
        <v>90742</v>
      </c>
      <c r="B8912" t="s">
        <v>5952</v>
      </c>
      <c r="C8912" t="s">
        <v>151</v>
      </c>
      <c r="D8912" s="254">
        <v>5.69</v>
      </c>
      <c r="E8912"/>
      <c r="F8912"/>
      <c r="G8912"/>
      <c r="H8912"/>
      <c r="I8912" s="489"/>
      <c r="J8912" s="1362"/>
      <c r="K8912" s="1362"/>
      <c r="L8912" s="1362"/>
    </row>
    <row r="8913" spans="1:12" x14ac:dyDescent="0.25">
      <c r="A8913">
        <v>90743</v>
      </c>
      <c r="B8913" t="s">
        <v>5953</v>
      </c>
      <c r="C8913" t="s">
        <v>151</v>
      </c>
      <c r="D8913" s="254">
        <v>6.32</v>
      </c>
      <c r="E8913"/>
      <c r="F8913"/>
      <c r="G8913"/>
      <c r="H8913"/>
      <c r="I8913" s="489"/>
      <c r="J8913" s="1362"/>
      <c r="K8913" s="1362"/>
      <c r="L8913" s="1362"/>
    </row>
    <row r="8914" spans="1:12" x14ac:dyDescent="0.25">
      <c r="A8914">
        <v>90744</v>
      </c>
      <c r="B8914" t="s">
        <v>5954</v>
      </c>
      <c r="C8914" t="s">
        <v>151</v>
      </c>
      <c r="D8914" s="254">
        <v>6.94</v>
      </c>
      <c r="E8914"/>
      <c r="F8914"/>
      <c r="G8914"/>
      <c r="H8914"/>
      <c r="I8914" s="489"/>
      <c r="J8914" s="1362"/>
      <c r="K8914" s="1362"/>
      <c r="L8914" s="1362"/>
    </row>
    <row r="8915" spans="1:12" x14ac:dyDescent="0.25">
      <c r="A8915">
        <v>90745</v>
      </c>
      <c r="B8915" t="s">
        <v>5955</v>
      </c>
      <c r="C8915" t="s">
        <v>151</v>
      </c>
      <c r="D8915" s="254">
        <v>10.18</v>
      </c>
      <c r="E8915"/>
      <c r="F8915"/>
      <c r="G8915"/>
      <c r="H8915"/>
      <c r="I8915" s="489"/>
      <c r="J8915" s="1362"/>
      <c r="K8915" s="1362"/>
      <c r="L8915" s="1362"/>
    </row>
    <row r="8916" spans="1:12" x14ac:dyDescent="0.25">
      <c r="A8916">
        <v>90746</v>
      </c>
      <c r="B8916" t="s">
        <v>5956</v>
      </c>
      <c r="C8916" t="s">
        <v>151</v>
      </c>
      <c r="D8916" s="254">
        <v>3.64</v>
      </c>
      <c r="E8916"/>
      <c r="F8916"/>
      <c r="G8916"/>
      <c r="H8916"/>
      <c r="I8916" s="489"/>
      <c r="J8916" s="1362"/>
      <c r="K8916" s="1362"/>
      <c r="L8916" s="1362"/>
    </row>
    <row r="8917" spans="1:12" x14ac:dyDescent="0.25">
      <c r="A8917">
        <v>90747</v>
      </c>
      <c r="B8917" t="s">
        <v>5957</v>
      </c>
      <c r="C8917" t="s">
        <v>151</v>
      </c>
      <c r="D8917" s="254">
        <v>17.12</v>
      </c>
      <c r="E8917"/>
      <c r="F8917"/>
      <c r="G8917"/>
      <c r="H8917"/>
      <c r="I8917" s="489"/>
      <c r="J8917" s="1362"/>
      <c r="K8917" s="1362"/>
      <c r="L8917" s="1362"/>
    </row>
    <row r="8918" spans="1:12" x14ac:dyDescent="0.25">
      <c r="A8918">
        <v>94869</v>
      </c>
      <c r="B8918" t="s">
        <v>5958</v>
      </c>
      <c r="C8918" t="s">
        <v>151</v>
      </c>
      <c r="D8918" s="254">
        <v>135.33000000000001</v>
      </c>
      <c r="E8918"/>
      <c r="F8918"/>
      <c r="G8918"/>
      <c r="H8918"/>
      <c r="I8918" s="489"/>
      <c r="J8918" s="1362"/>
      <c r="K8918" s="1362"/>
      <c r="L8918" s="1362"/>
    </row>
    <row r="8919" spans="1:12" x14ac:dyDescent="0.25">
      <c r="A8919">
        <v>94870</v>
      </c>
      <c r="B8919" t="s">
        <v>5959</v>
      </c>
      <c r="C8919" t="s">
        <v>151</v>
      </c>
      <c r="D8919" s="254">
        <v>2.02</v>
      </c>
      <c r="E8919"/>
      <c r="F8919"/>
      <c r="G8919"/>
      <c r="H8919"/>
      <c r="I8919" s="489"/>
      <c r="J8919" s="1362"/>
      <c r="K8919" s="1362"/>
      <c r="L8919" s="1362"/>
    </row>
    <row r="8920" spans="1:12" x14ac:dyDescent="0.25">
      <c r="A8920">
        <v>94871</v>
      </c>
      <c r="B8920" t="s">
        <v>5960</v>
      </c>
      <c r="C8920" t="s">
        <v>151</v>
      </c>
      <c r="D8920" s="254">
        <v>211.65</v>
      </c>
      <c r="E8920"/>
      <c r="F8920"/>
      <c r="G8920"/>
      <c r="H8920"/>
      <c r="I8920" s="489"/>
      <c r="J8920" s="1362"/>
      <c r="K8920" s="1362"/>
      <c r="L8920" s="1362"/>
    </row>
    <row r="8921" spans="1:12" x14ac:dyDescent="0.25">
      <c r="A8921">
        <v>94872</v>
      </c>
      <c r="B8921" t="s">
        <v>5961</v>
      </c>
      <c r="C8921" t="s">
        <v>151</v>
      </c>
      <c r="D8921" s="254">
        <v>2.79</v>
      </c>
      <c r="E8921"/>
      <c r="F8921"/>
      <c r="G8921"/>
      <c r="H8921"/>
      <c r="I8921" s="489"/>
      <c r="J8921" s="1362"/>
      <c r="K8921" s="1362"/>
      <c r="L8921" s="1362"/>
    </row>
    <row r="8922" spans="1:12" x14ac:dyDescent="0.25">
      <c r="A8922">
        <v>94875</v>
      </c>
      <c r="B8922" t="s">
        <v>5962</v>
      </c>
      <c r="C8922" t="s">
        <v>151</v>
      </c>
      <c r="D8922" s="254">
        <v>1246</v>
      </c>
      <c r="E8922"/>
      <c r="F8922"/>
      <c r="G8922"/>
      <c r="H8922"/>
      <c r="I8922" s="489"/>
      <c r="J8922" s="1362"/>
      <c r="K8922" s="1362"/>
      <c r="L8922" s="1362"/>
    </row>
    <row r="8923" spans="1:12" x14ac:dyDescent="0.25">
      <c r="A8923">
        <v>94876</v>
      </c>
      <c r="B8923" t="s">
        <v>5963</v>
      </c>
      <c r="C8923" t="s">
        <v>151</v>
      </c>
      <c r="D8923" s="254">
        <v>29.02</v>
      </c>
      <c r="E8923"/>
      <c r="F8923"/>
      <c r="G8923"/>
      <c r="H8923"/>
      <c r="I8923" s="489"/>
      <c r="J8923" s="1362"/>
      <c r="K8923" s="1362"/>
      <c r="L8923" s="1362"/>
    </row>
    <row r="8924" spans="1:12" x14ac:dyDescent="0.25">
      <c r="A8924">
        <v>94878</v>
      </c>
      <c r="B8924" t="s">
        <v>6040</v>
      </c>
      <c r="C8924" t="s">
        <v>151</v>
      </c>
      <c r="D8924" s="254">
        <v>33.53</v>
      </c>
      <c r="E8924"/>
      <c r="F8924"/>
      <c r="G8924"/>
      <c r="H8924"/>
      <c r="I8924" s="489"/>
      <c r="J8924" s="1362"/>
      <c r="K8924" s="1362"/>
      <c r="L8924" s="1362"/>
    </row>
    <row r="8925" spans="1:12" x14ac:dyDescent="0.25">
      <c r="A8925">
        <v>94879</v>
      </c>
      <c r="B8925" t="s">
        <v>6041</v>
      </c>
      <c r="C8925" t="s">
        <v>151</v>
      </c>
      <c r="D8925" s="254">
        <v>1918.19</v>
      </c>
      <c r="E8925"/>
      <c r="F8925"/>
      <c r="G8925"/>
      <c r="H8925"/>
      <c r="I8925" s="489"/>
      <c r="J8925" s="1362"/>
      <c r="K8925" s="1362"/>
      <c r="L8925" s="1362"/>
    </row>
    <row r="8926" spans="1:12" x14ac:dyDescent="0.25">
      <c r="A8926">
        <v>94880</v>
      </c>
      <c r="B8926" t="s">
        <v>6042</v>
      </c>
      <c r="C8926" t="s">
        <v>151</v>
      </c>
      <c r="D8926" s="254">
        <v>43.46</v>
      </c>
      <c r="E8926"/>
      <c r="F8926"/>
      <c r="G8926"/>
      <c r="H8926"/>
      <c r="I8926" s="489"/>
      <c r="J8926" s="1362"/>
      <c r="K8926" s="1362"/>
      <c r="L8926" s="1362"/>
    </row>
    <row r="8927" spans="1:12" x14ac:dyDescent="0.25">
      <c r="A8927">
        <v>94881</v>
      </c>
      <c r="B8927" t="s">
        <v>6043</v>
      </c>
      <c r="C8927" t="s">
        <v>151</v>
      </c>
      <c r="D8927" s="254">
        <v>2641.39</v>
      </c>
      <c r="E8927"/>
      <c r="F8927"/>
      <c r="G8927"/>
      <c r="H8927"/>
      <c r="I8927" s="489"/>
      <c r="J8927" s="1362"/>
      <c r="K8927" s="1362"/>
      <c r="L8927" s="1362"/>
    </row>
    <row r="8928" spans="1:12" x14ac:dyDescent="0.25">
      <c r="A8928">
        <v>94882</v>
      </c>
      <c r="B8928" t="s">
        <v>6044</v>
      </c>
      <c r="C8928" t="s">
        <v>151</v>
      </c>
      <c r="D8928" s="254">
        <v>50.39</v>
      </c>
      <c r="E8928"/>
      <c r="F8928"/>
      <c r="G8928"/>
      <c r="H8928"/>
      <c r="I8928" s="489"/>
      <c r="J8928" s="1362"/>
      <c r="K8928" s="1362"/>
      <c r="L8928" s="1362"/>
    </row>
    <row r="8929" spans="1:12" x14ac:dyDescent="0.25">
      <c r="A8929">
        <v>94884</v>
      </c>
      <c r="B8929" t="s">
        <v>6045</v>
      </c>
      <c r="C8929" t="s">
        <v>151</v>
      </c>
      <c r="D8929" s="254">
        <v>64.459999999999994</v>
      </c>
      <c r="E8929"/>
      <c r="F8929"/>
      <c r="G8929"/>
      <c r="H8929"/>
      <c r="I8929" s="489"/>
      <c r="J8929" s="1362"/>
      <c r="K8929" s="1362"/>
      <c r="L8929" s="1362"/>
    </row>
    <row r="8930" spans="1:12" x14ac:dyDescent="0.25">
      <c r="A8930">
        <v>97121</v>
      </c>
      <c r="B8930" t="s">
        <v>202</v>
      </c>
      <c r="C8930" t="s">
        <v>151</v>
      </c>
      <c r="D8930" s="254">
        <v>2.02</v>
      </c>
      <c r="E8930"/>
      <c r="F8930"/>
      <c r="G8930"/>
      <c r="H8930"/>
      <c r="I8930" s="489"/>
      <c r="J8930" s="1362"/>
      <c r="K8930" s="1362"/>
      <c r="L8930" s="1362"/>
    </row>
    <row r="8931" spans="1:12" x14ac:dyDescent="0.25">
      <c r="A8931">
        <v>97122</v>
      </c>
      <c r="B8931" t="s">
        <v>203</v>
      </c>
      <c r="C8931" t="s">
        <v>151</v>
      </c>
      <c r="D8931" s="254">
        <v>2.83</v>
      </c>
      <c r="E8931"/>
      <c r="F8931"/>
      <c r="G8931"/>
      <c r="H8931"/>
      <c r="I8931" s="489"/>
      <c r="J8931" s="1362"/>
      <c r="K8931" s="1362"/>
      <c r="L8931" s="1362"/>
    </row>
    <row r="8932" spans="1:12" x14ac:dyDescent="0.25">
      <c r="A8932">
        <v>97123</v>
      </c>
      <c r="B8932" t="s">
        <v>204</v>
      </c>
      <c r="C8932" t="s">
        <v>151</v>
      </c>
      <c r="D8932" s="254">
        <v>3.58</v>
      </c>
      <c r="E8932"/>
      <c r="F8932"/>
      <c r="G8932"/>
      <c r="H8932"/>
      <c r="I8932" s="489"/>
      <c r="J8932" s="1362"/>
      <c r="K8932" s="1362"/>
      <c r="L8932" s="1362"/>
    </row>
    <row r="8933" spans="1:12" x14ac:dyDescent="0.25">
      <c r="A8933">
        <v>97124</v>
      </c>
      <c r="B8933" t="s">
        <v>205</v>
      </c>
      <c r="C8933" t="s">
        <v>151</v>
      </c>
      <c r="D8933" s="254">
        <v>0.9</v>
      </c>
      <c r="E8933"/>
      <c r="F8933"/>
      <c r="G8933"/>
      <c r="H8933"/>
      <c r="I8933" s="489"/>
      <c r="J8933" s="1362"/>
      <c r="K8933" s="1362"/>
      <c r="L8933" s="1362"/>
    </row>
    <row r="8934" spans="1:12" x14ac:dyDescent="0.25">
      <c r="A8934">
        <v>97125</v>
      </c>
      <c r="B8934" t="s">
        <v>206</v>
      </c>
      <c r="C8934" t="s">
        <v>151</v>
      </c>
      <c r="D8934" s="254">
        <v>1.29</v>
      </c>
      <c r="E8934"/>
      <c r="F8934"/>
      <c r="G8934"/>
      <c r="H8934"/>
      <c r="I8934" s="489"/>
      <c r="J8934" s="1362"/>
      <c r="K8934" s="1362"/>
      <c r="L8934" s="1362"/>
    </row>
    <row r="8935" spans="1:12" x14ac:dyDescent="0.25">
      <c r="A8935">
        <v>97126</v>
      </c>
      <c r="B8935" t="s">
        <v>207</v>
      </c>
      <c r="C8935" t="s">
        <v>151</v>
      </c>
      <c r="D8935" s="254">
        <v>1.64</v>
      </c>
      <c r="E8935"/>
      <c r="F8935"/>
      <c r="G8935"/>
      <c r="H8935"/>
      <c r="I8935" s="489"/>
      <c r="J8935" s="1362"/>
      <c r="K8935" s="1362"/>
      <c r="L8935" s="1362"/>
    </row>
    <row r="8936" spans="1:12" x14ac:dyDescent="0.25">
      <c r="A8936">
        <v>102264</v>
      </c>
      <c r="B8936" t="s">
        <v>5964</v>
      </c>
      <c r="C8936" t="s">
        <v>151</v>
      </c>
      <c r="D8936" s="254">
        <v>20.9</v>
      </c>
      <c r="E8936"/>
      <c r="F8936"/>
      <c r="G8936"/>
      <c r="H8936"/>
      <c r="I8936" s="489"/>
      <c r="J8936" s="1362"/>
      <c r="K8936" s="1362"/>
      <c r="L8936" s="1362"/>
    </row>
    <row r="8937" spans="1:12" x14ac:dyDescent="0.25">
      <c r="A8937">
        <v>102265</v>
      </c>
      <c r="B8937" t="s">
        <v>5965</v>
      </c>
      <c r="C8937" t="s">
        <v>138</v>
      </c>
      <c r="D8937" s="254">
        <v>102.13</v>
      </c>
      <c r="E8937"/>
      <c r="F8937"/>
      <c r="G8937"/>
      <c r="H8937"/>
      <c r="I8937" s="489"/>
      <c r="J8937" s="1362"/>
      <c r="K8937" s="1362"/>
      <c r="L8937" s="1362"/>
    </row>
    <row r="8938" spans="1:12" x14ac:dyDescent="0.25">
      <c r="A8938">
        <v>102266</v>
      </c>
      <c r="B8938" t="s">
        <v>5966</v>
      </c>
      <c r="C8938" t="s">
        <v>138</v>
      </c>
      <c r="D8938" s="254">
        <v>113.27</v>
      </c>
      <c r="E8938"/>
      <c r="F8938"/>
      <c r="G8938"/>
      <c r="H8938"/>
      <c r="I8938" s="489"/>
      <c r="J8938" s="1362"/>
      <c r="K8938" s="1362"/>
      <c r="L8938" s="1362"/>
    </row>
    <row r="8939" spans="1:12" x14ac:dyDescent="0.25">
      <c r="A8939">
        <v>102267</v>
      </c>
      <c r="B8939" t="s">
        <v>5967</v>
      </c>
      <c r="C8939" t="s">
        <v>138</v>
      </c>
      <c r="D8939" s="254">
        <v>130.05000000000001</v>
      </c>
      <c r="E8939"/>
      <c r="F8939"/>
      <c r="G8939"/>
      <c r="H8939"/>
      <c r="I8939" s="489"/>
      <c r="J8939" s="1362"/>
      <c r="K8939" s="1362"/>
      <c r="L8939" s="1362"/>
    </row>
    <row r="8940" spans="1:12" x14ac:dyDescent="0.25">
      <c r="A8940">
        <v>102268</v>
      </c>
      <c r="B8940" t="s">
        <v>5968</v>
      </c>
      <c r="C8940" t="s">
        <v>138</v>
      </c>
      <c r="D8940" s="254">
        <v>146.77000000000001</v>
      </c>
      <c r="E8940"/>
      <c r="F8940"/>
      <c r="G8940"/>
      <c r="H8940"/>
      <c r="I8940" s="489"/>
      <c r="J8940" s="1362"/>
      <c r="K8940" s="1362"/>
      <c r="L8940" s="1362"/>
    </row>
    <row r="8941" spans="1:12" x14ac:dyDescent="0.25">
      <c r="A8941">
        <v>102269</v>
      </c>
      <c r="B8941" t="s">
        <v>5969</v>
      </c>
      <c r="C8941" t="s">
        <v>138</v>
      </c>
      <c r="D8941" s="254">
        <v>180.19</v>
      </c>
      <c r="E8941"/>
      <c r="F8941"/>
      <c r="G8941"/>
      <c r="H8941"/>
      <c r="I8941" s="489"/>
      <c r="J8941" s="1362"/>
      <c r="K8941" s="1362"/>
      <c r="L8941" s="1362"/>
    </row>
    <row r="8942" spans="1:12" x14ac:dyDescent="0.25">
      <c r="A8942">
        <v>92833</v>
      </c>
      <c r="B8942" t="s">
        <v>208</v>
      </c>
      <c r="C8942" t="s">
        <v>151</v>
      </c>
      <c r="D8942" s="254">
        <v>198.2</v>
      </c>
      <c r="E8942"/>
      <c r="F8942"/>
      <c r="G8942"/>
      <c r="H8942"/>
      <c r="I8942" s="489"/>
      <c r="J8942" s="1362"/>
      <c r="K8942" s="1362"/>
      <c r="L8942" s="1362"/>
    </row>
    <row r="8943" spans="1:12" x14ac:dyDescent="0.25">
      <c r="A8943">
        <v>92834</v>
      </c>
      <c r="B8943" t="s">
        <v>209</v>
      </c>
      <c r="C8943" t="s">
        <v>151</v>
      </c>
      <c r="D8943" s="254">
        <v>9.15</v>
      </c>
      <c r="E8943"/>
      <c r="F8943"/>
      <c r="G8943"/>
      <c r="H8943"/>
      <c r="I8943" s="489"/>
      <c r="J8943" s="1362"/>
      <c r="K8943" s="1362"/>
      <c r="L8943" s="1362"/>
    </row>
    <row r="8944" spans="1:12" x14ac:dyDescent="0.25">
      <c r="A8944">
        <v>92835</v>
      </c>
      <c r="B8944" t="s">
        <v>210</v>
      </c>
      <c r="C8944" t="s">
        <v>151</v>
      </c>
      <c r="D8944" s="254">
        <v>207.57</v>
      </c>
      <c r="E8944"/>
      <c r="F8944"/>
      <c r="G8944"/>
      <c r="H8944"/>
      <c r="I8944" s="489"/>
      <c r="J8944" s="1362"/>
      <c r="K8944" s="1362"/>
      <c r="L8944" s="1362"/>
    </row>
    <row r="8945" spans="1:12" x14ac:dyDescent="0.25">
      <c r="A8945">
        <v>92836</v>
      </c>
      <c r="B8945" t="s">
        <v>211</v>
      </c>
      <c r="C8945" t="s">
        <v>151</v>
      </c>
      <c r="D8945" s="254">
        <v>11.68</v>
      </c>
      <c r="E8945"/>
      <c r="F8945"/>
      <c r="G8945"/>
      <c r="H8945"/>
      <c r="I8945" s="489"/>
      <c r="J8945" s="1362"/>
      <c r="K8945" s="1362"/>
      <c r="L8945" s="1362"/>
    </row>
    <row r="8946" spans="1:12" x14ac:dyDescent="0.25">
      <c r="A8946">
        <v>92837</v>
      </c>
      <c r="B8946" t="s">
        <v>212</v>
      </c>
      <c r="C8946" t="s">
        <v>151</v>
      </c>
      <c r="D8946" s="254">
        <v>367.12</v>
      </c>
      <c r="E8946"/>
      <c r="F8946"/>
      <c r="G8946"/>
      <c r="H8946"/>
      <c r="I8946" s="489"/>
      <c r="J8946" s="1362"/>
      <c r="K8946" s="1362"/>
      <c r="L8946" s="1362"/>
    </row>
    <row r="8947" spans="1:12" x14ac:dyDescent="0.25">
      <c r="A8947">
        <v>92838</v>
      </c>
      <c r="B8947" t="s">
        <v>213</v>
      </c>
      <c r="C8947" t="s">
        <v>151</v>
      </c>
      <c r="D8947" s="254">
        <v>14.01</v>
      </c>
      <c r="E8947"/>
      <c r="F8947"/>
      <c r="G8947"/>
      <c r="H8947"/>
      <c r="I8947" s="489"/>
      <c r="J8947" s="1362"/>
      <c r="K8947" s="1362"/>
      <c r="L8947" s="1362"/>
    </row>
    <row r="8948" spans="1:12" x14ac:dyDescent="0.25">
      <c r="A8948">
        <v>92839</v>
      </c>
      <c r="B8948" t="s">
        <v>214</v>
      </c>
      <c r="C8948" t="s">
        <v>151</v>
      </c>
      <c r="D8948" s="254">
        <v>449.2</v>
      </c>
      <c r="E8948"/>
      <c r="F8948"/>
      <c r="G8948"/>
      <c r="H8948"/>
      <c r="I8948" s="489"/>
      <c r="J8948" s="1362"/>
      <c r="K8948" s="1362"/>
      <c r="L8948" s="1362"/>
    </row>
    <row r="8949" spans="1:12" x14ac:dyDescent="0.25">
      <c r="A8949">
        <v>92840</v>
      </c>
      <c r="B8949" t="s">
        <v>215</v>
      </c>
      <c r="C8949" t="s">
        <v>151</v>
      </c>
      <c r="D8949" s="254">
        <v>16.62</v>
      </c>
      <c r="E8949"/>
      <c r="F8949"/>
      <c r="G8949"/>
      <c r="H8949"/>
      <c r="I8949" s="489"/>
      <c r="J8949" s="1362"/>
      <c r="K8949" s="1362"/>
      <c r="L8949" s="1362"/>
    </row>
    <row r="8950" spans="1:12" x14ac:dyDescent="0.25">
      <c r="A8950">
        <v>92841</v>
      </c>
      <c r="B8950" t="s">
        <v>216</v>
      </c>
      <c r="C8950" t="s">
        <v>151</v>
      </c>
      <c r="D8950" s="254">
        <v>585.11</v>
      </c>
      <c r="E8950"/>
      <c r="F8950"/>
      <c r="G8950"/>
      <c r="H8950"/>
      <c r="I8950" s="489"/>
      <c r="J8950" s="1362"/>
      <c r="K8950" s="1362"/>
      <c r="L8950" s="1362"/>
    </row>
    <row r="8951" spans="1:12" x14ac:dyDescent="0.25">
      <c r="A8951">
        <v>92842</v>
      </c>
      <c r="B8951" t="s">
        <v>217</v>
      </c>
      <c r="C8951" t="s">
        <v>151</v>
      </c>
      <c r="D8951" s="254">
        <v>18.940000000000001</v>
      </c>
      <c r="E8951"/>
      <c r="F8951"/>
      <c r="G8951"/>
      <c r="H8951"/>
      <c r="I8951" s="489"/>
      <c r="J8951" s="1362"/>
      <c r="K8951" s="1362"/>
      <c r="L8951" s="1362"/>
    </row>
    <row r="8952" spans="1:12" x14ac:dyDescent="0.25">
      <c r="A8952">
        <v>92843</v>
      </c>
      <c r="B8952" t="s">
        <v>4628</v>
      </c>
      <c r="C8952" t="s">
        <v>151</v>
      </c>
      <c r="D8952" s="254">
        <v>605.97</v>
      </c>
      <c r="E8952"/>
      <c r="F8952"/>
      <c r="G8952"/>
      <c r="H8952"/>
      <c r="I8952" s="489"/>
      <c r="J8952" s="1362"/>
      <c r="K8952" s="1362"/>
      <c r="L8952" s="1362"/>
    </row>
    <row r="8953" spans="1:12" x14ac:dyDescent="0.25">
      <c r="A8953">
        <v>92844</v>
      </c>
      <c r="B8953" t="s">
        <v>218</v>
      </c>
      <c r="C8953" t="s">
        <v>151</v>
      </c>
      <c r="D8953" s="254">
        <v>21.56</v>
      </c>
      <c r="E8953"/>
      <c r="F8953"/>
      <c r="G8953"/>
      <c r="H8953"/>
      <c r="I8953" s="489"/>
      <c r="J8953" s="1362"/>
      <c r="K8953" s="1362"/>
      <c r="L8953" s="1362"/>
    </row>
    <row r="8954" spans="1:12" x14ac:dyDescent="0.25">
      <c r="A8954">
        <v>92845</v>
      </c>
      <c r="B8954" t="s">
        <v>4629</v>
      </c>
      <c r="C8954" t="s">
        <v>151</v>
      </c>
      <c r="D8954" s="254">
        <v>898.05</v>
      </c>
      <c r="E8954"/>
      <c r="F8954"/>
      <c r="G8954"/>
      <c r="H8954"/>
      <c r="I8954" s="489"/>
      <c r="J8954" s="1362"/>
      <c r="K8954" s="1362"/>
      <c r="L8954" s="1362"/>
    </row>
    <row r="8955" spans="1:12" x14ac:dyDescent="0.25">
      <c r="A8955">
        <v>92846</v>
      </c>
      <c r="B8955" t="s">
        <v>219</v>
      </c>
      <c r="C8955" t="s">
        <v>151</v>
      </c>
      <c r="D8955" s="254">
        <v>23.89</v>
      </c>
      <c r="E8955"/>
      <c r="F8955"/>
      <c r="G8955"/>
      <c r="H8955"/>
      <c r="I8955" s="489"/>
      <c r="J8955" s="1362"/>
      <c r="K8955" s="1362"/>
      <c r="L8955" s="1362"/>
    </row>
    <row r="8956" spans="1:12" x14ac:dyDescent="0.25">
      <c r="A8956">
        <v>92847</v>
      </c>
      <c r="B8956" t="s">
        <v>220</v>
      </c>
      <c r="C8956" t="s">
        <v>151</v>
      </c>
      <c r="D8956" s="254">
        <v>922.48</v>
      </c>
      <c r="E8956"/>
      <c r="F8956"/>
      <c r="G8956"/>
      <c r="H8956"/>
      <c r="I8956" s="489"/>
      <c r="J8956" s="1362"/>
      <c r="K8956" s="1362"/>
      <c r="L8956" s="1362"/>
    </row>
    <row r="8957" spans="1:12" x14ac:dyDescent="0.25">
      <c r="A8957">
        <v>92848</v>
      </c>
      <c r="B8957" t="s">
        <v>221</v>
      </c>
      <c r="C8957" t="s">
        <v>151</v>
      </c>
      <c r="D8957" s="254">
        <v>26.51</v>
      </c>
      <c r="E8957"/>
      <c r="F8957"/>
      <c r="G8957"/>
      <c r="H8957"/>
      <c r="I8957" s="489"/>
      <c r="J8957" s="1362"/>
      <c r="K8957" s="1362"/>
      <c r="L8957" s="1362"/>
    </row>
    <row r="8958" spans="1:12" x14ac:dyDescent="0.25">
      <c r="A8958">
        <v>92849</v>
      </c>
      <c r="B8958" t="s">
        <v>222</v>
      </c>
      <c r="C8958" t="s">
        <v>151</v>
      </c>
      <c r="D8958" s="254">
        <v>206.35</v>
      </c>
      <c r="E8958"/>
      <c r="F8958"/>
      <c r="G8958"/>
      <c r="H8958"/>
      <c r="I8958" s="489"/>
      <c r="J8958" s="1362"/>
      <c r="K8958" s="1362"/>
      <c r="L8958" s="1362"/>
    </row>
    <row r="8959" spans="1:12" x14ac:dyDescent="0.25">
      <c r="A8959">
        <v>92850</v>
      </c>
      <c r="B8959" t="s">
        <v>223</v>
      </c>
      <c r="C8959" t="s">
        <v>151</v>
      </c>
      <c r="D8959" s="254">
        <v>17.3</v>
      </c>
      <c r="E8959"/>
      <c r="F8959"/>
      <c r="G8959"/>
      <c r="H8959"/>
      <c r="I8959" s="489"/>
      <c r="J8959" s="1362"/>
      <c r="K8959" s="1362"/>
      <c r="L8959" s="1362"/>
    </row>
    <row r="8960" spans="1:12" x14ac:dyDescent="0.25">
      <c r="A8960">
        <v>92851</v>
      </c>
      <c r="B8960" t="s">
        <v>224</v>
      </c>
      <c r="C8960" t="s">
        <v>151</v>
      </c>
      <c r="D8960" s="254">
        <v>217.73</v>
      </c>
      <c r="E8960"/>
      <c r="F8960"/>
      <c r="G8960"/>
      <c r="H8960"/>
      <c r="I8960" s="489"/>
      <c r="J8960" s="1362"/>
      <c r="K8960" s="1362"/>
      <c r="L8960" s="1362"/>
    </row>
    <row r="8961" spans="1:12" x14ac:dyDescent="0.25">
      <c r="A8961">
        <v>92852</v>
      </c>
      <c r="B8961" t="s">
        <v>225</v>
      </c>
      <c r="C8961" t="s">
        <v>151</v>
      </c>
      <c r="D8961" s="254">
        <v>21.84</v>
      </c>
      <c r="E8961"/>
      <c r="F8961"/>
      <c r="G8961"/>
      <c r="H8961"/>
      <c r="I8961" s="489"/>
      <c r="J8961" s="1362"/>
      <c r="K8961" s="1362"/>
      <c r="L8961" s="1362"/>
    </row>
    <row r="8962" spans="1:12" x14ac:dyDescent="0.25">
      <c r="A8962">
        <v>92853</v>
      </c>
      <c r="B8962" t="s">
        <v>226</v>
      </c>
      <c r="C8962" t="s">
        <v>151</v>
      </c>
      <c r="D8962" s="254">
        <v>379.7</v>
      </c>
      <c r="E8962"/>
      <c r="F8962"/>
      <c r="G8962"/>
      <c r="H8962"/>
      <c r="I8962" s="489"/>
      <c r="J8962" s="1362"/>
      <c r="K8962" s="1362"/>
      <c r="L8962" s="1362"/>
    </row>
    <row r="8963" spans="1:12" x14ac:dyDescent="0.25">
      <c r="A8963">
        <v>92854</v>
      </c>
      <c r="B8963" t="s">
        <v>227</v>
      </c>
      <c r="C8963" t="s">
        <v>151</v>
      </c>
      <c r="D8963" s="254">
        <v>26.59</v>
      </c>
      <c r="E8963"/>
      <c r="F8963"/>
      <c r="G8963"/>
      <c r="H8963"/>
      <c r="I8963" s="489"/>
      <c r="J8963" s="1362"/>
      <c r="K8963" s="1362"/>
      <c r="L8963" s="1362"/>
    </row>
    <row r="8964" spans="1:12" x14ac:dyDescent="0.25">
      <c r="A8964">
        <v>92855</v>
      </c>
      <c r="B8964" t="s">
        <v>228</v>
      </c>
      <c r="C8964" t="s">
        <v>151</v>
      </c>
      <c r="D8964" s="254">
        <v>463.93</v>
      </c>
      <c r="E8964"/>
      <c r="F8964"/>
      <c r="G8964"/>
      <c r="H8964"/>
      <c r="I8964" s="489"/>
      <c r="J8964" s="1362"/>
      <c r="K8964" s="1362"/>
      <c r="L8964" s="1362"/>
    </row>
    <row r="8965" spans="1:12" x14ac:dyDescent="0.25">
      <c r="A8965">
        <v>92856</v>
      </c>
      <c r="B8965" t="s">
        <v>229</v>
      </c>
      <c r="C8965" t="s">
        <v>151</v>
      </c>
      <c r="D8965" s="254">
        <v>31.35</v>
      </c>
      <c r="E8965"/>
      <c r="F8965"/>
      <c r="G8965"/>
      <c r="H8965"/>
      <c r="I8965" s="489"/>
      <c r="J8965" s="1362"/>
      <c r="K8965" s="1362"/>
      <c r="L8965" s="1362"/>
    </row>
    <row r="8966" spans="1:12" x14ac:dyDescent="0.25">
      <c r="A8966">
        <v>92857</v>
      </c>
      <c r="B8966" t="s">
        <v>230</v>
      </c>
      <c r="C8966" t="s">
        <v>151</v>
      </c>
      <c r="D8966" s="254">
        <v>602.03</v>
      </c>
      <c r="E8966"/>
      <c r="F8966"/>
      <c r="G8966"/>
      <c r="H8966"/>
      <c r="I8966" s="489"/>
      <c r="J8966" s="1362"/>
      <c r="K8966" s="1362"/>
      <c r="L8966" s="1362"/>
    </row>
    <row r="8967" spans="1:12" x14ac:dyDescent="0.25">
      <c r="A8967">
        <v>92858</v>
      </c>
      <c r="B8967" t="s">
        <v>231</v>
      </c>
      <c r="C8967" t="s">
        <v>151</v>
      </c>
      <c r="D8967" s="254">
        <v>35.86</v>
      </c>
      <c r="E8967"/>
      <c r="F8967"/>
      <c r="G8967"/>
      <c r="H8967"/>
      <c r="I8967" s="489"/>
      <c r="J8967" s="1362"/>
      <c r="K8967" s="1362"/>
      <c r="L8967" s="1362"/>
    </row>
    <row r="8968" spans="1:12" x14ac:dyDescent="0.25">
      <c r="A8968">
        <v>92859</v>
      </c>
      <c r="B8968" t="s">
        <v>4630</v>
      </c>
      <c r="C8968" t="s">
        <v>151</v>
      </c>
      <c r="D8968" s="254">
        <v>625.14</v>
      </c>
      <c r="E8968"/>
      <c r="F8968"/>
      <c r="G8968"/>
      <c r="H8968"/>
      <c r="I8968" s="489"/>
      <c r="J8968" s="1362"/>
      <c r="K8968" s="1362"/>
      <c r="L8968" s="1362"/>
    </row>
    <row r="8969" spans="1:12" x14ac:dyDescent="0.25">
      <c r="A8969">
        <v>92860</v>
      </c>
      <c r="B8969" t="s">
        <v>232</v>
      </c>
      <c r="C8969" t="s">
        <v>151</v>
      </c>
      <c r="D8969" s="254">
        <v>40.729999999999997</v>
      </c>
      <c r="E8969"/>
      <c r="F8969"/>
      <c r="G8969"/>
      <c r="H8969"/>
      <c r="I8969" s="489"/>
      <c r="J8969" s="1362"/>
      <c r="K8969" s="1362"/>
      <c r="L8969" s="1362"/>
    </row>
    <row r="8970" spans="1:12" x14ac:dyDescent="0.25">
      <c r="A8970">
        <v>92861</v>
      </c>
      <c r="B8970" t="s">
        <v>4631</v>
      </c>
      <c r="C8970" t="s">
        <v>151</v>
      </c>
      <c r="D8970" s="254">
        <v>919.62</v>
      </c>
      <c r="E8970"/>
      <c r="F8970"/>
      <c r="G8970"/>
      <c r="H8970"/>
      <c r="I8970" s="489"/>
      <c r="J8970" s="1362"/>
      <c r="K8970" s="1362"/>
      <c r="L8970" s="1362"/>
    </row>
    <row r="8971" spans="1:12" x14ac:dyDescent="0.25">
      <c r="A8971">
        <v>92862</v>
      </c>
      <c r="B8971" t="s">
        <v>233</v>
      </c>
      <c r="C8971" t="s">
        <v>151</v>
      </c>
      <c r="D8971" s="254">
        <v>45.46</v>
      </c>
      <c r="E8971"/>
      <c r="F8971"/>
      <c r="G8971"/>
      <c r="H8971"/>
      <c r="I8971" s="489"/>
      <c r="J8971" s="1362"/>
      <c r="K8971" s="1362"/>
      <c r="L8971" s="1362"/>
    </row>
    <row r="8972" spans="1:12" x14ac:dyDescent="0.25">
      <c r="A8972">
        <v>92863</v>
      </c>
      <c r="B8972" t="s">
        <v>234</v>
      </c>
      <c r="C8972" t="s">
        <v>151</v>
      </c>
      <c r="D8972" s="254">
        <v>946.19</v>
      </c>
      <c r="E8972"/>
      <c r="F8972"/>
      <c r="G8972"/>
      <c r="H8972"/>
      <c r="I8972" s="489"/>
      <c r="J8972" s="1362"/>
      <c r="K8972" s="1362"/>
      <c r="L8972" s="1362"/>
    </row>
    <row r="8973" spans="1:12" x14ac:dyDescent="0.25">
      <c r="A8973">
        <v>92864</v>
      </c>
      <c r="B8973" t="s">
        <v>235</v>
      </c>
      <c r="C8973" t="s">
        <v>151</v>
      </c>
      <c r="D8973" s="254">
        <v>50.22</v>
      </c>
      <c r="E8973"/>
      <c r="F8973"/>
      <c r="G8973"/>
      <c r="H8973"/>
      <c r="I8973" s="489"/>
      <c r="J8973" s="1362"/>
      <c r="K8973" s="1362"/>
      <c r="L8973" s="1362"/>
    </row>
    <row r="8974" spans="1:12" x14ac:dyDescent="0.25">
      <c r="A8974">
        <v>92210</v>
      </c>
      <c r="B8974" t="s">
        <v>236</v>
      </c>
      <c r="C8974" t="s">
        <v>151</v>
      </c>
      <c r="D8974" s="254">
        <v>164.75</v>
      </c>
      <c r="E8974"/>
      <c r="F8974"/>
      <c r="G8974"/>
      <c r="H8974"/>
      <c r="I8974" s="489"/>
      <c r="J8974" s="1362"/>
      <c r="K8974" s="1362"/>
      <c r="L8974" s="1362"/>
    </row>
    <row r="8975" spans="1:12" x14ac:dyDescent="0.25">
      <c r="A8975">
        <v>92211</v>
      </c>
      <c r="B8975" t="s">
        <v>237</v>
      </c>
      <c r="C8975" t="s">
        <v>151</v>
      </c>
      <c r="D8975" s="254">
        <v>198.09</v>
      </c>
      <c r="E8975"/>
      <c r="F8975"/>
      <c r="G8975"/>
      <c r="H8975"/>
      <c r="I8975" s="489"/>
      <c r="J8975" s="1362"/>
      <c r="K8975" s="1362"/>
      <c r="L8975" s="1362"/>
    </row>
    <row r="8976" spans="1:12" x14ac:dyDescent="0.25">
      <c r="A8976">
        <v>92212</v>
      </c>
      <c r="B8976" t="s">
        <v>238</v>
      </c>
      <c r="C8976" t="s">
        <v>151</v>
      </c>
      <c r="D8976" s="254">
        <v>293.22000000000003</v>
      </c>
      <c r="E8976"/>
      <c r="F8976"/>
      <c r="G8976"/>
      <c r="H8976"/>
      <c r="I8976" s="489"/>
      <c r="J8976" s="1362"/>
      <c r="K8976" s="1362"/>
      <c r="L8976" s="1362"/>
    </row>
    <row r="8977" spans="1:12" x14ac:dyDescent="0.25">
      <c r="A8977">
        <v>92213</v>
      </c>
      <c r="B8977" t="s">
        <v>239</v>
      </c>
      <c r="C8977" t="s">
        <v>151</v>
      </c>
      <c r="D8977" s="254">
        <v>383.98</v>
      </c>
      <c r="E8977"/>
      <c r="F8977"/>
      <c r="G8977"/>
      <c r="H8977"/>
      <c r="I8977" s="489"/>
      <c r="J8977" s="1362"/>
      <c r="K8977" s="1362"/>
      <c r="L8977" s="1362"/>
    </row>
    <row r="8978" spans="1:12" x14ac:dyDescent="0.25">
      <c r="A8978">
        <v>92214</v>
      </c>
      <c r="B8978" t="s">
        <v>240</v>
      </c>
      <c r="C8978" t="s">
        <v>151</v>
      </c>
      <c r="D8978" s="254">
        <v>463.6</v>
      </c>
      <c r="E8978"/>
      <c r="F8978"/>
      <c r="G8978"/>
      <c r="H8978"/>
      <c r="I8978" s="489"/>
      <c r="J8978" s="1362"/>
      <c r="K8978" s="1362"/>
      <c r="L8978" s="1362"/>
    </row>
    <row r="8979" spans="1:12" x14ac:dyDescent="0.25">
      <c r="A8979">
        <v>92215</v>
      </c>
      <c r="B8979" t="s">
        <v>241</v>
      </c>
      <c r="C8979" t="s">
        <v>151</v>
      </c>
      <c r="D8979" s="254">
        <v>532.5</v>
      </c>
      <c r="E8979"/>
      <c r="F8979"/>
      <c r="G8979"/>
      <c r="H8979"/>
      <c r="I8979" s="489"/>
      <c r="J8979" s="1362"/>
      <c r="K8979" s="1362"/>
      <c r="L8979" s="1362"/>
    </row>
    <row r="8980" spans="1:12" x14ac:dyDescent="0.25">
      <c r="A8980">
        <v>92216</v>
      </c>
      <c r="B8980" t="s">
        <v>242</v>
      </c>
      <c r="C8980" t="s">
        <v>151</v>
      </c>
      <c r="D8980" s="254">
        <v>558.45000000000005</v>
      </c>
      <c r="E8980"/>
      <c r="F8980"/>
      <c r="G8980"/>
      <c r="H8980"/>
      <c r="I8980" s="489"/>
      <c r="J8980" s="1362"/>
      <c r="K8980" s="1362"/>
      <c r="L8980" s="1362"/>
    </row>
    <row r="8981" spans="1:12" x14ac:dyDescent="0.25">
      <c r="A8981">
        <v>92219</v>
      </c>
      <c r="B8981" t="s">
        <v>243</v>
      </c>
      <c r="C8981" t="s">
        <v>151</v>
      </c>
      <c r="D8981" s="254">
        <v>174.91</v>
      </c>
      <c r="E8981"/>
      <c r="F8981"/>
      <c r="G8981"/>
      <c r="H8981"/>
      <c r="I8981" s="489"/>
      <c r="J8981" s="1362"/>
      <c r="K8981" s="1362"/>
      <c r="L8981" s="1362"/>
    </row>
    <row r="8982" spans="1:12" x14ac:dyDescent="0.25">
      <c r="A8982">
        <v>92220</v>
      </c>
      <c r="B8982" t="s">
        <v>244</v>
      </c>
      <c r="C8982" t="s">
        <v>151</v>
      </c>
      <c r="D8982" s="254">
        <v>210.67</v>
      </c>
      <c r="E8982"/>
      <c r="F8982"/>
      <c r="G8982"/>
      <c r="H8982"/>
      <c r="I8982" s="489"/>
      <c r="J8982" s="1362"/>
      <c r="K8982" s="1362"/>
      <c r="L8982" s="1362"/>
    </row>
    <row r="8983" spans="1:12" x14ac:dyDescent="0.25">
      <c r="A8983">
        <v>92221</v>
      </c>
      <c r="B8983" t="s">
        <v>245</v>
      </c>
      <c r="C8983" t="s">
        <v>151</v>
      </c>
      <c r="D8983" s="254">
        <v>307.95999999999998</v>
      </c>
      <c r="E8983"/>
      <c r="F8983"/>
      <c r="G8983"/>
      <c r="H8983"/>
      <c r="I8983" s="489"/>
      <c r="J8983" s="1362"/>
      <c r="K8983" s="1362"/>
      <c r="L8983" s="1362"/>
    </row>
    <row r="8984" spans="1:12" x14ac:dyDescent="0.25">
      <c r="A8984">
        <v>92222</v>
      </c>
      <c r="B8984" t="s">
        <v>246</v>
      </c>
      <c r="C8984" t="s">
        <v>151</v>
      </c>
      <c r="D8984" s="254">
        <v>401.12</v>
      </c>
      <c r="E8984"/>
      <c r="F8984"/>
      <c r="G8984"/>
      <c r="H8984"/>
      <c r="I8984" s="489"/>
      <c r="J8984" s="1362"/>
      <c r="K8984" s="1362"/>
      <c r="L8984" s="1362"/>
    </row>
    <row r="8985" spans="1:12" x14ac:dyDescent="0.25">
      <c r="A8985">
        <v>92223</v>
      </c>
      <c r="B8985" t="s">
        <v>247</v>
      </c>
      <c r="C8985" t="s">
        <v>151</v>
      </c>
      <c r="D8985" s="254">
        <v>482.77</v>
      </c>
      <c r="E8985"/>
      <c r="F8985"/>
      <c r="G8985"/>
      <c r="H8985"/>
      <c r="I8985" s="489"/>
      <c r="J8985" s="1362"/>
      <c r="K8985" s="1362"/>
      <c r="L8985" s="1362"/>
    </row>
    <row r="8986" spans="1:12" x14ac:dyDescent="0.25">
      <c r="A8986">
        <v>92224</v>
      </c>
      <c r="B8986" t="s">
        <v>248</v>
      </c>
      <c r="C8986" t="s">
        <v>151</v>
      </c>
      <c r="D8986" s="254">
        <v>553.76</v>
      </c>
      <c r="E8986"/>
      <c r="F8986"/>
      <c r="G8986"/>
      <c r="H8986"/>
      <c r="I8986" s="489"/>
      <c r="J8986" s="1362"/>
      <c r="K8986" s="1362"/>
      <c r="L8986" s="1362"/>
    </row>
    <row r="8987" spans="1:12" x14ac:dyDescent="0.25">
      <c r="A8987">
        <v>92226</v>
      </c>
      <c r="B8987" t="s">
        <v>249</v>
      </c>
      <c r="C8987" t="s">
        <v>151</v>
      </c>
      <c r="D8987" s="254">
        <v>582.26</v>
      </c>
      <c r="E8987"/>
      <c r="F8987"/>
      <c r="G8987"/>
      <c r="H8987"/>
      <c r="I8987" s="489"/>
      <c r="J8987" s="1362"/>
      <c r="K8987" s="1362"/>
      <c r="L8987" s="1362"/>
    </row>
    <row r="8988" spans="1:12" x14ac:dyDescent="0.25">
      <c r="A8988">
        <v>92808</v>
      </c>
      <c r="B8988" t="s">
        <v>250</v>
      </c>
      <c r="C8988" t="s">
        <v>151</v>
      </c>
      <c r="D8988" s="254">
        <v>41.25</v>
      </c>
      <c r="E8988"/>
      <c r="F8988"/>
      <c r="G8988"/>
      <c r="H8988"/>
      <c r="I8988" s="489"/>
      <c r="J8988" s="1362"/>
      <c r="K8988" s="1362"/>
      <c r="L8988" s="1362"/>
    </row>
    <row r="8989" spans="1:12" x14ac:dyDescent="0.25">
      <c r="A8989">
        <v>92809</v>
      </c>
      <c r="B8989" t="s">
        <v>251</v>
      </c>
      <c r="C8989" t="s">
        <v>151</v>
      </c>
      <c r="D8989" s="254">
        <v>52.98</v>
      </c>
      <c r="E8989"/>
      <c r="F8989"/>
      <c r="G8989"/>
      <c r="H8989"/>
      <c r="I8989" s="489"/>
      <c r="J8989" s="1362"/>
      <c r="K8989" s="1362"/>
      <c r="L8989" s="1362"/>
    </row>
    <row r="8990" spans="1:12" x14ac:dyDescent="0.25">
      <c r="A8990">
        <v>92810</v>
      </c>
      <c r="B8990" t="s">
        <v>252</v>
      </c>
      <c r="C8990" t="s">
        <v>151</v>
      </c>
      <c r="D8990" s="254">
        <v>64.5</v>
      </c>
      <c r="E8990"/>
      <c r="F8990"/>
      <c r="G8990"/>
      <c r="H8990"/>
      <c r="I8990" s="489"/>
      <c r="J8990" s="1362"/>
      <c r="K8990" s="1362"/>
      <c r="L8990" s="1362"/>
    </row>
    <row r="8991" spans="1:12" x14ac:dyDescent="0.25">
      <c r="A8991">
        <v>92811</v>
      </c>
      <c r="B8991" t="s">
        <v>253</v>
      </c>
      <c r="C8991" t="s">
        <v>151</v>
      </c>
      <c r="D8991" s="254">
        <v>76.92</v>
      </c>
      <c r="E8991"/>
      <c r="F8991"/>
      <c r="G8991"/>
      <c r="H8991"/>
      <c r="I8991" s="489"/>
      <c r="J8991" s="1362"/>
      <c r="K8991" s="1362"/>
      <c r="L8991" s="1362"/>
    </row>
    <row r="8992" spans="1:12" x14ac:dyDescent="0.25">
      <c r="A8992">
        <v>92812</v>
      </c>
      <c r="B8992" t="s">
        <v>254</v>
      </c>
      <c r="C8992" t="s">
        <v>151</v>
      </c>
      <c r="D8992" s="254">
        <v>89.17</v>
      </c>
      <c r="E8992"/>
      <c r="F8992"/>
      <c r="G8992"/>
      <c r="H8992"/>
      <c r="I8992" s="489"/>
      <c r="J8992" s="1362"/>
      <c r="K8992" s="1362"/>
      <c r="L8992" s="1362"/>
    </row>
    <row r="8993" spans="1:12" x14ac:dyDescent="0.25">
      <c r="A8993">
        <v>92813</v>
      </c>
      <c r="B8993" t="s">
        <v>255</v>
      </c>
      <c r="C8993" t="s">
        <v>151</v>
      </c>
      <c r="D8993" s="254">
        <v>103.71</v>
      </c>
      <c r="E8993"/>
      <c r="F8993"/>
      <c r="G8993"/>
      <c r="H8993"/>
      <c r="I8993" s="489"/>
      <c r="J8993" s="1362"/>
      <c r="K8993" s="1362"/>
      <c r="L8993" s="1362"/>
    </row>
    <row r="8994" spans="1:12" x14ac:dyDescent="0.25">
      <c r="A8994">
        <v>92814</v>
      </c>
      <c r="B8994" t="s">
        <v>256</v>
      </c>
      <c r="C8994" t="s">
        <v>151</v>
      </c>
      <c r="D8994" s="254">
        <v>118.99</v>
      </c>
      <c r="E8994"/>
      <c r="F8994"/>
      <c r="G8994"/>
      <c r="H8994"/>
      <c r="I8994" s="489"/>
      <c r="J8994" s="1362"/>
      <c r="K8994" s="1362"/>
      <c r="L8994" s="1362"/>
    </row>
    <row r="8995" spans="1:12" x14ac:dyDescent="0.25">
      <c r="A8995">
        <v>92815</v>
      </c>
      <c r="B8995" t="s">
        <v>257</v>
      </c>
      <c r="C8995" t="s">
        <v>151</v>
      </c>
      <c r="D8995" s="254">
        <v>136.76</v>
      </c>
      <c r="E8995"/>
      <c r="F8995"/>
      <c r="G8995"/>
      <c r="H8995"/>
      <c r="I8995" s="489"/>
      <c r="J8995" s="1362"/>
      <c r="K8995" s="1362"/>
      <c r="L8995" s="1362"/>
    </row>
    <row r="8996" spans="1:12" x14ac:dyDescent="0.25">
      <c r="A8996">
        <v>92816</v>
      </c>
      <c r="B8996" t="s">
        <v>258</v>
      </c>
      <c r="C8996" t="s">
        <v>151</v>
      </c>
      <c r="D8996" s="254">
        <v>800.93</v>
      </c>
      <c r="E8996"/>
      <c r="F8996"/>
      <c r="G8996"/>
      <c r="H8996"/>
      <c r="I8996" s="489"/>
      <c r="J8996" s="1362"/>
      <c r="K8996" s="1362"/>
      <c r="L8996" s="1362"/>
    </row>
    <row r="8997" spans="1:12" x14ac:dyDescent="0.25">
      <c r="A8997">
        <v>92817</v>
      </c>
      <c r="B8997" t="s">
        <v>259</v>
      </c>
      <c r="C8997" t="s">
        <v>151</v>
      </c>
      <c r="D8997" s="254">
        <v>171.12</v>
      </c>
      <c r="E8997"/>
      <c r="F8997"/>
      <c r="G8997"/>
      <c r="H8997"/>
      <c r="I8997" s="489"/>
      <c r="J8997" s="1362"/>
      <c r="K8997" s="1362"/>
      <c r="L8997" s="1362"/>
    </row>
    <row r="8998" spans="1:12" x14ac:dyDescent="0.25">
      <c r="A8998">
        <v>92818</v>
      </c>
      <c r="B8998" t="s">
        <v>260</v>
      </c>
      <c r="C8998" t="s">
        <v>151</v>
      </c>
      <c r="D8998" s="254">
        <v>1142.79</v>
      </c>
      <c r="E8998"/>
      <c r="F8998"/>
      <c r="G8998"/>
      <c r="H8998"/>
      <c r="I8998" s="489"/>
      <c r="J8998" s="1362"/>
      <c r="K8998" s="1362"/>
      <c r="L8998" s="1362"/>
    </row>
    <row r="8999" spans="1:12" x14ac:dyDescent="0.25">
      <c r="A8999">
        <v>92819</v>
      </c>
      <c r="B8999" t="s">
        <v>261</v>
      </c>
      <c r="C8999" t="s">
        <v>151</v>
      </c>
      <c r="D8999" s="254">
        <v>230.34</v>
      </c>
      <c r="E8999"/>
      <c r="F8999"/>
      <c r="G8999"/>
      <c r="H8999"/>
      <c r="I8999" s="489"/>
      <c r="J8999" s="1362"/>
      <c r="K8999" s="1362"/>
      <c r="L8999" s="1362"/>
    </row>
    <row r="9000" spans="1:12" x14ac:dyDescent="0.25">
      <c r="A9000">
        <v>92820</v>
      </c>
      <c r="B9000" t="s">
        <v>262</v>
      </c>
      <c r="C9000" t="s">
        <v>151</v>
      </c>
      <c r="D9000" s="254">
        <v>49.19</v>
      </c>
      <c r="E9000"/>
      <c r="F9000"/>
      <c r="G9000"/>
      <c r="H9000"/>
      <c r="I9000" s="489"/>
      <c r="J9000" s="1362"/>
      <c r="K9000" s="1362"/>
      <c r="L9000" s="1362"/>
    </row>
    <row r="9001" spans="1:12" x14ac:dyDescent="0.25">
      <c r="A9001">
        <v>92821</v>
      </c>
      <c r="B9001" t="s">
        <v>263</v>
      </c>
      <c r="C9001" t="s">
        <v>151</v>
      </c>
      <c r="D9001" s="254">
        <v>63.14</v>
      </c>
      <c r="E9001"/>
      <c r="F9001"/>
      <c r="G9001"/>
      <c r="H9001"/>
      <c r="I9001" s="489"/>
      <c r="J9001" s="1362"/>
      <c r="K9001" s="1362"/>
      <c r="L9001" s="1362"/>
    </row>
    <row r="9002" spans="1:12" x14ac:dyDescent="0.25">
      <c r="A9002">
        <v>92822</v>
      </c>
      <c r="B9002" t="s">
        <v>264</v>
      </c>
      <c r="C9002" t="s">
        <v>151</v>
      </c>
      <c r="D9002" s="254">
        <v>77.08</v>
      </c>
      <c r="E9002"/>
      <c r="F9002"/>
      <c r="G9002"/>
      <c r="H9002"/>
      <c r="I9002" s="489"/>
      <c r="J9002" s="1362"/>
      <c r="K9002" s="1362"/>
      <c r="L9002" s="1362"/>
    </row>
    <row r="9003" spans="1:12" x14ac:dyDescent="0.25">
      <c r="A9003">
        <v>92824</v>
      </c>
      <c r="B9003" t="s">
        <v>265</v>
      </c>
      <c r="C9003" t="s">
        <v>151</v>
      </c>
      <c r="D9003" s="254">
        <v>91.66</v>
      </c>
      <c r="E9003"/>
      <c r="F9003"/>
      <c r="G9003"/>
      <c r="H9003"/>
      <c r="I9003" s="489"/>
      <c r="J9003" s="1362"/>
      <c r="K9003" s="1362"/>
      <c r="L9003" s="1362"/>
    </row>
    <row r="9004" spans="1:12" x14ac:dyDescent="0.25">
      <c r="A9004">
        <v>92825</v>
      </c>
      <c r="B9004" t="s">
        <v>266</v>
      </c>
      <c r="C9004" t="s">
        <v>151</v>
      </c>
      <c r="D9004" s="254">
        <v>106.31</v>
      </c>
      <c r="E9004"/>
      <c r="F9004"/>
      <c r="G9004"/>
      <c r="H9004"/>
      <c r="I9004" s="489"/>
      <c r="J9004" s="1362"/>
      <c r="K9004" s="1362"/>
      <c r="L9004" s="1362"/>
    </row>
    <row r="9005" spans="1:12" x14ac:dyDescent="0.25">
      <c r="A9005">
        <v>92826</v>
      </c>
      <c r="B9005" t="s">
        <v>267</v>
      </c>
      <c r="C9005" t="s">
        <v>151</v>
      </c>
      <c r="D9005" s="254">
        <v>122.88</v>
      </c>
      <c r="E9005"/>
      <c r="F9005"/>
      <c r="G9005"/>
      <c r="H9005"/>
      <c r="I9005" s="489"/>
      <c r="J9005" s="1362"/>
      <c r="K9005" s="1362"/>
      <c r="L9005" s="1362"/>
    </row>
    <row r="9006" spans="1:12" x14ac:dyDescent="0.25">
      <c r="A9006">
        <v>92827</v>
      </c>
      <c r="B9006" t="s">
        <v>268</v>
      </c>
      <c r="C9006" t="s">
        <v>151</v>
      </c>
      <c r="D9006" s="254">
        <v>140.25</v>
      </c>
      <c r="E9006"/>
      <c r="F9006"/>
      <c r="G9006"/>
      <c r="H9006"/>
      <c r="I9006" s="489"/>
      <c r="J9006" s="1362"/>
      <c r="K9006" s="1362"/>
      <c r="L9006" s="1362"/>
    </row>
    <row r="9007" spans="1:12" x14ac:dyDescent="0.25">
      <c r="A9007">
        <v>92828</v>
      </c>
      <c r="B9007" t="s">
        <v>269</v>
      </c>
      <c r="C9007" t="s">
        <v>151</v>
      </c>
      <c r="D9007" s="254">
        <v>160.57</v>
      </c>
      <c r="E9007"/>
      <c r="F9007"/>
      <c r="G9007"/>
      <c r="H9007"/>
      <c r="I9007" s="489"/>
      <c r="J9007" s="1362"/>
      <c r="K9007" s="1362"/>
      <c r="L9007" s="1362"/>
    </row>
    <row r="9008" spans="1:12" x14ac:dyDescent="0.25">
      <c r="A9008">
        <v>92829</v>
      </c>
      <c r="B9008" t="s">
        <v>270</v>
      </c>
      <c r="C9008" t="s">
        <v>151</v>
      </c>
      <c r="D9008" s="254">
        <v>829</v>
      </c>
      <c r="E9008"/>
      <c r="F9008"/>
      <c r="G9008"/>
      <c r="H9008"/>
      <c r="I9008" s="489"/>
      <c r="J9008" s="1362"/>
      <c r="K9008" s="1362"/>
      <c r="L9008" s="1362"/>
    </row>
    <row r="9009" spans="1:12" x14ac:dyDescent="0.25">
      <c r="A9009">
        <v>92830</v>
      </c>
      <c r="B9009" t="s">
        <v>271</v>
      </c>
      <c r="C9009" t="s">
        <v>151</v>
      </c>
      <c r="D9009" s="254">
        <v>199.19</v>
      </c>
      <c r="E9009"/>
      <c r="F9009"/>
      <c r="G9009"/>
      <c r="H9009"/>
      <c r="I9009" s="489"/>
      <c r="J9009" s="1362"/>
      <c r="K9009" s="1362"/>
      <c r="L9009" s="1362"/>
    </row>
    <row r="9010" spans="1:12" x14ac:dyDescent="0.25">
      <c r="A9010">
        <v>92831</v>
      </c>
      <c r="B9010" t="s">
        <v>272</v>
      </c>
      <c r="C9010" t="s">
        <v>151</v>
      </c>
      <c r="D9010" s="254">
        <v>1177.24</v>
      </c>
      <c r="E9010"/>
      <c r="F9010"/>
      <c r="G9010"/>
      <c r="H9010"/>
      <c r="I9010" s="489"/>
      <c r="J9010" s="1362"/>
      <c r="K9010" s="1362"/>
      <c r="L9010" s="1362"/>
    </row>
    <row r="9011" spans="1:12" x14ac:dyDescent="0.25">
      <c r="A9011">
        <v>92832</v>
      </c>
      <c r="B9011" t="s">
        <v>273</v>
      </c>
      <c r="C9011" t="s">
        <v>151</v>
      </c>
      <c r="D9011" s="254">
        <v>264.79000000000002</v>
      </c>
      <c r="E9011"/>
      <c r="F9011"/>
      <c r="G9011"/>
      <c r="H9011"/>
      <c r="I9011" s="489"/>
      <c r="J9011" s="1362"/>
      <c r="K9011" s="1362"/>
      <c r="L9011" s="1362"/>
    </row>
    <row r="9012" spans="1:12" x14ac:dyDescent="0.25">
      <c r="A9012">
        <v>95565</v>
      </c>
      <c r="B9012" t="s">
        <v>274</v>
      </c>
      <c r="C9012" t="s">
        <v>151</v>
      </c>
      <c r="D9012" s="254">
        <v>140.30000000000001</v>
      </c>
      <c r="E9012"/>
      <c r="F9012"/>
      <c r="G9012"/>
      <c r="H9012"/>
      <c r="I9012" s="489"/>
      <c r="J9012" s="1362"/>
      <c r="K9012" s="1362"/>
      <c r="L9012" s="1362"/>
    </row>
    <row r="9013" spans="1:12" x14ac:dyDescent="0.25">
      <c r="A9013">
        <v>95566</v>
      </c>
      <c r="B9013" t="s">
        <v>275</v>
      </c>
      <c r="C9013" t="s">
        <v>151</v>
      </c>
      <c r="D9013" s="254">
        <v>148.24</v>
      </c>
      <c r="E9013"/>
      <c r="F9013"/>
      <c r="G9013"/>
      <c r="H9013"/>
      <c r="I9013" s="489"/>
      <c r="J9013" s="1362"/>
      <c r="K9013" s="1362"/>
      <c r="L9013" s="1362"/>
    </row>
    <row r="9014" spans="1:12" x14ac:dyDescent="0.25">
      <c r="A9014">
        <v>95567</v>
      </c>
      <c r="B9014" t="s">
        <v>276</v>
      </c>
      <c r="C9014" t="s">
        <v>151</v>
      </c>
      <c r="D9014" s="254">
        <v>80.64</v>
      </c>
      <c r="E9014"/>
      <c r="F9014"/>
      <c r="G9014"/>
      <c r="H9014"/>
      <c r="I9014" s="489"/>
      <c r="J9014" s="1362"/>
      <c r="K9014" s="1362"/>
      <c r="L9014" s="1362"/>
    </row>
    <row r="9015" spans="1:12" x14ac:dyDescent="0.25">
      <c r="A9015">
        <v>95568</v>
      </c>
      <c r="B9015" t="s">
        <v>277</v>
      </c>
      <c r="C9015" t="s">
        <v>151</v>
      </c>
      <c r="D9015" s="254">
        <v>99.53</v>
      </c>
      <c r="E9015"/>
      <c r="F9015"/>
      <c r="G9015"/>
      <c r="H9015"/>
      <c r="I9015" s="489"/>
      <c r="J9015" s="1362"/>
      <c r="K9015" s="1362"/>
      <c r="L9015" s="1362"/>
    </row>
    <row r="9016" spans="1:12" x14ac:dyDescent="0.25">
      <c r="A9016">
        <v>95569</v>
      </c>
      <c r="B9016" t="s">
        <v>278</v>
      </c>
      <c r="C9016" t="s">
        <v>151</v>
      </c>
      <c r="D9016" s="254">
        <v>133.78</v>
      </c>
      <c r="E9016"/>
      <c r="F9016"/>
      <c r="G9016"/>
      <c r="H9016"/>
      <c r="I9016" s="489"/>
      <c r="J9016" s="1362"/>
      <c r="K9016" s="1362"/>
      <c r="L9016" s="1362"/>
    </row>
    <row r="9017" spans="1:12" x14ac:dyDescent="0.25">
      <c r="A9017">
        <v>95570</v>
      </c>
      <c r="B9017" t="s">
        <v>279</v>
      </c>
      <c r="C9017" t="s">
        <v>151</v>
      </c>
      <c r="D9017" s="254">
        <v>88.58</v>
      </c>
      <c r="E9017"/>
      <c r="F9017"/>
      <c r="G9017"/>
      <c r="H9017"/>
      <c r="I9017" s="489"/>
      <c r="J9017" s="1362"/>
      <c r="K9017" s="1362"/>
      <c r="L9017" s="1362"/>
    </row>
    <row r="9018" spans="1:12" x14ac:dyDescent="0.25">
      <c r="A9018">
        <v>95571</v>
      </c>
      <c r="B9018" t="s">
        <v>280</v>
      </c>
      <c r="C9018" t="s">
        <v>151</v>
      </c>
      <c r="D9018" s="254">
        <v>109.69</v>
      </c>
      <c r="E9018"/>
      <c r="F9018"/>
      <c r="G9018"/>
      <c r="H9018"/>
      <c r="I9018" s="489"/>
      <c r="J9018" s="1362"/>
      <c r="K9018" s="1362"/>
      <c r="L9018" s="1362"/>
    </row>
    <row r="9019" spans="1:12" x14ac:dyDescent="0.25">
      <c r="A9019">
        <v>95572</v>
      </c>
      <c r="B9019" t="s">
        <v>281</v>
      </c>
      <c r="C9019" t="s">
        <v>151</v>
      </c>
      <c r="D9019" s="254">
        <v>146.36000000000001</v>
      </c>
      <c r="E9019"/>
      <c r="F9019"/>
      <c r="G9019"/>
      <c r="H9019"/>
      <c r="I9019" s="489"/>
      <c r="J9019" s="1362"/>
      <c r="K9019" s="1362"/>
      <c r="L9019" s="1362"/>
    </row>
    <row r="9020" spans="1:12" x14ac:dyDescent="0.25">
      <c r="A9020">
        <v>97127</v>
      </c>
      <c r="B9020" t="s">
        <v>283</v>
      </c>
      <c r="C9020" t="s">
        <v>151</v>
      </c>
      <c r="D9020" s="254">
        <v>5.15</v>
      </c>
      <c r="E9020"/>
      <c r="F9020"/>
      <c r="G9020"/>
      <c r="H9020"/>
      <c r="I9020" s="489"/>
      <c r="J9020" s="1362"/>
      <c r="K9020" s="1362"/>
      <c r="L9020" s="1362"/>
    </row>
    <row r="9021" spans="1:12" x14ac:dyDescent="0.25">
      <c r="A9021">
        <v>97128</v>
      </c>
      <c r="B9021" t="s">
        <v>284</v>
      </c>
      <c r="C9021" t="s">
        <v>151</v>
      </c>
      <c r="D9021" s="254">
        <v>10.32</v>
      </c>
      <c r="E9021"/>
      <c r="F9021"/>
      <c r="G9021"/>
      <c r="H9021"/>
      <c r="I9021" s="489"/>
      <c r="J9021" s="1362"/>
      <c r="K9021" s="1362"/>
      <c r="L9021" s="1362"/>
    </row>
    <row r="9022" spans="1:12" x14ac:dyDescent="0.25">
      <c r="A9022">
        <v>97129</v>
      </c>
      <c r="B9022" t="s">
        <v>285</v>
      </c>
      <c r="C9022" t="s">
        <v>151</v>
      </c>
      <c r="D9022" s="254">
        <v>12.7</v>
      </c>
      <c r="E9022"/>
      <c r="F9022"/>
      <c r="G9022"/>
      <c r="H9022"/>
      <c r="I9022" s="489"/>
      <c r="J9022" s="1362"/>
      <c r="K9022" s="1362"/>
      <c r="L9022" s="1362"/>
    </row>
    <row r="9023" spans="1:12" x14ac:dyDescent="0.25">
      <c r="A9023">
        <v>97130</v>
      </c>
      <c r="B9023" t="s">
        <v>286</v>
      </c>
      <c r="C9023" t="s">
        <v>151</v>
      </c>
      <c r="D9023" s="254">
        <v>15.09</v>
      </c>
      <c r="E9023"/>
      <c r="F9023"/>
      <c r="G9023"/>
      <c r="H9023"/>
      <c r="I9023" s="489"/>
      <c r="J9023" s="1362"/>
      <c r="K9023" s="1362"/>
      <c r="L9023" s="1362"/>
    </row>
    <row r="9024" spans="1:12" x14ac:dyDescent="0.25">
      <c r="A9024">
        <v>97131</v>
      </c>
      <c r="B9024" t="s">
        <v>287</v>
      </c>
      <c r="C9024" t="s">
        <v>151</v>
      </c>
      <c r="D9024" s="254">
        <v>17.45</v>
      </c>
      <c r="E9024"/>
      <c r="F9024"/>
      <c r="G9024"/>
      <c r="H9024"/>
      <c r="I9024" s="489"/>
      <c r="J9024" s="1362"/>
      <c r="K9024" s="1362"/>
      <c r="L9024" s="1362"/>
    </row>
    <row r="9025" spans="1:12" x14ac:dyDescent="0.25">
      <c r="A9025">
        <v>97132</v>
      </c>
      <c r="B9025" t="s">
        <v>288</v>
      </c>
      <c r="C9025" t="s">
        <v>151</v>
      </c>
      <c r="D9025" s="254">
        <v>19.82</v>
      </c>
      <c r="E9025"/>
      <c r="F9025"/>
      <c r="G9025"/>
      <c r="H9025"/>
      <c r="I9025" s="489"/>
      <c r="J9025" s="1362"/>
      <c r="K9025" s="1362"/>
      <c r="L9025" s="1362"/>
    </row>
    <row r="9026" spans="1:12" x14ac:dyDescent="0.25">
      <c r="A9026">
        <v>97133</v>
      </c>
      <c r="B9026" t="s">
        <v>289</v>
      </c>
      <c r="C9026" t="s">
        <v>151</v>
      </c>
      <c r="D9026" s="254">
        <v>24.57</v>
      </c>
      <c r="E9026"/>
      <c r="F9026"/>
      <c r="G9026"/>
      <c r="H9026"/>
      <c r="I9026" s="489"/>
      <c r="J9026" s="1362"/>
      <c r="K9026" s="1362"/>
      <c r="L9026" s="1362"/>
    </row>
    <row r="9027" spans="1:12" x14ac:dyDescent="0.25">
      <c r="A9027">
        <v>97134</v>
      </c>
      <c r="B9027" t="s">
        <v>290</v>
      </c>
      <c r="C9027" t="s">
        <v>151</v>
      </c>
      <c r="D9027" s="254">
        <v>2.39</v>
      </c>
      <c r="E9027"/>
      <c r="F9027"/>
      <c r="G9027"/>
      <c r="H9027"/>
      <c r="I9027" s="489"/>
      <c r="J9027" s="1362"/>
      <c r="K9027" s="1362"/>
      <c r="L9027" s="1362"/>
    </row>
    <row r="9028" spans="1:12" x14ac:dyDescent="0.25">
      <c r="A9028">
        <v>97135</v>
      </c>
      <c r="B9028" t="s">
        <v>291</v>
      </c>
      <c r="C9028" t="s">
        <v>151</v>
      </c>
      <c r="D9028" s="254">
        <v>5.32</v>
      </c>
      <c r="E9028"/>
      <c r="F9028"/>
      <c r="G9028"/>
      <c r="H9028"/>
      <c r="I9028" s="489"/>
      <c r="J9028" s="1362"/>
      <c r="K9028" s="1362"/>
      <c r="L9028" s="1362"/>
    </row>
    <row r="9029" spans="1:12" x14ac:dyDescent="0.25">
      <c r="A9029">
        <v>97136</v>
      </c>
      <c r="B9029" t="s">
        <v>292</v>
      </c>
      <c r="C9029" t="s">
        <v>151</v>
      </c>
      <c r="D9029" s="254">
        <v>6.54</v>
      </c>
      <c r="E9029"/>
      <c r="F9029"/>
      <c r="G9029"/>
      <c r="H9029"/>
      <c r="I9029" s="489"/>
      <c r="J9029" s="1362"/>
      <c r="K9029" s="1362"/>
      <c r="L9029" s="1362"/>
    </row>
    <row r="9030" spans="1:12" x14ac:dyDescent="0.25">
      <c r="A9030">
        <v>97137</v>
      </c>
      <c r="B9030" t="s">
        <v>293</v>
      </c>
      <c r="C9030" t="s">
        <v>151</v>
      </c>
      <c r="D9030" s="254">
        <v>7.77</v>
      </c>
      <c r="E9030"/>
      <c r="F9030"/>
      <c r="G9030"/>
      <c r="H9030"/>
      <c r="I9030" s="489"/>
      <c r="J9030" s="1362"/>
      <c r="K9030" s="1362"/>
      <c r="L9030" s="1362"/>
    </row>
    <row r="9031" spans="1:12" x14ac:dyDescent="0.25">
      <c r="A9031">
        <v>97138</v>
      </c>
      <c r="B9031" t="s">
        <v>294</v>
      </c>
      <c r="C9031" t="s">
        <v>151</v>
      </c>
      <c r="D9031" s="254">
        <v>8.99</v>
      </c>
      <c r="E9031"/>
      <c r="F9031"/>
      <c r="G9031"/>
      <c r="H9031"/>
      <c r="I9031" s="489"/>
      <c r="J9031" s="1362"/>
      <c r="K9031" s="1362"/>
      <c r="L9031" s="1362"/>
    </row>
    <row r="9032" spans="1:12" x14ac:dyDescent="0.25">
      <c r="A9032">
        <v>97139</v>
      </c>
      <c r="B9032" t="s">
        <v>295</v>
      </c>
      <c r="C9032" t="s">
        <v>151</v>
      </c>
      <c r="D9032" s="254">
        <v>10.210000000000001</v>
      </c>
      <c r="E9032"/>
      <c r="F9032"/>
      <c r="G9032"/>
      <c r="H9032"/>
      <c r="I9032" s="489"/>
      <c r="J9032" s="1362"/>
      <c r="K9032" s="1362"/>
      <c r="L9032" s="1362"/>
    </row>
    <row r="9033" spans="1:12" x14ac:dyDescent="0.25">
      <c r="A9033">
        <v>97140</v>
      </c>
      <c r="B9033" t="s">
        <v>296</v>
      </c>
      <c r="C9033" t="s">
        <v>151</v>
      </c>
      <c r="D9033" s="254">
        <v>12.66</v>
      </c>
      <c r="E9033"/>
      <c r="F9033"/>
      <c r="G9033"/>
      <c r="H9033"/>
      <c r="I9033" s="489"/>
      <c r="J9033" s="1362"/>
      <c r="K9033" s="1362"/>
      <c r="L9033" s="1362"/>
    </row>
    <row r="9034" spans="1:12" x14ac:dyDescent="0.25">
      <c r="A9034">
        <v>103089</v>
      </c>
      <c r="B9034" t="s">
        <v>6807</v>
      </c>
      <c r="C9034" t="s">
        <v>151</v>
      </c>
      <c r="D9034" s="254">
        <v>11.44</v>
      </c>
      <c r="E9034"/>
      <c r="F9034"/>
      <c r="G9034"/>
      <c r="H9034"/>
      <c r="I9034" s="489"/>
      <c r="J9034" s="1362"/>
      <c r="K9034" s="1362"/>
      <c r="L9034" s="1362"/>
    </row>
    <row r="9035" spans="1:12" x14ac:dyDescent="0.25">
      <c r="A9035">
        <v>103090</v>
      </c>
      <c r="B9035" t="s">
        <v>6808</v>
      </c>
      <c r="C9035" t="s">
        <v>151</v>
      </c>
      <c r="D9035" s="254">
        <v>13.69</v>
      </c>
      <c r="E9035"/>
      <c r="F9035"/>
      <c r="G9035"/>
      <c r="H9035"/>
      <c r="I9035" s="489"/>
      <c r="J9035" s="1362"/>
      <c r="K9035" s="1362"/>
      <c r="L9035" s="1362"/>
    </row>
    <row r="9036" spans="1:12" x14ac:dyDescent="0.25">
      <c r="A9036">
        <v>103091</v>
      </c>
      <c r="B9036" t="s">
        <v>6809</v>
      </c>
      <c r="C9036" t="s">
        <v>151</v>
      </c>
      <c r="D9036" s="254">
        <v>19.3</v>
      </c>
      <c r="E9036"/>
      <c r="F9036"/>
      <c r="G9036"/>
      <c r="H9036"/>
      <c r="I9036" s="489"/>
      <c r="J9036" s="1362"/>
      <c r="K9036" s="1362"/>
      <c r="L9036" s="1362"/>
    </row>
    <row r="9037" spans="1:12" x14ac:dyDescent="0.25">
      <c r="A9037">
        <v>103092</v>
      </c>
      <c r="B9037" t="s">
        <v>6810</v>
      </c>
      <c r="C9037" t="s">
        <v>151</v>
      </c>
      <c r="D9037" s="254">
        <v>24.9</v>
      </c>
      <c r="E9037"/>
      <c r="F9037"/>
      <c r="G9037"/>
      <c r="H9037"/>
      <c r="I9037" s="489"/>
      <c r="J9037" s="1362"/>
      <c r="K9037" s="1362"/>
      <c r="L9037" s="1362"/>
    </row>
    <row r="9038" spans="1:12" x14ac:dyDescent="0.25">
      <c r="A9038">
        <v>103093</v>
      </c>
      <c r="B9038" t="s">
        <v>6811</v>
      </c>
      <c r="C9038" t="s">
        <v>151</v>
      </c>
      <c r="D9038" s="254">
        <v>38.07</v>
      </c>
      <c r="E9038"/>
      <c r="F9038"/>
      <c r="G9038"/>
      <c r="H9038"/>
      <c r="I9038" s="489"/>
      <c r="J9038" s="1362"/>
      <c r="K9038" s="1362"/>
      <c r="L9038" s="1362"/>
    </row>
    <row r="9039" spans="1:12" x14ac:dyDescent="0.25">
      <c r="A9039">
        <v>103094</v>
      </c>
      <c r="B9039" t="s">
        <v>6812</v>
      </c>
      <c r="C9039" t="s">
        <v>151</v>
      </c>
      <c r="D9039" s="254">
        <v>43.72</v>
      </c>
      <c r="E9039"/>
      <c r="F9039"/>
      <c r="G9039"/>
      <c r="H9039"/>
      <c r="I9039" s="489"/>
      <c r="J9039" s="1362"/>
      <c r="K9039" s="1362"/>
      <c r="L9039" s="1362"/>
    </row>
    <row r="9040" spans="1:12" x14ac:dyDescent="0.25">
      <c r="A9040">
        <v>103095</v>
      </c>
      <c r="B9040" t="s">
        <v>6813</v>
      </c>
      <c r="C9040" t="s">
        <v>151</v>
      </c>
      <c r="D9040" s="254">
        <v>56.86</v>
      </c>
      <c r="E9040"/>
      <c r="F9040"/>
      <c r="G9040"/>
      <c r="H9040"/>
      <c r="I9040" s="489"/>
      <c r="J9040" s="1362"/>
      <c r="K9040" s="1362"/>
      <c r="L9040" s="1362"/>
    </row>
    <row r="9041" spans="1:12" x14ac:dyDescent="0.25">
      <c r="A9041">
        <v>103096</v>
      </c>
      <c r="B9041" t="s">
        <v>6814</v>
      </c>
      <c r="C9041" t="s">
        <v>151</v>
      </c>
      <c r="D9041" s="254">
        <v>62.51</v>
      </c>
      <c r="E9041"/>
      <c r="F9041"/>
      <c r="G9041"/>
      <c r="H9041"/>
      <c r="I9041" s="489"/>
      <c r="J9041" s="1362"/>
      <c r="K9041" s="1362"/>
      <c r="L9041" s="1362"/>
    </row>
    <row r="9042" spans="1:12" x14ac:dyDescent="0.25">
      <c r="A9042">
        <v>103097</v>
      </c>
      <c r="B9042" t="s">
        <v>6815</v>
      </c>
      <c r="C9042" t="s">
        <v>151</v>
      </c>
      <c r="D9042" s="254">
        <v>75.66</v>
      </c>
      <c r="E9042"/>
      <c r="F9042"/>
      <c r="G9042"/>
      <c r="H9042"/>
      <c r="I9042" s="489"/>
      <c r="J9042" s="1362"/>
      <c r="K9042" s="1362"/>
      <c r="L9042" s="1362"/>
    </row>
    <row r="9043" spans="1:12" x14ac:dyDescent="0.25">
      <c r="A9043">
        <v>103098</v>
      </c>
      <c r="B9043" t="s">
        <v>6816</v>
      </c>
      <c r="C9043" t="s">
        <v>151</v>
      </c>
      <c r="D9043" s="254">
        <v>81.290000000000006</v>
      </c>
      <c r="E9043"/>
      <c r="F9043"/>
      <c r="G9043"/>
      <c r="H9043"/>
      <c r="I9043" s="489"/>
      <c r="J9043" s="1362"/>
      <c r="K9043" s="1362"/>
      <c r="L9043" s="1362"/>
    </row>
    <row r="9044" spans="1:12" x14ac:dyDescent="0.25">
      <c r="A9044">
        <v>103099</v>
      </c>
      <c r="B9044" t="s">
        <v>6817</v>
      </c>
      <c r="C9044" t="s">
        <v>151</v>
      </c>
      <c r="D9044" s="254">
        <v>92.51</v>
      </c>
      <c r="E9044"/>
      <c r="F9044"/>
      <c r="G9044"/>
      <c r="H9044"/>
      <c r="I9044" s="489"/>
      <c r="J9044" s="1362"/>
      <c r="K9044" s="1362"/>
      <c r="L9044" s="1362"/>
    </row>
    <row r="9045" spans="1:12" x14ac:dyDescent="0.25">
      <c r="A9045">
        <v>103100</v>
      </c>
      <c r="B9045" t="s">
        <v>6818</v>
      </c>
      <c r="C9045" t="s">
        <v>151</v>
      </c>
      <c r="D9045" s="254">
        <v>98.76</v>
      </c>
      <c r="E9045"/>
      <c r="F9045"/>
      <c r="G9045"/>
      <c r="H9045"/>
      <c r="I9045" s="489"/>
      <c r="J9045" s="1362"/>
      <c r="K9045" s="1362"/>
      <c r="L9045" s="1362"/>
    </row>
    <row r="9046" spans="1:12" x14ac:dyDescent="0.25">
      <c r="A9046">
        <v>103101</v>
      </c>
      <c r="B9046" t="s">
        <v>6819</v>
      </c>
      <c r="C9046" t="s">
        <v>151</v>
      </c>
      <c r="D9046" s="254">
        <v>108.79</v>
      </c>
      <c r="E9046"/>
      <c r="F9046"/>
      <c r="G9046"/>
      <c r="H9046"/>
      <c r="I9046" s="489"/>
      <c r="J9046" s="1362"/>
      <c r="K9046" s="1362"/>
      <c r="L9046" s="1362"/>
    </row>
    <row r="9047" spans="1:12" x14ac:dyDescent="0.25">
      <c r="A9047">
        <v>103102</v>
      </c>
      <c r="B9047" t="s">
        <v>6820</v>
      </c>
      <c r="C9047" t="s">
        <v>151</v>
      </c>
      <c r="D9047" s="254">
        <v>125.29</v>
      </c>
      <c r="E9047"/>
      <c r="F9047"/>
      <c r="G9047"/>
      <c r="H9047"/>
      <c r="I9047" s="489"/>
      <c r="J9047" s="1362"/>
      <c r="K9047" s="1362"/>
      <c r="L9047" s="1362"/>
    </row>
    <row r="9048" spans="1:12" x14ac:dyDescent="0.25">
      <c r="A9048">
        <v>103103</v>
      </c>
      <c r="B9048" t="s">
        <v>6821</v>
      </c>
      <c r="C9048" t="s">
        <v>151</v>
      </c>
      <c r="D9048" s="254">
        <v>135.32</v>
      </c>
      <c r="E9048"/>
      <c r="F9048"/>
      <c r="G9048"/>
      <c r="H9048"/>
      <c r="I9048" s="489"/>
      <c r="J9048" s="1362"/>
      <c r="K9048" s="1362"/>
      <c r="L9048" s="1362"/>
    </row>
    <row r="9049" spans="1:12" x14ac:dyDescent="0.25">
      <c r="A9049">
        <v>103104</v>
      </c>
      <c r="B9049" t="s">
        <v>6822</v>
      </c>
      <c r="C9049" t="s">
        <v>151</v>
      </c>
      <c r="D9049" s="254">
        <v>161.88</v>
      </c>
      <c r="E9049"/>
      <c r="F9049"/>
      <c r="G9049"/>
      <c r="H9049"/>
      <c r="I9049" s="489"/>
      <c r="J9049" s="1362"/>
      <c r="K9049" s="1362"/>
      <c r="L9049" s="1362"/>
    </row>
    <row r="9050" spans="1:12" x14ac:dyDescent="0.25">
      <c r="A9050">
        <v>103105</v>
      </c>
      <c r="B9050" t="s">
        <v>6823</v>
      </c>
      <c r="C9050" t="s">
        <v>138</v>
      </c>
      <c r="D9050" s="254">
        <v>47.36</v>
      </c>
      <c r="E9050"/>
      <c r="F9050"/>
      <c r="G9050"/>
      <c r="H9050"/>
      <c r="I9050" s="489"/>
      <c r="J9050" s="1362"/>
      <c r="K9050" s="1362"/>
      <c r="L9050" s="1362"/>
    </row>
    <row r="9051" spans="1:12" x14ac:dyDescent="0.25">
      <c r="A9051">
        <v>103106</v>
      </c>
      <c r="B9051" t="s">
        <v>6824</v>
      </c>
      <c r="C9051" t="s">
        <v>138</v>
      </c>
      <c r="D9051" s="254">
        <v>56.71</v>
      </c>
      <c r="E9051"/>
      <c r="F9051"/>
      <c r="G9051"/>
      <c r="H9051"/>
      <c r="I9051" s="489"/>
      <c r="J9051" s="1362"/>
      <c r="K9051" s="1362"/>
      <c r="L9051" s="1362"/>
    </row>
    <row r="9052" spans="1:12" x14ac:dyDescent="0.25">
      <c r="A9052">
        <v>103107</v>
      </c>
      <c r="B9052" t="s">
        <v>6825</v>
      </c>
      <c r="C9052" t="s">
        <v>138</v>
      </c>
      <c r="D9052" s="254">
        <v>80.06</v>
      </c>
      <c r="E9052"/>
      <c r="F9052"/>
      <c r="G9052"/>
      <c r="H9052"/>
      <c r="I9052" s="489"/>
      <c r="J9052" s="1362"/>
      <c r="K9052" s="1362"/>
      <c r="L9052" s="1362"/>
    </row>
    <row r="9053" spans="1:12" x14ac:dyDescent="0.25">
      <c r="A9053">
        <v>103108</v>
      </c>
      <c r="B9053" t="s">
        <v>6826</v>
      </c>
      <c r="C9053" t="s">
        <v>138</v>
      </c>
      <c r="D9053" s="254">
        <v>103.41</v>
      </c>
      <c r="E9053"/>
      <c r="F9053"/>
      <c r="G9053"/>
      <c r="H9053"/>
      <c r="I9053" s="489"/>
      <c r="J9053" s="1362"/>
      <c r="K9053" s="1362"/>
      <c r="L9053" s="1362"/>
    </row>
    <row r="9054" spans="1:12" x14ac:dyDescent="0.25">
      <c r="A9054">
        <v>103109</v>
      </c>
      <c r="B9054" t="s">
        <v>6827</v>
      </c>
      <c r="C9054" t="s">
        <v>138</v>
      </c>
      <c r="D9054" s="254">
        <v>170.62</v>
      </c>
      <c r="E9054"/>
      <c r="F9054"/>
      <c r="G9054"/>
      <c r="H9054"/>
      <c r="I9054" s="489"/>
      <c r="J9054" s="1362"/>
      <c r="K9054" s="1362"/>
      <c r="L9054" s="1362"/>
    </row>
    <row r="9055" spans="1:12" x14ac:dyDescent="0.25">
      <c r="A9055">
        <v>103110</v>
      </c>
      <c r="B9055" t="s">
        <v>6828</v>
      </c>
      <c r="C9055" t="s">
        <v>138</v>
      </c>
      <c r="D9055" s="254">
        <v>193.97</v>
      </c>
      <c r="E9055"/>
      <c r="F9055"/>
      <c r="G9055"/>
      <c r="H9055"/>
      <c r="I9055" s="489"/>
      <c r="J9055" s="1362"/>
      <c r="K9055" s="1362"/>
      <c r="L9055" s="1362"/>
    </row>
    <row r="9056" spans="1:12" x14ac:dyDescent="0.25">
      <c r="A9056">
        <v>103111</v>
      </c>
      <c r="B9056" t="s">
        <v>6829</v>
      </c>
      <c r="C9056" t="s">
        <v>138</v>
      </c>
      <c r="D9056" s="254">
        <v>261.19</v>
      </c>
      <c r="E9056"/>
      <c r="F9056"/>
      <c r="G9056"/>
      <c r="H9056"/>
      <c r="I9056" s="489"/>
      <c r="J9056" s="1362"/>
      <c r="K9056" s="1362"/>
      <c r="L9056" s="1362"/>
    </row>
    <row r="9057" spans="1:12" x14ac:dyDescent="0.25">
      <c r="A9057">
        <v>103112</v>
      </c>
      <c r="B9057" t="s">
        <v>6830</v>
      </c>
      <c r="C9057" t="s">
        <v>138</v>
      </c>
      <c r="D9057" s="254">
        <v>284.54000000000002</v>
      </c>
      <c r="E9057"/>
      <c r="F9057"/>
      <c r="G9057"/>
      <c r="H9057"/>
      <c r="I9057" s="489"/>
      <c r="J9057" s="1362"/>
      <c r="K9057" s="1362"/>
      <c r="L9057" s="1362"/>
    </row>
    <row r="9058" spans="1:12" x14ac:dyDescent="0.25">
      <c r="A9058">
        <v>103113</v>
      </c>
      <c r="B9058" t="s">
        <v>6831</v>
      </c>
      <c r="C9058" t="s">
        <v>138</v>
      </c>
      <c r="D9058" s="254">
        <v>351.77</v>
      </c>
      <c r="E9058"/>
      <c r="F9058"/>
      <c r="G9058"/>
      <c r="H9058"/>
      <c r="I9058" s="489"/>
      <c r="J9058" s="1362"/>
      <c r="K9058" s="1362"/>
      <c r="L9058" s="1362"/>
    </row>
    <row r="9059" spans="1:12" x14ac:dyDescent="0.25">
      <c r="A9059">
        <v>103114</v>
      </c>
      <c r="B9059" t="s">
        <v>6832</v>
      </c>
      <c r="C9059" t="s">
        <v>138</v>
      </c>
      <c r="D9059" s="254">
        <v>375.12</v>
      </c>
      <c r="E9059"/>
      <c r="F9059"/>
      <c r="G9059"/>
      <c r="H9059"/>
      <c r="I9059" s="489"/>
      <c r="J9059" s="1362"/>
      <c r="K9059" s="1362"/>
      <c r="L9059" s="1362"/>
    </row>
    <row r="9060" spans="1:12" x14ac:dyDescent="0.25">
      <c r="A9060">
        <v>103115</v>
      </c>
      <c r="B9060" t="s">
        <v>6833</v>
      </c>
      <c r="C9060" t="s">
        <v>138</v>
      </c>
      <c r="D9060" s="254">
        <v>421.82</v>
      </c>
      <c r="E9060"/>
      <c r="F9060"/>
      <c r="G9060"/>
      <c r="H9060"/>
      <c r="I9060" s="489"/>
      <c r="J9060" s="1362"/>
      <c r="K9060" s="1362"/>
      <c r="L9060" s="1362"/>
    </row>
    <row r="9061" spans="1:12" x14ac:dyDescent="0.25">
      <c r="A9061">
        <v>103116</v>
      </c>
      <c r="B9061" t="s">
        <v>6834</v>
      </c>
      <c r="C9061" t="s">
        <v>138</v>
      </c>
      <c r="D9061" s="254">
        <v>512.39</v>
      </c>
      <c r="E9061"/>
      <c r="F9061"/>
      <c r="G9061"/>
      <c r="H9061"/>
      <c r="I9061" s="489"/>
      <c r="J9061" s="1362"/>
      <c r="K9061" s="1362"/>
      <c r="L9061" s="1362"/>
    </row>
    <row r="9062" spans="1:12" x14ac:dyDescent="0.25">
      <c r="A9062">
        <v>103117</v>
      </c>
      <c r="B9062" t="s">
        <v>6835</v>
      </c>
      <c r="C9062" t="s">
        <v>138</v>
      </c>
      <c r="D9062" s="254">
        <v>559.09</v>
      </c>
      <c r="E9062"/>
      <c r="F9062"/>
      <c r="G9062"/>
      <c r="H9062"/>
      <c r="I9062" s="489"/>
      <c r="J9062" s="1362"/>
      <c r="K9062" s="1362"/>
      <c r="L9062" s="1362"/>
    </row>
    <row r="9063" spans="1:12" x14ac:dyDescent="0.25">
      <c r="A9063">
        <v>103118</v>
      </c>
      <c r="B9063" t="s">
        <v>6836</v>
      </c>
      <c r="C9063" t="s">
        <v>138</v>
      </c>
      <c r="D9063" s="254">
        <v>649.66</v>
      </c>
      <c r="E9063"/>
      <c r="F9063"/>
      <c r="G9063"/>
      <c r="H9063"/>
      <c r="I9063" s="489"/>
      <c r="J9063" s="1362"/>
      <c r="K9063" s="1362"/>
      <c r="L9063" s="1362"/>
    </row>
    <row r="9064" spans="1:12" x14ac:dyDescent="0.25">
      <c r="A9064">
        <v>103119</v>
      </c>
      <c r="B9064" t="s">
        <v>6837</v>
      </c>
      <c r="C9064" t="s">
        <v>138</v>
      </c>
      <c r="D9064" s="254">
        <v>696.36</v>
      </c>
      <c r="E9064"/>
      <c r="F9064"/>
      <c r="G9064"/>
      <c r="H9064"/>
      <c r="I9064" s="489"/>
      <c r="J9064" s="1362"/>
      <c r="K9064" s="1362"/>
      <c r="L9064" s="1362"/>
    </row>
    <row r="9065" spans="1:12" x14ac:dyDescent="0.25">
      <c r="A9065">
        <v>103120</v>
      </c>
      <c r="B9065" t="s">
        <v>6838</v>
      </c>
      <c r="C9065" t="s">
        <v>138</v>
      </c>
      <c r="D9065" s="254">
        <v>833.63</v>
      </c>
      <c r="E9065"/>
      <c r="F9065"/>
      <c r="G9065"/>
      <c r="H9065"/>
      <c r="I9065" s="489"/>
      <c r="J9065" s="1362"/>
      <c r="K9065" s="1362"/>
      <c r="L9065" s="1362"/>
    </row>
    <row r="9066" spans="1:12" x14ac:dyDescent="0.25">
      <c r="A9066">
        <v>103121</v>
      </c>
      <c r="B9066" t="s">
        <v>6839</v>
      </c>
      <c r="C9066" t="s">
        <v>138</v>
      </c>
      <c r="D9066" s="254">
        <v>62.49</v>
      </c>
      <c r="E9066"/>
      <c r="F9066"/>
      <c r="G9066"/>
      <c r="H9066"/>
      <c r="I9066" s="489"/>
      <c r="J9066" s="1362"/>
      <c r="K9066" s="1362"/>
      <c r="L9066" s="1362"/>
    </row>
    <row r="9067" spans="1:12" x14ac:dyDescent="0.25">
      <c r="A9067">
        <v>103122</v>
      </c>
      <c r="B9067" t="s">
        <v>6840</v>
      </c>
      <c r="C9067" t="s">
        <v>138</v>
      </c>
      <c r="D9067" s="254">
        <v>76.489999999999995</v>
      </c>
      <c r="E9067"/>
      <c r="F9067"/>
      <c r="G9067"/>
      <c r="H9067"/>
      <c r="I9067" s="489"/>
      <c r="J9067" s="1362"/>
      <c r="K9067" s="1362"/>
      <c r="L9067" s="1362"/>
    </row>
    <row r="9068" spans="1:12" x14ac:dyDescent="0.25">
      <c r="A9068">
        <v>103123</v>
      </c>
      <c r="B9068" t="s">
        <v>6841</v>
      </c>
      <c r="C9068" t="s">
        <v>138</v>
      </c>
      <c r="D9068" s="254">
        <v>111.53</v>
      </c>
      <c r="E9068"/>
      <c r="F9068"/>
      <c r="G9068"/>
      <c r="H9068"/>
      <c r="I9068" s="489"/>
      <c r="J9068" s="1362"/>
      <c r="K9068" s="1362"/>
      <c r="L9068" s="1362"/>
    </row>
    <row r="9069" spans="1:12" x14ac:dyDescent="0.25">
      <c r="A9069">
        <v>103124</v>
      </c>
      <c r="B9069" t="s">
        <v>6842</v>
      </c>
      <c r="C9069" t="s">
        <v>138</v>
      </c>
      <c r="D9069" s="254">
        <v>146.53</v>
      </c>
      <c r="E9069"/>
      <c r="F9069"/>
      <c r="G9069"/>
      <c r="H9069"/>
      <c r="I9069" s="489"/>
      <c r="J9069" s="1362"/>
      <c r="K9069" s="1362"/>
      <c r="L9069" s="1362"/>
    </row>
    <row r="9070" spans="1:12" x14ac:dyDescent="0.25">
      <c r="A9070">
        <v>103125</v>
      </c>
      <c r="B9070" t="s">
        <v>6843</v>
      </c>
      <c r="C9070" t="s">
        <v>138</v>
      </c>
      <c r="D9070" s="254">
        <v>247.38</v>
      </c>
      <c r="E9070"/>
      <c r="F9070"/>
      <c r="G9070"/>
      <c r="H9070"/>
      <c r="I9070" s="489"/>
      <c r="J9070" s="1362"/>
      <c r="K9070" s="1362"/>
      <c r="L9070" s="1362"/>
    </row>
    <row r="9071" spans="1:12" x14ac:dyDescent="0.25">
      <c r="A9071">
        <v>103126</v>
      </c>
      <c r="B9071" t="s">
        <v>6844</v>
      </c>
      <c r="C9071" t="s">
        <v>138</v>
      </c>
      <c r="D9071" s="254">
        <v>282.39</v>
      </c>
      <c r="E9071"/>
      <c r="F9071"/>
      <c r="G9071"/>
      <c r="H9071"/>
      <c r="I9071" s="489"/>
      <c r="J9071" s="1362"/>
      <c r="K9071" s="1362"/>
      <c r="L9071" s="1362"/>
    </row>
    <row r="9072" spans="1:12" x14ac:dyDescent="0.25">
      <c r="A9072">
        <v>103127</v>
      </c>
      <c r="B9072" t="s">
        <v>6845</v>
      </c>
      <c r="C9072" t="s">
        <v>138</v>
      </c>
      <c r="D9072" s="254">
        <v>383.24</v>
      </c>
      <c r="E9072"/>
      <c r="F9072"/>
      <c r="G9072"/>
      <c r="H9072"/>
      <c r="I9072" s="489"/>
      <c r="J9072" s="1362"/>
      <c r="K9072" s="1362"/>
      <c r="L9072" s="1362"/>
    </row>
    <row r="9073" spans="1:12" x14ac:dyDescent="0.25">
      <c r="A9073">
        <v>103128</v>
      </c>
      <c r="B9073" t="s">
        <v>6846</v>
      </c>
      <c r="C9073" t="s">
        <v>138</v>
      </c>
      <c r="D9073" s="254">
        <v>418.26</v>
      </c>
      <c r="E9073"/>
      <c r="F9073"/>
      <c r="G9073"/>
      <c r="H9073"/>
      <c r="I9073" s="489"/>
      <c r="J9073" s="1362"/>
      <c r="K9073" s="1362"/>
      <c r="L9073" s="1362"/>
    </row>
    <row r="9074" spans="1:12" x14ac:dyDescent="0.25">
      <c r="A9074">
        <v>103129</v>
      </c>
      <c r="B9074" t="s">
        <v>6847</v>
      </c>
      <c r="C9074" t="s">
        <v>138</v>
      </c>
      <c r="D9074" s="254">
        <v>519.1</v>
      </c>
      <c r="E9074"/>
      <c r="F9074"/>
      <c r="G9074"/>
      <c r="H9074"/>
      <c r="I9074" s="489"/>
      <c r="J9074" s="1362"/>
      <c r="K9074" s="1362"/>
      <c r="L9074" s="1362"/>
    </row>
    <row r="9075" spans="1:12" x14ac:dyDescent="0.25">
      <c r="A9075">
        <v>103130</v>
      </c>
      <c r="B9075" t="s">
        <v>6848</v>
      </c>
      <c r="C9075" t="s">
        <v>138</v>
      </c>
      <c r="D9075" s="254">
        <v>554.1</v>
      </c>
      <c r="E9075"/>
      <c r="F9075"/>
      <c r="G9075"/>
      <c r="H9075"/>
      <c r="I9075" s="489"/>
      <c r="J9075" s="1362"/>
      <c r="K9075" s="1362"/>
      <c r="L9075" s="1362"/>
    </row>
    <row r="9076" spans="1:12" x14ac:dyDescent="0.25">
      <c r="A9076">
        <v>103131</v>
      </c>
      <c r="B9076" t="s">
        <v>6849</v>
      </c>
      <c r="C9076" t="s">
        <v>138</v>
      </c>
      <c r="D9076" s="254">
        <v>624.15</v>
      </c>
      <c r="E9076"/>
      <c r="F9076"/>
      <c r="G9076"/>
      <c r="H9076"/>
      <c r="I9076" s="489"/>
      <c r="J9076" s="1362"/>
      <c r="K9076" s="1362"/>
      <c r="L9076" s="1362"/>
    </row>
    <row r="9077" spans="1:12" x14ac:dyDescent="0.25">
      <c r="A9077">
        <v>103132</v>
      </c>
      <c r="B9077" t="s">
        <v>6850</v>
      </c>
      <c r="C9077" t="s">
        <v>138</v>
      </c>
      <c r="D9077" s="254">
        <v>760.02</v>
      </c>
      <c r="E9077"/>
      <c r="F9077"/>
      <c r="G9077"/>
      <c r="H9077"/>
      <c r="I9077" s="489"/>
      <c r="J9077" s="1362"/>
      <c r="K9077" s="1362"/>
      <c r="L9077" s="1362"/>
    </row>
    <row r="9078" spans="1:12" x14ac:dyDescent="0.25">
      <c r="A9078">
        <v>103133</v>
      </c>
      <c r="B9078" t="s">
        <v>6851</v>
      </c>
      <c r="C9078" t="s">
        <v>138</v>
      </c>
      <c r="D9078" s="254">
        <v>830.06</v>
      </c>
      <c r="E9078"/>
      <c r="F9078"/>
      <c r="G9078"/>
      <c r="H9078"/>
      <c r="I9078" s="489"/>
      <c r="J9078" s="1362"/>
      <c r="K9078" s="1362"/>
      <c r="L9078" s="1362"/>
    </row>
    <row r="9079" spans="1:12" x14ac:dyDescent="0.25">
      <c r="A9079">
        <v>103134</v>
      </c>
      <c r="B9079" t="s">
        <v>6852</v>
      </c>
      <c r="C9079" t="s">
        <v>138</v>
      </c>
      <c r="D9079" s="254">
        <v>965.92</v>
      </c>
      <c r="E9079"/>
      <c r="F9079"/>
      <c r="G9079"/>
      <c r="H9079"/>
      <c r="I9079" s="489"/>
      <c r="J9079" s="1362"/>
      <c r="K9079" s="1362"/>
      <c r="L9079" s="1362"/>
    </row>
    <row r="9080" spans="1:12" x14ac:dyDescent="0.25">
      <c r="A9080">
        <v>103135</v>
      </c>
      <c r="B9080" t="s">
        <v>6853</v>
      </c>
      <c r="C9080" t="s">
        <v>138</v>
      </c>
      <c r="D9080" s="254">
        <v>1035.97</v>
      </c>
      <c r="E9080"/>
      <c r="F9080"/>
      <c r="G9080"/>
      <c r="H9080"/>
      <c r="I9080" s="489"/>
      <c r="J9080" s="1362"/>
      <c r="K9080" s="1362"/>
      <c r="L9080" s="1362"/>
    </row>
    <row r="9081" spans="1:12" x14ac:dyDescent="0.25">
      <c r="A9081">
        <v>103136</v>
      </c>
      <c r="B9081" t="s">
        <v>6854</v>
      </c>
      <c r="C9081" t="s">
        <v>138</v>
      </c>
      <c r="D9081" s="254">
        <v>1241.8699999999999</v>
      </c>
      <c r="E9081"/>
      <c r="F9081"/>
      <c r="G9081"/>
      <c r="H9081"/>
      <c r="I9081" s="489"/>
      <c r="J9081" s="1362"/>
      <c r="K9081" s="1362"/>
      <c r="L9081" s="1362"/>
    </row>
    <row r="9082" spans="1:12" x14ac:dyDescent="0.25">
      <c r="A9082">
        <v>103137</v>
      </c>
      <c r="B9082" t="s">
        <v>6855</v>
      </c>
      <c r="C9082" t="s">
        <v>138</v>
      </c>
      <c r="D9082" s="254">
        <v>32.26</v>
      </c>
      <c r="E9082"/>
      <c r="F9082"/>
      <c r="G9082"/>
      <c r="H9082"/>
      <c r="I9082" s="489"/>
      <c r="J9082" s="1362"/>
      <c r="K9082" s="1362"/>
      <c r="L9082" s="1362"/>
    </row>
    <row r="9083" spans="1:12" x14ac:dyDescent="0.25">
      <c r="A9083">
        <v>103138</v>
      </c>
      <c r="B9083" t="s">
        <v>6856</v>
      </c>
      <c r="C9083" t="s">
        <v>138</v>
      </c>
      <c r="D9083" s="254">
        <v>36.92</v>
      </c>
      <c r="E9083"/>
      <c r="F9083"/>
      <c r="G9083"/>
      <c r="H9083"/>
      <c r="I9083" s="489"/>
      <c r="J9083" s="1362"/>
      <c r="K9083" s="1362"/>
      <c r="L9083" s="1362"/>
    </row>
    <row r="9084" spans="1:12" x14ac:dyDescent="0.25">
      <c r="A9084">
        <v>103139</v>
      </c>
      <c r="B9084" t="s">
        <v>6857</v>
      </c>
      <c r="C9084" t="s">
        <v>138</v>
      </c>
      <c r="D9084" s="254">
        <v>48.61</v>
      </c>
      <c r="E9084"/>
      <c r="F9084"/>
      <c r="G9084"/>
      <c r="H9084"/>
      <c r="I9084" s="489"/>
      <c r="J9084" s="1362"/>
      <c r="K9084" s="1362"/>
      <c r="L9084" s="1362"/>
    </row>
    <row r="9085" spans="1:12" x14ac:dyDescent="0.25">
      <c r="A9085">
        <v>103140</v>
      </c>
      <c r="B9085" t="s">
        <v>6858</v>
      </c>
      <c r="C9085" t="s">
        <v>138</v>
      </c>
      <c r="D9085" s="254">
        <v>60.27</v>
      </c>
      <c r="E9085"/>
      <c r="F9085"/>
      <c r="G9085"/>
      <c r="H9085"/>
      <c r="I9085" s="489"/>
      <c r="J9085" s="1362"/>
      <c r="K9085" s="1362"/>
      <c r="L9085" s="1362"/>
    </row>
    <row r="9086" spans="1:12" x14ac:dyDescent="0.25">
      <c r="A9086">
        <v>103141</v>
      </c>
      <c r="B9086" t="s">
        <v>6859</v>
      </c>
      <c r="C9086" t="s">
        <v>138</v>
      </c>
      <c r="D9086" s="254">
        <v>93.89</v>
      </c>
      <c r="E9086"/>
      <c r="F9086"/>
      <c r="G9086"/>
      <c r="H9086"/>
      <c r="I9086" s="489"/>
      <c r="J9086" s="1362"/>
      <c r="K9086" s="1362"/>
      <c r="L9086" s="1362"/>
    </row>
    <row r="9087" spans="1:12" x14ac:dyDescent="0.25">
      <c r="A9087">
        <v>103142</v>
      </c>
      <c r="B9087" t="s">
        <v>6860</v>
      </c>
      <c r="C9087" t="s">
        <v>138</v>
      </c>
      <c r="D9087" s="254">
        <v>105.56</v>
      </c>
      <c r="E9087"/>
      <c r="F9087"/>
      <c r="G9087"/>
      <c r="H9087"/>
      <c r="I9087" s="489"/>
      <c r="J9087" s="1362"/>
      <c r="K9087" s="1362"/>
      <c r="L9087" s="1362"/>
    </row>
    <row r="9088" spans="1:12" x14ac:dyDescent="0.25">
      <c r="A9088">
        <v>103143</v>
      </c>
      <c r="B9088" t="s">
        <v>6861</v>
      </c>
      <c r="C9088" t="s">
        <v>138</v>
      </c>
      <c r="D9088" s="254">
        <v>139.18</v>
      </c>
      <c r="E9088"/>
      <c r="F9088"/>
      <c r="G9088"/>
      <c r="H9088"/>
      <c r="I9088" s="489"/>
      <c r="J9088" s="1362"/>
      <c r="K9088" s="1362"/>
      <c r="L9088" s="1362"/>
    </row>
    <row r="9089" spans="1:12" x14ac:dyDescent="0.25">
      <c r="A9089">
        <v>103144</v>
      </c>
      <c r="B9089" t="s">
        <v>6862</v>
      </c>
      <c r="C9089" t="s">
        <v>138</v>
      </c>
      <c r="D9089" s="254">
        <v>150.84</v>
      </c>
      <c r="E9089"/>
      <c r="F9089"/>
      <c r="G9089"/>
      <c r="H9089"/>
      <c r="I9089" s="489"/>
      <c r="J9089" s="1362"/>
      <c r="K9089" s="1362"/>
      <c r="L9089" s="1362"/>
    </row>
    <row r="9090" spans="1:12" x14ac:dyDescent="0.25">
      <c r="A9090">
        <v>103145</v>
      </c>
      <c r="B9090" t="s">
        <v>6863</v>
      </c>
      <c r="C9090" t="s">
        <v>138</v>
      </c>
      <c r="D9090" s="254">
        <v>184.46</v>
      </c>
      <c r="E9090"/>
      <c r="F9090"/>
      <c r="G9090"/>
      <c r="H9090"/>
      <c r="I9090" s="489"/>
      <c r="J9090" s="1362"/>
      <c r="K9090" s="1362"/>
      <c r="L9090" s="1362"/>
    </row>
    <row r="9091" spans="1:12" x14ac:dyDescent="0.25">
      <c r="A9091">
        <v>103146</v>
      </c>
      <c r="B9091" t="s">
        <v>6864</v>
      </c>
      <c r="C9091" t="s">
        <v>138</v>
      </c>
      <c r="D9091" s="254">
        <v>196.14</v>
      </c>
      <c r="E9091"/>
      <c r="F9091"/>
      <c r="G9091"/>
      <c r="H9091"/>
      <c r="I9091" s="489"/>
      <c r="J9091" s="1362"/>
      <c r="K9091" s="1362"/>
      <c r="L9091" s="1362"/>
    </row>
    <row r="9092" spans="1:12" x14ac:dyDescent="0.25">
      <c r="A9092">
        <v>103147</v>
      </c>
      <c r="B9092" t="s">
        <v>6865</v>
      </c>
      <c r="C9092" t="s">
        <v>138</v>
      </c>
      <c r="D9092" s="254">
        <v>219.49</v>
      </c>
      <c r="E9092"/>
      <c r="F9092"/>
      <c r="G9092"/>
      <c r="H9092"/>
      <c r="I9092" s="489"/>
      <c r="J9092" s="1362"/>
      <c r="K9092" s="1362"/>
      <c r="L9092" s="1362"/>
    </row>
    <row r="9093" spans="1:12" x14ac:dyDescent="0.25">
      <c r="A9093">
        <v>103148</v>
      </c>
      <c r="B9093" t="s">
        <v>6866</v>
      </c>
      <c r="C9093" t="s">
        <v>138</v>
      </c>
      <c r="D9093" s="254">
        <v>264.76</v>
      </c>
      <c r="E9093"/>
      <c r="F9093"/>
      <c r="G9093"/>
      <c r="H9093"/>
      <c r="I9093" s="489"/>
      <c r="J9093" s="1362"/>
      <c r="K9093" s="1362"/>
      <c r="L9093" s="1362"/>
    </row>
    <row r="9094" spans="1:12" x14ac:dyDescent="0.25">
      <c r="A9094">
        <v>103149</v>
      </c>
      <c r="B9094" t="s">
        <v>6867</v>
      </c>
      <c r="C9094" t="s">
        <v>138</v>
      </c>
      <c r="D9094" s="254">
        <v>288.11</v>
      </c>
      <c r="E9094"/>
      <c r="F9094"/>
      <c r="G9094"/>
      <c r="H9094"/>
      <c r="I9094" s="489"/>
      <c r="J9094" s="1362"/>
      <c r="K9094" s="1362"/>
      <c r="L9094" s="1362"/>
    </row>
    <row r="9095" spans="1:12" x14ac:dyDescent="0.25">
      <c r="A9095">
        <v>103150</v>
      </c>
      <c r="B9095" t="s">
        <v>6868</v>
      </c>
      <c r="C9095" t="s">
        <v>138</v>
      </c>
      <c r="D9095" s="254">
        <v>333.34</v>
      </c>
      <c r="E9095"/>
      <c r="F9095"/>
      <c r="G9095"/>
      <c r="H9095"/>
      <c r="I9095" s="489"/>
      <c r="J9095" s="1362"/>
      <c r="K9095" s="1362"/>
      <c r="L9095" s="1362"/>
    </row>
    <row r="9096" spans="1:12" x14ac:dyDescent="0.25">
      <c r="A9096">
        <v>103151</v>
      </c>
      <c r="B9096" t="s">
        <v>6869</v>
      </c>
      <c r="C9096" t="s">
        <v>138</v>
      </c>
      <c r="D9096" s="254">
        <v>356.75</v>
      </c>
      <c r="E9096"/>
      <c r="F9096"/>
      <c r="G9096"/>
      <c r="H9096"/>
      <c r="I9096" s="489"/>
      <c r="J9096" s="1362"/>
      <c r="K9096" s="1362"/>
      <c r="L9096" s="1362"/>
    </row>
    <row r="9097" spans="1:12" x14ac:dyDescent="0.25">
      <c r="A9097">
        <v>103152</v>
      </c>
      <c r="B9097" t="s">
        <v>6870</v>
      </c>
      <c r="C9097" t="s">
        <v>138</v>
      </c>
      <c r="D9097" s="254">
        <v>425.38</v>
      </c>
      <c r="E9097"/>
      <c r="F9097"/>
      <c r="G9097"/>
      <c r="H9097"/>
      <c r="I9097" s="489"/>
      <c r="J9097" s="1362"/>
      <c r="K9097" s="1362"/>
      <c r="L9097" s="1362"/>
    </row>
    <row r="9098" spans="1:12" x14ac:dyDescent="0.25">
      <c r="A9098">
        <v>103372</v>
      </c>
      <c r="B9098" t="s">
        <v>7272</v>
      </c>
      <c r="C9098" t="s">
        <v>151</v>
      </c>
      <c r="D9098" s="254">
        <v>5.93</v>
      </c>
      <c r="E9098"/>
      <c r="F9098"/>
      <c r="G9098"/>
      <c r="H9098"/>
      <c r="I9098" s="489"/>
      <c r="J9098" s="1362"/>
      <c r="K9098" s="1362"/>
      <c r="L9098" s="1362"/>
    </row>
    <row r="9099" spans="1:12" x14ac:dyDescent="0.25">
      <c r="A9099">
        <v>103373</v>
      </c>
      <c r="B9099" t="s">
        <v>7273</v>
      </c>
      <c r="C9099" t="s">
        <v>151</v>
      </c>
      <c r="D9099" s="254">
        <v>11.61</v>
      </c>
      <c r="E9099"/>
      <c r="F9099"/>
      <c r="G9099"/>
      <c r="H9099"/>
      <c r="I9099" s="489"/>
      <c r="J9099" s="1362"/>
      <c r="K9099" s="1362"/>
      <c r="L9099" s="1362"/>
    </row>
    <row r="9100" spans="1:12" x14ac:dyDescent="0.25">
      <c r="A9100">
        <v>103376</v>
      </c>
      <c r="B9100" t="s">
        <v>7274</v>
      </c>
      <c r="C9100" t="s">
        <v>151</v>
      </c>
      <c r="D9100" s="254">
        <v>138.72999999999999</v>
      </c>
      <c r="E9100"/>
      <c r="F9100"/>
      <c r="G9100"/>
      <c r="H9100"/>
      <c r="I9100" s="489"/>
      <c r="J9100" s="1362"/>
      <c r="K9100" s="1362"/>
      <c r="L9100" s="1362"/>
    </row>
    <row r="9101" spans="1:12" x14ac:dyDescent="0.25">
      <c r="A9101">
        <v>103377</v>
      </c>
      <c r="B9101" t="s">
        <v>7275</v>
      </c>
      <c r="C9101" t="s">
        <v>151</v>
      </c>
      <c r="D9101" s="254">
        <v>296.94</v>
      </c>
      <c r="E9101"/>
      <c r="F9101"/>
      <c r="G9101"/>
      <c r="H9101"/>
      <c r="I9101" s="489"/>
      <c r="J9101" s="1362"/>
      <c r="K9101" s="1362"/>
      <c r="L9101" s="1362"/>
    </row>
    <row r="9102" spans="1:12" x14ac:dyDescent="0.25">
      <c r="A9102">
        <v>103379</v>
      </c>
      <c r="B9102" t="s">
        <v>7276</v>
      </c>
      <c r="C9102" t="s">
        <v>151</v>
      </c>
      <c r="D9102" s="254">
        <v>462.36</v>
      </c>
      <c r="E9102"/>
      <c r="F9102"/>
      <c r="G9102"/>
      <c r="H9102"/>
      <c r="I9102" s="489"/>
      <c r="J9102" s="1362"/>
      <c r="K9102" s="1362"/>
      <c r="L9102" s="1362"/>
    </row>
    <row r="9103" spans="1:12" x14ac:dyDescent="0.25">
      <c r="A9103">
        <v>103383</v>
      </c>
      <c r="B9103" t="s">
        <v>7277</v>
      </c>
      <c r="C9103" t="s">
        <v>151</v>
      </c>
      <c r="D9103" s="254">
        <v>1133.22</v>
      </c>
      <c r="E9103"/>
      <c r="F9103"/>
      <c r="G9103"/>
      <c r="H9103"/>
      <c r="I9103" s="489"/>
      <c r="J9103" s="1362"/>
      <c r="K9103" s="1362"/>
      <c r="L9103" s="1362"/>
    </row>
    <row r="9104" spans="1:12" x14ac:dyDescent="0.25">
      <c r="A9104">
        <v>103385</v>
      </c>
      <c r="B9104" t="s">
        <v>7278</v>
      </c>
      <c r="C9104" t="s">
        <v>151</v>
      </c>
      <c r="D9104" s="254">
        <v>1826.94</v>
      </c>
      <c r="E9104"/>
      <c r="F9104"/>
      <c r="G9104"/>
      <c r="H9104"/>
      <c r="I9104" s="489"/>
      <c r="J9104" s="1362"/>
      <c r="K9104" s="1362"/>
      <c r="L9104" s="1362"/>
    </row>
    <row r="9105" spans="1:12" x14ac:dyDescent="0.25">
      <c r="A9105">
        <v>103387</v>
      </c>
      <c r="B9105" t="s">
        <v>7279</v>
      </c>
      <c r="C9105" t="s">
        <v>151</v>
      </c>
      <c r="D9105" s="254">
        <v>3205.31</v>
      </c>
      <c r="E9105"/>
      <c r="F9105"/>
      <c r="G9105"/>
      <c r="H9105"/>
      <c r="I9105" s="489"/>
      <c r="J9105" s="1362"/>
      <c r="K9105" s="1362"/>
      <c r="L9105" s="1362"/>
    </row>
    <row r="9106" spans="1:12" x14ac:dyDescent="0.25">
      <c r="A9106">
        <v>103389</v>
      </c>
      <c r="B9106" t="s">
        <v>7280</v>
      </c>
      <c r="C9106" t="s">
        <v>151</v>
      </c>
      <c r="D9106" s="254">
        <v>4766.88</v>
      </c>
      <c r="E9106"/>
      <c r="F9106"/>
      <c r="G9106"/>
      <c r="H9106"/>
      <c r="I9106" s="489"/>
      <c r="J9106" s="1362"/>
      <c r="K9106" s="1362"/>
      <c r="L9106" s="1362"/>
    </row>
    <row r="9107" spans="1:12" x14ac:dyDescent="0.25">
      <c r="A9107">
        <v>103391</v>
      </c>
      <c r="B9107" t="s">
        <v>7281</v>
      </c>
      <c r="C9107" t="s">
        <v>151</v>
      </c>
      <c r="D9107" s="254">
        <v>3137.92</v>
      </c>
      <c r="E9107"/>
      <c r="F9107"/>
      <c r="G9107"/>
      <c r="H9107"/>
      <c r="I9107" s="489"/>
      <c r="J9107" s="1362"/>
      <c r="K9107" s="1362"/>
      <c r="L9107" s="1362"/>
    </row>
    <row r="9108" spans="1:12" x14ac:dyDescent="0.25">
      <c r="A9108">
        <v>103392</v>
      </c>
      <c r="B9108" t="s">
        <v>7282</v>
      </c>
      <c r="C9108" t="s">
        <v>151</v>
      </c>
      <c r="D9108" s="254">
        <v>5130.8900000000003</v>
      </c>
      <c r="E9108"/>
      <c r="F9108"/>
      <c r="G9108"/>
      <c r="H9108"/>
      <c r="I9108" s="489"/>
      <c r="J9108" s="1362"/>
      <c r="K9108" s="1362"/>
      <c r="L9108" s="1362"/>
    </row>
    <row r="9109" spans="1:12" x14ac:dyDescent="0.25">
      <c r="A9109">
        <v>103393</v>
      </c>
      <c r="B9109" t="s">
        <v>7283</v>
      </c>
      <c r="C9109" t="s">
        <v>151</v>
      </c>
      <c r="D9109" s="254">
        <v>5658.91</v>
      </c>
      <c r="E9109"/>
      <c r="F9109"/>
      <c r="G9109"/>
      <c r="H9109"/>
      <c r="I9109" s="489"/>
      <c r="J9109" s="1362"/>
      <c r="K9109" s="1362"/>
      <c r="L9109" s="1362"/>
    </row>
    <row r="9110" spans="1:12" x14ac:dyDescent="0.25">
      <c r="A9110">
        <v>103394</v>
      </c>
      <c r="B9110" t="s">
        <v>7284</v>
      </c>
      <c r="C9110" t="s">
        <v>151</v>
      </c>
      <c r="D9110" s="254">
        <v>4191.1099999999997</v>
      </c>
      <c r="E9110"/>
      <c r="F9110"/>
      <c r="G9110"/>
      <c r="H9110"/>
      <c r="I9110" s="489"/>
      <c r="J9110" s="1362"/>
      <c r="K9110" s="1362"/>
      <c r="L9110" s="1362"/>
    </row>
    <row r="9111" spans="1:12" x14ac:dyDescent="0.25">
      <c r="A9111">
        <v>103395</v>
      </c>
      <c r="B9111" t="s">
        <v>7285</v>
      </c>
      <c r="C9111" t="s">
        <v>151</v>
      </c>
      <c r="D9111" s="254">
        <v>2080.81</v>
      </c>
      <c r="E9111"/>
      <c r="F9111"/>
      <c r="G9111"/>
      <c r="H9111"/>
      <c r="I9111" s="489"/>
      <c r="J9111" s="1362"/>
      <c r="K9111" s="1362"/>
      <c r="L9111" s="1362"/>
    </row>
    <row r="9112" spans="1:12" x14ac:dyDescent="0.25">
      <c r="A9112">
        <v>103396</v>
      </c>
      <c r="B9112" t="s">
        <v>7286</v>
      </c>
      <c r="C9112" t="s">
        <v>151</v>
      </c>
      <c r="D9112" s="254">
        <v>1403.17</v>
      </c>
      <c r="E9112"/>
      <c r="F9112"/>
      <c r="G9112"/>
      <c r="H9112"/>
      <c r="I9112" s="489"/>
      <c r="J9112" s="1362"/>
      <c r="K9112" s="1362"/>
      <c r="L9112" s="1362"/>
    </row>
    <row r="9113" spans="1:12" x14ac:dyDescent="0.25">
      <c r="A9113">
        <v>103397</v>
      </c>
      <c r="B9113" t="s">
        <v>7287</v>
      </c>
      <c r="C9113" t="s">
        <v>138</v>
      </c>
      <c r="D9113" s="254">
        <v>3.78</v>
      </c>
      <c r="E9113"/>
      <c r="F9113"/>
      <c r="G9113"/>
      <c r="H9113"/>
      <c r="I9113" s="489"/>
      <c r="J9113" s="1362"/>
      <c r="K9113" s="1362"/>
      <c r="L9113" s="1362"/>
    </row>
    <row r="9114" spans="1:12" x14ac:dyDescent="0.25">
      <c r="A9114">
        <v>103398</v>
      </c>
      <c r="B9114" t="s">
        <v>7288</v>
      </c>
      <c r="C9114" t="s">
        <v>138</v>
      </c>
      <c r="D9114" s="254">
        <v>6.06</v>
      </c>
      <c r="E9114"/>
      <c r="F9114"/>
      <c r="G9114"/>
      <c r="H9114"/>
      <c r="I9114" s="489"/>
      <c r="J9114" s="1362"/>
      <c r="K9114" s="1362"/>
      <c r="L9114" s="1362"/>
    </row>
    <row r="9115" spans="1:12" x14ac:dyDescent="0.25">
      <c r="A9115">
        <v>103399</v>
      </c>
      <c r="B9115" t="s">
        <v>7289</v>
      </c>
      <c r="C9115" t="s">
        <v>138</v>
      </c>
      <c r="D9115" s="254">
        <v>11.94</v>
      </c>
      <c r="E9115"/>
      <c r="F9115"/>
      <c r="G9115"/>
      <c r="H9115"/>
      <c r="I9115" s="489"/>
      <c r="J9115" s="1362"/>
      <c r="K9115" s="1362"/>
      <c r="L9115" s="1362"/>
    </row>
    <row r="9116" spans="1:12" x14ac:dyDescent="0.25">
      <c r="A9116">
        <v>103400</v>
      </c>
      <c r="B9116" t="s">
        <v>7290</v>
      </c>
      <c r="C9116" t="s">
        <v>138</v>
      </c>
      <c r="D9116" s="254">
        <v>17.059999999999999</v>
      </c>
      <c r="E9116"/>
      <c r="F9116"/>
      <c r="G9116"/>
      <c r="H9116"/>
      <c r="I9116" s="489"/>
      <c r="J9116" s="1362"/>
      <c r="K9116" s="1362"/>
      <c r="L9116" s="1362"/>
    </row>
    <row r="9117" spans="1:12" x14ac:dyDescent="0.25">
      <c r="A9117">
        <v>103401</v>
      </c>
      <c r="B9117" t="s">
        <v>7291</v>
      </c>
      <c r="C9117" t="s">
        <v>138</v>
      </c>
      <c r="D9117" s="254">
        <v>20.86</v>
      </c>
      <c r="E9117"/>
      <c r="F9117"/>
      <c r="G9117"/>
      <c r="H9117"/>
      <c r="I9117" s="489"/>
      <c r="J9117" s="1362"/>
      <c r="K9117" s="1362"/>
      <c r="L9117" s="1362"/>
    </row>
    <row r="9118" spans="1:12" x14ac:dyDescent="0.25">
      <c r="A9118">
        <v>103402</v>
      </c>
      <c r="B9118" t="s">
        <v>7292</v>
      </c>
      <c r="C9118" t="s">
        <v>138</v>
      </c>
      <c r="D9118" s="254">
        <v>30.34</v>
      </c>
      <c r="E9118"/>
      <c r="F9118"/>
      <c r="G9118"/>
      <c r="H9118"/>
      <c r="I9118" s="489"/>
      <c r="J9118" s="1362"/>
      <c r="K9118" s="1362"/>
      <c r="L9118" s="1362"/>
    </row>
    <row r="9119" spans="1:12" x14ac:dyDescent="0.25">
      <c r="A9119">
        <v>103403</v>
      </c>
      <c r="B9119" t="s">
        <v>7293</v>
      </c>
      <c r="C9119" t="s">
        <v>138</v>
      </c>
      <c r="D9119" s="254">
        <v>34.130000000000003</v>
      </c>
      <c r="E9119"/>
      <c r="F9119"/>
      <c r="G9119"/>
      <c r="H9119"/>
      <c r="I9119" s="489"/>
      <c r="J9119" s="1362"/>
      <c r="K9119" s="1362"/>
      <c r="L9119" s="1362"/>
    </row>
    <row r="9120" spans="1:12" x14ac:dyDescent="0.25">
      <c r="A9120">
        <v>103404</v>
      </c>
      <c r="B9120" t="s">
        <v>7294</v>
      </c>
      <c r="C9120" t="s">
        <v>138</v>
      </c>
      <c r="D9120" s="254">
        <v>37.93</v>
      </c>
      <c r="E9120"/>
      <c r="F9120"/>
      <c r="G9120"/>
      <c r="H9120"/>
      <c r="I9120" s="489"/>
      <c r="J9120" s="1362"/>
      <c r="K9120" s="1362"/>
      <c r="L9120" s="1362"/>
    </row>
    <row r="9121" spans="1:12" x14ac:dyDescent="0.25">
      <c r="A9121">
        <v>103405</v>
      </c>
      <c r="B9121" t="s">
        <v>7295</v>
      </c>
      <c r="C9121" t="s">
        <v>138</v>
      </c>
      <c r="D9121" s="254">
        <v>42.66</v>
      </c>
      <c r="E9121"/>
      <c r="F9121"/>
      <c r="G9121"/>
      <c r="H9121"/>
      <c r="I9121" s="489"/>
      <c r="J9121" s="1362"/>
      <c r="K9121" s="1362"/>
      <c r="L9121" s="1362"/>
    </row>
    <row r="9122" spans="1:12" x14ac:dyDescent="0.25">
      <c r="A9122">
        <v>103406</v>
      </c>
      <c r="B9122" t="s">
        <v>7296</v>
      </c>
      <c r="C9122" t="s">
        <v>138</v>
      </c>
      <c r="D9122" s="254">
        <v>47.41</v>
      </c>
      <c r="E9122"/>
      <c r="F9122"/>
      <c r="G9122"/>
      <c r="H9122"/>
      <c r="I9122" s="489"/>
      <c r="J9122" s="1362"/>
      <c r="K9122" s="1362"/>
      <c r="L9122" s="1362"/>
    </row>
    <row r="9123" spans="1:12" x14ac:dyDescent="0.25">
      <c r="A9123">
        <v>103407</v>
      </c>
      <c r="B9123" t="s">
        <v>7297</v>
      </c>
      <c r="C9123" t="s">
        <v>138</v>
      </c>
      <c r="D9123" s="254">
        <v>53.09</v>
      </c>
      <c r="E9123"/>
      <c r="F9123"/>
      <c r="G9123"/>
      <c r="H9123"/>
      <c r="I9123" s="489"/>
      <c r="J9123" s="1362"/>
      <c r="K9123" s="1362"/>
      <c r="L9123" s="1362"/>
    </row>
    <row r="9124" spans="1:12" x14ac:dyDescent="0.25">
      <c r="A9124">
        <v>103408</v>
      </c>
      <c r="B9124" t="s">
        <v>7298</v>
      </c>
      <c r="C9124" t="s">
        <v>138</v>
      </c>
      <c r="D9124" s="254">
        <v>59.74</v>
      </c>
      <c r="E9124"/>
      <c r="F9124"/>
      <c r="G9124"/>
      <c r="H9124"/>
      <c r="I9124" s="489"/>
      <c r="J9124" s="1362"/>
      <c r="K9124" s="1362"/>
      <c r="L9124" s="1362"/>
    </row>
    <row r="9125" spans="1:12" x14ac:dyDescent="0.25">
      <c r="A9125">
        <v>103409</v>
      </c>
      <c r="B9125" t="s">
        <v>7299</v>
      </c>
      <c r="C9125" t="s">
        <v>138</v>
      </c>
      <c r="D9125" s="254">
        <v>67.319999999999993</v>
      </c>
      <c r="E9125"/>
      <c r="F9125"/>
      <c r="G9125"/>
      <c r="H9125"/>
      <c r="I9125" s="489"/>
      <c r="J9125" s="1362"/>
      <c r="K9125" s="1362"/>
      <c r="L9125" s="1362"/>
    </row>
    <row r="9126" spans="1:12" x14ac:dyDescent="0.25">
      <c r="A9126">
        <v>103410</v>
      </c>
      <c r="B9126" t="s">
        <v>7300</v>
      </c>
      <c r="C9126" t="s">
        <v>138</v>
      </c>
      <c r="D9126" s="254">
        <v>75.86</v>
      </c>
      <c r="E9126"/>
      <c r="F9126"/>
      <c r="G9126"/>
      <c r="H9126"/>
      <c r="I9126" s="489"/>
      <c r="J9126" s="1362"/>
      <c r="K9126" s="1362"/>
      <c r="L9126" s="1362"/>
    </row>
    <row r="9127" spans="1:12" x14ac:dyDescent="0.25">
      <c r="A9127">
        <v>103411</v>
      </c>
      <c r="B9127" t="s">
        <v>7301</v>
      </c>
      <c r="C9127" t="s">
        <v>138</v>
      </c>
      <c r="D9127" s="254">
        <v>7.57</v>
      </c>
      <c r="E9127"/>
      <c r="F9127"/>
      <c r="G9127"/>
      <c r="H9127"/>
      <c r="I9127" s="489"/>
      <c r="J9127" s="1362"/>
      <c r="K9127" s="1362"/>
      <c r="L9127" s="1362"/>
    </row>
    <row r="9128" spans="1:12" x14ac:dyDescent="0.25">
      <c r="A9128">
        <v>103412</v>
      </c>
      <c r="B9128" t="s">
        <v>7302</v>
      </c>
      <c r="C9128" t="s">
        <v>138</v>
      </c>
      <c r="D9128" s="254">
        <v>12.13</v>
      </c>
      <c r="E9128"/>
      <c r="F9128"/>
      <c r="G9128"/>
      <c r="H9128"/>
      <c r="I9128" s="489"/>
      <c r="J9128" s="1362"/>
      <c r="K9128" s="1362"/>
      <c r="L9128" s="1362"/>
    </row>
    <row r="9129" spans="1:12" x14ac:dyDescent="0.25">
      <c r="A9129">
        <v>103413</v>
      </c>
      <c r="B9129" t="s">
        <v>7303</v>
      </c>
      <c r="C9129" t="s">
        <v>138</v>
      </c>
      <c r="D9129" s="254">
        <v>23.89</v>
      </c>
      <c r="E9129"/>
      <c r="F9129"/>
      <c r="G9129"/>
      <c r="H9129"/>
      <c r="I9129" s="489"/>
      <c r="J9129" s="1362"/>
      <c r="K9129" s="1362"/>
      <c r="L9129" s="1362"/>
    </row>
    <row r="9130" spans="1:12" x14ac:dyDescent="0.25">
      <c r="A9130">
        <v>103414</v>
      </c>
      <c r="B9130" t="s">
        <v>7304</v>
      </c>
      <c r="C9130" t="s">
        <v>138</v>
      </c>
      <c r="D9130" s="254">
        <v>34.130000000000003</v>
      </c>
      <c r="E9130"/>
      <c r="F9130"/>
      <c r="G9130"/>
      <c r="H9130"/>
      <c r="I9130" s="489"/>
      <c r="J9130" s="1362"/>
      <c r="K9130" s="1362"/>
      <c r="L9130" s="1362"/>
    </row>
    <row r="9131" spans="1:12" x14ac:dyDescent="0.25">
      <c r="A9131">
        <v>103415</v>
      </c>
      <c r="B9131" t="s">
        <v>7305</v>
      </c>
      <c r="C9131" t="s">
        <v>138</v>
      </c>
      <c r="D9131" s="254">
        <v>41.72</v>
      </c>
      <c r="E9131"/>
      <c r="F9131"/>
      <c r="G9131"/>
      <c r="H9131"/>
      <c r="I9131" s="489"/>
      <c r="J9131" s="1362"/>
      <c r="K9131" s="1362"/>
      <c r="L9131" s="1362"/>
    </row>
    <row r="9132" spans="1:12" x14ac:dyDescent="0.25">
      <c r="A9132">
        <v>103416</v>
      </c>
      <c r="B9132" t="s">
        <v>7306</v>
      </c>
      <c r="C9132" t="s">
        <v>138</v>
      </c>
      <c r="D9132" s="254">
        <v>60.68</v>
      </c>
      <c r="E9132"/>
      <c r="F9132"/>
      <c r="G9132"/>
      <c r="H9132"/>
      <c r="I9132" s="489"/>
      <c r="J9132" s="1362"/>
      <c r="K9132" s="1362"/>
      <c r="L9132" s="1362"/>
    </row>
    <row r="9133" spans="1:12" x14ac:dyDescent="0.25">
      <c r="A9133">
        <v>103417</v>
      </c>
      <c r="B9133" t="s">
        <v>7307</v>
      </c>
      <c r="C9133" t="s">
        <v>138</v>
      </c>
      <c r="D9133" s="254">
        <v>68.27</v>
      </c>
      <c r="E9133"/>
      <c r="F9133"/>
      <c r="G9133"/>
      <c r="H9133"/>
      <c r="I9133" s="489"/>
      <c r="J9133" s="1362"/>
      <c r="K9133" s="1362"/>
      <c r="L9133" s="1362"/>
    </row>
    <row r="9134" spans="1:12" x14ac:dyDescent="0.25">
      <c r="A9134">
        <v>103418</v>
      </c>
      <c r="B9134" t="s">
        <v>7308</v>
      </c>
      <c r="C9134" t="s">
        <v>138</v>
      </c>
      <c r="D9134" s="254">
        <v>75.86</v>
      </c>
      <c r="E9134"/>
      <c r="F9134"/>
      <c r="G9134"/>
      <c r="H9134"/>
      <c r="I9134" s="489"/>
      <c r="J9134" s="1362"/>
      <c r="K9134" s="1362"/>
      <c r="L9134" s="1362"/>
    </row>
    <row r="9135" spans="1:12" x14ac:dyDescent="0.25">
      <c r="A9135">
        <v>103419</v>
      </c>
      <c r="B9135" t="s">
        <v>7309</v>
      </c>
      <c r="C9135" t="s">
        <v>138</v>
      </c>
      <c r="D9135" s="254">
        <v>85.34</v>
      </c>
      <c r="E9135"/>
      <c r="F9135"/>
      <c r="G9135"/>
      <c r="H9135"/>
      <c r="I9135" s="489"/>
      <c r="J9135" s="1362"/>
      <c r="K9135" s="1362"/>
      <c r="L9135" s="1362"/>
    </row>
    <row r="9136" spans="1:12" x14ac:dyDescent="0.25">
      <c r="A9136">
        <v>103420</v>
      </c>
      <c r="B9136" t="s">
        <v>7310</v>
      </c>
      <c r="C9136" t="s">
        <v>138</v>
      </c>
      <c r="D9136" s="254">
        <v>94.82</v>
      </c>
      <c r="E9136"/>
      <c r="F9136"/>
      <c r="G9136"/>
      <c r="H9136"/>
      <c r="I9136" s="489"/>
      <c r="J9136" s="1362"/>
      <c r="K9136" s="1362"/>
      <c r="L9136" s="1362"/>
    </row>
    <row r="9137" spans="1:12" x14ac:dyDescent="0.25">
      <c r="A9137">
        <v>103421</v>
      </c>
      <c r="B9137" t="s">
        <v>7311</v>
      </c>
      <c r="C9137" t="s">
        <v>138</v>
      </c>
      <c r="D9137" s="254">
        <v>106.2</v>
      </c>
      <c r="E9137"/>
      <c r="F9137"/>
      <c r="G9137"/>
      <c r="H9137"/>
      <c r="I9137" s="489"/>
      <c r="J9137" s="1362"/>
      <c r="K9137" s="1362"/>
      <c r="L9137" s="1362"/>
    </row>
    <row r="9138" spans="1:12" x14ac:dyDescent="0.25">
      <c r="A9138">
        <v>103422</v>
      </c>
      <c r="B9138" t="s">
        <v>7312</v>
      </c>
      <c r="C9138" t="s">
        <v>138</v>
      </c>
      <c r="D9138" s="254">
        <v>119.48</v>
      </c>
      <c r="E9138"/>
      <c r="F9138"/>
      <c r="G9138"/>
      <c r="H9138"/>
      <c r="I9138" s="489"/>
      <c r="J9138" s="1362"/>
      <c r="K9138" s="1362"/>
      <c r="L9138" s="1362"/>
    </row>
    <row r="9139" spans="1:12" x14ac:dyDescent="0.25">
      <c r="A9139">
        <v>103423</v>
      </c>
      <c r="B9139" t="s">
        <v>7313</v>
      </c>
      <c r="C9139" t="s">
        <v>138</v>
      </c>
      <c r="D9139" s="254">
        <v>134.65</v>
      </c>
      <c r="E9139"/>
      <c r="F9139"/>
      <c r="G9139"/>
      <c r="H9139"/>
      <c r="I9139" s="489"/>
      <c r="J9139" s="1362"/>
      <c r="K9139" s="1362"/>
      <c r="L9139" s="1362"/>
    </row>
    <row r="9140" spans="1:12" x14ac:dyDescent="0.25">
      <c r="A9140">
        <v>103424</v>
      </c>
      <c r="B9140" t="s">
        <v>7314</v>
      </c>
      <c r="C9140" t="s">
        <v>138</v>
      </c>
      <c r="D9140" s="254">
        <v>151.72</v>
      </c>
      <c r="E9140"/>
      <c r="F9140"/>
      <c r="G9140"/>
      <c r="H9140"/>
      <c r="I9140" s="489"/>
      <c r="J9140" s="1362"/>
      <c r="K9140" s="1362"/>
      <c r="L9140" s="1362"/>
    </row>
    <row r="9141" spans="1:12" x14ac:dyDescent="0.25">
      <c r="A9141">
        <v>103425</v>
      </c>
      <c r="B9141" t="s">
        <v>7315</v>
      </c>
      <c r="C9141" t="s">
        <v>138</v>
      </c>
      <c r="D9141" s="254">
        <v>16.72</v>
      </c>
      <c r="E9141"/>
      <c r="F9141"/>
      <c r="G9141"/>
      <c r="H9141"/>
      <c r="I9141" s="489"/>
      <c r="J9141" s="1362"/>
      <c r="K9141" s="1362"/>
      <c r="L9141" s="1362"/>
    </row>
    <row r="9142" spans="1:12" x14ac:dyDescent="0.25">
      <c r="A9142">
        <v>103426</v>
      </c>
      <c r="B9142" t="s">
        <v>7316</v>
      </c>
      <c r="C9142" t="s">
        <v>138</v>
      </c>
      <c r="D9142" s="254">
        <v>20.010000000000002</v>
      </c>
      <c r="E9142"/>
      <c r="F9142"/>
      <c r="G9142"/>
      <c r="H9142"/>
      <c r="I9142" s="489"/>
      <c r="J9142" s="1362"/>
      <c r="K9142" s="1362"/>
      <c r="L9142" s="1362"/>
    </row>
    <row r="9143" spans="1:12" x14ac:dyDescent="0.25">
      <c r="A9143">
        <v>103427</v>
      </c>
      <c r="B9143" t="s">
        <v>7317</v>
      </c>
      <c r="C9143" t="s">
        <v>138</v>
      </c>
      <c r="D9143" s="254">
        <v>40.1</v>
      </c>
      <c r="E9143"/>
      <c r="F9143"/>
      <c r="G9143"/>
      <c r="H9143"/>
      <c r="I9143" s="489"/>
      <c r="J9143" s="1362"/>
      <c r="K9143" s="1362"/>
      <c r="L9143" s="1362"/>
    </row>
    <row r="9144" spans="1:12" x14ac:dyDescent="0.25">
      <c r="A9144">
        <v>103428</v>
      </c>
      <c r="B9144" t="s">
        <v>7318</v>
      </c>
      <c r="C9144" t="s">
        <v>138</v>
      </c>
      <c r="D9144" s="254">
        <v>269.43</v>
      </c>
      <c r="E9144"/>
      <c r="F9144"/>
      <c r="G9144"/>
      <c r="H9144"/>
      <c r="I9144" s="489"/>
      <c r="J9144" s="1362"/>
      <c r="K9144" s="1362"/>
      <c r="L9144" s="1362"/>
    </row>
    <row r="9145" spans="1:12" x14ac:dyDescent="0.25">
      <c r="A9145">
        <v>103429</v>
      </c>
      <c r="B9145" t="s">
        <v>7319</v>
      </c>
      <c r="C9145" t="s">
        <v>138</v>
      </c>
      <c r="D9145" s="254">
        <v>3003.29</v>
      </c>
      <c r="E9145"/>
      <c r="F9145"/>
      <c r="G9145"/>
      <c r="H9145"/>
      <c r="I9145" s="489"/>
      <c r="J9145" s="1362"/>
      <c r="K9145" s="1362"/>
      <c r="L9145" s="1362"/>
    </row>
    <row r="9146" spans="1:12" x14ac:dyDescent="0.25">
      <c r="A9146">
        <v>103430</v>
      </c>
      <c r="B9146" t="s">
        <v>7320</v>
      </c>
      <c r="C9146" t="s">
        <v>138</v>
      </c>
      <c r="D9146" s="254">
        <v>36.03</v>
      </c>
      <c r="E9146"/>
      <c r="F9146"/>
      <c r="G9146"/>
      <c r="H9146"/>
      <c r="I9146" s="489"/>
      <c r="J9146" s="1362"/>
      <c r="K9146" s="1362"/>
      <c r="L9146" s="1362"/>
    </row>
    <row r="9147" spans="1:12" x14ac:dyDescent="0.25">
      <c r="A9147">
        <v>103431</v>
      </c>
      <c r="B9147" t="s">
        <v>7321</v>
      </c>
      <c r="C9147" t="s">
        <v>138</v>
      </c>
      <c r="D9147" s="254">
        <v>63.09</v>
      </c>
      <c r="E9147"/>
      <c r="F9147"/>
      <c r="G9147"/>
      <c r="H9147"/>
      <c r="I9147" s="489"/>
      <c r="J9147" s="1362"/>
      <c r="K9147" s="1362"/>
      <c r="L9147" s="1362"/>
    </row>
    <row r="9148" spans="1:12" x14ac:dyDescent="0.25">
      <c r="A9148">
        <v>103432</v>
      </c>
      <c r="B9148" t="s">
        <v>7322</v>
      </c>
      <c r="C9148" t="s">
        <v>138</v>
      </c>
      <c r="D9148" s="254">
        <v>1705.17</v>
      </c>
      <c r="E9148"/>
      <c r="F9148"/>
      <c r="G9148"/>
      <c r="H9148"/>
      <c r="I9148" s="489"/>
      <c r="J9148" s="1362"/>
      <c r="K9148" s="1362"/>
      <c r="L9148" s="1362"/>
    </row>
    <row r="9149" spans="1:12" x14ac:dyDescent="0.25">
      <c r="A9149">
        <v>103433</v>
      </c>
      <c r="B9149" t="s">
        <v>7323</v>
      </c>
      <c r="C9149" t="s">
        <v>138</v>
      </c>
      <c r="D9149" s="254">
        <v>35.74</v>
      </c>
      <c r="E9149"/>
      <c r="F9149"/>
      <c r="G9149"/>
      <c r="H9149"/>
      <c r="I9149" s="489"/>
      <c r="J9149" s="1362"/>
      <c r="K9149" s="1362"/>
      <c r="L9149" s="1362"/>
    </row>
    <row r="9150" spans="1:12" x14ac:dyDescent="0.25">
      <c r="A9150">
        <v>103434</v>
      </c>
      <c r="B9150" t="s">
        <v>7324</v>
      </c>
      <c r="C9150" t="s">
        <v>138</v>
      </c>
      <c r="D9150" s="254">
        <v>49.41</v>
      </c>
      <c r="E9150"/>
      <c r="F9150"/>
      <c r="G9150"/>
      <c r="H9150"/>
      <c r="I9150" s="489"/>
      <c r="J9150" s="1362"/>
      <c r="K9150" s="1362"/>
      <c r="L9150" s="1362"/>
    </row>
    <row r="9151" spans="1:12" x14ac:dyDescent="0.25">
      <c r="A9151">
        <v>103435</v>
      </c>
      <c r="B9151" t="s">
        <v>7325</v>
      </c>
      <c r="C9151" t="s">
        <v>138</v>
      </c>
      <c r="D9151" s="254">
        <v>91.9</v>
      </c>
      <c r="E9151"/>
      <c r="F9151"/>
      <c r="G9151"/>
      <c r="H9151"/>
      <c r="I9151" s="489"/>
      <c r="J9151" s="1362"/>
      <c r="K9151" s="1362"/>
      <c r="L9151" s="1362"/>
    </row>
    <row r="9152" spans="1:12" x14ac:dyDescent="0.25">
      <c r="A9152">
        <v>103436</v>
      </c>
      <c r="B9152" t="s">
        <v>7326</v>
      </c>
      <c r="C9152" t="s">
        <v>138</v>
      </c>
      <c r="D9152" s="254">
        <v>2415.64</v>
      </c>
      <c r="E9152"/>
      <c r="F9152"/>
      <c r="G9152"/>
      <c r="H9152"/>
      <c r="I9152" s="489"/>
      <c r="J9152" s="1362"/>
      <c r="K9152" s="1362"/>
      <c r="L9152" s="1362"/>
    </row>
    <row r="9153" spans="1:12" x14ac:dyDescent="0.25">
      <c r="A9153">
        <v>103437</v>
      </c>
      <c r="B9153" t="s">
        <v>7327</v>
      </c>
      <c r="C9153" t="s">
        <v>138</v>
      </c>
      <c r="D9153" s="254">
        <v>190.72</v>
      </c>
      <c r="E9153"/>
      <c r="F9153"/>
      <c r="G9153"/>
      <c r="H9153"/>
      <c r="I9153" s="489"/>
      <c r="J9153" s="1362"/>
      <c r="K9153" s="1362"/>
      <c r="L9153" s="1362"/>
    </row>
    <row r="9154" spans="1:12" x14ac:dyDescent="0.25">
      <c r="A9154">
        <v>103438</v>
      </c>
      <c r="B9154" t="s">
        <v>7328</v>
      </c>
      <c r="C9154" t="s">
        <v>138</v>
      </c>
      <c r="D9154" s="254">
        <v>190.72</v>
      </c>
      <c r="E9154"/>
      <c r="F9154"/>
      <c r="G9154"/>
      <c r="H9154"/>
      <c r="I9154" s="489"/>
      <c r="J9154" s="1362"/>
      <c r="K9154" s="1362"/>
      <c r="L9154" s="1362"/>
    </row>
    <row r="9155" spans="1:12" x14ac:dyDescent="0.25">
      <c r="A9155">
        <v>103439</v>
      </c>
      <c r="B9155" t="s">
        <v>7329</v>
      </c>
      <c r="C9155" t="s">
        <v>138</v>
      </c>
      <c r="D9155" s="254">
        <v>224.82</v>
      </c>
      <c r="E9155"/>
      <c r="F9155"/>
      <c r="G9155"/>
      <c r="H9155"/>
      <c r="I9155" s="489"/>
      <c r="J9155" s="1362"/>
      <c r="K9155" s="1362"/>
      <c r="L9155" s="1362"/>
    </row>
    <row r="9156" spans="1:12" x14ac:dyDescent="0.25">
      <c r="A9156">
        <v>103440</v>
      </c>
      <c r="B9156" t="s">
        <v>7330</v>
      </c>
      <c r="C9156" t="s">
        <v>138</v>
      </c>
      <c r="D9156" s="254">
        <v>429.05</v>
      </c>
      <c r="E9156"/>
      <c r="F9156"/>
      <c r="G9156"/>
      <c r="H9156"/>
      <c r="I9156" s="489"/>
      <c r="J9156" s="1362"/>
      <c r="K9156" s="1362"/>
      <c r="L9156" s="1362"/>
    </row>
    <row r="9157" spans="1:12" x14ac:dyDescent="0.25">
      <c r="A9157">
        <v>103441</v>
      </c>
      <c r="B9157" t="s">
        <v>7331</v>
      </c>
      <c r="C9157" t="s">
        <v>138</v>
      </c>
      <c r="D9157" s="254">
        <v>434.58</v>
      </c>
      <c r="E9157"/>
      <c r="F9157"/>
      <c r="G9157"/>
      <c r="H9157"/>
      <c r="I9157" s="489"/>
      <c r="J9157" s="1362"/>
      <c r="K9157" s="1362"/>
      <c r="L9157" s="1362"/>
    </row>
    <row r="9158" spans="1:12" x14ac:dyDescent="0.25">
      <c r="A9158">
        <v>103442</v>
      </c>
      <c r="B9158" t="s">
        <v>7332</v>
      </c>
      <c r="C9158" t="s">
        <v>138</v>
      </c>
      <c r="D9158" s="254">
        <v>567.9</v>
      </c>
      <c r="E9158"/>
      <c r="F9158"/>
      <c r="G9158"/>
      <c r="H9158"/>
      <c r="I9158" s="489"/>
      <c r="J9158" s="1362"/>
      <c r="K9158" s="1362"/>
      <c r="L9158" s="1362"/>
    </row>
    <row r="9159" spans="1:12" x14ac:dyDescent="0.25">
      <c r="A9159">
        <v>93206</v>
      </c>
      <c r="B9159" t="s">
        <v>298</v>
      </c>
      <c r="C9159" t="s">
        <v>297</v>
      </c>
      <c r="D9159" s="254">
        <v>1218.93</v>
      </c>
      <c r="E9159"/>
      <c r="F9159"/>
      <c r="G9159"/>
      <c r="H9159"/>
      <c r="I9159" s="489"/>
      <c r="J9159" s="1362"/>
      <c r="K9159" s="1362"/>
      <c r="L9159" s="1362"/>
    </row>
    <row r="9160" spans="1:12" x14ac:dyDescent="0.25">
      <c r="A9160">
        <v>93207</v>
      </c>
      <c r="B9160" t="s">
        <v>299</v>
      </c>
      <c r="C9160" t="s">
        <v>297</v>
      </c>
      <c r="D9160" s="254">
        <v>1283.25</v>
      </c>
      <c r="E9160"/>
      <c r="F9160"/>
      <c r="G9160"/>
      <c r="H9160"/>
      <c r="I9160" s="489"/>
      <c r="J9160" s="1362"/>
      <c r="K9160" s="1362"/>
      <c r="L9160" s="1362"/>
    </row>
    <row r="9161" spans="1:12" x14ac:dyDescent="0.25">
      <c r="A9161">
        <v>93208</v>
      </c>
      <c r="B9161" t="s">
        <v>300</v>
      </c>
      <c r="C9161" t="s">
        <v>297</v>
      </c>
      <c r="D9161" s="254">
        <v>1114.8599999999999</v>
      </c>
      <c r="E9161"/>
      <c r="F9161"/>
      <c r="G9161"/>
      <c r="H9161"/>
      <c r="I9161" s="489"/>
      <c r="J9161" s="1362"/>
      <c r="K9161" s="1362"/>
      <c r="L9161" s="1362"/>
    </row>
    <row r="9162" spans="1:12" x14ac:dyDescent="0.25">
      <c r="A9162">
        <v>93209</v>
      </c>
      <c r="B9162" t="s">
        <v>301</v>
      </c>
      <c r="C9162" t="s">
        <v>297</v>
      </c>
      <c r="D9162" s="254">
        <v>1070.52</v>
      </c>
      <c r="E9162"/>
      <c r="F9162"/>
      <c r="G9162"/>
      <c r="H9162"/>
      <c r="I9162" s="489"/>
      <c r="J9162" s="1362"/>
      <c r="K9162" s="1362"/>
      <c r="L9162" s="1362"/>
    </row>
    <row r="9163" spans="1:12" x14ac:dyDescent="0.25">
      <c r="A9163">
        <v>93210</v>
      </c>
      <c r="B9163" t="s">
        <v>302</v>
      </c>
      <c r="C9163" t="s">
        <v>297</v>
      </c>
      <c r="D9163" s="254">
        <v>683.9</v>
      </c>
      <c r="E9163"/>
      <c r="F9163"/>
      <c r="G9163"/>
      <c r="H9163"/>
      <c r="I9163" s="489"/>
      <c r="J9163" s="1362"/>
      <c r="K9163" s="1362"/>
      <c r="L9163" s="1362"/>
    </row>
    <row r="9164" spans="1:12" x14ac:dyDescent="0.25">
      <c r="A9164">
        <v>93211</v>
      </c>
      <c r="B9164" t="s">
        <v>303</v>
      </c>
      <c r="C9164" t="s">
        <v>297</v>
      </c>
      <c r="D9164" s="254">
        <v>657.54</v>
      </c>
      <c r="E9164"/>
      <c r="F9164"/>
      <c r="G9164"/>
      <c r="H9164"/>
      <c r="I9164" s="489"/>
      <c r="J9164" s="1362"/>
      <c r="K9164" s="1362"/>
      <c r="L9164" s="1362"/>
    </row>
    <row r="9165" spans="1:12" x14ac:dyDescent="0.25">
      <c r="A9165">
        <v>93212</v>
      </c>
      <c r="B9165" t="s">
        <v>304</v>
      </c>
      <c r="C9165" t="s">
        <v>297</v>
      </c>
      <c r="D9165" s="254">
        <v>1159.24</v>
      </c>
      <c r="E9165"/>
      <c r="F9165"/>
      <c r="G9165"/>
      <c r="H9165"/>
      <c r="I9165" s="489"/>
      <c r="J9165" s="1362"/>
      <c r="K9165" s="1362"/>
      <c r="L9165" s="1362"/>
    </row>
    <row r="9166" spans="1:12" x14ac:dyDescent="0.25">
      <c r="A9166">
        <v>93213</v>
      </c>
      <c r="B9166" t="s">
        <v>305</v>
      </c>
      <c r="C9166" t="s">
        <v>297</v>
      </c>
      <c r="D9166" s="254">
        <v>1109.21</v>
      </c>
      <c r="E9166"/>
      <c r="F9166"/>
      <c r="G9166"/>
      <c r="H9166"/>
      <c r="I9166" s="489"/>
      <c r="J9166" s="1362"/>
      <c r="K9166" s="1362"/>
      <c r="L9166" s="1362"/>
    </row>
    <row r="9167" spans="1:12" x14ac:dyDescent="0.25">
      <c r="A9167">
        <v>93214</v>
      </c>
      <c r="B9167" t="s">
        <v>306</v>
      </c>
      <c r="C9167" t="s">
        <v>138</v>
      </c>
      <c r="D9167" s="254">
        <v>7841.97</v>
      </c>
      <c r="E9167"/>
      <c r="F9167"/>
      <c r="G9167"/>
      <c r="H9167"/>
      <c r="I9167" s="489"/>
      <c r="J9167" s="1362"/>
      <c r="K9167" s="1362"/>
      <c r="L9167" s="1362"/>
    </row>
    <row r="9168" spans="1:12" x14ac:dyDescent="0.25">
      <c r="A9168">
        <v>93243</v>
      </c>
      <c r="B9168" t="s">
        <v>307</v>
      </c>
      <c r="C9168" t="s">
        <v>138</v>
      </c>
      <c r="D9168" s="254">
        <v>12017.14</v>
      </c>
      <c r="E9168"/>
      <c r="F9168"/>
      <c r="G9168"/>
      <c r="H9168"/>
      <c r="I9168" s="489"/>
      <c r="J9168" s="1362"/>
      <c r="K9168" s="1362"/>
      <c r="L9168" s="1362"/>
    </row>
    <row r="9169" spans="1:12" x14ac:dyDescent="0.25">
      <c r="A9169">
        <v>93582</v>
      </c>
      <c r="B9169" t="s">
        <v>308</v>
      </c>
      <c r="C9169" t="s">
        <v>297</v>
      </c>
      <c r="D9169" s="254">
        <v>327.54000000000002</v>
      </c>
      <c r="E9169"/>
      <c r="F9169"/>
      <c r="G9169"/>
      <c r="H9169"/>
      <c r="I9169" s="489"/>
      <c r="J9169" s="1362"/>
      <c r="K9169" s="1362"/>
      <c r="L9169" s="1362"/>
    </row>
    <row r="9170" spans="1:12" x14ac:dyDescent="0.25">
      <c r="A9170">
        <v>93583</v>
      </c>
      <c r="B9170" t="s">
        <v>309</v>
      </c>
      <c r="C9170" t="s">
        <v>297</v>
      </c>
      <c r="D9170" s="254">
        <v>513.41999999999996</v>
      </c>
      <c r="E9170"/>
      <c r="F9170"/>
      <c r="G9170"/>
      <c r="H9170"/>
      <c r="I9170" s="489"/>
      <c r="J9170" s="1362"/>
      <c r="K9170" s="1362"/>
      <c r="L9170" s="1362"/>
    </row>
    <row r="9171" spans="1:12" x14ac:dyDescent="0.25">
      <c r="A9171">
        <v>93584</v>
      </c>
      <c r="B9171" t="s">
        <v>310</v>
      </c>
      <c r="C9171" t="s">
        <v>297</v>
      </c>
      <c r="D9171" s="254">
        <v>1136.54</v>
      </c>
      <c r="E9171"/>
      <c r="F9171"/>
      <c r="G9171"/>
      <c r="H9171"/>
      <c r="I9171" s="489"/>
      <c r="J9171" s="1362"/>
      <c r="K9171" s="1362"/>
      <c r="L9171" s="1362"/>
    </row>
    <row r="9172" spans="1:12" x14ac:dyDescent="0.25">
      <c r="A9172">
        <v>93585</v>
      </c>
      <c r="B9172" t="s">
        <v>311</v>
      </c>
      <c r="C9172" t="s">
        <v>297</v>
      </c>
      <c r="D9172" s="254">
        <v>1377.48</v>
      </c>
      <c r="E9172"/>
      <c r="F9172"/>
      <c r="G9172"/>
      <c r="H9172"/>
      <c r="I9172" s="489"/>
      <c r="J9172" s="1362"/>
      <c r="K9172" s="1362"/>
      <c r="L9172" s="1362"/>
    </row>
    <row r="9173" spans="1:12" x14ac:dyDescent="0.25">
      <c r="A9173">
        <v>98441</v>
      </c>
      <c r="B9173" t="s">
        <v>2642</v>
      </c>
      <c r="C9173" t="s">
        <v>297</v>
      </c>
      <c r="D9173" s="254">
        <v>198.23</v>
      </c>
      <c r="E9173"/>
      <c r="F9173"/>
      <c r="G9173"/>
      <c r="H9173"/>
      <c r="I9173" s="489"/>
      <c r="J9173" s="1362"/>
      <c r="K9173" s="1362"/>
      <c r="L9173" s="1362"/>
    </row>
    <row r="9174" spans="1:12" x14ac:dyDescent="0.25">
      <c r="A9174">
        <v>98442</v>
      </c>
      <c r="B9174" t="s">
        <v>2643</v>
      </c>
      <c r="C9174" t="s">
        <v>297</v>
      </c>
      <c r="D9174" s="254">
        <v>201.76</v>
      </c>
      <c r="E9174"/>
      <c r="F9174"/>
      <c r="G9174"/>
      <c r="H9174"/>
      <c r="I9174" s="489"/>
      <c r="J9174" s="1362"/>
      <c r="K9174" s="1362"/>
      <c r="L9174" s="1362"/>
    </row>
    <row r="9175" spans="1:12" x14ac:dyDescent="0.25">
      <c r="A9175">
        <v>98443</v>
      </c>
      <c r="B9175" t="s">
        <v>2644</v>
      </c>
      <c r="C9175" t="s">
        <v>297</v>
      </c>
      <c r="D9175" s="254">
        <v>175.86</v>
      </c>
      <c r="E9175"/>
      <c r="F9175"/>
      <c r="G9175"/>
      <c r="H9175"/>
      <c r="I9175" s="489"/>
      <c r="J9175" s="1362"/>
      <c r="K9175" s="1362"/>
      <c r="L9175" s="1362"/>
    </row>
    <row r="9176" spans="1:12" x14ac:dyDescent="0.25">
      <c r="A9176">
        <v>98444</v>
      </c>
      <c r="B9176" t="s">
        <v>2645</v>
      </c>
      <c r="C9176" t="s">
        <v>297</v>
      </c>
      <c r="D9176" s="254">
        <v>178.38</v>
      </c>
      <c r="E9176"/>
      <c r="F9176"/>
      <c r="G9176"/>
      <c r="H9176"/>
      <c r="I9176" s="489"/>
      <c r="J9176" s="1362"/>
      <c r="K9176" s="1362"/>
      <c r="L9176" s="1362"/>
    </row>
    <row r="9177" spans="1:12" x14ac:dyDescent="0.25">
      <c r="A9177">
        <v>98445</v>
      </c>
      <c r="B9177" t="s">
        <v>2646</v>
      </c>
      <c r="C9177" t="s">
        <v>297</v>
      </c>
      <c r="D9177" s="254">
        <v>237.8</v>
      </c>
      <c r="E9177"/>
      <c r="F9177"/>
      <c r="G9177"/>
      <c r="H9177"/>
      <c r="I9177" s="489"/>
      <c r="J9177" s="1362"/>
      <c r="K9177" s="1362"/>
      <c r="L9177" s="1362"/>
    </row>
    <row r="9178" spans="1:12" x14ac:dyDescent="0.25">
      <c r="A9178">
        <v>98446</v>
      </c>
      <c r="B9178" t="s">
        <v>2647</v>
      </c>
      <c r="C9178" t="s">
        <v>297</v>
      </c>
      <c r="D9178" s="254">
        <v>302.17</v>
      </c>
      <c r="E9178"/>
      <c r="F9178"/>
      <c r="G9178"/>
      <c r="H9178"/>
      <c r="I9178" s="489"/>
      <c r="J9178" s="1362"/>
      <c r="K9178" s="1362"/>
      <c r="L9178" s="1362"/>
    </row>
    <row r="9179" spans="1:12" x14ac:dyDescent="0.25">
      <c r="A9179">
        <v>98447</v>
      </c>
      <c r="B9179" t="s">
        <v>2648</v>
      </c>
      <c r="C9179" t="s">
        <v>297</v>
      </c>
      <c r="D9179" s="254">
        <v>206.47</v>
      </c>
      <c r="E9179"/>
      <c r="F9179"/>
      <c r="G9179"/>
      <c r="H9179"/>
      <c r="I9179" s="489"/>
      <c r="J9179" s="1362"/>
      <c r="K9179" s="1362"/>
      <c r="L9179" s="1362"/>
    </row>
    <row r="9180" spans="1:12" x14ac:dyDescent="0.25">
      <c r="A9180">
        <v>98448</v>
      </c>
      <c r="B9180" t="s">
        <v>2649</v>
      </c>
      <c r="C9180" t="s">
        <v>297</v>
      </c>
      <c r="D9180" s="254">
        <v>257.08</v>
      </c>
      <c r="E9180"/>
      <c r="F9180"/>
      <c r="G9180"/>
      <c r="H9180"/>
      <c r="I9180" s="489"/>
      <c r="J9180" s="1362"/>
      <c r="K9180" s="1362"/>
      <c r="L9180" s="1362"/>
    </row>
    <row r="9181" spans="1:12" x14ac:dyDescent="0.25">
      <c r="A9181">
        <v>98449</v>
      </c>
      <c r="B9181" t="s">
        <v>2650</v>
      </c>
      <c r="C9181" t="s">
        <v>297</v>
      </c>
      <c r="D9181" s="254">
        <v>252.12</v>
      </c>
      <c r="E9181"/>
      <c r="F9181"/>
      <c r="G9181"/>
      <c r="H9181"/>
      <c r="I9181" s="489"/>
      <c r="J9181" s="1362"/>
      <c r="K9181" s="1362"/>
      <c r="L9181" s="1362"/>
    </row>
    <row r="9182" spans="1:12" x14ac:dyDescent="0.25">
      <c r="A9182">
        <v>98450</v>
      </c>
      <c r="B9182" t="s">
        <v>2651</v>
      </c>
      <c r="C9182" t="s">
        <v>297</v>
      </c>
      <c r="D9182" s="254">
        <v>257.24</v>
      </c>
      <c r="E9182"/>
      <c r="F9182"/>
      <c r="G9182"/>
      <c r="H9182"/>
      <c r="I9182" s="489"/>
      <c r="J9182" s="1362"/>
      <c r="K9182" s="1362"/>
      <c r="L9182" s="1362"/>
    </row>
    <row r="9183" spans="1:12" x14ac:dyDescent="0.25">
      <c r="A9183">
        <v>98451</v>
      </c>
      <c r="B9183" t="s">
        <v>2652</v>
      </c>
      <c r="C9183" t="s">
        <v>297</v>
      </c>
      <c r="D9183" s="254">
        <v>226.72</v>
      </c>
      <c r="E9183"/>
      <c r="F9183"/>
      <c r="G9183"/>
      <c r="H9183"/>
      <c r="I9183" s="489"/>
      <c r="J9183" s="1362"/>
      <c r="K9183" s="1362"/>
      <c r="L9183" s="1362"/>
    </row>
    <row r="9184" spans="1:12" x14ac:dyDescent="0.25">
      <c r="A9184">
        <v>98452</v>
      </c>
      <c r="B9184" t="s">
        <v>2653</v>
      </c>
      <c r="C9184" t="s">
        <v>297</v>
      </c>
      <c r="D9184" s="254">
        <v>229.83</v>
      </c>
      <c r="E9184"/>
      <c r="F9184"/>
      <c r="G9184"/>
      <c r="H9184"/>
      <c r="I9184" s="489"/>
      <c r="J9184" s="1362"/>
      <c r="K9184" s="1362"/>
      <c r="L9184" s="1362"/>
    </row>
    <row r="9185" spans="1:12" x14ac:dyDescent="0.25">
      <c r="A9185">
        <v>98453</v>
      </c>
      <c r="B9185" t="s">
        <v>2654</v>
      </c>
      <c r="C9185" t="s">
        <v>297</v>
      </c>
      <c r="D9185" s="254">
        <v>297.72000000000003</v>
      </c>
      <c r="E9185"/>
      <c r="F9185"/>
      <c r="G9185"/>
      <c r="H9185"/>
      <c r="I9185" s="489"/>
      <c r="J9185" s="1362"/>
      <c r="K9185" s="1362"/>
      <c r="L9185" s="1362"/>
    </row>
    <row r="9186" spans="1:12" x14ac:dyDescent="0.25">
      <c r="A9186">
        <v>98454</v>
      </c>
      <c r="B9186" t="s">
        <v>2655</v>
      </c>
      <c r="C9186" t="s">
        <v>297</v>
      </c>
      <c r="D9186" s="254">
        <v>376.8</v>
      </c>
      <c r="E9186"/>
      <c r="F9186"/>
      <c r="G9186"/>
      <c r="H9186"/>
      <c r="I9186" s="489"/>
      <c r="J9186" s="1362"/>
      <c r="K9186" s="1362"/>
      <c r="L9186" s="1362"/>
    </row>
    <row r="9187" spans="1:12" x14ac:dyDescent="0.25">
      <c r="A9187">
        <v>98455</v>
      </c>
      <c r="B9187" t="s">
        <v>2656</v>
      </c>
      <c r="C9187" t="s">
        <v>297</v>
      </c>
      <c r="D9187" s="254">
        <v>263.35000000000002</v>
      </c>
      <c r="E9187"/>
      <c r="F9187"/>
      <c r="G9187"/>
      <c r="H9187"/>
      <c r="I9187" s="489"/>
      <c r="J9187" s="1362"/>
      <c r="K9187" s="1362"/>
      <c r="L9187" s="1362"/>
    </row>
    <row r="9188" spans="1:12" x14ac:dyDescent="0.25">
      <c r="A9188">
        <v>98456</v>
      </c>
      <c r="B9188" t="s">
        <v>2657</v>
      </c>
      <c r="C9188" t="s">
        <v>297</v>
      </c>
      <c r="D9188" s="254">
        <v>327.64999999999998</v>
      </c>
      <c r="E9188"/>
      <c r="F9188"/>
      <c r="G9188"/>
      <c r="H9188"/>
      <c r="I9188" s="489"/>
      <c r="J9188" s="1362"/>
      <c r="K9188" s="1362"/>
      <c r="L9188" s="1362"/>
    </row>
    <row r="9189" spans="1:12" x14ac:dyDescent="0.25">
      <c r="A9189">
        <v>98458</v>
      </c>
      <c r="B9189" t="s">
        <v>2658</v>
      </c>
      <c r="C9189" t="s">
        <v>297</v>
      </c>
      <c r="D9189" s="254">
        <v>192.27</v>
      </c>
      <c r="E9189"/>
      <c r="F9189"/>
      <c r="G9189"/>
      <c r="H9189"/>
      <c r="I9189" s="489"/>
      <c r="J9189" s="1362"/>
      <c r="K9189" s="1362"/>
      <c r="L9189" s="1362"/>
    </row>
    <row r="9190" spans="1:12" x14ac:dyDescent="0.25">
      <c r="A9190">
        <v>98459</v>
      </c>
      <c r="B9190" t="s">
        <v>2659</v>
      </c>
      <c r="C9190" t="s">
        <v>297</v>
      </c>
      <c r="D9190" s="254">
        <v>147.94999999999999</v>
      </c>
      <c r="E9190"/>
      <c r="F9190"/>
      <c r="G9190"/>
      <c r="H9190"/>
      <c r="I9190" s="489"/>
      <c r="J9190" s="1362"/>
      <c r="K9190" s="1362"/>
      <c r="L9190" s="1362"/>
    </row>
    <row r="9191" spans="1:12" x14ac:dyDescent="0.25">
      <c r="A9191">
        <v>98460</v>
      </c>
      <c r="B9191" t="s">
        <v>2660</v>
      </c>
      <c r="C9191" t="s">
        <v>297</v>
      </c>
      <c r="D9191" s="254">
        <v>239.76</v>
      </c>
      <c r="E9191"/>
      <c r="F9191"/>
      <c r="G9191"/>
      <c r="H9191"/>
      <c r="I9191" s="489"/>
      <c r="J9191" s="1362"/>
      <c r="K9191" s="1362"/>
      <c r="L9191" s="1362"/>
    </row>
    <row r="9192" spans="1:12" x14ac:dyDescent="0.25">
      <c r="A9192">
        <v>98461</v>
      </c>
      <c r="B9192" t="s">
        <v>4316</v>
      </c>
      <c r="C9192" t="s">
        <v>138</v>
      </c>
      <c r="D9192" s="254">
        <v>7052.52</v>
      </c>
      <c r="E9192"/>
      <c r="F9192"/>
      <c r="G9192"/>
      <c r="H9192"/>
      <c r="I9192" s="489"/>
      <c r="J9192" s="1362"/>
      <c r="K9192" s="1362"/>
      <c r="L9192" s="1362"/>
    </row>
    <row r="9193" spans="1:12" x14ac:dyDescent="0.25">
      <c r="A9193">
        <v>98462</v>
      </c>
      <c r="B9193" t="s">
        <v>4317</v>
      </c>
      <c r="C9193" t="s">
        <v>138</v>
      </c>
      <c r="D9193" s="254">
        <v>10704</v>
      </c>
      <c r="E9193"/>
      <c r="F9193"/>
      <c r="G9193"/>
      <c r="H9193"/>
      <c r="I9193" s="489"/>
      <c r="J9193" s="1362"/>
      <c r="K9193" s="1362"/>
      <c r="L9193" s="1362"/>
    </row>
    <row r="9194" spans="1:12" x14ac:dyDescent="0.25">
      <c r="A9194">
        <v>5631</v>
      </c>
      <c r="B9194" t="s">
        <v>313</v>
      </c>
      <c r="C9194" t="s">
        <v>314</v>
      </c>
      <c r="D9194" s="254">
        <v>216.25</v>
      </c>
      <c r="E9194"/>
      <c r="F9194"/>
      <c r="G9194"/>
      <c r="H9194"/>
      <c r="I9194" s="489"/>
      <c r="J9194" s="1362"/>
      <c r="K9194" s="1362"/>
      <c r="L9194" s="1362"/>
    </row>
    <row r="9195" spans="1:12" x14ac:dyDescent="0.25">
      <c r="A9195">
        <v>5678</v>
      </c>
      <c r="B9195" t="s">
        <v>315</v>
      </c>
      <c r="C9195" t="s">
        <v>314</v>
      </c>
      <c r="D9195" s="254">
        <v>148.62</v>
      </c>
      <c r="E9195"/>
      <c r="F9195"/>
      <c r="G9195"/>
      <c r="H9195"/>
      <c r="I9195" s="489"/>
      <c r="J9195" s="1362"/>
      <c r="K9195" s="1362"/>
      <c r="L9195" s="1362"/>
    </row>
    <row r="9196" spans="1:12" x14ac:dyDescent="0.25">
      <c r="A9196">
        <v>5680</v>
      </c>
      <c r="B9196" t="s">
        <v>316</v>
      </c>
      <c r="C9196" t="s">
        <v>314</v>
      </c>
      <c r="D9196" s="254">
        <v>135.77000000000001</v>
      </c>
      <c r="E9196"/>
      <c r="F9196"/>
      <c r="G9196"/>
      <c r="H9196"/>
      <c r="I9196" s="489"/>
      <c r="J9196" s="1362"/>
      <c r="K9196" s="1362"/>
      <c r="L9196" s="1362"/>
    </row>
    <row r="9197" spans="1:12" x14ac:dyDescent="0.25">
      <c r="A9197">
        <v>5684</v>
      </c>
      <c r="B9197" t="s">
        <v>317</v>
      </c>
      <c r="C9197" t="s">
        <v>314</v>
      </c>
      <c r="D9197" s="254">
        <v>140.03</v>
      </c>
      <c r="E9197"/>
      <c r="F9197"/>
      <c r="G9197"/>
      <c r="H9197"/>
      <c r="I9197" s="489"/>
      <c r="J9197" s="1362"/>
      <c r="K9197" s="1362"/>
      <c r="L9197" s="1362"/>
    </row>
    <row r="9198" spans="1:12" x14ac:dyDescent="0.25">
      <c r="A9198">
        <v>5689</v>
      </c>
      <c r="B9198" t="s">
        <v>318</v>
      </c>
      <c r="C9198" t="s">
        <v>314</v>
      </c>
      <c r="D9198" s="254">
        <v>7.44</v>
      </c>
      <c r="E9198"/>
      <c r="F9198"/>
      <c r="G9198"/>
      <c r="H9198"/>
      <c r="I9198" s="489"/>
      <c r="J9198" s="1362"/>
      <c r="K9198" s="1362"/>
      <c r="L9198" s="1362"/>
    </row>
    <row r="9199" spans="1:12" x14ac:dyDescent="0.25">
      <c r="A9199">
        <v>5795</v>
      </c>
      <c r="B9199" t="s">
        <v>319</v>
      </c>
      <c r="C9199" t="s">
        <v>314</v>
      </c>
      <c r="D9199" s="254">
        <v>24.83</v>
      </c>
      <c r="E9199"/>
      <c r="F9199"/>
      <c r="G9199"/>
      <c r="H9199"/>
      <c r="I9199" s="489"/>
      <c r="J9199" s="1362"/>
      <c r="K9199" s="1362"/>
      <c r="L9199" s="1362"/>
    </row>
    <row r="9200" spans="1:12" x14ac:dyDescent="0.25">
      <c r="A9200">
        <v>5811</v>
      </c>
      <c r="B9200" t="s">
        <v>320</v>
      </c>
      <c r="C9200" t="s">
        <v>314</v>
      </c>
      <c r="D9200" s="254">
        <v>198.28</v>
      </c>
      <c r="E9200"/>
      <c r="F9200"/>
      <c r="G9200"/>
      <c r="H9200"/>
      <c r="I9200" s="489"/>
      <c r="J9200" s="1362"/>
      <c r="K9200" s="1362"/>
      <c r="L9200" s="1362"/>
    </row>
    <row r="9201" spans="1:12" x14ac:dyDescent="0.25">
      <c r="A9201">
        <v>5823</v>
      </c>
      <c r="B9201" t="s">
        <v>321</v>
      </c>
      <c r="C9201" t="s">
        <v>314</v>
      </c>
      <c r="D9201" s="254">
        <v>195.56</v>
      </c>
      <c r="E9201"/>
      <c r="F9201"/>
      <c r="G9201"/>
      <c r="H9201"/>
      <c r="I9201" s="489"/>
      <c r="J9201" s="1362"/>
      <c r="K9201" s="1362"/>
      <c r="L9201" s="1362"/>
    </row>
    <row r="9202" spans="1:12" x14ac:dyDescent="0.25">
      <c r="A9202">
        <v>5824</v>
      </c>
      <c r="B9202" t="s">
        <v>322</v>
      </c>
      <c r="C9202" t="s">
        <v>314</v>
      </c>
      <c r="D9202" s="254">
        <v>214.41</v>
      </c>
      <c r="E9202"/>
      <c r="F9202"/>
      <c r="G9202"/>
      <c r="H9202"/>
      <c r="I9202" s="489"/>
      <c r="J9202" s="1362"/>
      <c r="K9202" s="1362"/>
      <c r="L9202" s="1362"/>
    </row>
    <row r="9203" spans="1:12" x14ac:dyDescent="0.25">
      <c r="A9203">
        <v>5835</v>
      </c>
      <c r="B9203" t="s">
        <v>323</v>
      </c>
      <c r="C9203" t="s">
        <v>314</v>
      </c>
      <c r="D9203" s="254">
        <v>394.09</v>
      </c>
      <c r="E9203"/>
      <c r="F9203"/>
      <c r="G9203"/>
      <c r="H9203"/>
      <c r="I9203" s="489"/>
      <c r="J9203" s="1362"/>
      <c r="K9203" s="1362"/>
      <c r="L9203" s="1362"/>
    </row>
    <row r="9204" spans="1:12" x14ac:dyDescent="0.25">
      <c r="A9204">
        <v>5839</v>
      </c>
      <c r="B9204" t="s">
        <v>324</v>
      </c>
      <c r="C9204" t="s">
        <v>314</v>
      </c>
      <c r="D9204" s="254">
        <v>11.18</v>
      </c>
      <c r="E9204"/>
      <c r="F9204"/>
      <c r="G9204"/>
      <c r="H9204"/>
      <c r="I9204" s="489"/>
      <c r="J9204" s="1362"/>
      <c r="K9204" s="1362"/>
      <c r="L9204" s="1362"/>
    </row>
    <row r="9205" spans="1:12" x14ac:dyDescent="0.25">
      <c r="A9205">
        <v>5843</v>
      </c>
      <c r="B9205" t="s">
        <v>325</v>
      </c>
      <c r="C9205" t="s">
        <v>314</v>
      </c>
      <c r="D9205" s="254">
        <v>181.71</v>
      </c>
      <c r="E9205"/>
      <c r="F9205"/>
      <c r="G9205"/>
      <c r="H9205"/>
      <c r="I9205" s="489"/>
      <c r="J9205" s="1362"/>
      <c r="K9205" s="1362"/>
      <c r="L9205" s="1362"/>
    </row>
    <row r="9206" spans="1:12" x14ac:dyDescent="0.25">
      <c r="A9206">
        <v>5847</v>
      </c>
      <c r="B9206" t="s">
        <v>326</v>
      </c>
      <c r="C9206" t="s">
        <v>314</v>
      </c>
      <c r="D9206" s="254">
        <v>293.02999999999997</v>
      </c>
      <c r="E9206"/>
      <c r="F9206"/>
      <c r="G9206"/>
      <c r="H9206"/>
      <c r="I9206" s="489"/>
      <c r="J9206" s="1362"/>
      <c r="K9206" s="1362"/>
      <c r="L9206" s="1362"/>
    </row>
    <row r="9207" spans="1:12" x14ac:dyDescent="0.25">
      <c r="A9207">
        <v>5851</v>
      </c>
      <c r="B9207" t="s">
        <v>327</v>
      </c>
      <c r="C9207" t="s">
        <v>314</v>
      </c>
      <c r="D9207" s="254">
        <v>279.8</v>
      </c>
      <c r="E9207"/>
      <c r="F9207"/>
      <c r="G9207"/>
      <c r="H9207"/>
      <c r="I9207" s="489"/>
      <c r="J9207" s="1362"/>
      <c r="K9207" s="1362"/>
      <c r="L9207" s="1362"/>
    </row>
    <row r="9208" spans="1:12" x14ac:dyDescent="0.25">
      <c r="A9208">
        <v>5855</v>
      </c>
      <c r="B9208" t="s">
        <v>328</v>
      </c>
      <c r="C9208" t="s">
        <v>314</v>
      </c>
      <c r="D9208" s="254">
        <v>751.46</v>
      </c>
      <c r="E9208"/>
      <c r="F9208"/>
      <c r="G9208"/>
      <c r="H9208"/>
      <c r="I9208" s="489"/>
      <c r="J9208" s="1362"/>
      <c r="K9208" s="1362"/>
      <c r="L9208" s="1362"/>
    </row>
    <row r="9209" spans="1:12" x14ac:dyDescent="0.25">
      <c r="A9209">
        <v>5863</v>
      </c>
      <c r="B9209" t="s">
        <v>329</v>
      </c>
      <c r="C9209" t="s">
        <v>314</v>
      </c>
      <c r="D9209" s="254">
        <v>16.63</v>
      </c>
      <c r="E9209"/>
      <c r="F9209"/>
      <c r="G9209"/>
      <c r="H9209"/>
      <c r="I9209" s="489"/>
      <c r="J9209" s="1362"/>
      <c r="K9209" s="1362"/>
      <c r="L9209" s="1362"/>
    </row>
    <row r="9210" spans="1:12" x14ac:dyDescent="0.25">
      <c r="A9210">
        <v>5867</v>
      </c>
      <c r="B9210" t="s">
        <v>330</v>
      </c>
      <c r="C9210" t="s">
        <v>314</v>
      </c>
      <c r="D9210" s="254">
        <v>134.21</v>
      </c>
      <c r="E9210"/>
      <c r="F9210"/>
      <c r="G9210"/>
      <c r="H9210"/>
      <c r="I9210" s="489"/>
      <c r="J9210" s="1362"/>
      <c r="K9210" s="1362"/>
      <c r="L9210" s="1362"/>
    </row>
    <row r="9211" spans="1:12" x14ac:dyDescent="0.25">
      <c r="A9211">
        <v>5875</v>
      </c>
      <c r="B9211" t="s">
        <v>331</v>
      </c>
      <c r="C9211" t="s">
        <v>314</v>
      </c>
      <c r="D9211" s="254">
        <v>135.91999999999999</v>
      </c>
      <c r="E9211"/>
      <c r="F9211"/>
      <c r="G9211"/>
      <c r="H9211"/>
      <c r="I9211" s="489"/>
      <c r="J9211" s="1362"/>
      <c r="K9211" s="1362"/>
      <c r="L9211" s="1362"/>
    </row>
    <row r="9212" spans="1:12" x14ac:dyDescent="0.25">
      <c r="A9212">
        <v>5879</v>
      </c>
      <c r="B9212" t="s">
        <v>332</v>
      </c>
      <c r="C9212" t="s">
        <v>314</v>
      </c>
      <c r="D9212" s="254">
        <v>109.2</v>
      </c>
      <c r="E9212"/>
      <c r="F9212"/>
      <c r="G9212"/>
      <c r="H9212"/>
      <c r="I9212" s="489"/>
      <c r="J9212" s="1362"/>
      <c r="K9212" s="1362"/>
      <c r="L9212" s="1362"/>
    </row>
    <row r="9213" spans="1:12" x14ac:dyDescent="0.25">
      <c r="A9213">
        <v>5882</v>
      </c>
      <c r="B9213" t="s">
        <v>333</v>
      </c>
      <c r="C9213" t="s">
        <v>314</v>
      </c>
      <c r="D9213" s="254">
        <v>125.09</v>
      </c>
      <c r="E9213"/>
      <c r="F9213"/>
      <c r="G9213"/>
      <c r="H9213"/>
      <c r="I9213" s="489"/>
      <c r="J9213" s="1362"/>
      <c r="K9213" s="1362"/>
      <c r="L9213" s="1362"/>
    </row>
    <row r="9214" spans="1:12" x14ac:dyDescent="0.25">
      <c r="A9214">
        <v>5890</v>
      </c>
      <c r="B9214" t="s">
        <v>334</v>
      </c>
      <c r="C9214" t="s">
        <v>314</v>
      </c>
      <c r="D9214" s="254">
        <v>202.9</v>
      </c>
      <c r="E9214"/>
      <c r="F9214"/>
      <c r="G9214"/>
      <c r="H9214"/>
      <c r="I9214" s="489"/>
      <c r="J9214" s="1362"/>
      <c r="K9214" s="1362"/>
      <c r="L9214" s="1362"/>
    </row>
    <row r="9215" spans="1:12" x14ac:dyDescent="0.25">
      <c r="A9215">
        <v>5894</v>
      </c>
      <c r="B9215" t="s">
        <v>335</v>
      </c>
      <c r="C9215" t="s">
        <v>314</v>
      </c>
      <c r="D9215" s="254">
        <v>210.66</v>
      </c>
      <c r="E9215"/>
      <c r="F9215"/>
      <c r="G9215"/>
      <c r="H9215"/>
      <c r="I9215" s="489"/>
      <c r="J9215" s="1362"/>
      <c r="K9215" s="1362"/>
      <c r="L9215" s="1362"/>
    </row>
    <row r="9216" spans="1:12" x14ac:dyDescent="0.25">
      <c r="A9216">
        <v>5901</v>
      </c>
      <c r="B9216" t="s">
        <v>336</v>
      </c>
      <c r="C9216" t="s">
        <v>314</v>
      </c>
      <c r="D9216" s="254">
        <v>323.74</v>
      </c>
      <c r="E9216"/>
      <c r="F9216"/>
      <c r="G9216"/>
      <c r="H9216"/>
      <c r="I9216" s="489"/>
      <c r="J9216" s="1362"/>
      <c r="K9216" s="1362"/>
      <c r="L9216" s="1362"/>
    </row>
    <row r="9217" spans="1:12" x14ac:dyDescent="0.25">
      <c r="A9217">
        <v>5909</v>
      </c>
      <c r="B9217" t="s">
        <v>337</v>
      </c>
      <c r="C9217" t="s">
        <v>314</v>
      </c>
      <c r="D9217" s="254">
        <v>32.82</v>
      </c>
      <c r="E9217"/>
      <c r="F9217"/>
      <c r="G9217"/>
      <c r="H9217"/>
      <c r="I9217" s="489"/>
      <c r="J9217" s="1362"/>
      <c r="K9217" s="1362"/>
      <c r="L9217" s="1362"/>
    </row>
    <row r="9218" spans="1:12" x14ac:dyDescent="0.25">
      <c r="A9218">
        <v>5921</v>
      </c>
      <c r="B9218" t="s">
        <v>338</v>
      </c>
      <c r="C9218" t="s">
        <v>314</v>
      </c>
      <c r="D9218" s="254">
        <v>5.83</v>
      </c>
      <c r="E9218"/>
      <c r="F9218"/>
      <c r="G9218"/>
      <c r="H9218"/>
      <c r="I9218" s="489"/>
      <c r="J9218" s="1362"/>
      <c r="K9218" s="1362"/>
      <c r="L9218" s="1362"/>
    </row>
    <row r="9219" spans="1:12" x14ac:dyDescent="0.25">
      <c r="A9219">
        <v>5928</v>
      </c>
      <c r="B9219" t="s">
        <v>339</v>
      </c>
      <c r="C9219" t="s">
        <v>314</v>
      </c>
      <c r="D9219" s="254">
        <v>278.95999999999998</v>
      </c>
      <c r="E9219"/>
      <c r="F9219"/>
      <c r="G9219"/>
      <c r="H9219"/>
      <c r="I9219" s="489"/>
      <c r="J9219" s="1362"/>
      <c r="K9219" s="1362"/>
      <c r="L9219" s="1362"/>
    </row>
    <row r="9220" spans="1:12" x14ac:dyDescent="0.25">
      <c r="A9220">
        <v>5932</v>
      </c>
      <c r="B9220" t="s">
        <v>340</v>
      </c>
      <c r="C9220" t="s">
        <v>314</v>
      </c>
      <c r="D9220" s="254">
        <v>269.49</v>
      </c>
      <c r="E9220"/>
      <c r="F9220"/>
      <c r="G9220"/>
      <c r="H9220"/>
      <c r="I9220" s="489"/>
      <c r="J9220" s="1362"/>
      <c r="K9220" s="1362"/>
      <c r="L9220" s="1362"/>
    </row>
    <row r="9221" spans="1:12" x14ac:dyDescent="0.25">
      <c r="A9221">
        <v>5940</v>
      </c>
      <c r="B9221" t="s">
        <v>341</v>
      </c>
      <c r="C9221" t="s">
        <v>314</v>
      </c>
      <c r="D9221" s="254">
        <v>207.37</v>
      </c>
      <c r="E9221"/>
      <c r="F9221"/>
      <c r="G9221"/>
      <c r="H9221"/>
      <c r="I9221" s="489"/>
      <c r="J9221" s="1362"/>
      <c r="K9221" s="1362"/>
      <c r="L9221" s="1362"/>
    </row>
    <row r="9222" spans="1:12" x14ac:dyDescent="0.25">
      <c r="A9222">
        <v>5944</v>
      </c>
      <c r="B9222" t="s">
        <v>342</v>
      </c>
      <c r="C9222" t="s">
        <v>314</v>
      </c>
      <c r="D9222" s="254">
        <v>251.67</v>
      </c>
      <c r="E9222"/>
      <c r="F9222"/>
      <c r="G9222"/>
      <c r="H9222"/>
      <c r="I9222" s="489"/>
      <c r="J9222" s="1362"/>
      <c r="K9222" s="1362"/>
      <c r="L9222" s="1362"/>
    </row>
    <row r="9223" spans="1:12" x14ac:dyDescent="0.25">
      <c r="A9223">
        <v>5953</v>
      </c>
      <c r="B9223" t="s">
        <v>343</v>
      </c>
      <c r="C9223" t="s">
        <v>314</v>
      </c>
      <c r="D9223" s="254">
        <v>65</v>
      </c>
      <c r="E9223"/>
      <c r="F9223"/>
      <c r="G9223"/>
      <c r="H9223"/>
      <c r="I9223" s="489"/>
      <c r="J9223" s="1362"/>
      <c r="K9223" s="1362"/>
      <c r="L9223" s="1362"/>
    </row>
    <row r="9224" spans="1:12" x14ac:dyDescent="0.25">
      <c r="A9224">
        <v>6259</v>
      </c>
      <c r="B9224" t="s">
        <v>344</v>
      </c>
      <c r="C9224" t="s">
        <v>314</v>
      </c>
      <c r="D9224" s="254">
        <v>261.74</v>
      </c>
      <c r="E9224"/>
      <c r="F9224"/>
      <c r="G9224"/>
      <c r="H9224"/>
      <c r="I9224" s="489"/>
      <c r="J9224" s="1362"/>
      <c r="K9224" s="1362"/>
      <c r="L9224" s="1362"/>
    </row>
    <row r="9225" spans="1:12" x14ac:dyDescent="0.25">
      <c r="A9225">
        <v>6879</v>
      </c>
      <c r="B9225" t="s">
        <v>345</v>
      </c>
      <c r="C9225" t="s">
        <v>314</v>
      </c>
      <c r="D9225" s="254">
        <v>179.31</v>
      </c>
      <c r="E9225"/>
      <c r="F9225"/>
      <c r="G9225"/>
      <c r="H9225"/>
      <c r="I9225" s="489"/>
      <c r="J9225" s="1362"/>
      <c r="K9225" s="1362"/>
      <c r="L9225" s="1362"/>
    </row>
    <row r="9226" spans="1:12" x14ac:dyDescent="0.25">
      <c r="A9226">
        <v>7030</v>
      </c>
      <c r="B9226" t="s">
        <v>346</v>
      </c>
      <c r="C9226" t="s">
        <v>314</v>
      </c>
      <c r="D9226" s="254">
        <v>302.14</v>
      </c>
      <c r="E9226"/>
      <c r="F9226"/>
      <c r="G9226"/>
      <c r="H9226"/>
      <c r="I9226" s="489"/>
      <c r="J9226" s="1362"/>
      <c r="K9226" s="1362"/>
      <c r="L9226" s="1362"/>
    </row>
    <row r="9227" spans="1:12" x14ac:dyDescent="0.25">
      <c r="A9227">
        <v>7042</v>
      </c>
      <c r="B9227" t="s">
        <v>347</v>
      </c>
      <c r="C9227" t="s">
        <v>314</v>
      </c>
      <c r="D9227" s="254">
        <v>20.71</v>
      </c>
      <c r="E9227"/>
      <c r="F9227"/>
      <c r="G9227"/>
      <c r="H9227"/>
      <c r="I9227" s="489"/>
      <c r="J9227" s="1362"/>
      <c r="K9227" s="1362"/>
      <c r="L9227" s="1362"/>
    </row>
    <row r="9228" spans="1:12" x14ac:dyDescent="0.25">
      <c r="A9228">
        <v>7049</v>
      </c>
      <c r="B9228" t="s">
        <v>348</v>
      </c>
      <c r="C9228" t="s">
        <v>314</v>
      </c>
      <c r="D9228" s="254">
        <v>197.61</v>
      </c>
      <c r="E9228"/>
      <c r="F9228"/>
      <c r="G9228"/>
      <c r="H9228"/>
      <c r="I9228" s="489"/>
      <c r="J9228" s="1362"/>
      <c r="K9228" s="1362"/>
      <c r="L9228" s="1362"/>
    </row>
    <row r="9229" spans="1:12" x14ac:dyDescent="0.25">
      <c r="A9229">
        <v>67826</v>
      </c>
      <c r="B9229" t="s">
        <v>349</v>
      </c>
      <c r="C9229" t="s">
        <v>314</v>
      </c>
      <c r="D9229" s="254">
        <v>178.09</v>
      </c>
      <c r="E9229"/>
      <c r="F9229"/>
      <c r="G9229"/>
      <c r="H9229"/>
      <c r="I9229" s="489"/>
      <c r="J9229" s="1362"/>
      <c r="K9229" s="1362"/>
      <c r="L9229" s="1362"/>
    </row>
    <row r="9230" spans="1:12" x14ac:dyDescent="0.25">
      <c r="A9230">
        <v>73417</v>
      </c>
      <c r="B9230" t="s">
        <v>350</v>
      </c>
      <c r="C9230" t="s">
        <v>314</v>
      </c>
      <c r="D9230" s="254">
        <v>213.75</v>
      </c>
      <c r="E9230"/>
      <c r="F9230"/>
      <c r="G9230"/>
      <c r="H9230"/>
      <c r="I9230" s="489"/>
      <c r="J9230" s="1362"/>
      <c r="K9230" s="1362"/>
      <c r="L9230" s="1362"/>
    </row>
    <row r="9231" spans="1:12" x14ac:dyDescent="0.25">
      <c r="A9231">
        <v>73436</v>
      </c>
      <c r="B9231" t="s">
        <v>351</v>
      </c>
      <c r="C9231" t="s">
        <v>314</v>
      </c>
      <c r="D9231" s="254">
        <v>182.95</v>
      </c>
      <c r="E9231"/>
      <c r="F9231"/>
      <c r="G9231"/>
      <c r="H9231"/>
      <c r="I9231" s="489"/>
      <c r="J9231" s="1362"/>
      <c r="K9231" s="1362"/>
      <c r="L9231" s="1362"/>
    </row>
    <row r="9232" spans="1:12" x14ac:dyDescent="0.25">
      <c r="A9232">
        <v>73467</v>
      </c>
      <c r="B9232" t="s">
        <v>352</v>
      </c>
      <c r="C9232" t="s">
        <v>314</v>
      </c>
      <c r="D9232" s="254">
        <v>252.44</v>
      </c>
      <c r="E9232"/>
      <c r="F9232"/>
      <c r="G9232"/>
      <c r="H9232"/>
      <c r="I9232" s="489"/>
      <c r="J9232" s="1362"/>
      <c r="K9232" s="1362"/>
      <c r="L9232" s="1362"/>
    </row>
    <row r="9233" spans="1:12" x14ac:dyDescent="0.25">
      <c r="A9233">
        <v>73536</v>
      </c>
      <c r="B9233" t="s">
        <v>353</v>
      </c>
      <c r="C9233" t="s">
        <v>314</v>
      </c>
      <c r="D9233" s="254">
        <v>17.53</v>
      </c>
      <c r="E9233"/>
      <c r="F9233"/>
      <c r="G9233"/>
      <c r="H9233"/>
      <c r="I9233" s="489"/>
      <c r="J9233" s="1362"/>
      <c r="K9233" s="1362"/>
      <c r="L9233" s="1362"/>
    </row>
    <row r="9234" spans="1:12" x14ac:dyDescent="0.25">
      <c r="A9234">
        <v>83362</v>
      </c>
      <c r="B9234" t="s">
        <v>354</v>
      </c>
      <c r="C9234" t="s">
        <v>314</v>
      </c>
      <c r="D9234" s="254">
        <v>269.83999999999997</v>
      </c>
      <c r="E9234"/>
      <c r="F9234"/>
      <c r="G9234"/>
      <c r="H9234"/>
      <c r="I9234" s="489"/>
      <c r="J9234" s="1362"/>
      <c r="K9234" s="1362"/>
      <c r="L9234" s="1362"/>
    </row>
    <row r="9235" spans="1:12" x14ac:dyDescent="0.25">
      <c r="A9235">
        <v>83765</v>
      </c>
      <c r="B9235" t="s">
        <v>355</v>
      </c>
      <c r="C9235" t="s">
        <v>314</v>
      </c>
      <c r="D9235" s="254">
        <v>104.8</v>
      </c>
      <c r="E9235"/>
      <c r="F9235"/>
      <c r="G9235"/>
      <c r="H9235"/>
      <c r="I9235" s="489"/>
      <c r="J9235" s="1362"/>
      <c r="K9235" s="1362"/>
      <c r="L9235" s="1362"/>
    </row>
    <row r="9236" spans="1:12" x14ac:dyDescent="0.25">
      <c r="A9236">
        <v>87445</v>
      </c>
      <c r="B9236" t="s">
        <v>356</v>
      </c>
      <c r="C9236" t="s">
        <v>314</v>
      </c>
      <c r="D9236" s="254">
        <v>5.73</v>
      </c>
      <c r="E9236"/>
      <c r="F9236"/>
      <c r="G9236"/>
      <c r="H9236"/>
      <c r="I9236" s="489"/>
      <c r="J9236" s="1362"/>
      <c r="K9236" s="1362"/>
      <c r="L9236" s="1362"/>
    </row>
    <row r="9237" spans="1:12" x14ac:dyDescent="0.25">
      <c r="A9237">
        <v>88386</v>
      </c>
      <c r="B9237" t="s">
        <v>357</v>
      </c>
      <c r="C9237" t="s">
        <v>314</v>
      </c>
      <c r="D9237" s="254">
        <v>4.03</v>
      </c>
      <c r="E9237"/>
      <c r="F9237"/>
      <c r="G9237"/>
      <c r="H9237"/>
      <c r="I9237" s="489"/>
      <c r="J9237" s="1362"/>
      <c r="K9237" s="1362"/>
      <c r="L9237" s="1362"/>
    </row>
    <row r="9238" spans="1:12" x14ac:dyDescent="0.25">
      <c r="A9238">
        <v>88393</v>
      </c>
      <c r="B9238" t="s">
        <v>358</v>
      </c>
      <c r="C9238" t="s">
        <v>314</v>
      </c>
      <c r="D9238" s="254">
        <v>5.48</v>
      </c>
      <c r="E9238"/>
      <c r="F9238"/>
      <c r="G9238"/>
      <c r="H9238"/>
      <c r="I9238" s="489"/>
      <c r="J9238" s="1362"/>
      <c r="K9238" s="1362"/>
      <c r="L9238" s="1362"/>
    </row>
    <row r="9239" spans="1:12" x14ac:dyDescent="0.25">
      <c r="A9239">
        <v>88399</v>
      </c>
      <c r="B9239" t="s">
        <v>359</v>
      </c>
      <c r="C9239" t="s">
        <v>314</v>
      </c>
      <c r="D9239" s="254">
        <v>3.05</v>
      </c>
      <c r="E9239"/>
      <c r="F9239"/>
      <c r="G9239"/>
      <c r="H9239"/>
      <c r="I9239" s="489"/>
      <c r="J9239" s="1362"/>
      <c r="K9239" s="1362"/>
      <c r="L9239" s="1362"/>
    </row>
    <row r="9240" spans="1:12" x14ac:dyDescent="0.25">
      <c r="A9240">
        <v>88418</v>
      </c>
      <c r="B9240" t="s">
        <v>360</v>
      </c>
      <c r="C9240" t="s">
        <v>314</v>
      </c>
      <c r="D9240" s="254">
        <v>12.82</v>
      </c>
      <c r="E9240"/>
      <c r="F9240"/>
      <c r="G9240"/>
      <c r="H9240"/>
      <c r="I9240" s="489"/>
      <c r="J9240" s="1362"/>
      <c r="K9240" s="1362"/>
      <c r="L9240" s="1362"/>
    </row>
    <row r="9241" spans="1:12" x14ac:dyDescent="0.25">
      <c r="A9241">
        <v>88433</v>
      </c>
      <c r="B9241" t="s">
        <v>361</v>
      </c>
      <c r="C9241" t="s">
        <v>314</v>
      </c>
      <c r="D9241" s="254">
        <v>16.760000000000002</v>
      </c>
      <c r="E9241"/>
      <c r="F9241"/>
      <c r="G9241"/>
      <c r="H9241"/>
      <c r="I9241" s="489"/>
      <c r="J9241" s="1362"/>
      <c r="K9241" s="1362"/>
      <c r="L9241" s="1362"/>
    </row>
    <row r="9242" spans="1:12" x14ac:dyDescent="0.25">
      <c r="A9242">
        <v>88830</v>
      </c>
      <c r="B9242" t="s">
        <v>362</v>
      </c>
      <c r="C9242" t="s">
        <v>314</v>
      </c>
      <c r="D9242" s="254">
        <v>1.56</v>
      </c>
      <c r="E9242"/>
      <c r="F9242"/>
      <c r="G9242"/>
      <c r="H9242"/>
      <c r="I9242" s="489"/>
      <c r="J9242" s="1362"/>
      <c r="K9242" s="1362"/>
      <c r="L9242" s="1362"/>
    </row>
    <row r="9243" spans="1:12" x14ac:dyDescent="0.25">
      <c r="A9243">
        <v>88843</v>
      </c>
      <c r="B9243" t="s">
        <v>363</v>
      </c>
      <c r="C9243" t="s">
        <v>314</v>
      </c>
      <c r="D9243" s="254">
        <v>234</v>
      </c>
      <c r="E9243"/>
      <c r="F9243"/>
      <c r="G9243"/>
      <c r="H9243"/>
      <c r="I9243" s="489"/>
      <c r="J9243" s="1362"/>
      <c r="K9243" s="1362"/>
      <c r="L9243" s="1362"/>
    </row>
    <row r="9244" spans="1:12" x14ac:dyDescent="0.25">
      <c r="A9244">
        <v>88907</v>
      </c>
      <c r="B9244" t="s">
        <v>364</v>
      </c>
      <c r="C9244" t="s">
        <v>314</v>
      </c>
      <c r="D9244" s="254">
        <v>258.04000000000002</v>
      </c>
      <c r="E9244"/>
      <c r="F9244"/>
      <c r="G9244"/>
      <c r="H9244"/>
      <c r="I9244" s="489"/>
      <c r="J9244" s="1362"/>
      <c r="K9244" s="1362"/>
      <c r="L9244" s="1362"/>
    </row>
    <row r="9245" spans="1:12" x14ac:dyDescent="0.25">
      <c r="A9245">
        <v>89021</v>
      </c>
      <c r="B9245" t="s">
        <v>365</v>
      </c>
      <c r="C9245" t="s">
        <v>314</v>
      </c>
      <c r="D9245" s="254">
        <v>2.16</v>
      </c>
      <c r="E9245"/>
      <c r="F9245"/>
      <c r="G9245"/>
      <c r="H9245"/>
      <c r="I9245" s="489"/>
      <c r="J9245" s="1362"/>
      <c r="K9245" s="1362"/>
      <c r="L9245" s="1362"/>
    </row>
    <row r="9246" spans="1:12" x14ac:dyDescent="0.25">
      <c r="A9246">
        <v>89028</v>
      </c>
      <c r="B9246" t="s">
        <v>366</v>
      </c>
      <c r="C9246" t="s">
        <v>314</v>
      </c>
      <c r="D9246" s="254">
        <v>203.21</v>
      </c>
      <c r="E9246"/>
      <c r="F9246"/>
      <c r="G9246"/>
      <c r="H9246"/>
      <c r="I9246" s="489"/>
      <c r="J9246" s="1362"/>
      <c r="K9246" s="1362"/>
      <c r="L9246" s="1362"/>
    </row>
    <row r="9247" spans="1:12" x14ac:dyDescent="0.25">
      <c r="A9247">
        <v>89032</v>
      </c>
      <c r="B9247" t="s">
        <v>367</v>
      </c>
      <c r="C9247" t="s">
        <v>314</v>
      </c>
      <c r="D9247" s="254">
        <v>211.04</v>
      </c>
      <c r="E9247"/>
      <c r="F9247"/>
      <c r="G9247"/>
      <c r="H9247"/>
      <c r="I9247" s="489"/>
      <c r="J9247" s="1362"/>
      <c r="K9247" s="1362"/>
      <c r="L9247" s="1362"/>
    </row>
    <row r="9248" spans="1:12" x14ac:dyDescent="0.25">
      <c r="A9248">
        <v>89035</v>
      </c>
      <c r="B9248" t="s">
        <v>368</v>
      </c>
      <c r="C9248" t="s">
        <v>314</v>
      </c>
      <c r="D9248" s="254">
        <v>136.61000000000001</v>
      </c>
      <c r="E9248"/>
      <c r="F9248"/>
      <c r="G9248"/>
      <c r="H9248"/>
      <c r="I9248" s="489"/>
      <c r="J9248" s="1362"/>
      <c r="K9248" s="1362"/>
      <c r="L9248" s="1362"/>
    </row>
    <row r="9249" spans="1:12" x14ac:dyDescent="0.25">
      <c r="A9249">
        <v>89225</v>
      </c>
      <c r="B9249" t="s">
        <v>369</v>
      </c>
      <c r="C9249" t="s">
        <v>314</v>
      </c>
      <c r="D9249" s="254">
        <v>4.58</v>
      </c>
      <c r="E9249"/>
      <c r="F9249"/>
      <c r="G9249"/>
      <c r="H9249"/>
      <c r="I9249" s="489"/>
      <c r="J9249" s="1362"/>
      <c r="K9249" s="1362"/>
      <c r="L9249" s="1362"/>
    </row>
    <row r="9250" spans="1:12" x14ac:dyDescent="0.25">
      <c r="A9250">
        <v>89234</v>
      </c>
      <c r="B9250" t="s">
        <v>370</v>
      </c>
      <c r="C9250" t="s">
        <v>314</v>
      </c>
      <c r="D9250" s="254">
        <v>608.26</v>
      </c>
      <c r="E9250"/>
      <c r="F9250"/>
      <c r="G9250"/>
      <c r="H9250"/>
      <c r="I9250" s="489"/>
      <c r="J9250" s="1362"/>
      <c r="K9250" s="1362"/>
      <c r="L9250" s="1362"/>
    </row>
    <row r="9251" spans="1:12" x14ac:dyDescent="0.25">
      <c r="A9251">
        <v>89242</v>
      </c>
      <c r="B9251" t="s">
        <v>371</v>
      </c>
      <c r="C9251" t="s">
        <v>314</v>
      </c>
      <c r="D9251" s="254">
        <v>1443.32</v>
      </c>
      <c r="E9251"/>
      <c r="F9251"/>
      <c r="G9251"/>
      <c r="H9251"/>
      <c r="I9251" s="489"/>
      <c r="J9251" s="1362"/>
      <c r="K9251" s="1362"/>
      <c r="L9251" s="1362"/>
    </row>
    <row r="9252" spans="1:12" x14ac:dyDescent="0.25">
      <c r="A9252">
        <v>89250</v>
      </c>
      <c r="B9252" t="s">
        <v>372</v>
      </c>
      <c r="C9252" t="s">
        <v>314</v>
      </c>
      <c r="D9252" s="254">
        <v>1249.43</v>
      </c>
      <c r="E9252"/>
      <c r="F9252"/>
      <c r="G9252"/>
      <c r="H9252"/>
      <c r="I9252" s="489"/>
      <c r="J9252" s="1362"/>
      <c r="K9252" s="1362"/>
      <c r="L9252" s="1362"/>
    </row>
    <row r="9253" spans="1:12" x14ac:dyDescent="0.25">
      <c r="A9253">
        <v>89257</v>
      </c>
      <c r="B9253" t="s">
        <v>373</v>
      </c>
      <c r="C9253" t="s">
        <v>314</v>
      </c>
      <c r="D9253" s="254">
        <v>341.15</v>
      </c>
      <c r="E9253"/>
      <c r="F9253"/>
      <c r="G9253"/>
      <c r="H9253"/>
      <c r="I9253" s="489"/>
      <c r="J9253" s="1362"/>
      <c r="K9253" s="1362"/>
      <c r="L9253" s="1362"/>
    </row>
    <row r="9254" spans="1:12" x14ac:dyDescent="0.25">
      <c r="A9254">
        <v>89272</v>
      </c>
      <c r="B9254" t="s">
        <v>374</v>
      </c>
      <c r="C9254" t="s">
        <v>314</v>
      </c>
      <c r="D9254" s="254">
        <v>204.17</v>
      </c>
      <c r="E9254"/>
      <c r="F9254"/>
      <c r="G9254"/>
      <c r="H9254"/>
      <c r="I9254" s="489"/>
      <c r="J9254" s="1362"/>
      <c r="K9254" s="1362"/>
      <c r="L9254" s="1362"/>
    </row>
    <row r="9255" spans="1:12" x14ac:dyDescent="0.25">
      <c r="A9255">
        <v>89278</v>
      </c>
      <c r="B9255" t="s">
        <v>375</v>
      </c>
      <c r="C9255" t="s">
        <v>314</v>
      </c>
      <c r="D9255" s="254">
        <v>13.11</v>
      </c>
      <c r="E9255"/>
      <c r="F9255"/>
      <c r="G9255"/>
      <c r="H9255"/>
      <c r="I9255" s="489"/>
      <c r="J9255" s="1362"/>
      <c r="K9255" s="1362"/>
      <c r="L9255" s="1362"/>
    </row>
    <row r="9256" spans="1:12" x14ac:dyDescent="0.25">
      <c r="A9256">
        <v>89843</v>
      </c>
      <c r="B9256" t="s">
        <v>376</v>
      </c>
      <c r="C9256" t="s">
        <v>314</v>
      </c>
      <c r="D9256" s="254">
        <v>212.5</v>
      </c>
      <c r="E9256"/>
      <c r="F9256"/>
      <c r="G9256"/>
      <c r="H9256"/>
      <c r="I9256" s="489"/>
      <c r="J9256" s="1362"/>
      <c r="K9256" s="1362"/>
      <c r="L9256" s="1362"/>
    </row>
    <row r="9257" spans="1:12" x14ac:dyDescent="0.25">
      <c r="A9257">
        <v>89876</v>
      </c>
      <c r="B9257" t="s">
        <v>377</v>
      </c>
      <c r="C9257" t="s">
        <v>314</v>
      </c>
      <c r="D9257" s="254">
        <v>316.36</v>
      </c>
      <c r="E9257"/>
      <c r="F9257"/>
      <c r="G9257"/>
      <c r="H9257"/>
      <c r="I9257" s="489"/>
      <c r="J9257" s="1362"/>
      <c r="K9257" s="1362"/>
      <c r="L9257" s="1362"/>
    </row>
    <row r="9258" spans="1:12" x14ac:dyDescent="0.25">
      <c r="A9258">
        <v>89883</v>
      </c>
      <c r="B9258" t="s">
        <v>378</v>
      </c>
      <c r="C9258" t="s">
        <v>314</v>
      </c>
      <c r="D9258" s="254">
        <v>353.39</v>
      </c>
      <c r="E9258"/>
      <c r="F9258"/>
      <c r="G9258"/>
      <c r="H9258"/>
      <c r="I9258" s="489"/>
      <c r="J9258" s="1362"/>
      <c r="K9258" s="1362"/>
      <c r="L9258" s="1362"/>
    </row>
    <row r="9259" spans="1:12" x14ac:dyDescent="0.25">
      <c r="A9259">
        <v>90586</v>
      </c>
      <c r="B9259" t="s">
        <v>379</v>
      </c>
      <c r="C9259" t="s">
        <v>314</v>
      </c>
      <c r="D9259" s="254">
        <v>1.31</v>
      </c>
      <c r="E9259"/>
      <c r="F9259"/>
      <c r="G9259"/>
      <c r="H9259"/>
      <c r="I9259" s="489"/>
      <c r="J9259" s="1362"/>
      <c r="K9259" s="1362"/>
      <c r="L9259" s="1362"/>
    </row>
    <row r="9260" spans="1:12" x14ac:dyDescent="0.25">
      <c r="A9260">
        <v>90625</v>
      </c>
      <c r="B9260" t="s">
        <v>380</v>
      </c>
      <c r="C9260" t="s">
        <v>314</v>
      </c>
      <c r="D9260" s="254">
        <v>5.91</v>
      </c>
      <c r="E9260"/>
      <c r="F9260"/>
      <c r="G9260"/>
      <c r="H9260"/>
      <c r="I9260" s="489"/>
      <c r="J9260" s="1362"/>
      <c r="K9260" s="1362"/>
      <c r="L9260" s="1362"/>
    </row>
    <row r="9261" spans="1:12" x14ac:dyDescent="0.25">
      <c r="A9261">
        <v>90631</v>
      </c>
      <c r="B9261" t="s">
        <v>381</v>
      </c>
      <c r="C9261" t="s">
        <v>314</v>
      </c>
      <c r="D9261" s="254">
        <v>144.94999999999999</v>
      </c>
      <c r="E9261"/>
      <c r="F9261"/>
      <c r="G9261"/>
      <c r="H9261"/>
      <c r="I9261" s="489"/>
      <c r="J9261" s="1362"/>
      <c r="K9261" s="1362"/>
      <c r="L9261" s="1362"/>
    </row>
    <row r="9262" spans="1:12" x14ac:dyDescent="0.25">
      <c r="A9262">
        <v>90637</v>
      </c>
      <c r="B9262" t="s">
        <v>382</v>
      </c>
      <c r="C9262" t="s">
        <v>314</v>
      </c>
      <c r="D9262" s="254">
        <v>13.11</v>
      </c>
      <c r="E9262"/>
      <c r="F9262"/>
      <c r="G9262"/>
      <c r="H9262"/>
      <c r="I9262" s="489"/>
      <c r="J9262" s="1362"/>
      <c r="K9262" s="1362"/>
      <c r="L9262" s="1362"/>
    </row>
    <row r="9263" spans="1:12" x14ac:dyDescent="0.25">
      <c r="A9263">
        <v>90643</v>
      </c>
      <c r="B9263" t="s">
        <v>383</v>
      </c>
      <c r="C9263" t="s">
        <v>314</v>
      </c>
      <c r="D9263" s="254">
        <v>27.14</v>
      </c>
      <c r="E9263"/>
      <c r="F9263"/>
      <c r="G9263"/>
      <c r="H9263"/>
      <c r="I9263" s="489"/>
      <c r="J9263" s="1362"/>
      <c r="K9263" s="1362"/>
      <c r="L9263" s="1362"/>
    </row>
    <row r="9264" spans="1:12" x14ac:dyDescent="0.25">
      <c r="A9264">
        <v>90650</v>
      </c>
      <c r="B9264" t="s">
        <v>384</v>
      </c>
      <c r="C9264" t="s">
        <v>314</v>
      </c>
      <c r="D9264" s="254">
        <v>8.51</v>
      </c>
      <c r="E9264"/>
      <c r="F9264"/>
      <c r="G9264"/>
      <c r="H9264"/>
      <c r="I9264" s="489"/>
      <c r="J9264" s="1362"/>
      <c r="K9264" s="1362"/>
      <c r="L9264" s="1362"/>
    </row>
    <row r="9265" spans="1:12" x14ac:dyDescent="0.25">
      <c r="A9265">
        <v>90656</v>
      </c>
      <c r="B9265" t="s">
        <v>385</v>
      </c>
      <c r="C9265" t="s">
        <v>314</v>
      </c>
      <c r="D9265" s="254">
        <v>12.99</v>
      </c>
      <c r="E9265"/>
      <c r="F9265"/>
      <c r="G9265"/>
      <c r="H9265"/>
      <c r="I9265" s="489"/>
      <c r="J9265" s="1362"/>
      <c r="K9265" s="1362"/>
      <c r="L9265" s="1362"/>
    </row>
    <row r="9266" spans="1:12" x14ac:dyDescent="0.25">
      <c r="A9266">
        <v>90662</v>
      </c>
      <c r="B9266" t="s">
        <v>386</v>
      </c>
      <c r="C9266" t="s">
        <v>314</v>
      </c>
      <c r="D9266" s="254">
        <v>13.59</v>
      </c>
      <c r="E9266"/>
      <c r="F9266"/>
      <c r="G9266"/>
      <c r="H9266"/>
      <c r="I9266" s="489"/>
      <c r="J9266" s="1362"/>
      <c r="K9266" s="1362"/>
      <c r="L9266" s="1362"/>
    </row>
    <row r="9267" spans="1:12" x14ac:dyDescent="0.25">
      <c r="A9267">
        <v>90668</v>
      </c>
      <c r="B9267" t="s">
        <v>387</v>
      </c>
      <c r="C9267" t="s">
        <v>314</v>
      </c>
      <c r="D9267" s="254">
        <v>32.659999999999997</v>
      </c>
      <c r="E9267"/>
      <c r="F9267"/>
      <c r="G9267"/>
      <c r="H9267"/>
      <c r="I9267" s="489"/>
      <c r="J9267" s="1362"/>
      <c r="K9267" s="1362"/>
      <c r="L9267" s="1362"/>
    </row>
    <row r="9268" spans="1:12" x14ac:dyDescent="0.25">
      <c r="A9268">
        <v>90674</v>
      </c>
      <c r="B9268" t="s">
        <v>388</v>
      </c>
      <c r="C9268" t="s">
        <v>314</v>
      </c>
      <c r="D9268" s="254">
        <v>701.91</v>
      </c>
      <c r="E9268"/>
      <c r="F9268"/>
      <c r="G9268"/>
      <c r="H9268"/>
      <c r="I9268" s="489"/>
      <c r="J9268" s="1362"/>
      <c r="K9268" s="1362"/>
      <c r="L9268" s="1362"/>
    </row>
    <row r="9269" spans="1:12" x14ac:dyDescent="0.25">
      <c r="A9269">
        <v>90680</v>
      </c>
      <c r="B9269" t="s">
        <v>389</v>
      </c>
      <c r="C9269" t="s">
        <v>314</v>
      </c>
      <c r="D9269" s="254">
        <v>411.49</v>
      </c>
      <c r="E9269"/>
      <c r="F9269"/>
      <c r="G9269"/>
      <c r="H9269"/>
      <c r="I9269" s="489"/>
      <c r="J9269" s="1362"/>
      <c r="K9269" s="1362"/>
      <c r="L9269" s="1362"/>
    </row>
    <row r="9270" spans="1:12" x14ac:dyDescent="0.25">
      <c r="A9270">
        <v>90686</v>
      </c>
      <c r="B9270" t="s">
        <v>390</v>
      </c>
      <c r="C9270" t="s">
        <v>314</v>
      </c>
      <c r="D9270" s="254">
        <v>160.22</v>
      </c>
      <c r="E9270"/>
      <c r="F9270"/>
      <c r="G9270"/>
      <c r="H9270"/>
      <c r="I9270" s="489"/>
      <c r="J9270" s="1362"/>
      <c r="K9270" s="1362"/>
      <c r="L9270" s="1362"/>
    </row>
    <row r="9271" spans="1:12" x14ac:dyDescent="0.25">
      <c r="A9271">
        <v>90692</v>
      </c>
      <c r="B9271" t="s">
        <v>391</v>
      </c>
      <c r="C9271" t="s">
        <v>314</v>
      </c>
      <c r="D9271" s="254">
        <v>119.7</v>
      </c>
      <c r="E9271"/>
      <c r="F9271"/>
      <c r="G9271"/>
      <c r="H9271"/>
      <c r="I9271" s="489"/>
      <c r="J9271" s="1362"/>
      <c r="K9271" s="1362"/>
      <c r="L9271" s="1362"/>
    </row>
    <row r="9272" spans="1:12" x14ac:dyDescent="0.25">
      <c r="A9272">
        <v>90964</v>
      </c>
      <c r="B9272" t="s">
        <v>392</v>
      </c>
      <c r="C9272" t="s">
        <v>314</v>
      </c>
      <c r="D9272" s="254">
        <v>32.58</v>
      </c>
      <c r="E9272"/>
      <c r="F9272"/>
      <c r="G9272"/>
      <c r="H9272"/>
      <c r="I9272" s="489"/>
      <c r="J9272" s="1362"/>
      <c r="K9272" s="1362"/>
      <c r="L9272" s="1362"/>
    </row>
    <row r="9273" spans="1:12" x14ac:dyDescent="0.25">
      <c r="A9273">
        <v>90972</v>
      </c>
      <c r="B9273" t="s">
        <v>393</v>
      </c>
      <c r="C9273" t="s">
        <v>314</v>
      </c>
      <c r="D9273" s="254">
        <v>84.19</v>
      </c>
      <c r="E9273"/>
      <c r="F9273"/>
      <c r="G9273"/>
      <c r="H9273"/>
      <c r="I9273" s="489"/>
      <c r="J9273" s="1362"/>
      <c r="K9273" s="1362"/>
      <c r="L9273" s="1362"/>
    </row>
    <row r="9274" spans="1:12" x14ac:dyDescent="0.25">
      <c r="A9274">
        <v>90979</v>
      </c>
      <c r="B9274" t="s">
        <v>394</v>
      </c>
      <c r="C9274" t="s">
        <v>314</v>
      </c>
      <c r="D9274" s="254">
        <v>217.59</v>
      </c>
      <c r="E9274"/>
      <c r="F9274"/>
      <c r="G9274"/>
      <c r="H9274"/>
      <c r="I9274" s="489"/>
      <c r="J9274" s="1362"/>
      <c r="K9274" s="1362"/>
      <c r="L9274" s="1362"/>
    </row>
    <row r="9275" spans="1:12" x14ac:dyDescent="0.25">
      <c r="A9275">
        <v>90991</v>
      </c>
      <c r="B9275" t="s">
        <v>395</v>
      </c>
      <c r="C9275" t="s">
        <v>314</v>
      </c>
      <c r="D9275" s="254">
        <v>210.27</v>
      </c>
      <c r="E9275"/>
      <c r="F9275"/>
      <c r="G9275"/>
      <c r="H9275"/>
      <c r="I9275" s="489"/>
      <c r="J9275" s="1362"/>
      <c r="K9275" s="1362"/>
      <c r="L9275" s="1362"/>
    </row>
    <row r="9276" spans="1:12" x14ac:dyDescent="0.25">
      <c r="A9276">
        <v>90999</v>
      </c>
      <c r="B9276" t="s">
        <v>396</v>
      </c>
      <c r="C9276" t="s">
        <v>314</v>
      </c>
      <c r="D9276" s="254">
        <v>111.65</v>
      </c>
      <c r="E9276"/>
      <c r="F9276"/>
      <c r="G9276"/>
      <c r="H9276"/>
      <c r="I9276" s="489"/>
      <c r="J9276" s="1362"/>
      <c r="K9276" s="1362"/>
      <c r="L9276" s="1362"/>
    </row>
    <row r="9277" spans="1:12" x14ac:dyDescent="0.25">
      <c r="A9277">
        <v>91031</v>
      </c>
      <c r="B9277" t="s">
        <v>397</v>
      </c>
      <c r="C9277" t="s">
        <v>314</v>
      </c>
      <c r="D9277" s="254">
        <v>259.18</v>
      </c>
      <c r="E9277"/>
      <c r="F9277"/>
      <c r="G9277"/>
      <c r="H9277"/>
      <c r="I9277" s="489"/>
      <c r="J9277" s="1362"/>
      <c r="K9277" s="1362"/>
      <c r="L9277" s="1362"/>
    </row>
    <row r="9278" spans="1:12" x14ac:dyDescent="0.25">
      <c r="A9278">
        <v>91277</v>
      </c>
      <c r="B9278" t="s">
        <v>398</v>
      </c>
      <c r="C9278" t="s">
        <v>314</v>
      </c>
      <c r="D9278" s="254">
        <v>8.42</v>
      </c>
      <c r="E9278"/>
      <c r="F9278"/>
      <c r="G9278"/>
      <c r="H9278"/>
      <c r="I9278" s="489"/>
      <c r="J9278" s="1362"/>
      <c r="K9278" s="1362"/>
      <c r="L9278" s="1362"/>
    </row>
    <row r="9279" spans="1:12" x14ac:dyDescent="0.25">
      <c r="A9279">
        <v>91283</v>
      </c>
      <c r="B9279" t="s">
        <v>399</v>
      </c>
      <c r="C9279" t="s">
        <v>314</v>
      </c>
      <c r="D9279" s="254">
        <v>9.02</v>
      </c>
      <c r="E9279"/>
      <c r="F9279"/>
      <c r="G9279"/>
      <c r="H9279"/>
      <c r="I9279" s="489"/>
      <c r="J9279" s="1362"/>
      <c r="K9279" s="1362"/>
      <c r="L9279" s="1362"/>
    </row>
    <row r="9280" spans="1:12" x14ac:dyDescent="0.25">
      <c r="A9280">
        <v>91386</v>
      </c>
      <c r="B9280" t="s">
        <v>400</v>
      </c>
      <c r="C9280" t="s">
        <v>314</v>
      </c>
      <c r="D9280" s="254">
        <v>263.48</v>
      </c>
      <c r="E9280"/>
      <c r="F9280"/>
      <c r="G9280"/>
      <c r="H9280"/>
      <c r="I9280" s="489"/>
      <c r="J9280" s="1362"/>
      <c r="K9280" s="1362"/>
      <c r="L9280" s="1362"/>
    </row>
    <row r="9281" spans="1:12" x14ac:dyDescent="0.25">
      <c r="A9281">
        <v>91533</v>
      </c>
      <c r="B9281" t="s">
        <v>401</v>
      </c>
      <c r="C9281" t="s">
        <v>314</v>
      </c>
      <c r="D9281" s="254">
        <v>33.21</v>
      </c>
      <c r="E9281"/>
      <c r="F9281"/>
      <c r="G9281"/>
      <c r="H9281"/>
      <c r="I9281" s="489"/>
      <c r="J9281" s="1362"/>
      <c r="K9281" s="1362"/>
      <c r="L9281" s="1362"/>
    </row>
    <row r="9282" spans="1:12" x14ac:dyDescent="0.25">
      <c r="A9282">
        <v>91634</v>
      </c>
      <c r="B9282" t="s">
        <v>402</v>
      </c>
      <c r="C9282" t="s">
        <v>314</v>
      </c>
      <c r="D9282" s="254">
        <v>236.3</v>
      </c>
      <c r="E9282"/>
      <c r="F9282"/>
      <c r="G9282"/>
      <c r="H9282"/>
      <c r="I9282" s="489"/>
      <c r="J9282" s="1362"/>
      <c r="K9282" s="1362"/>
      <c r="L9282" s="1362"/>
    </row>
    <row r="9283" spans="1:12" x14ac:dyDescent="0.25">
      <c r="A9283">
        <v>91645</v>
      </c>
      <c r="B9283" t="s">
        <v>403</v>
      </c>
      <c r="C9283" t="s">
        <v>314</v>
      </c>
      <c r="D9283" s="254">
        <v>472.58</v>
      </c>
      <c r="E9283"/>
      <c r="F9283"/>
      <c r="G9283"/>
      <c r="H9283"/>
      <c r="I9283" s="489"/>
      <c r="J9283" s="1362"/>
      <c r="K9283" s="1362"/>
      <c r="L9283" s="1362"/>
    </row>
    <row r="9284" spans="1:12" x14ac:dyDescent="0.25">
      <c r="A9284">
        <v>91692</v>
      </c>
      <c r="B9284" t="s">
        <v>404</v>
      </c>
      <c r="C9284" t="s">
        <v>314</v>
      </c>
      <c r="D9284" s="254">
        <v>27.32</v>
      </c>
      <c r="E9284"/>
      <c r="F9284"/>
      <c r="G9284"/>
      <c r="H9284"/>
      <c r="I9284" s="489"/>
      <c r="J9284" s="1362"/>
      <c r="K9284" s="1362"/>
      <c r="L9284" s="1362"/>
    </row>
    <row r="9285" spans="1:12" x14ac:dyDescent="0.25">
      <c r="A9285">
        <v>92043</v>
      </c>
      <c r="B9285" t="s">
        <v>405</v>
      </c>
      <c r="C9285" t="s">
        <v>314</v>
      </c>
      <c r="D9285" s="254">
        <v>13.04</v>
      </c>
      <c r="E9285"/>
      <c r="F9285"/>
      <c r="G9285"/>
      <c r="H9285"/>
      <c r="I9285" s="489"/>
      <c r="J9285" s="1362"/>
      <c r="K9285" s="1362"/>
      <c r="L9285" s="1362"/>
    </row>
    <row r="9286" spans="1:12" x14ac:dyDescent="0.25">
      <c r="A9286">
        <v>92106</v>
      </c>
      <c r="B9286" t="s">
        <v>406</v>
      </c>
      <c r="C9286" t="s">
        <v>314</v>
      </c>
      <c r="D9286" s="254">
        <v>358.79</v>
      </c>
      <c r="E9286"/>
      <c r="F9286"/>
      <c r="G9286"/>
      <c r="H9286"/>
      <c r="I9286" s="489"/>
      <c r="J9286" s="1362"/>
      <c r="K9286" s="1362"/>
      <c r="L9286" s="1362"/>
    </row>
    <row r="9287" spans="1:12" x14ac:dyDescent="0.25">
      <c r="A9287">
        <v>92112</v>
      </c>
      <c r="B9287" t="s">
        <v>407</v>
      </c>
      <c r="C9287" t="s">
        <v>314</v>
      </c>
      <c r="D9287" s="254">
        <v>3.03</v>
      </c>
      <c r="E9287"/>
      <c r="F9287"/>
      <c r="G9287"/>
      <c r="H9287"/>
      <c r="I9287" s="489"/>
      <c r="J9287" s="1362"/>
      <c r="K9287" s="1362"/>
      <c r="L9287" s="1362"/>
    </row>
    <row r="9288" spans="1:12" x14ac:dyDescent="0.25">
      <c r="A9288">
        <v>92118</v>
      </c>
      <c r="B9288" t="s">
        <v>408</v>
      </c>
      <c r="C9288" t="s">
        <v>314</v>
      </c>
      <c r="D9288" s="254">
        <v>0.41</v>
      </c>
      <c r="E9288"/>
      <c r="F9288"/>
      <c r="G9288"/>
      <c r="H9288"/>
      <c r="I9288" s="489"/>
      <c r="J9288" s="1362"/>
      <c r="K9288" s="1362"/>
      <c r="L9288" s="1362"/>
    </row>
    <row r="9289" spans="1:12" x14ac:dyDescent="0.25">
      <c r="A9289">
        <v>92138</v>
      </c>
      <c r="B9289" t="s">
        <v>409</v>
      </c>
      <c r="C9289" t="s">
        <v>314</v>
      </c>
      <c r="D9289" s="254">
        <v>97.01</v>
      </c>
      <c r="E9289"/>
      <c r="F9289"/>
      <c r="G9289"/>
      <c r="H9289"/>
      <c r="I9289" s="489"/>
      <c r="J9289" s="1362"/>
      <c r="K9289" s="1362"/>
      <c r="L9289" s="1362"/>
    </row>
    <row r="9290" spans="1:12" x14ac:dyDescent="0.25">
      <c r="A9290">
        <v>92145</v>
      </c>
      <c r="B9290" t="s">
        <v>410</v>
      </c>
      <c r="C9290" t="s">
        <v>314</v>
      </c>
      <c r="D9290" s="254">
        <v>69.930000000000007</v>
      </c>
      <c r="E9290"/>
      <c r="F9290"/>
      <c r="G9290"/>
      <c r="H9290"/>
      <c r="I9290" s="489"/>
      <c r="J9290" s="1362"/>
      <c r="K9290" s="1362"/>
      <c r="L9290" s="1362"/>
    </row>
    <row r="9291" spans="1:12" x14ac:dyDescent="0.25">
      <c r="A9291">
        <v>92242</v>
      </c>
      <c r="B9291" t="s">
        <v>411</v>
      </c>
      <c r="C9291" t="s">
        <v>314</v>
      </c>
      <c r="D9291" s="254">
        <v>416.68</v>
      </c>
      <c r="E9291"/>
      <c r="F9291"/>
      <c r="G9291"/>
      <c r="H9291"/>
      <c r="I9291" s="489"/>
      <c r="J9291" s="1362"/>
      <c r="K9291" s="1362"/>
      <c r="L9291" s="1362"/>
    </row>
    <row r="9292" spans="1:12" x14ac:dyDescent="0.25">
      <c r="A9292">
        <v>92716</v>
      </c>
      <c r="B9292" t="s">
        <v>412</v>
      </c>
      <c r="C9292" t="s">
        <v>314</v>
      </c>
      <c r="D9292" s="254">
        <v>62.53</v>
      </c>
      <c r="E9292"/>
      <c r="F9292"/>
      <c r="G9292"/>
      <c r="H9292"/>
      <c r="I9292" s="489"/>
      <c r="J9292" s="1362"/>
      <c r="K9292" s="1362"/>
      <c r="L9292" s="1362"/>
    </row>
    <row r="9293" spans="1:12" x14ac:dyDescent="0.25">
      <c r="A9293">
        <v>92960</v>
      </c>
      <c r="B9293" t="s">
        <v>413</v>
      </c>
      <c r="C9293" t="s">
        <v>314</v>
      </c>
      <c r="D9293" s="254">
        <v>19.350000000000001</v>
      </c>
      <c r="E9293"/>
      <c r="F9293"/>
      <c r="G9293"/>
      <c r="H9293"/>
      <c r="I9293" s="489"/>
      <c r="J9293" s="1362"/>
      <c r="K9293" s="1362"/>
      <c r="L9293" s="1362"/>
    </row>
    <row r="9294" spans="1:12" x14ac:dyDescent="0.25">
      <c r="A9294">
        <v>92966</v>
      </c>
      <c r="B9294" t="s">
        <v>414</v>
      </c>
      <c r="C9294" t="s">
        <v>314</v>
      </c>
      <c r="D9294" s="254">
        <v>24.92</v>
      </c>
      <c r="E9294"/>
      <c r="F9294"/>
      <c r="G9294"/>
      <c r="H9294"/>
      <c r="I9294" s="489"/>
      <c r="J9294" s="1362"/>
      <c r="K9294" s="1362"/>
      <c r="L9294" s="1362"/>
    </row>
    <row r="9295" spans="1:12" x14ac:dyDescent="0.25">
      <c r="A9295">
        <v>93224</v>
      </c>
      <c r="B9295" t="s">
        <v>415</v>
      </c>
      <c r="C9295" t="s">
        <v>314</v>
      </c>
      <c r="D9295" s="254">
        <v>1043.28</v>
      </c>
      <c r="E9295"/>
      <c r="F9295"/>
      <c r="G9295"/>
      <c r="H9295"/>
      <c r="I9295" s="489"/>
      <c r="J9295" s="1362"/>
      <c r="K9295" s="1362"/>
      <c r="L9295" s="1362"/>
    </row>
    <row r="9296" spans="1:12" x14ac:dyDescent="0.25">
      <c r="A9296">
        <v>93233</v>
      </c>
      <c r="B9296" t="s">
        <v>416</v>
      </c>
      <c r="C9296" t="s">
        <v>314</v>
      </c>
      <c r="D9296" s="254">
        <v>4.7300000000000004</v>
      </c>
      <c r="E9296"/>
      <c r="F9296"/>
      <c r="G9296"/>
      <c r="H9296"/>
      <c r="I9296" s="489"/>
      <c r="J9296" s="1362"/>
      <c r="K9296" s="1362"/>
      <c r="L9296" s="1362"/>
    </row>
    <row r="9297" spans="1:12" x14ac:dyDescent="0.25">
      <c r="A9297">
        <v>93272</v>
      </c>
      <c r="B9297" t="s">
        <v>417</v>
      </c>
      <c r="C9297" t="s">
        <v>314</v>
      </c>
      <c r="D9297" s="254">
        <v>87.68</v>
      </c>
      <c r="E9297"/>
      <c r="F9297"/>
      <c r="G9297"/>
      <c r="H9297"/>
      <c r="I9297" s="489"/>
      <c r="J9297" s="1362"/>
      <c r="K9297" s="1362"/>
      <c r="L9297" s="1362"/>
    </row>
    <row r="9298" spans="1:12" x14ac:dyDescent="0.25">
      <c r="A9298">
        <v>93281</v>
      </c>
      <c r="B9298" t="s">
        <v>418</v>
      </c>
      <c r="C9298" t="s">
        <v>314</v>
      </c>
      <c r="D9298" s="254">
        <v>26.87</v>
      </c>
      <c r="E9298"/>
      <c r="F9298"/>
      <c r="G9298"/>
      <c r="H9298"/>
      <c r="I9298" s="489"/>
      <c r="J9298" s="1362"/>
      <c r="K9298" s="1362"/>
      <c r="L9298" s="1362"/>
    </row>
    <row r="9299" spans="1:12" x14ac:dyDescent="0.25">
      <c r="A9299">
        <v>93287</v>
      </c>
      <c r="B9299" t="s">
        <v>419</v>
      </c>
      <c r="C9299" t="s">
        <v>314</v>
      </c>
      <c r="D9299" s="254">
        <v>315.14999999999998</v>
      </c>
      <c r="E9299"/>
      <c r="F9299"/>
      <c r="G9299"/>
      <c r="H9299"/>
      <c r="I9299" s="489"/>
      <c r="J9299" s="1362"/>
      <c r="K9299" s="1362"/>
      <c r="L9299" s="1362"/>
    </row>
    <row r="9300" spans="1:12" x14ac:dyDescent="0.25">
      <c r="A9300">
        <v>93402</v>
      </c>
      <c r="B9300" t="s">
        <v>420</v>
      </c>
      <c r="C9300" t="s">
        <v>314</v>
      </c>
      <c r="D9300" s="254">
        <v>273.48</v>
      </c>
      <c r="E9300"/>
      <c r="F9300"/>
      <c r="G9300"/>
      <c r="H9300"/>
      <c r="I9300" s="489"/>
      <c r="J9300" s="1362"/>
      <c r="K9300" s="1362"/>
      <c r="L9300" s="1362"/>
    </row>
    <row r="9301" spans="1:12" x14ac:dyDescent="0.25">
      <c r="A9301">
        <v>93408</v>
      </c>
      <c r="B9301" t="s">
        <v>3933</v>
      </c>
      <c r="C9301" t="s">
        <v>314</v>
      </c>
      <c r="D9301" s="254">
        <v>95.38</v>
      </c>
      <c r="E9301"/>
      <c r="F9301"/>
      <c r="G9301"/>
      <c r="H9301"/>
      <c r="I9301" s="489"/>
      <c r="J9301" s="1362"/>
      <c r="K9301" s="1362"/>
      <c r="L9301" s="1362"/>
    </row>
    <row r="9302" spans="1:12" x14ac:dyDescent="0.25">
      <c r="A9302">
        <v>93415</v>
      </c>
      <c r="B9302" t="s">
        <v>421</v>
      </c>
      <c r="C9302" t="s">
        <v>314</v>
      </c>
      <c r="D9302" s="254">
        <v>13.01</v>
      </c>
      <c r="E9302"/>
      <c r="F9302"/>
      <c r="G9302"/>
      <c r="H9302"/>
      <c r="I9302" s="489"/>
      <c r="J9302" s="1362"/>
      <c r="K9302" s="1362"/>
      <c r="L9302" s="1362"/>
    </row>
    <row r="9303" spans="1:12" x14ac:dyDescent="0.25">
      <c r="A9303">
        <v>93421</v>
      </c>
      <c r="B9303" t="s">
        <v>422</v>
      </c>
      <c r="C9303" t="s">
        <v>314</v>
      </c>
      <c r="D9303" s="254">
        <v>84.38</v>
      </c>
      <c r="E9303"/>
      <c r="F9303"/>
      <c r="G9303"/>
      <c r="H9303"/>
      <c r="I9303" s="489"/>
      <c r="J9303" s="1362"/>
      <c r="K9303" s="1362"/>
      <c r="L9303" s="1362"/>
    </row>
    <row r="9304" spans="1:12" x14ac:dyDescent="0.25">
      <c r="A9304">
        <v>93427</v>
      </c>
      <c r="B9304" t="s">
        <v>423</v>
      </c>
      <c r="C9304" t="s">
        <v>314</v>
      </c>
      <c r="D9304" s="254">
        <v>193.29</v>
      </c>
      <c r="E9304"/>
      <c r="F9304"/>
      <c r="G9304"/>
      <c r="H9304"/>
      <c r="I9304" s="489"/>
      <c r="J9304" s="1362"/>
      <c r="K9304" s="1362"/>
      <c r="L9304" s="1362"/>
    </row>
    <row r="9305" spans="1:12" x14ac:dyDescent="0.25">
      <c r="A9305">
        <v>93433</v>
      </c>
      <c r="B9305" t="s">
        <v>424</v>
      </c>
      <c r="C9305" t="s">
        <v>314</v>
      </c>
      <c r="D9305" s="254">
        <v>2873.24</v>
      </c>
      <c r="E9305"/>
      <c r="F9305"/>
      <c r="G9305"/>
      <c r="H9305"/>
      <c r="I9305" s="489"/>
      <c r="J9305" s="1362"/>
      <c r="K9305" s="1362"/>
      <c r="L9305" s="1362"/>
    </row>
    <row r="9306" spans="1:12" x14ac:dyDescent="0.25">
      <c r="A9306">
        <v>93439</v>
      </c>
      <c r="B9306" t="s">
        <v>425</v>
      </c>
      <c r="C9306" t="s">
        <v>314</v>
      </c>
      <c r="D9306" s="254">
        <v>250.99</v>
      </c>
      <c r="E9306"/>
      <c r="F9306"/>
      <c r="G9306"/>
      <c r="H9306"/>
      <c r="I9306" s="489"/>
      <c r="J9306" s="1362"/>
      <c r="K9306" s="1362"/>
      <c r="L9306" s="1362"/>
    </row>
    <row r="9307" spans="1:12" x14ac:dyDescent="0.25">
      <c r="A9307">
        <v>95121</v>
      </c>
      <c r="B9307" t="s">
        <v>426</v>
      </c>
      <c r="C9307" t="s">
        <v>314</v>
      </c>
      <c r="D9307" s="254">
        <v>294.68</v>
      </c>
      <c r="E9307"/>
      <c r="F9307"/>
      <c r="G9307"/>
      <c r="H9307"/>
      <c r="I9307" s="489"/>
      <c r="J9307" s="1362"/>
      <c r="K9307" s="1362"/>
      <c r="L9307" s="1362"/>
    </row>
    <row r="9308" spans="1:12" x14ac:dyDescent="0.25">
      <c r="A9308">
        <v>95127</v>
      </c>
      <c r="B9308" t="s">
        <v>427</v>
      </c>
      <c r="C9308" t="s">
        <v>314</v>
      </c>
      <c r="D9308" s="254">
        <v>234.38</v>
      </c>
      <c r="E9308"/>
      <c r="F9308"/>
      <c r="G9308"/>
      <c r="H9308"/>
      <c r="I9308" s="489"/>
      <c r="J9308" s="1362"/>
      <c r="K9308" s="1362"/>
      <c r="L9308" s="1362"/>
    </row>
    <row r="9309" spans="1:12" x14ac:dyDescent="0.25">
      <c r="A9309">
        <v>95133</v>
      </c>
      <c r="B9309" t="s">
        <v>428</v>
      </c>
      <c r="C9309" t="s">
        <v>314</v>
      </c>
      <c r="D9309" s="254">
        <v>179.62</v>
      </c>
      <c r="E9309"/>
      <c r="F9309"/>
      <c r="G9309"/>
      <c r="H9309"/>
      <c r="I9309" s="489"/>
      <c r="J9309" s="1362"/>
      <c r="K9309" s="1362"/>
      <c r="L9309" s="1362"/>
    </row>
    <row r="9310" spans="1:12" x14ac:dyDescent="0.25">
      <c r="A9310">
        <v>95139</v>
      </c>
      <c r="B9310" t="s">
        <v>429</v>
      </c>
      <c r="C9310" t="s">
        <v>314</v>
      </c>
      <c r="D9310" s="254">
        <v>0.05</v>
      </c>
      <c r="E9310"/>
      <c r="F9310"/>
      <c r="G9310"/>
      <c r="H9310"/>
      <c r="I9310" s="489"/>
      <c r="J9310" s="1362"/>
      <c r="K9310" s="1362"/>
      <c r="L9310" s="1362"/>
    </row>
    <row r="9311" spans="1:12" x14ac:dyDescent="0.25">
      <c r="A9311">
        <v>95212</v>
      </c>
      <c r="B9311" t="s">
        <v>430</v>
      </c>
      <c r="C9311" t="s">
        <v>314</v>
      </c>
      <c r="D9311" s="254">
        <v>146.37</v>
      </c>
      <c r="E9311"/>
      <c r="F9311"/>
      <c r="G9311"/>
      <c r="H9311"/>
      <c r="I9311" s="489"/>
      <c r="J9311" s="1362"/>
      <c r="K9311" s="1362"/>
      <c r="L9311" s="1362"/>
    </row>
    <row r="9312" spans="1:12" x14ac:dyDescent="0.25">
      <c r="A9312">
        <v>95258</v>
      </c>
      <c r="B9312" t="s">
        <v>431</v>
      </c>
      <c r="C9312" t="s">
        <v>314</v>
      </c>
      <c r="D9312" s="254">
        <v>24.53</v>
      </c>
      <c r="E9312"/>
      <c r="F9312"/>
      <c r="G9312"/>
      <c r="H9312"/>
      <c r="I9312" s="489"/>
      <c r="J9312" s="1362"/>
      <c r="K9312" s="1362"/>
      <c r="L9312" s="1362"/>
    </row>
    <row r="9313" spans="1:12" x14ac:dyDescent="0.25">
      <c r="A9313">
        <v>95264</v>
      </c>
      <c r="B9313" t="s">
        <v>432</v>
      </c>
      <c r="C9313" t="s">
        <v>314</v>
      </c>
      <c r="D9313" s="254">
        <v>5.7</v>
      </c>
      <c r="E9313"/>
      <c r="F9313"/>
      <c r="G9313"/>
      <c r="H9313"/>
      <c r="I9313" s="489"/>
      <c r="J9313" s="1362"/>
      <c r="K9313" s="1362"/>
      <c r="L9313" s="1362"/>
    </row>
    <row r="9314" spans="1:12" x14ac:dyDescent="0.25">
      <c r="A9314">
        <v>95270</v>
      </c>
      <c r="B9314" t="s">
        <v>433</v>
      </c>
      <c r="C9314" t="s">
        <v>314</v>
      </c>
      <c r="D9314" s="254">
        <v>8.1</v>
      </c>
      <c r="E9314"/>
      <c r="F9314"/>
      <c r="G9314"/>
      <c r="H9314"/>
      <c r="I9314" s="489"/>
      <c r="J9314" s="1362"/>
      <c r="K9314" s="1362"/>
      <c r="L9314" s="1362"/>
    </row>
    <row r="9315" spans="1:12" x14ac:dyDescent="0.25">
      <c r="A9315">
        <v>95276</v>
      </c>
      <c r="B9315" t="s">
        <v>434</v>
      </c>
      <c r="C9315" t="s">
        <v>314</v>
      </c>
      <c r="D9315" s="254">
        <v>2.65</v>
      </c>
      <c r="E9315"/>
      <c r="F9315"/>
      <c r="G9315"/>
      <c r="H9315"/>
      <c r="I9315" s="489"/>
      <c r="J9315" s="1362"/>
      <c r="K9315" s="1362"/>
      <c r="L9315" s="1362"/>
    </row>
    <row r="9316" spans="1:12" x14ac:dyDescent="0.25">
      <c r="A9316">
        <v>95282</v>
      </c>
      <c r="B9316" t="s">
        <v>18381</v>
      </c>
      <c r="C9316" t="s">
        <v>314</v>
      </c>
      <c r="D9316" s="254">
        <v>8.2899999999999991</v>
      </c>
      <c r="E9316"/>
      <c r="F9316"/>
      <c r="G9316"/>
      <c r="H9316"/>
      <c r="I9316" s="489"/>
      <c r="J9316" s="1362"/>
      <c r="K9316" s="1362"/>
      <c r="L9316" s="1362"/>
    </row>
    <row r="9317" spans="1:12" x14ac:dyDescent="0.25">
      <c r="A9317">
        <v>95620</v>
      </c>
      <c r="B9317" t="s">
        <v>435</v>
      </c>
      <c r="C9317" t="s">
        <v>314</v>
      </c>
      <c r="D9317" s="254">
        <v>24.09</v>
      </c>
      <c r="E9317"/>
      <c r="F9317"/>
      <c r="G9317"/>
      <c r="H9317"/>
      <c r="I9317" s="489"/>
      <c r="J9317" s="1362"/>
      <c r="K9317" s="1362"/>
      <c r="L9317" s="1362"/>
    </row>
    <row r="9318" spans="1:12" x14ac:dyDescent="0.25">
      <c r="A9318">
        <v>95631</v>
      </c>
      <c r="B9318" t="s">
        <v>436</v>
      </c>
      <c r="C9318" t="s">
        <v>314</v>
      </c>
      <c r="D9318" s="254">
        <v>203.65</v>
      </c>
      <c r="E9318"/>
      <c r="F9318"/>
      <c r="G9318"/>
      <c r="H9318"/>
      <c r="I9318" s="489"/>
      <c r="J9318" s="1362"/>
      <c r="K9318" s="1362"/>
      <c r="L9318" s="1362"/>
    </row>
    <row r="9319" spans="1:12" x14ac:dyDescent="0.25">
      <c r="A9319">
        <v>95702</v>
      </c>
      <c r="B9319" t="s">
        <v>437</v>
      </c>
      <c r="C9319" t="s">
        <v>314</v>
      </c>
      <c r="D9319" s="254">
        <v>36.630000000000003</v>
      </c>
      <c r="E9319"/>
      <c r="F9319"/>
      <c r="G9319"/>
      <c r="H9319"/>
      <c r="I9319" s="489"/>
      <c r="J9319" s="1362"/>
      <c r="K9319" s="1362"/>
      <c r="L9319" s="1362"/>
    </row>
    <row r="9320" spans="1:12" x14ac:dyDescent="0.25">
      <c r="A9320">
        <v>95708</v>
      </c>
      <c r="B9320" t="s">
        <v>438</v>
      </c>
      <c r="C9320" t="s">
        <v>314</v>
      </c>
      <c r="D9320" s="254">
        <v>141.91</v>
      </c>
      <c r="E9320"/>
      <c r="F9320"/>
      <c r="G9320"/>
      <c r="H9320"/>
      <c r="I9320" s="489"/>
      <c r="J9320" s="1362"/>
      <c r="K9320" s="1362"/>
      <c r="L9320" s="1362"/>
    </row>
    <row r="9321" spans="1:12" x14ac:dyDescent="0.25">
      <c r="A9321">
        <v>95714</v>
      </c>
      <c r="B9321" t="s">
        <v>439</v>
      </c>
      <c r="C9321" t="s">
        <v>314</v>
      </c>
      <c r="D9321" s="254">
        <v>264.98</v>
      </c>
      <c r="E9321"/>
      <c r="F9321"/>
      <c r="G9321"/>
      <c r="H9321"/>
      <c r="I9321" s="489"/>
      <c r="J9321" s="1362"/>
      <c r="K9321" s="1362"/>
      <c r="L9321" s="1362"/>
    </row>
    <row r="9322" spans="1:12" x14ac:dyDescent="0.25">
      <c r="A9322">
        <v>95720</v>
      </c>
      <c r="B9322" t="s">
        <v>440</v>
      </c>
      <c r="C9322" t="s">
        <v>314</v>
      </c>
      <c r="D9322" s="254">
        <v>259.93</v>
      </c>
      <c r="E9322"/>
      <c r="F9322"/>
      <c r="G9322"/>
      <c r="H9322"/>
      <c r="I9322" s="489"/>
      <c r="J9322" s="1362"/>
      <c r="K9322" s="1362"/>
      <c r="L9322" s="1362"/>
    </row>
    <row r="9323" spans="1:12" x14ac:dyDescent="0.25">
      <c r="A9323">
        <v>95872</v>
      </c>
      <c r="B9323" t="s">
        <v>441</v>
      </c>
      <c r="C9323" t="s">
        <v>314</v>
      </c>
      <c r="D9323" s="254">
        <v>328.02</v>
      </c>
      <c r="E9323"/>
      <c r="F9323"/>
      <c r="G9323"/>
      <c r="H9323"/>
      <c r="I9323" s="489"/>
      <c r="J9323" s="1362"/>
      <c r="K9323" s="1362"/>
      <c r="L9323" s="1362"/>
    </row>
    <row r="9324" spans="1:12" x14ac:dyDescent="0.25">
      <c r="A9324">
        <v>96013</v>
      </c>
      <c r="B9324" t="s">
        <v>442</v>
      </c>
      <c r="C9324" t="s">
        <v>314</v>
      </c>
      <c r="D9324" s="254">
        <v>191.67</v>
      </c>
      <c r="E9324"/>
      <c r="F9324"/>
      <c r="G9324"/>
      <c r="H9324"/>
      <c r="I9324" s="489"/>
      <c r="J9324" s="1362"/>
      <c r="K9324" s="1362"/>
      <c r="L9324" s="1362"/>
    </row>
    <row r="9325" spans="1:12" x14ac:dyDescent="0.25">
      <c r="A9325">
        <v>96020</v>
      </c>
      <c r="B9325" t="s">
        <v>443</v>
      </c>
      <c r="C9325" t="s">
        <v>314</v>
      </c>
      <c r="D9325" s="254">
        <v>191.11</v>
      </c>
      <c r="E9325"/>
      <c r="F9325"/>
      <c r="G9325"/>
      <c r="H9325"/>
      <c r="I9325" s="489"/>
      <c r="J9325" s="1362"/>
      <c r="K9325" s="1362"/>
      <c r="L9325" s="1362"/>
    </row>
    <row r="9326" spans="1:12" x14ac:dyDescent="0.25">
      <c r="A9326">
        <v>96028</v>
      </c>
      <c r="B9326" t="s">
        <v>444</v>
      </c>
      <c r="C9326" t="s">
        <v>314</v>
      </c>
      <c r="D9326" s="254">
        <v>146.01</v>
      </c>
      <c r="E9326"/>
      <c r="F9326"/>
      <c r="G9326"/>
      <c r="H9326"/>
      <c r="I9326" s="489"/>
      <c r="J9326" s="1362"/>
      <c r="K9326" s="1362"/>
      <c r="L9326" s="1362"/>
    </row>
    <row r="9327" spans="1:12" x14ac:dyDescent="0.25">
      <c r="A9327">
        <v>96035</v>
      </c>
      <c r="B9327" t="s">
        <v>445</v>
      </c>
      <c r="C9327" t="s">
        <v>314</v>
      </c>
      <c r="D9327" s="254">
        <v>273.62</v>
      </c>
      <c r="E9327"/>
      <c r="F9327"/>
      <c r="G9327"/>
      <c r="H9327"/>
      <c r="I9327" s="489"/>
      <c r="J9327" s="1362"/>
      <c r="K9327" s="1362"/>
      <c r="L9327" s="1362"/>
    </row>
    <row r="9328" spans="1:12" x14ac:dyDescent="0.25">
      <c r="A9328">
        <v>96157</v>
      </c>
      <c r="B9328" t="s">
        <v>446</v>
      </c>
      <c r="C9328" t="s">
        <v>314</v>
      </c>
      <c r="D9328" s="254">
        <v>146.57</v>
      </c>
      <c r="E9328"/>
      <c r="F9328"/>
      <c r="G9328"/>
      <c r="H9328"/>
      <c r="I9328" s="489"/>
      <c r="J9328" s="1362"/>
      <c r="K9328" s="1362"/>
      <c r="L9328" s="1362"/>
    </row>
    <row r="9329" spans="1:12" x14ac:dyDescent="0.25">
      <c r="A9329">
        <v>96158</v>
      </c>
      <c r="B9329" t="s">
        <v>447</v>
      </c>
      <c r="C9329" t="s">
        <v>314</v>
      </c>
      <c r="D9329" s="254">
        <v>135.44999999999999</v>
      </c>
      <c r="E9329"/>
      <c r="F9329"/>
      <c r="G9329"/>
      <c r="H9329"/>
      <c r="I9329" s="489"/>
      <c r="J9329" s="1362"/>
      <c r="K9329" s="1362"/>
      <c r="L9329" s="1362"/>
    </row>
    <row r="9330" spans="1:12" x14ac:dyDescent="0.25">
      <c r="A9330">
        <v>96245</v>
      </c>
      <c r="B9330" t="s">
        <v>448</v>
      </c>
      <c r="C9330" t="s">
        <v>314</v>
      </c>
      <c r="D9330" s="254">
        <v>94.26</v>
      </c>
      <c r="E9330"/>
      <c r="F9330"/>
      <c r="G9330"/>
      <c r="H9330"/>
      <c r="I9330" s="489"/>
      <c r="J9330" s="1362"/>
      <c r="K9330" s="1362"/>
      <c r="L9330" s="1362"/>
    </row>
    <row r="9331" spans="1:12" x14ac:dyDescent="0.25">
      <c r="A9331">
        <v>96463</v>
      </c>
      <c r="B9331" t="s">
        <v>449</v>
      </c>
      <c r="C9331" t="s">
        <v>314</v>
      </c>
      <c r="D9331" s="254">
        <v>183.92</v>
      </c>
      <c r="E9331"/>
      <c r="F9331"/>
      <c r="G9331"/>
      <c r="H9331"/>
      <c r="I9331" s="489"/>
      <c r="J9331" s="1362"/>
      <c r="K9331" s="1362"/>
      <c r="L9331" s="1362"/>
    </row>
    <row r="9332" spans="1:12" x14ac:dyDescent="0.25">
      <c r="A9332">
        <v>98764</v>
      </c>
      <c r="B9332" t="s">
        <v>2950</v>
      </c>
      <c r="C9332" t="s">
        <v>314</v>
      </c>
      <c r="D9332" s="254">
        <v>3.46</v>
      </c>
      <c r="E9332"/>
      <c r="F9332"/>
      <c r="G9332"/>
      <c r="H9332"/>
      <c r="I9332" s="489"/>
      <c r="J9332" s="1362"/>
      <c r="K9332" s="1362"/>
      <c r="L9332" s="1362"/>
    </row>
    <row r="9333" spans="1:12" x14ac:dyDescent="0.25">
      <c r="A9333">
        <v>99833</v>
      </c>
      <c r="B9333" t="s">
        <v>3250</v>
      </c>
      <c r="C9333" t="s">
        <v>314</v>
      </c>
      <c r="D9333" s="254">
        <v>3.41</v>
      </c>
      <c r="E9333"/>
      <c r="F9333"/>
      <c r="G9333"/>
      <c r="H9333"/>
      <c r="I9333" s="489"/>
      <c r="J9333" s="1362"/>
      <c r="K9333" s="1362"/>
      <c r="L9333" s="1362"/>
    </row>
    <row r="9334" spans="1:12" x14ac:dyDescent="0.25">
      <c r="A9334">
        <v>100641</v>
      </c>
      <c r="B9334" t="s">
        <v>3934</v>
      </c>
      <c r="C9334" t="s">
        <v>314</v>
      </c>
      <c r="D9334" s="254">
        <v>560.75</v>
      </c>
      <c r="E9334"/>
      <c r="F9334"/>
      <c r="G9334"/>
      <c r="H9334"/>
      <c r="I9334" s="489"/>
      <c r="J9334" s="1362"/>
      <c r="K9334" s="1362"/>
      <c r="L9334" s="1362"/>
    </row>
    <row r="9335" spans="1:12" x14ac:dyDescent="0.25">
      <c r="A9335">
        <v>100647</v>
      </c>
      <c r="B9335" t="s">
        <v>3935</v>
      </c>
      <c r="C9335" t="s">
        <v>314</v>
      </c>
      <c r="D9335" s="254">
        <v>1234.78</v>
      </c>
      <c r="E9335"/>
      <c r="F9335"/>
      <c r="G9335"/>
      <c r="H9335"/>
      <c r="I9335" s="489"/>
      <c r="J9335" s="1362"/>
      <c r="K9335" s="1362"/>
      <c r="L9335" s="1362"/>
    </row>
    <row r="9336" spans="1:12" x14ac:dyDescent="0.25">
      <c r="A9336">
        <v>102275</v>
      </c>
      <c r="B9336" t="s">
        <v>5970</v>
      </c>
      <c r="C9336" t="s">
        <v>314</v>
      </c>
      <c r="D9336" s="254">
        <v>24.48</v>
      </c>
      <c r="E9336"/>
      <c r="F9336"/>
      <c r="G9336"/>
      <c r="H9336"/>
      <c r="I9336" s="489"/>
      <c r="J9336" s="1362"/>
      <c r="K9336" s="1362"/>
      <c r="L9336" s="1362"/>
    </row>
    <row r="9337" spans="1:12" x14ac:dyDescent="0.25">
      <c r="A9337">
        <v>104091</v>
      </c>
      <c r="B9337" t="s">
        <v>18382</v>
      </c>
      <c r="C9337" t="s">
        <v>314</v>
      </c>
      <c r="D9337" s="254">
        <v>0.67</v>
      </c>
      <c r="E9337"/>
      <c r="F9337"/>
      <c r="G9337"/>
      <c r="H9337"/>
      <c r="I9337" s="489"/>
      <c r="J9337" s="1362"/>
      <c r="K9337" s="1362"/>
      <c r="L9337" s="1362"/>
    </row>
    <row r="9338" spans="1:12" x14ac:dyDescent="0.25">
      <c r="A9338">
        <v>104097</v>
      </c>
      <c r="B9338" t="s">
        <v>18383</v>
      </c>
      <c r="C9338" t="s">
        <v>314</v>
      </c>
      <c r="D9338" s="254">
        <v>0.93</v>
      </c>
      <c r="E9338"/>
      <c r="F9338"/>
      <c r="G9338"/>
      <c r="H9338"/>
      <c r="I9338" s="489"/>
      <c r="J9338" s="1362"/>
      <c r="K9338" s="1362"/>
      <c r="L9338" s="1362"/>
    </row>
    <row r="9339" spans="1:12" x14ac:dyDescent="0.25">
      <c r="A9339">
        <v>5632</v>
      </c>
      <c r="B9339" t="s">
        <v>450</v>
      </c>
      <c r="C9339" t="s">
        <v>451</v>
      </c>
      <c r="D9339" s="254">
        <v>82.94</v>
      </c>
      <c r="E9339"/>
      <c r="F9339"/>
      <c r="G9339"/>
      <c r="H9339"/>
      <c r="I9339" s="489"/>
      <c r="J9339" s="1362"/>
      <c r="K9339" s="1362"/>
      <c r="L9339" s="1362"/>
    </row>
    <row r="9340" spans="1:12" x14ac:dyDescent="0.25">
      <c r="A9340">
        <v>5679</v>
      </c>
      <c r="B9340" t="s">
        <v>452</v>
      </c>
      <c r="C9340" t="s">
        <v>451</v>
      </c>
      <c r="D9340" s="254">
        <v>57.95</v>
      </c>
      <c r="E9340"/>
      <c r="F9340"/>
      <c r="G9340"/>
      <c r="H9340"/>
      <c r="I9340" s="489"/>
      <c r="J9340" s="1362"/>
      <c r="K9340" s="1362"/>
      <c r="L9340" s="1362"/>
    </row>
    <row r="9341" spans="1:12" x14ac:dyDescent="0.25">
      <c r="A9341">
        <v>5681</v>
      </c>
      <c r="B9341" t="s">
        <v>453</v>
      </c>
      <c r="C9341" t="s">
        <v>451</v>
      </c>
      <c r="D9341" s="254">
        <v>54.63</v>
      </c>
      <c r="E9341"/>
      <c r="F9341"/>
      <c r="G9341"/>
      <c r="H9341"/>
      <c r="I9341" s="489"/>
      <c r="J9341" s="1362"/>
      <c r="K9341" s="1362"/>
      <c r="L9341" s="1362"/>
    </row>
    <row r="9342" spans="1:12" x14ac:dyDescent="0.25">
      <c r="A9342">
        <v>5685</v>
      </c>
      <c r="B9342" t="s">
        <v>454</v>
      </c>
      <c r="C9342" t="s">
        <v>451</v>
      </c>
      <c r="D9342" s="254">
        <v>46.63</v>
      </c>
      <c r="E9342"/>
      <c r="F9342"/>
      <c r="G9342"/>
      <c r="H9342"/>
      <c r="I9342" s="489"/>
      <c r="J9342" s="1362"/>
      <c r="K9342" s="1362"/>
      <c r="L9342" s="1362"/>
    </row>
    <row r="9343" spans="1:12" x14ac:dyDescent="0.25">
      <c r="A9343">
        <v>5690</v>
      </c>
      <c r="B9343" t="s">
        <v>455</v>
      </c>
      <c r="C9343" t="s">
        <v>451</v>
      </c>
      <c r="D9343" s="254">
        <v>4.62</v>
      </c>
      <c r="E9343"/>
      <c r="F9343"/>
      <c r="G9343"/>
      <c r="H9343"/>
      <c r="I9343" s="489"/>
      <c r="J9343" s="1362"/>
      <c r="K9343" s="1362"/>
      <c r="L9343" s="1362"/>
    </row>
    <row r="9344" spans="1:12" x14ac:dyDescent="0.25">
      <c r="A9344">
        <v>5806</v>
      </c>
      <c r="B9344" t="s">
        <v>456</v>
      </c>
      <c r="C9344" t="s">
        <v>451</v>
      </c>
      <c r="D9344" s="254">
        <v>0.22</v>
      </c>
      <c r="E9344"/>
      <c r="F9344"/>
      <c r="G9344"/>
      <c r="H9344"/>
      <c r="I9344" s="489"/>
      <c r="J9344" s="1362"/>
      <c r="K9344" s="1362"/>
      <c r="L9344" s="1362"/>
    </row>
    <row r="9345" spans="1:12" x14ac:dyDescent="0.25">
      <c r="A9345">
        <v>5826</v>
      </c>
      <c r="B9345" t="s">
        <v>457</v>
      </c>
      <c r="C9345" t="s">
        <v>451</v>
      </c>
      <c r="D9345" s="254">
        <v>48.76</v>
      </c>
      <c r="E9345"/>
      <c r="F9345"/>
      <c r="G9345"/>
      <c r="H9345"/>
      <c r="I9345" s="489"/>
      <c r="J9345" s="1362"/>
      <c r="K9345" s="1362"/>
      <c r="L9345" s="1362"/>
    </row>
    <row r="9346" spans="1:12" x14ac:dyDescent="0.25">
      <c r="A9346">
        <v>5829</v>
      </c>
      <c r="B9346" t="s">
        <v>458</v>
      </c>
      <c r="C9346" t="s">
        <v>451</v>
      </c>
      <c r="D9346" s="254">
        <v>143.66999999999999</v>
      </c>
      <c r="E9346"/>
      <c r="F9346"/>
      <c r="G9346"/>
      <c r="H9346"/>
      <c r="I9346" s="489"/>
      <c r="J9346" s="1362"/>
      <c r="K9346" s="1362"/>
      <c r="L9346" s="1362"/>
    </row>
    <row r="9347" spans="1:12" x14ac:dyDescent="0.25">
      <c r="A9347">
        <v>5837</v>
      </c>
      <c r="B9347" t="s">
        <v>459</v>
      </c>
      <c r="C9347" t="s">
        <v>451</v>
      </c>
      <c r="D9347" s="254">
        <v>139.72</v>
      </c>
      <c r="E9347"/>
      <c r="F9347"/>
      <c r="G9347"/>
      <c r="H9347"/>
      <c r="I9347" s="489"/>
      <c r="J9347" s="1362"/>
      <c r="K9347" s="1362"/>
      <c r="L9347" s="1362"/>
    </row>
    <row r="9348" spans="1:12" x14ac:dyDescent="0.25">
      <c r="A9348">
        <v>5841</v>
      </c>
      <c r="B9348" t="s">
        <v>460</v>
      </c>
      <c r="C9348" t="s">
        <v>451</v>
      </c>
      <c r="D9348" s="254">
        <v>5.32</v>
      </c>
      <c r="E9348"/>
      <c r="F9348"/>
      <c r="G9348"/>
      <c r="H9348"/>
      <c r="I9348" s="489"/>
      <c r="J9348" s="1362"/>
      <c r="K9348" s="1362"/>
      <c r="L9348" s="1362"/>
    </row>
    <row r="9349" spans="1:12" x14ac:dyDescent="0.25">
      <c r="A9349">
        <v>5845</v>
      </c>
      <c r="B9349" t="s">
        <v>461</v>
      </c>
      <c r="C9349" t="s">
        <v>451</v>
      </c>
      <c r="D9349" s="254">
        <v>50.55</v>
      </c>
      <c r="E9349"/>
      <c r="F9349"/>
      <c r="G9349"/>
      <c r="H9349"/>
      <c r="I9349" s="489"/>
      <c r="J9349" s="1362"/>
      <c r="K9349" s="1362"/>
      <c r="L9349" s="1362"/>
    </row>
    <row r="9350" spans="1:12" x14ac:dyDescent="0.25">
      <c r="A9350">
        <v>5849</v>
      </c>
      <c r="B9350" t="s">
        <v>462</v>
      </c>
      <c r="C9350" t="s">
        <v>451</v>
      </c>
      <c r="D9350" s="254">
        <v>86.79</v>
      </c>
      <c r="E9350"/>
      <c r="F9350"/>
      <c r="G9350"/>
      <c r="H9350"/>
      <c r="I9350" s="489"/>
      <c r="J9350" s="1362"/>
      <c r="K9350" s="1362"/>
      <c r="L9350" s="1362"/>
    </row>
    <row r="9351" spans="1:12" x14ac:dyDescent="0.25">
      <c r="A9351">
        <v>5853</v>
      </c>
      <c r="B9351" t="s">
        <v>463</v>
      </c>
      <c r="C9351" t="s">
        <v>451</v>
      </c>
      <c r="D9351" s="254">
        <v>87.15</v>
      </c>
      <c r="E9351"/>
      <c r="F9351"/>
      <c r="G9351"/>
      <c r="H9351"/>
      <c r="I9351" s="489"/>
      <c r="J9351" s="1362"/>
      <c r="K9351" s="1362"/>
      <c r="L9351" s="1362"/>
    </row>
    <row r="9352" spans="1:12" x14ac:dyDescent="0.25">
      <c r="A9352">
        <v>5857</v>
      </c>
      <c r="B9352" t="s">
        <v>464</v>
      </c>
      <c r="C9352" t="s">
        <v>451</v>
      </c>
      <c r="D9352" s="254">
        <v>222.39</v>
      </c>
      <c r="E9352"/>
      <c r="F9352"/>
      <c r="G9352"/>
      <c r="H9352"/>
      <c r="I9352" s="489"/>
      <c r="J9352" s="1362"/>
      <c r="K9352" s="1362"/>
      <c r="L9352" s="1362"/>
    </row>
    <row r="9353" spans="1:12" x14ac:dyDescent="0.25">
      <c r="A9353">
        <v>5865</v>
      </c>
      <c r="B9353" t="s">
        <v>465</v>
      </c>
      <c r="C9353" t="s">
        <v>451</v>
      </c>
      <c r="D9353" s="254">
        <v>7.92</v>
      </c>
      <c r="E9353"/>
      <c r="F9353"/>
      <c r="G9353"/>
      <c r="H9353"/>
      <c r="I9353" s="489"/>
      <c r="J9353" s="1362"/>
      <c r="K9353" s="1362"/>
      <c r="L9353" s="1362"/>
    </row>
    <row r="9354" spans="1:12" x14ac:dyDescent="0.25">
      <c r="A9354">
        <v>5869</v>
      </c>
      <c r="B9354" t="s">
        <v>466</v>
      </c>
      <c r="C9354" t="s">
        <v>451</v>
      </c>
      <c r="D9354" s="254">
        <v>52.61</v>
      </c>
      <c r="E9354"/>
      <c r="F9354"/>
      <c r="G9354"/>
      <c r="H9354"/>
      <c r="I9354" s="489"/>
      <c r="J9354" s="1362"/>
      <c r="K9354" s="1362"/>
      <c r="L9354" s="1362"/>
    </row>
    <row r="9355" spans="1:12" x14ac:dyDescent="0.25">
      <c r="A9355">
        <v>5877</v>
      </c>
      <c r="B9355" t="s">
        <v>467</v>
      </c>
      <c r="C9355" t="s">
        <v>451</v>
      </c>
      <c r="D9355" s="254">
        <v>56.89</v>
      </c>
      <c r="E9355"/>
      <c r="F9355"/>
      <c r="G9355"/>
      <c r="H9355"/>
      <c r="I9355" s="489"/>
      <c r="J9355" s="1362"/>
      <c r="K9355" s="1362"/>
      <c r="L9355" s="1362"/>
    </row>
    <row r="9356" spans="1:12" x14ac:dyDescent="0.25">
      <c r="A9356">
        <v>5881</v>
      </c>
      <c r="B9356" t="s">
        <v>468</v>
      </c>
      <c r="C9356" t="s">
        <v>451</v>
      </c>
      <c r="D9356" s="254">
        <v>56.25</v>
      </c>
      <c r="E9356"/>
      <c r="F9356"/>
      <c r="G9356"/>
      <c r="H9356"/>
      <c r="I9356" s="489"/>
      <c r="J9356" s="1362"/>
      <c r="K9356" s="1362"/>
      <c r="L9356" s="1362"/>
    </row>
    <row r="9357" spans="1:12" x14ac:dyDescent="0.25">
      <c r="A9357">
        <v>5884</v>
      </c>
      <c r="B9357" t="s">
        <v>469</v>
      </c>
      <c r="C9357" t="s">
        <v>451</v>
      </c>
      <c r="D9357" s="254">
        <v>49.49</v>
      </c>
      <c r="E9357"/>
      <c r="F9357"/>
      <c r="G9357"/>
      <c r="H9357"/>
      <c r="I9357" s="489"/>
      <c r="J9357" s="1362"/>
      <c r="K9357" s="1362"/>
      <c r="L9357" s="1362"/>
    </row>
    <row r="9358" spans="1:12" x14ac:dyDescent="0.25">
      <c r="A9358">
        <v>5892</v>
      </c>
      <c r="B9358" t="s">
        <v>470</v>
      </c>
      <c r="C9358" t="s">
        <v>451</v>
      </c>
      <c r="D9358" s="254">
        <v>44.78</v>
      </c>
      <c r="E9358"/>
      <c r="F9358"/>
      <c r="G9358"/>
      <c r="H9358"/>
      <c r="I9358" s="489"/>
      <c r="J9358" s="1362"/>
      <c r="K9358" s="1362"/>
      <c r="L9358" s="1362"/>
    </row>
    <row r="9359" spans="1:12" x14ac:dyDescent="0.25">
      <c r="A9359">
        <v>5896</v>
      </c>
      <c r="B9359" t="s">
        <v>471</v>
      </c>
      <c r="C9359" t="s">
        <v>451</v>
      </c>
      <c r="D9359" s="254">
        <v>46.9</v>
      </c>
      <c r="E9359"/>
      <c r="F9359"/>
      <c r="G9359"/>
      <c r="H9359"/>
      <c r="I9359" s="489"/>
      <c r="J9359" s="1362"/>
      <c r="K9359" s="1362"/>
      <c r="L9359" s="1362"/>
    </row>
    <row r="9360" spans="1:12" x14ac:dyDescent="0.25">
      <c r="A9360">
        <v>5903</v>
      </c>
      <c r="B9360" t="s">
        <v>472</v>
      </c>
      <c r="C9360" t="s">
        <v>451</v>
      </c>
      <c r="D9360" s="254">
        <v>59.39</v>
      </c>
      <c r="E9360"/>
      <c r="F9360"/>
      <c r="G9360"/>
      <c r="H9360"/>
      <c r="I9360" s="489"/>
      <c r="J9360" s="1362"/>
      <c r="K9360" s="1362"/>
      <c r="L9360" s="1362"/>
    </row>
    <row r="9361" spans="1:12" x14ac:dyDescent="0.25">
      <c r="A9361">
        <v>5911</v>
      </c>
      <c r="B9361" t="s">
        <v>473</v>
      </c>
      <c r="C9361" t="s">
        <v>451</v>
      </c>
      <c r="D9361" s="254">
        <v>25.62</v>
      </c>
      <c r="E9361"/>
      <c r="F9361"/>
      <c r="G9361"/>
      <c r="H9361"/>
      <c r="I9361" s="489"/>
      <c r="J9361" s="1362"/>
      <c r="K9361" s="1362"/>
      <c r="L9361" s="1362"/>
    </row>
    <row r="9362" spans="1:12" x14ac:dyDescent="0.25">
      <c r="A9362">
        <v>5923</v>
      </c>
      <c r="B9362" t="s">
        <v>474</v>
      </c>
      <c r="C9362" t="s">
        <v>451</v>
      </c>
      <c r="D9362" s="254">
        <v>3.62</v>
      </c>
      <c r="E9362"/>
      <c r="F9362"/>
      <c r="G9362"/>
      <c r="H9362"/>
      <c r="I9362" s="489"/>
      <c r="J9362" s="1362"/>
      <c r="K9362" s="1362"/>
      <c r="L9362" s="1362"/>
    </row>
    <row r="9363" spans="1:12" x14ac:dyDescent="0.25">
      <c r="A9363">
        <v>5930</v>
      </c>
      <c r="B9363" t="s">
        <v>475</v>
      </c>
      <c r="C9363" t="s">
        <v>451</v>
      </c>
      <c r="D9363" s="254">
        <v>58.65</v>
      </c>
      <c r="E9363"/>
      <c r="F9363"/>
      <c r="G9363"/>
      <c r="H9363"/>
      <c r="I9363" s="489"/>
      <c r="J9363" s="1362"/>
      <c r="K9363" s="1362"/>
      <c r="L9363" s="1362"/>
    </row>
    <row r="9364" spans="1:12" x14ac:dyDescent="0.25">
      <c r="A9364">
        <v>5934</v>
      </c>
      <c r="B9364" t="s">
        <v>476</v>
      </c>
      <c r="C9364" t="s">
        <v>451</v>
      </c>
      <c r="D9364" s="254">
        <v>92.17</v>
      </c>
      <c r="E9364"/>
      <c r="F9364"/>
      <c r="G9364"/>
      <c r="H9364"/>
      <c r="I9364" s="489"/>
      <c r="J9364" s="1362"/>
      <c r="K9364" s="1362"/>
      <c r="L9364" s="1362"/>
    </row>
    <row r="9365" spans="1:12" x14ac:dyDescent="0.25">
      <c r="A9365">
        <v>5942</v>
      </c>
      <c r="B9365" t="s">
        <v>477</v>
      </c>
      <c r="C9365" t="s">
        <v>451</v>
      </c>
      <c r="D9365" s="254">
        <v>79.739999999999995</v>
      </c>
      <c r="E9365"/>
      <c r="F9365"/>
      <c r="G9365"/>
      <c r="H9365"/>
      <c r="I9365" s="489"/>
      <c r="J9365" s="1362"/>
      <c r="K9365" s="1362"/>
      <c r="L9365" s="1362"/>
    </row>
    <row r="9366" spans="1:12" x14ac:dyDescent="0.25">
      <c r="A9366">
        <v>5946</v>
      </c>
      <c r="B9366" t="s">
        <v>478</v>
      </c>
      <c r="C9366" t="s">
        <v>451</v>
      </c>
      <c r="D9366" s="254">
        <v>98.42</v>
      </c>
      <c r="E9366"/>
      <c r="F9366"/>
      <c r="G9366"/>
      <c r="H9366"/>
      <c r="I9366" s="489"/>
      <c r="J9366" s="1362"/>
      <c r="K9366" s="1362"/>
      <c r="L9366" s="1362"/>
    </row>
    <row r="9367" spans="1:12" x14ac:dyDescent="0.25">
      <c r="A9367">
        <v>5952</v>
      </c>
      <c r="B9367" t="s">
        <v>479</v>
      </c>
      <c r="C9367" t="s">
        <v>451</v>
      </c>
      <c r="D9367" s="254">
        <v>23.37</v>
      </c>
      <c r="E9367"/>
      <c r="F9367"/>
      <c r="G9367"/>
      <c r="H9367"/>
      <c r="I9367" s="489"/>
      <c r="J9367" s="1362"/>
      <c r="K9367" s="1362"/>
      <c r="L9367" s="1362"/>
    </row>
    <row r="9368" spans="1:12" x14ac:dyDescent="0.25">
      <c r="A9368">
        <v>5954</v>
      </c>
      <c r="B9368" t="s">
        <v>480</v>
      </c>
      <c r="C9368" t="s">
        <v>451</v>
      </c>
      <c r="D9368" s="254">
        <v>5.59</v>
      </c>
      <c r="E9368"/>
      <c r="F9368"/>
      <c r="G9368"/>
      <c r="H9368"/>
      <c r="I9368" s="489"/>
      <c r="J9368" s="1362"/>
      <c r="K9368" s="1362"/>
      <c r="L9368" s="1362"/>
    </row>
    <row r="9369" spans="1:12" x14ac:dyDescent="0.25">
      <c r="A9369">
        <v>5961</v>
      </c>
      <c r="B9369" t="s">
        <v>481</v>
      </c>
      <c r="C9369" t="s">
        <v>451</v>
      </c>
      <c r="D9369" s="254">
        <v>48.53</v>
      </c>
      <c r="E9369"/>
      <c r="F9369"/>
      <c r="G9369"/>
      <c r="H9369"/>
      <c r="I9369" s="489"/>
      <c r="J9369" s="1362"/>
      <c r="K9369" s="1362"/>
      <c r="L9369" s="1362"/>
    </row>
    <row r="9370" spans="1:12" x14ac:dyDescent="0.25">
      <c r="A9370">
        <v>6260</v>
      </c>
      <c r="B9370" t="s">
        <v>482</v>
      </c>
      <c r="C9370" t="s">
        <v>451</v>
      </c>
      <c r="D9370" s="254">
        <v>49.39</v>
      </c>
      <c r="E9370"/>
      <c r="F9370"/>
      <c r="G9370"/>
      <c r="H9370"/>
      <c r="I9370" s="489"/>
      <c r="J9370" s="1362"/>
      <c r="K9370" s="1362"/>
      <c r="L9370" s="1362"/>
    </row>
    <row r="9371" spans="1:12" x14ac:dyDescent="0.25">
      <c r="A9371">
        <v>6880</v>
      </c>
      <c r="B9371" t="s">
        <v>483</v>
      </c>
      <c r="C9371" t="s">
        <v>451</v>
      </c>
      <c r="D9371" s="254">
        <v>61.41</v>
      </c>
      <c r="E9371"/>
      <c r="F9371"/>
      <c r="G9371"/>
      <c r="H9371"/>
      <c r="I9371" s="489"/>
      <c r="J9371" s="1362"/>
      <c r="K9371" s="1362"/>
      <c r="L9371" s="1362"/>
    </row>
    <row r="9372" spans="1:12" x14ac:dyDescent="0.25">
      <c r="A9372">
        <v>7031</v>
      </c>
      <c r="B9372" t="s">
        <v>484</v>
      </c>
      <c r="C9372" t="s">
        <v>451</v>
      </c>
      <c r="D9372" s="254">
        <v>6.02</v>
      </c>
      <c r="E9372"/>
      <c r="F9372"/>
      <c r="G9372"/>
      <c r="H9372"/>
      <c r="I9372" s="489"/>
      <c r="J9372" s="1362"/>
      <c r="K9372" s="1362"/>
      <c r="L9372" s="1362"/>
    </row>
    <row r="9373" spans="1:12" x14ac:dyDescent="0.25">
      <c r="A9373">
        <v>7043</v>
      </c>
      <c r="B9373" t="s">
        <v>485</v>
      </c>
      <c r="C9373" t="s">
        <v>451</v>
      </c>
      <c r="D9373" s="254">
        <v>0.27</v>
      </c>
      <c r="E9373"/>
      <c r="F9373"/>
      <c r="G9373"/>
      <c r="H9373"/>
      <c r="I9373" s="489"/>
      <c r="J9373" s="1362"/>
      <c r="K9373" s="1362"/>
      <c r="L9373" s="1362"/>
    </row>
    <row r="9374" spans="1:12" x14ac:dyDescent="0.25">
      <c r="A9374">
        <v>7050</v>
      </c>
      <c r="B9374" t="s">
        <v>486</v>
      </c>
      <c r="C9374" t="s">
        <v>451</v>
      </c>
      <c r="D9374" s="254">
        <v>56.76</v>
      </c>
      <c r="E9374"/>
      <c r="F9374"/>
      <c r="G9374"/>
      <c r="H9374"/>
      <c r="I9374" s="489"/>
      <c r="J9374" s="1362"/>
      <c r="K9374" s="1362"/>
      <c r="L9374" s="1362"/>
    </row>
    <row r="9375" spans="1:12" x14ac:dyDescent="0.25">
      <c r="A9375">
        <v>67827</v>
      </c>
      <c r="B9375" t="s">
        <v>487</v>
      </c>
      <c r="C9375" t="s">
        <v>451</v>
      </c>
      <c r="D9375" s="254">
        <v>49.48</v>
      </c>
      <c r="E9375"/>
      <c r="F9375"/>
      <c r="G9375"/>
      <c r="H9375"/>
      <c r="I9375" s="489"/>
      <c r="J9375" s="1362"/>
      <c r="K9375" s="1362"/>
      <c r="L9375" s="1362"/>
    </row>
    <row r="9376" spans="1:12" x14ac:dyDescent="0.25">
      <c r="A9376">
        <v>73395</v>
      </c>
      <c r="B9376" t="s">
        <v>488</v>
      </c>
      <c r="C9376" t="s">
        <v>451</v>
      </c>
      <c r="D9376" s="254">
        <v>7.8</v>
      </c>
      <c r="E9376"/>
      <c r="F9376"/>
      <c r="G9376"/>
      <c r="H9376"/>
      <c r="I9376" s="489"/>
      <c r="J9376" s="1362"/>
      <c r="K9376" s="1362"/>
      <c r="L9376" s="1362"/>
    </row>
    <row r="9377" spans="1:12" x14ac:dyDescent="0.25">
      <c r="A9377">
        <v>83766</v>
      </c>
      <c r="B9377" t="s">
        <v>489</v>
      </c>
      <c r="C9377" t="s">
        <v>451</v>
      </c>
      <c r="D9377" s="254">
        <v>40.229999999999997</v>
      </c>
      <c r="E9377"/>
      <c r="F9377"/>
      <c r="G9377"/>
      <c r="H9377"/>
      <c r="I9377" s="489"/>
      <c r="J9377" s="1362"/>
      <c r="K9377" s="1362"/>
      <c r="L9377" s="1362"/>
    </row>
    <row r="9378" spans="1:12" x14ac:dyDescent="0.25">
      <c r="A9378">
        <v>84013</v>
      </c>
      <c r="B9378" t="s">
        <v>490</v>
      </c>
      <c r="C9378" t="s">
        <v>451</v>
      </c>
      <c r="D9378" s="254">
        <v>80.41</v>
      </c>
      <c r="E9378"/>
      <c r="F9378"/>
      <c r="G9378"/>
      <c r="H9378"/>
      <c r="I9378" s="489"/>
      <c r="J9378" s="1362"/>
      <c r="K9378" s="1362"/>
      <c r="L9378" s="1362"/>
    </row>
    <row r="9379" spans="1:12" x14ac:dyDescent="0.25">
      <c r="A9379">
        <v>87446</v>
      </c>
      <c r="B9379" t="s">
        <v>491</v>
      </c>
      <c r="C9379" t="s">
        <v>451</v>
      </c>
      <c r="D9379" s="254">
        <v>0.47</v>
      </c>
      <c r="E9379"/>
      <c r="F9379"/>
      <c r="G9379"/>
      <c r="H9379"/>
      <c r="I9379" s="489"/>
      <c r="J9379" s="1362"/>
      <c r="K9379" s="1362"/>
      <c r="L9379" s="1362"/>
    </row>
    <row r="9380" spans="1:12" x14ac:dyDescent="0.25">
      <c r="A9380">
        <v>88392</v>
      </c>
      <c r="B9380" t="s">
        <v>492</v>
      </c>
      <c r="C9380" t="s">
        <v>451</v>
      </c>
      <c r="D9380" s="254">
        <v>0.91</v>
      </c>
      <c r="E9380"/>
      <c r="F9380"/>
      <c r="G9380"/>
      <c r="H9380"/>
      <c r="I9380" s="489"/>
      <c r="J9380" s="1362"/>
      <c r="K9380" s="1362"/>
      <c r="L9380" s="1362"/>
    </row>
    <row r="9381" spans="1:12" x14ac:dyDescent="0.25">
      <c r="A9381">
        <v>88398</v>
      </c>
      <c r="B9381" t="s">
        <v>493</v>
      </c>
      <c r="C9381" t="s">
        <v>451</v>
      </c>
      <c r="D9381" s="254">
        <v>1.0900000000000001</v>
      </c>
      <c r="E9381"/>
      <c r="F9381"/>
      <c r="G9381"/>
      <c r="H9381"/>
      <c r="I9381" s="489"/>
      <c r="J9381" s="1362"/>
      <c r="K9381" s="1362"/>
      <c r="L9381" s="1362"/>
    </row>
    <row r="9382" spans="1:12" x14ac:dyDescent="0.25">
      <c r="A9382">
        <v>88404</v>
      </c>
      <c r="B9382" t="s">
        <v>494</v>
      </c>
      <c r="C9382" t="s">
        <v>451</v>
      </c>
      <c r="D9382" s="254">
        <v>0.87</v>
      </c>
      <c r="E9382"/>
      <c r="F9382"/>
      <c r="G9382"/>
      <c r="H9382"/>
      <c r="I9382" s="489"/>
      <c r="J9382" s="1362"/>
      <c r="K9382" s="1362"/>
      <c r="L9382" s="1362"/>
    </row>
    <row r="9383" spans="1:12" x14ac:dyDescent="0.25">
      <c r="A9383">
        <v>88430</v>
      </c>
      <c r="B9383" t="s">
        <v>495</v>
      </c>
      <c r="C9383" t="s">
        <v>451</v>
      </c>
      <c r="D9383" s="254">
        <v>5.7</v>
      </c>
      <c r="E9383"/>
      <c r="F9383"/>
      <c r="G9383"/>
      <c r="H9383"/>
      <c r="I9383" s="489"/>
      <c r="J9383" s="1362"/>
      <c r="K9383" s="1362"/>
      <c r="L9383" s="1362"/>
    </row>
    <row r="9384" spans="1:12" x14ac:dyDescent="0.25">
      <c r="A9384">
        <v>88438</v>
      </c>
      <c r="B9384" t="s">
        <v>496</v>
      </c>
      <c r="C9384" t="s">
        <v>451</v>
      </c>
      <c r="D9384" s="254">
        <v>7.56</v>
      </c>
      <c r="E9384"/>
      <c r="F9384"/>
      <c r="G9384"/>
      <c r="H9384"/>
      <c r="I9384" s="489"/>
      <c r="J9384" s="1362"/>
      <c r="K9384" s="1362"/>
      <c r="L9384" s="1362"/>
    </row>
    <row r="9385" spans="1:12" x14ac:dyDescent="0.25">
      <c r="A9385">
        <v>88831</v>
      </c>
      <c r="B9385" t="s">
        <v>497</v>
      </c>
      <c r="C9385" t="s">
        <v>451</v>
      </c>
      <c r="D9385" s="254">
        <v>0.34</v>
      </c>
      <c r="E9385"/>
      <c r="F9385"/>
      <c r="G9385"/>
      <c r="H9385"/>
      <c r="I9385" s="489"/>
      <c r="J9385" s="1362"/>
      <c r="K9385" s="1362"/>
      <c r="L9385" s="1362"/>
    </row>
    <row r="9386" spans="1:12" x14ac:dyDescent="0.25">
      <c r="A9386">
        <v>88844</v>
      </c>
      <c r="B9386" t="s">
        <v>498</v>
      </c>
      <c r="C9386" t="s">
        <v>451</v>
      </c>
      <c r="D9386" s="254">
        <v>75.7</v>
      </c>
      <c r="E9386"/>
      <c r="F9386"/>
      <c r="G9386"/>
      <c r="H9386"/>
      <c r="I9386" s="489"/>
      <c r="J9386" s="1362"/>
      <c r="K9386" s="1362"/>
      <c r="L9386" s="1362"/>
    </row>
    <row r="9387" spans="1:12" x14ac:dyDescent="0.25">
      <c r="A9387">
        <v>88908</v>
      </c>
      <c r="B9387" t="s">
        <v>499</v>
      </c>
      <c r="C9387" t="s">
        <v>451</v>
      </c>
      <c r="D9387" s="254">
        <v>89.12</v>
      </c>
      <c r="E9387"/>
      <c r="F9387"/>
      <c r="G9387"/>
      <c r="H9387"/>
      <c r="I9387" s="489"/>
      <c r="J9387" s="1362"/>
      <c r="K9387" s="1362"/>
      <c r="L9387" s="1362"/>
    </row>
    <row r="9388" spans="1:12" x14ac:dyDescent="0.25">
      <c r="A9388">
        <v>89022</v>
      </c>
      <c r="B9388" t="s">
        <v>500</v>
      </c>
      <c r="C9388" t="s">
        <v>451</v>
      </c>
      <c r="D9388" s="254">
        <v>0.4</v>
      </c>
      <c r="E9388"/>
      <c r="F9388"/>
      <c r="G9388"/>
      <c r="H9388"/>
      <c r="I9388" s="489"/>
      <c r="J9388" s="1362"/>
      <c r="K9388" s="1362"/>
      <c r="L9388" s="1362"/>
    </row>
    <row r="9389" spans="1:12" x14ac:dyDescent="0.25">
      <c r="A9389">
        <v>89027</v>
      </c>
      <c r="B9389" t="s">
        <v>501</v>
      </c>
      <c r="C9389" t="s">
        <v>451</v>
      </c>
      <c r="D9389" s="254">
        <v>4.8899999999999997</v>
      </c>
      <c r="E9389"/>
      <c r="F9389"/>
      <c r="G9389"/>
      <c r="H9389"/>
      <c r="I9389" s="489"/>
      <c r="J9389" s="1362"/>
      <c r="K9389" s="1362"/>
      <c r="L9389" s="1362"/>
    </row>
    <row r="9390" spans="1:12" x14ac:dyDescent="0.25">
      <c r="A9390">
        <v>89031</v>
      </c>
      <c r="B9390" t="s">
        <v>502</v>
      </c>
      <c r="C9390" t="s">
        <v>451</v>
      </c>
      <c r="D9390" s="254">
        <v>73.569999999999993</v>
      </c>
      <c r="E9390"/>
      <c r="F9390"/>
      <c r="G9390"/>
      <c r="H9390"/>
      <c r="I9390" s="489"/>
      <c r="J9390" s="1362"/>
      <c r="K9390" s="1362"/>
      <c r="L9390" s="1362"/>
    </row>
    <row r="9391" spans="1:12" x14ac:dyDescent="0.25">
      <c r="A9391">
        <v>89036</v>
      </c>
      <c r="B9391" t="s">
        <v>503</v>
      </c>
      <c r="C9391" t="s">
        <v>451</v>
      </c>
      <c r="D9391" s="254">
        <v>44.44</v>
      </c>
      <c r="E9391"/>
      <c r="F9391"/>
      <c r="G9391"/>
      <c r="H9391"/>
      <c r="I9391" s="489"/>
      <c r="J9391" s="1362"/>
      <c r="K9391" s="1362"/>
      <c r="L9391" s="1362"/>
    </row>
    <row r="9392" spans="1:12" x14ac:dyDescent="0.25">
      <c r="A9392">
        <v>89218</v>
      </c>
      <c r="B9392" t="s">
        <v>504</v>
      </c>
      <c r="C9392" t="s">
        <v>451</v>
      </c>
      <c r="D9392" s="254">
        <v>80.77</v>
      </c>
      <c r="E9392"/>
      <c r="F9392"/>
      <c r="G9392"/>
      <c r="H9392"/>
      <c r="I9392" s="489"/>
      <c r="J9392" s="1362"/>
      <c r="K9392" s="1362"/>
      <c r="L9392" s="1362"/>
    </row>
    <row r="9393" spans="1:12" x14ac:dyDescent="0.25">
      <c r="A9393">
        <v>89226</v>
      </c>
      <c r="B9393" t="s">
        <v>505</v>
      </c>
      <c r="C9393" t="s">
        <v>451</v>
      </c>
      <c r="D9393" s="254">
        <v>1.42</v>
      </c>
      <c r="E9393"/>
      <c r="F9393"/>
      <c r="G9393"/>
      <c r="H9393"/>
      <c r="I9393" s="489"/>
      <c r="J9393" s="1362"/>
      <c r="K9393" s="1362"/>
      <c r="L9393" s="1362"/>
    </row>
    <row r="9394" spans="1:12" x14ac:dyDescent="0.25">
      <c r="A9394">
        <v>89235</v>
      </c>
      <c r="B9394" t="s">
        <v>506</v>
      </c>
      <c r="C9394" t="s">
        <v>451</v>
      </c>
      <c r="D9394" s="254">
        <v>181.42</v>
      </c>
      <c r="E9394"/>
      <c r="F9394"/>
      <c r="G9394"/>
      <c r="H9394"/>
      <c r="I9394" s="489"/>
      <c r="J9394" s="1362"/>
      <c r="K9394" s="1362"/>
      <c r="L9394" s="1362"/>
    </row>
    <row r="9395" spans="1:12" x14ac:dyDescent="0.25">
      <c r="A9395">
        <v>89243</v>
      </c>
      <c r="B9395" t="s">
        <v>507</v>
      </c>
      <c r="C9395" t="s">
        <v>451</v>
      </c>
      <c r="D9395" s="254">
        <v>387.96</v>
      </c>
      <c r="E9395"/>
      <c r="F9395"/>
      <c r="G9395"/>
      <c r="H9395"/>
      <c r="I9395" s="489"/>
      <c r="J9395" s="1362"/>
      <c r="K9395" s="1362"/>
      <c r="L9395" s="1362"/>
    </row>
    <row r="9396" spans="1:12" x14ac:dyDescent="0.25">
      <c r="A9396">
        <v>89251</v>
      </c>
      <c r="B9396" t="s">
        <v>508</v>
      </c>
      <c r="C9396" t="s">
        <v>451</v>
      </c>
      <c r="D9396" s="254">
        <v>340.64</v>
      </c>
      <c r="E9396"/>
      <c r="F9396"/>
      <c r="G9396"/>
      <c r="H9396"/>
      <c r="I9396" s="489"/>
      <c r="J9396" s="1362"/>
      <c r="K9396" s="1362"/>
      <c r="L9396" s="1362"/>
    </row>
    <row r="9397" spans="1:12" x14ac:dyDescent="0.25">
      <c r="A9397">
        <v>89258</v>
      </c>
      <c r="B9397" t="s">
        <v>509</v>
      </c>
      <c r="C9397" t="s">
        <v>451</v>
      </c>
      <c r="D9397" s="254">
        <v>119.34</v>
      </c>
      <c r="E9397"/>
      <c r="F9397"/>
      <c r="G9397"/>
      <c r="H9397"/>
      <c r="I9397" s="489"/>
      <c r="J9397" s="1362"/>
      <c r="K9397" s="1362"/>
      <c r="L9397" s="1362"/>
    </row>
    <row r="9398" spans="1:12" x14ac:dyDescent="0.25">
      <c r="A9398">
        <v>89273</v>
      </c>
      <c r="B9398" t="s">
        <v>510</v>
      </c>
      <c r="C9398" t="s">
        <v>451</v>
      </c>
      <c r="D9398" s="254">
        <v>91.44</v>
      </c>
      <c r="E9398"/>
      <c r="F9398"/>
      <c r="G9398"/>
      <c r="H9398"/>
      <c r="I9398" s="489"/>
      <c r="J9398" s="1362"/>
      <c r="K9398" s="1362"/>
      <c r="L9398" s="1362"/>
    </row>
    <row r="9399" spans="1:12" x14ac:dyDescent="0.25">
      <c r="A9399">
        <v>89279</v>
      </c>
      <c r="B9399" t="s">
        <v>511</v>
      </c>
      <c r="C9399" t="s">
        <v>451</v>
      </c>
      <c r="D9399" s="254">
        <v>1.72</v>
      </c>
      <c r="E9399"/>
      <c r="F9399"/>
      <c r="G9399"/>
      <c r="H9399"/>
      <c r="I9399" s="489"/>
      <c r="J9399" s="1362"/>
      <c r="K9399" s="1362"/>
      <c r="L9399" s="1362"/>
    </row>
    <row r="9400" spans="1:12" x14ac:dyDescent="0.25">
      <c r="A9400">
        <v>89877</v>
      </c>
      <c r="B9400" t="s">
        <v>512</v>
      </c>
      <c r="C9400" t="s">
        <v>451</v>
      </c>
      <c r="D9400" s="254">
        <v>63.64</v>
      </c>
      <c r="E9400"/>
      <c r="F9400"/>
      <c r="G9400"/>
      <c r="H9400"/>
      <c r="I9400" s="489"/>
      <c r="J9400" s="1362"/>
      <c r="K9400" s="1362"/>
      <c r="L9400" s="1362"/>
    </row>
    <row r="9401" spans="1:12" x14ac:dyDescent="0.25">
      <c r="A9401">
        <v>89884</v>
      </c>
      <c r="B9401" t="s">
        <v>513</v>
      </c>
      <c r="C9401" t="s">
        <v>451</v>
      </c>
      <c r="D9401" s="254">
        <v>66.569999999999993</v>
      </c>
      <c r="E9401"/>
      <c r="F9401"/>
      <c r="G9401"/>
      <c r="H9401"/>
      <c r="I9401" s="489"/>
      <c r="J9401" s="1362"/>
      <c r="K9401" s="1362"/>
      <c r="L9401" s="1362"/>
    </row>
    <row r="9402" spans="1:12" x14ac:dyDescent="0.25">
      <c r="A9402">
        <v>90587</v>
      </c>
      <c r="B9402" t="s">
        <v>514</v>
      </c>
      <c r="C9402" t="s">
        <v>451</v>
      </c>
      <c r="D9402" s="254">
        <v>0.56000000000000005</v>
      </c>
      <c r="E9402"/>
      <c r="F9402"/>
      <c r="G9402"/>
      <c r="H9402"/>
      <c r="I9402" s="489"/>
      <c r="J9402" s="1362"/>
      <c r="K9402" s="1362"/>
      <c r="L9402" s="1362"/>
    </row>
    <row r="9403" spans="1:12" x14ac:dyDescent="0.25">
      <c r="A9403">
        <v>90626</v>
      </c>
      <c r="B9403" t="s">
        <v>515</v>
      </c>
      <c r="C9403" t="s">
        <v>451</v>
      </c>
      <c r="D9403" s="254">
        <v>1.74</v>
      </c>
      <c r="E9403"/>
      <c r="F9403"/>
      <c r="G9403"/>
      <c r="H9403"/>
      <c r="I9403" s="489"/>
      <c r="J9403" s="1362"/>
      <c r="K9403" s="1362"/>
      <c r="L9403" s="1362"/>
    </row>
    <row r="9404" spans="1:12" x14ac:dyDescent="0.25">
      <c r="A9404">
        <v>90632</v>
      </c>
      <c r="B9404" t="s">
        <v>516</v>
      </c>
      <c r="C9404" t="s">
        <v>451</v>
      </c>
      <c r="D9404" s="254">
        <v>82.23</v>
      </c>
      <c r="E9404"/>
      <c r="F9404"/>
      <c r="G9404"/>
      <c r="H9404"/>
      <c r="I9404" s="489"/>
      <c r="J9404" s="1362"/>
      <c r="K9404" s="1362"/>
      <c r="L9404" s="1362"/>
    </row>
    <row r="9405" spans="1:12" x14ac:dyDescent="0.25">
      <c r="A9405">
        <v>90638</v>
      </c>
      <c r="B9405" t="s">
        <v>517</v>
      </c>
      <c r="C9405" t="s">
        <v>451</v>
      </c>
      <c r="D9405" s="254">
        <v>4.38</v>
      </c>
      <c r="E9405"/>
      <c r="F9405"/>
      <c r="G9405"/>
      <c r="H9405"/>
      <c r="I9405" s="489"/>
      <c r="J9405" s="1362"/>
      <c r="K9405" s="1362"/>
      <c r="L9405" s="1362"/>
    </row>
    <row r="9406" spans="1:12" x14ac:dyDescent="0.25">
      <c r="A9406">
        <v>90644</v>
      </c>
      <c r="B9406" t="s">
        <v>518</v>
      </c>
      <c r="C9406" t="s">
        <v>451</v>
      </c>
      <c r="D9406" s="254">
        <v>6.55</v>
      </c>
      <c r="E9406"/>
      <c r="F9406"/>
      <c r="G9406"/>
      <c r="H9406"/>
      <c r="I9406" s="489"/>
      <c r="J9406" s="1362"/>
      <c r="K9406" s="1362"/>
      <c r="L9406" s="1362"/>
    </row>
    <row r="9407" spans="1:12" x14ac:dyDescent="0.25">
      <c r="A9407">
        <v>90651</v>
      </c>
      <c r="B9407" t="s">
        <v>519</v>
      </c>
      <c r="C9407" t="s">
        <v>451</v>
      </c>
      <c r="D9407" s="254">
        <v>0.79</v>
      </c>
      <c r="E9407"/>
      <c r="F9407"/>
      <c r="G9407"/>
      <c r="H9407"/>
      <c r="I9407" s="489"/>
      <c r="J9407" s="1362"/>
      <c r="K9407" s="1362"/>
      <c r="L9407" s="1362"/>
    </row>
    <row r="9408" spans="1:12" x14ac:dyDescent="0.25">
      <c r="A9408">
        <v>90657</v>
      </c>
      <c r="B9408" t="s">
        <v>520</v>
      </c>
      <c r="C9408" t="s">
        <v>451</v>
      </c>
      <c r="D9408" s="254">
        <v>4.26</v>
      </c>
      <c r="E9408"/>
      <c r="F9408"/>
      <c r="G9408"/>
      <c r="H9408"/>
      <c r="I9408" s="489"/>
      <c r="J9408" s="1362"/>
      <c r="K9408" s="1362"/>
      <c r="L9408" s="1362"/>
    </row>
    <row r="9409" spans="1:12" x14ac:dyDescent="0.25">
      <c r="A9409">
        <v>90663</v>
      </c>
      <c r="B9409" t="s">
        <v>521</v>
      </c>
      <c r="C9409" t="s">
        <v>451</v>
      </c>
      <c r="D9409" s="254">
        <v>4.5599999999999996</v>
      </c>
      <c r="E9409"/>
      <c r="F9409"/>
      <c r="G9409"/>
      <c r="H9409"/>
      <c r="I9409" s="489"/>
      <c r="J9409" s="1362"/>
      <c r="K9409" s="1362"/>
      <c r="L9409" s="1362"/>
    </row>
    <row r="9410" spans="1:12" x14ac:dyDescent="0.25">
      <c r="A9410">
        <v>90669</v>
      </c>
      <c r="B9410" t="s">
        <v>522</v>
      </c>
      <c r="C9410" t="s">
        <v>451</v>
      </c>
      <c r="D9410" s="254">
        <v>7.51</v>
      </c>
      <c r="E9410"/>
      <c r="F9410"/>
      <c r="G9410"/>
      <c r="H9410"/>
      <c r="I9410" s="489"/>
      <c r="J9410" s="1362"/>
      <c r="K9410" s="1362"/>
      <c r="L9410" s="1362"/>
    </row>
    <row r="9411" spans="1:12" x14ac:dyDescent="0.25">
      <c r="A9411">
        <v>90675</v>
      </c>
      <c r="B9411" t="s">
        <v>523</v>
      </c>
      <c r="C9411" t="s">
        <v>451</v>
      </c>
      <c r="D9411" s="254">
        <v>283.76</v>
      </c>
      <c r="E9411"/>
      <c r="F9411"/>
      <c r="G9411"/>
      <c r="H9411"/>
      <c r="I9411" s="489"/>
      <c r="J9411" s="1362"/>
      <c r="K9411" s="1362"/>
      <c r="L9411" s="1362"/>
    </row>
    <row r="9412" spans="1:12" x14ac:dyDescent="0.25">
      <c r="A9412">
        <v>90681</v>
      </c>
      <c r="B9412" t="s">
        <v>524</v>
      </c>
      <c r="C9412" t="s">
        <v>451</v>
      </c>
      <c r="D9412" s="254">
        <v>161.75</v>
      </c>
      <c r="E9412"/>
      <c r="F9412"/>
      <c r="G9412"/>
      <c r="H9412"/>
      <c r="I9412" s="489"/>
      <c r="J9412" s="1362"/>
      <c r="K9412" s="1362"/>
      <c r="L9412" s="1362"/>
    </row>
    <row r="9413" spans="1:12" x14ac:dyDescent="0.25">
      <c r="A9413">
        <v>90687</v>
      </c>
      <c r="B9413" t="s">
        <v>525</v>
      </c>
      <c r="C9413" t="s">
        <v>451</v>
      </c>
      <c r="D9413" s="254">
        <v>64.040000000000006</v>
      </c>
      <c r="E9413"/>
      <c r="F9413"/>
      <c r="G9413"/>
      <c r="H9413"/>
      <c r="I9413" s="489"/>
      <c r="J9413" s="1362"/>
      <c r="K9413" s="1362"/>
      <c r="L9413" s="1362"/>
    </row>
    <row r="9414" spans="1:12" x14ac:dyDescent="0.25">
      <c r="A9414">
        <v>90693</v>
      </c>
      <c r="B9414" t="s">
        <v>526</v>
      </c>
      <c r="C9414" t="s">
        <v>451</v>
      </c>
      <c r="D9414" s="254">
        <v>51.68</v>
      </c>
      <c r="E9414"/>
      <c r="F9414"/>
      <c r="G9414"/>
      <c r="H9414"/>
      <c r="I9414" s="489"/>
      <c r="J9414" s="1362"/>
      <c r="K9414" s="1362"/>
      <c r="L9414" s="1362"/>
    </row>
    <row r="9415" spans="1:12" x14ac:dyDescent="0.25">
      <c r="A9415">
        <v>90965</v>
      </c>
      <c r="B9415" t="s">
        <v>527</v>
      </c>
      <c r="C9415" t="s">
        <v>451</v>
      </c>
      <c r="D9415" s="254">
        <v>7.47</v>
      </c>
      <c r="E9415"/>
      <c r="F9415"/>
      <c r="G9415"/>
      <c r="H9415"/>
      <c r="I9415" s="489"/>
      <c r="J9415" s="1362"/>
      <c r="K9415" s="1362"/>
      <c r="L9415" s="1362"/>
    </row>
    <row r="9416" spans="1:12" x14ac:dyDescent="0.25">
      <c r="A9416">
        <v>90973</v>
      </c>
      <c r="B9416" t="s">
        <v>528</v>
      </c>
      <c r="C9416" t="s">
        <v>451</v>
      </c>
      <c r="D9416" s="254">
        <v>7.49</v>
      </c>
      <c r="E9416"/>
      <c r="F9416"/>
      <c r="G9416"/>
      <c r="H9416"/>
      <c r="I9416" s="489"/>
      <c r="J9416" s="1362"/>
      <c r="K9416" s="1362"/>
      <c r="L9416" s="1362"/>
    </row>
    <row r="9417" spans="1:12" x14ac:dyDescent="0.25">
      <c r="A9417">
        <v>90982</v>
      </c>
      <c r="B9417" t="s">
        <v>529</v>
      </c>
      <c r="C9417" t="s">
        <v>451</v>
      </c>
      <c r="D9417" s="254">
        <v>19.03</v>
      </c>
      <c r="E9417"/>
      <c r="F9417"/>
      <c r="G9417"/>
      <c r="H9417"/>
      <c r="I9417" s="489"/>
      <c r="J9417" s="1362"/>
      <c r="K9417" s="1362"/>
      <c r="L9417" s="1362"/>
    </row>
    <row r="9418" spans="1:12" x14ac:dyDescent="0.25">
      <c r="A9418">
        <v>91001</v>
      </c>
      <c r="B9418" t="s">
        <v>530</v>
      </c>
      <c r="C9418" t="s">
        <v>451</v>
      </c>
      <c r="D9418" s="254">
        <v>8.8800000000000008</v>
      </c>
      <c r="E9418"/>
      <c r="F9418"/>
      <c r="G9418"/>
      <c r="H9418"/>
      <c r="I9418" s="489"/>
      <c r="J9418" s="1362"/>
      <c r="K9418" s="1362"/>
      <c r="L9418" s="1362"/>
    </row>
    <row r="9419" spans="1:12" x14ac:dyDescent="0.25">
      <c r="A9419">
        <v>91032</v>
      </c>
      <c r="B9419" t="s">
        <v>531</v>
      </c>
      <c r="C9419" t="s">
        <v>451</v>
      </c>
      <c r="D9419" s="254">
        <v>53.23</v>
      </c>
      <c r="E9419"/>
      <c r="F9419"/>
      <c r="G9419"/>
      <c r="H9419"/>
      <c r="I9419" s="489"/>
      <c r="J9419" s="1362"/>
      <c r="K9419" s="1362"/>
      <c r="L9419" s="1362"/>
    </row>
    <row r="9420" spans="1:12" x14ac:dyDescent="0.25">
      <c r="A9420">
        <v>91278</v>
      </c>
      <c r="B9420" t="s">
        <v>532</v>
      </c>
      <c r="C9420" t="s">
        <v>451</v>
      </c>
      <c r="D9420" s="254">
        <v>0.6</v>
      </c>
      <c r="E9420"/>
      <c r="F9420"/>
      <c r="G9420"/>
      <c r="H9420"/>
      <c r="I9420" s="489"/>
      <c r="J9420" s="1362"/>
      <c r="K9420" s="1362"/>
      <c r="L9420" s="1362"/>
    </row>
    <row r="9421" spans="1:12" x14ac:dyDescent="0.25">
      <c r="A9421">
        <v>91285</v>
      </c>
      <c r="B9421" t="s">
        <v>533</v>
      </c>
      <c r="C9421" t="s">
        <v>451</v>
      </c>
      <c r="D9421" s="254">
        <v>0.85</v>
      </c>
      <c r="E9421"/>
      <c r="F9421"/>
      <c r="G9421"/>
      <c r="H9421"/>
      <c r="I9421" s="489"/>
      <c r="J9421" s="1362"/>
      <c r="K9421" s="1362"/>
      <c r="L9421" s="1362"/>
    </row>
    <row r="9422" spans="1:12" x14ac:dyDescent="0.25">
      <c r="A9422">
        <v>91387</v>
      </c>
      <c r="B9422" t="s">
        <v>534</v>
      </c>
      <c r="C9422" t="s">
        <v>451</v>
      </c>
      <c r="D9422" s="254">
        <v>56.89</v>
      </c>
      <c r="E9422"/>
      <c r="F9422"/>
      <c r="G9422"/>
      <c r="H9422"/>
      <c r="I9422" s="489"/>
      <c r="J9422" s="1362"/>
      <c r="K9422" s="1362"/>
      <c r="L9422" s="1362"/>
    </row>
    <row r="9423" spans="1:12" x14ac:dyDescent="0.25">
      <c r="A9423">
        <v>91395</v>
      </c>
      <c r="B9423" t="s">
        <v>535</v>
      </c>
      <c r="C9423" t="s">
        <v>451</v>
      </c>
      <c r="D9423" s="254">
        <v>46.51</v>
      </c>
      <c r="E9423"/>
      <c r="F9423"/>
      <c r="G9423"/>
      <c r="H9423"/>
      <c r="I9423" s="489"/>
      <c r="J9423" s="1362"/>
      <c r="K9423" s="1362"/>
      <c r="L9423" s="1362"/>
    </row>
    <row r="9424" spans="1:12" x14ac:dyDescent="0.25">
      <c r="A9424">
        <v>91486</v>
      </c>
      <c r="B9424" t="s">
        <v>536</v>
      </c>
      <c r="C9424" t="s">
        <v>451</v>
      </c>
      <c r="D9424" s="254">
        <v>55.49</v>
      </c>
      <c r="E9424"/>
      <c r="F9424"/>
      <c r="G9424"/>
      <c r="H9424"/>
      <c r="I9424" s="489"/>
      <c r="J9424" s="1362"/>
      <c r="K9424" s="1362"/>
      <c r="L9424" s="1362"/>
    </row>
    <row r="9425" spans="1:12" x14ac:dyDescent="0.25">
      <c r="A9425">
        <v>91534</v>
      </c>
      <c r="B9425" t="s">
        <v>537</v>
      </c>
      <c r="C9425" t="s">
        <v>451</v>
      </c>
      <c r="D9425" s="254">
        <v>27.11</v>
      </c>
      <c r="E9425"/>
      <c r="F9425"/>
      <c r="G9425"/>
      <c r="H9425"/>
      <c r="I9425" s="489"/>
      <c r="J9425" s="1362"/>
      <c r="K9425" s="1362"/>
      <c r="L9425" s="1362"/>
    </row>
    <row r="9426" spans="1:12" x14ac:dyDescent="0.25">
      <c r="A9426">
        <v>91635</v>
      </c>
      <c r="B9426" t="s">
        <v>538</v>
      </c>
      <c r="C9426" t="s">
        <v>451</v>
      </c>
      <c r="D9426" s="254">
        <v>51.79</v>
      </c>
      <c r="E9426"/>
      <c r="F9426"/>
      <c r="G9426"/>
      <c r="H9426"/>
      <c r="I9426" s="489"/>
      <c r="J9426" s="1362"/>
      <c r="K9426" s="1362"/>
      <c r="L9426" s="1362"/>
    </row>
    <row r="9427" spans="1:12" x14ac:dyDescent="0.25">
      <c r="A9427">
        <v>91646</v>
      </c>
      <c r="B9427" t="s">
        <v>539</v>
      </c>
      <c r="C9427" t="s">
        <v>451</v>
      </c>
      <c r="D9427" s="254">
        <v>74.650000000000006</v>
      </c>
      <c r="E9427"/>
      <c r="F9427"/>
      <c r="G9427"/>
      <c r="H9427"/>
      <c r="I9427" s="489"/>
      <c r="J9427" s="1362"/>
      <c r="K9427" s="1362"/>
      <c r="L9427" s="1362"/>
    </row>
    <row r="9428" spans="1:12" x14ac:dyDescent="0.25">
      <c r="A9428">
        <v>91693</v>
      </c>
      <c r="B9428" t="s">
        <v>540</v>
      </c>
      <c r="C9428" t="s">
        <v>451</v>
      </c>
      <c r="D9428" s="254">
        <v>26.3</v>
      </c>
      <c r="E9428"/>
      <c r="F9428"/>
      <c r="G9428"/>
      <c r="H9428"/>
      <c r="I9428" s="489"/>
      <c r="J9428" s="1362"/>
      <c r="K9428" s="1362"/>
      <c r="L9428" s="1362"/>
    </row>
    <row r="9429" spans="1:12" x14ac:dyDescent="0.25">
      <c r="A9429">
        <v>92044</v>
      </c>
      <c r="B9429" t="s">
        <v>541</v>
      </c>
      <c r="C9429" t="s">
        <v>451</v>
      </c>
      <c r="D9429" s="254">
        <v>7.44</v>
      </c>
      <c r="E9429"/>
      <c r="F9429"/>
      <c r="G9429"/>
      <c r="H9429"/>
      <c r="I9429" s="489"/>
      <c r="J9429" s="1362"/>
      <c r="K9429" s="1362"/>
      <c r="L9429" s="1362"/>
    </row>
    <row r="9430" spans="1:12" x14ac:dyDescent="0.25">
      <c r="A9430">
        <v>92107</v>
      </c>
      <c r="B9430" t="s">
        <v>542</v>
      </c>
      <c r="C9430" t="s">
        <v>451</v>
      </c>
      <c r="D9430" s="254">
        <v>76.3</v>
      </c>
      <c r="E9430"/>
      <c r="F9430"/>
      <c r="G9430"/>
      <c r="H9430"/>
      <c r="I9430" s="489"/>
      <c r="J9430" s="1362"/>
      <c r="K9430" s="1362"/>
      <c r="L9430" s="1362"/>
    </row>
    <row r="9431" spans="1:12" x14ac:dyDescent="0.25">
      <c r="A9431">
        <v>92113</v>
      </c>
      <c r="B9431" t="s">
        <v>543</v>
      </c>
      <c r="C9431" t="s">
        <v>451</v>
      </c>
      <c r="D9431" s="254">
        <v>1.01</v>
      </c>
      <c r="E9431"/>
      <c r="F9431"/>
      <c r="G9431"/>
      <c r="H9431"/>
      <c r="I9431" s="489"/>
      <c r="J9431" s="1362"/>
      <c r="K9431" s="1362"/>
      <c r="L9431" s="1362"/>
    </row>
    <row r="9432" spans="1:12" x14ac:dyDescent="0.25">
      <c r="A9432">
        <v>92119</v>
      </c>
      <c r="B9432" t="s">
        <v>544</v>
      </c>
      <c r="C9432" t="s">
        <v>451</v>
      </c>
      <c r="D9432" s="254">
        <v>0.25</v>
      </c>
      <c r="E9432"/>
      <c r="F9432"/>
      <c r="G9432"/>
      <c r="H9432"/>
      <c r="I9432" s="489"/>
      <c r="J9432" s="1362"/>
      <c r="K9432" s="1362"/>
      <c r="L9432" s="1362"/>
    </row>
    <row r="9433" spans="1:12" x14ac:dyDescent="0.25">
      <c r="A9433">
        <v>92139</v>
      </c>
      <c r="B9433" t="s">
        <v>545</v>
      </c>
      <c r="C9433" t="s">
        <v>451</v>
      </c>
      <c r="D9433" s="254">
        <v>41.24</v>
      </c>
      <c r="E9433"/>
      <c r="F9433"/>
      <c r="G9433"/>
      <c r="H9433"/>
      <c r="I9433" s="489"/>
      <c r="J9433" s="1362"/>
      <c r="K9433" s="1362"/>
      <c r="L9433" s="1362"/>
    </row>
    <row r="9434" spans="1:12" x14ac:dyDescent="0.25">
      <c r="A9434">
        <v>92146</v>
      </c>
      <c r="B9434" t="s">
        <v>546</v>
      </c>
      <c r="C9434" t="s">
        <v>451</v>
      </c>
      <c r="D9434" s="254">
        <v>30.85</v>
      </c>
      <c r="E9434"/>
      <c r="F9434"/>
      <c r="G9434"/>
      <c r="H9434"/>
      <c r="I9434" s="489"/>
      <c r="J9434" s="1362"/>
      <c r="K9434" s="1362"/>
      <c r="L9434" s="1362"/>
    </row>
    <row r="9435" spans="1:12" x14ac:dyDescent="0.25">
      <c r="A9435">
        <v>92243</v>
      </c>
      <c r="B9435" t="s">
        <v>547</v>
      </c>
      <c r="C9435" t="s">
        <v>451</v>
      </c>
      <c r="D9435" s="254">
        <v>62.76</v>
      </c>
      <c r="E9435"/>
      <c r="F9435"/>
      <c r="G9435"/>
      <c r="H9435"/>
      <c r="I9435" s="489"/>
      <c r="J9435" s="1362"/>
      <c r="K9435" s="1362"/>
      <c r="L9435" s="1362"/>
    </row>
    <row r="9436" spans="1:12" x14ac:dyDescent="0.25">
      <c r="A9436">
        <v>92717</v>
      </c>
      <c r="B9436" t="s">
        <v>548</v>
      </c>
      <c r="C9436" t="s">
        <v>451</v>
      </c>
      <c r="D9436" s="254">
        <v>0.27</v>
      </c>
      <c r="E9436"/>
      <c r="F9436"/>
      <c r="G9436"/>
      <c r="H9436"/>
      <c r="I9436" s="489"/>
      <c r="J9436" s="1362"/>
      <c r="K9436" s="1362"/>
      <c r="L9436" s="1362"/>
    </row>
    <row r="9437" spans="1:12" x14ac:dyDescent="0.25">
      <c r="A9437">
        <v>92961</v>
      </c>
      <c r="B9437" t="s">
        <v>549</v>
      </c>
      <c r="C9437" t="s">
        <v>451</v>
      </c>
      <c r="D9437" s="254">
        <v>4.49</v>
      </c>
      <c r="E9437"/>
      <c r="F9437"/>
      <c r="G9437"/>
      <c r="H9437"/>
      <c r="I9437" s="489"/>
      <c r="J9437" s="1362"/>
      <c r="K9437" s="1362"/>
      <c r="L9437" s="1362"/>
    </row>
    <row r="9438" spans="1:12" x14ac:dyDescent="0.25">
      <c r="A9438">
        <v>92967</v>
      </c>
      <c r="B9438" t="s">
        <v>550</v>
      </c>
      <c r="C9438" t="s">
        <v>451</v>
      </c>
      <c r="D9438" s="254">
        <v>23.41</v>
      </c>
      <c r="E9438"/>
      <c r="F9438"/>
      <c r="G9438"/>
      <c r="H9438"/>
      <c r="I9438" s="489"/>
      <c r="J9438" s="1362"/>
      <c r="K9438" s="1362"/>
      <c r="L9438" s="1362"/>
    </row>
    <row r="9439" spans="1:12" x14ac:dyDescent="0.25">
      <c r="A9439">
        <v>93225</v>
      </c>
      <c r="B9439" t="s">
        <v>551</v>
      </c>
      <c r="C9439" t="s">
        <v>451</v>
      </c>
      <c r="D9439" s="254">
        <v>426.7</v>
      </c>
      <c r="E9439"/>
      <c r="F9439"/>
      <c r="G9439"/>
      <c r="H9439"/>
      <c r="I9439" s="489"/>
      <c r="J9439" s="1362"/>
      <c r="K9439" s="1362"/>
      <c r="L9439" s="1362"/>
    </row>
    <row r="9440" spans="1:12" x14ac:dyDescent="0.25">
      <c r="A9440">
        <v>93234</v>
      </c>
      <c r="B9440" t="s">
        <v>552</v>
      </c>
      <c r="C9440" t="s">
        <v>451</v>
      </c>
      <c r="D9440" s="254">
        <v>0.43</v>
      </c>
      <c r="E9440"/>
      <c r="F9440"/>
      <c r="G9440"/>
      <c r="H9440"/>
      <c r="I9440" s="489"/>
      <c r="J9440" s="1362"/>
      <c r="K9440" s="1362"/>
      <c r="L9440" s="1362"/>
    </row>
    <row r="9441" spans="1:12" x14ac:dyDescent="0.25">
      <c r="A9441">
        <v>93244</v>
      </c>
      <c r="B9441" t="s">
        <v>553</v>
      </c>
      <c r="C9441" t="s">
        <v>451</v>
      </c>
      <c r="D9441" s="254">
        <v>47.66</v>
      </c>
      <c r="E9441"/>
      <c r="F9441"/>
      <c r="G9441"/>
      <c r="H9441"/>
      <c r="I9441" s="489"/>
      <c r="J9441" s="1362"/>
      <c r="K9441" s="1362"/>
      <c r="L9441" s="1362"/>
    </row>
    <row r="9442" spans="1:12" x14ac:dyDescent="0.25">
      <c r="A9442">
        <v>93274</v>
      </c>
      <c r="B9442" t="s">
        <v>554</v>
      </c>
      <c r="C9442" t="s">
        <v>451</v>
      </c>
      <c r="D9442" s="254">
        <v>56.17</v>
      </c>
      <c r="E9442"/>
      <c r="F9442"/>
      <c r="G9442"/>
      <c r="H9442"/>
      <c r="I9442" s="489"/>
      <c r="J9442" s="1362"/>
      <c r="K9442" s="1362"/>
      <c r="L9442" s="1362"/>
    </row>
    <row r="9443" spans="1:12" x14ac:dyDescent="0.25">
      <c r="A9443">
        <v>93282</v>
      </c>
      <c r="B9443" t="s">
        <v>555</v>
      </c>
      <c r="C9443" t="s">
        <v>451</v>
      </c>
      <c r="D9443" s="254">
        <v>26.02</v>
      </c>
      <c r="E9443"/>
      <c r="F9443"/>
      <c r="G9443"/>
      <c r="H9443"/>
      <c r="I9443" s="489"/>
      <c r="J9443" s="1362"/>
      <c r="K9443" s="1362"/>
      <c r="L9443" s="1362"/>
    </row>
    <row r="9444" spans="1:12" x14ac:dyDescent="0.25">
      <c r="A9444">
        <v>93288</v>
      </c>
      <c r="B9444" t="s">
        <v>556</v>
      </c>
      <c r="C9444" t="s">
        <v>451</v>
      </c>
      <c r="D9444" s="254">
        <v>152.16</v>
      </c>
      <c r="E9444"/>
      <c r="F9444"/>
      <c r="G9444"/>
      <c r="H9444"/>
      <c r="I9444" s="489"/>
      <c r="J9444" s="1362"/>
      <c r="K9444" s="1362"/>
      <c r="L9444" s="1362"/>
    </row>
    <row r="9445" spans="1:12" x14ac:dyDescent="0.25">
      <c r="A9445">
        <v>93403</v>
      </c>
      <c r="B9445" t="s">
        <v>557</v>
      </c>
      <c r="C9445" t="s">
        <v>451</v>
      </c>
      <c r="D9445" s="254">
        <v>55.92</v>
      </c>
      <c r="E9445"/>
      <c r="F9445"/>
      <c r="G9445"/>
      <c r="H9445"/>
      <c r="I9445" s="489"/>
      <c r="J9445" s="1362"/>
      <c r="K9445" s="1362"/>
      <c r="L9445" s="1362"/>
    </row>
    <row r="9446" spans="1:12" x14ac:dyDescent="0.25">
      <c r="A9446">
        <v>93409</v>
      </c>
      <c r="B9446" t="s">
        <v>3936</v>
      </c>
      <c r="C9446" t="s">
        <v>451</v>
      </c>
      <c r="D9446" s="254">
        <v>33.44</v>
      </c>
      <c r="E9446"/>
      <c r="F9446"/>
      <c r="G9446"/>
      <c r="H9446"/>
      <c r="I9446" s="489"/>
      <c r="J9446" s="1362"/>
      <c r="K9446" s="1362"/>
      <c r="L9446" s="1362"/>
    </row>
    <row r="9447" spans="1:12" x14ac:dyDescent="0.25">
      <c r="A9447">
        <v>93416</v>
      </c>
      <c r="B9447" t="s">
        <v>558</v>
      </c>
      <c r="C9447" t="s">
        <v>451</v>
      </c>
      <c r="D9447" s="254">
        <v>0.36</v>
      </c>
      <c r="E9447"/>
      <c r="F9447"/>
      <c r="G9447"/>
      <c r="H9447"/>
      <c r="I9447" s="489"/>
      <c r="J9447" s="1362"/>
      <c r="K9447" s="1362"/>
      <c r="L9447" s="1362"/>
    </row>
    <row r="9448" spans="1:12" x14ac:dyDescent="0.25">
      <c r="A9448">
        <v>93422</v>
      </c>
      <c r="B9448" t="s">
        <v>559</v>
      </c>
      <c r="C9448" t="s">
        <v>451</v>
      </c>
      <c r="D9448" s="254">
        <v>4.9000000000000004</v>
      </c>
      <c r="E9448"/>
      <c r="F9448"/>
      <c r="G9448"/>
      <c r="H9448"/>
      <c r="I9448" s="489"/>
      <c r="J9448" s="1362"/>
      <c r="K9448" s="1362"/>
      <c r="L9448" s="1362"/>
    </row>
    <row r="9449" spans="1:12" x14ac:dyDescent="0.25">
      <c r="A9449">
        <v>93428</v>
      </c>
      <c r="B9449" t="s">
        <v>560</v>
      </c>
      <c r="C9449" t="s">
        <v>451</v>
      </c>
      <c r="D9449" s="254">
        <v>6.94</v>
      </c>
      <c r="E9449"/>
      <c r="F9449"/>
      <c r="G9449"/>
      <c r="H9449"/>
      <c r="I9449" s="489"/>
      <c r="J9449" s="1362"/>
      <c r="K9449" s="1362"/>
      <c r="L9449" s="1362"/>
    </row>
    <row r="9450" spans="1:12" x14ac:dyDescent="0.25">
      <c r="A9450">
        <v>93434</v>
      </c>
      <c r="B9450" t="s">
        <v>561</v>
      </c>
      <c r="C9450" t="s">
        <v>451</v>
      </c>
      <c r="D9450" s="254">
        <v>266.68</v>
      </c>
      <c r="E9450"/>
      <c r="F9450"/>
      <c r="G9450"/>
      <c r="H9450"/>
      <c r="I9450" s="489"/>
      <c r="J9450" s="1362"/>
      <c r="K9450" s="1362"/>
      <c r="L9450" s="1362"/>
    </row>
    <row r="9451" spans="1:12" x14ac:dyDescent="0.25">
      <c r="A9451">
        <v>93440</v>
      </c>
      <c r="B9451" t="s">
        <v>562</v>
      </c>
      <c r="C9451" t="s">
        <v>451</v>
      </c>
      <c r="D9451" s="254">
        <v>115.62</v>
      </c>
      <c r="E9451"/>
      <c r="F9451"/>
      <c r="G9451"/>
      <c r="H9451"/>
      <c r="I9451" s="489"/>
      <c r="J9451" s="1362"/>
      <c r="K9451" s="1362"/>
      <c r="L9451" s="1362"/>
    </row>
    <row r="9452" spans="1:12" x14ac:dyDescent="0.25">
      <c r="A9452">
        <v>95122</v>
      </c>
      <c r="B9452" t="s">
        <v>563</v>
      </c>
      <c r="C9452" t="s">
        <v>451</v>
      </c>
      <c r="D9452" s="254">
        <v>180.04</v>
      </c>
      <c r="E9452"/>
      <c r="F9452"/>
      <c r="G9452"/>
      <c r="H9452"/>
      <c r="I9452" s="489"/>
      <c r="J9452" s="1362"/>
      <c r="K9452" s="1362"/>
      <c r="L9452" s="1362"/>
    </row>
    <row r="9453" spans="1:12" x14ac:dyDescent="0.25">
      <c r="A9453">
        <v>95128</v>
      </c>
      <c r="B9453" t="s">
        <v>564</v>
      </c>
      <c r="C9453" t="s">
        <v>451</v>
      </c>
      <c r="D9453" s="254">
        <v>47.7</v>
      </c>
      <c r="E9453"/>
      <c r="F9453"/>
      <c r="G9453"/>
      <c r="H9453"/>
      <c r="I9453" s="489"/>
      <c r="J9453" s="1362"/>
      <c r="K9453" s="1362"/>
      <c r="L9453" s="1362"/>
    </row>
    <row r="9454" spans="1:12" x14ac:dyDescent="0.25">
      <c r="A9454">
        <v>95140</v>
      </c>
      <c r="B9454" t="s">
        <v>565</v>
      </c>
      <c r="C9454" t="s">
        <v>451</v>
      </c>
      <c r="D9454" s="254">
        <v>0.03</v>
      </c>
      <c r="E9454"/>
      <c r="F9454"/>
      <c r="G9454"/>
      <c r="H9454"/>
      <c r="I9454" s="489"/>
      <c r="J9454" s="1362"/>
      <c r="K9454" s="1362"/>
      <c r="L9454" s="1362"/>
    </row>
    <row r="9455" spans="1:12" x14ac:dyDescent="0.25">
      <c r="A9455">
        <v>95213</v>
      </c>
      <c r="B9455" t="s">
        <v>566</v>
      </c>
      <c r="C9455" t="s">
        <v>451</v>
      </c>
      <c r="D9455" s="254">
        <v>83.35</v>
      </c>
      <c r="E9455"/>
      <c r="F9455"/>
      <c r="G9455"/>
      <c r="H9455"/>
      <c r="I9455" s="489"/>
      <c r="J9455" s="1362"/>
      <c r="K9455" s="1362"/>
      <c r="L9455" s="1362"/>
    </row>
    <row r="9456" spans="1:12" x14ac:dyDescent="0.25">
      <c r="A9456">
        <v>95259</v>
      </c>
      <c r="B9456" t="s">
        <v>567</v>
      </c>
      <c r="C9456" t="s">
        <v>451</v>
      </c>
      <c r="D9456" s="254">
        <v>23.23</v>
      </c>
      <c r="E9456"/>
      <c r="F9456"/>
      <c r="G9456"/>
      <c r="H9456"/>
      <c r="I9456" s="489"/>
      <c r="J9456" s="1362"/>
      <c r="K9456" s="1362"/>
      <c r="L9456" s="1362"/>
    </row>
    <row r="9457" spans="1:12" x14ac:dyDescent="0.25">
      <c r="A9457">
        <v>95265</v>
      </c>
      <c r="B9457" t="s">
        <v>568</v>
      </c>
      <c r="C9457" t="s">
        <v>451</v>
      </c>
      <c r="D9457" s="254">
        <v>0.75</v>
      </c>
      <c r="E9457"/>
      <c r="F9457"/>
      <c r="G9457"/>
      <c r="H9457"/>
      <c r="I9457" s="489"/>
      <c r="J9457" s="1362"/>
      <c r="K9457" s="1362"/>
      <c r="L9457" s="1362"/>
    </row>
    <row r="9458" spans="1:12" x14ac:dyDescent="0.25">
      <c r="A9458">
        <v>95271</v>
      </c>
      <c r="B9458" t="s">
        <v>569</v>
      </c>
      <c r="C9458" t="s">
        <v>451</v>
      </c>
      <c r="D9458" s="254">
        <v>0.5</v>
      </c>
      <c r="E9458"/>
      <c r="F9458"/>
      <c r="G9458"/>
      <c r="H9458"/>
      <c r="I9458" s="489"/>
      <c r="J9458" s="1362"/>
      <c r="K9458" s="1362"/>
      <c r="L9458" s="1362"/>
    </row>
    <row r="9459" spans="1:12" x14ac:dyDescent="0.25">
      <c r="A9459">
        <v>95277</v>
      </c>
      <c r="B9459" t="s">
        <v>570</v>
      </c>
      <c r="C9459" t="s">
        <v>451</v>
      </c>
      <c r="D9459" s="254">
        <v>0.5</v>
      </c>
      <c r="E9459"/>
      <c r="F9459"/>
      <c r="G9459"/>
      <c r="H9459"/>
      <c r="I9459" s="489"/>
      <c r="J9459" s="1362"/>
      <c r="K9459" s="1362"/>
      <c r="L9459" s="1362"/>
    </row>
    <row r="9460" spans="1:12" x14ac:dyDescent="0.25">
      <c r="A9460">
        <v>95283</v>
      </c>
      <c r="B9460" t="s">
        <v>18384</v>
      </c>
      <c r="C9460" t="s">
        <v>451</v>
      </c>
      <c r="D9460" s="254">
        <v>0.6</v>
      </c>
      <c r="E9460"/>
      <c r="F9460"/>
      <c r="G9460"/>
      <c r="H9460"/>
      <c r="I9460" s="489"/>
      <c r="J9460" s="1362"/>
      <c r="K9460" s="1362"/>
      <c r="L9460" s="1362"/>
    </row>
    <row r="9461" spans="1:12" x14ac:dyDescent="0.25">
      <c r="A9461">
        <v>95621</v>
      </c>
      <c r="B9461" t="s">
        <v>571</v>
      </c>
      <c r="C9461" t="s">
        <v>451</v>
      </c>
      <c r="D9461" s="254">
        <v>23.02</v>
      </c>
      <c r="E9461"/>
      <c r="F9461"/>
      <c r="G9461"/>
      <c r="H9461"/>
      <c r="I9461" s="489"/>
      <c r="J9461" s="1362"/>
      <c r="K9461" s="1362"/>
      <c r="L9461" s="1362"/>
    </row>
    <row r="9462" spans="1:12" x14ac:dyDescent="0.25">
      <c r="A9462">
        <v>95632</v>
      </c>
      <c r="B9462" t="s">
        <v>572</v>
      </c>
      <c r="C9462" t="s">
        <v>451</v>
      </c>
      <c r="D9462" s="254">
        <v>59.64</v>
      </c>
      <c r="E9462"/>
      <c r="F9462"/>
      <c r="G9462"/>
      <c r="H9462"/>
      <c r="I9462" s="489"/>
      <c r="J9462" s="1362"/>
      <c r="K9462" s="1362"/>
      <c r="L9462" s="1362"/>
    </row>
    <row r="9463" spans="1:12" x14ac:dyDescent="0.25">
      <c r="A9463">
        <v>95703</v>
      </c>
      <c r="B9463" t="s">
        <v>573</v>
      </c>
      <c r="C9463" t="s">
        <v>451</v>
      </c>
      <c r="D9463" s="254">
        <v>30.08</v>
      </c>
      <c r="E9463"/>
      <c r="F9463"/>
      <c r="G9463"/>
      <c r="H9463"/>
      <c r="I9463" s="489"/>
      <c r="J9463" s="1362"/>
      <c r="K9463" s="1362"/>
      <c r="L9463" s="1362"/>
    </row>
    <row r="9464" spans="1:12" x14ac:dyDescent="0.25">
      <c r="A9464">
        <v>95709</v>
      </c>
      <c r="B9464" t="s">
        <v>574</v>
      </c>
      <c r="C9464" t="s">
        <v>451</v>
      </c>
      <c r="D9464" s="254">
        <v>79.900000000000006</v>
      </c>
      <c r="E9464"/>
      <c r="F9464"/>
      <c r="G9464"/>
      <c r="H9464"/>
      <c r="I9464" s="489"/>
      <c r="J9464" s="1362"/>
      <c r="K9464" s="1362"/>
      <c r="L9464" s="1362"/>
    </row>
    <row r="9465" spans="1:12" x14ac:dyDescent="0.25">
      <c r="A9465">
        <v>95715</v>
      </c>
      <c r="B9465" t="s">
        <v>575</v>
      </c>
      <c r="C9465" t="s">
        <v>451</v>
      </c>
      <c r="D9465" s="254">
        <v>92.42</v>
      </c>
      <c r="E9465"/>
      <c r="F9465"/>
      <c r="G9465"/>
      <c r="H9465"/>
      <c r="I9465" s="489"/>
      <c r="J9465" s="1362"/>
      <c r="K9465" s="1362"/>
      <c r="L9465" s="1362"/>
    </row>
    <row r="9466" spans="1:12" x14ac:dyDescent="0.25">
      <c r="A9466">
        <v>95721</v>
      </c>
      <c r="B9466" t="s">
        <v>576</v>
      </c>
      <c r="C9466" t="s">
        <v>451</v>
      </c>
      <c r="D9466" s="254">
        <v>90.02</v>
      </c>
      <c r="E9466"/>
      <c r="F9466"/>
      <c r="G9466"/>
      <c r="H9466"/>
      <c r="I9466" s="489"/>
      <c r="J9466" s="1362"/>
      <c r="K9466" s="1362"/>
      <c r="L9466" s="1362"/>
    </row>
    <row r="9467" spans="1:12" x14ac:dyDescent="0.25">
      <c r="A9467">
        <v>95873</v>
      </c>
      <c r="B9467" t="s">
        <v>577</v>
      </c>
      <c r="C9467" t="s">
        <v>451</v>
      </c>
      <c r="D9467" s="254">
        <v>11.1</v>
      </c>
      <c r="E9467"/>
      <c r="F9467"/>
      <c r="G9467"/>
      <c r="H9467"/>
      <c r="I9467" s="489"/>
      <c r="J9467" s="1362"/>
      <c r="K9467" s="1362"/>
      <c r="L9467" s="1362"/>
    </row>
    <row r="9468" spans="1:12" x14ac:dyDescent="0.25">
      <c r="A9468">
        <v>96014</v>
      </c>
      <c r="B9468" t="s">
        <v>578</v>
      </c>
      <c r="C9468" t="s">
        <v>451</v>
      </c>
      <c r="D9468" s="254">
        <v>55.63</v>
      </c>
      <c r="E9468"/>
      <c r="F9468"/>
      <c r="G9468"/>
      <c r="H9468"/>
      <c r="I9468" s="489"/>
      <c r="J9468" s="1362"/>
      <c r="K9468" s="1362"/>
      <c r="L9468" s="1362"/>
    </row>
    <row r="9469" spans="1:12" x14ac:dyDescent="0.25">
      <c r="A9469">
        <v>96021</v>
      </c>
      <c r="B9469" t="s">
        <v>579</v>
      </c>
      <c r="C9469" t="s">
        <v>451</v>
      </c>
      <c r="D9469" s="254">
        <v>55.34</v>
      </c>
      <c r="E9469"/>
      <c r="F9469"/>
      <c r="G9469"/>
      <c r="H9469"/>
      <c r="I9469" s="489"/>
      <c r="J9469" s="1362"/>
      <c r="K9469" s="1362"/>
      <c r="L9469" s="1362"/>
    </row>
    <row r="9470" spans="1:12" x14ac:dyDescent="0.25">
      <c r="A9470">
        <v>96029</v>
      </c>
      <c r="B9470" t="s">
        <v>580</v>
      </c>
      <c r="C9470" t="s">
        <v>451</v>
      </c>
      <c r="D9470" s="254">
        <v>49.23</v>
      </c>
      <c r="E9470"/>
      <c r="F9470"/>
      <c r="G9470"/>
      <c r="H9470"/>
      <c r="I9470" s="489"/>
      <c r="J9470" s="1362"/>
      <c r="K9470" s="1362"/>
      <c r="L9470" s="1362"/>
    </row>
    <row r="9471" spans="1:12" x14ac:dyDescent="0.25">
      <c r="A9471">
        <v>96036</v>
      </c>
      <c r="B9471" t="s">
        <v>581</v>
      </c>
      <c r="C9471" t="s">
        <v>451</v>
      </c>
      <c r="D9471" s="254">
        <v>62.36</v>
      </c>
      <c r="E9471"/>
      <c r="F9471"/>
      <c r="G9471"/>
      <c r="H9471"/>
      <c r="I9471" s="489"/>
      <c r="J9471" s="1362"/>
      <c r="K9471" s="1362"/>
      <c r="L9471" s="1362"/>
    </row>
    <row r="9472" spans="1:12" x14ac:dyDescent="0.25">
      <c r="A9472">
        <v>96155</v>
      </c>
      <c r="B9472" t="s">
        <v>582</v>
      </c>
      <c r="C9472" t="s">
        <v>451</v>
      </c>
      <c r="D9472" s="254">
        <v>49.52</v>
      </c>
      <c r="E9472"/>
      <c r="F9472"/>
      <c r="G9472"/>
      <c r="H9472"/>
      <c r="I9472" s="489"/>
      <c r="J9472" s="1362"/>
      <c r="K9472" s="1362"/>
      <c r="L9472" s="1362"/>
    </row>
    <row r="9473" spans="1:12" x14ac:dyDescent="0.25">
      <c r="A9473">
        <v>96156</v>
      </c>
      <c r="B9473" t="s">
        <v>583</v>
      </c>
      <c r="C9473" t="s">
        <v>451</v>
      </c>
      <c r="D9473" s="254">
        <v>59.05</v>
      </c>
      <c r="E9473"/>
      <c r="F9473"/>
      <c r="G9473"/>
      <c r="H9473"/>
      <c r="I9473" s="489"/>
      <c r="J9473" s="1362"/>
      <c r="K9473" s="1362"/>
      <c r="L9473" s="1362"/>
    </row>
    <row r="9474" spans="1:12" x14ac:dyDescent="0.25">
      <c r="A9474">
        <v>96159</v>
      </c>
      <c r="B9474" t="s">
        <v>584</v>
      </c>
      <c r="C9474" t="s">
        <v>451</v>
      </c>
      <c r="D9474" s="254">
        <v>84.62</v>
      </c>
      <c r="E9474"/>
      <c r="F9474"/>
      <c r="G9474"/>
      <c r="H9474"/>
      <c r="I9474" s="489"/>
      <c r="J9474" s="1362"/>
      <c r="K9474" s="1362"/>
      <c r="L9474" s="1362"/>
    </row>
    <row r="9475" spans="1:12" x14ac:dyDescent="0.25">
      <c r="A9475">
        <v>96246</v>
      </c>
      <c r="B9475" t="s">
        <v>585</v>
      </c>
      <c r="C9475" t="s">
        <v>451</v>
      </c>
      <c r="D9475" s="254">
        <v>50.16</v>
      </c>
      <c r="E9475"/>
      <c r="F9475"/>
      <c r="G9475"/>
      <c r="H9475"/>
      <c r="I9475" s="489"/>
      <c r="J9475" s="1362"/>
      <c r="K9475" s="1362"/>
      <c r="L9475" s="1362"/>
    </row>
    <row r="9476" spans="1:12" x14ac:dyDescent="0.25">
      <c r="A9476">
        <v>96464</v>
      </c>
      <c r="B9476" t="s">
        <v>586</v>
      </c>
      <c r="C9476" t="s">
        <v>451</v>
      </c>
      <c r="D9476" s="254">
        <v>63.93</v>
      </c>
      <c r="E9476"/>
      <c r="F9476"/>
      <c r="G9476"/>
      <c r="H9476"/>
      <c r="I9476" s="489"/>
      <c r="J9476" s="1362"/>
      <c r="K9476" s="1362"/>
      <c r="L9476" s="1362"/>
    </row>
    <row r="9477" spans="1:12" x14ac:dyDescent="0.25">
      <c r="A9477">
        <v>98765</v>
      </c>
      <c r="B9477" t="s">
        <v>2951</v>
      </c>
      <c r="C9477" t="s">
        <v>451</v>
      </c>
      <c r="D9477" s="254">
        <v>0.1</v>
      </c>
      <c r="E9477"/>
      <c r="F9477"/>
      <c r="G9477"/>
      <c r="H9477"/>
      <c r="I9477" s="489"/>
      <c r="J9477" s="1362"/>
      <c r="K9477" s="1362"/>
      <c r="L9477" s="1362"/>
    </row>
    <row r="9478" spans="1:12" x14ac:dyDescent="0.25">
      <c r="A9478">
        <v>99834</v>
      </c>
      <c r="B9478" t="s">
        <v>3251</v>
      </c>
      <c r="C9478" t="s">
        <v>451</v>
      </c>
      <c r="D9478" s="254">
        <v>0.17</v>
      </c>
      <c r="E9478"/>
      <c r="F9478"/>
      <c r="G9478"/>
      <c r="H9478"/>
      <c r="I9478" s="489"/>
      <c r="J9478" s="1362"/>
      <c r="K9478" s="1362"/>
      <c r="L9478" s="1362"/>
    </row>
    <row r="9479" spans="1:12" x14ac:dyDescent="0.25">
      <c r="A9479">
        <v>100642</v>
      </c>
      <c r="B9479" t="s">
        <v>3937</v>
      </c>
      <c r="C9479" t="s">
        <v>451</v>
      </c>
      <c r="D9479" s="254">
        <v>179.31</v>
      </c>
      <c r="E9479"/>
      <c r="F9479"/>
      <c r="G9479"/>
      <c r="H9479"/>
      <c r="I9479" s="489"/>
      <c r="J9479" s="1362"/>
      <c r="K9479" s="1362"/>
      <c r="L9479" s="1362"/>
    </row>
    <row r="9480" spans="1:12" x14ac:dyDescent="0.25">
      <c r="A9480">
        <v>100648</v>
      </c>
      <c r="B9480" t="s">
        <v>3938</v>
      </c>
      <c r="C9480" t="s">
        <v>451</v>
      </c>
      <c r="D9480" s="254">
        <v>433.98</v>
      </c>
      <c r="E9480"/>
      <c r="F9480"/>
      <c r="G9480"/>
      <c r="H9480"/>
      <c r="I9480" s="489"/>
      <c r="J9480" s="1362"/>
      <c r="K9480" s="1362"/>
      <c r="L9480" s="1362"/>
    </row>
    <row r="9481" spans="1:12" x14ac:dyDescent="0.25">
      <c r="A9481">
        <v>102274</v>
      </c>
      <c r="B9481" t="s">
        <v>5971</v>
      </c>
      <c r="C9481" t="s">
        <v>451</v>
      </c>
      <c r="D9481" s="254">
        <v>22.64</v>
      </c>
      <c r="E9481"/>
      <c r="F9481"/>
      <c r="G9481"/>
      <c r="H9481"/>
      <c r="I9481" s="489"/>
      <c r="J9481" s="1362"/>
      <c r="K9481" s="1362"/>
      <c r="L9481" s="1362"/>
    </row>
    <row r="9482" spans="1:12" x14ac:dyDescent="0.25">
      <c r="A9482">
        <v>104092</v>
      </c>
      <c r="B9482" t="s">
        <v>18385</v>
      </c>
      <c r="C9482" t="s">
        <v>451</v>
      </c>
      <c r="D9482" s="254">
        <v>0.12</v>
      </c>
      <c r="E9482"/>
      <c r="F9482"/>
      <c r="G9482"/>
      <c r="H9482"/>
      <c r="I9482" s="489"/>
      <c r="J9482" s="1362"/>
      <c r="K9482" s="1362"/>
      <c r="L9482" s="1362"/>
    </row>
    <row r="9483" spans="1:12" x14ac:dyDescent="0.25">
      <c r="A9483">
        <v>104098</v>
      </c>
      <c r="B9483" t="s">
        <v>18386</v>
      </c>
      <c r="C9483" t="s">
        <v>451</v>
      </c>
      <c r="D9483" s="254">
        <v>0.17</v>
      </c>
      <c r="E9483"/>
      <c r="F9483"/>
      <c r="G9483"/>
      <c r="H9483"/>
      <c r="I9483" s="489"/>
      <c r="J9483" s="1362"/>
      <c r="K9483" s="1362"/>
      <c r="L9483" s="1362"/>
    </row>
    <row r="9484" spans="1:12" x14ac:dyDescent="0.25">
      <c r="A9484">
        <v>5089</v>
      </c>
      <c r="B9484" t="s">
        <v>587</v>
      </c>
      <c r="C9484" t="s">
        <v>588</v>
      </c>
      <c r="D9484" s="254">
        <v>30</v>
      </c>
      <c r="E9484"/>
      <c r="F9484"/>
      <c r="G9484"/>
      <c r="H9484"/>
      <c r="I9484" s="489"/>
      <c r="J9484" s="1362"/>
      <c r="K9484" s="1362"/>
      <c r="L9484" s="1362"/>
    </row>
    <row r="9485" spans="1:12" x14ac:dyDescent="0.25">
      <c r="A9485">
        <v>5627</v>
      </c>
      <c r="B9485" t="s">
        <v>589</v>
      </c>
      <c r="C9485" t="s">
        <v>588</v>
      </c>
      <c r="D9485" s="254">
        <v>48.41</v>
      </c>
      <c r="E9485"/>
      <c r="F9485"/>
      <c r="G9485"/>
      <c r="H9485"/>
      <c r="I9485" s="489"/>
      <c r="J9485" s="1362"/>
      <c r="K9485" s="1362"/>
      <c r="L9485" s="1362"/>
    </row>
    <row r="9486" spans="1:12" x14ac:dyDescent="0.25">
      <c r="A9486">
        <v>5628</v>
      </c>
      <c r="B9486" t="s">
        <v>590</v>
      </c>
      <c r="C9486" t="s">
        <v>588</v>
      </c>
      <c r="D9486" s="254">
        <v>6.57</v>
      </c>
      <c r="E9486"/>
      <c r="F9486"/>
      <c r="G9486"/>
      <c r="H9486"/>
      <c r="I9486" s="489"/>
      <c r="J9486" s="1362"/>
      <c r="K9486" s="1362"/>
      <c r="L9486" s="1362"/>
    </row>
    <row r="9487" spans="1:12" x14ac:dyDescent="0.25">
      <c r="A9487">
        <v>5629</v>
      </c>
      <c r="B9487" t="s">
        <v>591</v>
      </c>
      <c r="C9487" t="s">
        <v>588</v>
      </c>
      <c r="D9487" s="254">
        <v>60.51</v>
      </c>
      <c r="E9487"/>
      <c r="F9487"/>
      <c r="G9487"/>
      <c r="H9487"/>
      <c r="I9487" s="489"/>
      <c r="J9487" s="1362"/>
      <c r="K9487" s="1362"/>
      <c r="L9487" s="1362"/>
    </row>
    <row r="9488" spans="1:12" x14ac:dyDescent="0.25">
      <c r="A9488">
        <v>5630</v>
      </c>
      <c r="B9488" t="s">
        <v>592</v>
      </c>
      <c r="C9488" t="s">
        <v>588</v>
      </c>
      <c r="D9488" s="254">
        <v>72.8</v>
      </c>
      <c r="E9488"/>
      <c r="F9488"/>
      <c r="G9488"/>
      <c r="H9488"/>
      <c r="I9488" s="489"/>
      <c r="J9488" s="1362"/>
      <c r="K9488" s="1362"/>
      <c r="L9488" s="1362"/>
    </row>
    <row r="9489" spans="1:12" x14ac:dyDescent="0.25">
      <c r="A9489">
        <v>5658</v>
      </c>
      <c r="B9489" t="s">
        <v>593</v>
      </c>
      <c r="C9489" t="s">
        <v>588</v>
      </c>
      <c r="D9489" s="254">
        <v>2.82</v>
      </c>
      <c r="E9489"/>
      <c r="F9489"/>
      <c r="G9489"/>
      <c r="H9489"/>
      <c r="I9489" s="489"/>
      <c r="J9489" s="1362"/>
      <c r="K9489" s="1362"/>
      <c r="L9489" s="1362"/>
    </row>
    <row r="9490" spans="1:12" x14ac:dyDescent="0.25">
      <c r="A9490">
        <v>5664</v>
      </c>
      <c r="B9490" t="s">
        <v>594</v>
      </c>
      <c r="C9490" t="s">
        <v>588</v>
      </c>
      <c r="D9490" s="254">
        <v>33.01</v>
      </c>
      <c r="E9490"/>
      <c r="F9490"/>
      <c r="G9490"/>
      <c r="H9490"/>
      <c r="I9490" s="489"/>
      <c r="J9490" s="1362"/>
      <c r="K9490" s="1362"/>
      <c r="L9490" s="1362"/>
    </row>
    <row r="9491" spans="1:12" x14ac:dyDescent="0.25">
      <c r="A9491">
        <v>5667</v>
      </c>
      <c r="B9491" t="s">
        <v>595</v>
      </c>
      <c r="C9491" t="s">
        <v>588</v>
      </c>
      <c r="D9491" s="254">
        <v>29.36</v>
      </c>
      <c r="E9491"/>
      <c r="F9491"/>
      <c r="G9491"/>
      <c r="H9491"/>
      <c r="I9491" s="489"/>
      <c r="J9491" s="1362"/>
      <c r="K9491" s="1362"/>
      <c r="L9491" s="1362"/>
    </row>
    <row r="9492" spans="1:12" x14ac:dyDescent="0.25">
      <c r="A9492">
        <v>5668</v>
      </c>
      <c r="B9492" t="s">
        <v>596</v>
      </c>
      <c r="C9492" t="s">
        <v>588</v>
      </c>
      <c r="D9492" s="254">
        <v>51.78</v>
      </c>
      <c r="E9492"/>
      <c r="F9492"/>
      <c r="G9492"/>
      <c r="H9492"/>
      <c r="I9492" s="489"/>
      <c r="J9492" s="1362"/>
      <c r="K9492" s="1362"/>
      <c r="L9492" s="1362"/>
    </row>
    <row r="9493" spans="1:12" x14ac:dyDescent="0.25">
      <c r="A9493">
        <v>5674</v>
      </c>
      <c r="B9493" t="s">
        <v>597</v>
      </c>
      <c r="C9493" t="s">
        <v>588</v>
      </c>
      <c r="D9493" s="254">
        <v>28.85</v>
      </c>
      <c r="E9493"/>
      <c r="F9493"/>
      <c r="G9493"/>
      <c r="H9493"/>
      <c r="I9493" s="489"/>
      <c r="J9493" s="1362"/>
      <c r="K9493" s="1362"/>
      <c r="L9493" s="1362"/>
    </row>
    <row r="9494" spans="1:12" x14ac:dyDescent="0.25">
      <c r="A9494">
        <v>5692</v>
      </c>
      <c r="B9494" t="s">
        <v>598</v>
      </c>
      <c r="C9494" t="s">
        <v>588</v>
      </c>
      <c r="D9494" s="254">
        <v>0.22</v>
      </c>
      <c r="E9494"/>
      <c r="F9494"/>
      <c r="G9494"/>
      <c r="H9494"/>
      <c r="I9494" s="489"/>
      <c r="J9494" s="1362"/>
      <c r="K9494" s="1362"/>
      <c r="L9494" s="1362"/>
    </row>
    <row r="9495" spans="1:12" x14ac:dyDescent="0.25">
      <c r="A9495">
        <v>5693</v>
      </c>
      <c r="B9495" t="s">
        <v>599</v>
      </c>
      <c r="C9495" t="s">
        <v>588</v>
      </c>
      <c r="D9495" s="254">
        <v>17.09</v>
      </c>
      <c r="E9495"/>
      <c r="F9495"/>
      <c r="G9495"/>
      <c r="H9495"/>
      <c r="I9495" s="489"/>
      <c r="J9495" s="1362"/>
      <c r="K9495" s="1362"/>
      <c r="L9495" s="1362"/>
    </row>
    <row r="9496" spans="1:12" x14ac:dyDescent="0.25">
      <c r="A9496">
        <v>5695</v>
      </c>
      <c r="B9496" t="s">
        <v>600</v>
      </c>
      <c r="C9496" t="s">
        <v>588</v>
      </c>
      <c r="D9496" s="254">
        <v>35.31</v>
      </c>
      <c r="E9496"/>
      <c r="F9496"/>
      <c r="G9496"/>
      <c r="H9496"/>
      <c r="I9496" s="489"/>
      <c r="J9496" s="1362"/>
      <c r="K9496" s="1362"/>
      <c r="L9496" s="1362"/>
    </row>
    <row r="9497" spans="1:12" x14ac:dyDescent="0.25">
      <c r="A9497">
        <v>5703</v>
      </c>
      <c r="B9497" t="s">
        <v>601</v>
      </c>
      <c r="C9497" t="s">
        <v>588</v>
      </c>
      <c r="D9497" s="254">
        <v>16.89</v>
      </c>
      <c r="E9497"/>
      <c r="F9497"/>
      <c r="G9497"/>
      <c r="H9497"/>
      <c r="I9497" s="489"/>
      <c r="J9497" s="1362"/>
      <c r="K9497" s="1362"/>
      <c r="L9497" s="1362"/>
    </row>
    <row r="9498" spans="1:12" x14ac:dyDescent="0.25">
      <c r="A9498">
        <v>5705</v>
      </c>
      <c r="B9498" t="s">
        <v>602</v>
      </c>
      <c r="C9498" t="s">
        <v>588</v>
      </c>
      <c r="D9498" s="254">
        <v>34.04</v>
      </c>
      <c r="E9498"/>
      <c r="F9498"/>
      <c r="G9498"/>
      <c r="H9498"/>
      <c r="I9498" s="489"/>
      <c r="J9498" s="1362"/>
      <c r="K9498" s="1362"/>
      <c r="L9498" s="1362"/>
    </row>
    <row r="9499" spans="1:12" x14ac:dyDescent="0.25">
      <c r="A9499">
        <v>5707</v>
      </c>
      <c r="B9499" t="s">
        <v>603</v>
      </c>
      <c r="C9499" t="s">
        <v>588</v>
      </c>
      <c r="D9499" s="254">
        <v>69.38</v>
      </c>
      <c r="E9499"/>
      <c r="F9499"/>
      <c r="G9499"/>
      <c r="H9499"/>
      <c r="I9499" s="489"/>
      <c r="J9499" s="1362"/>
      <c r="K9499" s="1362"/>
      <c r="L9499" s="1362"/>
    </row>
    <row r="9500" spans="1:12" x14ac:dyDescent="0.25">
      <c r="A9500">
        <v>5710</v>
      </c>
      <c r="B9500" t="s">
        <v>604</v>
      </c>
      <c r="C9500" t="s">
        <v>588</v>
      </c>
      <c r="D9500" s="254">
        <v>153.79</v>
      </c>
      <c r="E9500"/>
      <c r="F9500"/>
      <c r="G9500"/>
      <c r="H9500"/>
      <c r="I9500" s="489"/>
      <c r="J9500" s="1362"/>
      <c r="K9500" s="1362"/>
      <c r="L9500" s="1362"/>
    </row>
    <row r="9501" spans="1:12" x14ac:dyDescent="0.25">
      <c r="A9501">
        <v>5711</v>
      </c>
      <c r="B9501" t="s">
        <v>605</v>
      </c>
      <c r="C9501" t="s">
        <v>588</v>
      </c>
      <c r="D9501" s="254">
        <v>100.58</v>
      </c>
      <c r="E9501"/>
      <c r="F9501"/>
      <c r="G9501"/>
      <c r="H9501"/>
      <c r="I9501" s="489"/>
      <c r="J9501" s="1362"/>
      <c r="K9501" s="1362"/>
      <c r="L9501" s="1362"/>
    </row>
    <row r="9502" spans="1:12" x14ac:dyDescent="0.25">
      <c r="A9502">
        <v>5714</v>
      </c>
      <c r="B9502" t="s">
        <v>606</v>
      </c>
      <c r="C9502" t="s">
        <v>588</v>
      </c>
      <c r="D9502" s="254">
        <v>16.059999999999999</v>
      </c>
      <c r="E9502"/>
      <c r="F9502"/>
      <c r="G9502"/>
      <c r="H9502"/>
      <c r="I9502" s="489"/>
      <c r="J9502" s="1362"/>
      <c r="K9502" s="1362"/>
      <c r="L9502" s="1362"/>
    </row>
    <row r="9503" spans="1:12" x14ac:dyDescent="0.25">
      <c r="A9503">
        <v>5715</v>
      </c>
      <c r="B9503" t="s">
        <v>607</v>
      </c>
      <c r="C9503" t="s">
        <v>588</v>
      </c>
      <c r="D9503" s="254">
        <v>76.11</v>
      </c>
      <c r="E9503"/>
      <c r="F9503"/>
      <c r="G9503"/>
      <c r="H9503"/>
      <c r="I9503" s="489"/>
      <c r="J9503" s="1362"/>
      <c r="K9503" s="1362"/>
      <c r="L9503" s="1362"/>
    </row>
    <row r="9504" spans="1:12" x14ac:dyDescent="0.25">
      <c r="A9504">
        <v>5718</v>
      </c>
      <c r="B9504" t="s">
        <v>608</v>
      </c>
      <c r="C9504" t="s">
        <v>588</v>
      </c>
      <c r="D9504" s="254">
        <v>120.05</v>
      </c>
      <c r="E9504"/>
      <c r="F9504"/>
      <c r="G9504"/>
      <c r="H9504"/>
      <c r="I9504" s="489"/>
      <c r="J9504" s="1362"/>
      <c r="K9504" s="1362"/>
      <c r="L9504" s="1362"/>
    </row>
    <row r="9505" spans="1:12" x14ac:dyDescent="0.25">
      <c r="A9505">
        <v>5721</v>
      </c>
      <c r="B9505" t="s">
        <v>609</v>
      </c>
      <c r="C9505" t="s">
        <v>588</v>
      </c>
      <c r="D9505" s="254">
        <v>105.92</v>
      </c>
      <c r="E9505"/>
      <c r="F9505"/>
      <c r="G9505"/>
      <c r="H9505"/>
      <c r="I9505" s="489"/>
      <c r="J9505" s="1362"/>
      <c r="K9505" s="1362"/>
      <c r="L9505" s="1362"/>
    </row>
    <row r="9506" spans="1:12" x14ac:dyDescent="0.25">
      <c r="A9506">
        <v>5722</v>
      </c>
      <c r="B9506" t="s">
        <v>610</v>
      </c>
      <c r="C9506" t="s">
        <v>588</v>
      </c>
      <c r="D9506" s="254">
        <v>244.98</v>
      </c>
      <c r="E9506"/>
      <c r="F9506"/>
      <c r="G9506"/>
      <c r="H9506"/>
      <c r="I9506" s="489"/>
      <c r="J9506" s="1362"/>
      <c r="K9506" s="1362"/>
      <c r="L9506" s="1362"/>
    </row>
    <row r="9507" spans="1:12" x14ac:dyDescent="0.25">
      <c r="A9507">
        <v>5724</v>
      </c>
      <c r="B9507" t="s">
        <v>611</v>
      </c>
      <c r="C9507" t="s">
        <v>588</v>
      </c>
      <c r="D9507" s="254">
        <v>66.900000000000006</v>
      </c>
      <c r="E9507"/>
      <c r="F9507"/>
      <c r="G9507"/>
      <c r="H9507"/>
      <c r="I9507" s="489"/>
      <c r="J9507" s="1362"/>
      <c r="K9507" s="1362"/>
      <c r="L9507" s="1362"/>
    </row>
    <row r="9508" spans="1:12" x14ac:dyDescent="0.25">
      <c r="A9508">
        <v>5727</v>
      </c>
      <c r="B9508" t="s">
        <v>612</v>
      </c>
      <c r="C9508" t="s">
        <v>588</v>
      </c>
      <c r="D9508" s="254">
        <v>8.7100000000000009</v>
      </c>
      <c r="E9508"/>
      <c r="F9508"/>
      <c r="G9508"/>
      <c r="H9508"/>
      <c r="I9508" s="489"/>
      <c r="J9508" s="1362"/>
      <c r="K9508" s="1362"/>
      <c r="L9508" s="1362"/>
    </row>
    <row r="9509" spans="1:12" x14ac:dyDescent="0.25">
      <c r="A9509">
        <v>5729</v>
      </c>
      <c r="B9509" t="s">
        <v>613</v>
      </c>
      <c r="C9509" t="s">
        <v>588</v>
      </c>
      <c r="D9509" s="254">
        <v>35.43</v>
      </c>
      <c r="E9509"/>
      <c r="F9509"/>
      <c r="G9509"/>
      <c r="H9509"/>
      <c r="I9509" s="489"/>
      <c r="J9509" s="1362"/>
      <c r="K9509" s="1362"/>
      <c r="L9509" s="1362"/>
    </row>
    <row r="9510" spans="1:12" x14ac:dyDescent="0.25">
      <c r="A9510">
        <v>5730</v>
      </c>
      <c r="B9510" t="s">
        <v>614</v>
      </c>
      <c r="C9510" t="s">
        <v>588</v>
      </c>
      <c r="D9510" s="254">
        <v>46.17</v>
      </c>
      <c r="E9510"/>
      <c r="F9510"/>
      <c r="G9510"/>
      <c r="H9510"/>
      <c r="I9510" s="489"/>
      <c r="J9510" s="1362"/>
      <c r="K9510" s="1362"/>
      <c r="L9510" s="1362"/>
    </row>
    <row r="9511" spans="1:12" x14ac:dyDescent="0.25">
      <c r="A9511">
        <v>5735</v>
      </c>
      <c r="B9511" t="s">
        <v>615</v>
      </c>
      <c r="C9511" t="s">
        <v>588</v>
      </c>
      <c r="D9511" s="254">
        <v>31.85</v>
      </c>
      <c r="E9511"/>
      <c r="F9511"/>
      <c r="G9511"/>
      <c r="H9511"/>
      <c r="I9511" s="489"/>
      <c r="J9511" s="1362"/>
      <c r="K9511" s="1362"/>
      <c r="L9511" s="1362"/>
    </row>
    <row r="9512" spans="1:12" x14ac:dyDescent="0.25">
      <c r="A9512">
        <v>5736</v>
      </c>
      <c r="B9512" t="s">
        <v>616</v>
      </c>
      <c r="C9512" t="s">
        <v>588</v>
      </c>
      <c r="D9512" s="254">
        <v>47.18</v>
      </c>
      <c r="E9512"/>
      <c r="F9512"/>
      <c r="G9512"/>
      <c r="H9512"/>
      <c r="I9512" s="489"/>
      <c r="J9512" s="1362"/>
      <c r="K9512" s="1362"/>
      <c r="L9512" s="1362"/>
    </row>
    <row r="9513" spans="1:12" x14ac:dyDescent="0.25">
      <c r="A9513">
        <v>5738</v>
      </c>
      <c r="B9513" t="s">
        <v>617</v>
      </c>
      <c r="C9513" t="s">
        <v>588</v>
      </c>
      <c r="D9513" s="254">
        <v>31.51</v>
      </c>
      <c r="E9513"/>
      <c r="F9513"/>
      <c r="G9513"/>
      <c r="H9513"/>
      <c r="I9513" s="489"/>
      <c r="J9513" s="1362"/>
      <c r="K9513" s="1362"/>
      <c r="L9513" s="1362"/>
    </row>
    <row r="9514" spans="1:12" x14ac:dyDescent="0.25">
      <c r="A9514">
        <v>5739</v>
      </c>
      <c r="B9514" t="s">
        <v>618</v>
      </c>
      <c r="C9514" t="s">
        <v>588</v>
      </c>
      <c r="D9514" s="254">
        <v>39.43</v>
      </c>
      <c r="E9514"/>
      <c r="F9514"/>
      <c r="G9514"/>
      <c r="H9514"/>
      <c r="I9514" s="489"/>
      <c r="J9514" s="1362"/>
      <c r="K9514" s="1362"/>
      <c r="L9514" s="1362"/>
    </row>
    <row r="9515" spans="1:12" x14ac:dyDescent="0.25">
      <c r="A9515">
        <v>5741</v>
      </c>
      <c r="B9515" t="s">
        <v>619</v>
      </c>
      <c r="C9515" t="s">
        <v>588</v>
      </c>
      <c r="D9515" s="254">
        <v>44.44</v>
      </c>
      <c r="E9515"/>
      <c r="F9515"/>
      <c r="G9515"/>
      <c r="H9515"/>
      <c r="I9515" s="489"/>
      <c r="J9515" s="1362"/>
      <c r="K9515" s="1362"/>
      <c r="L9515" s="1362"/>
    </row>
    <row r="9516" spans="1:12" x14ac:dyDescent="0.25">
      <c r="A9516">
        <v>5742</v>
      </c>
      <c r="B9516" t="s">
        <v>620</v>
      </c>
      <c r="C9516" t="s">
        <v>588</v>
      </c>
      <c r="D9516" s="254">
        <v>31.16</v>
      </c>
      <c r="E9516"/>
      <c r="F9516"/>
      <c r="G9516"/>
      <c r="H9516"/>
      <c r="I9516" s="489"/>
      <c r="J9516" s="1362"/>
      <c r="K9516" s="1362"/>
      <c r="L9516" s="1362"/>
    </row>
    <row r="9517" spans="1:12" x14ac:dyDescent="0.25">
      <c r="A9517">
        <v>5747</v>
      </c>
      <c r="B9517" t="s">
        <v>621</v>
      </c>
      <c r="C9517" t="s">
        <v>588</v>
      </c>
      <c r="D9517" s="254">
        <v>178.66</v>
      </c>
      <c r="E9517"/>
      <c r="F9517"/>
      <c r="G9517"/>
      <c r="H9517"/>
      <c r="I9517" s="489"/>
      <c r="J9517" s="1362"/>
      <c r="K9517" s="1362"/>
      <c r="L9517" s="1362"/>
    </row>
    <row r="9518" spans="1:12" x14ac:dyDescent="0.25">
      <c r="A9518">
        <v>5751</v>
      </c>
      <c r="B9518" t="s">
        <v>622</v>
      </c>
      <c r="C9518" t="s">
        <v>588</v>
      </c>
      <c r="D9518" s="254">
        <v>29.28</v>
      </c>
      <c r="E9518"/>
      <c r="F9518"/>
      <c r="G9518"/>
      <c r="H9518"/>
      <c r="I9518" s="489"/>
      <c r="J9518" s="1362"/>
      <c r="K9518" s="1362"/>
      <c r="L9518" s="1362"/>
    </row>
    <row r="9519" spans="1:12" x14ac:dyDescent="0.25">
      <c r="A9519">
        <v>5754</v>
      </c>
      <c r="B9519" t="s">
        <v>623</v>
      </c>
      <c r="C9519" t="s">
        <v>588</v>
      </c>
      <c r="D9519" s="254">
        <v>32.15</v>
      </c>
      <c r="E9519"/>
      <c r="F9519"/>
      <c r="G9519"/>
      <c r="H9519"/>
      <c r="I9519" s="489"/>
      <c r="J9519" s="1362"/>
      <c r="K9519" s="1362"/>
      <c r="L9519" s="1362"/>
    </row>
    <row r="9520" spans="1:12" x14ac:dyDescent="0.25">
      <c r="A9520">
        <v>5763</v>
      </c>
      <c r="B9520" t="s">
        <v>624</v>
      </c>
      <c r="C9520" t="s">
        <v>588</v>
      </c>
      <c r="D9520" s="254">
        <v>46.95</v>
      </c>
      <c r="E9520"/>
      <c r="F9520"/>
      <c r="G9520"/>
      <c r="H9520"/>
      <c r="I9520" s="489"/>
      <c r="J9520" s="1362"/>
      <c r="K9520" s="1362"/>
      <c r="L9520" s="1362"/>
    </row>
    <row r="9521" spans="1:12" x14ac:dyDescent="0.25">
      <c r="A9521">
        <v>5765</v>
      </c>
      <c r="B9521" t="s">
        <v>625</v>
      </c>
      <c r="C9521" t="s">
        <v>588</v>
      </c>
      <c r="D9521" s="254">
        <v>4.82</v>
      </c>
      <c r="E9521"/>
      <c r="F9521"/>
      <c r="G9521"/>
      <c r="H9521"/>
      <c r="I9521" s="489"/>
      <c r="J9521" s="1362"/>
      <c r="K9521" s="1362"/>
      <c r="L9521" s="1362"/>
    </row>
    <row r="9522" spans="1:12" x14ac:dyDescent="0.25">
      <c r="A9522">
        <v>5766</v>
      </c>
      <c r="B9522" t="s">
        <v>626</v>
      </c>
      <c r="C9522" t="s">
        <v>588</v>
      </c>
      <c r="D9522" s="254">
        <v>2.38</v>
      </c>
      <c r="E9522"/>
      <c r="F9522"/>
      <c r="G9522"/>
      <c r="H9522"/>
      <c r="I9522" s="489"/>
      <c r="J9522" s="1362"/>
      <c r="K9522" s="1362"/>
      <c r="L9522" s="1362"/>
    </row>
    <row r="9523" spans="1:12" x14ac:dyDescent="0.25">
      <c r="A9523">
        <v>5779</v>
      </c>
      <c r="B9523" t="s">
        <v>627</v>
      </c>
      <c r="C9523" t="s">
        <v>588</v>
      </c>
      <c r="D9523" s="254">
        <v>82.75</v>
      </c>
      <c r="E9523"/>
      <c r="F9523"/>
      <c r="G9523"/>
      <c r="H9523"/>
      <c r="I9523" s="489"/>
      <c r="J9523" s="1362"/>
      <c r="K9523" s="1362"/>
      <c r="L9523" s="1362"/>
    </row>
    <row r="9524" spans="1:12" x14ac:dyDescent="0.25">
      <c r="A9524">
        <v>5787</v>
      </c>
      <c r="B9524" t="s">
        <v>628</v>
      </c>
      <c r="C9524" t="s">
        <v>588</v>
      </c>
      <c r="D9524" s="254">
        <v>79.489999999999995</v>
      </c>
      <c r="E9524"/>
      <c r="F9524"/>
      <c r="G9524"/>
      <c r="H9524"/>
      <c r="I9524" s="489"/>
      <c r="J9524" s="1362"/>
      <c r="K9524" s="1362"/>
      <c r="L9524" s="1362"/>
    </row>
    <row r="9525" spans="1:12" x14ac:dyDescent="0.25">
      <c r="A9525">
        <v>5797</v>
      </c>
      <c r="B9525" t="s">
        <v>629</v>
      </c>
      <c r="C9525" t="s">
        <v>588</v>
      </c>
      <c r="D9525" s="254">
        <v>6.15</v>
      </c>
      <c r="E9525"/>
      <c r="F9525"/>
      <c r="G9525"/>
      <c r="H9525"/>
      <c r="I9525" s="489"/>
      <c r="J9525" s="1362"/>
      <c r="K9525" s="1362"/>
      <c r="L9525" s="1362"/>
    </row>
    <row r="9526" spans="1:12" x14ac:dyDescent="0.25">
      <c r="A9526">
        <v>5800</v>
      </c>
      <c r="B9526" t="s">
        <v>630</v>
      </c>
      <c r="C9526" t="s">
        <v>588</v>
      </c>
      <c r="D9526" s="254">
        <v>0.39</v>
      </c>
      <c r="E9526"/>
      <c r="F9526"/>
      <c r="G9526"/>
      <c r="H9526"/>
      <c r="I9526" s="489"/>
      <c r="J9526" s="1362"/>
      <c r="K9526" s="1362"/>
      <c r="L9526" s="1362"/>
    </row>
    <row r="9527" spans="1:12" x14ac:dyDescent="0.25">
      <c r="A9527">
        <v>7032</v>
      </c>
      <c r="B9527" t="s">
        <v>631</v>
      </c>
      <c r="C9527" t="s">
        <v>588</v>
      </c>
      <c r="D9527" s="254">
        <v>5.1100000000000003</v>
      </c>
      <c r="E9527"/>
      <c r="F9527"/>
      <c r="G9527"/>
      <c r="H9527"/>
      <c r="I9527" s="489"/>
      <c r="J9527" s="1362"/>
      <c r="K9527" s="1362"/>
      <c r="L9527" s="1362"/>
    </row>
    <row r="9528" spans="1:12" x14ac:dyDescent="0.25">
      <c r="A9528">
        <v>7033</v>
      </c>
      <c r="B9528" t="s">
        <v>632</v>
      </c>
      <c r="C9528" t="s">
        <v>588</v>
      </c>
      <c r="D9528" s="254">
        <v>0.91</v>
      </c>
      <c r="E9528"/>
      <c r="F9528"/>
      <c r="G9528"/>
      <c r="H9528"/>
      <c r="I9528" s="489"/>
      <c r="J9528" s="1362"/>
      <c r="K9528" s="1362"/>
      <c r="L9528" s="1362"/>
    </row>
    <row r="9529" spans="1:12" x14ac:dyDescent="0.25">
      <c r="A9529">
        <v>7034</v>
      </c>
      <c r="B9529" t="s">
        <v>633</v>
      </c>
      <c r="C9529" t="s">
        <v>588</v>
      </c>
      <c r="D9529" s="254">
        <v>6.39</v>
      </c>
      <c r="E9529"/>
      <c r="F9529"/>
      <c r="G9529"/>
      <c r="H9529"/>
      <c r="I9529" s="489"/>
      <c r="J9529" s="1362"/>
      <c r="K9529" s="1362"/>
      <c r="L9529" s="1362"/>
    </row>
    <row r="9530" spans="1:12" x14ac:dyDescent="0.25">
      <c r="A9530">
        <v>7035</v>
      </c>
      <c r="B9530" t="s">
        <v>634</v>
      </c>
      <c r="C9530" t="s">
        <v>588</v>
      </c>
      <c r="D9530" s="254">
        <v>289.73</v>
      </c>
      <c r="E9530"/>
      <c r="F9530"/>
      <c r="G9530"/>
      <c r="H9530"/>
      <c r="I9530" s="489"/>
      <c r="J9530" s="1362"/>
      <c r="K9530" s="1362"/>
      <c r="L9530" s="1362"/>
    </row>
    <row r="9531" spans="1:12" x14ac:dyDescent="0.25">
      <c r="A9531">
        <v>7038</v>
      </c>
      <c r="B9531" t="s">
        <v>635</v>
      </c>
      <c r="C9531" t="s">
        <v>588</v>
      </c>
      <c r="D9531" s="254">
        <v>36.04</v>
      </c>
      <c r="E9531"/>
      <c r="F9531"/>
      <c r="G9531"/>
      <c r="H9531"/>
      <c r="I9531" s="489"/>
      <c r="J9531" s="1362"/>
      <c r="K9531" s="1362"/>
      <c r="L9531" s="1362"/>
    </row>
    <row r="9532" spans="1:12" x14ac:dyDescent="0.25">
      <c r="A9532">
        <v>7039</v>
      </c>
      <c r="B9532" t="s">
        <v>636</v>
      </c>
      <c r="C9532" t="s">
        <v>588</v>
      </c>
      <c r="D9532" s="254">
        <v>5</v>
      </c>
      <c r="E9532"/>
      <c r="F9532"/>
      <c r="G9532"/>
      <c r="H9532"/>
      <c r="I9532" s="489"/>
      <c r="J9532" s="1362"/>
      <c r="K9532" s="1362"/>
      <c r="L9532" s="1362"/>
    </row>
    <row r="9533" spans="1:12" x14ac:dyDescent="0.25">
      <c r="A9533">
        <v>7040</v>
      </c>
      <c r="B9533" t="s">
        <v>637</v>
      </c>
      <c r="C9533" t="s">
        <v>588</v>
      </c>
      <c r="D9533" s="254">
        <v>45.1</v>
      </c>
      <c r="E9533"/>
      <c r="F9533"/>
      <c r="G9533"/>
      <c r="H9533"/>
      <c r="I9533" s="489"/>
      <c r="J9533" s="1362"/>
      <c r="K9533" s="1362"/>
      <c r="L9533" s="1362"/>
    </row>
    <row r="9534" spans="1:12" x14ac:dyDescent="0.25">
      <c r="A9534">
        <v>7044</v>
      </c>
      <c r="B9534" t="s">
        <v>638</v>
      </c>
      <c r="C9534" t="s">
        <v>588</v>
      </c>
      <c r="D9534" s="254">
        <v>0.25</v>
      </c>
      <c r="E9534"/>
      <c r="F9534"/>
      <c r="G9534"/>
      <c r="H9534"/>
      <c r="I9534" s="489"/>
      <c r="J9534" s="1362"/>
      <c r="K9534" s="1362"/>
      <c r="L9534" s="1362"/>
    </row>
    <row r="9535" spans="1:12" x14ac:dyDescent="0.25">
      <c r="A9535">
        <v>7045</v>
      </c>
      <c r="B9535" t="s">
        <v>639</v>
      </c>
      <c r="C9535" t="s">
        <v>588</v>
      </c>
      <c r="D9535" s="254">
        <v>0.02</v>
      </c>
      <c r="E9535"/>
      <c r="F9535"/>
      <c r="G9535"/>
      <c r="H9535"/>
      <c r="I9535" s="489"/>
      <c r="J9535" s="1362"/>
      <c r="K9535" s="1362"/>
      <c r="L9535" s="1362"/>
    </row>
    <row r="9536" spans="1:12" x14ac:dyDescent="0.25">
      <c r="A9536">
        <v>7046</v>
      </c>
      <c r="B9536" t="s">
        <v>640</v>
      </c>
      <c r="C9536" t="s">
        <v>588</v>
      </c>
      <c r="D9536" s="254">
        <v>0.27</v>
      </c>
      <c r="E9536"/>
      <c r="F9536"/>
      <c r="G9536"/>
      <c r="H9536"/>
      <c r="I9536" s="489"/>
      <c r="J9536" s="1362"/>
      <c r="K9536" s="1362"/>
      <c r="L9536" s="1362"/>
    </row>
    <row r="9537" spans="1:12" x14ac:dyDescent="0.25">
      <c r="A9537">
        <v>7047</v>
      </c>
      <c r="B9537" t="s">
        <v>641</v>
      </c>
      <c r="C9537" t="s">
        <v>588</v>
      </c>
      <c r="D9537" s="254">
        <v>20.170000000000002</v>
      </c>
      <c r="E9537"/>
      <c r="F9537"/>
      <c r="G9537"/>
      <c r="H9537"/>
      <c r="I9537" s="489"/>
      <c r="J9537" s="1362"/>
      <c r="K9537" s="1362"/>
      <c r="L9537" s="1362"/>
    </row>
    <row r="9538" spans="1:12" x14ac:dyDescent="0.25">
      <c r="A9538">
        <v>7051</v>
      </c>
      <c r="B9538" t="s">
        <v>642</v>
      </c>
      <c r="C9538" t="s">
        <v>588</v>
      </c>
      <c r="D9538" s="254">
        <v>31.96</v>
      </c>
      <c r="E9538"/>
      <c r="F9538"/>
      <c r="G9538"/>
      <c r="H9538"/>
      <c r="I9538" s="489"/>
      <c r="J9538" s="1362"/>
      <c r="K9538" s="1362"/>
      <c r="L9538" s="1362"/>
    </row>
    <row r="9539" spans="1:12" x14ac:dyDescent="0.25">
      <c r="A9539">
        <v>7052</v>
      </c>
      <c r="B9539" t="s">
        <v>643</v>
      </c>
      <c r="C9539" t="s">
        <v>588</v>
      </c>
      <c r="D9539" s="254">
        <v>4.43</v>
      </c>
      <c r="E9539"/>
      <c r="F9539"/>
      <c r="G9539"/>
      <c r="H9539"/>
      <c r="I9539" s="489"/>
      <c r="J9539" s="1362"/>
      <c r="K9539" s="1362"/>
      <c r="L9539" s="1362"/>
    </row>
    <row r="9540" spans="1:12" x14ac:dyDescent="0.25">
      <c r="A9540">
        <v>7053</v>
      </c>
      <c r="B9540" t="s">
        <v>644</v>
      </c>
      <c r="C9540" t="s">
        <v>588</v>
      </c>
      <c r="D9540" s="254">
        <v>40</v>
      </c>
      <c r="E9540"/>
      <c r="F9540"/>
      <c r="G9540"/>
      <c r="H9540"/>
      <c r="I9540" s="489"/>
      <c r="J9540" s="1362"/>
      <c r="K9540" s="1362"/>
      <c r="L9540" s="1362"/>
    </row>
    <row r="9541" spans="1:12" x14ac:dyDescent="0.25">
      <c r="A9541">
        <v>7054</v>
      </c>
      <c r="B9541" t="s">
        <v>645</v>
      </c>
      <c r="C9541" t="s">
        <v>588</v>
      </c>
      <c r="D9541" s="254">
        <v>100.85</v>
      </c>
      <c r="E9541"/>
      <c r="F9541"/>
      <c r="G9541"/>
      <c r="H9541"/>
      <c r="I9541" s="489"/>
      <c r="J9541" s="1362"/>
      <c r="K9541" s="1362"/>
      <c r="L9541" s="1362"/>
    </row>
    <row r="9542" spans="1:12" x14ac:dyDescent="0.25">
      <c r="A9542">
        <v>7058</v>
      </c>
      <c r="B9542" t="s">
        <v>646</v>
      </c>
      <c r="C9542" t="s">
        <v>588</v>
      </c>
      <c r="D9542" s="254">
        <v>20.25</v>
      </c>
      <c r="E9542"/>
      <c r="F9542"/>
      <c r="G9542"/>
      <c r="H9542"/>
      <c r="I9542" s="489"/>
      <c r="J9542" s="1362"/>
      <c r="K9542" s="1362"/>
      <c r="L9542" s="1362"/>
    </row>
    <row r="9543" spans="1:12" x14ac:dyDescent="0.25">
      <c r="A9543">
        <v>7059</v>
      </c>
      <c r="B9543" t="s">
        <v>647</v>
      </c>
      <c r="C9543" t="s">
        <v>588</v>
      </c>
      <c r="D9543" s="254">
        <v>3.98</v>
      </c>
      <c r="E9543"/>
      <c r="F9543"/>
      <c r="G9543"/>
      <c r="H9543"/>
      <c r="I9543" s="489"/>
      <c r="J9543" s="1362"/>
      <c r="K9543" s="1362"/>
      <c r="L9543" s="1362"/>
    </row>
    <row r="9544" spans="1:12" x14ac:dyDescent="0.25">
      <c r="A9544">
        <v>7060</v>
      </c>
      <c r="B9544" t="s">
        <v>648</v>
      </c>
      <c r="C9544" t="s">
        <v>588</v>
      </c>
      <c r="D9544" s="254">
        <v>36.54</v>
      </c>
      <c r="E9544"/>
      <c r="F9544"/>
      <c r="G9544"/>
      <c r="H9544"/>
      <c r="I9544" s="489"/>
      <c r="J9544" s="1362"/>
      <c r="K9544" s="1362"/>
      <c r="L9544" s="1362"/>
    </row>
    <row r="9545" spans="1:12" x14ac:dyDescent="0.25">
      <c r="A9545">
        <v>7061</v>
      </c>
      <c r="B9545" t="s">
        <v>649</v>
      </c>
      <c r="C9545" t="s">
        <v>588</v>
      </c>
      <c r="D9545" s="254">
        <v>92.07</v>
      </c>
      <c r="E9545"/>
      <c r="F9545"/>
      <c r="G9545"/>
      <c r="H9545"/>
      <c r="I9545" s="489"/>
      <c r="J9545" s="1362"/>
      <c r="K9545" s="1362"/>
      <c r="L9545" s="1362"/>
    </row>
    <row r="9546" spans="1:12" x14ac:dyDescent="0.25">
      <c r="A9546">
        <v>7063</v>
      </c>
      <c r="B9546" t="s">
        <v>650</v>
      </c>
      <c r="C9546" t="s">
        <v>588</v>
      </c>
      <c r="D9546" s="254">
        <v>20.04</v>
      </c>
      <c r="E9546"/>
      <c r="F9546"/>
      <c r="G9546"/>
      <c r="H9546"/>
      <c r="I9546" s="489"/>
      <c r="J9546" s="1362"/>
      <c r="K9546" s="1362"/>
      <c r="L9546" s="1362"/>
    </row>
    <row r="9547" spans="1:12" x14ac:dyDescent="0.25">
      <c r="A9547">
        <v>7064</v>
      </c>
      <c r="B9547" t="s">
        <v>651</v>
      </c>
      <c r="C9547" t="s">
        <v>588</v>
      </c>
      <c r="D9547" s="254">
        <v>2.78</v>
      </c>
      <c r="E9547"/>
      <c r="F9547"/>
      <c r="G9547"/>
      <c r="H9547"/>
      <c r="I9547" s="489"/>
      <c r="J9547" s="1362"/>
      <c r="K9547" s="1362"/>
      <c r="L9547" s="1362"/>
    </row>
    <row r="9548" spans="1:12" x14ac:dyDescent="0.25">
      <c r="A9548">
        <v>7065</v>
      </c>
      <c r="B9548" t="s">
        <v>652</v>
      </c>
      <c r="C9548" t="s">
        <v>588</v>
      </c>
      <c r="D9548" s="254">
        <v>21.92</v>
      </c>
      <c r="E9548"/>
      <c r="F9548"/>
      <c r="G9548"/>
      <c r="H9548"/>
      <c r="I9548" s="489"/>
      <c r="J9548" s="1362"/>
      <c r="K9548" s="1362"/>
      <c r="L9548" s="1362"/>
    </row>
    <row r="9549" spans="1:12" x14ac:dyDescent="0.25">
      <c r="A9549">
        <v>7066</v>
      </c>
      <c r="B9549" t="s">
        <v>653</v>
      </c>
      <c r="C9549" t="s">
        <v>588</v>
      </c>
      <c r="D9549" s="254">
        <v>109.24</v>
      </c>
      <c r="E9549"/>
      <c r="F9549"/>
      <c r="G9549"/>
      <c r="H9549"/>
      <c r="I9549" s="489"/>
      <c r="J9549" s="1362"/>
      <c r="K9549" s="1362"/>
      <c r="L9549" s="1362"/>
    </row>
    <row r="9550" spans="1:12" x14ac:dyDescent="0.25">
      <c r="A9550">
        <v>53786</v>
      </c>
      <c r="B9550" t="s">
        <v>654</v>
      </c>
      <c r="C9550" t="s">
        <v>588</v>
      </c>
      <c r="D9550" s="254">
        <v>57.66</v>
      </c>
      <c r="E9550"/>
      <c r="F9550"/>
      <c r="G9550"/>
      <c r="H9550"/>
      <c r="I9550" s="489"/>
      <c r="J9550" s="1362"/>
      <c r="K9550" s="1362"/>
      <c r="L9550" s="1362"/>
    </row>
    <row r="9551" spans="1:12" x14ac:dyDescent="0.25">
      <c r="A9551">
        <v>53788</v>
      </c>
      <c r="B9551" t="s">
        <v>655</v>
      </c>
      <c r="C9551" t="s">
        <v>588</v>
      </c>
      <c r="D9551" s="254">
        <v>64.55</v>
      </c>
      <c r="E9551"/>
      <c r="F9551"/>
      <c r="G9551"/>
      <c r="H9551"/>
      <c r="I9551" s="489"/>
      <c r="J9551" s="1362"/>
      <c r="K9551" s="1362"/>
      <c r="L9551" s="1362"/>
    </row>
    <row r="9552" spans="1:12" x14ac:dyDescent="0.25">
      <c r="A9552">
        <v>53792</v>
      </c>
      <c r="B9552" t="s">
        <v>656</v>
      </c>
      <c r="C9552" t="s">
        <v>588</v>
      </c>
      <c r="D9552" s="254">
        <v>114.44</v>
      </c>
      <c r="E9552"/>
      <c r="F9552"/>
      <c r="G9552"/>
      <c r="H9552"/>
      <c r="I9552" s="489"/>
      <c r="J9552" s="1362"/>
      <c r="K9552" s="1362"/>
      <c r="L9552" s="1362"/>
    </row>
    <row r="9553" spans="1:12" x14ac:dyDescent="0.25">
      <c r="A9553">
        <v>53794</v>
      </c>
      <c r="B9553" t="s">
        <v>657</v>
      </c>
      <c r="C9553" t="s">
        <v>588</v>
      </c>
      <c r="D9553" s="254">
        <v>35</v>
      </c>
      <c r="E9553"/>
      <c r="F9553"/>
      <c r="G9553"/>
      <c r="H9553"/>
      <c r="I9553" s="489"/>
      <c r="J9553" s="1362"/>
      <c r="K9553" s="1362"/>
      <c r="L9553" s="1362"/>
    </row>
    <row r="9554" spans="1:12" x14ac:dyDescent="0.25">
      <c r="A9554">
        <v>53797</v>
      </c>
      <c r="B9554" t="s">
        <v>658</v>
      </c>
      <c r="C9554" t="s">
        <v>588</v>
      </c>
      <c r="D9554" s="254">
        <v>131.61000000000001</v>
      </c>
      <c r="E9554"/>
      <c r="F9554"/>
      <c r="G9554"/>
      <c r="H9554"/>
      <c r="I9554" s="489"/>
      <c r="J9554" s="1362"/>
      <c r="K9554" s="1362"/>
      <c r="L9554" s="1362"/>
    </row>
    <row r="9555" spans="1:12" x14ac:dyDescent="0.25">
      <c r="A9555">
        <v>53804</v>
      </c>
      <c r="B9555" t="s">
        <v>659</v>
      </c>
      <c r="C9555" t="s">
        <v>588</v>
      </c>
      <c r="D9555" s="254">
        <v>5.86</v>
      </c>
      <c r="E9555"/>
      <c r="F9555"/>
      <c r="G9555"/>
      <c r="H9555"/>
      <c r="I9555" s="489"/>
      <c r="J9555" s="1362"/>
      <c r="K9555" s="1362"/>
      <c r="L9555" s="1362"/>
    </row>
    <row r="9556" spans="1:12" x14ac:dyDescent="0.25">
      <c r="A9556">
        <v>53806</v>
      </c>
      <c r="B9556" t="s">
        <v>660</v>
      </c>
      <c r="C9556" t="s">
        <v>588</v>
      </c>
      <c r="D9556" s="254">
        <v>86.19</v>
      </c>
      <c r="E9556"/>
      <c r="F9556"/>
      <c r="G9556"/>
      <c r="H9556"/>
      <c r="I9556" s="489"/>
      <c r="J9556" s="1362"/>
      <c r="K9556" s="1362"/>
      <c r="L9556" s="1362"/>
    </row>
    <row r="9557" spans="1:12" x14ac:dyDescent="0.25">
      <c r="A9557">
        <v>53810</v>
      </c>
      <c r="B9557" t="s">
        <v>661</v>
      </c>
      <c r="C9557" t="s">
        <v>588</v>
      </c>
      <c r="D9557" s="254">
        <v>86.73</v>
      </c>
      <c r="E9557"/>
      <c r="F9557"/>
      <c r="G9557"/>
      <c r="H9557"/>
      <c r="I9557" s="489"/>
      <c r="J9557" s="1362"/>
      <c r="K9557" s="1362"/>
      <c r="L9557" s="1362"/>
    </row>
    <row r="9558" spans="1:12" x14ac:dyDescent="0.25">
      <c r="A9558">
        <v>53814</v>
      </c>
      <c r="B9558" t="s">
        <v>662</v>
      </c>
      <c r="C9558" t="s">
        <v>588</v>
      </c>
      <c r="D9558" s="254">
        <v>284.08999999999997</v>
      </c>
      <c r="E9558"/>
      <c r="F9558"/>
      <c r="G9558"/>
      <c r="H9558"/>
      <c r="I9558" s="489"/>
      <c r="J9558" s="1362"/>
      <c r="K9558" s="1362"/>
      <c r="L9558" s="1362"/>
    </row>
    <row r="9559" spans="1:12" x14ac:dyDescent="0.25">
      <c r="A9559">
        <v>53817</v>
      </c>
      <c r="B9559" t="s">
        <v>663</v>
      </c>
      <c r="C9559" t="s">
        <v>588</v>
      </c>
      <c r="D9559" s="254">
        <v>70.569999999999993</v>
      </c>
      <c r="E9559"/>
      <c r="F9559"/>
      <c r="G9559"/>
      <c r="H9559"/>
      <c r="I9559" s="489"/>
      <c r="J9559" s="1362"/>
      <c r="K9559" s="1362"/>
      <c r="L9559" s="1362"/>
    </row>
    <row r="9560" spans="1:12" x14ac:dyDescent="0.25">
      <c r="A9560">
        <v>53818</v>
      </c>
      <c r="B9560" t="s">
        <v>664</v>
      </c>
      <c r="C9560" t="s">
        <v>588</v>
      </c>
      <c r="D9560" s="254">
        <v>6.96</v>
      </c>
      <c r="E9560"/>
      <c r="F9560"/>
      <c r="G9560"/>
      <c r="H9560"/>
      <c r="I9560" s="489"/>
      <c r="J9560" s="1362"/>
      <c r="K9560" s="1362"/>
      <c r="L9560" s="1362"/>
    </row>
    <row r="9561" spans="1:12" x14ac:dyDescent="0.25">
      <c r="A9561">
        <v>53827</v>
      </c>
      <c r="B9561" t="s">
        <v>665</v>
      </c>
      <c r="C9561" t="s">
        <v>588</v>
      </c>
      <c r="D9561" s="254">
        <v>128.84</v>
      </c>
      <c r="E9561"/>
      <c r="F9561"/>
      <c r="G9561"/>
      <c r="H9561"/>
      <c r="I9561" s="489"/>
      <c r="J9561" s="1362"/>
      <c r="K9561" s="1362"/>
      <c r="L9561" s="1362"/>
    </row>
    <row r="9562" spans="1:12" x14ac:dyDescent="0.25">
      <c r="A9562">
        <v>53829</v>
      </c>
      <c r="B9562" t="s">
        <v>666</v>
      </c>
      <c r="C9562" t="s">
        <v>588</v>
      </c>
      <c r="D9562" s="254">
        <v>131.61000000000001</v>
      </c>
      <c r="E9562"/>
      <c r="F9562"/>
      <c r="G9562"/>
      <c r="H9562"/>
      <c r="I9562" s="489"/>
      <c r="J9562" s="1362"/>
      <c r="K9562" s="1362"/>
      <c r="L9562" s="1362"/>
    </row>
    <row r="9563" spans="1:12" x14ac:dyDescent="0.25">
      <c r="A9563">
        <v>53831</v>
      </c>
      <c r="B9563" t="s">
        <v>667</v>
      </c>
      <c r="C9563" t="s">
        <v>588</v>
      </c>
      <c r="D9563" s="254">
        <v>217.4</v>
      </c>
      <c r="E9563"/>
      <c r="F9563"/>
      <c r="G9563"/>
      <c r="H9563"/>
      <c r="I9563" s="489"/>
      <c r="J9563" s="1362"/>
      <c r="K9563" s="1362"/>
      <c r="L9563" s="1362"/>
    </row>
    <row r="9564" spans="1:12" x14ac:dyDescent="0.25">
      <c r="A9564">
        <v>53840</v>
      </c>
      <c r="B9564" t="s">
        <v>668</v>
      </c>
      <c r="C9564" t="s">
        <v>588</v>
      </c>
      <c r="D9564" s="254">
        <v>3.18</v>
      </c>
      <c r="E9564"/>
      <c r="F9564"/>
      <c r="G9564"/>
      <c r="H9564"/>
      <c r="I9564" s="489"/>
      <c r="J9564" s="1362"/>
      <c r="K9564" s="1362"/>
      <c r="L9564" s="1362"/>
    </row>
    <row r="9565" spans="1:12" x14ac:dyDescent="0.25">
      <c r="A9565">
        <v>53841</v>
      </c>
      <c r="B9565" t="s">
        <v>669</v>
      </c>
      <c r="C9565" t="s">
        <v>588</v>
      </c>
      <c r="D9565" s="254">
        <v>2.21</v>
      </c>
      <c r="E9565"/>
      <c r="F9565"/>
      <c r="G9565"/>
      <c r="H9565"/>
      <c r="I9565" s="489"/>
      <c r="J9565" s="1362"/>
      <c r="K9565" s="1362"/>
      <c r="L9565" s="1362"/>
    </row>
    <row r="9566" spans="1:12" x14ac:dyDescent="0.25">
      <c r="A9566">
        <v>53849</v>
      </c>
      <c r="B9566" t="s">
        <v>670</v>
      </c>
      <c r="C9566" t="s">
        <v>588</v>
      </c>
      <c r="D9566" s="254">
        <v>94.57</v>
      </c>
      <c r="E9566"/>
      <c r="F9566"/>
      <c r="G9566"/>
      <c r="H9566"/>
      <c r="I9566" s="489"/>
      <c r="J9566" s="1362"/>
      <c r="K9566" s="1362"/>
      <c r="L9566" s="1362"/>
    </row>
    <row r="9567" spans="1:12" x14ac:dyDescent="0.25">
      <c r="A9567">
        <v>53857</v>
      </c>
      <c r="B9567" t="s">
        <v>671</v>
      </c>
      <c r="C9567" t="s">
        <v>588</v>
      </c>
      <c r="D9567" s="254">
        <v>75.989999999999995</v>
      </c>
      <c r="E9567"/>
      <c r="F9567"/>
      <c r="G9567"/>
      <c r="H9567"/>
      <c r="I9567" s="489"/>
      <c r="J9567" s="1362"/>
      <c r="K9567" s="1362"/>
      <c r="L9567" s="1362"/>
    </row>
    <row r="9568" spans="1:12" x14ac:dyDescent="0.25">
      <c r="A9568">
        <v>53858</v>
      </c>
      <c r="B9568" t="s">
        <v>672</v>
      </c>
      <c r="C9568" t="s">
        <v>588</v>
      </c>
      <c r="D9568" s="254">
        <v>51.64</v>
      </c>
      <c r="E9568"/>
      <c r="F9568"/>
      <c r="G9568"/>
      <c r="H9568"/>
      <c r="I9568" s="489"/>
      <c r="J9568" s="1362"/>
      <c r="K9568" s="1362"/>
      <c r="L9568" s="1362"/>
    </row>
    <row r="9569" spans="1:12" x14ac:dyDescent="0.25">
      <c r="A9569">
        <v>53861</v>
      </c>
      <c r="B9569" t="s">
        <v>673</v>
      </c>
      <c r="C9569" t="s">
        <v>588</v>
      </c>
      <c r="D9569" s="254">
        <v>73.760000000000005</v>
      </c>
      <c r="E9569"/>
      <c r="F9569"/>
      <c r="G9569"/>
      <c r="H9569"/>
      <c r="I9569" s="489"/>
      <c r="J9569" s="1362"/>
      <c r="K9569" s="1362"/>
      <c r="L9569" s="1362"/>
    </row>
    <row r="9570" spans="1:12" x14ac:dyDescent="0.25">
      <c r="A9570">
        <v>53863</v>
      </c>
      <c r="B9570" t="s">
        <v>674</v>
      </c>
      <c r="C9570" t="s">
        <v>588</v>
      </c>
      <c r="D9570" s="254">
        <v>1.46</v>
      </c>
      <c r="E9570"/>
      <c r="F9570"/>
      <c r="G9570"/>
      <c r="H9570"/>
      <c r="I9570" s="489"/>
      <c r="J9570" s="1362"/>
      <c r="K9570" s="1362"/>
      <c r="L9570" s="1362"/>
    </row>
    <row r="9571" spans="1:12" x14ac:dyDescent="0.25">
      <c r="A9571">
        <v>53865</v>
      </c>
      <c r="B9571" t="s">
        <v>675</v>
      </c>
      <c r="C9571" t="s">
        <v>588</v>
      </c>
      <c r="D9571" s="254">
        <v>53.26</v>
      </c>
      <c r="E9571"/>
      <c r="F9571"/>
      <c r="G9571"/>
      <c r="H9571"/>
      <c r="I9571" s="489"/>
      <c r="J9571" s="1362"/>
      <c r="K9571" s="1362"/>
      <c r="L9571" s="1362"/>
    </row>
    <row r="9572" spans="1:12" x14ac:dyDescent="0.25">
      <c r="A9572">
        <v>53866</v>
      </c>
      <c r="B9572" t="s">
        <v>676</v>
      </c>
      <c r="C9572" t="s">
        <v>588</v>
      </c>
      <c r="D9572" s="254">
        <v>1.37</v>
      </c>
      <c r="E9572"/>
      <c r="F9572"/>
      <c r="G9572"/>
      <c r="H9572"/>
      <c r="I9572" s="489"/>
      <c r="J9572" s="1362"/>
      <c r="K9572" s="1362"/>
      <c r="L9572" s="1362"/>
    </row>
    <row r="9573" spans="1:12" x14ac:dyDescent="0.25">
      <c r="A9573">
        <v>53882</v>
      </c>
      <c r="B9573" t="s">
        <v>677</v>
      </c>
      <c r="C9573" t="s">
        <v>588</v>
      </c>
      <c r="D9573" s="254">
        <v>33.69</v>
      </c>
      <c r="E9573"/>
      <c r="F9573"/>
      <c r="G9573"/>
      <c r="H9573"/>
      <c r="I9573" s="489"/>
      <c r="J9573" s="1362"/>
      <c r="K9573" s="1362"/>
      <c r="L9573" s="1362"/>
    </row>
    <row r="9574" spans="1:12" x14ac:dyDescent="0.25">
      <c r="A9574">
        <v>55263</v>
      </c>
      <c r="B9574" t="s">
        <v>678</v>
      </c>
      <c r="C9574" t="s">
        <v>588</v>
      </c>
      <c r="D9574" s="254">
        <v>72.8</v>
      </c>
      <c r="E9574"/>
      <c r="F9574"/>
      <c r="G9574"/>
      <c r="H9574"/>
      <c r="I9574" s="489"/>
      <c r="J9574" s="1362"/>
      <c r="K9574" s="1362"/>
      <c r="L9574" s="1362"/>
    </row>
    <row r="9575" spans="1:12" x14ac:dyDescent="0.25">
      <c r="A9575">
        <v>73303</v>
      </c>
      <c r="B9575" t="s">
        <v>679</v>
      </c>
      <c r="C9575" t="s">
        <v>588</v>
      </c>
      <c r="D9575" s="254">
        <v>6.61</v>
      </c>
      <c r="E9575"/>
      <c r="F9575"/>
      <c r="G9575"/>
      <c r="H9575"/>
      <c r="I9575" s="489"/>
      <c r="J9575" s="1362"/>
      <c r="K9575" s="1362"/>
      <c r="L9575" s="1362"/>
    </row>
    <row r="9576" spans="1:12" x14ac:dyDescent="0.25">
      <c r="A9576">
        <v>73307</v>
      </c>
      <c r="B9576" t="s">
        <v>680</v>
      </c>
      <c r="C9576" t="s">
        <v>588</v>
      </c>
      <c r="D9576" s="254">
        <v>5.9</v>
      </c>
      <c r="E9576"/>
      <c r="F9576"/>
      <c r="G9576"/>
      <c r="H9576"/>
      <c r="I9576" s="489"/>
      <c r="J9576" s="1362"/>
      <c r="K9576" s="1362"/>
      <c r="L9576" s="1362"/>
    </row>
    <row r="9577" spans="1:12" x14ac:dyDescent="0.25">
      <c r="A9577">
        <v>73309</v>
      </c>
      <c r="B9577" t="s">
        <v>681</v>
      </c>
      <c r="C9577" t="s">
        <v>588</v>
      </c>
      <c r="D9577" s="254">
        <v>23.97</v>
      </c>
      <c r="E9577"/>
      <c r="F9577"/>
      <c r="G9577"/>
      <c r="H9577"/>
      <c r="I9577" s="489"/>
      <c r="J9577" s="1362"/>
      <c r="K9577" s="1362"/>
      <c r="L9577" s="1362"/>
    </row>
    <row r="9578" spans="1:12" x14ac:dyDescent="0.25">
      <c r="A9578">
        <v>73311</v>
      </c>
      <c r="B9578" t="s">
        <v>682</v>
      </c>
      <c r="C9578" t="s">
        <v>588</v>
      </c>
      <c r="D9578" s="254">
        <v>201.24</v>
      </c>
      <c r="E9578"/>
      <c r="F9578"/>
      <c r="G9578"/>
      <c r="H9578"/>
      <c r="I9578" s="489"/>
      <c r="J9578" s="1362"/>
      <c r="K9578" s="1362"/>
      <c r="L9578" s="1362"/>
    </row>
    <row r="9579" spans="1:12" x14ac:dyDescent="0.25">
      <c r="A9579">
        <v>73313</v>
      </c>
      <c r="B9579" t="s">
        <v>683</v>
      </c>
      <c r="C9579" t="s">
        <v>588</v>
      </c>
      <c r="D9579" s="254">
        <v>3.32</v>
      </c>
      <c r="E9579"/>
      <c r="F9579"/>
      <c r="G9579"/>
      <c r="H9579"/>
      <c r="I9579" s="489"/>
      <c r="J9579" s="1362"/>
      <c r="K9579" s="1362"/>
      <c r="L9579" s="1362"/>
    </row>
    <row r="9580" spans="1:12" x14ac:dyDescent="0.25">
      <c r="A9580">
        <v>73315</v>
      </c>
      <c r="B9580" t="s">
        <v>684</v>
      </c>
      <c r="C9580" t="s">
        <v>588</v>
      </c>
      <c r="D9580" s="254">
        <v>64.55</v>
      </c>
      <c r="E9580"/>
      <c r="F9580"/>
      <c r="G9580"/>
      <c r="H9580"/>
      <c r="I9580" s="489"/>
      <c r="J9580" s="1362"/>
      <c r="K9580" s="1362"/>
      <c r="L9580" s="1362"/>
    </row>
    <row r="9581" spans="1:12" x14ac:dyDescent="0.25">
      <c r="A9581">
        <v>73335</v>
      </c>
      <c r="B9581" t="s">
        <v>685</v>
      </c>
      <c r="C9581" t="s">
        <v>588</v>
      </c>
      <c r="D9581" s="254">
        <v>31.05</v>
      </c>
      <c r="E9581"/>
      <c r="F9581"/>
      <c r="G9581"/>
      <c r="H9581"/>
      <c r="I9581" s="489"/>
      <c r="J9581" s="1362"/>
      <c r="K9581" s="1362"/>
      <c r="L9581" s="1362"/>
    </row>
    <row r="9582" spans="1:12" x14ac:dyDescent="0.25">
      <c r="A9582">
        <v>73340</v>
      </c>
      <c r="B9582" t="s">
        <v>686</v>
      </c>
      <c r="C9582" t="s">
        <v>588</v>
      </c>
      <c r="D9582" s="254">
        <v>174.88</v>
      </c>
      <c r="E9582"/>
      <c r="F9582"/>
      <c r="G9582"/>
      <c r="H9582"/>
      <c r="I9582" s="489"/>
      <c r="J9582" s="1362"/>
      <c r="K9582" s="1362"/>
      <c r="L9582" s="1362"/>
    </row>
    <row r="9583" spans="1:12" x14ac:dyDescent="0.25">
      <c r="A9583">
        <v>83361</v>
      </c>
      <c r="B9583" t="s">
        <v>687</v>
      </c>
      <c r="C9583" t="s">
        <v>588</v>
      </c>
      <c r="D9583" s="254">
        <v>39.47</v>
      </c>
      <c r="E9583"/>
      <c r="F9583"/>
      <c r="G9583"/>
      <c r="H9583"/>
      <c r="I9583" s="489"/>
      <c r="J9583" s="1362"/>
      <c r="K9583" s="1362"/>
      <c r="L9583" s="1362"/>
    </row>
    <row r="9584" spans="1:12" x14ac:dyDescent="0.25">
      <c r="A9584">
        <v>83761</v>
      </c>
      <c r="B9584" t="s">
        <v>688</v>
      </c>
      <c r="C9584" t="s">
        <v>588</v>
      </c>
      <c r="D9584" s="254">
        <v>8.81</v>
      </c>
      <c r="E9584"/>
      <c r="F9584"/>
      <c r="G9584"/>
      <c r="H9584"/>
      <c r="I9584" s="489"/>
      <c r="J9584" s="1362"/>
      <c r="K9584" s="1362"/>
      <c r="L9584" s="1362"/>
    </row>
    <row r="9585" spans="1:12" x14ac:dyDescent="0.25">
      <c r="A9585">
        <v>83762</v>
      </c>
      <c r="B9585" t="s">
        <v>689</v>
      </c>
      <c r="C9585" t="s">
        <v>588</v>
      </c>
      <c r="D9585" s="254">
        <v>7.86</v>
      </c>
      <c r="E9585"/>
      <c r="F9585"/>
      <c r="G9585"/>
      <c r="H9585"/>
      <c r="I9585" s="489"/>
      <c r="J9585" s="1362"/>
      <c r="K9585" s="1362"/>
      <c r="L9585" s="1362"/>
    </row>
    <row r="9586" spans="1:12" x14ac:dyDescent="0.25">
      <c r="A9586">
        <v>83763</v>
      </c>
      <c r="B9586" t="s">
        <v>690</v>
      </c>
      <c r="C9586" t="s">
        <v>588</v>
      </c>
      <c r="D9586" s="254">
        <v>56.71</v>
      </c>
      <c r="E9586"/>
      <c r="F9586"/>
      <c r="G9586"/>
      <c r="H9586"/>
      <c r="I9586" s="489"/>
      <c r="J9586" s="1362"/>
      <c r="K9586" s="1362"/>
      <c r="L9586" s="1362"/>
    </row>
    <row r="9587" spans="1:12" x14ac:dyDescent="0.25">
      <c r="A9587">
        <v>83764</v>
      </c>
      <c r="B9587" t="s">
        <v>691</v>
      </c>
      <c r="C9587" t="s">
        <v>588</v>
      </c>
      <c r="D9587" s="254">
        <v>1.58</v>
      </c>
      <c r="E9587"/>
      <c r="F9587"/>
      <c r="G9587"/>
      <c r="H9587"/>
      <c r="I9587" s="489"/>
      <c r="J9587" s="1362"/>
      <c r="K9587" s="1362"/>
      <c r="L9587" s="1362"/>
    </row>
    <row r="9588" spans="1:12" x14ac:dyDescent="0.25">
      <c r="A9588">
        <v>87026</v>
      </c>
      <c r="B9588" t="s">
        <v>692</v>
      </c>
      <c r="C9588" t="s">
        <v>588</v>
      </c>
      <c r="D9588" s="254">
        <v>0.44</v>
      </c>
      <c r="E9588"/>
      <c r="F9588"/>
      <c r="G9588"/>
      <c r="H9588"/>
      <c r="I9588" s="489"/>
      <c r="J9588" s="1362"/>
      <c r="K9588" s="1362"/>
      <c r="L9588" s="1362"/>
    </row>
    <row r="9589" spans="1:12" x14ac:dyDescent="0.25">
      <c r="A9589">
        <v>87441</v>
      </c>
      <c r="B9589" t="s">
        <v>7333</v>
      </c>
      <c r="C9589" t="s">
        <v>588</v>
      </c>
      <c r="D9589" s="254">
        <v>0.42</v>
      </c>
      <c r="E9589"/>
      <c r="F9589"/>
      <c r="G9589"/>
      <c r="H9589"/>
      <c r="I9589" s="489"/>
      <c r="J9589" s="1362"/>
      <c r="K9589" s="1362"/>
      <c r="L9589" s="1362"/>
    </row>
    <row r="9590" spans="1:12" x14ac:dyDescent="0.25">
      <c r="A9590">
        <v>87442</v>
      </c>
      <c r="B9590" t="s">
        <v>7334</v>
      </c>
      <c r="C9590" t="s">
        <v>588</v>
      </c>
      <c r="D9590" s="254">
        <v>0.05</v>
      </c>
      <c r="E9590"/>
      <c r="F9590"/>
      <c r="G9590"/>
      <c r="H9590"/>
      <c r="I9590" s="489"/>
      <c r="J9590" s="1362"/>
      <c r="K9590" s="1362"/>
      <c r="L9590" s="1362"/>
    </row>
    <row r="9591" spans="1:12" x14ac:dyDescent="0.25">
      <c r="A9591">
        <v>87443</v>
      </c>
      <c r="B9591" t="s">
        <v>7335</v>
      </c>
      <c r="C9591" t="s">
        <v>588</v>
      </c>
      <c r="D9591" s="254">
        <v>0.53</v>
      </c>
      <c r="E9591"/>
      <c r="F9591"/>
      <c r="G9591"/>
      <c r="H9591"/>
      <c r="I9591" s="489"/>
      <c r="J9591" s="1362"/>
      <c r="K9591" s="1362"/>
      <c r="L9591" s="1362"/>
    </row>
    <row r="9592" spans="1:12" x14ac:dyDescent="0.25">
      <c r="A9592">
        <v>87444</v>
      </c>
      <c r="B9592" t="s">
        <v>7336</v>
      </c>
      <c r="C9592" t="s">
        <v>588</v>
      </c>
      <c r="D9592" s="254">
        <v>4.7300000000000004</v>
      </c>
      <c r="E9592"/>
      <c r="F9592"/>
      <c r="G9592"/>
      <c r="H9592"/>
      <c r="I9592" s="489"/>
      <c r="J9592" s="1362"/>
      <c r="K9592" s="1362"/>
      <c r="L9592" s="1362"/>
    </row>
    <row r="9593" spans="1:12" x14ac:dyDescent="0.25">
      <c r="A9593">
        <v>88387</v>
      </c>
      <c r="B9593" t="s">
        <v>693</v>
      </c>
      <c r="C9593" t="s">
        <v>588</v>
      </c>
      <c r="D9593" s="254">
        <v>0.82</v>
      </c>
      <c r="E9593"/>
      <c r="F9593"/>
      <c r="G9593"/>
      <c r="H9593"/>
      <c r="I9593" s="489"/>
      <c r="J9593" s="1362"/>
      <c r="K9593" s="1362"/>
      <c r="L9593" s="1362"/>
    </row>
    <row r="9594" spans="1:12" x14ac:dyDescent="0.25">
      <c r="A9594">
        <v>88389</v>
      </c>
      <c r="B9594" t="s">
        <v>694</v>
      </c>
      <c r="C9594" t="s">
        <v>588</v>
      </c>
      <c r="D9594" s="254">
        <v>0.09</v>
      </c>
      <c r="E9594"/>
      <c r="F9594"/>
      <c r="G9594"/>
      <c r="H9594"/>
      <c r="I9594" s="489"/>
      <c r="J9594" s="1362"/>
      <c r="K9594" s="1362"/>
      <c r="L9594" s="1362"/>
    </row>
    <row r="9595" spans="1:12" x14ac:dyDescent="0.25">
      <c r="A9595">
        <v>88390</v>
      </c>
      <c r="B9595" t="s">
        <v>695</v>
      </c>
      <c r="C9595" t="s">
        <v>588</v>
      </c>
      <c r="D9595" s="254">
        <v>0.9</v>
      </c>
      <c r="E9595"/>
      <c r="F9595"/>
      <c r="G9595"/>
      <c r="H9595"/>
      <c r="I9595" s="489"/>
      <c r="J9595" s="1362"/>
      <c r="K9595" s="1362"/>
      <c r="L9595" s="1362"/>
    </row>
    <row r="9596" spans="1:12" x14ac:dyDescent="0.25">
      <c r="A9596">
        <v>88391</v>
      </c>
      <c r="B9596" t="s">
        <v>696</v>
      </c>
      <c r="C9596" t="s">
        <v>588</v>
      </c>
      <c r="D9596" s="254">
        <v>2.2200000000000002</v>
      </c>
      <c r="E9596"/>
      <c r="F9596"/>
      <c r="G9596"/>
      <c r="H9596"/>
      <c r="I9596" s="489"/>
      <c r="J9596" s="1362"/>
      <c r="K9596" s="1362"/>
      <c r="L9596" s="1362"/>
    </row>
    <row r="9597" spans="1:12" x14ac:dyDescent="0.25">
      <c r="A9597">
        <v>88394</v>
      </c>
      <c r="B9597" t="s">
        <v>697</v>
      </c>
      <c r="C9597" t="s">
        <v>588</v>
      </c>
      <c r="D9597" s="254">
        <v>0.98</v>
      </c>
      <c r="E9597"/>
      <c r="F9597"/>
      <c r="G9597"/>
      <c r="H9597"/>
      <c r="I9597" s="489"/>
      <c r="J9597" s="1362"/>
      <c r="K9597" s="1362"/>
      <c r="L9597" s="1362"/>
    </row>
    <row r="9598" spans="1:12" x14ac:dyDescent="0.25">
      <c r="A9598">
        <v>88395</v>
      </c>
      <c r="B9598" t="s">
        <v>698</v>
      </c>
      <c r="C9598" t="s">
        <v>588</v>
      </c>
      <c r="D9598" s="254">
        <v>0.11</v>
      </c>
      <c r="E9598"/>
      <c r="F9598"/>
      <c r="G9598"/>
      <c r="H9598"/>
      <c r="I9598" s="489"/>
      <c r="J9598" s="1362"/>
      <c r="K9598" s="1362"/>
      <c r="L9598" s="1362"/>
    </row>
    <row r="9599" spans="1:12" x14ac:dyDescent="0.25">
      <c r="A9599">
        <v>88396</v>
      </c>
      <c r="B9599" t="s">
        <v>699</v>
      </c>
      <c r="C9599" t="s">
        <v>588</v>
      </c>
      <c r="D9599" s="254">
        <v>1.07</v>
      </c>
      <c r="E9599"/>
      <c r="F9599"/>
      <c r="G9599"/>
      <c r="H9599"/>
      <c r="I9599" s="489"/>
      <c r="J9599" s="1362"/>
      <c r="K9599" s="1362"/>
      <c r="L9599" s="1362"/>
    </row>
    <row r="9600" spans="1:12" x14ac:dyDescent="0.25">
      <c r="A9600">
        <v>88397</v>
      </c>
      <c r="B9600" t="s">
        <v>700</v>
      </c>
      <c r="C9600" t="s">
        <v>588</v>
      </c>
      <c r="D9600" s="254">
        <v>3.32</v>
      </c>
      <c r="E9600"/>
      <c r="F9600"/>
      <c r="G9600"/>
      <c r="H9600"/>
      <c r="I9600" s="489"/>
      <c r="J9600" s="1362"/>
      <c r="K9600" s="1362"/>
      <c r="L9600" s="1362"/>
    </row>
    <row r="9601" spans="1:12" x14ac:dyDescent="0.25">
      <c r="A9601">
        <v>88400</v>
      </c>
      <c r="B9601" t="s">
        <v>701</v>
      </c>
      <c r="C9601" t="s">
        <v>588</v>
      </c>
      <c r="D9601" s="254">
        <v>0.78</v>
      </c>
      <c r="E9601"/>
      <c r="F9601"/>
      <c r="G9601"/>
      <c r="H9601"/>
      <c r="I9601" s="489"/>
      <c r="J9601" s="1362"/>
      <c r="K9601" s="1362"/>
      <c r="L9601" s="1362"/>
    </row>
    <row r="9602" spans="1:12" x14ac:dyDescent="0.25">
      <c r="A9602">
        <v>88401</v>
      </c>
      <c r="B9602" t="s">
        <v>702</v>
      </c>
      <c r="C9602" t="s">
        <v>588</v>
      </c>
      <c r="D9602" s="254">
        <v>0.09</v>
      </c>
      <c r="E9602"/>
      <c r="F9602"/>
      <c r="G9602"/>
      <c r="H9602"/>
      <c r="I9602" s="489"/>
      <c r="J9602" s="1362"/>
      <c r="K9602" s="1362"/>
      <c r="L9602" s="1362"/>
    </row>
    <row r="9603" spans="1:12" x14ac:dyDescent="0.25">
      <c r="A9603">
        <v>88402</v>
      </c>
      <c r="B9603" t="s">
        <v>703</v>
      </c>
      <c r="C9603" t="s">
        <v>588</v>
      </c>
      <c r="D9603" s="254">
        <v>0.85</v>
      </c>
      <c r="E9603"/>
      <c r="F9603"/>
      <c r="G9603"/>
      <c r="H9603"/>
      <c r="I9603" s="489"/>
      <c r="J9603" s="1362"/>
      <c r="K9603" s="1362"/>
      <c r="L9603" s="1362"/>
    </row>
    <row r="9604" spans="1:12" x14ac:dyDescent="0.25">
      <c r="A9604">
        <v>88403</v>
      </c>
      <c r="B9604" t="s">
        <v>704</v>
      </c>
      <c r="C9604" t="s">
        <v>588</v>
      </c>
      <c r="D9604" s="254">
        <v>1.33</v>
      </c>
      <c r="E9604"/>
      <c r="F9604"/>
      <c r="G9604"/>
      <c r="H9604"/>
      <c r="I9604" s="489"/>
      <c r="J9604" s="1362"/>
      <c r="K9604" s="1362"/>
      <c r="L9604" s="1362"/>
    </row>
    <row r="9605" spans="1:12" x14ac:dyDescent="0.25">
      <c r="A9605">
        <v>88419</v>
      </c>
      <c r="B9605" t="s">
        <v>705</v>
      </c>
      <c r="C9605" t="s">
        <v>588</v>
      </c>
      <c r="D9605" s="254">
        <v>5.0999999999999996</v>
      </c>
      <c r="E9605"/>
      <c r="F9605"/>
      <c r="G9605"/>
      <c r="H9605"/>
      <c r="I9605" s="489"/>
      <c r="J9605" s="1362"/>
      <c r="K9605" s="1362"/>
      <c r="L9605" s="1362"/>
    </row>
    <row r="9606" spans="1:12" x14ac:dyDescent="0.25">
      <c r="A9606">
        <v>88422</v>
      </c>
      <c r="B9606" t="s">
        <v>706</v>
      </c>
      <c r="C9606" t="s">
        <v>588</v>
      </c>
      <c r="D9606" s="254">
        <v>0.6</v>
      </c>
      <c r="E9606"/>
      <c r="F9606"/>
      <c r="G9606"/>
      <c r="H9606"/>
      <c r="I9606" s="489"/>
      <c r="J9606" s="1362"/>
      <c r="K9606" s="1362"/>
      <c r="L9606" s="1362"/>
    </row>
    <row r="9607" spans="1:12" x14ac:dyDescent="0.25">
      <c r="A9607">
        <v>88425</v>
      </c>
      <c r="B9607" t="s">
        <v>707</v>
      </c>
      <c r="C9607" t="s">
        <v>588</v>
      </c>
      <c r="D9607" s="254">
        <v>6.37</v>
      </c>
      <c r="E9607"/>
      <c r="F9607"/>
      <c r="G9607"/>
      <c r="H9607"/>
      <c r="I9607" s="489"/>
      <c r="J9607" s="1362"/>
      <c r="K9607" s="1362"/>
      <c r="L9607" s="1362"/>
    </row>
    <row r="9608" spans="1:12" x14ac:dyDescent="0.25">
      <c r="A9608">
        <v>88427</v>
      </c>
      <c r="B9608" t="s">
        <v>708</v>
      </c>
      <c r="C9608" t="s">
        <v>588</v>
      </c>
      <c r="D9608" s="254">
        <v>0.75</v>
      </c>
      <c r="E9608"/>
      <c r="F9608"/>
      <c r="G9608"/>
      <c r="H9608"/>
      <c r="I9608" s="489"/>
      <c r="J9608" s="1362"/>
      <c r="K9608" s="1362"/>
      <c r="L9608" s="1362"/>
    </row>
    <row r="9609" spans="1:12" x14ac:dyDescent="0.25">
      <c r="A9609">
        <v>88434</v>
      </c>
      <c r="B9609" t="s">
        <v>709</v>
      </c>
      <c r="C9609" t="s">
        <v>588</v>
      </c>
      <c r="D9609" s="254">
        <v>6.76</v>
      </c>
      <c r="E9609"/>
      <c r="F9609"/>
      <c r="G9609"/>
      <c r="H9609"/>
      <c r="I9609" s="489"/>
      <c r="J9609" s="1362"/>
      <c r="K9609" s="1362"/>
      <c r="L9609" s="1362"/>
    </row>
    <row r="9610" spans="1:12" x14ac:dyDescent="0.25">
      <c r="A9610">
        <v>88435</v>
      </c>
      <c r="B9610" t="s">
        <v>710</v>
      </c>
      <c r="C9610" t="s">
        <v>588</v>
      </c>
      <c r="D9610" s="254">
        <v>0.8</v>
      </c>
      <c r="E9610"/>
      <c r="F9610"/>
      <c r="G9610"/>
      <c r="H9610"/>
      <c r="I9610" s="489"/>
      <c r="J9610" s="1362"/>
      <c r="K9610" s="1362"/>
      <c r="L9610" s="1362"/>
    </row>
    <row r="9611" spans="1:12" x14ac:dyDescent="0.25">
      <c r="A9611">
        <v>88436</v>
      </c>
      <c r="B9611" t="s">
        <v>711</v>
      </c>
      <c r="C9611" t="s">
        <v>588</v>
      </c>
      <c r="D9611" s="254">
        <v>8.4499999999999993</v>
      </c>
      <c r="E9611"/>
      <c r="F9611"/>
      <c r="G9611"/>
      <c r="H9611"/>
      <c r="I9611" s="489"/>
      <c r="J9611" s="1362"/>
      <c r="K9611" s="1362"/>
      <c r="L9611" s="1362"/>
    </row>
    <row r="9612" spans="1:12" x14ac:dyDescent="0.25">
      <c r="A9612">
        <v>88437</v>
      </c>
      <c r="B9612" t="s">
        <v>712</v>
      </c>
      <c r="C9612" t="s">
        <v>588</v>
      </c>
      <c r="D9612" s="254">
        <v>0.75</v>
      </c>
      <c r="E9612"/>
      <c r="F9612"/>
      <c r="G9612"/>
      <c r="H9612"/>
      <c r="I9612" s="489"/>
      <c r="J9612" s="1362"/>
      <c r="K9612" s="1362"/>
      <c r="L9612" s="1362"/>
    </row>
    <row r="9613" spans="1:12" x14ac:dyDescent="0.25">
      <c r="A9613">
        <v>88569</v>
      </c>
      <c r="B9613" t="s">
        <v>713</v>
      </c>
      <c r="C9613" t="s">
        <v>588</v>
      </c>
      <c r="D9613" s="254">
        <v>4.12</v>
      </c>
      <c r="E9613"/>
      <c r="F9613"/>
      <c r="G9613"/>
      <c r="H9613"/>
      <c r="I9613" s="489"/>
      <c r="J9613" s="1362"/>
      <c r="K9613" s="1362"/>
      <c r="L9613" s="1362"/>
    </row>
    <row r="9614" spans="1:12" x14ac:dyDescent="0.25">
      <c r="A9614">
        <v>88570</v>
      </c>
      <c r="B9614" t="s">
        <v>714</v>
      </c>
      <c r="C9614" t="s">
        <v>588</v>
      </c>
      <c r="D9614" s="254">
        <v>0.68</v>
      </c>
      <c r="E9614"/>
      <c r="F9614"/>
      <c r="G9614"/>
      <c r="H9614"/>
      <c r="I9614" s="489"/>
      <c r="J9614" s="1362"/>
      <c r="K9614" s="1362"/>
      <c r="L9614" s="1362"/>
    </row>
    <row r="9615" spans="1:12" x14ac:dyDescent="0.25">
      <c r="A9615">
        <v>88826</v>
      </c>
      <c r="B9615" t="s">
        <v>715</v>
      </c>
      <c r="C9615" t="s">
        <v>588</v>
      </c>
      <c r="D9615" s="254">
        <v>0.31</v>
      </c>
      <c r="E9615"/>
      <c r="F9615"/>
      <c r="G9615"/>
      <c r="H9615"/>
      <c r="I9615" s="489"/>
      <c r="J9615" s="1362"/>
      <c r="K9615" s="1362"/>
      <c r="L9615" s="1362"/>
    </row>
    <row r="9616" spans="1:12" x14ac:dyDescent="0.25">
      <c r="A9616">
        <v>88827</v>
      </c>
      <c r="B9616" t="s">
        <v>716</v>
      </c>
      <c r="C9616" t="s">
        <v>588</v>
      </c>
      <c r="D9616" s="254">
        <v>0.03</v>
      </c>
      <c r="E9616"/>
      <c r="F9616"/>
      <c r="G9616"/>
      <c r="H9616"/>
      <c r="I9616" s="489"/>
      <c r="J9616" s="1362"/>
      <c r="K9616" s="1362"/>
      <c r="L9616" s="1362"/>
    </row>
    <row r="9617" spans="1:12" x14ac:dyDescent="0.25">
      <c r="A9617">
        <v>88828</v>
      </c>
      <c r="B9617" t="s">
        <v>717</v>
      </c>
      <c r="C9617" t="s">
        <v>588</v>
      </c>
      <c r="D9617" s="254">
        <v>0.34</v>
      </c>
      <c r="E9617"/>
      <c r="F9617"/>
      <c r="G9617"/>
      <c r="H9617"/>
      <c r="I9617" s="489"/>
      <c r="J9617" s="1362"/>
      <c r="K9617" s="1362"/>
      <c r="L9617" s="1362"/>
    </row>
    <row r="9618" spans="1:12" x14ac:dyDescent="0.25">
      <c r="A9618">
        <v>88829</v>
      </c>
      <c r="B9618" t="s">
        <v>718</v>
      </c>
      <c r="C9618" t="s">
        <v>588</v>
      </c>
      <c r="D9618" s="254">
        <v>0.88</v>
      </c>
      <c r="E9618"/>
      <c r="F9618"/>
      <c r="G9618"/>
      <c r="H9618"/>
      <c r="I9618" s="489"/>
      <c r="J9618" s="1362"/>
      <c r="K9618" s="1362"/>
      <c r="L9618" s="1362"/>
    </row>
    <row r="9619" spans="1:12" x14ac:dyDescent="0.25">
      <c r="A9619">
        <v>88832</v>
      </c>
      <c r="B9619" t="s">
        <v>719</v>
      </c>
      <c r="C9619" t="s">
        <v>588</v>
      </c>
      <c r="D9619" s="254">
        <v>46.19</v>
      </c>
      <c r="E9619"/>
      <c r="F9619"/>
      <c r="G9619"/>
      <c r="H9619"/>
      <c r="I9619" s="489"/>
      <c r="J9619" s="1362"/>
      <c r="K9619" s="1362"/>
      <c r="L9619" s="1362"/>
    </row>
    <row r="9620" spans="1:12" x14ac:dyDescent="0.25">
      <c r="A9620">
        <v>88834</v>
      </c>
      <c r="B9620" t="s">
        <v>720</v>
      </c>
      <c r="C9620" t="s">
        <v>588</v>
      </c>
      <c r="D9620" s="254">
        <v>6.26</v>
      </c>
      <c r="E9620"/>
      <c r="F9620"/>
      <c r="G9620"/>
      <c r="H9620"/>
      <c r="I9620" s="489"/>
      <c r="J9620" s="1362"/>
      <c r="K9620" s="1362"/>
      <c r="L9620" s="1362"/>
    </row>
    <row r="9621" spans="1:12" x14ac:dyDescent="0.25">
      <c r="A9621">
        <v>88835</v>
      </c>
      <c r="B9621" t="s">
        <v>721</v>
      </c>
      <c r="C9621" t="s">
        <v>588</v>
      </c>
      <c r="D9621" s="254">
        <v>57.74</v>
      </c>
      <c r="E9621"/>
      <c r="F9621"/>
      <c r="G9621"/>
      <c r="H9621"/>
      <c r="I9621" s="489"/>
      <c r="J9621" s="1362"/>
      <c r="K9621" s="1362"/>
      <c r="L9621" s="1362"/>
    </row>
    <row r="9622" spans="1:12" x14ac:dyDescent="0.25">
      <c r="A9622">
        <v>88836</v>
      </c>
      <c r="B9622" t="s">
        <v>722</v>
      </c>
      <c r="C9622" t="s">
        <v>588</v>
      </c>
      <c r="D9622" s="254">
        <v>72.12</v>
      </c>
      <c r="E9622"/>
      <c r="F9622"/>
      <c r="G9622"/>
      <c r="H9622"/>
      <c r="I9622" s="489"/>
      <c r="J9622" s="1362"/>
      <c r="K9622" s="1362"/>
      <c r="L9622" s="1362"/>
    </row>
    <row r="9623" spans="1:12" x14ac:dyDescent="0.25">
      <c r="A9623">
        <v>88839</v>
      </c>
      <c r="B9623" t="s">
        <v>723</v>
      </c>
      <c r="C9623" t="s">
        <v>588</v>
      </c>
      <c r="D9623" s="254">
        <v>39.159999999999997</v>
      </c>
      <c r="E9623"/>
      <c r="F9623"/>
      <c r="G9623"/>
      <c r="H9623"/>
      <c r="I9623" s="489"/>
      <c r="J9623" s="1362"/>
      <c r="K9623" s="1362"/>
      <c r="L9623" s="1362"/>
    </row>
    <row r="9624" spans="1:12" x14ac:dyDescent="0.25">
      <c r="A9624">
        <v>88840</v>
      </c>
      <c r="B9624" t="s">
        <v>724</v>
      </c>
      <c r="C9624" t="s">
        <v>588</v>
      </c>
      <c r="D9624" s="254">
        <v>8.81</v>
      </c>
      <c r="E9624"/>
      <c r="F9624"/>
      <c r="G9624"/>
      <c r="H9624"/>
      <c r="I9624" s="489"/>
      <c r="J9624" s="1362"/>
      <c r="K9624" s="1362"/>
      <c r="L9624" s="1362"/>
    </row>
    <row r="9625" spans="1:12" x14ac:dyDescent="0.25">
      <c r="A9625">
        <v>88841</v>
      </c>
      <c r="B9625" t="s">
        <v>725</v>
      </c>
      <c r="C9625" t="s">
        <v>588</v>
      </c>
      <c r="D9625" s="254">
        <v>70.02</v>
      </c>
      <c r="E9625"/>
      <c r="F9625"/>
      <c r="G9625"/>
      <c r="H9625"/>
      <c r="I9625" s="489"/>
      <c r="J9625" s="1362"/>
      <c r="K9625" s="1362"/>
      <c r="L9625" s="1362"/>
    </row>
    <row r="9626" spans="1:12" x14ac:dyDescent="0.25">
      <c r="A9626">
        <v>88842</v>
      </c>
      <c r="B9626" t="s">
        <v>726</v>
      </c>
      <c r="C9626" t="s">
        <v>588</v>
      </c>
      <c r="D9626" s="254">
        <v>88.28</v>
      </c>
      <c r="E9626"/>
      <c r="F9626"/>
      <c r="G9626"/>
      <c r="H9626"/>
      <c r="I9626" s="489"/>
      <c r="J9626" s="1362"/>
      <c r="K9626" s="1362"/>
      <c r="L9626" s="1362"/>
    </row>
    <row r="9627" spans="1:12" x14ac:dyDescent="0.25">
      <c r="A9627">
        <v>88847</v>
      </c>
      <c r="B9627" t="s">
        <v>727</v>
      </c>
      <c r="C9627" t="s">
        <v>588</v>
      </c>
      <c r="D9627" s="254">
        <v>23.7</v>
      </c>
      <c r="E9627"/>
      <c r="F9627"/>
      <c r="G9627"/>
      <c r="H9627"/>
      <c r="I9627" s="489"/>
      <c r="J9627" s="1362"/>
      <c r="K9627" s="1362"/>
      <c r="L9627" s="1362"/>
    </row>
    <row r="9628" spans="1:12" x14ac:dyDescent="0.25">
      <c r="A9628">
        <v>88848</v>
      </c>
      <c r="B9628" t="s">
        <v>728</v>
      </c>
      <c r="C9628" t="s">
        <v>588</v>
      </c>
      <c r="D9628" s="254">
        <v>4.97</v>
      </c>
      <c r="E9628"/>
      <c r="F9628"/>
      <c r="G9628"/>
      <c r="H9628"/>
      <c r="I9628" s="489"/>
      <c r="J9628" s="1362"/>
      <c r="K9628" s="1362"/>
      <c r="L9628" s="1362"/>
    </row>
    <row r="9629" spans="1:12" x14ac:dyDescent="0.25">
      <c r="A9629">
        <v>88853</v>
      </c>
      <c r="B9629" t="s">
        <v>729</v>
      </c>
      <c r="C9629" t="s">
        <v>588</v>
      </c>
      <c r="D9629" s="254">
        <v>0.2</v>
      </c>
      <c r="E9629"/>
      <c r="F9629"/>
      <c r="G9629"/>
      <c r="H9629"/>
      <c r="I9629" s="489"/>
      <c r="J9629" s="1362"/>
      <c r="K9629" s="1362"/>
      <c r="L9629" s="1362"/>
    </row>
    <row r="9630" spans="1:12" x14ac:dyDescent="0.25">
      <c r="A9630">
        <v>88854</v>
      </c>
      <c r="B9630" t="s">
        <v>730</v>
      </c>
      <c r="C9630" t="s">
        <v>588</v>
      </c>
      <c r="D9630" s="254">
        <v>0.02</v>
      </c>
      <c r="E9630"/>
      <c r="F9630"/>
      <c r="G9630"/>
      <c r="H9630"/>
      <c r="I9630" s="489"/>
      <c r="J9630" s="1362"/>
      <c r="K9630" s="1362"/>
      <c r="L9630" s="1362"/>
    </row>
    <row r="9631" spans="1:12" x14ac:dyDescent="0.25">
      <c r="A9631">
        <v>88855</v>
      </c>
      <c r="B9631" t="s">
        <v>731</v>
      </c>
      <c r="C9631" t="s">
        <v>588</v>
      </c>
      <c r="D9631" s="254">
        <v>4.0599999999999996</v>
      </c>
      <c r="E9631"/>
      <c r="F9631"/>
      <c r="G9631"/>
      <c r="H9631"/>
      <c r="I9631" s="489"/>
      <c r="J9631" s="1362"/>
      <c r="K9631" s="1362"/>
      <c r="L9631" s="1362"/>
    </row>
    <row r="9632" spans="1:12" x14ac:dyDescent="0.25">
      <c r="A9632">
        <v>88856</v>
      </c>
      <c r="B9632" t="s">
        <v>732</v>
      </c>
      <c r="C9632" t="s">
        <v>588</v>
      </c>
      <c r="D9632" s="254">
        <v>0.56000000000000005</v>
      </c>
      <c r="E9632"/>
      <c r="F9632"/>
      <c r="G9632"/>
      <c r="H9632"/>
      <c r="I9632" s="489"/>
      <c r="J9632" s="1362"/>
      <c r="K9632" s="1362"/>
      <c r="L9632" s="1362"/>
    </row>
    <row r="9633" spans="1:12" x14ac:dyDescent="0.25">
      <c r="A9633">
        <v>88857</v>
      </c>
      <c r="B9633" t="s">
        <v>733</v>
      </c>
      <c r="C9633" t="s">
        <v>588</v>
      </c>
      <c r="D9633" s="254">
        <v>26.41</v>
      </c>
      <c r="E9633"/>
      <c r="F9633"/>
      <c r="G9633"/>
      <c r="H9633"/>
      <c r="I9633" s="489"/>
      <c r="J9633" s="1362"/>
      <c r="K9633" s="1362"/>
      <c r="L9633" s="1362"/>
    </row>
    <row r="9634" spans="1:12" x14ac:dyDescent="0.25">
      <c r="A9634">
        <v>88858</v>
      </c>
      <c r="B9634" t="s">
        <v>734</v>
      </c>
      <c r="C9634" t="s">
        <v>588</v>
      </c>
      <c r="D9634" s="254">
        <v>3.58</v>
      </c>
      <c r="E9634"/>
      <c r="F9634"/>
      <c r="G9634"/>
      <c r="H9634"/>
      <c r="I9634" s="489"/>
      <c r="J9634" s="1362"/>
      <c r="K9634" s="1362"/>
      <c r="L9634" s="1362"/>
    </row>
    <row r="9635" spans="1:12" x14ac:dyDescent="0.25">
      <c r="A9635">
        <v>88859</v>
      </c>
      <c r="B9635" t="s">
        <v>735</v>
      </c>
      <c r="C9635" t="s">
        <v>588</v>
      </c>
      <c r="D9635" s="254">
        <v>23.49</v>
      </c>
      <c r="E9635"/>
      <c r="F9635"/>
      <c r="G9635"/>
      <c r="H9635"/>
      <c r="I9635" s="489"/>
      <c r="J9635" s="1362"/>
      <c r="K9635" s="1362"/>
      <c r="L9635" s="1362"/>
    </row>
    <row r="9636" spans="1:12" x14ac:dyDescent="0.25">
      <c r="A9636">
        <v>88860</v>
      </c>
      <c r="B9636" t="s">
        <v>736</v>
      </c>
      <c r="C9636" t="s">
        <v>588</v>
      </c>
      <c r="D9636" s="254">
        <v>3.18</v>
      </c>
      <c r="E9636"/>
      <c r="F9636"/>
      <c r="G9636"/>
      <c r="H9636"/>
      <c r="I9636" s="489"/>
      <c r="J9636" s="1362"/>
      <c r="K9636" s="1362"/>
      <c r="L9636" s="1362"/>
    </row>
    <row r="9637" spans="1:12" x14ac:dyDescent="0.25">
      <c r="A9637">
        <v>88900</v>
      </c>
      <c r="B9637" t="s">
        <v>737</v>
      </c>
      <c r="C9637" t="s">
        <v>588</v>
      </c>
      <c r="D9637" s="254">
        <v>53.86</v>
      </c>
      <c r="E9637"/>
      <c r="F9637"/>
      <c r="G9637"/>
      <c r="H9637"/>
      <c r="I9637" s="489"/>
      <c r="J9637" s="1362"/>
      <c r="K9637" s="1362"/>
      <c r="L9637" s="1362"/>
    </row>
    <row r="9638" spans="1:12" x14ac:dyDescent="0.25">
      <c r="A9638">
        <v>88902</v>
      </c>
      <c r="B9638" t="s">
        <v>738</v>
      </c>
      <c r="C9638" t="s">
        <v>588</v>
      </c>
      <c r="D9638" s="254">
        <v>7.3</v>
      </c>
      <c r="E9638"/>
      <c r="F9638"/>
      <c r="G9638"/>
      <c r="H9638"/>
      <c r="I9638" s="489"/>
      <c r="J9638" s="1362"/>
      <c r="K9638" s="1362"/>
      <c r="L9638" s="1362"/>
    </row>
    <row r="9639" spans="1:12" x14ac:dyDescent="0.25">
      <c r="A9639">
        <v>88903</v>
      </c>
      <c r="B9639" t="s">
        <v>739</v>
      </c>
      <c r="C9639" t="s">
        <v>588</v>
      </c>
      <c r="D9639" s="254">
        <v>67.319999999999993</v>
      </c>
      <c r="E9639"/>
      <c r="F9639"/>
      <c r="G9639"/>
      <c r="H9639"/>
      <c r="I9639" s="489"/>
      <c r="J9639" s="1362"/>
      <c r="K9639" s="1362"/>
      <c r="L9639" s="1362"/>
    </row>
    <row r="9640" spans="1:12" x14ac:dyDescent="0.25">
      <c r="A9640">
        <v>88904</v>
      </c>
      <c r="B9640" t="s">
        <v>740</v>
      </c>
      <c r="C9640" t="s">
        <v>588</v>
      </c>
      <c r="D9640" s="254">
        <v>101.6</v>
      </c>
      <c r="E9640"/>
      <c r="F9640"/>
      <c r="G9640"/>
      <c r="H9640"/>
      <c r="I9640" s="489"/>
      <c r="J9640" s="1362"/>
      <c r="K9640" s="1362"/>
      <c r="L9640" s="1362"/>
    </row>
    <row r="9641" spans="1:12" x14ac:dyDescent="0.25">
      <c r="A9641">
        <v>89009</v>
      </c>
      <c r="B9641" t="s">
        <v>741</v>
      </c>
      <c r="C9641" t="s">
        <v>588</v>
      </c>
      <c r="D9641" s="254">
        <v>48.51</v>
      </c>
      <c r="E9641"/>
      <c r="F9641"/>
      <c r="G9641"/>
      <c r="H9641"/>
      <c r="I9641" s="489"/>
      <c r="J9641" s="1362"/>
      <c r="K9641" s="1362"/>
      <c r="L9641" s="1362"/>
    </row>
    <row r="9642" spans="1:12" x14ac:dyDescent="0.25">
      <c r="A9642">
        <v>89010</v>
      </c>
      <c r="B9642" t="s">
        <v>742</v>
      </c>
      <c r="C9642" t="s">
        <v>588</v>
      </c>
      <c r="D9642" s="254">
        <v>10.91</v>
      </c>
      <c r="E9642"/>
      <c r="F9642"/>
      <c r="G9642"/>
      <c r="H9642"/>
      <c r="I9642" s="489"/>
      <c r="J9642" s="1362"/>
      <c r="K9642" s="1362"/>
      <c r="L9642" s="1362"/>
    </row>
    <row r="9643" spans="1:12" x14ac:dyDescent="0.25">
      <c r="A9643">
        <v>89011</v>
      </c>
      <c r="B9643" t="s">
        <v>743</v>
      </c>
      <c r="C9643" t="s">
        <v>588</v>
      </c>
      <c r="D9643" s="254">
        <v>25.48</v>
      </c>
      <c r="E9643"/>
      <c r="F9643"/>
      <c r="G9643"/>
      <c r="H9643"/>
      <c r="I9643" s="489"/>
      <c r="J9643" s="1362"/>
      <c r="K9643" s="1362"/>
      <c r="L9643" s="1362"/>
    </row>
    <row r="9644" spans="1:12" x14ac:dyDescent="0.25">
      <c r="A9644">
        <v>89012</v>
      </c>
      <c r="B9644" t="s">
        <v>744</v>
      </c>
      <c r="C9644" t="s">
        <v>588</v>
      </c>
      <c r="D9644" s="254">
        <v>3.45</v>
      </c>
      <c r="E9644"/>
      <c r="F9644"/>
      <c r="G9644"/>
      <c r="H9644"/>
      <c r="I9644" s="489"/>
      <c r="J9644" s="1362"/>
      <c r="K9644" s="1362"/>
      <c r="L9644" s="1362"/>
    </row>
    <row r="9645" spans="1:12" x14ac:dyDescent="0.25">
      <c r="A9645">
        <v>89013</v>
      </c>
      <c r="B9645" t="s">
        <v>745</v>
      </c>
      <c r="C9645" t="s">
        <v>588</v>
      </c>
      <c r="D9645" s="254">
        <v>158.9</v>
      </c>
      <c r="E9645"/>
      <c r="F9645"/>
      <c r="G9645"/>
      <c r="H9645"/>
      <c r="I9645" s="489"/>
      <c r="J9645" s="1362"/>
      <c r="K9645" s="1362"/>
      <c r="L9645" s="1362"/>
    </row>
    <row r="9646" spans="1:12" x14ac:dyDescent="0.25">
      <c r="A9646">
        <v>89014</v>
      </c>
      <c r="B9646" t="s">
        <v>746</v>
      </c>
      <c r="C9646" t="s">
        <v>588</v>
      </c>
      <c r="D9646" s="254">
        <v>35.76</v>
      </c>
      <c r="E9646"/>
      <c r="F9646"/>
      <c r="G9646"/>
      <c r="H9646"/>
      <c r="I9646" s="489"/>
      <c r="J9646" s="1362"/>
      <c r="K9646" s="1362"/>
      <c r="L9646" s="1362"/>
    </row>
    <row r="9647" spans="1:12" x14ac:dyDescent="0.25">
      <c r="A9647">
        <v>89015</v>
      </c>
      <c r="B9647" t="s">
        <v>747</v>
      </c>
      <c r="C9647" t="s">
        <v>588</v>
      </c>
      <c r="D9647" s="254">
        <v>4.6900000000000004</v>
      </c>
      <c r="E9647"/>
      <c r="F9647"/>
      <c r="G9647"/>
      <c r="H9647"/>
      <c r="I9647" s="489"/>
      <c r="J9647" s="1362"/>
      <c r="K9647" s="1362"/>
      <c r="L9647" s="1362"/>
    </row>
    <row r="9648" spans="1:12" x14ac:dyDescent="0.25">
      <c r="A9648">
        <v>89016</v>
      </c>
      <c r="B9648" t="s">
        <v>748</v>
      </c>
      <c r="C9648" t="s">
        <v>588</v>
      </c>
      <c r="D9648" s="254">
        <v>0.63</v>
      </c>
      <c r="E9648"/>
      <c r="F9648"/>
      <c r="G9648"/>
      <c r="H9648"/>
      <c r="I9648" s="489"/>
      <c r="J9648" s="1362"/>
      <c r="K9648" s="1362"/>
      <c r="L9648" s="1362"/>
    </row>
    <row r="9649" spans="1:12" x14ac:dyDescent="0.25">
      <c r="A9649">
        <v>89017</v>
      </c>
      <c r="B9649" t="s">
        <v>749</v>
      </c>
      <c r="C9649" t="s">
        <v>588</v>
      </c>
      <c r="D9649" s="254">
        <v>48.21</v>
      </c>
      <c r="E9649"/>
      <c r="F9649"/>
      <c r="G9649"/>
      <c r="H9649"/>
      <c r="I9649" s="489"/>
      <c r="J9649" s="1362"/>
      <c r="K9649" s="1362"/>
      <c r="L9649" s="1362"/>
    </row>
    <row r="9650" spans="1:12" x14ac:dyDescent="0.25">
      <c r="A9650">
        <v>89018</v>
      </c>
      <c r="B9650" t="s">
        <v>750</v>
      </c>
      <c r="C9650" t="s">
        <v>588</v>
      </c>
      <c r="D9650" s="254">
        <v>10.85</v>
      </c>
      <c r="E9650"/>
      <c r="F9650"/>
      <c r="G9650"/>
      <c r="H9650"/>
      <c r="I9650" s="489"/>
      <c r="J9650" s="1362"/>
      <c r="K9650" s="1362"/>
      <c r="L9650" s="1362"/>
    </row>
    <row r="9651" spans="1:12" x14ac:dyDescent="0.25">
      <c r="A9651">
        <v>89019</v>
      </c>
      <c r="B9651" t="s">
        <v>751</v>
      </c>
      <c r="C9651" t="s">
        <v>588</v>
      </c>
      <c r="D9651" s="254">
        <v>0.36</v>
      </c>
      <c r="E9651"/>
      <c r="F9651"/>
      <c r="G9651"/>
      <c r="H9651"/>
      <c r="I9651" s="489"/>
      <c r="J9651" s="1362"/>
      <c r="K9651" s="1362"/>
      <c r="L9651" s="1362"/>
    </row>
    <row r="9652" spans="1:12" x14ac:dyDescent="0.25">
      <c r="A9652">
        <v>89020</v>
      </c>
      <c r="B9652" t="s">
        <v>752</v>
      </c>
      <c r="C9652" t="s">
        <v>588</v>
      </c>
      <c r="D9652" s="254">
        <v>0.04</v>
      </c>
      <c r="E9652"/>
      <c r="F9652"/>
      <c r="G9652"/>
      <c r="H9652"/>
      <c r="I9652" s="489"/>
      <c r="J9652" s="1362"/>
      <c r="K9652" s="1362"/>
      <c r="L9652" s="1362"/>
    </row>
    <row r="9653" spans="1:12" x14ac:dyDescent="0.25">
      <c r="A9653">
        <v>89023</v>
      </c>
      <c r="B9653" t="s">
        <v>753</v>
      </c>
      <c r="C9653" t="s">
        <v>588</v>
      </c>
      <c r="D9653" s="254">
        <v>4.1500000000000004</v>
      </c>
      <c r="E9653"/>
      <c r="F9653"/>
      <c r="G9653"/>
      <c r="H9653"/>
      <c r="I9653" s="489"/>
      <c r="J9653" s="1362"/>
      <c r="K9653" s="1362"/>
      <c r="L9653" s="1362"/>
    </row>
    <row r="9654" spans="1:12" x14ac:dyDescent="0.25">
      <c r="A9654">
        <v>89024</v>
      </c>
      <c r="B9654" t="s">
        <v>754</v>
      </c>
      <c r="C9654" t="s">
        <v>588</v>
      </c>
      <c r="D9654" s="254">
        <v>0.74</v>
      </c>
      <c r="E9654"/>
      <c r="F9654"/>
      <c r="G9654"/>
      <c r="H9654"/>
      <c r="I9654" s="489"/>
      <c r="J9654" s="1362"/>
      <c r="K9654" s="1362"/>
      <c r="L9654" s="1362"/>
    </row>
    <row r="9655" spans="1:12" x14ac:dyDescent="0.25">
      <c r="A9655">
        <v>89025</v>
      </c>
      <c r="B9655" t="s">
        <v>755</v>
      </c>
      <c r="C9655" t="s">
        <v>588</v>
      </c>
      <c r="D9655" s="254">
        <v>5.19</v>
      </c>
      <c r="E9655"/>
      <c r="F9655"/>
      <c r="G9655"/>
      <c r="H9655"/>
      <c r="I9655" s="489"/>
      <c r="J9655" s="1362"/>
      <c r="K9655" s="1362"/>
      <c r="L9655" s="1362"/>
    </row>
    <row r="9656" spans="1:12" x14ac:dyDescent="0.25">
      <c r="A9656">
        <v>89026</v>
      </c>
      <c r="B9656" t="s">
        <v>756</v>
      </c>
      <c r="C9656" t="s">
        <v>588</v>
      </c>
      <c r="D9656" s="254">
        <v>193.13</v>
      </c>
      <c r="E9656"/>
      <c r="F9656"/>
      <c r="G9656"/>
      <c r="H9656"/>
      <c r="I9656" s="489"/>
      <c r="J9656" s="1362"/>
      <c r="K9656" s="1362"/>
      <c r="L9656" s="1362"/>
    </row>
    <row r="9657" spans="1:12" x14ac:dyDescent="0.25">
      <c r="A9657">
        <v>89029</v>
      </c>
      <c r="B9657" t="s">
        <v>757</v>
      </c>
      <c r="C9657" t="s">
        <v>588</v>
      </c>
      <c r="D9657" s="254">
        <v>37.42</v>
      </c>
      <c r="E9657"/>
      <c r="F9657"/>
      <c r="G9657"/>
      <c r="H9657"/>
      <c r="I9657" s="489"/>
      <c r="J9657" s="1362"/>
      <c r="K9657" s="1362"/>
      <c r="L9657" s="1362"/>
    </row>
    <row r="9658" spans="1:12" x14ac:dyDescent="0.25">
      <c r="A9658">
        <v>89030</v>
      </c>
      <c r="B9658" t="s">
        <v>758</v>
      </c>
      <c r="C9658" t="s">
        <v>588</v>
      </c>
      <c r="D9658" s="254">
        <v>8.42</v>
      </c>
      <c r="E9658"/>
      <c r="F9658"/>
      <c r="G9658"/>
      <c r="H9658"/>
      <c r="I9658" s="489"/>
      <c r="J9658" s="1362"/>
      <c r="K9658" s="1362"/>
      <c r="L9658" s="1362"/>
    </row>
    <row r="9659" spans="1:12" x14ac:dyDescent="0.25">
      <c r="A9659">
        <v>89033</v>
      </c>
      <c r="B9659" t="s">
        <v>759</v>
      </c>
      <c r="C9659" t="s">
        <v>588</v>
      </c>
      <c r="D9659" s="254">
        <v>14.68</v>
      </c>
      <c r="E9659"/>
      <c r="F9659"/>
      <c r="G9659"/>
      <c r="H9659"/>
      <c r="I9659" s="489"/>
      <c r="J9659" s="1362"/>
      <c r="K9659" s="1362"/>
      <c r="L9659" s="1362"/>
    </row>
    <row r="9660" spans="1:12" x14ac:dyDescent="0.25">
      <c r="A9660">
        <v>89034</v>
      </c>
      <c r="B9660" t="s">
        <v>760</v>
      </c>
      <c r="C9660" t="s">
        <v>588</v>
      </c>
      <c r="D9660" s="254">
        <v>2.0299999999999998</v>
      </c>
      <c r="E9660"/>
      <c r="F9660"/>
      <c r="G9660"/>
      <c r="H9660"/>
      <c r="I9660" s="489"/>
      <c r="J9660" s="1362"/>
      <c r="K9660" s="1362"/>
      <c r="L9660" s="1362"/>
    </row>
    <row r="9661" spans="1:12" x14ac:dyDescent="0.25">
      <c r="A9661">
        <v>89128</v>
      </c>
      <c r="B9661" t="s">
        <v>761</v>
      </c>
      <c r="C9661" t="s">
        <v>588</v>
      </c>
      <c r="D9661" s="254">
        <v>42.55</v>
      </c>
      <c r="E9661"/>
      <c r="F9661"/>
      <c r="G9661"/>
      <c r="H9661"/>
      <c r="I9661" s="489"/>
      <c r="J9661" s="1362"/>
      <c r="K9661" s="1362"/>
      <c r="L9661" s="1362"/>
    </row>
    <row r="9662" spans="1:12" x14ac:dyDescent="0.25">
      <c r="A9662">
        <v>89129</v>
      </c>
      <c r="B9662" t="s">
        <v>762</v>
      </c>
      <c r="C9662" t="s">
        <v>588</v>
      </c>
      <c r="D9662" s="254">
        <v>5.77</v>
      </c>
      <c r="E9662"/>
      <c r="F9662"/>
      <c r="G9662"/>
      <c r="H9662"/>
      <c r="I9662" s="489"/>
      <c r="J9662" s="1362"/>
      <c r="K9662" s="1362"/>
      <c r="L9662" s="1362"/>
    </row>
    <row r="9663" spans="1:12" x14ac:dyDescent="0.25">
      <c r="A9663">
        <v>89130</v>
      </c>
      <c r="B9663" t="s">
        <v>763</v>
      </c>
      <c r="C9663" t="s">
        <v>588</v>
      </c>
      <c r="D9663" s="254">
        <v>59</v>
      </c>
      <c r="E9663"/>
      <c r="F9663"/>
      <c r="G9663"/>
      <c r="H9663"/>
      <c r="I9663" s="489"/>
      <c r="J9663" s="1362"/>
      <c r="K9663" s="1362"/>
      <c r="L9663" s="1362"/>
    </row>
    <row r="9664" spans="1:12" x14ac:dyDescent="0.25">
      <c r="A9664">
        <v>89131</v>
      </c>
      <c r="B9664" t="s">
        <v>764</v>
      </c>
      <c r="C9664" t="s">
        <v>588</v>
      </c>
      <c r="D9664" s="254">
        <v>8</v>
      </c>
      <c r="E9664"/>
      <c r="F9664"/>
      <c r="G9664"/>
      <c r="H9664"/>
      <c r="I9664" s="489"/>
      <c r="J9664" s="1362"/>
      <c r="K9664" s="1362"/>
      <c r="L9664" s="1362"/>
    </row>
    <row r="9665" spans="1:12" x14ac:dyDescent="0.25">
      <c r="A9665">
        <v>89210</v>
      </c>
      <c r="B9665" t="s">
        <v>765</v>
      </c>
      <c r="C9665" t="s">
        <v>588</v>
      </c>
      <c r="D9665" s="254">
        <v>23.06</v>
      </c>
      <c r="E9665"/>
      <c r="F9665"/>
      <c r="G9665"/>
      <c r="H9665"/>
      <c r="I9665" s="489"/>
      <c r="J9665" s="1362"/>
      <c r="K9665" s="1362"/>
      <c r="L9665" s="1362"/>
    </row>
    <row r="9666" spans="1:12" x14ac:dyDescent="0.25">
      <c r="A9666">
        <v>89211</v>
      </c>
      <c r="B9666" t="s">
        <v>766</v>
      </c>
      <c r="C9666" t="s">
        <v>588</v>
      </c>
      <c r="D9666" s="254">
        <v>3.2</v>
      </c>
      <c r="E9666"/>
      <c r="F9666"/>
      <c r="G9666"/>
      <c r="H9666"/>
      <c r="I9666" s="489"/>
      <c r="J9666" s="1362"/>
      <c r="K9666" s="1362"/>
      <c r="L9666" s="1362"/>
    </row>
    <row r="9667" spans="1:12" x14ac:dyDescent="0.25">
      <c r="A9667">
        <v>89212</v>
      </c>
      <c r="B9667" t="s">
        <v>767</v>
      </c>
      <c r="C9667" t="s">
        <v>588</v>
      </c>
      <c r="D9667" s="254">
        <v>28.57</v>
      </c>
      <c r="E9667"/>
      <c r="F9667"/>
      <c r="G9667"/>
      <c r="H9667"/>
      <c r="I9667" s="489"/>
      <c r="J9667" s="1362"/>
      <c r="K9667" s="1362"/>
      <c r="L9667" s="1362"/>
    </row>
    <row r="9668" spans="1:12" x14ac:dyDescent="0.25">
      <c r="A9668">
        <v>89213</v>
      </c>
      <c r="B9668" t="s">
        <v>768</v>
      </c>
      <c r="C9668" t="s">
        <v>588</v>
      </c>
      <c r="D9668" s="254">
        <v>4.5</v>
      </c>
      <c r="E9668"/>
      <c r="F9668"/>
      <c r="G9668"/>
      <c r="H9668"/>
      <c r="I9668" s="489"/>
      <c r="J9668" s="1362"/>
      <c r="K9668" s="1362"/>
      <c r="L9668" s="1362"/>
    </row>
    <row r="9669" spans="1:12" x14ac:dyDescent="0.25">
      <c r="A9669">
        <v>89214</v>
      </c>
      <c r="B9669" t="s">
        <v>769</v>
      </c>
      <c r="C9669" t="s">
        <v>588</v>
      </c>
      <c r="D9669" s="254">
        <v>26.82</v>
      </c>
      <c r="E9669"/>
      <c r="F9669"/>
      <c r="G9669"/>
      <c r="H9669"/>
      <c r="I9669" s="489"/>
      <c r="J9669" s="1362"/>
      <c r="K9669" s="1362"/>
      <c r="L9669" s="1362"/>
    </row>
    <row r="9670" spans="1:12" x14ac:dyDescent="0.25">
      <c r="A9670">
        <v>89215</v>
      </c>
      <c r="B9670" t="s">
        <v>770</v>
      </c>
      <c r="C9670" t="s">
        <v>588</v>
      </c>
      <c r="D9670" s="254">
        <v>104.91</v>
      </c>
      <c r="E9670"/>
      <c r="F9670"/>
      <c r="G9670"/>
      <c r="H9670"/>
      <c r="I9670" s="489"/>
      <c r="J9670" s="1362"/>
      <c r="K9670" s="1362"/>
      <c r="L9670" s="1362"/>
    </row>
    <row r="9671" spans="1:12" x14ac:dyDescent="0.25">
      <c r="A9671">
        <v>89221</v>
      </c>
      <c r="B9671" t="s">
        <v>771</v>
      </c>
      <c r="C9671" t="s">
        <v>588</v>
      </c>
      <c r="D9671" s="254">
        <v>1.27</v>
      </c>
      <c r="E9671"/>
      <c r="F9671"/>
      <c r="G9671"/>
      <c r="H9671"/>
      <c r="I9671" s="489"/>
      <c r="J9671" s="1362"/>
      <c r="K9671" s="1362"/>
      <c r="L9671" s="1362"/>
    </row>
    <row r="9672" spans="1:12" x14ac:dyDescent="0.25">
      <c r="A9672">
        <v>89222</v>
      </c>
      <c r="B9672" t="s">
        <v>772</v>
      </c>
      <c r="C9672" t="s">
        <v>588</v>
      </c>
      <c r="D9672" s="254">
        <v>0.15</v>
      </c>
      <c r="E9672"/>
      <c r="F9672"/>
      <c r="G9672"/>
      <c r="H9672"/>
      <c r="I9672" s="489"/>
      <c r="J9672" s="1362"/>
      <c r="K9672" s="1362"/>
      <c r="L9672" s="1362"/>
    </row>
    <row r="9673" spans="1:12" x14ac:dyDescent="0.25">
      <c r="A9673">
        <v>89223</v>
      </c>
      <c r="B9673" t="s">
        <v>773</v>
      </c>
      <c r="C9673" t="s">
        <v>588</v>
      </c>
      <c r="D9673" s="254">
        <v>1.39</v>
      </c>
      <c r="E9673"/>
      <c r="F9673"/>
      <c r="G9673"/>
      <c r="H9673"/>
      <c r="I9673" s="489"/>
      <c r="J9673" s="1362"/>
      <c r="K9673" s="1362"/>
      <c r="L9673" s="1362"/>
    </row>
    <row r="9674" spans="1:12" x14ac:dyDescent="0.25">
      <c r="A9674">
        <v>89224</v>
      </c>
      <c r="B9674" t="s">
        <v>774</v>
      </c>
      <c r="C9674" t="s">
        <v>588</v>
      </c>
      <c r="D9674" s="254">
        <v>1.77</v>
      </c>
      <c r="E9674"/>
      <c r="F9674"/>
      <c r="G9674"/>
      <c r="H9674"/>
      <c r="I9674" s="489"/>
      <c r="J9674" s="1362"/>
      <c r="K9674" s="1362"/>
      <c r="L9674" s="1362"/>
    </row>
    <row r="9675" spans="1:12" x14ac:dyDescent="0.25">
      <c r="A9675">
        <v>89228</v>
      </c>
      <c r="B9675" t="s">
        <v>775</v>
      </c>
      <c r="C9675" t="s">
        <v>588</v>
      </c>
      <c r="D9675" s="254">
        <v>51.47</v>
      </c>
      <c r="E9675"/>
      <c r="F9675"/>
      <c r="G9675"/>
      <c r="H9675"/>
      <c r="I9675" s="489"/>
      <c r="J9675" s="1362"/>
      <c r="K9675" s="1362"/>
      <c r="L9675" s="1362"/>
    </row>
    <row r="9676" spans="1:12" x14ac:dyDescent="0.25">
      <c r="A9676">
        <v>89229</v>
      </c>
      <c r="B9676" t="s">
        <v>776</v>
      </c>
      <c r="C9676" t="s">
        <v>588</v>
      </c>
      <c r="D9676" s="254">
        <v>9.26</v>
      </c>
      <c r="E9676"/>
      <c r="F9676"/>
      <c r="G9676"/>
      <c r="H9676"/>
      <c r="I9676" s="489"/>
      <c r="J9676" s="1362"/>
      <c r="K9676" s="1362"/>
      <c r="L9676" s="1362"/>
    </row>
    <row r="9677" spans="1:12" x14ac:dyDescent="0.25">
      <c r="A9677">
        <v>89230</v>
      </c>
      <c r="B9677" t="s">
        <v>777</v>
      </c>
      <c r="C9677" t="s">
        <v>588</v>
      </c>
      <c r="D9677" s="254">
        <v>133.44999999999999</v>
      </c>
      <c r="E9677"/>
      <c r="F9677"/>
      <c r="G9677"/>
      <c r="H9677"/>
      <c r="I9677" s="489"/>
      <c r="J9677" s="1362"/>
      <c r="K9677" s="1362"/>
      <c r="L9677" s="1362"/>
    </row>
    <row r="9678" spans="1:12" x14ac:dyDescent="0.25">
      <c r="A9678">
        <v>89231</v>
      </c>
      <c r="B9678" t="s">
        <v>778</v>
      </c>
      <c r="C9678" t="s">
        <v>588</v>
      </c>
      <c r="D9678" s="254">
        <v>21.14</v>
      </c>
      <c r="E9678"/>
      <c r="F9678"/>
      <c r="G9678"/>
      <c r="H9678"/>
      <c r="I9678" s="489"/>
      <c r="J9678" s="1362"/>
      <c r="K9678" s="1362"/>
      <c r="L9678" s="1362"/>
    </row>
    <row r="9679" spans="1:12" x14ac:dyDescent="0.25">
      <c r="A9679">
        <v>89232</v>
      </c>
      <c r="B9679" t="s">
        <v>779</v>
      </c>
      <c r="C9679" t="s">
        <v>588</v>
      </c>
      <c r="D9679" s="254">
        <v>238.04</v>
      </c>
      <c r="E9679"/>
      <c r="F9679"/>
      <c r="G9679"/>
      <c r="H9679"/>
      <c r="I9679" s="489"/>
      <c r="J9679" s="1362"/>
      <c r="K9679" s="1362"/>
      <c r="L9679" s="1362"/>
    </row>
    <row r="9680" spans="1:12" x14ac:dyDescent="0.25">
      <c r="A9680">
        <v>89233</v>
      </c>
      <c r="B9680" t="s">
        <v>780</v>
      </c>
      <c r="C9680" t="s">
        <v>588</v>
      </c>
      <c r="D9680" s="254">
        <v>188.8</v>
      </c>
      <c r="E9680"/>
      <c r="F9680"/>
      <c r="G9680"/>
      <c r="H9680"/>
      <c r="I9680" s="489"/>
      <c r="J9680" s="1362"/>
      <c r="K9680" s="1362"/>
      <c r="L9680" s="1362"/>
    </row>
    <row r="9681" spans="1:12" x14ac:dyDescent="0.25">
      <c r="A9681">
        <v>89236</v>
      </c>
      <c r="B9681" t="s">
        <v>781</v>
      </c>
      <c r="C9681" t="s">
        <v>588</v>
      </c>
      <c r="D9681" s="254">
        <v>311.74</v>
      </c>
      <c r="E9681"/>
      <c r="F9681"/>
      <c r="G9681"/>
      <c r="H9681"/>
      <c r="I9681" s="489"/>
      <c r="J9681" s="1362"/>
      <c r="K9681" s="1362"/>
      <c r="L9681" s="1362"/>
    </row>
    <row r="9682" spans="1:12" x14ac:dyDescent="0.25">
      <c r="A9682">
        <v>89237</v>
      </c>
      <c r="B9682" t="s">
        <v>782</v>
      </c>
      <c r="C9682" t="s">
        <v>588</v>
      </c>
      <c r="D9682" s="254">
        <v>49.39</v>
      </c>
      <c r="E9682"/>
      <c r="F9682"/>
      <c r="G9682"/>
      <c r="H9682"/>
      <c r="I9682" s="489"/>
      <c r="J9682" s="1362"/>
      <c r="K9682" s="1362"/>
      <c r="L9682" s="1362"/>
    </row>
    <row r="9683" spans="1:12" x14ac:dyDescent="0.25">
      <c r="A9683">
        <v>89238</v>
      </c>
      <c r="B9683" t="s">
        <v>783</v>
      </c>
      <c r="C9683" t="s">
        <v>588</v>
      </c>
      <c r="D9683" s="254">
        <v>556.07000000000005</v>
      </c>
      <c r="E9683"/>
      <c r="F9683"/>
      <c r="G9683"/>
      <c r="H9683"/>
      <c r="I9683" s="489"/>
      <c r="J9683" s="1362"/>
      <c r="K9683" s="1362"/>
      <c r="L9683" s="1362"/>
    </row>
    <row r="9684" spans="1:12" x14ac:dyDescent="0.25">
      <c r="A9684">
        <v>89239</v>
      </c>
      <c r="B9684" t="s">
        <v>784</v>
      </c>
      <c r="C9684" t="s">
        <v>588</v>
      </c>
      <c r="D9684" s="254">
        <v>499.29</v>
      </c>
      <c r="E9684"/>
      <c r="F9684"/>
      <c r="G9684"/>
      <c r="H9684"/>
      <c r="I9684" s="489"/>
      <c r="J9684" s="1362"/>
      <c r="K9684" s="1362"/>
      <c r="L9684" s="1362"/>
    </row>
    <row r="9685" spans="1:12" x14ac:dyDescent="0.25">
      <c r="A9685">
        <v>89240</v>
      </c>
      <c r="B9685" t="s">
        <v>785</v>
      </c>
      <c r="C9685" t="s">
        <v>588</v>
      </c>
      <c r="D9685" s="254">
        <v>95.67</v>
      </c>
      <c r="E9685"/>
      <c r="F9685"/>
      <c r="G9685"/>
      <c r="H9685"/>
      <c r="I9685" s="489"/>
      <c r="J9685" s="1362"/>
      <c r="K9685" s="1362"/>
      <c r="L9685" s="1362"/>
    </row>
    <row r="9686" spans="1:12" x14ac:dyDescent="0.25">
      <c r="A9686">
        <v>89241</v>
      </c>
      <c r="B9686" t="s">
        <v>786</v>
      </c>
      <c r="C9686" t="s">
        <v>588</v>
      </c>
      <c r="D9686" s="254">
        <v>17.22</v>
      </c>
      <c r="E9686"/>
      <c r="F9686"/>
      <c r="G9686"/>
      <c r="H9686"/>
      <c r="I9686" s="489"/>
      <c r="J9686" s="1362"/>
      <c r="K9686" s="1362"/>
      <c r="L9686" s="1362"/>
    </row>
    <row r="9687" spans="1:12" x14ac:dyDescent="0.25">
      <c r="A9687">
        <v>89246</v>
      </c>
      <c r="B9687" t="s">
        <v>787</v>
      </c>
      <c r="C9687" t="s">
        <v>588</v>
      </c>
      <c r="D9687" s="254">
        <v>270.89</v>
      </c>
      <c r="E9687"/>
      <c r="F9687"/>
      <c r="G9687"/>
      <c r="H9687"/>
      <c r="I9687" s="489"/>
      <c r="J9687" s="1362"/>
      <c r="K9687" s="1362"/>
      <c r="L9687" s="1362"/>
    </row>
    <row r="9688" spans="1:12" x14ac:dyDescent="0.25">
      <c r="A9688">
        <v>89247</v>
      </c>
      <c r="B9688" t="s">
        <v>788</v>
      </c>
      <c r="C9688" t="s">
        <v>588</v>
      </c>
      <c r="D9688" s="254">
        <v>42.92</v>
      </c>
      <c r="E9688"/>
      <c r="F9688"/>
      <c r="G9688"/>
      <c r="H9688"/>
      <c r="I9688" s="489"/>
      <c r="J9688" s="1362"/>
      <c r="K9688" s="1362"/>
      <c r="L9688" s="1362"/>
    </row>
    <row r="9689" spans="1:12" x14ac:dyDescent="0.25">
      <c r="A9689">
        <v>89248</v>
      </c>
      <c r="B9689" t="s">
        <v>789</v>
      </c>
      <c r="C9689" t="s">
        <v>588</v>
      </c>
      <c r="D9689" s="254">
        <v>483.19</v>
      </c>
      <c r="E9689"/>
      <c r="F9689"/>
      <c r="G9689"/>
      <c r="H9689"/>
      <c r="I9689" s="489"/>
      <c r="J9689" s="1362"/>
      <c r="K9689" s="1362"/>
      <c r="L9689" s="1362"/>
    </row>
    <row r="9690" spans="1:12" x14ac:dyDescent="0.25">
      <c r="A9690">
        <v>89249</v>
      </c>
      <c r="B9690" t="s">
        <v>790</v>
      </c>
      <c r="C9690" t="s">
        <v>588</v>
      </c>
      <c r="D9690" s="254">
        <v>425.6</v>
      </c>
      <c r="E9690"/>
      <c r="F9690"/>
      <c r="G9690"/>
      <c r="H9690"/>
      <c r="I9690" s="489"/>
      <c r="J9690" s="1362"/>
      <c r="K9690" s="1362"/>
      <c r="L9690" s="1362"/>
    </row>
    <row r="9691" spans="1:12" x14ac:dyDescent="0.25">
      <c r="A9691">
        <v>89253</v>
      </c>
      <c r="B9691" t="s">
        <v>791</v>
      </c>
      <c r="C9691" t="s">
        <v>588</v>
      </c>
      <c r="D9691" s="254">
        <v>78.400000000000006</v>
      </c>
      <c r="E9691"/>
      <c r="F9691"/>
      <c r="G9691"/>
      <c r="H9691"/>
      <c r="I9691" s="489"/>
      <c r="J9691" s="1362"/>
      <c r="K9691" s="1362"/>
      <c r="L9691" s="1362"/>
    </row>
    <row r="9692" spans="1:12" x14ac:dyDescent="0.25">
      <c r="A9692">
        <v>89254</v>
      </c>
      <c r="B9692" t="s">
        <v>792</v>
      </c>
      <c r="C9692" t="s">
        <v>588</v>
      </c>
      <c r="D9692" s="254">
        <v>14.11</v>
      </c>
      <c r="E9692"/>
      <c r="F9692"/>
      <c r="G9692"/>
      <c r="H9692"/>
      <c r="I9692" s="489"/>
      <c r="J9692" s="1362"/>
      <c r="K9692" s="1362"/>
      <c r="L9692" s="1362"/>
    </row>
    <row r="9693" spans="1:12" x14ac:dyDescent="0.25">
      <c r="A9693">
        <v>89255</v>
      </c>
      <c r="B9693" t="s">
        <v>793</v>
      </c>
      <c r="C9693" t="s">
        <v>588</v>
      </c>
      <c r="D9693" s="254">
        <v>126.03</v>
      </c>
      <c r="E9693"/>
      <c r="F9693"/>
      <c r="G9693"/>
      <c r="H9693"/>
      <c r="I9693" s="489"/>
      <c r="J9693" s="1362"/>
      <c r="K9693" s="1362"/>
      <c r="L9693" s="1362"/>
    </row>
    <row r="9694" spans="1:12" x14ac:dyDescent="0.25">
      <c r="A9694">
        <v>89256</v>
      </c>
      <c r="B9694" t="s">
        <v>794</v>
      </c>
      <c r="C9694" t="s">
        <v>588</v>
      </c>
      <c r="D9694" s="254">
        <v>95.78</v>
      </c>
      <c r="E9694"/>
      <c r="F9694"/>
      <c r="G9694"/>
      <c r="H9694"/>
      <c r="I9694" s="489"/>
      <c r="J9694" s="1362"/>
      <c r="K9694" s="1362"/>
      <c r="L9694" s="1362"/>
    </row>
    <row r="9695" spans="1:12" x14ac:dyDescent="0.25">
      <c r="A9695">
        <v>89259</v>
      </c>
      <c r="B9695" t="s">
        <v>795</v>
      </c>
      <c r="C9695" t="s">
        <v>588</v>
      </c>
      <c r="D9695" s="254">
        <v>24.75</v>
      </c>
      <c r="E9695"/>
      <c r="F9695"/>
      <c r="G9695"/>
      <c r="H9695"/>
      <c r="I9695" s="489"/>
      <c r="J9695" s="1362"/>
      <c r="K9695" s="1362"/>
      <c r="L9695" s="1362"/>
    </row>
    <row r="9696" spans="1:12" x14ac:dyDescent="0.25">
      <c r="A9696">
        <v>89260</v>
      </c>
      <c r="B9696" t="s">
        <v>796</v>
      </c>
      <c r="C9696" t="s">
        <v>588</v>
      </c>
      <c r="D9696" s="254">
        <v>4.5999999999999996</v>
      </c>
      <c r="E9696"/>
      <c r="F9696"/>
      <c r="G9696"/>
      <c r="H9696"/>
      <c r="I9696" s="489"/>
      <c r="J9696" s="1362"/>
      <c r="K9696" s="1362"/>
      <c r="L9696" s="1362"/>
    </row>
    <row r="9697" spans="1:12" x14ac:dyDescent="0.25">
      <c r="A9697">
        <v>89262</v>
      </c>
      <c r="B9697" t="s">
        <v>797</v>
      </c>
      <c r="C9697" t="s">
        <v>588</v>
      </c>
      <c r="D9697" s="254">
        <v>41.65</v>
      </c>
      <c r="E9697"/>
      <c r="F9697"/>
      <c r="G9697"/>
      <c r="H9697"/>
      <c r="I9697" s="489"/>
      <c r="J9697" s="1362"/>
      <c r="K9697" s="1362"/>
      <c r="L9697" s="1362"/>
    </row>
    <row r="9698" spans="1:12" x14ac:dyDescent="0.25">
      <c r="A9698">
        <v>89264</v>
      </c>
      <c r="B9698" t="s">
        <v>798</v>
      </c>
      <c r="C9698" t="s">
        <v>588</v>
      </c>
      <c r="D9698" s="254">
        <v>18.66</v>
      </c>
      <c r="E9698"/>
      <c r="F9698"/>
      <c r="G9698"/>
      <c r="H9698"/>
      <c r="I9698" s="489"/>
      <c r="J9698" s="1362"/>
      <c r="K9698" s="1362"/>
      <c r="L9698" s="1362"/>
    </row>
    <row r="9699" spans="1:12" x14ac:dyDescent="0.25">
      <c r="A9699">
        <v>89265</v>
      </c>
      <c r="B9699" t="s">
        <v>799</v>
      </c>
      <c r="C9699" t="s">
        <v>588</v>
      </c>
      <c r="D9699" s="254">
        <v>3.8</v>
      </c>
      <c r="E9699"/>
      <c r="F9699"/>
      <c r="G9699"/>
      <c r="H9699"/>
      <c r="I9699" s="489"/>
      <c r="J9699" s="1362"/>
      <c r="K9699" s="1362"/>
      <c r="L9699" s="1362"/>
    </row>
    <row r="9700" spans="1:12" x14ac:dyDescent="0.25">
      <c r="A9700">
        <v>89266</v>
      </c>
      <c r="B9700" t="s">
        <v>800</v>
      </c>
      <c r="C9700" t="s">
        <v>588</v>
      </c>
      <c r="D9700" s="254">
        <v>3</v>
      </c>
      <c r="E9700"/>
      <c r="F9700"/>
      <c r="G9700"/>
      <c r="H9700"/>
      <c r="I9700" s="489"/>
      <c r="J9700" s="1362"/>
      <c r="K9700" s="1362"/>
      <c r="L9700" s="1362"/>
    </row>
    <row r="9701" spans="1:12" x14ac:dyDescent="0.25">
      <c r="A9701">
        <v>89267</v>
      </c>
      <c r="B9701" t="s">
        <v>801</v>
      </c>
      <c r="C9701" t="s">
        <v>588</v>
      </c>
      <c r="D9701" s="254">
        <v>49.74</v>
      </c>
      <c r="E9701"/>
      <c r="F9701"/>
      <c r="G9701"/>
      <c r="H9701"/>
      <c r="I9701" s="489"/>
      <c r="J9701" s="1362"/>
      <c r="K9701" s="1362"/>
      <c r="L9701" s="1362"/>
    </row>
    <row r="9702" spans="1:12" x14ac:dyDescent="0.25">
      <c r="A9702">
        <v>89268</v>
      </c>
      <c r="B9702" t="s">
        <v>802</v>
      </c>
      <c r="C9702" t="s">
        <v>588</v>
      </c>
      <c r="D9702" s="254">
        <v>8.9499999999999993</v>
      </c>
      <c r="E9702"/>
      <c r="F9702"/>
      <c r="G9702"/>
      <c r="H9702"/>
      <c r="I9702" s="489"/>
      <c r="J9702" s="1362"/>
      <c r="K9702" s="1362"/>
      <c r="L9702" s="1362"/>
    </row>
    <row r="9703" spans="1:12" x14ac:dyDescent="0.25">
      <c r="A9703">
        <v>89269</v>
      </c>
      <c r="B9703" t="s">
        <v>803</v>
      </c>
      <c r="C9703" t="s">
        <v>588</v>
      </c>
      <c r="D9703" s="254">
        <v>7.08</v>
      </c>
      <c r="E9703"/>
      <c r="F9703"/>
      <c r="G9703"/>
      <c r="H9703"/>
      <c r="I9703" s="489"/>
      <c r="J9703" s="1362"/>
      <c r="K9703" s="1362"/>
      <c r="L9703" s="1362"/>
    </row>
    <row r="9704" spans="1:12" x14ac:dyDescent="0.25">
      <c r="A9704">
        <v>89270</v>
      </c>
      <c r="B9704" t="s">
        <v>804</v>
      </c>
      <c r="C9704" t="s">
        <v>588</v>
      </c>
      <c r="D9704" s="254">
        <v>79.95</v>
      </c>
      <c r="E9704"/>
      <c r="F9704"/>
      <c r="G9704"/>
      <c r="H9704"/>
      <c r="I9704" s="489"/>
      <c r="J9704" s="1362"/>
      <c r="K9704" s="1362"/>
      <c r="L9704" s="1362"/>
    </row>
    <row r="9705" spans="1:12" x14ac:dyDescent="0.25">
      <c r="A9705">
        <v>89271</v>
      </c>
      <c r="B9705" t="s">
        <v>805</v>
      </c>
      <c r="C9705" t="s">
        <v>588</v>
      </c>
      <c r="D9705" s="254">
        <v>32.78</v>
      </c>
      <c r="E9705"/>
      <c r="F9705"/>
      <c r="G9705"/>
      <c r="H9705"/>
      <c r="I9705" s="489"/>
      <c r="J9705" s="1362"/>
      <c r="K9705" s="1362"/>
      <c r="L9705" s="1362"/>
    </row>
    <row r="9706" spans="1:12" x14ac:dyDescent="0.25">
      <c r="A9706">
        <v>89274</v>
      </c>
      <c r="B9706" t="s">
        <v>7337</v>
      </c>
      <c r="C9706" t="s">
        <v>588</v>
      </c>
      <c r="D9706" s="254">
        <v>1.54</v>
      </c>
      <c r="E9706"/>
      <c r="F9706"/>
      <c r="G9706"/>
      <c r="H9706"/>
      <c r="I9706" s="489"/>
      <c r="J9706" s="1362"/>
      <c r="K9706" s="1362"/>
      <c r="L9706" s="1362"/>
    </row>
    <row r="9707" spans="1:12" x14ac:dyDescent="0.25">
      <c r="A9707">
        <v>89275</v>
      </c>
      <c r="B9707" t="s">
        <v>7338</v>
      </c>
      <c r="C9707" t="s">
        <v>588</v>
      </c>
      <c r="D9707" s="254">
        <v>0.18</v>
      </c>
      <c r="E9707"/>
      <c r="F9707"/>
      <c r="G9707"/>
      <c r="H9707"/>
      <c r="I9707" s="489"/>
      <c r="J9707" s="1362"/>
      <c r="K9707" s="1362"/>
      <c r="L9707" s="1362"/>
    </row>
    <row r="9708" spans="1:12" x14ac:dyDescent="0.25">
      <c r="A9708">
        <v>89276</v>
      </c>
      <c r="B9708" t="s">
        <v>7339</v>
      </c>
      <c r="C9708" t="s">
        <v>588</v>
      </c>
      <c r="D9708" s="254">
        <v>1.93</v>
      </c>
      <c r="E9708"/>
      <c r="F9708"/>
      <c r="G9708"/>
      <c r="H9708"/>
      <c r="I9708" s="489"/>
      <c r="J9708" s="1362"/>
      <c r="K9708" s="1362"/>
      <c r="L9708" s="1362"/>
    </row>
    <row r="9709" spans="1:12" x14ac:dyDescent="0.25">
      <c r="A9709">
        <v>89277</v>
      </c>
      <c r="B9709" t="s">
        <v>7340</v>
      </c>
      <c r="C9709" t="s">
        <v>588</v>
      </c>
      <c r="D9709" s="254">
        <v>9.4600000000000009</v>
      </c>
      <c r="E9709"/>
      <c r="F9709"/>
      <c r="G9709"/>
      <c r="H9709"/>
      <c r="I9709" s="489"/>
      <c r="J9709" s="1362"/>
      <c r="K9709" s="1362"/>
      <c r="L9709" s="1362"/>
    </row>
    <row r="9710" spans="1:12" x14ac:dyDescent="0.25">
      <c r="A9710">
        <v>89280</v>
      </c>
      <c r="B9710" t="s">
        <v>806</v>
      </c>
      <c r="C9710" t="s">
        <v>588</v>
      </c>
      <c r="D9710" s="254">
        <v>28.31</v>
      </c>
      <c r="E9710"/>
      <c r="F9710"/>
      <c r="G9710"/>
      <c r="H9710"/>
      <c r="I9710" s="489"/>
      <c r="J9710" s="1362"/>
      <c r="K9710" s="1362"/>
      <c r="L9710" s="1362"/>
    </row>
    <row r="9711" spans="1:12" x14ac:dyDescent="0.25">
      <c r="A9711">
        <v>89281</v>
      </c>
      <c r="B9711" t="s">
        <v>807</v>
      </c>
      <c r="C9711" t="s">
        <v>588</v>
      </c>
      <c r="D9711" s="254">
        <v>3.93</v>
      </c>
      <c r="E9711"/>
      <c r="F9711"/>
      <c r="G9711"/>
      <c r="H9711"/>
      <c r="I9711" s="489"/>
      <c r="J9711" s="1362"/>
      <c r="K9711" s="1362"/>
      <c r="L9711" s="1362"/>
    </row>
    <row r="9712" spans="1:12" x14ac:dyDescent="0.25">
      <c r="A9712">
        <v>89870</v>
      </c>
      <c r="B9712" t="s">
        <v>808</v>
      </c>
      <c r="C9712" t="s">
        <v>588</v>
      </c>
      <c r="D9712" s="254">
        <v>31.57</v>
      </c>
      <c r="E9712"/>
      <c r="F9712"/>
      <c r="G9712"/>
      <c r="H9712"/>
      <c r="I9712" s="489"/>
      <c r="J9712" s="1362"/>
      <c r="K9712" s="1362"/>
      <c r="L9712" s="1362"/>
    </row>
    <row r="9713" spans="1:12" x14ac:dyDescent="0.25">
      <c r="A9713">
        <v>89871</v>
      </c>
      <c r="B9713" t="s">
        <v>809</v>
      </c>
      <c r="C9713" t="s">
        <v>588</v>
      </c>
      <c r="D9713" s="254">
        <v>5.56</v>
      </c>
      <c r="E9713"/>
      <c r="F9713"/>
      <c r="G9713"/>
      <c r="H9713"/>
      <c r="I9713" s="489"/>
      <c r="J9713" s="1362"/>
      <c r="K9713" s="1362"/>
      <c r="L9713" s="1362"/>
    </row>
    <row r="9714" spans="1:12" x14ac:dyDescent="0.25">
      <c r="A9714">
        <v>89872</v>
      </c>
      <c r="B9714" t="s">
        <v>810</v>
      </c>
      <c r="C9714" t="s">
        <v>588</v>
      </c>
      <c r="D9714" s="254">
        <v>4.41</v>
      </c>
      <c r="E9714"/>
      <c r="F9714"/>
      <c r="G9714"/>
      <c r="H9714"/>
      <c r="I9714" s="489"/>
      <c r="J9714" s="1362"/>
      <c r="K9714" s="1362"/>
      <c r="L9714" s="1362"/>
    </row>
    <row r="9715" spans="1:12" x14ac:dyDescent="0.25">
      <c r="A9715">
        <v>89873</v>
      </c>
      <c r="B9715" t="s">
        <v>811</v>
      </c>
      <c r="C9715" t="s">
        <v>588</v>
      </c>
      <c r="D9715" s="254">
        <v>53.51</v>
      </c>
      <c r="E9715"/>
      <c r="F9715"/>
      <c r="G9715"/>
      <c r="H9715"/>
      <c r="I9715" s="489"/>
      <c r="J9715" s="1362"/>
      <c r="K9715" s="1362"/>
      <c r="L9715" s="1362"/>
    </row>
    <row r="9716" spans="1:12" x14ac:dyDescent="0.25">
      <c r="A9716">
        <v>89874</v>
      </c>
      <c r="B9716" t="s">
        <v>812</v>
      </c>
      <c r="C9716" t="s">
        <v>588</v>
      </c>
      <c r="D9716" s="254">
        <v>199.21</v>
      </c>
      <c r="E9716"/>
      <c r="F9716"/>
      <c r="G9716"/>
      <c r="H9716"/>
      <c r="I9716" s="489"/>
      <c r="J9716" s="1362"/>
      <c r="K9716" s="1362"/>
      <c r="L9716" s="1362"/>
    </row>
    <row r="9717" spans="1:12" x14ac:dyDescent="0.25">
      <c r="A9717">
        <v>89878</v>
      </c>
      <c r="B9717" t="s">
        <v>813</v>
      </c>
      <c r="C9717" t="s">
        <v>588</v>
      </c>
      <c r="D9717" s="254">
        <v>33.950000000000003</v>
      </c>
      <c r="E9717"/>
      <c r="F9717"/>
      <c r="G9717"/>
      <c r="H9717"/>
      <c r="I9717" s="489"/>
      <c r="J9717" s="1362"/>
      <c r="K9717" s="1362"/>
      <c r="L9717" s="1362"/>
    </row>
    <row r="9718" spans="1:12" x14ac:dyDescent="0.25">
      <c r="A9718">
        <v>89879</v>
      </c>
      <c r="B9718" t="s">
        <v>814</v>
      </c>
      <c r="C9718" t="s">
        <v>588</v>
      </c>
      <c r="D9718" s="254">
        <v>5.87</v>
      </c>
      <c r="E9718"/>
      <c r="F9718"/>
      <c r="G9718"/>
      <c r="H9718"/>
      <c r="I9718" s="489"/>
      <c r="J9718" s="1362"/>
      <c r="K9718" s="1362"/>
      <c r="L9718" s="1362"/>
    </row>
    <row r="9719" spans="1:12" x14ac:dyDescent="0.25">
      <c r="A9719">
        <v>89880</v>
      </c>
      <c r="B9719" t="s">
        <v>815</v>
      </c>
      <c r="C9719" t="s">
        <v>588</v>
      </c>
      <c r="D9719" s="254">
        <v>4.6500000000000004</v>
      </c>
      <c r="E9719"/>
      <c r="F9719"/>
      <c r="G9719"/>
      <c r="H9719"/>
      <c r="I9719" s="489"/>
      <c r="J9719" s="1362"/>
      <c r="K9719" s="1362"/>
      <c r="L9719" s="1362"/>
    </row>
    <row r="9720" spans="1:12" x14ac:dyDescent="0.25">
      <c r="A9720">
        <v>89881</v>
      </c>
      <c r="B9720" t="s">
        <v>816</v>
      </c>
      <c r="C9720" t="s">
        <v>588</v>
      </c>
      <c r="D9720" s="254">
        <v>56.98</v>
      </c>
      <c r="E9720"/>
      <c r="F9720"/>
      <c r="G9720"/>
      <c r="H9720"/>
      <c r="I9720" s="489"/>
      <c r="J9720" s="1362"/>
      <c r="K9720" s="1362"/>
      <c r="L9720" s="1362"/>
    </row>
    <row r="9721" spans="1:12" x14ac:dyDescent="0.25">
      <c r="A9721">
        <v>89882</v>
      </c>
      <c r="B9721" t="s">
        <v>817</v>
      </c>
      <c r="C9721" t="s">
        <v>588</v>
      </c>
      <c r="D9721" s="254">
        <v>229.84</v>
      </c>
      <c r="E9721"/>
      <c r="F9721"/>
      <c r="G9721"/>
      <c r="H9721"/>
      <c r="I9721" s="489"/>
      <c r="J9721" s="1362"/>
      <c r="K9721" s="1362"/>
      <c r="L9721" s="1362"/>
    </row>
    <row r="9722" spans="1:12" x14ac:dyDescent="0.25">
      <c r="A9722">
        <v>90582</v>
      </c>
      <c r="B9722" t="s">
        <v>818</v>
      </c>
      <c r="C9722" t="s">
        <v>588</v>
      </c>
      <c r="D9722" s="254">
        <v>0.5</v>
      </c>
      <c r="E9722"/>
      <c r="F9722"/>
      <c r="G9722"/>
      <c r="H9722"/>
      <c r="I9722" s="489"/>
      <c r="J9722" s="1362"/>
      <c r="K9722" s="1362"/>
      <c r="L9722" s="1362"/>
    </row>
    <row r="9723" spans="1:12" x14ac:dyDescent="0.25">
      <c r="A9723">
        <v>90583</v>
      </c>
      <c r="B9723" t="s">
        <v>819</v>
      </c>
      <c r="C9723" t="s">
        <v>588</v>
      </c>
      <c r="D9723" s="254">
        <v>0.06</v>
      </c>
      <c r="E9723"/>
      <c r="F9723"/>
      <c r="G9723"/>
      <c r="H9723"/>
      <c r="I9723" s="489"/>
      <c r="J9723" s="1362"/>
      <c r="K9723" s="1362"/>
      <c r="L9723" s="1362"/>
    </row>
    <row r="9724" spans="1:12" x14ac:dyDescent="0.25">
      <c r="A9724">
        <v>90584</v>
      </c>
      <c r="B9724" t="s">
        <v>820</v>
      </c>
      <c r="C9724" t="s">
        <v>588</v>
      </c>
      <c r="D9724" s="254">
        <v>0.39</v>
      </c>
      <c r="E9724"/>
      <c r="F9724"/>
      <c r="G9724"/>
      <c r="H9724"/>
      <c r="I9724" s="489"/>
      <c r="J9724" s="1362"/>
      <c r="K9724" s="1362"/>
      <c r="L9724" s="1362"/>
    </row>
    <row r="9725" spans="1:12" x14ac:dyDescent="0.25">
      <c r="A9725">
        <v>90585</v>
      </c>
      <c r="B9725" t="s">
        <v>821</v>
      </c>
      <c r="C9725" t="s">
        <v>588</v>
      </c>
      <c r="D9725" s="254">
        <v>0.36</v>
      </c>
      <c r="E9725"/>
      <c r="F9725"/>
      <c r="G9725"/>
      <c r="H9725"/>
      <c r="I9725" s="489"/>
      <c r="J9725" s="1362"/>
      <c r="K9725" s="1362"/>
      <c r="L9725" s="1362"/>
    </row>
    <row r="9726" spans="1:12" x14ac:dyDescent="0.25">
      <c r="A9726">
        <v>90621</v>
      </c>
      <c r="B9726" t="s">
        <v>822</v>
      </c>
      <c r="C9726" t="s">
        <v>588</v>
      </c>
      <c r="D9726" s="254">
        <v>1.56</v>
      </c>
      <c r="E9726"/>
      <c r="F9726"/>
      <c r="G9726"/>
      <c r="H9726"/>
      <c r="I9726" s="489"/>
      <c r="J9726" s="1362"/>
      <c r="K9726" s="1362"/>
      <c r="L9726" s="1362"/>
    </row>
    <row r="9727" spans="1:12" x14ac:dyDescent="0.25">
      <c r="A9727">
        <v>90622</v>
      </c>
      <c r="B9727" t="s">
        <v>823</v>
      </c>
      <c r="C9727" t="s">
        <v>588</v>
      </c>
      <c r="D9727" s="254">
        <v>0.18</v>
      </c>
      <c r="E9727"/>
      <c r="F9727"/>
      <c r="G9727"/>
      <c r="H9727"/>
      <c r="I9727" s="489"/>
      <c r="J9727" s="1362"/>
      <c r="K9727" s="1362"/>
      <c r="L9727" s="1362"/>
    </row>
    <row r="9728" spans="1:12" x14ac:dyDescent="0.25">
      <c r="A9728">
        <v>90623</v>
      </c>
      <c r="B9728" t="s">
        <v>824</v>
      </c>
      <c r="C9728" t="s">
        <v>588</v>
      </c>
      <c r="D9728" s="254">
        <v>1.95</v>
      </c>
      <c r="E9728"/>
      <c r="F9728"/>
      <c r="G9728"/>
      <c r="H9728"/>
      <c r="I9728" s="489"/>
      <c r="J9728" s="1362"/>
      <c r="K9728" s="1362"/>
      <c r="L9728" s="1362"/>
    </row>
    <row r="9729" spans="1:12" x14ac:dyDescent="0.25">
      <c r="A9729">
        <v>90624</v>
      </c>
      <c r="B9729" t="s">
        <v>825</v>
      </c>
      <c r="C9729" t="s">
        <v>588</v>
      </c>
      <c r="D9729" s="254">
        <v>2.2200000000000002</v>
      </c>
      <c r="E9729"/>
      <c r="F9729"/>
      <c r="G9729"/>
      <c r="H9729"/>
      <c r="I9729" s="489"/>
      <c r="J9729" s="1362"/>
      <c r="K9729" s="1362"/>
      <c r="L9729" s="1362"/>
    </row>
    <row r="9730" spans="1:12" x14ac:dyDescent="0.25">
      <c r="A9730">
        <v>90627</v>
      </c>
      <c r="B9730" t="s">
        <v>826</v>
      </c>
      <c r="C9730" t="s">
        <v>588</v>
      </c>
      <c r="D9730" s="254">
        <v>49.28</v>
      </c>
      <c r="E9730"/>
      <c r="F9730"/>
      <c r="G9730"/>
      <c r="H9730"/>
      <c r="I9730" s="489"/>
      <c r="J9730" s="1362"/>
      <c r="K9730" s="1362"/>
      <c r="L9730" s="1362"/>
    </row>
    <row r="9731" spans="1:12" x14ac:dyDescent="0.25">
      <c r="A9731">
        <v>90628</v>
      </c>
      <c r="B9731" t="s">
        <v>827</v>
      </c>
      <c r="C9731" t="s">
        <v>588</v>
      </c>
      <c r="D9731" s="254">
        <v>6.74</v>
      </c>
      <c r="E9731"/>
      <c r="F9731"/>
      <c r="G9731"/>
      <c r="H9731"/>
      <c r="I9731" s="489"/>
      <c r="J9731" s="1362"/>
      <c r="K9731" s="1362"/>
      <c r="L9731" s="1362"/>
    </row>
    <row r="9732" spans="1:12" x14ac:dyDescent="0.25">
      <c r="A9732">
        <v>90629</v>
      </c>
      <c r="B9732" t="s">
        <v>828</v>
      </c>
      <c r="C9732" t="s">
        <v>588</v>
      </c>
      <c r="D9732" s="254">
        <v>61.67</v>
      </c>
      <c r="E9732"/>
      <c r="F9732"/>
      <c r="G9732"/>
      <c r="H9732"/>
      <c r="I9732" s="489"/>
      <c r="J9732" s="1362"/>
      <c r="K9732" s="1362"/>
      <c r="L9732" s="1362"/>
    </row>
    <row r="9733" spans="1:12" x14ac:dyDescent="0.25">
      <c r="A9733">
        <v>90630</v>
      </c>
      <c r="B9733" t="s">
        <v>829</v>
      </c>
      <c r="C9733" t="s">
        <v>588</v>
      </c>
      <c r="D9733" s="254">
        <v>1.05</v>
      </c>
      <c r="E9733"/>
      <c r="F9733"/>
      <c r="G9733"/>
      <c r="H9733"/>
      <c r="I9733" s="489"/>
      <c r="J9733" s="1362"/>
      <c r="K9733" s="1362"/>
      <c r="L9733" s="1362"/>
    </row>
    <row r="9734" spans="1:12" x14ac:dyDescent="0.25">
      <c r="A9734">
        <v>90633</v>
      </c>
      <c r="B9734" t="s">
        <v>830</v>
      </c>
      <c r="C9734" t="s">
        <v>588</v>
      </c>
      <c r="D9734" s="254">
        <v>3.92</v>
      </c>
      <c r="E9734"/>
      <c r="F9734"/>
      <c r="G9734"/>
      <c r="H9734"/>
      <c r="I9734" s="489"/>
      <c r="J9734" s="1362"/>
      <c r="K9734" s="1362"/>
      <c r="L9734" s="1362"/>
    </row>
    <row r="9735" spans="1:12" x14ac:dyDescent="0.25">
      <c r="A9735">
        <v>90634</v>
      </c>
      <c r="B9735" t="s">
        <v>831</v>
      </c>
      <c r="C9735" t="s">
        <v>588</v>
      </c>
      <c r="D9735" s="254">
        <v>0.46</v>
      </c>
      <c r="E9735"/>
      <c r="F9735"/>
      <c r="G9735"/>
      <c r="H9735"/>
      <c r="I9735" s="489"/>
      <c r="J9735" s="1362"/>
      <c r="K9735" s="1362"/>
      <c r="L9735" s="1362"/>
    </row>
    <row r="9736" spans="1:12" x14ac:dyDescent="0.25">
      <c r="A9736">
        <v>90635</v>
      </c>
      <c r="B9736" t="s">
        <v>832</v>
      </c>
      <c r="C9736" t="s">
        <v>588</v>
      </c>
      <c r="D9736" s="254">
        <v>4.29</v>
      </c>
      <c r="E9736"/>
      <c r="F9736"/>
      <c r="G9736"/>
      <c r="H9736"/>
      <c r="I9736" s="489"/>
      <c r="J9736" s="1362"/>
      <c r="K9736" s="1362"/>
      <c r="L9736" s="1362"/>
    </row>
    <row r="9737" spans="1:12" x14ac:dyDescent="0.25">
      <c r="A9737">
        <v>90636</v>
      </c>
      <c r="B9737" t="s">
        <v>833</v>
      </c>
      <c r="C9737" t="s">
        <v>588</v>
      </c>
      <c r="D9737" s="254">
        <v>4.4400000000000004</v>
      </c>
      <c r="E9737"/>
      <c r="F9737"/>
      <c r="G9737"/>
      <c r="H9737"/>
      <c r="I9737" s="489"/>
      <c r="J9737" s="1362"/>
      <c r="K9737" s="1362"/>
      <c r="L9737" s="1362"/>
    </row>
    <row r="9738" spans="1:12" x14ac:dyDescent="0.25">
      <c r="A9738">
        <v>90639</v>
      </c>
      <c r="B9738" t="s">
        <v>834</v>
      </c>
      <c r="C9738" t="s">
        <v>588</v>
      </c>
      <c r="D9738" s="254">
        <v>5.86</v>
      </c>
      <c r="E9738"/>
      <c r="F9738"/>
      <c r="G9738"/>
      <c r="H9738"/>
      <c r="I9738" s="489"/>
      <c r="J9738" s="1362"/>
      <c r="K9738" s="1362"/>
      <c r="L9738" s="1362"/>
    </row>
    <row r="9739" spans="1:12" x14ac:dyDescent="0.25">
      <c r="A9739">
        <v>90640</v>
      </c>
      <c r="B9739" t="s">
        <v>835</v>
      </c>
      <c r="C9739" t="s">
        <v>588</v>
      </c>
      <c r="D9739" s="254">
        <v>0.69</v>
      </c>
      <c r="E9739"/>
      <c r="F9739"/>
      <c r="G9739"/>
      <c r="H9739"/>
      <c r="I9739" s="489"/>
      <c r="J9739" s="1362"/>
      <c r="K9739" s="1362"/>
      <c r="L9739" s="1362"/>
    </row>
    <row r="9740" spans="1:12" x14ac:dyDescent="0.25">
      <c r="A9740">
        <v>90641</v>
      </c>
      <c r="B9740" t="s">
        <v>836</v>
      </c>
      <c r="C9740" t="s">
        <v>588</v>
      </c>
      <c r="D9740" s="254">
        <v>6.4</v>
      </c>
      <c r="E9740"/>
      <c r="F9740"/>
      <c r="G9740"/>
      <c r="H9740"/>
      <c r="I9740" s="489"/>
      <c r="J9740" s="1362"/>
      <c r="K9740" s="1362"/>
      <c r="L9740" s="1362"/>
    </row>
    <row r="9741" spans="1:12" x14ac:dyDescent="0.25">
      <c r="A9741">
        <v>90642</v>
      </c>
      <c r="B9741" t="s">
        <v>837</v>
      </c>
      <c r="C9741" t="s">
        <v>588</v>
      </c>
      <c r="D9741" s="254">
        <v>14.19</v>
      </c>
      <c r="E9741"/>
      <c r="F9741"/>
      <c r="G9741"/>
      <c r="H9741"/>
      <c r="I9741" s="489"/>
      <c r="J9741" s="1362"/>
      <c r="K9741" s="1362"/>
      <c r="L9741" s="1362"/>
    </row>
    <row r="9742" spans="1:12" x14ac:dyDescent="0.25">
      <c r="A9742">
        <v>90646</v>
      </c>
      <c r="B9742" t="s">
        <v>838</v>
      </c>
      <c r="C9742" t="s">
        <v>588</v>
      </c>
      <c r="D9742" s="254">
        <v>0.71</v>
      </c>
      <c r="E9742"/>
      <c r="F9742"/>
      <c r="G9742"/>
      <c r="H9742"/>
      <c r="I9742" s="489"/>
      <c r="J9742" s="1362"/>
      <c r="K9742" s="1362"/>
      <c r="L9742" s="1362"/>
    </row>
    <row r="9743" spans="1:12" x14ac:dyDescent="0.25">
      <c r="A9743">
        <v>90647</v>
      </c>
      <c r="B9743" t="s">
        <v>839</v>
      </c>
      <c r="C9743" t="s">
        <v>588</v>
      </c>
      <c r="D9743" s="254">
        <v>0.08</v>
      </c>
      <c r="E9743"/>
      <c r="F9743"/>
      <c r="G9743"/>
      <c r="H9743"/>
      <c r="I9743" s="489"/>
      <c r="J9743" s="1362"/>
      <c r="K9743" s="1362"/>
      <c r="L9743" s="1362"/>
    </row>
    <row r="9744" spans="1:12" x14ac:dyDescent="0.25">
      <c r="A9744">
        <v>90648</v>
      </c>
      <c r="B9744" t="s">
        <v>840</v>
      </c>
      <c r="C9744" t="s">
        <v>588</v>
      </c>
      <c r="D9744" s="254">
        <v>0.78</v>
      </c>
      <c r="E9744"/>
      <c r="F9744"/>
      <c r="G9744"/>
      <c r="H9744"/>
      <c r="I9744" s="489"/>
      <c r="J9744" s="1362"/>
      <c r="K9744" s="1362"/>
      <c r="L9744" s="1362"/>
    </row>
    <row r="9745" spans="1:12" x14ac:dyDescent="0.25">
      <c r="A9745">
        <v>90649</v>
      </c>
      <c r="B9745" t="s">
        <v>841</v>
      </c>
      <c r="C9745" t="s">
        <v>588</v>
      </c>
      <c r="D9745" s="254">
        <v>6.94</v>
      </c>
      <c r="E9745"/>
      <c r="F9745"/>
      <c r="G9745"/>
      <c r="H9745"/>
      <c r="I9745" s="489"/>
      <c r="J9745" s="1362"/>
      <c r="K9745" s="1362"/>
      <c r="L9745" s="1362"/>
    </row>
    <row r="9746" spans="1:12" x14ac:dyDescent="0.25">
      <c r="A9746">
        <v>90652</v>
      </c>
      <c r="B9746" t="s">
        <v>842</v>
      </c>
      <c r="C9746" t="s">
        <v>588</v>
      </c>
      <c r="D9746" s="254">
        <v>3.81</v>
      </c>
      <c r="E9746"/>
      <c r="F9746"/>
      <c r="G9746"/>
      <c r="H9746"/>
      <c r="I9746" s="489"/>
      <c r="J9746" s="1362"/>
      <c r="K9746" s="1362"/>
      <c r="L9746" s="1362"/>
    </row>
    <row r="9747" spans="1:12" x14ac:dyDescent="0.25">
      <c r="A9747">
        <v>90653</v>
      </c>
      <c r="B9747" t="s">
        <v>843</v>
      </c>
      <c r="C9747" t="s">
        <v>588</v>
      </c>
      <c r="D9747" s="254">
        <v>0.45</v>
      </c>
      <c r="E9747"/>
      <c r="F9747"/>
      <c r="G9747"/>
      <c r="H9747"/>
      <c r="I9747" s="489"/>
      <c r="J9747" s="1362"/>
      <c r="K9747" s="1362"/>
      <c r="L9747" s="1362"/>
    </row>
    <row r="9748" spans="1:12" x14ac:dyDescent="0.25">
      <c r="A9748">
        <v>90654</v>
      </c>
      <c r="B9748" t="s">
        <v>844</v>
      </c>
      <c r="C9748" t="s">
        <v>588</v>
      </c>
      <c r="D9748" s="254">
        <v>4.17</v>
      </c>
      <c r="E9748"/>
      <c r="F9748"/>
      <c r="G9748"/>
      <c r="H9748"/>
      <c r="I9748" s="489"/>
      <c r="J9748" s="1362"/>
      <c r="K9748" s="1362"/>
      <c r="L9748" s="1362"/>
    </row>
    <row r="9749" spans="1:12" x14ac:dyDescent="0.25">
      <c r="A9749">
        <v>90655</v>
      </c>
      <c r="B9749" t="s">
        <v>845</v>
      </c>
      <c r="C9749" t="s">
        <v>588</v>
      </c>
      <c r="D9749" s="254">
        <v>4.5599999999999996</v>
      </c>
      <c r="E9749"/>
      <c r="F9749"/>
      <c r="G9749"/>
      <c r="H9749"/>
      <c r="I9749" s="489"/>
      <c r="J9749" s="1362"/>
      <c r="K9749" s="1362"/>
      <c r="L9749" s="1362"/>
    </row>
    <row r="9750" spans="1:12" x14ac:dyDescent="0.25">
      <c r="A9750">
        <v>90658</v>
      </c>
      <c r="B9750" t="s">
        <v>846</v>
      </c>
      <c r="C9750" t="s">
        <v>588</v>
      </c>
      <c r="D9750" s="254">
        <v>4.08</v>
      </c>
      <c r="E9750"/>
      <c r="F9750"/>
      <c r="G9750"/>
      <c r="H9750"/>
      <c r="I9750" s="489"/>
      <c r="J9750" s="1362"/>
      <c r="K9750" s="1362"/>
      <c r="L9750" s="1362"/>
    </row>
    <row r="9751" spans="1:12" x14ac:dyDescent="0.25">
      <c r="A9751">
        <v>90659</v>
      </c>
      <c r="B9751" t="s">
        <v>847</v>
      </c>
      <c r="C9751" t="s">
        <v>588</v>
      </c>
      <c r="D9751" s="254">
        <v>0.48</v>
      </c>
      <c r="E9751"/>
      <c r="F9751"/>
      <c r="G9751"/>
      <c r="H9751"/>
      <c r="I9751" s="489"/>
      <c r="J9751" s="1362"/>
      <c r="K9751" s="1362"/>
      <c r="L9751" s="1362"/>
    </row>
    <row r="9752" spans="1:12" x14ac:dyDescent="0.25">
      <c r="A9752">
        <v>90660</v>
      </c>
      <c r="B9752" t="s">
        <v>848</v>
      </c>
      <c r="C9752" t="s">
        <v>588</v>
      </c>
      <c r="D9752" s="254">
        <v>4.47</v>
      </c>
      <c r="E9752"/>
      <c r="F9752"/>
      <c r="G9752"/>
      <c r="H9752"/>
      <c r="I9752" s="489"/>
      <c r="J9752" s="1362"/>
      <c r="K9752" s="1362"/>
      <c r="L9752" s="1362"/>
    </row>
    <row r="9753" spans="1:12" x14ac:dyDescent="0.25">
      <c r="A9753">
        <v>90661</v>
      </c>
      <c r="B9753" t="s">
        <v>849</v>
      </c>
      <c r="C9753" t="s">
        <v>588</v>
      </c>
      <c r="D9753" s="254">
        <v>4.5599999999999996</v>
      </c>
      <c r="E9753"/>
      <c r="F9753"/>
      <c r="G9753"/>
      <c r="H9753"/>
      <c r="I9753" s="489"/>
      <c r="J9753" s="1362"/>
      <c r="K9753" s="1362"/>
      <c r="L9753" s="1362"/>
    </row>
    <row r="9754" spans="1:12" x14ac:dyDescent="0.25">
      <c r="A9754">
        <v>90664</v>
      </c>
      <c r="B9754" t="s">
        <v>850</v>
      </c>
      <c r="C9754" t="s">
        <v>588</v>
      </c>
      <c r="D9754" s="254">
        <v>6.6</v>
      </c>
      <c r="E9754"/>
      <c r="F9754"/>
      <c r="G9754"/>
      <c r="H9754"/>
      <c r="I9754" s="489"/>
      <c r="J9754" s="1362"/>
      <c r="K9754" s="1362"/>
      <c r="L9754" s="1362"/>
    </row>
    <row r="9755" spans="1:12" x14ac:dyDescent="0.25">
      <c r="A9755">
        <v>90665</v>
      </c>
      <c r="B9755" t="s">
        <v>851</v>
      </c>
      <c r="C9755" t="s">
        <v>588</v>
      </c>
      <c r="D9755" s="254">
        <v>0.91</v>
      </c>
      <c r="E9755"/>
      <c r="F9755"/>
      <c r="G9755"/>
      <c r="H9755"/>
      <c r="I9755" s="489"/>
      <c r="J9755" s="1362"/>
      <c r="K9755" s="1362"/>
      <c r="L9755" s="1362"/>
    </row>
    <row r="9756" spans="1:12" x14ac:dyDescent="0.25">
      <c r="A9756">
        <v>90666</v>
      </c>
      <c r="B9756" t="s">
        <v>852</v>
      </c>
      <c r="C9756" t="s">
        <v>588</v>
      </c>
      <c r="D9756" s="254">
        <v>8.25</v>
      </c>
      <c r="E9756"/>
      <c r="F9756"/>
      <c r="G9756"/>
      <c r="H9756"/>
      <c r="I9756" s="489"/>
      <c r="J9756" s="1362"/>
      <c r="K9756" s="1362"/>
      <c r="L9756" s="1362"/>
    </row>
    <row r="9757" spans="1:12" x14ac:dyDescent="0.25">
      <c r="A9757">
        <v>90667</v>
      </c>
      <c r="B9757" t="s">
        <v>853</v>
      </c>
      <c r="C9757" t="s">
        <v>588</v>
      </c>
      <c r="D9757" s="254">
        <v>16.899999999999999</v>
      </c>
      <c r="E9757"/>
      <c r="F9757"/>
      <c r="G9757"/>
      <c r="H9757"/>
      <c r="I9757" s="489"/>
      <c r="J9757" s="1362"/>
      <c r="K9757" s="1362"/>
      <c r="L9757" s="1362"/>
    </row>
    <row r="9758" spans="1:12" x14ac:dyDescent="0.25">
      <c r="A9758">
        <v>90670</v>
      </c>
      <c r="B9758" t="s">
        <v>854</v>
      </c>
      <c r="C9758" t="s">
        <v>588</v>
      </c>
      <c r="D9758" s="254">
        <v>226.16</v>
      </c>
      <c r="E9758"/>
      <c r="F9758"/>
      <c r="G9758"/>
      <c r="H9758"/>
      <c r="I9758" s="489"/>
      <c r="J9758" s="1362"/>
      <c r="K9758" s="1362"/>
      <c r="L9758" s="1362"/>
    </row>
    <row r="9759" spans="1:12" x14ac:dyDescent="0.25">
      <c r="A9759">
        <v>90671</v>
      </c>
      <c r="B9759" t="s">
        <v>855</v>
      </c>
      <c r="C9759" t="s">
        <v>588</v>
      </c>
      <c r="D9759" s="254">
        <v>31.39</v>
      </c>
      <c r="E9759"/>
      <c r="F9759"/>
      <c r="G9759"/>
      <c r="H9759"/>
      <c r="I9759" s="489"/>
      <c r="J9759" s="1362"/>
      <c r="K9759" s="1362"/>
      <c r="L9759" s="1362"/>
    </row>
    <row r="9760" spans="1:12" x14ac:dyDescent="0.25">
      <c r="A9760">
        <v>90672</v>
      </c>
      <c r="B9760" t="s">
        <v>856</v>
      </c>
      <c r="C9760" t="s">
        <v>588</v>
      </c>
      <c r="D9760" s="254">
        <v>283.02</v>
      </c>
      <c r="E9760"/>
      <c r="F9760"/>
      <c r="G9760"/>
      <c r="H9760"/>
      <c r="I9760" s="489"/>
      <c r="J9760" s="1362"/>
      <c r="K9760" s="1362"/>
      <c r="L9760" s="1362"/>
    </row>
    <row r="9761" spans="1:12" x14ac:dyDescent="0.25">
      <c r="A9761">
        <v>90673</v>
      </c>
      <c r="B9761" t="s">
        <v>857</v>
      </c>
      <c r="C9761" t="s">
        <v>588</v>
      </c>
      <c r="D9761" s="254">
        <v>135.13</v>
      </c>
      <c r="E9761"/>
      <c r="F9761"/>
      <c r="G9761"/>
      <c r="H9761"/>
      <c r="I9761" s="489"/>
      <c r="J9761" s="1362"/>
      <c r="K9761" s="1362"/>
      <c r="L9761" s="1362"/>
    </row>
    <row r="9762" spans="1:12" x14ac:dyDescent="0.25">
      <c r="A9762">
        <v>90676</v>
      </c>
      <c r="B9762" t="s">
        <v>858</v>
      </c>
      <c r="C9762" t="s">
        <v>588</v>
      </c>
      <c r="D9762" s="254">
        <v>106.53</v>
      </c>
      <c r="E9762"/>
      <c r="F9762"/>
      <c r="G9762"/>
      <c r="H9762"/>
      <c r="I9762" s="489"/>
      <c r="J9762" s="1362"/>
      <c r="K9762" s="1362"/>
      <c r="L9762" s="1362"/>
    </row>
    <row r="9763" spans="1:12" x14ac:dyDescent="0.25">
      <c r="A9763">
        <v>90677</v>
      </c>
      <c r="B9763" t="s">
        <v>859</v>
      </c>
      <c r="C9763" t="s">
        <v>588</v>
      </c>
      <c r="D9763" s="254">
        <v>16.25</v>
      </c>
      <c r="E9763"/>
      <c r="F9763"/>
      <c r="G9763"/>
      <c r="H9763"/>
      <c r="I9763" s="489"/>
      <c r="J9763" s="1362"/>
      <c r="K9763" s="1362"/>
      <c r="L9763" s="1362"/>
    </row>
    <row r="9764" spans="1:12" x14ac:dyDescent="0.25">
      <c r="A9764">
        <v>90678</v>
      </c>
      <c r="B9764" t="s">
        <v>860</v>
      </c>
      <c r="C9764" t="s">
        <v>588</v>
      </c>
      <c r="D9764" s="254">
        <v>146.11000000000001</v>
      </c>
      <c r="E9764"/>
      <c r="F9764"/>
      <c r="G9764"/>
      <c r="H9764"/>
      <c r="I9764" s="489"/>
      <c r="J9764" s="1362"/>
      <c r="K9764" s="1362"/>
      <c r="L9764" s="1362"/>
    </row>
    <row r="9765" spans="1:12" x14ac:dyDescent="0.25">
      <c r="A9765">
        <v>90679</v>
      </c>
      <c r="B9765" t="s">
        <v>861</v>
      </c>
      <c r="C9765" t="s">
        <v>588</v>
      </c>
      <c r="D9765" s="254">
        <v>103.63</v>
      </c>
      <c r="E9765"/>
      <c r="F9765"/>
      <c r="G9765"/>
      <c r="H9765"/>
      <c r="I9765" s="489"/>
      <c r="J9765" s="1362"/>
      <c r="K9765" s="1362"/>
      <c r="L9765" s="1362"/>
    </row>
    <row r="9766" spans="1:12" x14ac:dyDescent="0.25">
      <c r="A9766">
        <v>90682</v>
      </c>
      <c r="B9766" t="s">
        <v>862</v>
      </c>
      <c r="C9766" t="s">
        <v>588</v>
      </c>
      <c r="D9766" s="254">
        <v>29.16</v>
      </c>
      <c r="E9766"/>
      <c r="F9766"/>
      <c r="G9766"/>
      <c r="H9766"/>
      <c r="I9766" s="489"/>
      <c r="J9766" s="1362"/>
      <c r="K9766" s="1362"/>
      <c r="L9766" s="1362"/>
    </row>
    <row r="9767" spans="1:12" x14ac:dyDescent="0.25">
      <c r="A9767">
        <v>90683</v>
      </c>
      <c r="B9767" t="s">
        <v>863</v>
      </c>
      <c r="C9767" t="s">
        <v>588</v>
      </c>
      <c r="D9767" s="254">
        <v>3.46</v>
      </c>
      <c r="E9767"/>
      <c r="F9767"/>
      <c r="G9767"/>
      <c r="H9767"/>
      <c r="I9767" s="489"/>
      <c r="J9767" s="1362"/>
      <c r="K9767" s="1362"/>
      <c r="L9767" s="1362"/>
    </row>
    <row r="9768" spans="1:12" x14ac:dyDescent="0.25">
      <c r="A9768">
        <v>90684</v>
      </c>
      <c r="B9768" t="s">
        <v>864</v>
      </c>
      <c r="C9768" t="s">
        <v>588</v>
      </c>
      <c r="D9768" s="254">
        <v>31.9</v>
      </c>
      <c r="E9768"/>
      <c r="F9768"/>
      <c r="G9768"/>
      <c r="H9768"/>
      <c r="I9768" s="489"/>
      <c r="J9768" s="1362"/>
      <c r="K9768" s="1362"/>
      <c r="L9768" s="1362"/>
    </row>
    <row r="9769" spans="1:12" x14ac:dyDescent="0.25">
      <c r="A9769">
        <v>90685</v>
      </c>
      <c r="B9769" t="s">
        <v>865</v>
      </c>
      <c r="C9769" t="s">
        <v>588</v>
      </c>
      <c r="D9769" s="254">
        <v>64.28</v>
      </c>
      <c r="E9769"/>
      <c r="F9769"/>
      <c r="G9769"/>
      <c r="H9769"/>
      <c r="I9769" s="489"/>
      <c r="J9769" s="1362"/>
      <c r="K9769" s="1362"/>
      <c r="L9769" s="1362"/>
    </row>
    <row r="9770" spans="1:12" x14ac:dyDescent="0.25">
      <c r="A9770">
        <v>90688</v>
      </c>
      <c r="B9770" t="s">
        <v>866</v>
      </c>
      <c r="C9770" t="s">
        <v>588</v>
      </c>
      <c r="D9770" s="254">
        <v>18.399999999999999</v>
      </c>
      <c r="E9770"/>
      <c r="F9770"/>
      <c r="G9770"/>
      <c r="H9770"/>
      <c r="I9770" s="489"/>
      <c r="J9770" s="1362"/>
      <c r="K9770" s="1362"/>
      <c r="L9770" s="1362"/>
    </row>
    <row r="9771" spans="1:12" x14ac:dyDescent="0.25">
      <c r="A9771">
        <v>90689</v>
      </c>
      <c r="B9771" t="s">
        <v>867</v>
      </c>
      <c r="C9771" t="s">
        <v>588</v>
      </c>
      <c r="D9771" s="254">
        <v>1.86</v>
      </c>
      <c r="E9771"/>
      <c r="F9771"/>
      <c r="G9771"/>
      <c r="H9771"/>
      <c r="I9771" s="489"/>
      <c r="J9771" s="1362"/>
      <c r="K9771" s="1362"/>
      <c r="L9771" s="1362"/>
    </row>
    <row r="9772" spans="1:12" x14ac:dyDescent="0.25">
      <c r="A9772">
        <v>90690</v>
      </c>
      <c r="B9772" t="s">
        <v>868</v>
      </c>
      <c r="C9772" t="s">
        <v>588</v>
      </c>
      <c r="D9772" s="254">
        <v>23</v>
      </c>
      <c r="E9772"/>
      <c r="F9772"/>
      <c r="G9772"/>
      <c r="H9772"/>
      <c r="I9772" s="489"/>
      <c r="J9772" s="1362"/>
      <c r="K9772" s="1362"/>
      <c r="L9772" s="1362"/>
    </row>
    <row r="9773" spans="1:12" x14ac:dyDescent="0.25">
      <c r="A9773">
        <v>90691</v>
      </c>
      <c r="B9773" t="s">
        <v>869</v>
      </c>
      <c r="C9773" t="s">
        <v>588</v>
      </c>
      <c r="D9773" s="254">
        <v>45.02</v>
      </c>
      <c r="E9773"/>
      <c r="F9773"/>
      <c r="G9773"/>
      <c r="H9773"/>
      <c r="I9773" s="489"/>
      <c r="J9773" s="1362"/>
      <c r="K9773" s="1362"/>
      <c r="L9773" s="1362"/>
    </row>
    <row r="9774" spans="1:12" x14ac:dyDescent="0.25">
      <c r="A9774">
        <v>90957</v>
      </c>
      <c r="B9774" t="s">
        <v>870</v>
      </c>
      <c r="C9774" t="s">
        <v>588</v>
      </c>
      <c r="D9774" s="254">
        <v>4.91</v>
      </c>
      <c r="E9774"/>
      <c r="F9774"/>
      <c r="G9774"/>
      <c r="H9774"/>
      <c r="I9774" s="489"/>
      <c r="J9774" s="1362"/>
      <c r="K9774" s="1362"/>
      <c r="L9774" s="1362"/>
    </row>
    <row r="9775" spans="1:12" x14ac:dyDescent="0.25">
      <c r="A9775">
        <v>90958</v>
      </c>
      <c r="B9775" t="s">
        <v>871</v>
      </c>
      <c r="C9775" t="s">
        <v>588</v>
      </c>
      <c r="D9775" s="254">
        <v>0.68</v>
      </c>
      <c r="E9775"/>
      <c r="F9775"/>
      <c r="G9775"/>
      <c r="H9775"/>
      <c r="I9775" s="489"/>
      <c r="J9775" s="1362"/>
      <c r="K9775" s="1362"/>
      <c r="L9775" s="1362"/>
    </row>
    <row r="9776" spans="1:12" x14ac:dyDescent="0.25">
      <c r="A9776">
        <v>90960</v>
      </c>
      <c r="B9776" t="s">
        <v>872</v>
      </c>
      <c r="C9776" t="s">
        <v>588</v>
      </c>
      <c r="D9776" s="254">
        <v>6.56</v>
      </c>
      <c r="E9776"/>
      <c r="F9776"/>
      <c r="G9776"/>
      <c r="H9776"/>
      <c r="I9776" s="489"/>
      <c r="J9776" s="1362"/>
      <c r="K9776" s="1362"/>
      <c r="L9776" s="1362"/>
    </row>
    <row r="9777" spans="1:12" x14ac:dyDescent="0.25">
      <c r="A9777">
        <v>90961</v>
      </c>
      <c r="B9777" t="s">
        <v>873</v>
      </c>
      <c r="C9777" t="s">
        <v>588</v>
      </c>
      <c r="D9777" s="254">
        <v>0.91</v>
      </c>
      <c r="E9777"/>
      <c r="F9777"/>
      <c r="G9777"/>
      <c r="H9777"/>
      <c r="I9777" s="489"/>
      <c r="J9777" s="1362"/>
      <c r="K9777" s="1362"/>
      <c r="L9777" s="1362"/>
    </row>
    <row r="9778" spans="1:12" x14ac:dyDescent="0.25">
      <c r="A9778">
        <v>90962</v>
      </c>
      <c r="B9778" t="s">
        <v>874</v>
      </c>
      <c r="C9778" t="s">
        <v>588</v>
      </c>
      <c r="D9778" s="254">
        <v>8.2100000000000009</v>
      </c>
      <c r="E9778"/>
      <c r="F9778"/>
      <c r="G9778"/>
      <c r="H9778"/>
      <c r="I9778" s="489"/>
      <c r="J9778" s="1362"/>
      <c r="K9778" s="1362"/>
      <c r="L9778" s="1362"/>
    </row>
    <row r="9779" spans="1:12" x14ac:dyDescent="0.25">
      <c r="A9779">
        <v>90963</v>
      </c>
      <c r="B9779" t="s">
        <v>875</v>
      </c>
      <c r="C9779" t="s">
        <v>588</v>
      </c>
      <c r="D9779" s="254">
        <v>16.899999999999999</v>
      </c>
      <c r="E9779"/>
      <c r="F9779"/>
      <c r="G9779"/>
      <c r="H9779"/>
      <c r="I9779" s="489"/>
      <c r="J9779" s="1362"/>
      <c r="K9779" s="1362"/>
      <c r="L9779" s="1362"/>
    </row>
    <row r="9780" spans="1:12" x14ac:dyDescent="0.25">
      <c r="A9780">
        <v>90968</v>
      </c>
      <c r="B9780" t="s">
        <v>876</v>
      </c>
      <c r="C9780" t="s">
        <v>588</v>
      </c>
      <c r="D9780" s="254">
        <v>6.58</v>
      </c>
      <c r="E9780"/>
      <c r="F9780"/>
      <c r="G9780"/>
      <c r="H9780"/>
      <c r="I9780" s="489"/>
      <c r="J9780" s="1362"/>
      <c r="K9780" s="1362"/>
      <c r="L9780" s="1362"/>
    </row>
    <row r="9781" spans="1:12" x14ac:dyDescent="0.25">
      <c r="A9781">
        <v>90969</v>
      </c>
      <c r="B9781" t="s">
        <v>877</v>
      </c>
      <c r="C9781" t="s">
        <v>588</v>
      </c>
      <c r="D9781" s="254">
        <v>0.91</v>
      </c>
      <c r="E9781"/>
      <c r="F9781"/>
      <c r="G9781"/>
      <c r="H9781"/>
      <c r="I9781" s="489"/>
      <c r="J9781" s="1362"/>
      <c r="K9781" s="1362"/>
      <c r="L9781" s="1362"/>
    </row>
    <row r="9782" spans="1:12" x14ac:dyDescent="0.25">
      <c r="A9782">
        <v>90970</v>
      </c>
      <c r="B9782" t="s">
        <v>878</v>
      </c>
      <c r="C9782" t="s">
        <v>588</v>
      </c>
      <c r="D9782" s="254">
        <v>8.23</v>
      </c>
      <c r="E9782"/>
      <c r="F9782"/>
      <c r="G9782"/>
      <c r="H9782"/>
      <c r="I9782" s="489"/>
      <c r="J9782" s="1362"/>
      <c r="K9782" s="1362"/>
      <c r="L9782" s="1362"/>
    </row>
    <row r="9783" spans="1:12" x14ac:dyDescent="0.25">
      <c r="A9783">
        <v>90971</v>
      </c>
      <c r="B9783" t="s">
        <v>879</v>
      </c>
      <c r="C9783" t="s">
        <v>588</v>
      </c>
      <c r="D9783" s="254">
        <v>68.47</v>
      </c>
      <c r="E9783"/>
      <c r="F9783"/>
      <c r="G9783"/>
      <c r="H9783"/>
      <c r="I9783" s="489"/>
      <c r="J9783" s="1362"/>
      <c r="K9783" s="1362"/>
      <c r="L9783" s="1362"/>
    </row>
    <row r="9784" spans="1:12" x14ac:dyDescent="0.25">
      <c r="A9784">
        <v>90975</v>
      </c>
      <c r="B9784" t="s">
        <v>880</v>
      </c>
      <c r="C9784" t="s">
        <v>588</v>
      </c>
      <c r="D9784" s="254">
        <v>16.71</v>
      </c>
      <c r="E9784"/>
      <c r="F9784"/>
      <c r="G9784"/>
      <c r="H9784"/>
      <c r="I9784" s="489"/>
      <c r="J9784" s="1362"/>
      <c r="K9784" s="1362"/>
      <c r="L9784" s="1362"/>
    </row>
    <row r="9785" spans="1:12" x14ac:dyDescent="0.25">
      <c r="A9785">
        <v>90976</v>
      </c>
      <c r="B9785" t="s">
        <v>881</v>
      </c>
      <c r="C9785" t="s">
        <v>588</v>
      </c>
      <c r="D9785" s="254">
        <v>2.3199999999999998</v>
      </c>
      <c r="E9785"/>
      <c r="F9785"/>
      <c r="G9785"/>
      <c r="H9785"/>
      <c r="I9785" s="489"/>
      <c r="J9785" s="1362"/>
      <c r="K9785" s="1362"/>
      <c r="L9785" s="1362"/>
    </row>
    <row r="9786" spans="1:12" x14ac:dyDescent="0.25">
      <c r="A9786">
        <v>90977</v>
      </c>
      <c r="B9786" t="s">
        <v>882</v>
      </c>
      <c r="C9786" t="s">
        <v>588</v>
      </c>
      <c r="D9786" s="254">
        <v>20.91</v>
      </c>
      <c r="E9786"/>
      <c r="F9786"/>
      <c r="G9786"/>
      <c r="H9786"/>
      <c r="I9786" s="489"/>
      <c r="J9786" s="1362"/>
      <c r="K9786" s="1362"/>
      <c r="L9786" s="1362"/>
    </row>
    <row r="9787" spans="1:12" x14ac:dyDescent="0.25">
      <c r="A9787">
        <v>90978</v>
      </c>
      <c r="B9787" t="s">
        <v>883</v>
      </c>
      <c r="C9787" t="s">
        <v>588</v>
      </c>
      <c r="D9787" s="254">
        <v>177.65</v>
      </c>
      <c r="E9787"/>
      <c r="F9787"/>
      <c r="G9787"/>
      <c r="H9787"/>
      <c r="I9787" s="489"/>
      <c r="J9787" s="1362"/>
      <c r="K9787" s="1362"/>
      <c r="L9787" s="1362"/>
    </row>
    <row r="9788" spans="1:12" x14ac:dyDescent="0.25">
      <c r="A9788">
        <v>90992</v>
      </c>
      <c r="B9788" t="s">
        <v>884</v>
      </c>
      <c r="C9788" t="s">
        <v>588</v>
      </c>
      <c r="D9788" s="254">
        <v>7.8</v>
      </c>
      <c r="E9788"/>
      <c r="F9788"/>
      <c r="G9788"/>
      <c r="H9788"/>
      <c r="I9788" s="489"/>
      <c r="J9788" s="1362"/>
      <c r="K9788" s="1362"/>
      <c r="L9788" s="1362"/>
    </row>
    <row r="9789" spans="1:12" x14ac:dyDescent="0.25">
      <c r="A9789">
        <v>90993</v>
      </c>
      <c r="B9789" t="s">
        <v>885</v>
      </c>
      <c r="C9789" t="s">
        <v>588</v>
      </c>
      <c r="D9789" s="254">
        <v>1.08</v>
      </c>
      <c r="E9789"/>
      <c r="F9789"/>
      <c r="G9789"/>
      <c r="H9789"/>
      <c r="I9789" s="489"/>
      <c r="J9789" s="1362"/>
      <c r="K9789" s="1362"/>
      <c r="L9789" s="1362"/>
    </row>
    <row r="9790" spans="1:12" x14ac:dyDescent="0.25">
      <c r="A9790">
        <v>90994</v>
      </c>
      <c r="B9790" t="s">
        <v>886</v>
      </c>
      <c r="C9790" t="s">
        <v>588</v>
      </c>
      <c r="D9790" s="254">
        <v>9.76</v>
      </c>
      <c r="E9790"/>
      <c r="F9790"/>
      <c r="G9790"/>
      <c r="H9790"/>
      <c r="I9790" s="489"/>
      <c r="J9790" s="1362"/>
      <c r="K9790" s="1362"/>
      <c r="L9790" s="1362"/>
    </row>
    <row r="9791" spans="1:12" x14ac:dyDescent="0.25">
      <c r="A9791">
        <v>90995</v>
      </c>
      <c r="B9791" t="s">
        <v>887</v>
      </c>
      <c r="C9791" t="s">
        <v>588</v>
      </c>
      <c r="D9791" s="254">
        <v>93.01</v>
      </c>
      <c r="E9791"/>
      <c r="F9791"/>
      <c r="G9791"/>
      <c r="H9791"/>
      <c r="I9791" s="489"/>
      <c r="J9791" s="1362"/>
      <c r="K9791" s="1362"/>
      <c r="L9791" s="1362"/>
    </row>
    <row r="9792" spans="1:12" x14ac:dyDescent="0.25">
      <c r="A9792">
        <v>91021</v>
      </c>
      <c r="B9792" t="s">
        <v>888</v>
      </c>
      <c r="C9792" t="s">
        <v>588</v>
      </c>
      <c r="D9792" s="254">
        <v>12.76</v>
      </c>
      <c r="E9792"/>
      <c r="F9792"/>
      <c r="G9792"/>
      <c r="H9792"/>
      <c r="I9792" s="489"/>
      <c r="J9792" s="1362"/>
      <c r="K9792" s="1362"/>
      <c r="L9792" s="1362"/>
    </row>
    <row r="9793" spans="1:12" x14ac:dyDescent="0.25">
      <c r="A9793">
        <v>91026</v>
      </c>
      <c r="B9793" t="s">
        <v>889</v>
      </c>
      <c r="C9793" t="s">
        <v>588</v>
      </c>
      <c r="D9793" s="254">
        <v>21.91</v>
      </c>
      <c r="E9793"/>
      <c r="F9793"/>
      <c r="G9793"/>
      <c r="H9793"/>
      <c r="I9793" s="489"/>
      <c r="J9793" s="1362"/>
      <c r="K9793" s="1362"/>
      <c r="L9793" s="1362"/>
    </row>
    <row r="9794" spans="1:12" x14ac:dyDescent="0.25">
      <c r="A9794">
        <v>91027</v>
      </c>
      <c r="B9794" t="s">
        <v>890</v>
      </c>
      <c r="C9794" t="s">
        <v>588</v>
      </c>
      <c r="D9794" s="254">
        <v>4.4800000000000004</v>
      </c>
      <c r="E9794"/>
      <c r="F9794"/>
      <c r="G9794"/>
      <c r="H9794"/>
      <c r="I9794" s="489"/>
      <c r="J9794" s="1362"/>
      <c r="K9794" s="1362"/>
      <c r="L9794" s="1362"/>
    </row>
    <row r="9795" spans="1:12" x14ac:dyDescent="0.25">
      <c r="A9795">
        <v>91028</v>
      </c>
      <c r="B9795" t="s">
        <v>891</v>
      </c>
      <c r="C9795" t="s">
        <v>588</v>
      </c>
      <c r="D9795" s="254">
        <v>3.54</v>
      </c>
      <c r="E9795"/>
      <c r="F9795"/>
      <c r="G9795"/>
      <c r="H9795"/>
      <c r="I9795" s="489"/>
      <c r="J9795" s="1362"/>
      <c r="K9795" s="1362"/>
      <c r="L9795" s="1362"/>
    </row>
    <row r="9796" spans="1:12" x14ac:dyDescent="0.25">
      <c r="A9796">
        <v>91029</v>
      </c>
      <c r="B9796" t="s">
        <v>892</v>
      </c>
      <c r="C9796" t="s">
        <v>588</v>
      </c>
      <c r="D9796" s="254">
        <v>40.200000000000003</v>
      </c>
      <c r="E9796"/>
      <c r="F9796"/>
      <c r="G9796"/>
      <c r="H9796"/>
      <c r="I9796" s="489"/>
      <c r="J9796" s="1362"/>
      <c r="K9796" s="1362"/>
      <c r="L9796" s="1362"/>
    </row>
    <row r="9797" spans="1:12" x14ac:dyDescent="0.25">
      <c r="A9797">
        <v>91030</v>
      </c>
      <c r="B9797" t="s">
        <v>893</v>
      </c>
      <c r="C9797" t="s">
        <v>588</v>
      </c>
      <c r="D9797" s="254">
        <v>165.75</v>
      </c>
      <c r="E9797"/>
      <c r="F9797"/>
      <c r="G9797"/>
      <c r="H9797"/>
      <c r="I9797" s="489"/>
      <c r="J9797" s="1362"/>
      <c r="K9797" s="1362"/>
      <c r="L9797" s="1362"/>
    </row>
    <row r="9798" spans="1:12" x14ac:dyDescent="0.25">
      <c r="A9798">
        <v>91273</v>
      </c>
      <c r="B9798" t="s">
        <v>894</v>
      </c>
      <c r="C9798" t="s">
        <v>588</v>
      </c>
      <c r="D9798" s="254">
        <v>0.53</v>
      </c>
      <c r="E9798"/>
      <c r="F9798"/>
      <c r="G9798"/>
      <c r="H9798"/>
      <c r="I9798" s="489"/>
      <c r="J9798" s="1362"/>
      <c r="K9798" s="1362"/>
      <c r="L9798" s="1362"/>
    </row>
    <row r="9799" spans="1:12" x14ac:dyDescent="0.25">
      <c r="A9799">
        <v>91274</v>
      </c>
      <c r="B9799" t="s">
        <v>895</v>
      </c>
      <c r="C9799" t="s">
        <v>588</v>
      </c>
      <c r="D9799" s="254">
        <v>7.0000000000000007E-2</v>
      </c>
      <c r="E9799"/>
      <c r="F9799"/>
      <c r="G9799"/>
      <c r="H9799"/>
      <c r="I9799" s="489"/>
      <c r="J9799" s="1362"/>
      <c r="K9799" s="1362"/>
      <c r="L9799" s="1362"/>
    </row>
    <row r="9800" spans="1:12" x14ac:dyDescent="0.25">
      <c r="A9800">
        <v>91275</v>
      </c>
      <c r="B9800" t="s">
        <v>896</v>
      </c>
      <c r="C9800" t="s">
        <v>588</v>
      </c>
      <c r="D9800" s="254">
        <v>0.67</v>
      </c>
      <c r="E9800"/>
      <c r="F9800"/>
      <c r="G9800"/>
      <c r="H9800"/>
      <c r="I9800" s="489"/>
      <c r="J9800" s="1362"/>
      <c r="K9800" s="1362"/>
      <c r="L9800" s="1362"/>
    </row>
    <row r="9801" spans="1:12" x14ac:dyDescent="0.25">
      <c r="A9801">
        <v>91276</v>
      </c>
      <c r="B9801" t="s">
        <v>897</v>
      </c>
      <c r="C9801" t="s">
        <v>588</v>
      </c>
      <c r="D9801" s="254">
        <v>7.15</v>
      </c>
      <c r="E9801"/>
      <c r="F9801"/>
      <c r="G9801"/>
      <c r="H9801"/>
      <c r="I9801" s="489"/>
      <c r="J9801" s="1362"/>
      <c r="K9801" s="1362"/>
      <c r="L9801" s="1362"/>
    </row>
    <row r="9802" spans="1:12" x14ac:dyDescent="0.25">
      <c r="A9802">
        <v>91279</v>
      </c>
      <c r="B9802" t="s">
        <v>898</v>
      </c>
      <c r="C9802" t="s">
        <v>588</v>
      </c>
      <c r="D9802" s="254">
        <v>0.77</v>
      </c>
      <c r="E9802"/>
      <c r="F9802"/>
      <c r="G9802"/>
      <c r="H9802"/>
      <c r="I9802" s="489"/>
      <c r="J9802" s="1362"/>
      <c r="K9802" s="1362"/>
      <c r="L9802" s="1362"/>
    </row>
    <row r="9803" spans="1:12" x14ac:dyDescent="0.25">
      <c r="A9803">
        <v>91280</v>
      </c>
      <c r="B9803" t="s">
        <v>899</v>
      </c>
      <c r="C9803" t="s">
        <v>588</v>
      </c>
      <c r="D9803" s="254">
        <v>0.08</v>
      </c>
      <c r="E9803"/>
      <c r="F9803"/>
      <c r="G9803"/>
      <c r="H9803"/>
      <c r="I9803" s="489"/>
      <c r="J9803" s="1362"/>
      <c r="K9803" s="1362"/>
      <c r="L9803" s="1362"/>
    </row>
    <row r="9804" spans="1:12" x14ac:dyDescent="0.25">
      <c r="A9804">
        <v>91281</v>
      </c>
      <c r="B9804" t="s">
        <v>900</v>
      </c>
      <c r="C9804" t="s">
        <v>588</v>
      </c>
      <c r="D9804" s="254">
        <v>0.97</v>
      </c>
      <c r="E9804"/>
      <c r="F9804"/>
      <c r="G9804"/>
      <c r="H9804"/>
      <c r="I9804" s="489"/>
      <c r="J9804" s="1362"/>
      <c r="K9804" s="1362"/>
      <c r="L9804" s="1362"/>
    </row>
    <row r="9805" spans="1:12" x14ac:dyDescent="0.25">
      <c r="A9805">
        <v>91282</v>
      </c>
      <c r="B9805" t="s">
        <v>901</v>
      </c>
      <c r="C9805" t="s">
        <v>588</v>
      </c>
      <c r="D9805" s="254">
        <v>7.2</v>
      </c>
      <c r="E9805"/>
      <c r="F9805"/>
      <c r="G9805"/>
      <c r="H9805"/>
      <c r="I9805" s="489"/>
      <c r="J9805" s="1362"/>
      <c r="K9805" s="1362"/>
      <c r="L9805" s="1362"/>
    </row>
    <row r="9806" spans="1:12" x14ac:dyDescent="0.25">
      <c r="A9806">
        <v>91354</v>
      </c>
      <c r="B9806" t="s">
        <v>902</v>
      </c>
      <c r="C9806" t="s">
        <v>588</v>
      </c>
      <c r="D9806" s="254">
        <v>15.62</v>
      </c>
      <c r="E9806"/>
      <c r="F9806"/>
      <c r="G9806"/>
      <c r="H9806"/>
      <c r="I9806" s="489"/>
      <c r="J9806" s="1362"/>
      <c r="K9806" s="1362"/>
      <c r="L9806" s="1362"/>
    </row>
    <row r="9807" spans="1:12" x14ac:dyDescent="0.25">
      <c r="A9807">
        <v>91355</v>
      </c>
      <c r="B9807" t="s">
        <v>903</v>
      </c>
      <c r="C9807" t="s">
        <v>588</v>
      </c>
      <c r="D9807" s="254">
        <v>3.27</v>
      </c>
      <c r="E9807"/>
      <c r="F9807"/>
      <c r="G9807"/>
      <c r="H9807"/>
      <c r="I9807" s="489"/>
      <c r="J9807" s="1362"/>
      <c r="K9807" s="1362"/>
      <c r="L9807" s="1362"/>
    </row>
    <row r="9808" spans="1:12" x14ac:dyDescent="0.25">
      <c r="A9808">
        <v>91356</v>
      </c>
      <c r="B9808" t="s">
        <v>904</v>
      </c>
      <c r="C9808" t="s">
        <v>588</v>
      </c>
      <c r="D9808" s="254">
        <v>2.59</v>
      </c>
      <c r="E9808"/>
      <c r="F9808"/>
      <c r="G9808"/>
      <c r="H9808"/>
      <c r="I9808" s="489"/>
      <c r="J9808" s="1362"/>
      <c r="K9808" s="1362"/>
      <c r="L9808" s="1362"/>
    </row>
    <row r="9809" spans="1:12" x14ac:dyDescent="0.25">
      <c r="A9809">
        <v>91359</v>
      </c>
      <c r="B9809" t="s">
        <v>905</v>
      </c>
      <c r="C9809" t="s">
        <v>588</v>
      </c>
      <c r="D9809" s="254">
        <v>19.399999999999999</v>
      </c>
      <c r="E9809"/>
      <c r="F9809"/>
      <c r="G9809"/>
      <c r="H9809"/>
      <c r="I9809" s="489"/>
      <c r="J9809" s="1362"/>
      <c r="K9809" s="1362"/>
      <c r="L9809" s="1362"/>
    </row>
    <row r="9810" spans="1:12" x14ac:dyDescent="0.25">
      <c r="A9810">
        <v>91360</v>
      </c>
      <c r="B9810" t="s">
        <v>906</v>
      </c>
      <c r="C9810" t="s">
        <v>588</v>
      </c>
      <c r="D9810" s="254">
        <v>3.73</v>
      </c>
      <c r="E9810"/>
      <c r="F9810"/>
      <c r="G9810"/>
      <c r="H9810"/>
      <c r="I9810" s="489"/>
      <c r="J9810" s="1362"/>
      <c r="K9810" s="1362"/>
      <c r="L9810" s="1362"/>
    </row>
    <row r="9811" spans="1:12" x14ac:dyDescent="0.25">
      <c r="A9811">
        <v>91361</v>
      </c>
      <c r="B9811" t="s">
        <v>907</v>
      </c>
      <c r="C9811" t="s">
        <v>588</v>
      </c>
      <c r="D9811" s="254">
        <v>2.96</v>
      </c>
      <c r="E9811"/>
      <c r="F9811"/>
      <c r="G9811"/>
      <c r="H9811"/>
      <c r="I9811" s="489"/>
      <c r="J9811" s="1362"/>
      <c r="K9811" s="1362"/>
      <c r="L9811" s="1362"/>
    </row>
    <row r="9812" spans="1:12" x14ac:dyDescent="0.25">
      <c r="A9812">
        <v>91367</v>
      </c>
      <c r="B9812" t="s">
        <v>908</v>
      </c>
      <c r="C9812" t="s">
        <v>588</v>
      </c>
      <c r="D9812" s="254">
        <v>19.57</v>
      </c>
      <c r="E9812"/>
      <c r="F9812"/>
      <c r="G9812"/>
      <c r="H9812"/>
      <c r="I9812" s="489"/>
      <c r="J9812" s="1362"/>
      <c r="K9812" s="1362"/>
      <c r="L9812" s="1362"/>
    </row>
    <row r="9813" spans="1:12" x14ac:dyDescent="0.25">
      <c r="A9813">
        <v>91368</v>
      </c>
      <c r="B9813" t="s">
        <v>909</v>
      </c>
      <c r="C9813" t="s">
        <v>588</v>
      </c>
      <c r="D9813" s="254">
        <v>3.83</v>
      </c>
      <c r="E9813"/>
      <c r="F9813"/>
      <c r="G9813"/>
      <c r="H9813"/>
      <c r="I9813" s="489"/>
      <c r="J9813" s="1362"/>
      <c r="K9813" s="1362"/>
      <c r="L9813" s="1362"/>
    </row>
    <row r="9814" spans="1:12" x14ac:dyDescent="0.25">
      <c r="A9814">
        <v>91369</v>
      </c>
      <c r="B9814" t="s">
        <v>910</v>
      </c>
      <c r="C9814" t="s">
        <v>588</v>
      </c>
      <c r="D9814" s="254">
        <v>3.03</v>
      </c>
      <c r="E9814"/>
      <c r="F9814"/>
      <c r="G9814"/>
      <c r="H9814"/>
      <c r="I9814" s="489"/>
      <c r="J9814" s="1362"/>
      <c r="K9814" s="1362"/>
      <c r="L9814" s="1362"/>
    </row>
    <row r="9815" spans="1:12" x14ac:dyDescent="0.25">
      <c r="A9815">
        <v>91375</v>
      </c>
      <c r="B9815" t="s">
        <v>911</v>
      </c>
      <c r="C9815" t="s">
        <v>588</v>
      </c>
      <c r="D9815" s="254">
        <v>17.149999999999999</v>
      </c>
      <c r="E9815"/>
      <c r="F9815"/>
      <c r="G9815"/>
      <c r="H9815"/>
      <c r="I9815" s="489"/>
      <c r="J9815" s="1362"/>
      <c r="K9815" s="1362"/>
      <c r="L9815" s="1362"/>
    </row>
    <row r="9816" spans="1:12" x14ac:dyDescent="0.25">
      <c r="A9816">
        <v>91376</v>
      </c>
      <c r="B9816" t="s">
        <v>912</v>
      </c>
      <c r="C9816" t="s">
        <v>588</v>
      </c>
      <c r="D9816" s="254">
        <v>3.6</v>
      </c>
      <c r="E9816"/>
      <c r="F9816"/>
      <c r="G9816"/>
      <c r="H9816"/>
      <c r="I9816" s="489"/>
      <c r="J9816" s="1362"/>
      <c r="K9816" s="1362"/>
      <c r="L9816" s="1362"/>
    </row>
    <row r="9817" spans="1:12" x14ac:dyDescent="0.25">
      <c r="A9817">
        <v>91377</v>
      </c>
      <c r="B9817" t="s">
        <v>913</v>
      </c>
      <c r="C9817" t="s">
        <v>588</v>
      </c>
      <c r="D9817" s="254">
        <v>2.85</v>
      </c>
      <c r="E9817"/>
      <c r="F9817"/>
      <c r="G9817"/>
      <c r="H9817"/>
      <c r="I9817" s="489"/>
      <c r="J9817" s="1362"/>
      <c r="K9817" s="1362"/>
      <c r="L9817" s="1362"/>
    </row>
    <row r="9818" spans="1:12" x14ac:dyDescent="0.25">
      <c r="A9818">
        <v>91380</v>
      </c>
      <c r="B9818" t="s">
        <v>914</v>
      </c>
      <c r="C9818" t="s">
        <v>588</v>
      </c>
      <c r="D9818" s="254">
        <v>25.75</v>
      </c>
      <c r="E9818"/>
      <c r="F9818"/>
      <c r="G9818"/>
      <c r="H9818"/>
      <c r="I9818" s="489"/>
      <c r="J9818" s="1362"/>
      <c r="K9818" s="1362"/>
      <c r="L9818" s="1362"/>
    </row>
    <row r="9819" spans="1:12" x14ac:dyDescent="0.25">
      <c r="A9819">
        <v>91381</v>
      </c>
      <c r="B9819" t="s">
        <v>915</v>
      </c>
      <c r="C9819" t="s">
        <v>588</v>
      </c>
      <c r="D9819" s="254">
        <v>5.04</v>
      </c>
      <c r="E9819"/>
      <c r="F9819"/>
      <c r="G9819"/>
      <c r="H9819"/>
      <c r="I9819" s="489"/>
      <c r="J9819" s="1362"/>
      <c r="K9819" s="1362"/>
      <c r="L9819" s="1362"/>
    </row>
    <row r="9820" spans="1:12" x14ac:dyDescent="0.25">
      <c r="A9820">
        <v>91382</v>
      </c>
      <c r="B9820" t="s">
        <v>916</v>
      </c>
      <c r="C9820" t="s">
        <v>588</v>
      </c>
      <c r="D9820" s="254">
        <v>4</v>
      </c>
      <c r="E9820"/>
      <c r="F9820"/>
      <c r="G9820"/>
      <c r="H9820"/>
      <c r="I9820" s="489"/>
      <c r="J9820" s="1362"/>
      <c r="K9820" s="1362"/>
      <c r="L9820" s="1362"/>
    </row>
    <row r="9821" spans="1:12" x14ac:dyDescent="0.25">
      <c r="A9821">
        <v>91383</v>
      </c>
      <c r="B9821" t="s">
        <v>917</v>
      </c>
      <c r="C9821" t="s">
        <v>588</v>
      </c>
      <c r="D9821" s="254">
        <v>46.38</v>
      </c>
      <c r="E9821"/>
      <c r="F9821"/>
      <c r="G9821"/>
      <c r="H9821"/>
      <c r="I9821" s="489"/>
      <c r="J9821" s="1362"/>
      <c r="K9821" s="1362"/>
      <c r="L9821" s="1362"/>
    </row>
    <row r="9822" spans="1:12" x14ac:dyDescent="0.25">
      <c r="A9822">
        <v>91384</v>
      </c>
      <c r="B9822" t="s">
        <v>918</v>
      </c>
      <c r="C9822" t="s">
        <v>588</v>
      </c>
      <c r="D9822" s="254">
        <v>160.21</v>
      </c>
      <c r="E9822"/>
      <c r="F9822"/>
      <c r="G9822"/>
      <c r="H9822"/>
      <c r="I9822" s="489"/>
      <c r="J9822" s="1362"/>
      <c r="K9822" s="1362"/>
      <c r="L9822" s="1362"/>
    </row>
    <row r="9823" spans="1:12" x14ac:dyDescent="0.25">
      <c r="A9823">
        <v>91390</v>
      </c>
      <c r="B9823" t="s">
        <v>919</v>
      </c>
      <c r="C9823" t="s">
        <v>588</v>
      </c>
      <c r="D9823" s="254">
        <v>17.03</v>
      </c>
      <c r="E9823"/>
      <c r="F9823"/>
      <c r="G9823"/>
      <c r="H9823"/>
      <c r="I9823" s="489"/>
      <c r="J9823" s="1362"/>
      <c r="K9823" s="1362"/>
      <c r="L9823" s="1362"/>
    </row>
    <row r="9824" spans="1:12" x14ac:dyDescent="0.25">
      <c r="A9824">
        <v>91391</v>
      </c>
      <c r="B9824" t="s">
        <v>920</v>
      </c>
      <c r="C9824" t="s">
        <v>588</v>
      </c>
      <c r="D9824" s="254">
        <v>3.45</v>
      </c>
      <c r="E9824"/>
      <c r="F9824"/>
      <c r="G9824"/>
      <c r="H9824"/>
      <c r="I9824" s="489"/>
      <c r="J9824" s="1362"/>
      <c r="K9824" s="1362"/>
      <c r="L9824" s="1362"/>
    </row>
    <row r="9825" spans="1:12" x14ac:dyDescent="0.25">
      <c r="A9825">
        <v>91392</v>
      </c>
      <c r="B9825" t="s">
        <v>921</v>
      </c>
      <c r="C9825" t="s">
        <v>588</v>
      </c>
      <c r="D9825" s="254">
        <v>2.73</v>
      </c>
      <c r="E9825"/>
      <c r="F9825"/>
      <c r="G9825"/>
      <c r="H9825"/>
      <c r="I9825" s="489"/>
      <c r="J9825" s="1362"/>
      <c r="K9825" s="1362"/>
      <c r="L9825" s="1362"/>
    </row>
    <row r="9826" spans="1:12" x14ac:dyDescent="0.25">
      <c r="A9826">
        <v>91396</v>
      </c>
      <c r="B9826" t="s">
        <v>922</v>
      </c>
      <c r="C9826" t="s">
        <v>588</v>
      </c>
      <c r="D9826" s="254">
        <v>26.75</v>
      </c>
      <c r="E9826"/>
      <c r="F9826"/>
      <c r="G9826"/>
      <c r="H9826"/>
      <c r="I9826" s="489"/>
      <c r="J9826" s="1362"/>
      <c r="K9826" s="1362"/>
      <c r="L9826" s="1362"/>
    </row>
    <row r="9827" spans="1:12" x14ac:dyDescent="0.25">
      <c r="A9827">
        <v>91397</v>
      </c>
      <c r="B9827" t="s">
        <v>923</v>
      </c>
      <c r="C9827" t="s">
        <v>588</v>
      </c>
      <c r="D9827" s="254">
        <v>5.21</v>
      </c>
      <c r="E9827"/>
      <c r="F9827"/>
      <c r="G9827"/>
      <c r="H9827"/>
      <c r="I9827" s="489"/>
      <c r="J9827" s="1362"/>
      <c r="K9827" s="1362"/>
      <c r="L9827" s="1362"/>
    </row>
    <row r="9828" spans="1:12" x14ac:dyDescent="0.25">
      <c r="A9828">
        <v>91398</v>
      </c>
      <c r="B9828" t="s">
        <v>924</v>
      </c>
      <c r="C9828" t="s">
        <v>588</v>
      </c>
      <c r="D9828" s="254">
        <v>4.13</v>
      </c>
      <c r="E9828"/>
      <c r="F9828"/>
      <c r="G9828"/>
      <c r="H9828"/>
      <c r="I9828" s="489"/>
      <c r="J9828" s="1362"/>
      <c r="K9828" s="1362"/>
      <c r="L9828" s="1362"/>
    </row>
    <row r="9829" spans="1:12" x14ac:dyDescent="0.25">
      <c r="A9829">
        <v>91402</v>
      </c>
      <c r="B9829" t="s">
        <v>925</v>
      </c>
      <c r="C9829" t="s">
        <v>588</v>
      </c>
      <c r="D9829" s="254">
        <v>3.15</v>
      </c>
      <c r="E9829"/>
      <c r="F9829"/>
      <c r="G9829"/>
      <c r="H9829"/>
      <c r="I9829" s="489"/>
      <c r="J9829" s="1362"/>
      <c r="K9829" s="1362"/>
      <c r="L9829" s="1362"/>
    </row>
    <row r="9830" spans="1:12" x14ac:dyDescent="0.25">
      <c r="A9830">
        <v>91466</v>
      </c>
      <c r="B9830" t="s">
        <v>926</v>
      </c>
      <c r="C9830" t="s">
        <v>588</v>
      </c>
      <c r="D9830" s="254">
        <v>3.65</v>
      </c>
      <c r="E9830"/>
      <c r="F9830"/>
      <c r="G9830"/>
      <c r="H9830"/>
      <c r="I9830" s="489"/>
      <c r="J9830" s="1362"/>
      <c r="K9830" s="1362"/>
      <c r="L9830" s="1362"/>
    </row>
    <row r="9831" spans="1:12" x14ac:dyDescent="0.25">
      <c r="A9831">
        <v>91467</v>
      </c>
      <c r="B9831" t="s">
        <v>927</v>
      </c>
      <c r="C9831" t="s">
        <v>588</v>
      </c>
      <c r="D9831" s="254">
        <v>178.66</v>
      </c>
      <c r="E9831"/>
      <c r="F9831"/>
      <c r="G9831"/>
      <c r="H9831"/>
      <c r="I9831" s="489"/>
      <c r="J9831" s="1362"/>
      <c r="K9831" s="1362"/>
      <c r="L9831" s="1362"/>
    </row>
    <row r="9832" spans="1:12" x14ac:dyDescent="0.25">
      <c r="A9832">
        <v>91468</v>
      </c>
      <c r="B9832" t="s">
        <v>928</v>
      </c>
      <c r="C9832" t="s">
        <v>588</v>
      </c>
      <c r="D9832" s="254">
        <v>23.75</v>
      </c>
      <c r="E9832"/>
      <c r="F9832"/>
      <c r="G9832"/>
      <c r="H9832"/>
      <c r="I9832" s="489"/>
      <c r="J9832" s="1362"/>
      <c r="K9832" s="1362"/>
      <c r="L9832" s="1362"/>
    </row>
    <row r="9833" spans="1:12" x14ac:dyDescent="0.25">
      <c r="A9833">
        <v>91469</v>
      </c>
      <c r="B9833" t="s">
        <v>929</v>
      </c>
      <c r="C9833" t="s">
        <v>588</v>
      </c>
      <c r="D9833" s="254">
        <v>4.7</v>
      </c>
      <c r="E9833"/>
      <c r="F9833"/>
      <c r="G9833"/>
      <c r="H9833"/>
      <c r="I9833" s="489"/>
      <c r="J9833" s="1362"/>
      <c r="K9833" s="1362"/>
      <c r="L9833" s="1362"/>
    </row>
    <row r="9834" spans="1:12" x14ac:dyDescent="0.25">
      <c r="A9834">
        <v>91484</v>
      </c>
      <c r="B9834" t="s">
        <v>930</v>
      </c>
      <c r="C9834" t="s">
        <v>588</v>
      </c>
      <c r="D9834" s="254">
        <v>3.74</v>
      </c>
      <c r="E9834"/>
      <c r="F9834"/>
      <c r="G9834"/>
      <c r="H9834"/>
      <c r="I9834" s="489"/>
      <c r="J9834" s="1362"/>
      <c r="K9834" s="1362"/>
      <c r="L9834" s="1362"/>
    </row>
    <row r="9835" spans="1:12" x14ac:dyDescent="0.25">
      <c r="A9835">
        <v>91485</v>
      </c>
      <c r="B9835" t="s">
        <v>931</v>
      </c>
      <c r="C9835" t="s">
        <v>588</v>
      </c>
      <c r="D9835" s="254">
        <v>174.88</v>
      </c>
      <c r="E9835"/>
      <c r="F9835"/>
      <c r="G9835"/>
      <c r="H9835"/>
      <c r="I9835" s="489"/>
      <c r="J9835" s="1362"/>
      <c r="K9835" s="1362"/>
      <c r="L9835" s="1362"/>
    </row>
    <row r="9836" spans="1:12" x14ac:dyDescent="0.25">
      <c r="A9836">
        <v>91529</v>
      </c>
      <c r="B9836" t="s">
        <v>932</v>
      </c>
      <c r="C9836" t="s">
        <v>588</v>
      </c>
      <c r="D9836" s="254">
        <v>0.79</v>
      </c>
      <c r="E9836"/>
      <c r="F9836"/>
      <c r="G9836"/>
      <c r="H9836"/>
      <c r="I9836" s="489"/>
      <c r="J9836" s="1362"/>
      <c r="K9836" s="1362"/>
      <c r="L9836" s="1362"/>
    </row>
    <row r="9837" spans="1:12" x14ac:dyDescent="0.25">
      <c r="A9837">
        <v>91530</v>
      </c>
      <c r="B9837" t="s">
        <v>933</v>
      </c>
      <c r="C9837" t="s">
        <v>588</v>
      </c>
      <c r="D9837" s="254">
        <v>0.11</v>
      </c>
      <c r="E9837"/>
      <c r="F9837"/>
      <c r="G9837"/>
      <c r="H9837"/>
      <c r="I9837" s="489"/>
      <c r="J9837" s="1362"/>
      <c r="K9837" s="1362"/>
      <c r="L9837" s="1362"/>
    </row>
    <row r="9838" spans="1:12" x14ac:dyDescent="0.25">
      <c r="A9838">
        <v>91531</v>
      </c>
      <c r="B9838" t="s">
        <v>934</v>
      </c>
      <c r="C9838" t="s">
        <v>588</v>
      </c>
      <c r="D9838" s="254">
        <v>0.99</v>
      </c>
      <c r="E9838"/>
      <c r="F9838"/>
      <c r="G9838"/>
      <c r="H9838"/>
      <c r="I9838" s="489"/>
      <c r="J9838" s="1362"/>
      <c r="K9838" s="1362"/>
      <c r="L9838" s="1362"/>
    </row>
    <row r="9839" spans="1:12" x14ac:dyDescent="0.25">
      <c r="A9839">
        <v>91532</v>
      </c>
      <c r="B9839" t="s">
        <v>935</v>
      </c>
      <c r="C9839" t="s">
        <v>588</v>
      </c>
      <c r="D9839" s="254">
        <v>5.1100000000000003</v>
      </c>
      <c r="E9839"/>
      <c r="F9839"/>
      <c r="G9839"/>
      <c r="H9839"/>
      <c r="I9839" s="489"/>
      <c r="J9839" s="1362"/>
      <c r="K9839" s="1362"/>
      <c r="L9839" s="1362"/>
    </row>
    <row r="9840" spans="1:12" x14ac:dyDescent="0.25">
      <c r="A9840">
        <v>91629</v>
      </c>
      <c r="B9840" t="s">
        <v>936</v>
      </c>
      <c r="C9840" t="s">
        <v>588</v>
      </c>
      <c r="D9840" s="254">
        <v>19.55</v>
      </c>
      <c r="E9840"/>
      <c r="F9840"/>
      <c r="G9840"/>
      <c r="H9840"/>
      <c r="I9840" s="489"/>
      <c r="J9840" s="1362"/>
      <c r="K9840" s="1362"/>
      <c r="L9840" s="1362"/>
    </row>
    <row r="9841" spans="1:12" x14ac:dyDescent="0.25">
      <c r="A9841">
        <v>91630</v>
      </c>
      <c r="B9841" t="s">
        <v>937</v>
      </c>
      <c r="C9841" t="s">
        <v>588</v>
      </c>
      <c r="D9841" s="254">
        <v>3.68</v>
      </c>
      <c r="E9841"/>
      <c r="F9841"/>
      <c r="G9841"/>
      <c r="H9841"/>
      <c r="I9841" s="489"/>
      <c r="J9841" s="1362"/>
      <c r="K9841" s="1362"/>
      <c r="L9841" s="1362"/>
    </row>
    <row r="9842" spans="1:12" x14ac:dyDescent="0.25">
      <c r="A9842">
        <v>91631</v>
      </c>
      <c r="B9842" t="s">
        <v>938</v>
      </c>
      <c r="C9842" t="s">
        <v>588</v>
      </c>
      <c r="D9842" s="254">
        <v>2.91</v>
      </c>
      <c r="E9842"/>
      <c r="F9842"/>
      <c r="G9842"/>
      <c r="H9842"/>
      <c r="I9842" s="489"/>
      <c r="J9842" s="1362"/>
      <c r="K9842" s="1362"/>
      <c r="L9842" s="1362"/>
    </row>
    <row r="9843" spans="1:12" x14ac:dyDescent="0.25">
      <c r="A9843">
        <v>91632</v>
      </c>
      <c r="B9843" t="s">
        <v>939</v>
      </c>
      <c r="C9843" t="s">
        <v>588</v>
      </c>
      <c r="D9843" s="254">
        <v>33.29</v>
      </c>
      <c r="E9843"/>
      <c r="F9843"/>
      <c r="G9843"/>
      <c r="H9843"/>
      <c r="I9843" s="489"/>
      <c r="J9843" s="1362"/>
      <c r="K9843" s="1362"/>
      <c r="L9843" s="1362"/>
    </row>
    <row r="9844" spans="1:12" x14ac:dyDescent="0.25">
      <c r="A9844">
        <v>91633</v>
      </c>
      <c r="B9844" t="s">
        <v>940</v>
      </c>
      <c r="C9844" t="s">
        <v>588</v>
      </c>
      <c r="D9844" s="254">
        <v>151.22</v>
      </c>
      <c r="E9844"/>
      <c r="F9844"/>
      <c r="G9844"/>
      <c r="H9844"/>
      <c r="I9844" s="489"/>
      <c r="J9844" s="1362"/>
      <c r="K9844" s="1362"/>
      <c r="L9844" s="1362"/>
    </row>
    <row r="9845" spans="1:12" x14ac:dyDescent="0.25">
      <c r="A9845">
        <v>91640</v>
      </c>
      <c r="B9845" t="s">
        <v>941</v>
      </c>
      <c r="C9845" t="s">
        <v>588</v>
      </c>
      <c r="D9845" s="254">
        <v>32.44</v>
      </c>
      <c r="E9845"/>
      <c r="F9845"/>
      <c r="G9845"/>
      <c r="H9845"/>
      <c r="I9845" s="489"/>
      <c r="J9845" s="1362"/>
      <c r="K9845" s="1362"/>
      <c r="L9845" s="1362"/>
    </row>
    <row r="9846" spans="1:12" x14ac:dyDescent="0.25">
      <c r="A9846">
        <v>91641</v>
      </c>
      <c r="B9846" t="s">
        <v>942</v>
      </c>
      <c r="C9846" t="s">
        <v>588</v>
      </c>
      <c r="D9846" s="254">
        <v>6.62</v>
      </c>
      <c r="E9846"/>
      <c r="F9846"/>
      <c r="G9846"/>
      <c r="H9846"/>
      <c r="I9846" s="489"/>
      <c r="J9846" s="1362"/>
      <c r="K9846" s="1362"/>
      <c r="L9846" s="1362"/>
    </row>
    <row r="9847" spans="1:12" x14ac:dyDescent="0.25">
      <c r="A9847">
        <v>91642</v>
      </c>
      <c r="B9847" t="s">
        <v>943</v>
      </c>
      <c r="C9847" t="s">
        <v>588</v>
      </c>
      <c r="D9847" s="254">
        <v>5.25</v>
      </c>
      <c r="E9847"/>
      <c r="F9847"/>
      <c r="G9847"/>
      <c r="H9847"/>
      <c r="I9847" s="489"/>
      <c r="J9847" s="1362"/>
      <c r="K9847" s="1362"/>
      <c r="L9847" s="1362"/>
    </row>
    <row r="9848" spans="1:12" x14ac:dyDescent="0.25">
      <c r="A9848">
        <v>91643</v>
      </c>
      <c r="B9848" t="s">
        <v>944</v>
      </c>
      <c r="C9848" t="s">
        <v>588</v>
      </c>
      <c r="D9848" s="254">
        <v>57.64</v>
      </c>
      <c r="E9848"/>
      <c r="F9848"/>
      <c r="G9848"/>
      <c r="H9848"/>
      <c r="I9848" s="489"/>
      <c r="J9848" s="1362"/>
      <c r="K9848" s="1362"/>
      <c r="L9848" s="1362"/>
    </row>
    <row r="9849" spans="1:12" x14ac:dyDescent="0.25">
      <c r="A9849">
        <v>91644</v>
      </c>
      <c r="B9849" t="s">
        <v>945</v>
      </c>
      <c r="C9849" t="s">
        <v>588</v>
      </c>
      <c r="D9849" s="254">
        <v>340.29</v>
      </c>
      <c r="E9849"/>
      <c r="F9849"/>
      <c r="G9849"/>
      <c r="H9849"/>
      <c r="I9849" s="489"/>
      <c r="J9849" s="1362"/>
      <c r="K9849" s="1362"/>
      <c r="L9849" s="1362"/>
    </row>
    <row r="9850" spans="1:12" x14ac:dyDescent="0.25">
      <c r="A9850">
        <v>91688</v>
      </c>
      <c r="B9850" t="s">
        <v>946</v>
      </c>
      <c r="C9850" t="s">
        <v>588</v>
      </c>
      <c r="D9850" s="254">
        <v>0.09</v>
      </c>
      <c r="E9850"/>
      <c r="F9850"/>
      <c r="G9850"/>
      <c r="H9850"/>
      <c r="I9850" s="489"/>
      <c r="J9850" s="1362"/>
      <c r="K9850" s="1362"/>
      <c r="L9850" s="1362"/>
    </row>
    <row r="9851" spans="1:12" x14ac:dyDescent="0.25">
      <c r="A9851">
        <v>91689</v>
      </c>
      <c r="B9851" t="s">
        <v>947</v>
      </c>
      <c r="C9851" t="s">
        <v>588</v>
      </c>
      <c r="D9851" s="254">
        <v>0</v>
      </c>
      <c r="E9851"/>
      <c r="F9851"/>
      <c r="G9851"/>
      <c r="H9851"/>
      <c r="I9851" s="489"/>
      <c r="J9851" s="1362"/>
      <c r="K9851" s="1362"/>
      <c r="L9851" s="1362"/>
    </row>
    <row r="9852" spans="1:12" x14ac:dyDescent="0.25">
      <c r="A9852">
        <v>91690</v>
      </c>
      <c r="B9852" t="s">
        <v>948</v>
      </c>
      <c r="C9852" t="s">
        <v>588</v>
      </c>
      <c r="D9852" s="254">
        <v>0.06</v>
      </c>
      <c r="E9852"/>
      <c r="F9852"/>
      <c r="G9852"/>
      <c r="H9852"/>
      <c r="I9852" s="489"/>
      <c r="J9852" s="1362"/>
      <c r="K9852" s="1362"/>
      <c r="L9852" s="1362"/>
    </row>
    <row r="9853" spans="1:12" x14ac:dyDescent="0.25">
      <c r="A9853">
        <v>91691</v>
      </c>
      <c r="B9853" t="s">
        <v>949</v>
      </c>
      <c r="C9853" t="s">
        <v>588</v>
      </c>
      <c r="D9853" s="254">
        <v>0.96</v>
      </c>
      <c r="E9853"/>
      <c r="F9853"/>
      <c r="G9853"/>
      <c r="H9853"/>
      <c r="I9853" s="489"/>
      <c r="J9853" s="1362"/>
      <c r="K9853" s="1362"/>
      <c r="L9853" s="1362"/>
    </row>
    <row r="9854" spans="1:12" x14ac:dyDescent="0.25">
      <c r="A9854">
        <v>92040</v>
      </c>
      <c r="B9854" t="s">
        <v>950</v>
      </c>
      <c r="C9854" t="s">
        <v>588</v>
      </c>
      <c r="D9854" s="254">
        <v>6.73</v>
      </c>
      <c r="E9854"/>
      <c r="F9854"/>
      <c r="G9854"/>
      <c r="H9854"/>
      <c r="I9854" s="489"/>
      <c r="J9854" s="1362"/>
      <c r="K9854" s="1362"/>
      <c r="L9854" s="1362"/>
    </row>
    <row r="9855" spans="1:12" x14ac:dyDescent="0.25">
      <c r="A9855">
        <v>92041</v>
      </c>
      <c r="B9855" t="s">
        <v>951</v>
      </c>
      <c r="C9855" t="s">
        <v>588</v>
      </c>
      <c r="D9855" s="254">
        <v>0.71</v>
      </c>
      <c r="E9855"/>
      <c r="F9855"/>
      <c r="G9855"/>
      <c r="H9855"/>
      <c r="I9855" s="489"/>
      <c r="J9855" s="1362"/>
      <c r="K9855" s="1362"/>
      <c r="L9855" s="1362"/>
    </row>
    <row r="9856" spans="1:12" x14ac:dyDescent="0.25">
      <c r="A9856">
        <v>92042</v>
      </c>
      <c r="B9856" t="s">
        <v>952</v>
      </c>
      <c r="C9856" t="s">
        <v>588</v>
      </c>
      <c r="D9856" s="254">
        <v>5.6</v>
      </c>
      <c r="E9856"/>
      <c r="F9856"/>
      <c r="G9856"/>
      <c r="H9856"/>
      <c r="I9856" s="489"/>
      <c r="J9856" s="1362"/>
      <c r="K9856" s="1362"/>
      <c r="L9856" s="1362"/>
    </row>
    <row r="9857" spans="1:12" x14ac:dyDescent="0.25">
      <c r="A9857">
        <v>92101</v>
      </c>
      <c r="B9857" t="s">
        <v>953</v>
      </c>
      <c r="C9857" t="s">
        <v>588</v>
      </c>
      <c r="D9857" s="254">
        <v>41.26</v>
      </c>
      <c r="E9857"/>
      <c r="F9857"/>
      <c r="G9857"/>
      <c r="H9857"/>
      <c r="I9857" s="489"/>
      <c r="J9857" s="1362"/>
      <c r="K9857" s="1362"/>
      <c r="L9857" s="1362"/>
    </row>
    <row r="9858" spans="1:12" x14ac:dyDescent="0.25">
      <c r="A9858">
        <v>92102</v>
      </c>
      <c r="B9858" t="s">
        <v>954</v>
      </c>
      <c r="C9858" t="s">
        <v>588</v>
      </c>
      <c r="D9858" s="254">
        <v>6.52</v>
      </c>
      <c r="E9858"/>
      <c r="F9858"/>
      <c r="G9858"/>
      <c r="H9858"/>
      <c r="I9858" s="489"/>
      <c r="J9858" s="1362"/>
      <c r="K9858" s="1362"/>
      <c r="L9858" s="1362"/>
    </row>
    <row r="9859" spans="1:12" x14ac:dyDescent="0.25">
      <c r="A9859">
        <v>92103</v>
      </c>
      <c r="B9859" t="s">
        <v>955</v>
      </c>
      <c r="C9859" t="s">
        <v>588</v>
      </c>
      <c r="D9859" s="254">
        <v>5.22</v>
      </c>
      <c r="E9859"/>
      <c r="F9859"/>
      <c r="G9859"/>
      <c r="H9859"/>
      <c r="I9859" s="489"/>
      <c r="J9859" s="1362"/>
      <c r="K9859" s="1362"/>
      <c r="L9859" s="1362"/>
    </row>
    <row r="9860" spans="1:12" x14ac:dyDescent="0.25">
      <c r="A9860">
        <v>92104</v>
      </c>
      <c r="B9860" t="s">
        <v>956</v>
      </c>
      <c r="C9860" t="s">
        <v>588</v>
      </c>
      <c r="D9860" s="254">
        <v>65.09</v>
      </c>
      <c r="E9860"/>
      <c r="F9860"/>
      <c r="G9860"/>
      <c r="H9860"/>
      <c r="I9860" s="489"/>
      <c r="J9860" s="1362"/>
      <c r="K9860" s="1362"/>
      <c r="L9860" s="1362"/>
    </row>
    <row r="9861" spans="1:12" x14ac:dyDescent="0.25">
      <c r="A9861">
        <v>92105</v>
      </c>
      <c r="B9861" t="s">
        <v>3137</v>
      </c>
      <c r="C9861" t="s">
        <v>588</v>
      </c>
      <c r="D9861" s="254">
        <v>217.4</v>
      </c>
      <c r="E9861"/>
      <c r="F9861"/>
      <c r="G9861"/>
      <c r="H9861"/>
      <c r="I9861" s="489"/>
      <c r="J9861" s="1362"/>
      <c r="K9861" s="1362"/>
      <c r="L9861" s="1362"/>
    </row>
    <row r="9862" spans="1:12" x14ac:dyDescent="0.25">
      <c r="A9862">
        <v>92108</v>
      </c>
      <c r="B9862" t="s">
        <v>957</v>
      </c>
      <c r="C9862" t="s">
        <v>588</v>
      </c>
      <c r="D9862" s="254">
        <v>0.91</v>
      </c>
      <c r="E9862"/>
      <c r="F9862"/>
      <c r="G9862"/>
      <c r="H9862"/>
      <c r="I9862" s="489"/>
      <c r="J9862" s="1362"/>
      <c r="K9862" s="1362"/>
      <c r="L9862" s="1362"/>
    </row>
    <row r="9863" spans="1:12" x14ac:dyDescent="0.25">
      <c r="A9863">
        <v>92109</v>
      </c>
      <c r="B9863" t="s">
        <v>958</v>
      </c>
      <c r="C9863" t="s">
        <v>588</v>
      </c>
      <c r="D9863" s="254">
        <v>0.1</v>
      </c>
      <c r="E9863"/>
      <c r="F9863"/>
      <c r="G9863"/>
      <c r="H9863"/>
      <c r="I9863" s="489"/>
      <c r="J9863" s="1362"/>
      <c r="K9863" s="1362"/>
      <c r="L9863" s="1362"/>
    </row>
    <row r="9864" spans="1:12" x14ac:dyDescent="0.25">
      <c r="A9864">
        <v>92110</v>
      </c>
      <c r="B9864" t="s">
        <v>959</v>
      </c>
      <c r="C9864" t="s">
        <v>588</v>
      </c>
      <c r="D9864" s="254">
        <v>1.1399999999999999</v>
      </c>
      <c r="E9864"/>
      <c r="F9864"/>
      <c r="G9864"/>
      <c r="H9864"/>
      <c r="I9864" s="489"/>
      <c r="J9864" s="1362"/>
      <c r="K9864" s="1362"/>
      <c r="L9864" s="1362"/>
    </row>
    <row r="9865" spans="1:12" x14ac:dyDescent="0.25">
      <c r="A9865">
        <v>92111</v>
      </c>
      <c r="B9865" t="s">
        <v>960</v>
      </c>
      <c r="C9865" t="s">
        <v>588</v>
      </c>
      <c r="D9865" s="254">
        <v>0.88</v>
      </c>
      <c r="E9865"/>
      <c r="F9865"/>
      <c r="G9865"/>
      <c r="H9865"/>
      <c r="I9865" s="489"/>
      <c r="J9865" s="1362"/>
      <c r="K9865" s="1362"/>
      <c r="L9865" s="1362"/>
    </row>
    <row r="9866" spans="1:12" x14ac:dyDescent="0.25">
      <c r="A9866">
        <v>92114</v>
      </c>
      <c r="B9866" t="s">
        <v>961</v>
      </c>
      <c r="C9866" t="s">
        <v>588</v>
      </c>
      <c r="D9866" s="254">
        <v>0.23</v>
      </c>
      <c r="E9866"/>
      <c r="F9866"/>
      <c r="G9866"/>
      <c r="H9866"/>
      <c r="I9866" s="489"/>
      <c r="J9866" s="1362"/>
      <c r="K9866" s="1362"/>
      <c r="L9866" s="1362"/>
    </row>
    <row r="9867" spans="1:12" x14ac:dyDescent="0.25">
      <c r="A9867">
        <v>92115</v>
      </c>
      <c r="B9867" t="s">
        <v>962</v>
      </c>
      <c r="C9867" t="s">
        <v>588</v>
      </c>
      <c r="D9867" s="254">
        <v>0.02</v>
      </c>
      <c r="E9867"/>
      <c r="F9867"/>
      <c r="G9867"/>
      <c r="H9867"/>
      <c r="I9867" s="489"/>
      <c r="J9867" s="1362"/>
      <c r="K9867" s="1362"/>
      <c r="L9867" s="1362"/>
    </row>
    <row r="9868" spans="1:12" x14ac:dyDescent="0.25">
      <c r="A9868">
        <v>92116</v>
      </c>
      <c r="B9868" t="s">
        <v>963</v>
      </c>
      <c r="C9868" t="s">
        <v>588</v>
      </c>
      <c r="D9868" s="254">
        <v>0.16</v>
      </c>
      <c r="E9868"/>
      <c r="F9868"/>
      <c r="G9868"/>
      <c r="H9868"/>
      <c r="I9868" s="489"/>
      <c r="J9868" s="1362"/>
      <c r="K9868" s="1362"/>
      <c r="L9868" s="1362"/>
    </row>
    <row r="9869" spans="1:12" x14ac:dyDescent="0.25">
      <c r="A9869">
        <v>92133</v>
      </c>
      <c r="B9869" t="s">
        <v>964</v>
      </c>
      <c r="C9869" t="s">
        <v>588</v>
      </c>
      <c r="D9869" s="254">
        <v>12.77</v>
      </c>
      <c r="E9869"/>
      <c r="F9869"/>
      <c r="G9869"/>
      <c r="H9869"/>
      <c r="I9869" s="489"/>
      <c r="J9869" s="1362"/>
      <c r="K9869" s="1362"/>
      <c r="L9869" s="1362"/>
    </row>
    <row r="9870" spans="1:12" x14ac:dyDescent="0.25">
      <c r="A9870">
        <v>92134</v>
      </c>
      <c r="B9870" t="s">
        <v>965</v>
      </c>
      <c r="C9870" t="s">
        <v>588</v>
      </c>
      <c r="D9870" s="254">
        <v>2.02</v>
      </c>
      <c r="E9870"/>
      <c r="F9870"/>
      <c r="G9870"/>
      <c r="H9870"/>
      <c r="I9870" s="489"/>
      <c r="J9870" s="1362"/>
      <c r="K9870" s="1362"/>
      <c r="L9870" s="1362"/>
    </row>
    <row r="9871" spans="1:12" x14ac:dyDescent="0.25">
      <c r="A9871">
        <v>92135</v>
      </c>
      <c r="B9871" t="s">
        <v>966</v>
      </c>
      <c r="C9871" t="s">
        <v>588</v>
      </c>
      <c r="D9871" s="254">
        <v>1.59</v>
      </c>
      <c r="E9871"/>
      <c r="F9871"/>
      <c r="G9871"/>
      <c r="H9871"/>
      <c r="I9871" s="489"/>
      <c r="J9871" s="1362"/>
      <c r="K9871" s="1362"/>
      <c r="L9871" s="1362"/>
    </row>
    <row r="9872" spans="1:12" x14ac:dyDescent="0.25">
      <c r="A9872">
        <v>92136</v>
      </c>
      <c r="B9872" t="s">
        <v>967</v>
      </c>
      <c r="C9872" t="s">
        <v>588</v>
      </c>
      <c r="D9872" s="254">
        <v>15.96</v>
      </c>
      <c r="E9872"/>
      <c r="F9872"/>
      <c r="G9872"/>
      <c r="H9872"/>
      <c r="I9872" s="489"/>
      <c r="J9872" s="1362"/>
      <c r="K9872" s="1362"/>
      <c r="L9872" s="1362"/>
    </row>
    <row r="9873" spans="1:12" x14ac:dyDescent="0.25">
      <c r="A9873">
        <v>92137</v>
      </c>
      <c r="B9873" t="s">
        <v>968</v>
      </c>
      <c r="C9873" t="s">
        <v>588</v>
      </c>
      <c r="D9873" s="254">
        <v>39.81</v>
      </c>
      <c r="E9873"/>
      <c r="F9873"/>
      <c r="G9873"/>
      <c r="H9873"/>
      <c r="I9873" s="489"/>
      <c r="J9873" s="1362"/>
      <c r="K9873" s="1362"/>
      <c r="L9873" s="1362"/>
    </row>
    <row r="9874" spans="1:12" x14ac:dyDescent="0.25">
      <c r="A9874">
        <v>92140</v>
      </c>
      <c r="B9874" t="s">
        <v>969</v>
      </c>
      <c r="C9874" t="s">
        <v>588</v>
      </c>
      <c r="D9874" s="254">
        <v>4.67</v>
      </c>
      <c r="E9874"/>
      <c r="F9874"/>
      <c r="G9874"/>
      <c r="H9874"/>
      <c r="I9874" s="489"/>
      <c r="J9874" s="1362"/>
      <c r="K9874" s="1362"/>
      <c r="L9874" s="1362"/>
    </row>
    <row r="9875" spans="1:12" x14ac:dyDescent="0.25">
      <c r="A9875">
        <v>92141</v>
      </c>
      <c r="B9875" t="s">
        <v>970</v>
      </c>
      <c r="C9875" t="s">
        <v>588</v>
      </c>
      <c r="D9875" s="254">
        <v>0.74</v>
      </c>
      <c r="E9875"/>
      <c r="F9875"/>
      <c r="G9875"/>
      <c r="H9875"/>
      <c r="I9875" s="489"/>
      <c r="J9875" s="1362"/>
      <c r="K9875" s="1362"/>
      <c r="L9875" s="1362"/>
    </row>
    <row r="9876" spans="1:12" x14ac:dyDescent="0.25">
      <c r="A9876">
        <v>92142</v>
      </c>
      <c r="B9876" t="s">
        <v>971</v>
      </c>
      <c r="C9876" t="s">
        <v>588</v>
      </c>
      <c r="D9876" s="254">
        <v>0.57999999999999996</v>
      </c>
      <c r="E9876"/>
      <c r="F9876"/>
      <c r="G9876"/>
      <c r="H9876"/>
      <c r="I9876" s="489"/>
      <c r="J9876" s="1362"/>
      <c r="K9876" s="1362"/>
      <c r="L9876" s="1362"/>
    </row>
    <row r="9877" spans="1:12" x14ac:dyDescent="0.25">
      <c r="A9877">
        <v>92143</v>
      </c>
      <c r="B9877" t="s">
        <v>972</v>
      </c>
      <c r="C9877" t="s">
        <v>588</v>
      </c>
      <c r="D9877" s="254">
        <v>5.84</v>
      </c>
      <c r="E9877"/>
      <c r="F9877"/>
      <c r="G9877"/>
      <c r="H9877"/>
      <c r="I9877" s="489"/>
      <c r="J9877" s="1362"/>
      <c r="K9877" s="1362"/>
      <c r="L9877" s="1362"/>
    </row>
    <row r="9878" spans="1:12" x14ac:dyDescent="0.25">
      <c r="A9878">
        <v>92144</v>
      </c>
      <c r="B9878" t="s">
        <v>973</v>
      </c>
      <c r="C9878" t="s">
        <v>588</v>
      </c>
      <c r="D9878" s="254">
        <v>33.24</v>
      </c>
      <c r="E9878"/>
      <c r="F9878"/>
      <c r="G9878"/>
      <c r="H9878"/>
      <c r="I9878" s="489"/>
      <c r="J9878" s="1362"/>
      <c r="K9878" s="1362"/>
      <c r="L9878" s="1362"/>
    </row>
    <row r="9879" spans="1:12" x14ac:dyDescent="0.25">
      <c r="A9879">
        <v>92237</v>
      </c>
      <c r="B9879" t="s">
        <v>974</v>
      </c>
      <c r="C9879" t="s">
        <v>588</v>
      </c>
      <c r="D9879" s="254">
        <v>23.76</v>
      </c>
      <c r="E9879"/>
      <c r="F9879"/>
      <c r="G9879"/>
      <c r="H9879"/>
      <c r="I9879" s="489"/>
      <c r="J9879" s="1362"/>
      <c r="K9879" s="1362"/>
      <c r="L9879" s="1362"/>
    </row>
    <row r="9880" spans="1:12" x14ac:dyDescent="0.25">
      <c r="A9880">
        <v>92238</v>
      </c>
      <c r="B9880" t="s">
        <v>975</v>
      </c>
      <c r="C9880" t="s">
        <v>588</v>
      </c>
      <c r="D9880" s="254">
        <v>4.83</v>
      </c>
      <c r="E9880"/>
      <c r="F9880"/>
      <c r="G9880"/>
      <c r="H9880"/>
      <c r="I9880" s="489"/>
      <c r="J9880" s="1362"/>
      <c r="K9880" s="1362"/>
      <c r="L9880" s="1362"/>
    </row>
    <row r="9881" spans="1:12" x14ac:dyDescent="0.25">
      <c r="A9881">
        <v>92239</v>
      </c>
      <c r="B9881" t="s">
        <v>976</v>
      </c>
      <c r="C9881" t="s">
        <v>588</v>
      </c>
      <c r="D9881" s="254">
        <v>3.83</v>
      </c>
      <c r="E9881"/>
      <c r="F9881"/>
      <c r="G9881"/>
      <c r="H9881"/>
      <c r="I9881" s="489"/>
      <c r="J9881" s="1362"/>
      <c r="K9881" s="1362"/>
      <c r="L9881" s="1362"/>
    </row>
    <row r="9882" spans="1:12" x14ac:dyDescent="0.25">
      <c r="A9882">
        <v>92240</v>
      </c>
      <c r="B9882" t="s">
        <v>977</v>
      </c>
      <c r="C9882" t="s">
        <v>588</v>
      </c>
      <c r="D9882" s="254">
        <v>41.95</v>
      </c>
      <c r="E9882"/>
      <c r="F9882"/>
      <c r="G9882"/>
      <c r="H9882"/>
      <c r="I9882" s="489"/>
      <c r="J9882" s="1362"/>
      <c r="K9882" s="1362"/>
      <c r="L9882" s="1362"/>
    </row>
    <row r="9883" spans="1:12" x14ac:dyDescent="0.25">
      <c r="A9883">
        <v>92241</v>
      </c>
      <c r="B9883" t="s">
        <v>978</v>
      </c>
      <c r="C9883" t="s">
        <v>588</v>
      </c>
      <c r="D9883" s="254">
        <v>311.97000000000003</v>
      </c>
      <c r="E9883"/>
      <c r="F9883"/>
      <c r="G9883"/>
      <c r="H9883"/>
      <c r="I9883" s="489"/>
      <c r="J9883" s="1362"/>
      <c r="K9883" s="1362"/>
      <c r="L9883" s="1362"/>
    </row>
    <row r="9884" spans="1:12" x14ac:dyDescent="0.25">
      <c r="A9884">
        <v>92712</v>
      </c>
      <c r="B9884" t="s">
        <v>979</v>
      </c>
      <c r="C9884" t="s">
        <v>588</v>
      </c>
      <c r="D9884" s="254">
        <v>0.25</v>
      </c>
      <c r="E9884"/>
      <c r="F9884"/>
      <c r="G9884"/>
      <c r="H9884"/>
      <c r="I9884" s="489"/>
      <c r="J9884" s="1362"/>
      <c r="K9884" s="1362"/>
      <c r="L9884" s="1362"/>
    </row>
    <row r="9885" spans="1:12" x14ac:dyDescent="0.25">
      <c r="A9885">
        <v>92713</v>
      </c>
      <c r="B9885" t="s">
        <v>980</v>
      </c>
      <c r="C9885" t="s">
        <v>588</v>
      </c>
      <c r="D9885" s="254">
        <v>0.02</v>
      </c>
      <c r="E9885"/>
      <c r="F9885"/>
      <c r="G9885"/>
      <c r="H9885"/>
      <c r="I9885" s="489"/>
      <c r="J9885" s="1362"/>
      <c r="K9885" s="1362"/>
      <c r="L9885" s="1362"/>
    </row>
    <row r="9886" spans="1:12" x14ac:dyDescent="0.25">
      <c r="A9886">
        <v>92714</v>
      </c>
      <c r="B9886" t="s">
        <v>981</v>
      </c>
      <c r="C9886" t="s">
        <v>588</v>
      </c>
      <c r="D9886" s="254">
        <v>0.31</v>
      </c>
      <c r="E9886"/>
      <c r="F9886"/>
      <c r="G9886"/>
      <c r="H9886"/>
      <c r="I9886" s="489"/>
      <c r="J9886" s="1362"/>
      <c r="K9886" s="1362"/>
      <c r="L9886" s="1362"/>
    </row>
    <row r="9887" spans="1:12" x14ac:dyDescent="0.25">
      <c r="A9887">
        <v>92715</v>
      </c>
      <c r="B9887" t="s">
        <v>982</v>
      </c>
      <c r="C9887" t="s">
        <v>588</v>
      </c>
      <c r="D9887" s="254">
        <v>61.95</v>
      </c>
      <c r="E9887"/>
      <c r="F9887"/>
      <c r="G9887"/>
      <c r="H9887"/>
      <c r="I9887" s="489"/>
      <c r="J9887" s="1362"/>
      <c r="K9887" s="1362"/>
      <c r="L9887" s="1362"/>
    </row>
    <row r="9888" spans="1:12" x14ac:dyDescent="0.25">
      <c r="A9888">
        <v>92956</v>
      </c>
      <c r="B9888" t="s">
        <v>983</v>
      </c>
      <c r="C9888" t="s">
        <v>588</v>
      </c>
      <c r="D9888" s="254">
        <v>4.0199999999999996</v>
      </c>
      <c r="E9888"/>
      <c r="F9888"/>
      <c r="G9888"/>
      <c r="H9888"/>
      <c r="I9888" s="489"/>
      <c r="J9888" s="1362"/>
      <c r="K9888" s="1362"/>
      <c r="L9888" s="1362"/>
    </row>
    <row r="9889" spans="1:12" x14ac:dyDescent="0.25">
      <c r="A9889">
        <v>92957</v>
      </c>
      <c r="B9889" t="s">
        <v>984</v>
      </c>
      <c r="C9889" t="s">
        <v>588</v>
      </c>
      <c r="D9889" s="254">
        <v>0.47</v>
      </c>
      <c r="E9889"/>
      <c r="F9889"/>
      <c r="G9889"/>
      <c r="H9889"/>
      <c r="I9889" s="489"/>
      <c r="J9889" s="1362"/>
      <c r="K9889" s="1362"/>
      <c r="L9889" s="1362"/>
    </row>
    <row r="9890" spans="1:12" x14ac:dyDescent="0.25">
      <c r="A9890">
        <v>92958</v>
      </c>
      <c r="B9890" t="s">
        <v>985</v>
      </c>
      <c r="C9890" t="s">
        <v>588</v>
      </c>
      <c r="D9890" s="254">
        <v>4.3899999999999997</v>
      </c>
      <c r="E9890"/>
      <c r="F9890"/>
      <c r="G9890"/>
      <c r="H9890"/>
      <c r="I9890" s="489"/>
      <c r="J9890" s="1362"/>
      <c r="K9890" s="1362"/>
      <c r="L9890" s="1362"/>
    </row>
    <row r="9891" spans="1:12" x14ac:dyDescent="0.25">
      <c r="A9891">
        <v>92959</v>
      </c>
      <c r="B9891" t="s">
        <v>986</v>
      </c>
      <c r="C9891" t="s">
        <v>588</v>
      </c>
      <c r="D9891" s="254">
        <v>10.47</v>
      </c>
      <c r="E9891"/>
      <c r="F9891"/>
      <c r="G9891"/>
      <c r="H9891"/>
      <c r="I9891" s="489"/>
      <c r="J9891" s="1362"/>
      <c r="K9891" s="1362"/>
      <c r="L9891" s="1362"/>
    </row>
    <row r="9892" spans="1:12" x14ac:dyDescent="0.25">
      <c r="A9892">
        <v>92963</v>
      </c>
      <c r="B9892" t="s">
        <v>987</v>
      </c>
      <c r="C9892" t="s">
        <v>588</v>
      </c>
      <c r="D9892" s="254">
        <v>1.2</v>
      </c>
      <c r="E9892"/>
      <c r="F9892"/>
      <c r="G9892"/>
      <c r="H9892"/>
      <c r="I9892" s="489"/>
      <c r="J9892" s="1362"/>
      <c r="K9892" s="1362"/>
      <c r="L9892" s="1362"/>
    </row>
    <row r="9893" spans="1:12" x14ac:dyDescent="0.25">
      <c r="A9893">
        <v>92964</v>
      </c>
      <c r="B9893" t="s">
        <v>988</v>
      </c>
      <c r="C9893" t="s">
        <v>588</v>
      </c>
      <c r="D9893" s="254">
        <v>0.14000000000000001</v>
      </c>
      <c r="E9893"/>
      <c r="F9893"/>
      <c r="G9893"/>
      <c r="H9893"/>
      <c r="I9893" s="489"/>
      <c r="J9893" s="1362"/>
      <c r="K9893" s="1362"/>
      <c r="L9893" s="1362"/>
    </row>
    <row r="9894" spans="1:12" x14ac:dyDescent="0.25">
      <c r="A9894">
        <v>92965</v>
      </c>
      <c r="B9894" t="s">
        <v>989</v>
      </c>
      <c r="C9894" t="s">
        <v>588</v>
      </c>
      <c r="D9894" s="254">
        <v>1.51</v>
      </c>
      <c r="E9894"/>
      <c r="F9894"/>
      <c r="G9894"/>
      <c r="H9894"/>
      <c r="I9894" s="489"/>
      <c r="J9894" s="1362"/>
      <c r="K9894" s="1362"/>
      <c r="L9894" s="1362"/>
    </row>
    <row r="9895" spans="1:12" x14ac:dyDescent="0.25">
      <c r="A9895">
        <v>93220</v>
      </c>
      <c r="B9895" t="s">
        <v>990</v>
      </c>
      <c r="C9895" t="s">
        <v>588</v>
      </c>
      <c r="D9895" s="254">
        <v>351.67</v>
      </c>
      <c r="E9895"/>
      <c r="F9895"/>
      <c r="G9895"/>
      <c r="H9895"/>
      <c r="I9895" s="489"/>
      <c r="J9895" s="1362"/>
      <c r="K9895" s="1362"/>
      <c r="L9895" s="1362"/>
    </row>
    <row r="9896" spans="1:12" x14ac:dyDescent="0.25">
      <c r="A9896">
        <v>93221</v>
      </c>
      <c r="B9896" t="s">
        <v>991</v>
      </c>
      <c r="C9896" t="s">
        <v>588</v>
      </c>
      <c r="D9896" s="254">
        <v>48.82</v>
      </c>
      <c r="E9896"/>
      <c r="F9896"/>
      <c r="G9896"/>
      <c r="H9896"/>
      <c r="I9896" s="489"/>
      <c r="J9896" s="1362"/>
      <c r="K9896" s="1362"/>
      <c r="L9896" s="1362"/>
    </row>
    <row r="9897" spans="1:12" x14ac:dyDescent="0.25">
      <c r="A9897">
        <v>93222</v>
      </c>
      <c r="B9897" t="s">
        <v>992</v>
      </c>
      <c r="C9897" t="s">
        <v>588</v>
      </c>
      <c r="D9897" s="254">
        <v>440.08</v>
      </c>
      <c r="E9897"/>
      <c r="F9897"/>
      <c r="G9897"/>
      <c r="H9897"/>
      <c r="I9897" s="489"/>
      <c r="J9897" s="1362"/>
      <c r="K9897" s="1362"/>
      <c r="L9897" s="1362"/>
    </row>
    <row r="9898" spans="1:12" x14ac:dyDescent="0.25">
      <c r="A9898">
        <v>93223</v>
      </c>
      <c r="B9898" t="s">
        <v>993</v>
      </c>
      <c r="C9898" t="s">
        <v>588</v>
      </c>
      <c r="D9898" s="254">
        <v>176.5</v>
      </c>
      <c r="E9898"/>
      <c r="F9898"/>
      <c r="G9898"/>
      <c r="H9898"/>
      <c r="I9898" s="489"/>
      <c r="J9898" s="1362"/>
      <c r="K9898" s="1362"/>
      <c r="L9898" s="1362"/>
    </row>
    <row r="9899" spans="1:12" x14ac:dyDescent="0.25">
      <c r="A9899">
        <v>93229</v>
      </c>
      <c r="B9899" t="s">
        <v>7341</v>
      </c>
      <c r="C9899" t="s">
        <v>588</v>
      </c>
      <c r="D9899" s="254">
        <v>0.39</v>
      </c>
      <c r="E9899"/>
      <c r="F9899"/>
      <c r="G9899"/>
      <c r="H9899"/>
      <c r="I9899" s="489"/>
      <c r="J9899" s="1362"/>
      <c r="K9899" s="1362"/>
      <c r="L9899" s="1362"/>
    </row>
    <row r="9900" spans="1:12" x14ac:dyDescent="0.25">
      <c r="A9900">
        <v>93230</v>
      </c>
      <c r="B9900" t="s">
        <v>7342</v>
      </c>
      <c r="C9900" t="s">
        <v>588</v>
      </c>
      <c r="D9900" s="254">
        <v>0.04</v>
      </c>
      <c r="E9900"/>
      <c r="F9900"/>
      <c r="G9900"/>
      <c r="H9900"/>
      <c r="I9900" s="489"/>
      <c r="J9900" s="1362"/>
      <c r="K9900" s="1362"/>
      <c r="L9900" s="1362"/>
    </row>
    <row r="9901" spans="1:12" x14ac:dyDescent="0.25">
      <c r="A9901">
        <v>93231</v>
      </c>
      <c r="B9901" t="s">
        <v>7343</v>
      </c>
      <c r="C9901" t="s">
        <v>588</v>
      </c>
      <c r="D9901" s="254">
        <v>0.48</v>
      </c>
      <c r="E9901"/>
      <c r="F9901"/>
      <c r="G9901"/>
      <c r="H9901"/>
      <c r="I9901" s="489"/>
      <c r="J9901" s="1362"/>
      <c r="K9901" s="1362"/>
      <c r="L9901" s="1362"/>
    </row>
    <row r="9902" spans="1:12" x14ac:dyDescent="0.25">
      <c r="A9902">
        <v>93232</v>
      </c>
      <c r="B9902" t="s">
        <v>7344</v>
      </c>
      <c r="C9902" t="s">
        <v>588</v>
      </c>
      <c r="D9902" s="254">
        <v>3.82</v>
      </c>
      <c r="E9902"/>
      <c r="F9902"/>
      <c r="G9902"/>
      <c r="H9902"/>
      <c r="I9902" s="489"/>
      <c r="J9902" s="1362"/>
      <c r="K9902" s="1362"/>
      <c r="L9902" s="1362"/>
    </row>
    <row r="9903" spans="1:12" x14ac:dyDescent="0.25">
      <c r="A9903">
        <v>93235</v>
      </c>
      <c r="B9903" t="s">
        <v>994</v>
      </c>
      <c r="C9903" t="s">
        <v>588</v>
      </c>
      <c r="D9903" s="254">
        <v>1.19</v>
      </c>
      <c r="E9903"/>
      <c r="F9903"/>
      <c r="G9903"/>
      <c r="H9903"/>
      <c r="I9903" s="489"/>
      <c r="J9903" s="1362"/>
      <c r="K9903" s="1362"/>
      <c r="L9903" s="1362"/>
    </row>
    <row r="9904" spans="1:12" x14ac:dyDescent="0.25">
      <c r="A9904">
        <v>93238</v>
      </c>
      <c r="B9904" t="s">
        <v>995</v>
      </c>
      <c r="C9904" t="s">
        <v>588</v>
      </c>
      <c r="D9904" s="254">
        <v>0.96</v>
      </c>
      <c r="E9904"/>
      <c r="F9904"/>
      <c r="G9904"/>
      <c r="H9904"/>
      <c r="I9904" s="489"/>
      <c r="J9904" s="1362"/>
      <c r="K9904" s="1362"/>
      <c r="L9904" s="1362"/>
    </row>
    <row r="9905" spans="1:12" x14ac:dyDescent="0.25">
      <c r="A9905">
        <v>93239</v>
      </c>
      <c r="B9905" t="s">
        <v>996</v>
      </c>
      <c r="C9905" t="s">
        <v>588</v>
      </c>
      <c r="D9905" s="254">
        <v>4.37</v>
      </c>
      <c r="E9905"/>
      <c r="F9905"/>
      <c r="G9905"/>
      <c r="H9905"/>
      <c r="I9905" s="489"/>
      <c r="J9905" s="1362"/>
      <c r="K9905" s="1362"/>
      <c r="L9905" s="1362"/>
    </row>
    <row r="9906" spans="1:12" x14ac:dyDescent="0.25">
      <c r="A9906">
        <v>93240</v>
      </c>
      <c r="B9906" t="s">
        <v>997</v>
      </c>
      <c r="C9906" t="s">
        <v>588</v>
      </c>
      <c r="D9906" s="254">
        <v>13.52</v>
      </c>
      <c r="E9906"/>
      <c r="F9906"/>
      <c r="G9906"/>
      <c r="H9906"/>
      <c r="I9906" s="489"/>
      <c r="J9906" s="1362"/>
      <c r="K9906" s="1362"/>
      <c r="L9906" s="1362"/>
    </row>
    <row r="9907" spans="1:12" x14ac:dyDescent="0.25">
      <c r="A9907">
        <v>93267</v>
      </c>
      <c r="B9907" t="s">
        <v>998</v>
      </c>
      <c r="C9907" t="s">
        <v>588</v>
      </c>
      <c r="D9907" s="254">
        <v>25.6</v>
      </c>
      <c r="E9907"/>
      <c r="F9907"/>
      <c r="G9907"/>
      <c r="H9907"/>
      <c r="I9907" s="489"/>
      <c r="J9907" s="1362"/>
      <c r="K9907" s="1362"/>
      <c r="L9907" s="1362"/>
    </row>
    <row r="9908" spans="1:12" x14ac:dyDescent="0.25">
      <c r="A9908">
        <v>93269</v>
      </c>
      <c r="B9908" t="s">
        <v>999</v>
      </c>
      <c r="C9908" t="s">
        <v>588</v>
      </c>
      <c r="D9908" s="254">
        <v>4.9000000000000004</v>
      </c>
      <c r="E9908"/>
      <c r="F9908"/>
      <c r="G9908"/>
      <c r="H9908"/>
      <c r="I9908" s="489"/>
      <c r="J9908" s="1362"/>
      <c r="K9908" s="1362"/>
      <c r="L9908" s="1362"/>
    </row>
    <row r="9909" spans="1:12" x14ac:dyDescent="0.25">
      <c r="A9909">
        <v>93270</v>
      </c>
      <c r="B9909" t="s">
        <v>1000</v>
      </c>
      <c r="C9909" t="s">
        <v>588</v>
      </c>
      <c r="D9909" s="254">
        <v>24.88</v>
      </c>
      <c r="E9909"/>
      <c r="F9909"/>
      <c r="G9909"/>
      <c r="H9909"/>
      <c r="I9909" s="489"/>
      <c r="J9909" s="1362"/>
      <c r="K9909" s="1362"/>
      <c r="L9909" s="1362"/>
    </row>
    <row r="9910" spans="1:12" x14ac:dyDescent="0.25">
      <c r="A9910">
        <v>93271</v>
      </c>
      <c r="B9910" t="s">
        <v>1001</v>
      </c>
      <c r="C9910" t="s">
        <v>588</v>
      </c>
      <c r="D9910" s="254">
        <v>6.63</v>
      </c>
      <c r="E9910"/>
      <c r="F9910"/>
      <c r="G9910"/>
      <c r="H9910"/>
      <c r="I9910" s="489"/>
      <c r="J9910" s="1362"/>
      <c r="K9910" s="1362"/>
      <c r="L9910" s="1362"/>
    </row>
    <row r="9911" spans="1:12" x14ac:dyDescent="0.25">
      <c r="A9911">
        <v>93277</v>
      </c>
      <c r="B9911" t="s">
        <v>1002</v>
      </c>
      <c r="C9911" t="s">
        <v>588</v>
      </c>
      <c r="D9911" s="254">
        <v>0.32</v>
      </c>
      <c r="E9911"/>
      <c r="F9911"/>
      <c r="G9911"/>
      <c r="H9911"/>
      <c r="I9911" s="489"/>
      <c r="J9911" s="1362"/>
      <c r="K9911" s="1362"/>
      <c r="L9911" s="1362"/>
    </row>
    <row r="9912" spans="1:12" x14ac:dyDescent="0.25">
      <c r="A9912">
        <v>93278</v>
      </c>
      <c r="B9912" t="s">
        <v>1003</v>
      </c>
      <c r="C9912" t="s">
        <v>588</v>
      </c>
      <c r="D9912" s="254">
        <v>0.03</v>
      </c>
      <c r="E9912"/>
      <c r="F9912"/>
      <c r="G9912"/>
      <c r="H9912"/>
      <c r="I9912" s="489"/>
      <c r="J9912" s="1362"/>
      <c r="K9912" s="1362"/>
      <c r="L9912" s="1362"/>
    </row>
    <row r="9913" spans="1:12" x14ac:dyDescent="0.25">
      <c r="A9913">
        <v>93279</v>
      </c>
      <c r="B9913" t="s">
        <v>1004</v>
      </c>
      <c r="C9913" t="s">
        <v>588</v>
      </c>
      <c r="D9913" s="254">
        <v>0.3</v>
      </c>
      <c r="E9913"/>
      <c r="F9913"/>
      <c r="G9913"/>
      <c r="H9913"/>
      <c r="I9913" s="489"/>
      <c r="J9913" s="1362"/>
      <c r="K9913" s="1362"/>
      <c r="L9913" s="1362"/>
    </row>
    <row r="9914" spans="1:12" x14ac:dyDescent="0.25">
      <c r="A9914">
        <v>93280</v>
      </c>
      <c r="B9914" t="s">
        <v>1005</v>
      </c>
      <c r="C9914" t="s">
        <v>588</v>
      </c>
      <c r="D9914" s="254">
        <v>0.55000000000000004</v>
      </c>
      <c r="E9914"/>
      <c r="F9914"/>
      <c r="G9914"/>
      <c r="H9914"/>
      <c r="I9914" s="489"/>
      <c r="J9914" s="1362"/>
      <c r="K9914" s="1362"/>
      <c r="L9914" s="1362"/>
    </row>
    <row r="9915" spans="1:12" x14ac:dyDescent="0.25">
      <c r="A9915">
        <v>93283</v>
      </c>
      <c r="B9915" t="s">
        <v>1006</v>
      </c>
      <c r="C9915" t="s">
        <v>588</v>
      </c>
      <c r="D9915" s="254">
        <v>95.65</v>
      </c>
      <c r="E9915"/>
      <c r="F9915"/>
      <c r="G9915"/>
      <c r="H9915"/>
      <c r="I9915" s="489"/>
      <c r="J9915" s="1362"/>
      <c r="K9915" s="1362"/>
      <c r="L9915" s="1362"/>
    </row>
    <row r="9916" spans="1:12" x14ac:dyDescent="0.25">
      <c r="A9916">
        <v>93284</v>
      </c>
      <c r="B9916" t="s">
        <v>1007</v>
      </c>
      <c r="C9916" t="s">
        <v>588</v>
      </c>
      <c r="D9916" s="254">
        <v>17.21</v>
      </c>
      <c r="E9916"/>
      <c r="F9916"/>
      <c r="G9916"/>
      <c r="H9916"/>
      <c r="I9916" s="489"/>
      <c r="J9916" s="1362"/>
      <c r="K9916" s="1362"/>
      <c r="L9916" s="1362"/>
    </row>
    <row r="9917" spans="1:12" x14ac:dyDescent="0.25">
      <c r="A9917">
        <v>93285</v>
      </c>
      <c r="B9917" t="s">
        <v>1008</v>
      </c>
      <c r="C9917" t="s">
        <v>588</v>
      </c>
      <c r="D9917" s="254">
        <v>153.76</v>
      </c>
      <c r="E9917"/>
      <c r="F9917"/>
      <c r="G9917"/>
      <c r="H9917"/>
      <c r="I9917" s="489"/>
      <c r="J9917" s="1362"/>
      <c r="K9917" s="1362"/>
      <c r="L9917" s="1362"/>
    </row>
    <row r="9918" spans="1:12" x14ac:dyDescent="0.25">
      <c r="A9918">
        <v>93286</v>
      </c>
      <c r="B9918" t="s">
        <v>1009</v>
      </c>
      <c r="C9918" t="s">
        <v>588</v>
      </c>
      <c r="D9918" s="254">
        <v>9.23</v>
      </c>
      <c r="E9918"/>
      <c r="F9918"/>
      <c r="G9918"/>
      <c r="H9918"/>
      <c r="I9918" s="489"/>
      <c r="J9918" s="1362"/>
      <c r="K9918" s="1362"/>
      <c r="L9918" s="1362"/>
    </row>
    <row r="9919" spans="1:12" x14ac:dyDescent="0.25">
      <c r="A9919">
        <v>93296</v>
      </c>
      <c r="B9919" t="s">
        <v>1010</v>
      </c>
      <c r="C9919" t="s">
        <v>588</v>
      </c>
      <c r="D9919" s="254">
        <v>13.63</v>
      </c>
      <c r="E9919"/>
      <c r="F9919"/>
      <c r="G9919"/>
      <c r="H9919"/>
      <c r="I9919" s="489"/>
      <c r="J9919" s="1362"/>
      <c r="K9919" s="1362"/>
      <c r="L9919" s="1362"/>
    </row>
    <row r="9920" spans="1:12" x14ac:dyDescent="0.25">
      <c r="A9920">
        <v>93397</v>
      </c>
      <c r="B9920" t="s">
        <v>1011</v>
      </c>
      <c r="C9920" t="s">
        <v>588</v>
      </c>
      <c r="D9920" s="254">
        <v>22.55</v>
      </c>
      <c r="E9920"/>
      <c r="F9920"/>
      <c r="G9920"/>
      <c r="H9920"/>
      <c r="I9920" s="489"/>
      <c r="J9920" s="1362"/>
      <c r="K9920" s="1362"/>
      <c r="L9920" s="1362"/>
    </row>
    <row r="9921" spans="1:12" x14ac:dyDescent="0.25">
      <c r="A9921">
        <v>93398</v>
      </c>
      <c r="B9921" t="s">
        <v>1012</v>
      </c>
      <c r="C9921" t="s">
        <v>588</v>
      </c>
      <c r="D9921" s="254">
        <v>4.3099999999999996</v>
      </c>
      <c r="E9921"/>
      <c r="F9921"/>
      <c r="G9921"/>
      <c r="H9921"/>
      <c r="I9921" s="489"/>
      <c r="J9921" s="1362"/>
      <c r="K9921" s="1362"/>
      <c r="L9921" s="1362"/>
    </row>
    <row r="9922" spans="1:12" x14ac:dyDescent="0.25">
      <c r="A9922">
        <v>93399</v>
      </c>
      <c r="B9922" t="s">
        <v>1013</v>
      </c>
      <c r="C9922" t="s">
        <v>588</v>
      </c>
      <c r="D9922" s="254">
        <v>3.41</v>
      </c>
      <c r="E9922"/>
      <c r="F9922"/>
      <c r="G9922"/>
      <c r="H9922"/>
      <c r="I9922" s="489"/>
      <c r="J9922" s="1362"/>
      <c r="K9922" s="1362"/>
      <c r="L9922" s="1362"/>
    </row>
    <row r="9923" spans="1:12" x14ac:dyDescent="0.25">
      <c r="A9923">
        <v>93400</v>
      </c>
      <c r="B9923" t="s">
        <v>1014</v>
      </c>
      <c r="C9923" t="s">
        <v>588</v>
      </c>
      <c r="D9923" s="254">
        <v>38.9</v>
      </c>
      <c r="E9923"/>
      <c r="F9923"/>
      <c r="G9923"/>
      <c r="H9923"/>
      <c r="I9923" s="489"/>
      <c r="J9923" s="1362"/>
      <c r="K9923" s="1362"/>
      <c r="L9923" s="1362"/>
    </row>
    <row r="9924" spans="1:12" x14ac:dyDescent="0.25">
      <c r="A9924">
        <v>93401</v>
      </c>
      <c r="B9924" t="s">
        <v>1015</v>
      </c>
      <c r="C9924" t="s">
        <v>588</v>
      </c>
      <c r="D9924" s="254">
        <v>178.66</v>
      </c>
      <c r="E9924"/>
      <c r="F9924"/>
      <c r="G9924"/>
      <c r="H9924"/>
      <c r="I9924" s="489"/>
      <c r="J9924" s="1362"/>
      <c r="K9924" s="1362"/>
      <c r="L9924" s="1362"/>
    </row>
    <row r="9925" spans="1:12" x14ac:dyDescent="0.25">
      <c r="A9925">
        <v>93404</v>
      </c>
      <c r="B9925" t="s">
        <v>3939</v>
      </c>
      <c r="C9925" t="s">
        <v>588</v>
      </c>
      <c r="D9925" s="254">
        <v>7.24</v>
      </c>
      <c r="E9925"/>
      <c r="F9925"/>
      <c r="G9925"/>
      <c r="H9925"/>
      <c r="I9925" s="489"/>
      <c r="J9925" s="1362"/>
      <c r="K9925" s="1362"/>
      <c r="L9925" s="1362"/>
    </row>
    <row r="9926" spans="1:12" x14ac:dyDescent="0.25">
      <c r="A9926">
        <v>93405</v>
      </c>
      <c r="B9926" t="s">
        <v>3940</v>
      </c>
      <c r="C9926" t="s">
        <v>588</v>
      </c>
      <c r="D9926" s="254">
        <v>0.94</v>
      </c>
      <c r="E9926"/>
      <c r="F9926"/>
      <c r="G9926"/>
      <c r="H9926"/>
      <c r="I9926" s="489"/>
      <c r="J9926" s="1362"/>
      <c r="K9926" s="1362"/>
      <c r="L9926" s="1362"/>
    </row>
    <row r="9927" spans="1:12" x14ac:dyDescent="0.25">
      <c r="A9927">
        <v>93406</v>
      </c>
      <c r="B9927" t="s">
        <v>3941</v>
      </c>
      <c r="C9927" t="s">
        <v>588</v>
      </c>
      <c r="D9927" s="254">
        <v>8.68</v>
      </c>
      <c r="E9927"/>
      <c r="F9927"/>
      <c r="G9927"/>
      <c r="H9927"/>
      <c r="I9927" s="489"/>
      <c r="J9927" s="1362"/>
      <c r="K9927" s="1362"/>
      <c r="L9927" s="1362"/>
    </row>
    <row r="9928" spans="1:12" x14ac:dyDescent="0.25">
      <c r="A9928">
        <v>93407</v>
      </c>
      <c r="B9928" t="s">
        <v>3942</v>
      </c>
      <c r="C9928" t="s">
        <v>588</v>
      </c>
      <c r="D9928" s="254">
        <v>53.26</v>
      </c>
      <c r="E9928"/>
      <c r="F9928"/>
      <c r="G9928"/>
      <c r="H9928"/>
      <c r="I9928" s="489"/>
      <c r="J9928" s="1362"/>
      <c r="K9928" s="1362"/>
      <c r="L9928" s="1362"/>
    </row>
    <row r="9929" spans="1:12" x14ac:dyDescent="0.25">
      <c r="A9929">
        <v>93411</v>
      </c>
      <c r="B9929" t="s">
        <v>1016</v>
      </c>
      <c r="C9929" t="s">
        <v>588</v>
      </c>
      <c r="D9929" s="254">
        <v>0.31</v>
      </c>
      <c r="E9929"/>
      <c r="F9929"/>
      <c r="G9929"/>
      <c r="H9929"/>
      <c r="I9929" s="489"/>
      <c r="J9929" s="1362"/>
      <c r="K9929" s="1362"/>
      <c r="L9929" s="1362"/>
    </row>
    <row r="9930" spans="1:12" x14ac:dyDescent="0.25">
      <c r="A9930">
        <v>93412</v>
      </c>
      <c r="B9930" t="s">
        <v>1017</v>
      </c>
      <c r="C9930" t="s">
        <v>588</v>
      </c>
      <c r="D9930" s="254">
        <v>0.05</v>
      </c>
      <c r="E9930"/>
      <c r="F9930"/>
      <c r="G9930"/>
      <c r="H9930"/>
      <c r="I9930" s="489"/>
      <c r="J9930" s="1362"/>
      <c r="K9930" s="1362"/>
      <c r="L9930" s="1362"/>
    </row>
    <row r="9931" spans="1:12" x14ac:dyDescent="0.25">
      <c r="A9931">
        <v>93413</v>
      </c>
      <c r="B9931" t="s">
        <v>1018</v>
      </c>
      <c r="C9931" t="s">
        <v>588</v>
      </c>
      <c r="D9931" s="254">
        <v>0.28000000000000003</v>
      </c>
      <c r="E9931"/>
      <c r="F9931"/>
      <c r="G9931"/>
      <c r="H9931"/>
      <c r="I9931" s="489"/>
      <c r="J9931" s="1362"/>
      <c r="K9931" s="1362"/>
      <c r="L9931" s="1362"/>
    </row>
    <row r="9932" spans="1:12" x14ac:dyDescent="0.25">
      <c r="A9932">
        <v>93414</v>
      </c>
      <c r="B9932" t="s">
        <v>1019</v>
      </c>
      <c r="C9932" t="s">
        <v>588</v>
      </c>
      <c r="D9932" s="254">
        <v>12.37</v>
      </c>
      <c r="E9932"/>
      <c r="F9932"/>
      <c r="G9932"/>
      <c r="H9932"/>
      <c r="I9932" s="489"/>
      <c r="J9932" s="1362"/>
      <c r="K9932" s="1362"/>
      <c r="L9932" s="1362"/>
    </row>
    <row r="9933" spans="1:12" x14ac:dyDescent="0.25">
      <c r="A9933">
        <v>93417</v>
      </c>
      <c r="B9933" t="s">
        <v>1020</v>
      </c>
      <c r="C9933" t="s">
        <v>588</v>
      </c>
      <c r="D9933" s="254">
        <v>4.16</v>
      </c>
      <c r="E9933"/>
      <c r="F9933"/>
      <c r="G9933"/>
      <c r="H9933"/>
      <c r="I9933" s="489"/>
      <c r="J9933" s="1362"/>
      <c r="K9933" s="1362"/>
      <c r="L9933" s="1362"/>
    </row>
    <row r="9934" spans="1:12" x14ac:dyDescent="0.25">
      <c r="A9934">
        <v>93418</v>
      </c>
      <c r="B9934" t="s">
        <v>1021</v>
      </c>
      <c r="C9934" t="s">
        <v>588</v>
      </c>
      <c r="D9934" s="254">
        <v>0.74</v>
      </c>
      <c r="E9934"/>
      <c r="F9934"/>
      <c r="G9934"/>
      <c r="H9934"/>
      <c r="I9934" s="489"/>
      <c r="J9934" s="1362"/>
      <c r="K9934" s="1362"/>
      <c r="L9934" s="1362"/>
    </row>
    <row r="9935" spans="1:12" x14ac:dyDescent="0.25">
      <c r="A9935">
        <v>93419</v>
      </c>
      <c r="B9935" t="s">
        <v>1022</v>
      </c>
      <c r="C9935" t="s">
        <v>588</v>
      </c>
      <c r="D9935" s="254">
        <v>3.71</v>
      </c>
      <c r="E9935"/>
      <c r="F9935"/>
      <c r="G9935"/>
      <c r="H9935"/>
      <c r="I9935" s="489"/>
      <c r="J9935" s="1362"/>
      <c r="K9935" s="1362"/>
      <c r="L9935" s="1362"/>
    </row>
    <row r="9936" spans="1:12" x14ac:dyDescent="0.25">
      <c r="A9936">
        <v>93420</v>
      </c>
      <c r="B9936" t="s">
        <v>1023</v>
      </c>
      <c r="C9936" t="s">
        <v>588</v>
      </c>
      <c r="D9936" s="254">
        <v>75.77</v>
      </c>
      <c r="E9936"/>
      <c r="F9936"/>
      <c r="G9936"/>
      <c r="H9936"/>
      <c r="I9936" s="489"/>
      <c r="J9936" s="1362"/>
      <c r="K9936" s="1362"/>
      <c r="L9936" s="1362"/>
    </row>
    <row r="9937" spans="1:12" x14ac:dyDescent="0.25">
      <c r="A9937">
        <v>93423</v>
      </c>
      <c r="B9937" t="s">
        <v>1024</v>
      </c>
      <c r="C9937" t="s">
        <v>588</v>
      </c>
      <c r="D9937" s="254">
        <v>5.88</v>
      </c>
      <c r="E9937"/>
      <c r="F9937"/>
      <c r="G9937"/>
      <c r="H9937"/>
      <c r="I9937" s="489"/>
      <c r="J9937" s="1362"/>
      <c r="K9937" s="1362"/>
      <c r="L9937" s="1362"/>
    </row>
    <row r="9938" spans="1:12" x14ac:dyDescent="0.25">
      <c r="A9938">
        <v>93424</v>
      </c>
      <c r="B9938" t="s">
        <v>1025</v>
      </c>
      <c r="C9938" t="s">
        <v>588</v>
      </c>
      <c r="D9938" s="254">
        <v>1.06</v>
      </c>
      <c r="E9938"/>
      <c r="F9938"/>
      <c r="G9938"/>
      <c r="H9938"/>
      <c r="I9938" s="489"/>
      <c r="J9938" s="1362"/>
      <c r="K9938" s="1362"/>
      <c r="L9938" s="1362"/>
    </row>
    <row r="9939" spans="1:12" x14ac:dyDescent="0.25">
      <c r="A9939">
        <v>93425</v>
      </c>
      <c r="B9939" t="s">
        <v>1026</v>
      </c>
      <c r="C9939" t="s">
        <v>588</v>
      </c>
      <c r="D9939" s="254">
        <v>5.25</v>
      </c>
      <c r="E9939"/>
      <c r="F9939"/>
      <c r="G9939"/>
      <c r="H9939"/>
      <c r="I9939" s="489"/>
      <c r="J9939" s="1362"/>
      <c r="K9939" s="1362"/>
      <c r="L9939" s="1362"/>
    </row>
    <row r="9940" spans="1:12" x14ac:dyDescent="0.25">
      <c r="A9940">
        <v>93426</v>
      </c>
      <c r="B9940" t="s">
        <v>1027</v>
      </c>
      <c r="C9940" t="s">
        <v>588</v>
      </c>
      <c r="D9940" s="254">
        <v>181.1</v>
      </c>
      <c r="E9940"/>
      <c r="F9940"/>
      <c r="G9940"/>
      <c r="H9940"/>
      <c r="I9940" s="489"/>
      <c r="J9940" s="1362"/>
      <c r="K9940" s="1362"/>
      <c r="L9940" s="1362"/>
    </row>
    <row r="9941" spans="1:12" x14ac:dyDescent="0.25">
      <c r="A9941">
        <v>93429</v>
      </c>
      <c r="B9941" t="s">
        <v>1028</v>
      </c>
      <c r="C9941" t="s">
        <v>588</v>
      </c>
      <c r="D9941" s="254">
        <v>138.26</v>
      </c>
      <c r="E9941"/>
      <c r="F9941"/>
      <c r="G9941"/>
      <c r="H9941"/>
      <c r="I9941" s="489"/>
      <c r="J9941" s="1362"/>
      <c r="K9941" s="1362"/>
      <c r="L9941" s="1362"/>
    </row>
    <row r="9942" spans="1:12" x14ac:dyDescent="0.25">
      <c r="A9942">
        <v>93430</v>
      </c>
      <c r="B9942" t="s">
        <v>1029</v>
      </c>
      <c r="C9942" t="s">
        <v>588</v>
      </c>
      <c r="D9942" s="254">
        <v>21.78</v>
      </c>
      <c r="E9942"/>
      <c r="F9942"/>
      <c r="G9942"/>
      <c r="H9942"/>
      <c r="I9942" s="489"/>
      <c r="J9942" s="1362"/>
      <c r="K9942" s="1362"/>
      <c r="L9942" s="1362"/>
    </row>
    <row r="9943" spans="1:12" x14ac:dyDescent="0.25">
      <c r="A9943">
        <v>93431</v>
      </c>
      <c r="B9943" t="s">
        <v>1030</v>
      </c>
      <c r="C9943" t="s">
        <v>588</v>
      </c>
      <c r="D9943" s="254">
        <v>172.96</v>
      </c>
      <c r="E9943"/>
      <c r="F9943"/>
      <c r="G9943"/>
      <c r="H9943"/>
      <c r="I9943" s="489"/>
      <c r="J9943" s="1362"/>
      <c r="K9943" s="1362"/>
      <c r="L9943" s="1362"/>
    </row>
    <row r="9944" spans="1:12" x14ac:dyDescent="0.25">
      <c r="A9944">
        <v>93432</v>
      </c>
      <c r="B9944" t="s">
        <v>1031</v>
      </c>
      <c r="C9944" t="s">
        <v>588</v>
      </c>
      <c r="D9944" s="254">
        <v>2433.6</v>
      </c>
      <c r="E9944"/>
      <c r="F9944"/>
      <c r="G9944"/>
      <c r="H9944"/>
      <c r="I9944" s="489"/>
      <c r="J9944" s="1362"/>
      <c r="K9944" s="1362"/>
      <c r="L9944" s="1362"/>
    </row>
    <row r="9945" spans="1:12" x14ac:dyDescent="0.25">
      <c r="A9945">
        <v>93435</v>
      </c>
      <c r="B9945" t="s">
        <v>1032</v>
      </c>
      <c r="C9945" t="s">
        <v>588</v>
      </c>
      <c r="D9945" s="254">
        <v>7.76</v>
      </c>
      <c r="E9945"/>
      <c r="F9945"/>
      <c r="G9945"/>
      <c r="H9945"/>
      <c r="I9945" s="489"/>
      <c r="J9945" s="1362"/>
      <c r="K9945" s="1362"/>
      <c r="L9945" s="1362"/>
    </row>
    <row r="9946" spans="1:12" x14ac:dyDescent="0.25">
      <c r="A9946">
        <v>93436</v>
      </c>
      <c r="B9946" t="s">
        <v>1033</v>
      </c>
      <c r="C9946" t="s">
        <v>588</v>
      </c>
      <c r="D9946" s="254">
        <v>1.22</v>
      </c>
      <c r="E9946"/>
      <c r="F9946"/>
      <c r="G9946"/>
      <c r="H9946"/>
      <c r="I9946" s="489"/>
      <c r="J9946" s="1362"/>
      <c r="K9946" s="1362"/>
      <c r="L9946" s="1362"/>
    </row>
    <row r="9947" spans="1:12" x14ac:dyDescent="0.25">
      <c r="A9947">
        <v>93437</v>
      </c>
      <c r="B9947" t="s">
        <v>1034</v>
      </c>
      <c r="C9947" t="s">
        <v>588</v>
      </c>
      <c r="D9947" s="254">
        <v>8.49</v>
      </c>
      <c r="E9947"/>
      <c r="F9947"/>
      <c r="G9947"/>
      <c r="H9947"/>
      <c r="I9947" s="489"/>
      <c r="J9947" s="1362"/>
      <c r="K9947" s="1362"/>
      <c r="L9947" s="1362"/>
    </row>
    <row r="9948" spans="1:12" x14ac:dyDescent="0.25">
      <c r="A9948">
        <v>93438</v>
      </c>
      <c r="B9948" t="s">
        <v>1035</v>
      </c>
      <c r="C9948" t="s">
        <v>588</v>
      </c>
      <c r="D9948" s="254">
        <v>126.88</v>
      </c>
      <c r="E9948"/>
      <c r="F9948"/>
      <c r="G9948"/>
      <c r="H9948"/>
      <c r="I9948" s="489"/>
      <c r="J9948" s="1362"/>
      <c r="K9948" s="1362"/>
      <c r="L9948" s="1362"/>
    </row>
    <row r="9949" spans="1:12" x14ac:dyDescent="0.25">
      <c r="A9949">
        <v>95114</v>
      </c>
      <c r="B9949" t="s">
        <v>1036</v>
      </c>
      <c r="C9949" t="s">
        <v>588</v>
      </c>
      <c r="D9949" s="254">
        <v>1.17</v>
      </c>
      <c r="E9949"/>
      <c r="F9949"/>
      <c r="G9949"/>
      <c r="H9949"/>
      <c r="I9949" s="489"/>
      <c r="J9949" s="1362"/>
      <c r="K9949" s="1362"/>
      <c r="L9949" s="1362"/>
    </row>
    <row r="9950" spans="1:12" x14ac:dyDescent="0.25">
      <c r="A9950">
        <v>95115</v>
      </c>
      <c r="B9950" t="s">
        <v>1037</v>
      </c>
      <c r="C9950" t="s">
        <v>588</v>
      </c>
      <c r="D9950" s="254">
        <v>0.13</v>
      </c>
      <c r="E9950"/>
      <c r="F9950"/>
      <c r="G9950"/>
      <c r="H9950"/>
      <c r="I9950" s="489"/>
      <c r="J9950" s="1362"/>
      <c r="K9950" s="1362"/>
      <c r="L9950" s="1362"/>
    </row>
    <row r="9951" spans="1:12" x14ac:dyDescent="0.25">
      <c r="A9951">
        <v>95116</v>
      </c>
      <c r="B9951" t="s">
        <v>1038</v>
      </c>
      <c r="C9951" t="s">
        <v>588</v>
      </c>
      <c r="D9951" s="254">
        <v>31.99</v>
      </c>
      <c r="E9951"/>
      <c r="F9951"/>
      <c r="G9951"/>
      <c r="H9951"/>
      <c r="I9951" s="489"/>
      <c r="J9951" s="1362"/>
      <c r="K9951" s="1362"/>
      <c r="L9951" s="1362"/>
    </row>
    <row r="9952" spans="1:12" x14ac:dyDescent="0.25">
      <c r="A9952">
        <v>95117</v>
      </c>
      <c r="B9952" t="s">
        <v>1039</v>
      </c>
      <c r="C9952" t="s">
        <v>588</v>
      </c>
      <c r="D9952" s="254">
        <v>5.04</v>
      </c>
      <c r="E9952"/>
      <c r="F9952"/>
      <c r="G9952"/>
      <c r="H9952"/>
      <c r="I9952" s="489"/>
      <c r="J9952" s="1362"/>
      <c r="K9952" s="1362"/>
      <c r="L9952" s="1362"/>
    </row>
    <row r="9953" spans="1:12" x14ac:dyDescent="0.25">
      <c r="A9953">
        <v>95118</v>
      </c>
      <c r="B9953" t="s">
        <v>1040</v>
      </c>
      <c r="C9953" t="s">
        <v>588</v>
      </c>
      <c r="D9953" s="254">
        <v>63.41</v>
      </c>
      <c r="E9953"/>
      <c r="F9953"/>
      <c r="G9953"/>
      <c r="H9953"/>
      <c r="I9953" s="489"/>
      <c r="J9953" s="1362"/>
      <c r="K9953" s="1362"/>
      <c r="L9953" s="1362"/>
    </row>
    <row r="9954" spans="1:12" x14ac:dyDescent="0.25">
      <c r="A9954">
        <v>95119</v>
      </c>
      <c r="B9954" t="s">
        <v>1041</v>
      </c>
      <c r="C9954" t="s">
        <v>588</v>
      </c>
      <c r="D9954" s="254">
        <v>9.99</v>
      </c>
      <c r="E9954"/>
      <c r="F9954"/>
      <c r="G9954"/>
      <c r="H9954"/>
      <c r="I9954" s="489"/>
      <c r="J9954" s="1362"/>
      <c r="K9954" s="1362"/>
      <c r="L9954" s="1362"/>
    </row>
    <row r="9955" spans="1:12" x14ac:dyDescent="0.25">
      <c r="A9955">
        <v>95120</v>
      </c>
      <c r="B9955" t="s">
        <v>1042</v>
      </c>
      <c r="C9955" t="s">
        <v>588</v>
      </c>
      <c r="D9955" s="254">
        <v>45.26</v>
      </c>
      <c r="E9955"/>
      <c r="F9955"/>
      <c r="G9955"/>
      <c r="H9955"/>
      <c r="I9955" s="489"/>
      <c r="J9955" s="1362"/>
      <c r="K9955" s="1362"/>
      <c r="L9955" s="1362"/>
    </row>
    <row r="9956" spans="1:12" x14ac:dyDescent="0.25">
      <c r="A9956">
        <v>95123</v>
      </c>
      <c r="B9956" t="s">
        <v>1043</v>
      </c>
      <c r="C9956" t="s">
        <v>588</v>
      </c>
      <c r="D9956" s="254">
        <v>18.57</v>
      </c>
      <c r="E9956"/>
      <c r="F9956"/>
      <c r="G9956"/>
      <c r="H9956"/>
      <c r="I9956" s="489"/>
      <c r="J9956" s="1362"/>
      <c r="K9956" s="1362"/>
      <c r="L9956" s="1362"/>
    </row>
    <row r="9957" spans="1:12" x14ac:dyDescent="0.25">
      <c r="A9957">
        <v>95124</v>
      </c>
      <c r="B9957" t="s">
        <v>1044</v>
      </c>
      <c r="C9957" t="s">
        <v>588</v>
      </c>
      <c r="D9957" s="254">
        <v>2.92</v>
      </c>
      <c r="E9957"/>
      <c r="F9957"/>
      <c r="G9957"/>
      <c r="H9957"/>
      <c r="I9957" s="489"/>
      <c r="J9957" s="1362"/>
      <c r="K9957" s="1362"/>
      <c r="L9957" s="1362"/>
    </row>
    <row r="9958" spans="1:12" x14ac:dyDescent="0.25">
      <c r="A9958">
        <v>95125</v>
      </c>
      <c r="B9958" t="s">
        <v>1045</v>
      </c>
      <c r="C9958" t="s">
        <v>588</v>
      </c>
      <c r="D9958" s="254">
        <v>20.32</v>
      </c>
      <c r="E9958"/>
      <c r="F9958"/>
      <c r="G9958"/>
      <c r="H9958"/>
      <c r="I9958" s="489"/>
      <c r="J9958" s="1362"/>
      <c r="K9958" s="1362"/>
      <c r="L9958" s="1362"/>
    </row>
    <row r="9959" spans="1:12" x14ac:dyDescent="0.25">
      <c r="A9959">
        <v>95126</v>
      </c>
      <c r="B9959" t="s">
        <v>1046</v>
      </c>
      <c r="C9959" t="s">
        <v>588</v>
      </c>
      <c r="D9959" s="254">
        <v>166.36</v>
      </c>
      <c r="E9959"/>
      <c r="F9959"/>
      <c r="G9959"/>
      <c r="H9959"/>
      <c r="I9959" s="489"/>
      <c r="J9959" s="1362"/>
      <c r="K9959" s="1362"/>
      <c r="L9959" s="1362"/>
    </row>
    <row r="9960" spans="1:12" x14ac:dyDescent="0.25">
      <c r="A9960">
        <v>95129</v>
      </c>
      <c r="B9960" t="s">
        <v>1047</v>
      </c>
      <c r="C9960" t="s">
        <v>588</v>
      </c>
      <c r="D9960" s="254">
        <v>49.75</v>
      </c>
      <c r="E9960"/>
      <c r="F9960"/>
      <c r="G9960"/>
      <c r="H9960"/>
      <c r="I9960" s="489"/>
      <c r="J9960" s="1362"/>
      <c r="K9960" s="1362"/>
      <c r="L9960" s="1362"/>
    </row>
    <row r="9961" spans="1:12" x14ac:dyDescent="0.25">
      <c r="A9961">
        <v>95130</v>
      </c>
      <c r="B9961" t="s">
        <v>1048</v>
      </c>
      <c r="C9961" t="s">
        <v>588</v>
      </c>
      <c r="D9961" s="254">
        <v>9.2200000000000006</v>
      </c>
      <c r="E9961"/>
      <c r="F9961"/>
      <c r="G9961"/>
      <c r="H9961"/>
      <c r="I9961" s="489"/>
      <c r="J9961" s="1362"/>
      <c r="K9961" s="1362"/>
      <c r="L9961" s="1362"/>
    </row>
    <row r="9962" spans="1:12" x14ac:dyDescent="0.25">
      <c r="A9962">
        <v>95131</v>
      </c>
      <c r="B9962" t="s">
        <v>1049</v>
      </c>
      <c r="C9962" t="s">
        <v>588</v>
      </c>
      <c r="D9962" s="254">
        <v>58.57</v>
      </c>
      <c r="E9962"/>
      <c r="F9962"/>
      <c r="G9962"/>
      <c r="H9962"/>
      <c r="I9962" s="489"/>
      <c r="J9962" s="1362"/>
      <c r="K9962" s="1362"/>
      <c r="L9962" s="1362"/>
    </row>
    <row r="9963" spans="1:12" x14ac:dyDescent="0.25">
      <c r="A9963">
        <v>95132</v>
      </c>
      <c r="B9963" t="s">
        <v>1050</v>
      </c>
      <c r="C9963" t="s">
        <v>588</v>
      </c>
      <c r="D9963" s="254">
        <v>36.43</v>
      </c>
      <c r="E9963"/>
      <c r="F9963"/>
      <c r="G9963"/>
      <c r="H9963"/>
      <c r="I9963" s="489"/>
      <c r="J9963" s="1362"/>
      <c r="K9963" s="1362"/>
      <c r="L9963" s="1362"/>
    </row>
    <row r="9964" spans="1:12" x14ac:dyDescent="0.25">
      <c r="A9964">
        <v>95136</v>
      </c>
      <c r="B9964" t="s">
        <v>1051</v>
      </c>
      <c r="C9964" t="s">
        <v>588</v>
      </c>
      <c r="D9964" s="254">
        <v>0.03</v>
      </c>
      <c r="E9964"/>
      <c r="F9964"/>
      <c r="G9964"/>
      <c r="H9964"/>
      <c r="I9964" s="489"/>
      <c r="J9964" s="1362"/>
      <c r="K9964" s="1362"/>
      <c r="L9964" s="1362"/>
    </row>
    <row r="9965" spans="1:12" x14ac:dyDescent="0.25">
      <c r="A9965">
        <v>95137</v>
      </c>
      <c r="B9965" t="s">
        <v>1052</v>
      </c>
      <c r="C9965" t="s">
        <v>588</v>
      </c>
      <c r="D9965" s="254">
        <v>0</v>
      </c>
      <c r="E9965"/>
      <c r="F9965"/>
      <c r="G9965"/>
      <c r="H9965"/>
      <c r="I9965" s="489"/>
      <c r="J9965" s="1362"/>
      <c r="K9965" s="1362"/>
      <c r="L9965" s="1362"/>
    </row>
    <row r="9966" spans="1:12" x14ac:dyDescent="0.25">
      <c r="A9966">
        <v>95138</v>
      </c>
      <c r="B9966" t="s">
        <v>1053</v>
      </c>
      <c r="C9966" t="s">
        <v>588</v>
      </c>
      <c r="D9966" s="254">
        <v>0.02</v>
      </c>
      <c r="E9966"/>
      <c r="F9966"/>
      <c r="G9966"/>
      <c r="H9966"/>
      <c r="I9966" s="489"/>
      <c r="J9966" s="1362"/>
      <c r="K9966" s="1362"/>
      <c r="L9966" s="1362"/>
    </row>
    <row r="9967" spans="1:12" x14ac:dyDescent="0.25">
      <c r="A9967">
        <v>95208</v>
      </c>
      <c r="B9967" t="s">
        <v>1054</v>
      </c>
      <c r="C9967" t="s">
        <v>588</v>
      </c>
      <c r="D9967" s="254">
        <v>51.56</v>
      </c>
      <c r="E9967"/>
      <c r="F9967"/>
      <c r="G9967"/>
      <c r="H9967"/>
      <c r="I9967" s="489"/>
      <c r="J9967" s="1362"/>
      <c r="K9967" s="1362"/>
      <c r="L9967" s="1362"/>
    </row>
    <row r="9968" spans="1:12" x14ac:dyDescent="0.25">
      <c r="A9968">
        <v>95209</v>
      </c>
      <c r="B9968" t="s">
        <v>1055</v>
      </c>
      <c r="C9968" t="s">
        <v>588</v>
      </c>
      <c r="D9968" s="254">
        <v>6.12</v>
      </c>
      <c r="E9968"/>
      <c r="F9968"/>
      <c r="G9968"/>
      <c r="H9968"/>
      <c r="I9968" s="489"/>
      <c r="J9968" s="1362"/>
      <c r="K9968" s="1362"/>
      <c r="L9968" s="1362"/>
    </row>
    <row r="9969" spans="1:12" x14ac:dyDescent="0.25">
      <c r="A9969">
        <v>95210</v>
      </c>
      <c r="B9969" t="s">
        <v>1056</v>
      </c>
      <c r="C9969" t="s">
        <v>588</v>
      </c>
      <c r="D9969" s="254">
        <v>56.39</v>
      </c>
      <c r="E9969"/>
      <c r="F9969"/>
      <c r="G9969"/>
      <c r="H9969"/>
      <c r="I9969" s="489"/>
      <c r="J9969" s="1362"/>
      <c r="K9969" s="1362"/>
      <c r="L9969" s="1362"/>
    </row>
    <row r="9970" spans="1:12" x14ac:dyDescent="0.25">
      <c r="A9970">
        <v>95211</v>
      </c>
      <c r="B9970" t="s">
        <v>1057</v>
      </c>
      <c r="C9970" t="s">
        <v>588</v>
      </c>
      <c r="D9970" s="254">
        <v>6.63</v>
      </c>
      <c r="E9970"/>
      <c r="F9970"/>
      <c r="G9970"/>
      <c r="H9970"/>
      <c r="I9970" s="489"/>
      <c r="J9970" s="1362"/>
      <c r="K9970" s="1362"/>
      <c r="L9970" s="1362"/>
    </row>
    <row r="9971" spans="1:12" x14ac:dyDescent="0.25">
      <c r="A9971">
        <v>95217</v>
      </c>
      <c r="B9971" t="s">
        <v>1058</v>
      </c>
      <c r="C9971" t="s">
        <v>588</v>
      </c>
      <c r="D9971" s="254">
        <v>0.44</v>
      </c>
      <c r="E9971"/>
      <c r="F9971"/>
      <c r="G9971"/>
      <c r="H9971"/>
      <c r="I9971" s="489"/>
      <c r="J9971" s="1362"/>
      <c r="K9971" s="1362"/>
      <c r="L9971" s="1362"/>
    </row>
    <row r="9972" spans="1:12" x14ac:dyDescent="0.25">
      <c r="A9972">
        <v>95255</v>
      </c>
      <c r="B9972" t="s">
        <v>1059</v>
      </c>
      <c r="C9972" t="s">
        <v>588</v>
      </c>
      <c r="D9972" s="254">
        <v>1.04</v>
      </c>
      <c r="E9972"/>
      <c r="F9972"/>
      <c r="G9972"/>
      <c r="H9972"/>
      <c r="I9972" s="489"/>
      <c r="J9972" s="1362"/>
      <c r="K9972" s="1362"/>
      <c r="L9972" s="1362"/>
    </row>
    <row r="9973" spans="1:12" x14ac:dyDescent="0.25">
      <c r="A9973">
        <v>95256</v>
      </c>
      <c r="B9973" t="s">
        <v>1060</v>
      </c>
      <c r="C9973" t="s">
        <v>588</v>
      </c>
      <c r="D9973" s="254">
        <v>0.12</v>
      </c>
      <c r="E9973"/>
      <c r="F9973"/>
      <c r="G9973"/>
      <c r="H9973"/>
      <c r="I9973" s="489"/>
      <c r="J9973" s="1362"/>
      <c r="K9973" s="1362"/>
      <c r="L9973" s="1362"/>
    </row>
    <row r="9974" spans="1:12" x14ac:dyDescent="0.25">
      <c r="A9974">
        <v>95257</v>
      </c>
      <c r="B9974" t="s">
        <v>1061</v>
      </c>
      <c r="C9974" t="s">
        <v>588</v>
      </c>
      <c r="D9974" s="254">
        <v>1.3</v>
      </c>
      <c r="E9974"/>
      <c r="F9974"/>
      <c r="G9974"/>
      <c r="H9974"/>
      <c r="I9974" s="489"/>
      <c r="J9974" s="1362"/>
      <c r="K9974" s="1362"/>
      <c r="L9974" s="1362"/>
    </row>
    <row r="9975" spans="1:12" x14ac:dyDescent="0.25">
      <c r="A9975">
        <v>95260</v>
      </c>
      <c r="B9975" t="s">
        <v>1062</v>
      </c>
      <c r="C9975" t="s">
        <v>588</v>
      </c>
      <c r="D9975" s="254">
        <v>0.63</v>
      </c>
      <c r="E9975"/>
      <c r="F9975"/>
      <c r="G9975"/>
      <c r="H9975"/>
      <c r="I9975" s="489"/>
      <c r="J9975" s="1362"/>
      <c r="K9975" s="1362"/>
      <c r="L9975" s="1362"/>
    </row>
    <row r="9976" spans="1:12" x14ac:dyDescent="0.25">
      <c r="A9976">
        <v>95261</v>
      </c>
      <c r="B9976" t="s">
        <v>1063</v>
      </c>
      <c r="C9976" t="s">
        <v>588</v>
      </c>
      <c r="D9976" s="254">
        <v>0.12</v>
      </c>
      <c r="E9976"/>
      <c r="F9976"/>
      <c r="G9976"/>
      <c r="H9976"/>
      <c r="I9976" s="489"/>
      <c r="J9976" s="1362"/>
      <c r="K9976" s="1362"/>
      <c r="L9976" s="1362"/>
    </row>
    <row r="9977" spans="1:12" x14ac:dyDescent="0.25">
      <c r="A9977">
        <v>95262</v>
      </c>
      <c r="B9977" t="s">
        <v>1064</v>
      </c>
      <c r="C9977" t="s">
        <v>588</v>
      </c>
      <c r="D9977" s="254">
        <v>1.08</v>
      </c>
      <c r="E9977"/>
      <c r="F9977"/>
      <c r="G9977"/>
      <c r="H9977"/>
      <c r="I9977" s="489"/>
      <c r="J9977" s="1362"/>
      <c r="K9977" s="1362"/>
      <c r="L9977" s="1362"/>
    </row>
    <row r="9978" spans="1:12" x14ac:dyDescent="0.25">
      <c r="A9978">
        <v>95263</v>
      </c>
      <c r="B9978" t="s">
        <v>1065</v>
      </c>
      <c r="C9978" t="s">
        <v>588</v>
      </c>
      <c r="D9978" s="254">
        <v>3.87</v>
      </c>
      <c r="E9978"/>
      <c r="F9978"/>
      <c r="G9978"/>
      <c r="H9978"/>
      <c r="I9978" s="489"/>
      <c r="J9978" s="1362"/>
      <c r="K9978" s="1362"/>
      <c r="L9978" s="1362"/>
    </row>
    <row r="9979" spans="1:12" x14ac:dyDescent="0.25">
      <c r="A9979">
        <v>95266</v>
      </c>
      <c r="B9979" t="s">
        <v>1066</v>
      </c>
      <c r="C9979" t="s">
        <v>588</v>
      </c>
      <c r="D9979" s="254">
        <v>0.46</v>
      </c>
      <c r="E9979"/>
      <c r="F9979"/>
      <c r="G9979"/>
      <c r="H9979"/>
      <c r="I9979" s="489"/>
      <c r="J9979" s="1362"/>
      <c r="K9979" s="1362"/>
      <c r="L9979" s="1362"/>
    </row>
    <row r="9980" spans="1:12" x14ac:dyDescent="0.25">
      <c r="A9980">
        <v>95267</v>
      </c>
      <c r="B9980" t="s">
        <v>1067</v>
      </c>
      <c r="C9980" t="s">
        <v>588</v>
      </c>
      <c r="D9980" s="254">
        <v>0.04</v>
      </c>
      <c r="E9980"/>
      <c r="F9980"/>
      <c r="G9980"/>
      <c r="H9980"/>
      <c r="I9980" s="489"/>
      <c r="J9980" s="1362"/>
      <c r="K9980" s="1362"/>
      <c r="L9980" s="1362"/>
    </row>
    <row r="9981" spans="1:12" x14ac:dyDescent="0.25">
      <c r="A9981">
        <v>95268</v>
      </c>
      <c r="B9981" t="s">
        <v>1068</v>
      </c>
      <c r="C9981" t="s">
        <v>588</v>
      </c>
      <c r="D9981" s="254">
        <v>0.45</v>
      </c>
      <c r="E9981"/>
      <c r="F9981"/>
      <c r="G9981"/>
      <c r="H9981"/>
      <c r="I9981" s="489"/>
      <c r="J9981" s="1362"/>
      <c r="K9981" s="1362"/>
      <c r="L9981" s="1362"/>
    </row>
    <row r="9982" spans="1:12" x14ac:dyDescent="0.25">
      <c r="A9982">
        <v>95269</v>
      </c>
      <c r="B9982" t="s">
        <v>1069</v>
      </c>
      <c r="C9982" t="s">
        <v>588</v>
      </c>
      <c r="D9982" s="254">
        <v>7.15</v>
      </c>
      <c r="E9982"/>
      <c r="F9982"/>
      <c r="G9982"/>
      <c r="H9982"/>
      <c r="I9982" s="489"/>
      <c r="J9982" s="1362"/>
      <c r="K9982" s="1362"/>
      <c r="L9982" s="1362"/>
    </row>
    <row r="9983" spans="1:12" x14ac:dyDescent="0.25">
      <c r="A9983">
        <v>95272</v>
      </c>
      <c r="B9983" t="s">
        <v>1070</v>
      </c>
      <c r="C9983" t="s">
        <v>588</v>
      </c>
      <c r="D9983" s="254">
        <v>0.45</v>
      </c>
      <c r="E9983"/>
      <c r="F9983"/>
      <c r="G9983"/>
      <c r="H9983"/>
      <c r="I9983" s="489"/>
      <c r="J9983" s="1362"/>
      <c r="K9983" s="1362"/>
      <c r="L9983" s="1362"/>
    </row>
    <row r="9984" spans="1:12" x14ac:dyDescent="0.25">
      <c r="A9984">
        <v>95273</v>
      </c>
      <c r="B9984" t="s">
        <v>1071</v>
      </c>
      <c r="C9984" t="s">
        <v>588</v>
      </c>
      <c r="D9984" s="254">
        <v>0.05</v>
      </c>
      <c r="E9984"/>
      <c r="F9984"/>
      <c r="G9984"/>
      <c r="H9984"/>
      <c r="I9984" s="489"/>
      <c r="J9984" s="1362"/>
      <c r="K9984" s="1362"/>
      <c r="L9984" s="1362"/>
    </row>
    <row r="9985" spans="1:12" x14ac:dyDescent="0.25">
      <c r="A9985">
        <v>95274</v>
      </c>
      <c r="B9985" t="s">
        <v>1072</v>
      </c>
      <c r="C9985" t="s">
        <v>588</v>
      </c>
      <c r="D9985" s="254">
        <v>0.35</v>
      </c>
      <c r="E9985"/>
      <c r="F9985"/>
      <c r="G9985"/>
      <c r="H9985"/>
      <c r="I9985" s="489"/>
      <c r="J9985" s="1362"/>
      <c r="K9985" s="1362"/>
      <c r="L9985" s="1362"/>
    </row>
    <row r="9986" spans="1:12" x14ac:dyDescent="0.25">
      <c r="A9986">
        <v>95275</v>
      </c>
      <c r="B9986" t="s">
        <v>1073</v>
      </c>
      <c r="C9986" t="s">
        <v>588</v>
      </c>
      <c r="D9986" s="254">
        <v>1.8</v>
      </c>
      <c r="E9986"/>
      <c r="F9986"/>
      <c r="G9986"/>
      <c r="H9986"/>
      <c r="I9986" s="489"/>
      <c r="J9986" s="1362"/>
      <c r="K9986" s="1362"/>
      <c r="L9986" s="1362"/>
    </row>
    <row r="9987" spans="1:12" x14ac:dyDescent="0.25">
      <c r="A9987">
        <v>95278</v>
      </c>
      <c r="B9987" t="s">
        <v>18387</v>
      </c>
      <c r="C9987" t="s">
        <v>588</v>
      </c>
      <c r="D9987" s="254">
        <v>0.55000000000000004</v>
      </c>
      <c r="E9987"/>
      <c r="F9987"/>
      <c r="G9987"/>
      <c r="H9987"/>
      <c r="I9987" s="489"/>
      <c r="J9987" s="1362"/>
      <c r="K9987" s="1362"/>
      <c r="L9987" s="1362"/>
    </row>
    <row r="9988" spans="1:12" x14ac:dyDescent="0.25">
      <c r="A9988">
        <v>95279</v>
      </c>
      <c r="B9988" t="s">
        <v>18388</v>
      </c>
      <c r="C9988" t="s">
        <v>588</v>
      </c>
      <c r="D9988" s="254">
        <v>0.05</v>
      </c>
      <c r="E9988"/>
      <c r="F9988"/>
      <c r="G9988"/>
      <c r="H9988"/>
      <c r="I9988" s="489"/>
      <c r="J9988" s="1362"/>
      <c r="K9988" s="1362"/>
      <c r="L9988" s="1362"/>
    </row>
    <row r="9989" spans="1:12" x14ac:dyDescent="0.25">
      <c r="A9989">
        <v>95280</v>
      </c>
      <c r="B9989" t="s">
        <v>18389</v>
      </c>
      <c r="C9989" t="s">
        <v>588</v>
      </c>
      <c r="D9989" s="254">
        <v>0.54</v>
      </c>
      <c r="E9989"/>
      <c r="F9989"/>
      <c r="G9989"/>
      <c r="H9989"/>
      <c r="I9989" s="489"/>
      <c r="J9989" s="1362"/>
      <c r="K9989" s="1362"/>
      <c r="L9989" s="1362"/>
    </row>
    <row r="9990" spans="1:12" x14ac:dyDescent="0.25">
      <c r="A9990">
        <v>95281</v>
      </c>
      <c r="B9990" t="s">
        <v>18390</v>
      </c>
      <c r="C9990" t="s">
        <v>588</v>
      </c>
      <c r="D9990" s="254">
        <v>7.15</v>
      </c>
      <c r="E9990"/>
      <c r="F9990"/>
      <c r="G9990"/>
      <c r="H9990"/>
      <c r="I9990" s="489"/>
      <c r="J9990" s="1362"/>
      <c r="K9990" s="1362"/>
      <c r="L9990" s="1362"/>
    </row>
    <row r="9991" spans="1:12" x14ac:dyDescent="0.25">
      <c r="A9991">
        <v>95617</v>
      </c>
      <c r="B9991" t="s">
        <v>1074</v>
      </c>
      <c r="C9991" t="s">
        <v>588</v>
      </c>
      <c r="D9991" s="254">
        <v>0.85</v>
      </c>
      <c r="E9991"/>
      <c r="F9991"/>
      <c r="G9991"/>
      <c r="H9991"/>
      <c r="I9991" s="489"/>
      <c r="J9991" s="1362"/>
      <c r="K9991" s="1362"/>
      <c r="L9991" s="1362"/>
    </row>
    <row r="9992" spans="1:12" x14ac:dyDescent="0.25">
      <c r="A9992">
        <v>95618</v>
      </c>
      <c r="B9992" t="s">
        <v>1075</v>
      </c>
      <c r="C9992" t="s">
        <v>588</v>
      </c>
      <c r="D9992" s="254">
        <v>0.1</v>
      </c>
      <c r="E9992"/>
      <c r="F9992"/>
      <c r="G9992"/>
      <c r="H9992"/>
      <c r="I9992" s="489"/>
      <c r="J9992" s="1362"/>
      <c r="K9992" s="1362"/>
      <c r="L9992" s="1362"/>
    </row>
    <row r="9993" spans="1:12" x14ac:dyDescent="0.25">
      <c r="A9993">
        <v>95619</v>
      </c>
      <c r="B9993" t="s">
        <v>1076</v>
      </c>
      <c r="C9993" t="s">
        <v>588</v>
      </c>
      <c r="D9993" s="254">
        <v>1.07</v>
      </c>
      <c r="E9993"/>
      <c r="F9993"/>
      <c r="G9993"/>
      <c r="H9993"/>
      <c r="I9993" s="489"/>
      <c r="J9993" s="1362"/>
      <c r="K9993" s="1362"/>
      <c r="L9993" s="1362"/>
    </row>
    <row r="9994" spans="1:12" x14ac:dyDescent="0.25">
      <c r="A9994">
        <v>95627</v>
      </c>
      <c r="B9994" t="s">
        <v>1077</v>
      </c>
      <c r="C9994" t="s">
        <v>588</v>
      </c>
      <c r="D9994" s="254">
        <v>34.49</v>
      </c>
      <c r="E9994"/>
      <c r="F9994"/>
      <c r="G9994"/>
      <c r="H9994"/>
      <c r="I9994" s="489"/>
      <c r="J9994" s="1362"/>
      <c r="K9994" s="1362"/>
      <c r="L9994" s="1362"/>
    </row>
    <row r="9995" spans="1:12" x14ac:dyDescent="0.25">
      <c r="A9995">
        <v>95628</v>
      </c>
      <c r="B9995" t="s">
        <v>1078</v>
      </c>
      <c r="C9995" t="s">
        <v>588</v>
      </c>
      <c r="D9995" s="254">
        <v>4.78</v>
      </c>
      <c r="E9995"/>
      <c r="F9995"/>
      <c r="G9995"/>
      <c r="H9995"/>
      <c r="I9995" s="489"/>
      <c r="J9995" s="1362"/>
      <c r="K9995" s="1362"/>
      <c r="L9995" s="1362"/>
    </row>
    <row r="9996" spans="1:12" x14ac:dyDescent="0.25">
      <c r="A9996">
        <v>95629</v>
      </c>
      <c r="B9996" t="s">
        <v>1079</v>
      </c>
      <c r="C9996" t="s">
        <v>588</v>
      </c>
      <c r="D9996" s="254">
        <v>43.16</v>
      </c>
      <c r="E9996"/>
      <c r="F9996"/>
      <c r="G9996"/>
      <c r="H9996"/>
      <c r="I9996" s="489"/>
      <c r="J9996" s="1362"/>
      <c r="K9996" s="1362"/>
      <c r="L9996" s="1362"/>
    </row>
    <row r="9997" spans="1:12" x14ac:dyDescent="0.25">
      <c r="A9997">
        <v>95630</v>
      </c>
      <c r="B9997" t="s">
        <v>1080</v>
      </c>
      <c r="C9997" t="s">
        <v>588</v>
      </c>
      <c r="D9997" s="254">
        <v>100.85</v>
      </c>
      <c r="E9997"/>
      <c r="F9997"/>
      <c r="G9997"/>
      <c r="H9997"/>
      <c r="I9997" s="489"/>
      <c r="J9997" s="1362"/>
      <c r="K9997" s="1362"/>
      <c r="L9997" s="1362"/>
    </row>
    <row r="9998" spans="1:12" x14ac:dyDescent="0.25">
      <c r="A9998">
        <v>95698</v>
      </c>
      <c r="B9998" t="s">
        <v>1081</v>
      </c>
      <c r="C9998" t="s">
        <v>588</v>
      </c>
      <c r="D9998" s="254">
        <v>3.46</v>
      </c>
      <c r="E9998"/>
      <c r="F9998"/>
      <c r="G9998"/>
      <c r="H9998"/>
      <c r="I9998" s="489"/>
      <c r="J9998" s="1362"/>
      <c r="K9998" s="1362"/>
      <c r="L9998" s="1362"/>
    </row>
    <row r="9999" spans="1:12" x14ac:dyDescent="0.25">
      <c r="A9999">
        <v>95699</v>
      </c>
      <c r="B9999" t="s">
        <v>1082</v>
      </c>
      <c r="C9999" t="s">
        <v>588</v>
      </c>
      <c r="D9999" s="254">
        <v>0.41</v>
      </c>
      <c r="E9999"/>
      <c r="F9999"/>
      <c r="G9999"/>
      <c r="H9999"/>
      <c r="I9999" s="489"/>
      <c r="J9999" s="1362"/>
      <c r="K9999" s="1362"/>
      <c r="L9999" s="1362"/>
    </row>
    <row r="10000" spans="1:12" x14ac:dyDescent="0.25">
      <c r="A10000">
        <v>95700</v>
      </c>
      <c r="B10000" t="s">
        <v>1083</v>
      </c>
      <c r="C10000" t="s">
        <v>588</v>
      </c>
      <c r="D10000" s="254">
        <v>4.33</v>
      </c>
      <c r="E10000"/>
      <c r="F10000"/>
      <c r="G10000"/>
      <c r="H10000"/>
      <c r="I10000" s="489"/>
      <c r="J10000" s="1362"/>
      <c r="K10000" s="1362"/>
      <c r="L10000" s="1362"/>
    </row>
    <row r="10001" spans="1:12" x14ac:dyDescent="0.25">
      <c r="A10001">
        <v>95701</v>
      </c>
      <c r="B10001" t="s">
        <v>1084</v>
      </c>
      <c r="C10001" t="s">
        <v>588</v>
      </c>
      <c r="D10001" s="254">
        <v>2.2200000000000002</v>
      </c>
      <c r="E10001"/>
      <c r="F10001"/>
      <c r="G10001"/>
      <c r="H10001"/>
      <c r="I10001" s="489"/>
      <c r="J10001" s="1362"/>
      <c r="K10001" s="1362"/>
      <c r="L10001" s="1362"/>
    </row>
    <row r="10002" spans="1:12" x14ac:dyDescent="0.25">
      <c r="A10002">
        <v>95704</v>
      </c>
      <c r="B10002" t="s">
        <v>1085</v>
      </c>
      <c r="C10002" t="s">
        <v>588</v>
      </c>
      <c r="D10002" s="254">
        <v>47.23</v>
      </c>
      <c r="E10002"/>
      <c r="F10002"/>
      <c r="G10002"/>
      <c r="H10002"/>
      <c r="I10002" s="489"/>
      <c r="J10002" s="1362"/>
      <c r="K10002" s="1362"/>
      <c r="L10002" s="1362"/>
    </row>
    <row r="10003" spans="1:12" x14ac:dyDescent="0.25">
      <c r="A10003">
        <v>95705</v>
      </c>
      <c r="B10003" t="s">
        <v>1086</v>
      </c>
      <c r="C10003" t="s">
        <v>588</v>
      </c>
      <c r="D10003" s="254">
        <v>6.46</v>
      </c>
      <c r="E10003"/>
      <c r="F10003"/>
      <c r="G10003"/>
      <c r="H10003"/>
      <c r="I10003" s="489"/>
      <c r="J10003" s="1362"/>
      <c r="K10003" s="1362"/>
      <c r="L10003" s="1362"/>
    </row>
    <row r="10004" spans="1:12" x14ac:dyDescent="0.25">
      <c r="A10004">
        <v>95706</v>
      </c>
      <c r="B10004" t="s">
        <v>1087</v>
      </c>
      <c r="C10004" t="s">
        <v>588</v>
      </c>
      <c r="D10004" s="254">
        <v>59.1</v>
      </c>
      <c r="E10004"/>
      <c r="F10004"/>
      <c r="G10004"/>
      <c r="H10004"/>
      <c r="I10004" s="489"/>
      <c r="J10004" s="1362"/>
      <c r="K10004" s="1362"/>
      <c r="L10004" s="1362"/>
    </row>
    <row r="10005" spans="1:12" x14ac:dyDescent="0.25">
      <c r="A10005">
        <v>95707</v>
      </c>
      <c r="B10005" t="s">
        <v>1088</v>
      </c>
      <c r="C10005" t="s">
        <v>588</v>
      </c>
      <c r="D10005" s="254">
        <v>2.91</v>
      </c>
      <c r="E10005"/>
      <c r="F10005"/>
      <c r="G10005"/>
      <c r="H10005"/>
      <c r="I10005" s="489"/>
      <c r="J10005" s="1362"/>
      <c r="K10005" s="1362"/>
      <c r="L10005" s="1362"/>
    </row>
    <row r="10006" spans="1:12" x14ac:dyDescent="0.25">
      <c r="A10006">
        <v>95710</v>
      </c>
      <c r="B10006" t="s">
        <v>1089</v>
      </c>
      <c r="C10006" t="s">
        <v>588</v>
      </c>
      <c r="D10006" s="254">
        <v>56.76</v>
      </c>
      <c r="E10006"/>
      <c r="F10006"/>
      <c r="G10006"/>
      <c r="H10006"/>
      <c r="I10006" s="489"/>
      <c r="J10006" s="1362"/>
      <c r="K10006" s="1362"/>
      <c r="L10006" s="1362"/>
    </row>
    <row r="10007" spans="1:12" x14ac:dyDescent="0.25">
      <c r="A10007">
        <v>95711</v>
      </c>
      <c r="B10007" t="s">
        <v>1090</v>
      </c>
      <c r="C10007" t="s">
        <v>588</v>
      </c>
      <c r="D10007" s="254">
        <v>7.7</v>
      </c>
      <c r="E10007"/>
      <c r="F10007"/>
      <c r="G10007"/>
      <c r="H10007"/>
      <c r="I10007" s="489"/>
      <c r="J10007" s="1362"/>
      <c r="K10007" s="1362"/>
      <c r="L10007" s="1362"/>
    </row>
    <row r="10008" spans="1:12" x14ac:dyDescent="0.25">
      <c r="A10008">
        <v>95712</v>
      </c>
      <c r="B10008" t="s">
        <v>1091</v>
      </c>
      <c r="C10008" t="s">
        <v>588</v>
      </c>
      <c r="D10008" s="254">
        <v>70.959999999999994</v>
      </c>
      <c r="E10008"/>
      <c r="F10008"/>
      <c r="G10008"/>
      <c r="H10008"/>
      <c r="I10008" s="489"/>
      <c r="J10008" s="1362"/>
      <c r="K10008" s="1362"/>
      <c r="L10008" s="1362"/>
    </row>
    <row r="10009" spans="1:12" x14ac:dyDescent="0.25">
      <c r="A10009">
        <v>95713</v>
      </c>
      <c r="B10009" t="s">
        <v>1092</v>
      </c>
      <c r="C10009" t="s">
        <v>588</v>
      </c>
      <c r="D10009" s="254">
        <v>101.6</v>
      </c>
      <c r="E10009"/>
      <c r="F10009"/>
      <c r="G10009"/>
      <c r="H10009"/>
      <c r="I10009" s="489"/>
      <c r="J10009" s="1362"/>
      <c r="K10009" s="1362"/>
      <c r="L10009" s="1362"/>
    </row>
    <row r="10010" spans="1:12" x14ac:dyDescent="0.25">
      <c r="A10010">
        <v>95716</v>
      </c>
      <c r="B10010" t="s">
        <v>1093</v>
      </c>
      <c r="C10010" t="s">
        <v>588</v>
      </c>
      <c r="D10010" s="254">
        <v>54.65</v>
      </c>
      <c r="E10010"/>
      <c r="F10010"/>
      <c r="G10010"/>
      <c r="H10010"/>
      <c r="I10010" s="489"/>
      <c r="J10010" s="1362"/>
      <c r="K10010" s="1362"/>
      <c r="L10010" s="1362"/>
    </row>
    <row r="10011" spans="1:12" x14ac:dyDescent="0.25">
      <c r="A10011">
        <v>95717</v>
      </c>
      <c r="B10011" t="s">
        <v>1094</v>
      </c>
      <c r="C10011" t="s">
        <v>588</v>
      </c>
      <c r="D10011" s="254">
        <v>7.41</v>
      </c>
      <c r="E10011"/>
      <c r="F10011"/>
      <c r="G10011"/>
      <c r="H10011"/>
      <c r="I10011" s="489"/>
      <c r="J10011" s="1362"/>
      <c r="K10011" s="1362"/>
      <c r="L10011" s="1362"/>
    </row>
    <row r="10012" spans="1:12" x14ac:dyDescent="0.25">
      <c r="A10012">
        <v>95718</v>
      </c>
      <c r="B10012" t="s">
        <v>1095</v>
      </c>
      <c r="C10012" t="s">
        <v>588</v>
      </c>
      <c r="D10012" s="254">
        <v>68.31</v>
      </c>
      <c r="E10012"/>
      <c r="F10012"/>
      <c r="G10012"/>
      <c r="H10012"/>
      <c r="I10012" s="489"/>
      <c r="J10012" s="1362"/>
      <c r="K10012" s="1362"/>
      <c r="L10012" s="1362"/>
    </row>
    <row r="10013" spans="1:12" x14ac:dyDescent="0.25">
      <c r="A10013">
        <v>95719</v>
      </c>
      <c r="B10013" t="s">
        <v>1096</v>
      </c>
      <c r="C10013" t="s">
        <v>588</v>
      </c>
      <c r="D10013" s="254">
        <v>101.6</v>
      </c>
      <c r="E10013"/>
      <c r="F10013"/>
      <c r="G10013"/>
      <c r="H10013"/>
      <c r="I10013" s="489"/>
      <c r="J10013" s="1362"/>
      <c r="K10013" s="1362"/>
      <c r="L10013" s="1362"/>
    </row>
    <row r="10014" spans="1:12" x14ac:dyDescent="0.25">
      <c r="A10014">
        <v>95869</v>
      </c>
      <c r="B10014" t="s">
        <v>1097</v>
      </c>
      <c r="C10014" t="s">
        <v>588</v>
      </c>
      <c r="D10014" s="254">
        <v>1.69</v>
      </c>
      <c r="E10014"/>
      <c r="F10014"/>
      <c r="G10014"/>
      <c r="H10014"/>
      <c r="I10014" s="489"/>
      <c r="J10014" s="1362"/>
      <c r="K10014" s="1362"/>
      <c r="L10014" s="1362"/>
    </row>
    <row r="10015" spans="1:12" x14ac:dyDescent="0.25">
      <c r="A10015">
        <v>95870</v>
      </c>
      <c r="B10015" t="s">
        <v>1098</v>
      </c>
      <c r="C10015" t="s">
        <v>588</v>
      </c>
      <c r="D10015" s="254">
        <v>8.4</v>
      </c>
      <c r="E10015"/>
      <c r="F10015"/>
      <c r="G10015"/>
      <c r="H10015"/>
      <c r="I10015" s="489"/>
      <c r="J10015" s="1362"/>
      <c r="K10015" s="1362"/>
      <c r="L10015" s="1362"/>
    </row>
    <row r="10016" spans="1:12" x14ac:dyDescent="0.25">
      <c r="A10016">
        <v>95871</v>
      </c>
      <c r="B10016" t="s">
        <v>1099</v>
      </c>
      <c r="C10016" t="s">
        <v>588</v>
      </c>
      <c r="D10016" s="254">
        <v>308.52</v>
      </c>
      <c r="E10016"/>
      <c r="F10016"/>
      <c r="G10016"/>
      <c r="H10016"/>
      <c r="I10016" s="489"/>
      <c r="J10016" s="1362"/>
      <c r="K10016" s="1362"/>
      <c r="L10016" s="1362"/>
    </row>
    <row r="10017" spans="1:12" x14ac:dyDescent="0.25">
      <c r="A10017">
        <v>95874</v>
      </c>
      <c r="B10017" t="s">
        <v>1100</v>
      </c>
      <c r="C10017" t="s">
        <v>588</v>
      </c>
      <c r="D10017" s="254">
        <v>9.41</v>
      </c>
      <c r="E10017"/>
      <c r="F10017"/>
      <c r="G10017"/>
      <c r="H10017"/>
      <c r="I10017" s="489"/>
      <c r="J10017" s="1362"/>
      <c r="K10017" s="1362"/>
      <c r="L10017" s="1362"/>
    </row>
    <row r="10018" spans="1:12" x14ac:dyDescent="0.25">
      <c r="A10018">
        <v>96008</v>
      </c>
      <c r="B10018" t="s">
        <v>1101</v>
      </c>
      <c r="C10018" t="s">
        <v>588</v>
      </c>
      <c r="D10018" s="254">
        <v>24.5</v>
      </c>
      <c r="E10018"/>
      <c r="F10018"/>
      <c r="G10018"/>
      <c r="H10018"/>
      <c r="I10018" s="489"/>
      <c r="J10018" s="1362"/>
      <c r="K10018" s="1362"/>
      <c r="L10018" s="1362"/>
    </row>
    <row r="10019" spans="1:12" x14ac:dyDescent="0.25">
      <c r="A10019">
        <v>96009</v>
      </c>
      <c r="B10019" t="s">
        <v>1102</v>
      </c>
      <c r="C10019" t="s">
        <v>588</v>
      </c>
      <c r="D10019" s="254">
        <v>3.4</v>
      </c>
      <c r="E10019"/>
      <c r="F10019"/>
      <c r="G10019"/>
      <c r="H10019"/>
      <c r="I10019" s="489"/>
      <c r="J10019" s="1362"/>
      <c r="K10019" s="1362"/>
      <c r="L10019" s="1362"/>
    </row>
    <row r="10020" spans="1:12" x14ac:dyDescent="0.25">
      <c r="A10020">
        <v>96011</v>
      </c>
      <c r="B10020" t="s">
        <v>1103</v>
      </c>
      <c r="C10020" t="s">
        <v>588</v>
      </c>
      <c r="D10020" s="254">
        <v>26.8</v>
      </c>
      <c r="E10020"/>
      <c r="F10020"/>
      <c r="G10020"/>
      <c r="H10020"/>
      <c r="I10020" s="489"/>
      <c r="J10020" s="1362"/>
      <c r="K10020" s="1362"/>
      <c r="L10020" s="1362"/>
    </row>
    <row r="10021" spans="1:12" x14ac:dyDescent="0.25">
      <c r="A10021">
        <v>96012</v>
      </c>
      <c r="B10021" t="s">
        <v>1104</v>
      </c>
      <c r="C10021" t="s">
        <v>588</v>
      </c>
      <c r="D10021" s="254">
        <v>109.24</v>
      </c>
      <c r="E10021"/>
      <c r="F10021"/>
      <c r="G10021"/>
      <c r="H10021"/>
      <c r="I10021" s="489"/>
      <c r="J10021" s="1362"/>
      <c r="K10021" s="1362"/>
      <c r="L10021" s="1362"/>
    </row>
    <row r="10022" spans="1:12" x14ac:dyDescent="0.25">
      <c r="A10022">
        <v>96015</v>
      </c>
      <c r="B10022" t="s">
        <v>1105</v>
      </c>
      <c r="C10022" t="s">
        <v>588</v>
      </c>
      <c r="D10022" s="254">
        <v>24.25</v>
      </c>
      <c r="E10022"/>
      <c r="F10022"/>
      <c r="G10022"/>
      <c r="H10022"/>
      <c r="I10022" s="489"/>
      <c r="J10022" s="1362"/>
      <c r="K10022" s="1362"/>
      <c r="L10022" s="1362"/>
    </row>
    <row r="10023" spans="1:12" x14ac:dyDescent="0.25">
      <c r="A10023">
        <v>96016</v>
      </c>
      <c r="B10023" t="s">
        <v>1106</v>
      </c>
      <c r="C10023" t="s">
        <v>588</v>
      </c>
      <c r="D10023" s="254">
        <v>3.36</v>
      </c>
      <c r="E10023"/>
      <c r="F10023"/>
      <c r="G10023"/>
      <c r="H10023"/>
      <c r="I10023" s="489"/>
      <c r="J10023" s="1362"/>
      <c r="K10023" s="1362"/>
      <c r="L10023" s="1362"/>
    </row>
    <row r="10024" spans="1:12" x14ac:dyDescent="0.25">
      <c r="A10024">
        <v>96018</v>
      </c>
      <c r="B10024" t="s">
        <v>1107</v>
      </c>
      <c r="C10024" t="s">
        <v>588</v>
      </c>
      <c r="D10024" s="254">
        <v>26.53</v>
      </c>
      <c r="E10024"/>
      <c r="F10024"/>
      <c r="G10024"/>
      <c r="H10024"/>
      <c r="I10024" s="489"/>
      <c r="J10024" s="1362"/>
      <c r="K10024" s="1362"/>
      <c r="L10024" s="1362"/>
    </row>
    <row r="10025" spans="1:12" x14ac:dyDescent="0.25">
      <c r="A10025">
        <v>96019</v>
      </c>
      <c r="B10025" t="s">
        <v>1108</v>
      </c>
      <c r="C10025" t="s">
        <v>588</v>
      </c>
      <c r="D10025" s="254">
        <v>109.24</v>
      </c>
      <c r="E10025"/>
      <c r="F10025"/>
      <c r="G10025"/>
      <c r="H10025"/>
      <c r="I10025" s="489"/>
      <c r="J10025" s="1362"/>
      <c r="K10025" s="1362"/>
      <c r="L10025" s="1362"/>
    </row>
    <row r="10026" spans="1:12" x14ac:dyDescent="0.25">
      <c r="A10026">
        <v>96023</v>
      </c>
      <c r="B10026" t="s">
        <v>1109</v>
      </c>
      <c r="C10026" t="s">
        <v>588</v>
      </c>
      <c r="D10026" s="254">
        <v>18.89</v>
      </c>
      <c r="E10026"/>
      <c r="F10026"/>
      <c r="G10026"/>
      <c r="H10026"/>
      <c r="I10026" s="489"/>
      <c r="J10026" s="1362"/>
      <c r="K10026" s="1362"/>
      <c r="L10026" s="1362"/>
    </row>
    <row r="10027" spans="1:12" x14ac:dyDescent="0.25">
      <c r="A10027">
        <v>96024</v>
      </c>
      <c r="B10027" t="s">
        <v>1110</v>
      </c>
      <c r="C10027" t="s">
        <v>588</v>
      </c>
      <c r="D10027" s="254">
        <v>2.61</v>
      </c>
      <c r="E10027"/>
      <c r="F10027"/>
      <c r="G10027"/>
      <c r="H10027"/>
      <c r="I10027" s="489"/>
      <c r="J10027" s="1362"/>
      <c r="K10027" s="1362"/>
      <c r="L10027" s="1362"/>
    </row>
    <row r="10028" spans="1:12" x14ac:dyDescent="0.25">
      <c r="A10028">
        <v>96026</v>
      </c>
      <c r="B10028" t="s">
        <v>1111</v>
      </c>
      <c r="C10028" t="s">
        <v>588</v>
      </c>
      <c r="D10028" s="254">
        <v>20.67</v>
      </c>
      <c r="E10028"/>
      <c r="F10028"/>
      <c r="G10028"/>
      <c r="H10028"/>
      <c r="I10028" s="489"/>
      <c r="J10028" s="1362"/>
      <c r="K10028" s="1362"/>
      <c r="L10028" s="1362"/>
    </row>
    <row r="10029" spans="1:12" x14ac:dyDescent="0.25">
      <c r="A10029">
        <v>96027</v>
      </c>
      <c r="B10029" t="s">
        <v>1112</v>
      </c>
      <c r="C10029" t="s">
        <v>588</v>
      </c>
      <c r="D10029" s="254">
        <v>76.11</v>
      </c>
      <c r="E10029"/>
      <c r="F10029"/>
      <c r="G10029"/>
      <c r="H10029"/>
      <c r="I10029" s="489"/>
      <c r="J10029" s="1362"/>
      <c r="K10029" s="1362"/>
      <c r="L10029" s="1362"/>
    </row>
    <row r="10030" spans="1:12" x14ac:dyDescent="0.25">
      <c r="A10030">
        <v>96030</v>
      </c>
      <c r="B10030" t="s">
        <v>1113</v>
      </c>
      <c r="C10030" t="s">
        <v>588</v>
      </c>
      <c r="D10030" s="254">
        <v>30.02</v>
      </c>
      <c r="E10030"/>
      <c r="F10030"/>
      <c r="G10030"/>
      <c r="H10030"/>
      <c r="I10030" s="489"/>
      <c r="J10030" s="1362"/>
      <c r="K10030" s="1362"/>
      <c r="L10030" s="1362"/>
    </row>
    <row r="10031" spans="1:12" x14ac:dyDescent="0.25">
      <c r="A10031">
        <v>96031</v>
      </c>
      <c r="B10031" t="s">
        <v>1114</v>
      </c>
      <c r="C10031" t="s">
        <v>588</v>
      </c>
      <c r="D10031" s="254">
        <v>5.71</v>
      </c>
      <c r="E10031"/>
      <c r="F10031"/>
      <c r="G10031"/>
      <c r="H10031"/>
      <c r="I10031" s="489"/>
      <c r="J10031" s="1362"/>
      <c r="K10031" s="1362"/>
      <c r="L10031" s="1362"/>
    </row>
    <row r="10032" spans="1:12" x14ac:dyDescent="0.25">
      <c r="A10032">
        <v>96032</v>
      </c>
      <c r="B10032" t="s">
        <v>1115</v>
      </c>
      <c r="C10032" t="s">
        <v>588</v>
      </c>
      <c r="D10032" s="254">
        <v>4.53</v>
      </c>
      <c r="E10032"/>
      <c r="F10032"/>
      <c r="G10032"/>
      <c r="H10032"/>
      <c r="I10032" s="489"/>
      <c r="J10032" s="1362"/>
      <c r="K10032" s="1362"/>
      <c r="L10032" s="1362"/>
    </row>
    <row r="10033" spans="1:12" x14ac:dyDescent="0.25">
      <c r="A10033">
        <v>96033</v>
      </c>
      <c r="B10033" t="s">
        <v>1116</v>
      </c>
      <c r="C10033" t="s">
        <v>588</v>
      </c>
      <c r="D10033" s="254">
        <v>51.05</v>
      </c>
      <c r="E10033"/>
      <c r="F10033"/>
      <c r="G10033"/>
      <c r="H10033"/>
      <c r="I10033" s="489"/>
      <c r="J10033" s="1362"/>
      <c r="K10033" s="1362"/>
      <c r="L10033" s="1362"/>
    </row>
    <row r="10034" spans="1:12" x14ac:dyDescent="0.25">
      <c r="A10034">
        <v>96034</v>
      </c>
      <c r="B10034" t="s">
        <v>1117</v>
      </c>
      <c r="C10034" t="s">
        <v>588</v>
      </c>
      <c r="D10034" s="254">
        <v>160.21</v>
      </c>
      <c r="E10034"/>
      <c r="F10034"/>
      <c r="G10034"/>
      <c r="H10034"/>
      <c r="I10034" s="489"/>
      <c r="J10034" s="1362"/>
      <c r="K10034" s="1362"/>
      <c r="L10034" s="1362"/>
    </row>
    <row r="10035" spans="1:12" x14ac:dyDescent="0.25">
      <c r="A10035">
        <v>96053</v>
      </c>
      <c r="B10035" t="s">
        <v>1118</v>
      </c>
      <c r="C10035" t="s">
        <v>588</v>
      </c>
      <c r="D10035" s="254">
        <v>19.14</v>
      </c>
      <c r="E10035"/>
      <c r="F10035"/>
      <c r="G10035"/>
      <c r="H10035"/>
      <c r="I10035" s="489"/>
      <c r="J10035" s="1362"/>
      <c r="K10035" s="1362"/>
      <c r="L10035" s="1362"/>
    </row>
    <row r="10036" spans="1:12" x14ac:dyDescent="0.25">
      <c r="A10036">
        <v>96054</v>
      </c>
      <c r="B10036" t="s">
        <v>1119</v>
      </c>
      <c r="C10036" t="s">
        <v>588</v>
      </c>
      <c r="D10036" s="254">
        <v>25.1</v>
      </c>
      <c r="E10036"/>
      <c r="F10036"/>
      <c r="G10036"/>
      <c r="H10036"/>
      <c r="I10036" s="489"/>
      <c r="J10036" s="1362"/>
      <c r="K10036" s="1362"/>
      <c r="L10036" s="1362"/>
    </row>
    <row r="10037" spans="1:12" x14ac:dyDescent="0.25">
      <c r="A10037">
        <v>96055</v>
      </c>
      <c r="B10037" t="s">
        <v>1120</v>
      </c>
      <c r="C10037" t="s">
        <v>588</v>
      </c>
      <c r="D10037" s="254">
        <v>2.65</v>
      </c>
      <c r="E10037"/>
      <c r="F10037"/>
      <c r="G10037"/>
      <c r="H10037"/>
      <c r="I10037" s="489"/>
      <c r="J10037" s="1362"/>
      <c r="K10037" s="1362"/>
      <c r="L10037" s="1362"/>
    </row>
    <row r="10038" spans="1:12" x14ac:dyDescent="0.25">
      <c r="A10038">
        <v>96056</v>
      </c>
      <c r="B10038" t="s">
        <v>1121</v>
      </c>
      <c r="C10038" t="s">
        <v>588</v>
      </c>
      <c r="D10038" s="254">
        <v>20.94</v>
      </c>
      <c r="E10038"/>
      <c r="F10038"/>
      <c r="G10038"/>
      <c r="H10038"/>
      <c r="I10038" s="489"/>
      <c r="J10038" s="1362"/>
      <c r="K10038" s="1362"/>
      <c r="L10038" s="1362"/>
    </row>
    <row r="10039" spans="1:12" x14ac:dyDescent="0.25">
      <c r="A10039">
        <v>96057</v>
      </c>
      <c r="B10039" t="s">
        <v>1122</v>
      </c>
      <c r="C10039" t="s">
        <v>588</v>
      </c>
      <c r="D10039" s="254">
        <v>76.11</v>
      </c>
      <c r="E10039"/>
      <c r="F10039"/>
      <c r="G10039"/>
      <c r="H10039"/>
      <c r="I10039" s="489"/>
      <c r="J10039" s="1362"/>
      <c r="K10039" s="1362"/>
      <c r="L10039" s="1362"/>
    </row>
    <row r="10040" spans="1:12" x14ac:dyDescent="0.25">
      <c r="A10040">
        <v>96060</v>
      </c>
      <c r="B10040" t="s">
        <v>1123</v>
      </c>
      <c r="C10040" t="s">
        <v>588</v>
      </c>
      <c r="D10040" s="254">
        <v>2.5299999999999998</v>
      </c>
      <c r="E10040"/>
      <c r="F10040"/>
      <c r="G10040"/>
      <c r="H10040"/>
      <c r="I10040" s="489"/>
      <c r="J10040" s="1362"/>
      <c r="K10040" s="1362"/>
      <c r="L10040" s="1362"/>
    </row>
    <row r="10041" spans="1:12" x14ac:dyDescent="0.25">
      <c r="A10041">
        <v>96061</v>
      </c>
      <c r="B10041" t="s">
        <v>1124</v>
      </c>
      <c r="C10041" t="s">
        <v>588</v>
      </c>
      <c r="D10041" s="254">
        <v>31.38</v>
      </c>
      <c r="E10041"/>
      <c r="F10041"/>
      <c r="G10041"/>
      <c r="H10041"/>
      <c r="I10041" s="489"/>
      <c r="J10041" s="1362"/>
      <c r="K10041" s="1362"/>
      <c r="L10041" s="1362"/>
    </row>
    <row r="10042" spans="1:12" x14ac:dyDescent="0.25">
      <c r="A10042">
        <v>96062</v>
      </c>
      <c r="B10042" t="s">
        <v>1125</v>
      </c>
      <c r="C10042" t="s">
        <v>588</v>
      </c>
      <c r="D10042" s="254">
        <v>45.02</v>
      </c>
      <c r="E10042"/>
      <c r="F10042"/>
      <c r="G10042"/>
      <c r="H10042"/>
      <c r="I10042" s="489"/>
      <c r="J10042" s="1362"/>
      <c r="K10042" s="1362"/>
      <c r="L10042" s="1362"/>
    </row>
    <row r="10043" spans="1:12" x14ac:dyDescent="0.25">
      <c r="A10043">
        <v>96241</v>
      </c>
      <c r="B10043" t="s">
        <v>1126</v>
      </c>
      <c r="C10043" t="s">
        <v>588</v>
      </c>
      <c r="D10043" s="254">
        <v>19.55</v>
      </c>
      <c r="E10043"/>
      <c r="F10043"/>
      <c r="G10043"/>
      <c r="H10043"/>
      <c r="I10043" s="489"/>
      <c r="J10043" s="1362"/>
      <c r="K10043" s="1362"/>
      <c r="L10043" s="1362"/>
    </row>
    <row r="10044" spans="1:12" x14ac:dyDescent="0.25">
      <c r="A10044">
        <v>96242</v>
      </c>
      <c r="B10044" t="s">
        <v>1127</v>
      </c>
      <c r="C10044" t="s">
        <v>588</v>
      </c>
      <c r="D10044" s="254">
        <v>2.65</v>
      </c>
      <c r="E10044"/>
      <c r="F10044"/>
      <c r="G10044"/>
      <c r="H10044"/>
      <c r="I10044" s="489"/>
      <c r="J10044" s="1362"/>
      <c r="K10044" s="1362"/>
      <c r="L10044" s="1362"/>
    </row>
    <row r="10045" spans="1:12" x14ac:dyDescent="0.25">
      <c r="A10045">
        <v>96243</v>
      </c>
      <c r="B10045" t="s">
        <v>1128</v>
      </c>
      <c r="C10045" t="s">
        <v>588</v>
      </c>
      <c r="D10045" s="254">
        <v>24.43</v>
      </c>
      <c r="E10045"/>
      <c r="F10045"/>
      <c r="G10045"/>
      <c r="H10045"/>
      <c r="I10045" s="489"/>
      <c r="J10045" s="1362"/>
      <c r="K10045" s="1362"/>
      <c r="L10045" s="1362"/>
    </row>
    <row r="10046" spans="1:12" x14ac:dyDescent="0.25">
      <c r="A10046">
        <v>96244</v>
      </c>
      <c r="B10046" t="s">
        <v>1129</v>
      </c>
      <c r="C10046" t="s">
        <v>588</v>
      </c>
      <c r="D10046" s="254">
        <v>19.670000000000002</v>
      </c>
      <c r="E10046"/>
      <c r="F10046"/>
      <c r="G10046"/>
      <c r="H10046"/>
      <c r="I10046" s="489"/>
      <c r="J10046" s="1362"/>
      <c r="K10046" s="1362"/>
      <c r="L10046" s="1362"/>
    </row>
    <row r="10047" spans="1:12" x14ac:dyDescent="0.25">
      <c r="A10047">
        <v>96301</v>
      </c>
      <c r="B10047" t="s">
        <v>1130</v>
      </c>
      <c r="C10047" t="s">
        <v>588</v>
      </c>
      <c r="D10047" s="254">
        <v>55.49</v>
      </c>
      <c r="E10047"/>
      <c r="F10047"/>
      <c r="G10047"/>
      <c r="H10047"/>
      <c r="I10047" s="489"/>
      <c r="J10047" s="1362"/>
      <c r="K10047" s="1362"/>
      <c r="L10047" s="1362"/>
    </row>
    <row r="10048" spans="1:12" x14ac:dyDescent="0.25">
      <c r="A10048">
        <v>96457</v>
      </c>
      <c r="B10048" t="s">
        <v>1131</v>
      </c>
      <c r="C10048" t="s">
        <v>588</v>
      </c>
      <c r="D10048" s="254">
        <v>72.12</v>
      </c>
      <c r="E10048"/>
      <c r="F10048"/>
      <c r="G10048"/>
      <c r="H10048"/>
      <c r="I10048" s="489"/>
      <c r="J10048" s="1362"/>
      <c r="K10048" s="1362"/>
      <c r="L10048" s="1362"/>
    </row>
    <row r="10049" spans="1:12" x14ac:dyDescent="0.25">
      <c r="A10049">
        <v>96458</v>
      </c>
      <c r="B10049" t="s">
        <v>1132</v>
      </c>
      <c r="C10049" t="s">
        <v>588</v>
      </c>
      <c r="D10049" s="254">
        <v>47.87</v>
      </c>
      <c r="E10049"/>
      <c r="F10049"/>
      <c r="G10049"/>
      <c r="H10049"/>
      <c r="I10049" s="489"/>
      <c r="J10049" s="1362"/>
      <c r="K10049" s="1362"/>
      <c r="L10049" s="1362"/>
    </row>
    <row r="10050" spans="1:12" x14ac:dyDescent="0.25">
      <c r="A10050">
        <v>96459</v>
      </c>
      <c r="B10050" t="s">
        <v>1133</v>
      </c>
      <c r="C10050" t="s">
        <v>588</v>
      </c>
      <c r="D10050" s="254">
        <v>5.31</v>
      </c>
      <c r="E10050"/>
      <c r="F10050"/>
      <c r="G10050"/>
      <c r="H10050"/>
      <c r="I10050" s="489"/>
      <c r="J10050" s="1362"/>
      <c r="K10050" s="1362"/>
      <c r="L10050" s="1362"/>
    </row>
    <row r="10051" spans="1:12" x14ac:dyDescent="0.25">
      <c r="A10051">
        <v>96460</v>
      </c>
      <c r="B10051" t="s">
        <v>1134</v>
      </c>
      <c r="C10051" t="s">
        <v>588</v>
      </c>
      <c r="D10051" s="254">
        <v>38.25</v>
      </c>
      <c r="E10051"/>
      <c r="F10051"/>
      <c r="G10051"/>
      <c r="H10051"/>
      <c r="I10051" s="489"/>
      <c r="J10051" s="1362"/>
      <c r="K10051" s="1362"/>
      <c r="L10051" s="1362"/>
    </row>
    <row r="10052" spans="1:12" x14ac:dyDescent="0.25">
      <c r="A10052">
        <v>98760</v>
      </c>
      <c r="B10052" t="s">
        <v>2952</v>
      </c>
      <c r="C10052" t="s">
        <v>588</v>
      </c>
      <c r="D10052" s="254">
        <v>0.09</v>
      </c>
      <c r="E10052"/>
      <c r="F10052"/>
      <c r="G10052"/>
      <c r="H10052"/>
      <c r="I10052" s="489"/>
      <c r="J10052" s="1362"/>
      <c r="K10052" s="1362"/>
      <c r="L10052" s="1362"/>
    </row>
    <row r="10053" spans="1:12" x14ac:dyDescent="0.25">
      <c r="A10053">
        <v>98761</v>
      </c>
      <c r="B10053" t="s">
        <v>2953</v>
      </c>
      <c r="C10053" t="s">
        <v>588</v>
      </c>
      <c r="D10053" s="254">
        <v>0.01</v>
      </c>
      <c r="E10053"/>
      <c r="F10053"/>
      <c r="G10053"/>
      <c r="H10053"/>
      <c r="I10053" s="489"/>
      <c r="J10053" s="1362"/>
      <c r="K10053" s="1362"/>
      <c r="L10053" s="1362"/>
    </row>
    <row r="10054" spans="1:12" x14ac:dyDescent="0.25">
      <c r="A10054">
        <v>98762</v>
      </c>
      <c r="B10054" t="s">
        <v>2954</v>
      </c>
      <c r="C10054" t="s">
        <v>588</v>
      </c>
      <c r="D10054" s="254">
        <v>0.11</v>
      </c>
      <c r="E10054"/>
      <c r="F10054"/>
      <c r="G10054"/>
      <c r="H10054"/>
      <c r="I10054" s="489"/>
      <c r="J10054" s="1362"/>
      <c r="K10054" s="1362"/>
      <c r="L10054" s="1362"/>
    </row>
    <row r="10055" spans="1:12" x14ac:dyDescent="0.25">
      <c r="A10055">
        <v>98763</v>
      </c>
      <c r="B10055" t="s">
        <v>2955</v>
      </c>
      <c r="C10055" t="s">
        <v>588</v>
      </c>
      <c r="D10055" s="254">
        <v>3.25</v>
      </c>
      <c r="E10055"/>
      <c r="F10055"/>
      <c r="G10055"/>
      <c r="H10055"/>
      <c r="I10055" s="489"/>
      <c r="J10055" s="1362"/>
      <c r="K10055" s="1362"/>
      <c r="L10055" s="1362"/>
    </row>
    <row r="10056" spans="1:12" x14ac:dyDescent="0.25">
      <c r="A10056">
        <v>99829</v>
      </c>
      <c r="B10056" t="s">
        <v>3252</v>
      </c>
      <c r="C10056" t="s">
        <v>588</v>
      </c>
      <c r="D10056" s="254">
        <v>0.16</v>
      </c>
      <c r="E10056"/>
      <c r="F10056"/>
      <c r="G10056"/>
      <c r="H10056"/>
      <c r="I10056" s="489"/>
      <c r="J10056" s="1362"/>
      <c r="K10056" s="1362"/>
      <c r="L10056" s="1362"/>
    </row>
    <row r="10057" spans="1:12" x14ac:dyDescent="0.25">
      <c r="A10057">
        <v>99830</v>
      </c>
      <c r="B10057" t="s">
        <v>3253</v>
      </c>
      <c r="C10057" t="s">
        <v>588</v>
      </c>
      <c r="D10057" s="254">
        <v>0.01</v>
      </c>
      <c r="E10057"/>
      <c r="F10057"/>
      <c r="G10057"/>
      <c r="H10057"/>
      <c r="I10057" s="489"/>
      <c r="J10057" s="1362"/>
      <c r="K10057" s="1362"/>
      <c r="L10057" s="1362"/>
    </row>
    <row r="10058" spans="1:12" x14ac:dyDescent="0.25">
      <c r="A10058">
        <v>99831</v>
      </c>
      <c r="B10058" t="s">
        <v>3254</v>
      </c>
      <c r="C10058" t="s">
        <v>588</v>
      </c>
      <c r="D10058" s="254">
        <v>0.11</v>
      </c>
      <c r="E10058"/>
      <c r="F10058"/>
      <c r="G10058"/>
      <c r="H10058"/>
      <c r="I10058" s="489"/>
      <c r="J10058" s="1362"/>
      <c r="K10058" s="1362"/>
      <c r="L10058" s="1362"/>
    </row>
    <row r="10059" spans="1:12" x14ac:dyDescent="0.25">
      <c r="A10059">
        <v>99832</v>
      </c>
      <c r="B10059" t="s">
        <v>3255</v>
      </c>
      <c r="C10059" t="s">
        <v>588</v>
      </c>
      <c r="D10059" s="254">
        <v>3.13</v>
      </c>
      <c r="E10059"/>
      <c r="F10059"/>
      <c r="G10059"/>
      <c r="H10059"/>
      <c r="I10059" s="489"/>
      <c r="J10059" s="1362"/>
      <c r="K10059" s="1362"/>
      <c r="L10059" s="1362"/>
    </row>
    <row r="10060" spans="1:12" x14ac:dyDescent="0.25">
      <c r="A10060">
        <v>100637</v>
      </c>
      <c r="B10060" t="s">
        <v>3943</v>
      </c>
      <c r="C10060" t="s">
        <v>588</v>
      </c>
      <c r="D10060" s="254">
        <v>132.16</v>
      </c>
      <c r="E10060"/>
      <c r="F10060"/>
      <c r="G10060"/>
      <c r="H10060"/>
      <c r="I10060" s="489"/>
      <c r="J10060" s="1362"/>
      <c r="K10060" s="1362"/>
      <c r="L10060" s="1362"/>
    </row>
    <row r="10061" spans="1:12" x14ac:dyDescent="0.25">
      <c r="A10061">
        <v>100638</v>
      </c>
      <c r="B10061" t="s">
        <v>3944</v>
      </c>
      <c r="C10061" t="s">
        <v>588</v>
      </c>
      <c r="D10061" s="254">
        <v>23.79</v>
      </c>
      <c r="E10061"/>
      <c r="F10061"/>
      <c r="G10061"/>
      <c r="H10061"/>
      <c r="I10061" s="489"/>
      <c r="J10061" s="1362"/>
      <c r="K10061" s="1362"/>
      <c r="L10061" s="1362"/>
    </row>
    <row r="10062" spans="1:12" x14ac:dyDescent="0.25">
      <c r="A10062">
        <v>100639</v>
      </c>
      <c r="B10062" t="s">
        <v>3945</v>
      </c>
      <c r="C10062" t="s">
        <v>588</v>
      </c>
      <c r="D10062" s="254">
        <v>212.46</v>
      </c>
      <c r="E10062"/>
      <c r="F10062"/>
      <c r="G10062"/>
      <c r="H10062"/>
      <c r="I10062" s="489"/>
      <c r="J10062" s="1362"/>
      <c r="K10062" s="1362"/>
      <c r="L10062" s="1362"/>
    </row>
    <row r="10063" spans="1:12" x14ac:dyDescent="0.25">
      <c r="A10063">
        <v>100640</v>
      </c>
      <c r="B10063" t="s">
        <v>3946</v>
      </c>
      <c r="C10063" t="s">
        <v>588</v>
      </c>
      <c r="D10063" s="254">
        <v>168.98</v>
      </c>
      <c r="E10063"/>
      <c r="F10063"/>
      <c r="G10063"/>
      <c r="H10063"/>
      <c r="I10063" s="489"/>
      <c r="J10063" s="1362"/>
      <c r="K10063" s="1362"/>
      <c r="L10063" s="1362"/>
    </row>
    <row r="10064" spans="1:12" x14ac:dyDescent="0.25">
      <c r="A10064">
        <v>100643</v>
      </c>
      <c r="B10064" t="s">
        <v>3947</v>
      </c>
      <c r="C10064" t="s">
        <v>588</v>
      </c>
      <c r="D10064" s="254">
        <v>347.99</v>
      </c>
      <c r="E10064"/>
      <c r="F10064"/>
      <c r="G10064"/>
      <c r="H10064"/>
      <c r="I10064" s="489"/>
      <c r="J10064" s="1362"/>
      <c r="K10064" s="1362"/>
      <c r="L10064" s="1362"/>
    </row>
    <row r="10065" spans="1:12" x14ac:dyDescent="0.25">
      <c r="A10065">
        <v>100644</v>
      </c>
      <c r="B10065" t="s">
        <v>3948</v>
      </c>
      <c r="C10065" t="s">
        <v>588</v>
      </c>
      <c r="D10065" s="254">
        <v>62.63</v>
      </c>
      <c r="E10065"/>
      <c r="F10065"/>
      <c r="G10065"/>
      <c r="H10065"/>
      <c r="I10065" s="489"/>
      <c r="J10065" s="1362"/>
      <c r="K10065" s="1362"/>
      <c r="L10065" s="1362"/>
    </row>
    <row r="10066" spans="1:12" x14ac:dyDescent="0.25">
      <c r="A10066">
        <v>100645</v>
      </c>
      <c r="B10066" t="s">
        <v>3949</v>
      </c>
      <c r="C10066" t="s">
        <v>588</v>
      </c>
      <c r="D10066" s="254">
        <v>559.4</v>
      </c>
      <c r="E10066"/>
      <c r="F10066"/>
      <c r="G10066"/>
      <c r="H10066"/>
      <c r="I10066" s="489"/>
      <c r="J10066" s="1362"/>
      <c r="K10066" s="1362"/>
      <c r="L10066" s="1362"/>
    </row>
    <row r="10067" spans="1:12" x14ac:dyDescent="0.25">
      <c r="A10067">
        <v>100646</v>
      </c>
      <c r="B10067" t="s">
        <v>3950</v>
      </c>
      <c r="C10067" t="s">
        <v>588</v>
      </c>
      <c r="D10067" s="254">
        <v>241.4</v>
      </c>
      <c r="E10067"/>
      <c r="F10067"/>
      <c r="G10067"/>
      <c r="H10067"/>
      <c r="I10067" s="489"/>
      <c r="J10067" s="1362"/>
      <c r="K10067" s="1362"/>
      <c r="L10067" s="1362"/>
    </row>
    <row r="10068" spans="1:12" x14ac:dyDescent="0.25">
      <c r="A10068">
        <v>102270</v>
      </c>
      <c r="B10068" t="s">
        <v>5972</v>
      </c>
      <c r="C10068" t="s">
        <v>588</v>
      </c>
      <c r="D10068" s="254">
        <v>0.51</v>
      </c>
      <c r="E10068"/>
      <c r="F10068"/>
      <c r="G10068"/>
      <c r="H10068"/>
      <c r="I10068" s="489"/>
      <c r="J10068" s="1362"/>
      <c r="K10068" s="1362"/>
      <c r="L10068" s="1362"/>
    </row>
    <row r="10069" spans="1:12" x14ac:dyDescent="0.25">
      <c r="A10069">
        <v>102271</v>
      </c>
      <c r="B10069" t="s">
        <v>5973</v>
      </c>
      <c r="C10069" t="s">
        <v>588</v>
      </c>
      <c r="D10069" s="254">
        <v>0.06</v>
      </c>
      <c r="E10069"/>
      <c r="F10069"/>
      <c r="G10069"/>
      <c r="H10069"/>
      <c r="I10069" s="489"/>
      <c r="J10069" s="1362"/>
      <c r="K10069" s="1362"/>
      <c r="L10069" s="1362"/>
    </row>
    <row r="10070" spans="1:12" x14ac:dyDescent="0.25">
      <c r="A10070">
        <v>102272</v>
      </c>
      <c r="B10070" t="s">
        <v>5974</v>
      </c>
      <c r="C10070" t="s">
        <v>588</v>
      </c>
      <c r="D10070" s="254">
        <v>0.64</v>
      </c>
      <c r="E10070"/>
      <c r="F10070"/>
      <c r="G10070"/>
      <c r="H10070"/>
      <c r="I10070" s="489"/>
      <c r="J10070" s="1362"/>
      <c r="K10070" s="1362"/>
      <c r="L10070" s="1362"/>
    </row>
    <row r="10071" spans="1:12" x14ac:dyDescent="0.25">
      <c r="A10071">
        <v>102273</v>
      </c>
      <c r="B10071" t="s">
        <v>5975</v>
      </c>
      <c r="C10071" t="s">
        <v>588</v>
      </c>
      <c r="D10071" s="254">
        <v>1.2</v>
      </c>
      <c r="E10071"/>
      <c r="F10071"/>
      <c r="G10071"/>
      <c r="H10071"/>
      <c r="I10071" s="489"/>
      <c r="J10071" s="1362"/>
      <c r="K10071" s="1362"/>
      <c r="L10071" s="1362"/>
    </row>
    <row r="10072" spans="1:12" x14ac:dyDescent="0.25">
      <c r="A10072">
        <v>102809</v>
      </c>
      <c r="B10072" t="s">
        <v>7345</v>
      </c>
      <c r="C10072" t="s">
        <v>588</v>
      </c>
      <c r="D10072" s="254">
        <v>20.23</v>
      </c>
      <c r="E10072"/>
      <c r="F10072"/>
      <c r="G10072"/>
      <c r="H10072"/>
      <c r="I10072" s="489"/>
      <c r="J10072" s="1362"/>
      <c r="K10072" s="1362"/>
      <c r="L10072" s="1362"/>
    </row>
    <row r="10073" spans="1:12" x14ac:dyDescent="0.25">
      <c r="A10073">
        <v>102815</v>
      </c>
      <c r="B10073" t="s">
        <v>7346</v>
      </c>
      <c r="C10073" t="s">
        <v>588</v>
      </c>
      <c r="D10073" s="254">
        <v>2.41</v>
      </c>
      <c r="E10073"/>
      <c r="F10073"/>
      <c r="G10073"/>
      <c r="H10073"/>
      <c r="I10073" s="489"/>
      <c r="J10073" s="1362"/>
      <c r="K10073" s="1362"/>
      <c r="L10073" s="1362"/>
    </row>
    <row r="10074" spans="1:12" x14ac:dyDescent="0.25">
      <c r="A10074">
        <v>102826</v>
      </c>
      <c r="B10074" t="s">
        <v>7347</v>
      </c>
      <c r="C10074" t="s">
        <v>588</v>
      </c>
      <c r="D10074" s="254">
        <v>4.5199999999999996</v>
      </c>
      <c r="E10074"/>
      <c r="F10074"/>
      <c r="G10074"/>
      <c r="H10074"/>
      <c r="I10074" s="489"/>
      <c r="J10074" s="1362"/>
      <c r="K10074" s="1362"/>
      <c r="L10074" s="1362"/>
    </row>
    <row r="10075" spans="1:12" x14ac:dyDescent="0.25">
      <c r="A10075">
        <v>102832</v>
      </c>
      <c r="B10075" t="s">
        <v>7348</v>
      </c>
      <c r="C10075" t="s">
        <v>588</v>
      </c>
      <c r="D10075" s="254">
        <v>6.03</v>
      </c>
      <c r="E10075"/>
      <c r="F10075"/>
      <c r="G10075"/>
      <c r="H10075"/>
      <c r="I10075" s="489"/>
      <c r="J10075" s="1362"/>
      <c r="K10075" s="1362"/>
      <c r="L10075" s="1362"/>
    </row>
    <row r="10076" spans="1:12" x14ac:dyDescent="0.25">
      <c r="A10076">
        <v>102843</v>
      </c>
      <c r="B10076" t="s">
        <v>7349</v>
      </c>
      <c r="C10076" t="s">
        <v>588</v>
      </c>
      <c r="D10076" s="254">
        <v>152.1</v>
      </c>
      <c r="E10076"/>
      <c r="F10076"/>
      <c r="G10076"/>
      <c r="H10076"/>
      <c r="I10076" s="489"/>
      <c r="J10076" s="1362"/>
      <c r="K10076" s="1362"/>
      <c r="L10076" s="1362"/>
    </row>
    <row r="10077" spans="1:12" x14ac:dyDescent="0.25">
      <c r="A10077">
        <v>102849</v>
      </c>
      <c r="B10077" t="s">
        <v>7350</v>
      </c>
      <c r="C10077" t="s">
        <v>588</v>
      </c>
      <c r="D10077" s="254">
        <v>74.36</v>
      </c>
      <c r="E10077"/>
      <c r="F10077"/>
      <c r="G10077"/>
      <c r="H10077"/>
      <c r="I10077" s="489"/>
      <c r="J10077" s="1362"/>
      <c r="K10077" s="1362"/>
      <c r="L10077" s="1362"/>
    </row>
    <row r="10078" spans="1:12" x14ac:dyDescent="0.25">
      <c r="A10078">
        <v>102855</v>
      </c>
      <c r="B10078" t="s">
        <v>7351</v>
      </c>
      <c r="C10078" t="s">
        <v>588</v>
      </c>
      <c r="D10078" s="254">
        <v>74.36</v>
      </c>
      <c r="E10078"/>
      <c r="F10078"/>
      <c r="G10078"/>
      <c r="H10078"/>
      <c r="I10078" s="489"/>
      <c r="J10078" s="1362"/>
      <c r="K10078" s="1362"/>
      <c r="L10078" s="1362"/>
    </row>
    <row r="10079" spans="1:12" x14ac:dyDescent="0.25">
      <c r="A10079">
        <v>102861</v>
      </c>
      <c r="B10079" t="s">
        <v>7352</v>
      </c>
      <c r="C10079" t="s">
        <v>588</v>
      </c>
      <c r="D10079" s="254">
        <v>0.88</v>
      </c>
      <c r="E10079"/>
      <c r="F10079"/>
      <c r="G10079"/>
      <c r="H10079"/>
      <c r="I10079" s="489"/>
      <c r="J10079" s="1362"/>
      <c r="K10079" s="1362"/>
      <c r="L10079" s="1362"/>
    </row>
    <row r="10080" spans="1:12" x14ac:dyDescent="0.25">
      <c r="A10080">
        <v>102867</v>
      </c>
      <c r="B10080" t="s">
        <v>7353</v>
      </c>
      <c r="C10080" t="s">
        <v>588</v>
      </c>
      <c r="D10080" s="254">
        <v>0.48</v>
      </c>
      <c r="E10080"/>
      <c r="F10080"/>
      <c r="G10080"/>
      <c r="H10080"/>
      <c r="I10080" s="489"/>
      <c r="J10080" s="1362"/>
      <c r="K10080" s="1362"/>
      <c r="L10080" s="1362"/>
    </row>
    <row r="10081" spans="1:12" x14ac:dyDescent="0.25">
      <c r="A10081">
        <v>102873</v>
      </c>
      <c r="B10081" t="s">
        <v>7354</v>
      </c>
      <c r="C10081" t="s">
        <v>588</v>
      </c>
      <c r="D10081" s="254">
        <v>135.13</v>
      </c>
      <c r="E10081"/>
      <c r="F10081"/>
      <c r="G10081"/>
      <c r="H10081"/>
      <c r="I10081" s="489"/>
      <c r="J10081" s="1362"/>
      <c r="K10081" s="1362"/>
      <c r="L10081" s="1362"/>
    </row>
    <row r="10082" spans="1:12" x14ac:dyDescent="0.25">
      <c r="A10082">
        <v>102879</v>
      </c>
      <c r="B10082" t="s">
        <v>7355</v>
      </c>
      <c r="C10082" t="s">
        <v>588</v>
      </c>
      <c r="D10082" s="254">
        <v>202.8</v>
      </c>
      <c r="E10082"/>
      <c r="F10082"/>
      <c r="G10082"/>
      <c r="H10082"/>
      <c r="I10082" s="489"/>
      <c r="J10082" s="1362"/>
      <c r="K10082" s="1362"/>
      <c r="L10082" s="1362"/>
    </row>
    <row r="10083" spans="1:12" x14ac:dyDescent="0.25">
      <c r="A10083">
        <v>102885</v>
      </c>
      <c r="B10083" t="s">
        <v>7356</v>
      </c>
      <c r="C10083" t="s">
        <v>588</v>
      </c>
      <c r="D10083" s="254">
        <v>0.9</v>
      </c>
      <c r="E10083"/>
      <c r="F10083"/>
      <c r="G10083"/>
      <c r="H10083"/>
      <c r="I10083" s="489"/>
      <c r="J10083" s="1362"/>
      <c r="K10083" s="1362"/>
      <c r="L10083" s="1362"/>
    </row>
    <row r="10084" spans="1:12" x14ac:dyDescent="0.25">
      <c r="A10084">
        <v>102891</v>
      </c>
      <c r="B10084" t="s">
        <v>7357</v>
      </c>
      <c r="C10084" t="s">
        <v>588</v>
      </c>
      <c r="D10084" s="254">
        <v>0.9</v>
      </c>
      <c r="E10084"/>
      <c r="F10084"/>
      <c r="G10084"/>
      <c r="H10084"/>
      <c r="I10084" s="489"/>
      <c r="J10084" s="1362"/>
      <c r="K10084" s="1362"/>
      <c r="L10084" s="1362"/>
    </row>
    <row r="10085" spans="1:12" x14ac:dyDescent="0.25">
      <c r="A10085">
        <v>102897</v>
      </c>
      <c r="B10085" t="s">
        <v>7358</v>
      </c>
      <c r="C10085" t="s">
        <v>588</v>
      </c>
      <c r="D10085" s="254">
        <v>101.6</v>
      </c>
      <c r="E10085"/>
      <c r="F10085"/>
      <c r="G10085"/>
      <c r="H10085"/>
      <c r="I10085" s="489"/>
      <c r="J10085" s="1362"/>
      <c r="K10085" s="1362"/>
      <c r="L10085" s="1362"/>
    </row>
    <row r="10086" spans="1:12" x14ac:dyDescent="0.25">
      <c r="A10086">
        <v>102903</v>
      </c>
      <c r="B10086" t="s">
        <v>7359</v>
      </c>
      <c r="C10086" t="s">
        <v>588</v>
      </c>
      <c r="D10086" s="254">
        <v>13.18</v>
      </c>
      <c r="E10086"/>
      <c r="F10086"/>
      <c r="G10086"/>
      <c r="H10086"/>
      <c r="I10086" s="489"/>
      <c r="J10086" s="1362"/>
      <c r="K10086" s="1362"/>
      <c r="L10086" s="1362"/>
    </row>
    <row r="10087" spans="1:12" x14ac:dyDescent="0.25">
      <c r="A10087">
        <v>102909</v>
      </c>
      <c r="B10087" t="s">
        <v>7360</v>
      </c>
      <c r="C10087" t="s">
        <v>588</v>
      </c>
      <c r="D10087" s="254">
        <v>69.400000000000006</v>
      </c>
      <c r="E10087"/>
      <c r="F10087"/>
      <c r="G10087"/>
      <c r="H10087"/>
      <c r="I10087" s="489"/>
      <c r="J10087" s="1362"/>
      <c r="K10087" s="1362"/>
      <c r="L10087" s="1362"/>
    </row>
    <row r="10088" spans="1:12" x14ac:dyDescent="0.25">
      <c r="A10088">
        <v>102915</v>
      </c>
      <c r="B10088" t="s">
        <v>7361</v>
      </c>
      <c r="C10088" t="s">
        <v>588</v>
      </c>
      <c r="D10088" s="254">
        <v>0.44</v>
      </c>
      <c r="E10088"/>
      <c r="F10088"/>
      <c r="G10088"/>
      <c r="H10088"/>
      <c r="I10088" s="489"/>
      <c r="J10088" s="1362"/>
      <c r="K10088" s="1362"/>
      <c r="L10088" s="1362"/>
    </row>
    <row r="10089" spans="1:12" x14ac:dyDescent="0.25">
      <c r="A10089">
        <v>102927</v>
      </c>
      <c r="B10089" t="s">
        <v>7362</v>
      </c>
      <c r="C10089" t="s">
        <v>588</v>
      </c>
      <c r="D10089" s="254">
        <v>0.66</v>
      </c>
      <c r="E10089"/>
      <c r="F10089"/>
      <c r="G10089"/>
      <c r="H10089"/>
      <c r="I10089" s="489"/>
      <c r="J10089" s="1362"/>
      <c r="K10089" s="1362"/>
      <c r="L10089" s="1362"/>
    </row>
    <row r="10090" spans="1:12" x14ac:dyDescent="0.25">
      <c r="A10090">
        <v>102933</v>
      </c>
      <c r="B10090" t="s">
        <v>7363</v>
      </c>
      <c r="C10090" t="s">
        <v>588</v>
      </c>
      <c r="D10090" s="254">
        <v>0.66</v>
      </c>
      <c r="E10090"/>
      <c r="F10090"/>
      <c r="G10090"/>
      <c r="H10090"/>
      <c r="I10090" s="489"/>
      <c r="J10090" s="1362"/>
      <c r="K10090" s="1362"/>
      <c r="L10090" s="1362"/>
    </row>
    <row r="10091" spans="1:12" x14ac:dyDescent="0.25">
      <c r="A10091">
        <v>102939</v>
      </c>
      <c r="B10091" t="s">
        <v>7364</v>
      </c>
      <c r="C10091" t="s">
        <v>588</v>
      </c>
      <c r="D10091" s="254">
        <v>6.63</v>
      </c>
      <c r="E10091"/>
      <c r="F10091"/>
      <c r="G10091"/>
      <c r="H10091"/>
      <c r="I10091" s="489"/>
      <c r="J10091" s="1362"/>
      <c r="K10091" s="1362"/>
      <c r="L10091" s="1362"/>
    </row>
    <row r="10092" spans="1:12" x14ac:dyDescent="0.25">
      <c r="A10092">
        <v>102945</v>
      </c>
      <c r="B10092" t="s">
        <v>7365</v>
      </c>
      <c r="C10092" t="s">
        <v>588</v>
      </c>
      <c r="D10092" s="254">
        <v>0.01</v>
      </c>
      <c r="E10092"/>
      <c r="F10092"/>
      <c r="G10092"/>
      <c r="H10092"/>
      <c r="I10092" s="489"/>
      <c r="J10092" s="1362"/>
      <c r="K10092" s="1362"/>
      <c r="L10092" s="1362"/>
    </row>
    <row r="10093" spans="1:12" x14ac:dyDescent="0.25">
      <c r="A10093">
        <v>102951</v>
      </c>
      <c r="B10093" t="s">
        <v>7366</v>
      </c>
      <c r="C10093" t="s">
        <v>588</v>
      </c>
      <c r="D10093" s="254">
        <v>0.44</v>
      </c>
      <c r="E10093"/>
      <c r="F10093"/>
      <c r="G10093"/>
      <c r="H10093"/>
      <c r="I10093" s="489"/>
      <c r="J10093" s="1362"/>
      <c r="K10093" s="1362"/>
      <c r="L10093" s="1362"/>
    </row>
    <row r="10094" spans="1:12" x14ac:dyDescent="0.25">
      <c r="A10094">
        <v>102957</v>
      </c>
      <c r="B10094" t="s">
        <v>7367</v>
      </c>
      <c r="C10094" t="s">
        <v>588</v>
      </c>
      <c r="D10094" s="254">
        <v>57.66</v>
      </c>
      <c r="E10094"/>
      <c r="F10094"/>
      <c r="G10094"/>
      <c r="H10094"/>
      <c r="I10094" s="489"/>
      <c r="J10094" s="1362"/>
      <c r="K10094" s="1362"/>
      <c r="L10094" s="1362"/>
    </row>
    <row r="10095" spans="1:12" x14ac:dyDescent="0.25">
      <c r="A10095">
        <v>102963</v>
      </c>
      <c r="B10095" t="s">
        <v>7368</v>
      </c>
      <c r="C10095" t="s">
        <v>588</v>
      </c>
      <c r="D10095" s="254">
        <v>95.78</v>
      </c>
      <c r="E10095"/>
      <c r="F10095"/>
      <c r="G10095"/>
      <c r="H10095"/>
      <c r="I10095" s="489"/>
      <c r="J10095" s="1362"/>
      <c r="K10095" s="1362"/>
      <c r="L10095" s="1362"/>
    </row>
    <row r="10096" spans="1:12" x14ac:dyDescent="0.25">
      <c r="A10096">
        <v>102969</v>
      </c>
      <c r="B10096" t="s">
        <v>7369</v>
      </c>
      <c r="C10096" t="s">
        <v>588</v>
      </c>
      <c r="D10096" s="254">
        <v>0.9</v>
      </c>
      <c r="E10096"/>
      <c r="F10096"/>
      <c r="G10096"/>
      <c r="H10096"/>
      <c r="I10096" s="489"/>
      <c r="J10096" s="1362"/>
      <c r="K10096" s="1362"/>
      <c r="L10096" s="1362"/>
    </row>
    <row r="10097" spans="1:12" x14ac:dyDescent="0.25">
      <c r="A10097">
        <v>102985</v>
      </c>
      <c r="B10097" t="s">
        <v>7370</v>
      </c>
      <c r="C10097" t="s">
        <v>588</v>
      </c>
      <c r="D10097" s="254">
        <v>3.38</v>
      </c>
      <c r="E10097"/>
      <c r="F10097"/>
      <c r="G10097"/>
      <c r="H10097"/>
      <c r="I10097" s="489"/>
      <c r="J10097" s="1362"/>
      <c r="K10097" s="1362"/>
      <c r="L10097" s="1362"/>
    </row>
    <row r="10098" spans="1:12" x14ac:dyDescent="0.25">
      <c r="A10098">
        <v>103156</v>
      </c>
      <c r="B10098" t="s">
        <v>7371</v>
      </c>
      <c r="C10098" t="s">
        <v>588</v>
      </c>
      <c r="D10098" s="254">
        <v>1.68</v>
      </c>
      <c r="E10098"/>
      <c r="F10098"/>
      <c r="G10098"/>
      <c r="H10098"/>
      <c r="I10098" s="489"/>
      <c r="J10098" s="1362"/>
      <c r="K10098" s="1362"/>
      <c r="L10098" s="1362"/>
    </row>
    <row r="10099" spans="1:12" x14ac:dyDescent="0.25">
      <c r="A10099">
        <v>103162</v>
      </c>
      <c r="B10099" t="s">
        <v>7372</v>
      </c>
      <c r="C10099" t="s">
        <v>588</v>
      </c>
      <c r="D10099" s="254">
        <v>2.11</v>
      </c>
      <c r="E10099"/>
      <c r="F10099"/>
      <c r="G10099"/>
      <c r="H10099"/>
      <c r="I10099" s="489"/>
      <c r="J10099" s="1362"/>
      <c r="K10099" s="1362"/>
      <c r="L10099" s="1362"/>
    </row>
    <row r="10100" spans="1:12" x14ac:dyDescent="0.25">
      <c r="A10100">
        <v>103168</v>
      </c>
      <c r="B10100" t="s">
        <v>7373</v>
      </c>
      <c r="C10100" t="s">
        <v>588</v>
      </c>
      <c r="D10100" s="254">
        <v>2.41</v>
      </c>
      <c r="E10100"/>
      <c r="F10100"/>
      <c r="G10100"/>
      <c r="H10100"/>
      <c r="I10100" s="489"/>
      <c r="J10100" s="1362"/>
      <c r="K10100" s="1362"/>
      <c r="L10100" s="1362"/>
    </row>
    <row r="10101" spans="1:12" x14ac:dyDescent="0.25">
      <c r="A10101">
        <v>103174</v>
      </c>
      <c r="B10101" t="s">
        <v>7374</v>
      </c>
      <c r="C10101" t="s">
        <v>588</v>
      </c>
      <c r="D10101" s="254">
        <v>6.03</v>
      </c>
      <c r="E10101"/>
      <c r="F10101"/>
      <c r="G10101"/>
      <c r="H10101"/>
      <c r="I10101" s="489"/>
      <c r="J10101" s="1362"/>
      <c r="K10101" s="1362"/>
      <c r="L10101" s="1362"/>
    </row>
    <row r="10102" spans="1:12" x14ac:dyDescent="0.25">
      <c r="A10102">
        <v>103180</v>
      </c>
      <c r="B10102" t="s">
        <v>7375</v>
      </c>
      <c r="C10102" t="s">
        <v>588</v>
      </c>
      <c r="D10102" s="254">
        <v>13.88</v>
      </c>
      <c r="E10102"/>
      <c r="F10102"/>
      <c r="G10102"/>
      <c r="H10102"/>
      <c r="I10102" s="489"/>
      <c r="J10102" s="1362"/>
      <c r="K10102" s="1362"/>
      <c r="L10102" s="1362"/>
    </row>
    <row r="10103" spans="1:12" x14ac:dyDescent="0.25">
      <c r="A10103">
        <v>103223</v>
      </c>
      <c r="B10103" t="s">
        <v>7376</v>
      </c>
      <c r="C10103" t="s">
        <v>588</v>
      </c>
      <c r="D10103" s="254">
        <v>39.61</v>
      </c>
      <c r="E10103"/>
      <c r="F10103"/>
      <c r="G10103"/>
      <c r="H10103"/>
      <c r="I10103" s="489"/>
      <c r="J10103" s="1362"/>
      <c r="K10103" s="1362"/>
      <c r="L10103" s="1362"/>
    </row>
    <row r="10104" spans="1:12" x14ac:dyDescent="0.25">
      <c r="A10104">
        <v>103229</v>
      </c>
      <c r="B10104" t="s">
        <v>7377</v>
      </c>
      <c r="C10104" t="s">
        <v>588</v>
      </c>
      <c r="D10104" s="254">
        <v>98.35</v>
      </c>
      <c r="E10104"/>
      <c r="F10104"/>
      <c r="G10104"/>
      <c r="H10104"/>
      <c r="I10104" s="489"/>
      <c r="J10104" s="1362"/>
      <c r="K10104" s="1362"/>
      <c r="L10104" s="1362"/>
    </row>
    <row r="10105" spans="1:12" x14ac:dyDescent="0.25">
      <c r="A10105">
        <v>103235</v>
      </c>
      <c r="B10105" t="s">
        <v>7378</v>
      </c>
      <c r="C10105" t="s">
        <v>588</v>
      </c>
      <c r="D10105" s="254">
        <v>174</v>
      </c>
      <c r="E10105"/>
      <c r="F10105"/>
      <c r="G10105"/>
      <c r="H10105"/>
      <c r="I10105" s="489"/>
      <c r="J10105" s="1362"/>
      <c r="K10105" s="1362"/>
      <c r="L10105" s="1362"/>
    </row>
    <row r="10106" spans="1:12" x14ac:dyDescent="0.25">
      <c r="A10106">
        <v>103241</v>
      </c>
      <c r="B10106" t="s">
        <v>7379</v>
      </c>
      <c r="C10106" t="s">
        <v>588</v>
      </c>
      <c r="D10106" s="254">
        <v>6.43</v>
      </c>
      <c r="E10106"/>
      <c r="F10106"/>
      <c r="G10106"/>
      <c r="H10106"/>
      <c r="I10106" s="489"/>
      <c r="J10106" s="1362"/>
      <c r="K10106" s="1362"/>
      <c r="L10106" s="1362"/>
    </row>
    <row r="10107" spans="1:12" x14ac:dyDescent="0.25">
      <c r="A10107">
        <v>103660</v>
      </c>
      <c r="B10107" t="s">
        <v>13498</v>
      </c>
      <c r="C10107" t="s">
        <v>588</v>
      </c>
      <c r="D10107" s="254">
        <v>7.45</v>
      </c>
      <c r="E10107"/>
      <c r="F10107"/>
      <c r="G10107"/>
      <c r="H10107"/>
      <c r="I10107" s="489"/>
      <c r="J10107" s="1362"/>
      <c r="K10107" s="1362"/>
      <c r="L10107" s="1362"/>
    </row>
    <row r="10108" spans="1:12" x14ac:dyDescent="0.25">
      <c r="A10108">
        <v>103666</v>
      </c>
      <c r="B10108" t="s">
        <v>18391</v>
      </c>
      <c r="C10108" t="s">
        <v>588</v>
      </c>
      <c r="D10108" s="254">
        <v>104.91</v>
      </c>
      <c r="E10108"/>
      <c r="F10108"/>
      <c r="G10108"/>
      <c r="H10108"/>
      <c r="I10108" s="489"/>
      <c r="J10108" s="1362"/>
      <c r="K10108" s="1362"/>
      <c r="L10108" s="1362"/>
    </row>
    <row r="10109" spans="1:12" x14ac:dyDescent="0.25">
      <c r="A10109">
        <v>103792</v>
      </c>
      <c r="B10109" t="s">
        <v>13591</v>
      </c>
      <c r="C10109" t="s">
        <v>588</v>
      </c>
      <c r="D10109" s="254">
        <v>0.19</v>
      </c>
      <c r="E10109"/>
      <c r="F10109"/>
      <c r="G10109"/>
      <c r="H10109"/>
      <c r="I10109" s="489"/>
      <c r="J10109" s="1362"/>
      <c r="K10109" s="1362"/>
      <c r="L10109" s="1362"/>
    </row>
    <row r="10110" spans="1:12" x14ac:dyDescent="0.25">
      <c r="A10110">
        <v>103937</v>
      </c>
      <c r="B10110" t="s">
        <v>18392</v>
      </c>
      <c r="C10110" t="s">
        <v>588</v>
      </c>
      <c r="D10110" s="254">
        <v>1.08</v>
      </c>
      <c r="E10110"/>
      <c r="F10110"/>
      <c r="G10110"/>
      <c r="H10110"/>
      <c r="I10110" s="489"/>
      <c r="J10110" s="1362"/>
      <c r="K10110" s="1362"/>
      <c r="L10110" s="1362"/>
    </row>
    <row r="10111" spans="1:12" x14ac:dyDescent="0.25">
      <c r="A10111">
        <v>103943</v>
      </c>
      <c r="B10111" t="s">
        <v>18393</v>
      </c>
      <c r="C10111" t="s">
        <v>588</v>
      </c>
      <c r="D10111" s="254">
        <v>1.08</v>
      </c>
      <c r="E10111"/>
      <c r="F10111"/>
      <c r="G10111"/>
      <c r="H10111"/>
      <c r="I10111" s="489"/>
      <c r="J10111" s="1362"/>
      <c r="K10111" s="1362"/>
      <c r="L10111" s="1362"/>
    </row>
    <row r="10112" spans="1:12" x14ac:dyDescent="0.25">
      <c r="A10112">
        <v>104087</v>
      </c>
      <c r="B10112" t="s">
        <v>18394</v>
      </c>
      <c r="C10112" t="s">
        <v>588</v>
      </c>
      <c r="D10112" s="254">
        <v>0.05</v>
      </c>
      <c r="E10112"/>
      <c r="F10112"/>
      <c r="G10112"/>
      <c r="H10112"/>
      <c r="I10112" s="489"/>
      <c r="J10112" s="1362"/>
      <c r="K10112" s="1362"/>
      <c r="L10112" s="1362"/>
    </row>
    <row r="10113" spans="1:12" x14ac:dyDescent="0.25">
      <c r="A10113">
        <v>104088</v>
      </c>
      <c r="B10113" t="s">
        <v>18395</v>
      </c>
      <c r="C10113" t="s">
        <v>588</v>
      </c>
      <c r="D10113" s="254">
        <v>7.0000000000000007E-2</v>
      </c>
      <c r="E10113"/>
      <c r="F10113"/>
      <c r="G10113"/>
      <c r="H10113"/>
      <c r="I10113" s="489"/>
      <c r="J10113" s="1362"/>
      <c r="K10113" s="1362"/>
      <c r="L10113" s="1362"/>
    </row>
    <row r="10114" spans="1:12" x14ac:dyDescent="0.25">
      <c r="A10114">
        <v>104089</v>
      </c>
      <c r="B10114" t="s">
        <v>18396</v>
      </c>
      <c r="C10114" t="s">
        <v>588</v>
      </c>
      <c r="D10114" s="254">
        <v>7.0000000000000007E-2</v>
      </c>
      <c r="E10114"/>
      <c r="F10114"/>
      <c r="G10114"/>
      <c r="H10114"/>
      <c r="I10114" s="489"/>
      <c r="J10114" s="1362"/>
      <c r="K10114" s="1362"/>
      <c r="L10114" s="1362"/>
    </row>
    <row r="10115" spans="1:12" x14ac:dyDescent="0.25">
      <c r="A10115">
        <v>104090</v>
      </c>
      <c r="B10115" t="s">
        <v>18397</v>
      </c>
      <c r="C10115" t="s">
        <v>588</v>
      </c>
      <c r="D10115" s="254">
        <v>0.48</v>
      </c>
      <c r="E10115"/>
      <c r="F10115"/>
      <c r="G10115"/>
      <c r="H10115"/>
      <c r="I10115" s="489"/>
      <c r="J10115" s="1362"/>
      <c r="K10115" s="1362"/>
      <c r="L10115" s="1362"/>
    </row>
    <row r="10116" spans="1:12" x14ac:dyDescent="0.25">
      <c r="A10116">
        <v>104093</v>
      </c>
      <c r="B10116" t="s">
        <v>18398</v>
      </c>
      <c r="C10116" t="s">
        <v>588</v>
      </c>
      <c r="D10116" s="254">
        <v>0.08</v>
      </c>
      <c r="E10116"/>
      <c r="F10116"/>
      <c r="G10116"/>
      <c r="H10116"/>
      <c r="I10116" s="489"/>
      <c r="J10116" s="1362"/>
      <c r="K10116" s="1362"/>
      <c r="L10116" s="1362"/>
    </row>
    <row r="10117" spans="1:12" x14ac:dyDescent="0.25">
      <c r="A10117">
        <v>104094</v>
      </c>
      <c r="B10117" t="s">
        <v>18399</v>
      </c>
      <c r="C10117" t="s">
        <v>588</v>
      </c>
      <c r="D10117" s="254">
        <v>0.09</v>
      </c>
      <c r="E10117"/>
      <c r="F10117"/>
      <c r="G10117"/>
      <c r="H10117"/>
      <c r="I10117" s="489"/>
      <c r="J10117" s="1362"/>
      <c r="K10117" s="1362"/>
      <c r="L10117" s="1362"/>
    </row>
    <row r="10118" spans="1:12" x14ac:dyDescent="0.25">
      <c r="A10118">
        <v>104095</v>
      </c>
      <c r="B10118" t="s">
        <v>18400</v>
      </c>
      <c r="C10118" t="s">
        <v>588</v>
      </c>
      <c r="D10118" s="254">
        <v>0.1</v>
      </c>
      <c r="E10118"/>
      <c r="F10118"/>
      <c r="G10118"/>
      <c r="H10118"/>
      <c r="I10118" s="489"/>
      <c r="J10118" s="1362"/>
      <c r="K10118" s="1362"/>
      <c r="L10118" s="1362"/>
    </row>
    <row r="10119" spans="1:12" x14ac:dyDescent="0.25">
      <c r="A10119">
        <v>104096</v>
      </c>
      <c r="B10119" t="s">
        <v>18401</v>
      </c>
      <c r="C10119" t="s">
        <v>588</v>
      </c>
      <c r="D10119" s="254">
        <v>0.66</v>
      </c>
      <c r="E10119"/>
      <c r="F10119"/>
      <c r="G10119"/>
      <c r="H10119"/>
      <c r="I10119" s="489"/>
      <c r="J10119" s="1362"/>
      <c r="K10119" s="1362"/>
      <c r="L10119" s="1362"/>
    </row>
    <row r="10120" spans="1:12" x14ac:dyDescent="0.25">
      <c r="A10120">
        <v>92259</v>
      </c>
      <c r="B10120" t="s">
        <v>3348</v>
      </c>
      <c r="C10120" t="s">
        <v>138</v>
      </c>
      <c r="D10120" s="254">
        <v>580.30999999999995</v>
      </c>
      <c r="E10120"/>
      <c r="F10120"/>
      <c r="G10120"/>
      <c r="H10120"/>
      <c r="I10120" s="489"/>
      <c r="J10120" s="1362"/>
      <c r="K10120" s="1362"/>
      <c r="L10120" s="1362"/>
    </row>
    <row r="10121" spans="1:12" x14ac:dyDescent="0.25">
      <c r="A10121">
        <v>92260</v>
      </c>
      <c r="B10121" t="s">
        <v>3349</v>
      </c>
      <c r="C10121" t="s">
        <v>138</v>
      </c>
      <c r="D10121" s="254">
        <v>648.25</v>
      </c>
      <c r="E10121"/>
      <c r="F10121"/>
      <c r="G10121"/>
      <c r="H10121"/>
      <c r="I10121" s="489"/>
      <c r="J10121" s="1362"/>
      <c r="K10121" s="1362"/>
      <c r="L10121" s="1362"/>
    </row>
    <row r="10122" spans="1:12" x14ac:dyDescent="0.25">
      <c r="A10122">
        <v>92261</v>
      </c>
      <c r="B10122" t="s">
        <v>3350</v>
      </c>
      <c r="C10122" t="s">
        <v>138</v>
      </c>
      <c r="D10122" s="254">
        <v>714.11</v>
      </c>
      <c r="E10122"/>
      <c r="F10122"/>
      <c r="G10122"/>
      <c r="H10122"/>
      <c r="I10122" s="489"/>
      <c r="J10122" s="1362"/>
      <c r="K10122" s="1362"/>
      <c r="L10122" s="1362"/>
    </row>
    <row r="10123" spans="1:12" x14ac:dyDescent="0.25">
      <c r="A10123">
        <v>92262</v>
      </c>
      <c r="B10123" t="s">
        <v>3351</v>
      </c>
      <c r="C10123" t="s">
        <v>138</v>
      </c>
      <c r="D10123" s="254">
        <v>820.15</v>
      </c>
      <c r="E10123"/>
      <c r="F10123"/>
      <c r="G10123"/>
      <c r="H10123"/>
      <c r="I10123" s="489"/>
      <c r="J10123" s="1362"/>
      <c r="K10123" s="1362"/>
      <c r="L10123" s="1362"/>
    </row>
    <row r="10124" spans="1:12" x14ac:dyDescent="0.25">
      <c r="A10124">
        <v>92539</v>
      </c>
      <c r="B10124" t="s">
        <v>3352</v>
      </c>
      <c r="C10124" t="s">
        <v>297</v>
      </c>
      <c r="D10124" s="254">
        <v>101.19</v>
      </c>
      <c r="E10124"/>
      <c r="F10124"/>
      <c r="G10124"/>
      <c r="H10124"/>
      <c r="I10124" s="489"/>
      <c r="J10124" s="1362"/>
      <c r="K10124" s="1362"/>
      <c r="L10124" s="1362"/>
    </row>
    <row r="10125" spans="1:12" x14ac:dyDescent="0.25">
      <c r="A10125">
        <v>92540</v>
      </c>
      <c r="B10125" t="s">
        <v>3353</v>
      </c>
      <c r="C10125" t="s">
        <v>297</v>
      </c>
      <c r="D10125" s="254">
        <v>111.49</v>
      </c>
      <c r="E10125"/>
      <c r="F10125"/>
      <c r="G10125"/>
      <c r="H10125"/>
      <c r="I10125" s="489"/>
      <c r="J10125" s="1362"/>
      <c r="K10125" s="1362"/>
      <c r="L10125" s="1362"/>
    </row>
    <row r="10126" spans="1:12" x14ac:dyDescent="0.25">
      <c r="A10126">
        <v>92541</v>
      </c>
      <c r="B10126" t="s">
        <v>3354</v>
      </c>
      <c r="C10126" t="s">
        <v>297</v>
      </c>
      <c r="D10126" s="254">
        <v>109.63</v>
      </c>
      <c r="E10126"/>
      <c r="F10126"/>
      <c r="G10126"/>
      <c r="H10126"/>
      <c r="I10126" s="489"/>
      <c r="J10126" s="1362"/>
      <c r="K10126" s="1362"/>
      <c r="L10126" s="1362"/>
    </row>
    <row r="10127" spans="1:12" x14ac:dyDescent="0.25">
      <c r="A10127">
        <v>92542</v>
      </c>
      <c r="B10127" t="s">
        <v>3355</v>
      </c>
      <c r="C10127" t="s">
        <v>297</v>
      </c>
      <c r="D10127" s="254">
        <v>131.63999999999999</v>
      </c>
      <c r="E10127"/>
      <c r="F10127"/>
      <c r="G10127"/>
      <c r="H10127"/>
      <c r="I10127" s="489"/>
      <c r="J10127" s="1362"/>
      <c r="K10127" s="1362"/>
      <c r="L10127" s="1362"/>
    </row>
    <row r="10128" spans="1:12" x14ac:dyDescent="0.25">
      <c r="A10128">
        <v>92543</v>
      </c>
      <c r="B10128" t="s">
        <v>3356</v>
      </c>
      <c r="C10128" t="s">
        <v>297</v>
      </c>
      <c r="D10128" s="254">
        <v>31.25</v>
      </c>
      <c r="E10128"/>
      <c r="F10128"/>
      <c r="G10128"/>
      <c r="H10128"/>
      <c r="I10128" s="489"/>
      <c r="J10128" s="1362"/>
      <c r="K10128" s="1362"/>
      <c r="L10128" s="1362"/>
    </row>
    <row r="10129" spans="1:12" x14ac:dyDescent="0.25">
      <c r="A10129">
        <v>92544</v>
      </c>
      <c r="B10129" t="s">
        <v>3357</v>
      </c>
      <c r="C10129" t="s">
        <v>297</v>
      </c>
      <c r="D10129" s="254">
        <v>24.9</v>
      </c>
      <c r="E10129"/>
      <c r="F10129"/>
      <c r="G10129"/>
      <c r="H10129"/>
      <c r="I10129" s="489"/>
      <c r="J10129" s="1362"/>
      <c r="K10129" s="1362"/>
      <c r="L10129" s="1362"/>
    </row>
    <row r="10130" spans="1:12" x14ac:dyDescent="0.25">
      <c r="A10130">
        <v>92545</v>
      </c>
      <c r="B10130" t="s">
        <v>3358</v>
      </c>
      <c r="C10130" t="s">
        <v>138</v>
      </c>
      <c r="D10130" s="254">
        <v>1270.05</v>
      </c>
      <c r="E10130"/>
      <c r="F10130"/>
      <c r="G10130"/>
      <c r="H10130"/>
      <c r="I10130" s="489"/>
      <c r="J10130" s="1362"/>
      <c r="K10130" s="1362"/>
      <c r="L10130" s="1362"/>
    </row>
    <row r="10131" spans="1:12" x14ac:dyDescent="0.25">
      <c r="A10131">
        <v>92546</v>
      </c>
      <c r="B10131" t="s">
        <v>3359</v>
      </c>
      <c r="C10131" t="s">
        <v>138</v>
      </c>
      <c r="D10131" s="254">
        <v>1559.38</v>
      </c>
      <c r="E10131"/>
      <c r="F10131"/>
      <c r="G10131"/>
      <c r="H10131"/>
      <c r="I10131" s="489"/>
      <c r="J10131" s="1362"/>
      <c r="K10131" s="1362"/>
      <c r="L10131" s="1362"/>
    </row>
    <row r="10132" spans="1:12" x14ac:dyDescent="0.25">
      <c r="A10132">
        <v>92547</v>
      </c>
      <c r="B10132" t="s">
        <v>3360</v>
      </c>
      <c r="C10132" t="s">
        <v>138</v>
      </c>
      <c r="D10132" s="254">
        <v>1660.87</v>
      </c>
      <c r="E10132"/>
      <c r="F10132"/>
      <c r="G10132"/>
      <c r="H10132"/>
      <c r="I10132" s="489"/>
      <c r="J10132" s="1362"/>
      <c r="K10132" s="1362"/>
      <c r="L10132" s="1362"/>
    </row>
    <row r="10133" spans="1:12" x14ac:dyDescent="0.25">
      <c r="A10133">
        <v>92548</v>
      </c>
      <c r="B10133" t="s">
        <v>3361</v>
      </c>
      <c r="C10133" t="s">
        <v>138</v>
      </c>
      <c r="D10133" s="254">
        <v>1850.4</v>
      </c>
      <c r="E10133"/>
      <c r="F10133"/>
      <c r="G10133"/>
      <c r="H10133"/>
      <c r="I10133" s="489"/>
      <c r="J10133" s="1362"/>
      <c r="K10133" s="1362"/>
      <c r="L10133" s="1362"/>
    </row>
    <row r="10134" spans="1:12" x14ac:dyDescent="0.25">
      <c r="A10134">
        <v>92549</v>
      </c>
      <c r="B10134" t="s">
        <v>3362</v>
      </c>
      <c r="C10134" t="s">
        <v>138</v>
      </c>
      <c r="D10134" s="254">
        <v>2292.21</v>
      </c>
      <c r="E10134"/>
      <c r="F10134"/>
      <c r="G10134"/>
      <c r="H10134"/>
      <c r="I10134" s="489"/>
      <c r="J10134" s="1362"/>
      <c r="K10134" s="1362"/>
      <c r="L10134" s="1362"/>
    </row>
    <row r="10135" spans="1:12" x14ac:dyDescent="0.25">
      <c r="A10135">
        <v>92550</v>
      </c>
      <c r="B10135" t="s">
        <v>3363</v>
      </c>
      <c r="C10135" t="s">
        <v>138</v>
      </c>
      <c r="D10135" s="254">
        <v>2831.88</v>
      </c>
      <c r="E10135"/>
      <c r="F10135"/>
      <c r="G10135"/>
      <c r="H10135"/>
      <c r="I10135" s="489"/>
      <c r="J10135" s="1362"/>
      <c r="K10135" s="1362"/>
      <c r="L10135" s="1362"/>
    </row>
    <row r="10136" spans="1:12" x14ac:dyDescent="0.25">
      <c r="A10136">
        <v>92551</v>
      </c>
      <c r="B10136" t="s">
        <v>3364</v>
      </c>
      <c r="C10136" t="s">
        <v>138</v>
      </c>
      <c r="D10136" s="254">
        <v>2962.63</v>
      </c>
      <c r="E10136"/>
      <c r="F10136"/>
      <c r="G10136"/>
      <c r="H10136"/>
      <c r="I10136" s="489"/>
      <c r="J10136" s="1362"/>
      <c r="K10136" s="1362"/>
      <c r="L10136" s="1362"/>
    </row>
    <row r="10137" spans="1:12" x14ac:dyDescent="0.25">
      <c r="A10137">
        <v>92552</v>
      </c>
      <c r="B10137" t="s">
        <v>3365</v>
      </c>
      <c r="C10137" t="s">
        <v>138</v>
      </c>
      <c r="D10137" s="254">
        <v>3219.52</v>
      </c>
      <c r="E10137"/>
      <c r="F10137"/>
      <c r="G10137"/>
      <c r="H10137"/>
      <c r="I10137" s="489"/>
      <c r="J10137" s="1362"/>
      <c r="K10137" s="1362"/>
      <c r="L10137" s="1362"/>
    </row>
    <row r="10138" spans="1:12" x14ac:dyDescent="0.25">
      <c r="A10138">
        <v>92553</v>
      </c>
      <c r="B10138" t="s">
        <v>3366</v>
      </c>
      <c r="C10138" t="s">
        <v>138</v>
      </c>
      <c r="D10138" s="254">
        <v>3673.52</v>
      </c>
      <c r="E10138"/>
      <c r="F10138"/>
      <c r="G10138"/>
      <c r="H10138"/>
      <c r="I10138" s="489"/>
      <c r="J10138" s="1362"/>
      <c r="K10138" s="1362"/>
      <c r="L10138" s="1362"/>
    </row>
    <row r="10139" spans="1:12" x14ac:dyDescent="0.25">
      <c r="A10139">
        <v>92554</v>
      </c>
      <c r="B10139" t="s">
        <v>3367</v>
      </c>
      <c r="C10139" t="s">
        <v>138</v>
      </c>
      <c r="D10139" s="254">
        <v>3823.53</v>
      </c>
      <c r="E10139"/>
      <c r="F10139"/>
      <c r="G10139"/>
      <c r="H10139"/>
      <c r="I10139" s="489"/>
      <c r="J10139" s="1362"/>
      <c r="K10139" s="1362"/>
      <c r="L10139" s="1362"/>
    </row>
    <row r="10140" spans="1:12" x14ac:dyDescent="0.25">
      <c r="A10140">
        <v>92555</v>
      </c>
      <c r="B10140" t="s">
        <v>3368</v>
      </c>
      <c r="C10140" t="s">
        <v>138</v>
      </c>
      <c r="D10140" s="254">
        <v>1249.96</v>
      </c>
      <c r="E10140"/>
      <c r="F10140"/>
      <c r="G10140"/>
      <c r="H10140"/>
      <c r="I10140" s="489"/>
      <c r="J10140" s="1362"/>
      <c r="K10140" s="1362"/>
      <c r="L10140" s="1362"/>
    </row>
    <row r="10141" spans="1:12" x14ac:dyDescent="0.25">
      <c r="A10141">
        <v>92556</v>
      </c>
      <c r="B10141" t="s">
        <v>3369</v>
      </c>
      <c r="C10141" t="s">
        <v>138</v>
      </c>
      <c r="D10141" s="254">
        <v>1524.17</v>
      </c>
      <c r="E10141"/>
      <c r="F10141"/>
      <c r="G10141"/>
      <c r="H10141"/>
      <c r="I10141" s="489"/>
      <c r="J10141" s="1362"/>
      <c r="K10141" s="1362"/>
      <c r="L10141" s="1362"/>
    </row>
    <row r="10142" spans="1:12" x14ac:dyDescent="0.25">
      <c r="A10142">
        <v>92557</v>
      </c>
      <c r="B10142" t="s">
        <v>3370</v>
      </c>
      <c r="C10142" t="s">
        <v>138</v>
      </c>
      <c r="D10142" s="254">
        <v>1625.66</v>
      </c>
      <c r="E10142"/>
      <c r="F10142"/>
      <c r="G10142"/>
      <c r="H10142"/>
      <c r="I10142" s="489"/>
      <c r="J10142" s="1362"/>
      <c r="K10142" s="1362"/>
      <c r="L10142" s="1362"/>
    </row>
    <row r="10143" spans="1:12" x14ac:dyDescent="0.25">
      <c r="A10143">
        <v>92558</v>
      </c>
      <c r="B10143" t="s">
        <v>3371</v>
      </c>
      <c r="C10143" t="s">
        <v>138</v>
      </c>
      <c r="D10143" s="254">
        <v>1830.3</v>
      </c>
      <c r="E10143"/>
      <c r="F10143"/>
      <c r="G10143"/>
      <c r="H10143"/>
      <c r="I10143" s="489"/>
      <c r="J10143" s="1362"/>
      <c r="K10143" s="1362"/>
      <c r="L10143" s="1362"/>
    </row>
    <row r="10144" spans="1:12" x14ac:dyDescent="0.25">
      <c r="A10144">
        <v>92559</v>
      </c>
      <c r="B10144" t="s">
        <v>3372</v>
      </c>
      <c r="C10144" t="s">
        <v>138</v>
      </c>
      <c r="D10144" s="254">
        <v>2254.79</v>
      </c>
      <c r="E10144"/>
      <c r="F10144"/>
      <c r="G10144"/>
      <c r="H10144"/>
      <c r="I10144" s="489"/>
      <c r="J10144" s="1362"/>
      <c r="K10144" s="1362"/>
      <c r="L10144" s="1362"/>
    </row>
    <row r="10145" spans="1:12" x14ac:dyDescent="0.25">
      <c r="A10145">
        <v>92560</v>
      </c>
      <c r="B10145" t="s">
        <v>3373</v>
      </c>
      <c r="C10145" t="s">
        <v>138</v>
      </c>
      <c r="D10145" s="254">
        <v>2780.92</v>
      </c>
      <c r="E10145"/>
      <c r="F10145"/>
      <c r="G10145"/>
      <c r="H10145"/>
      <c r="I10145" s="489"/>
      <c r="J10145" s="1362"/>
      <c r="K10145" s="1362"/>
      <c r="L10145" s="1362"/>
    </row>
    <row r="10146" spans="1:12" x14ac:dyDescent="0.25">
      <c r="A10146">
        <v>92561</v>
      </c>
      <c r="B10146" t="s">
        <v>3374</v>
      </c>
      <c r="C10146" t="s">
        <v>138</v>
      </c>
      <c r="D10146" s="254">
        <v>2913.05</v>
      </c>
      <c r="E10146"/>
      <c r="F10146"/>
      <c r="G10146"/>
      <c r="H10146"/>
      <c r="I10146" s="489"/>
      <c r="J10146" s="1362"/>
      <c r="K10146" s="1362"/>
      <c r="L10146" s="1362"/>
    </row>
    <row r="10147" spans="1:12" x14ac:dyDescent="0.25">
      <c r="A10147">
        <v>92562</v>
      </c>
      <c r="B10147" t="s">
        <v>3375</v>
      </c>
      <c r="C10147" t="s">
        <v>138</v>
      </c>
      <c r="D10147" s="254">
        <v>3134.73</v>
      </c>
      <c r="E10147"/>
      <c r="F10147"/>
      <c r="G10147"/>
      <c r="H10147"/>
      <c r="I10147" s="489"/>
      <c r="J10147" s="1362"/>
      <c r="K10147" s="1362"/>
      <c r="L10147" s="1362"/>
    </row>
    <row r="10148" spans="1:12" x14ac:dyDescent="0.25">
      <c r="A10148">
        <v>92563</v>
      </c>
      <c r="B10148" t="s">
        <v>3376</v>
      </c>
      <c r="C10148" t="s">
        <v>138</v>
      </c>
      <c r="D10148" s="254">
        <v>3574.37</v>
      </c>
      <c r="E10148"/>
      <c r="F10148"/>
      <c r="G10148"/>
      <c r="H10148"/>
      <c r="I10148" s="489"/>
      <c r="J10148" s="1362"/>
      <c r="K10148" s="1362"/>
      <c r="L10148" s="1362"/>
    </row>
    <row r="10149" spans="1:12" x14ac:dyDescent="0.25">
      <c r="A10149">
        <v>92564</v>
      </c>
      <c r="B10149" t="s">
        <v>3377</v>
      </c>
      <c r="C10149" t="s">
        <v>138</v>
      </c>
      <c r="D10149" s="254">
        <v>3702.08</v>
      </c>
      <c r="E10149"/>
      <c r="F10149"/>
      <c r="G10149"/>
      <c r="H10149"/>
      <c r="I10149" s="489"/>
      <c r="J10149" s="1362"/>
      <c r="K10149" s="1362"/>
      <c r="L10149" s="1362"/>
    </row>
    <row r="10150" spans="1:12" x14ac:dyDescent="0.25">
      <c r="A10150">
        <v>92565</v>
      </c>
      <c r="B10150" t="s">
        <v>1135</v>
      </c>
      <c r="C10150" t="s">
        <v>297</v>
      </c>
      <c r="D10150" s="254">
        <v>48.24</v>
      </c>
      <c r="E10150"/>
      <c r="F10150"/>
      <c r="G10150"/>
      <c r="H10150"/>
      <c r="I10150" s="489"/>
      <c r="J10150" s="1362"/>
      <c r="K10150" s="1362"/>
      <c r="L10150" s="1362"/>
    </row>
    <row r="10151" spans="1:12" x14ac:dyDescent="0.25">
      <c r="A10151">
        <v>92566</v>
      </c>
      <c r="B10151" t="s">
        <v>1136</v>
      </c>
      <c r="C10151" t="s">
        <v>297</v>
      </c>
      <c r="D10151" s="254">
        <v>31.14</v>
      </c>
      <c r="E10151"/>
      <c r="F10151"/>
      <c r="G10151"/>
      <c r="H10151"/>
      <c r="I10151" s="489"/>
      <c r="J10151" s="1362"/>
      <c r="K10151" s="1362"/>
      <c r="L10151" s="1362"/>
    </row>
    <row r="10152" spans="1:12" x14ac:dyDescent="0.25">
      <c r="A10152">
        <v>92567</v>
      </c>
      <c r="B10152" t="s">
        <v>1137</v>
      </c>
      <c r="C10152" t="s">
        <v>297</v>
      </c>
      <c r="D10152" s="254">
        <v>43.86</v>
      </c>
      <c r="E10152"/>
      <c r="F10152"/>
      <c r="G10152"/>
      <c r="H10152"/>
      <c r="I10152" s="489"/>
      <c r="J10152" s="1362"/>
      <c r="K10152" s="1362"/>
      <c r="L10152" s="1362"/>
    </row>
    <row r="10153" spans="1:12" x14ac:dyDescent="0.25">
      <c r="A10153">
        <v>100379</v>
      </c>
      <c r="B10153" t="s">
        <v>3378</v>
      </c>
      <c r="C10153" t="s">
        <v>297</v>
      </c>
      <c r="D10153" s="254">
        <v>48.24</v>
      </c>
      <c r="E10153"/>
      <c r="F10153"/>
      <c r="G10153"/>
      <c r="H10153"/>
      <c r="I10153" s="489"/>
      <c r="J10153" s="1362"/>
      <c r="K10153" s="1362"/>
      <c r="L10153" s="1362"/>
    </row>
    <row r="10154" spans="1:12" x14ac:dyDescent="0.25">
      <c r="A10154">
        <v>100380</v>
      </c>
      <c r="B10154" t="s">
        <v>3379</v>
      </c>
      <c r="C10154" t="s">
        <v>297</v>
      </c>
      <c r="D10154" s="254">
        <v>62.6</v>
      </c>
      <c r="E10154"/>
      <c r="F10154"/>
      <c r="G10154"/>
      <c r="H10154"/>
      <c r="I10154" s="489"/>
      <c r="J10154" s="1362"/>
      <c r="K10154" s="1362"/>
      <c r="L10154" s="1362"/>
    </row>
    <row r="10155" spans="1:12" x14ac:dyDescent="0.25">
      <c r="A10155">
        <v>100381</v>
      </c>
      <c r="B10155" t="s">
        <v>3380</v>
      </c>
      <c r="C10155" t="s">
        <v>297</v>
      </c>
      <c r="D10155" s="254">
        <v>69.709999999999994</v>
      </c>
      <c r="E10155"/>
      <c r="F10155"/>
      <c r="G10155"/>
      <c r="H10155"/>
      <c r="I10155" s="489"/>
      <c r="J10155" s="1362"/>
      <c r="K10155" s="1362"/>
      <c r="L10155" s="1362"/>
    </row>
    <row r="10156" spans="1:12" x14ac:dyDescent="0.25">
      <c r="A10156">
        <v>100383</v>
      </c>
      <c r="B10156" t="s">
        <v>3381</v>
      </c>
      <c r="C10156" t="s">
        <v>297</v>
      </c>
      <c r="D10156" s="254">
        <v>33.47</v>
      </c>
      <c r="E10156"/>
      <c r="F10156"/>
      <c r="G10156"/>
      <c r="H10156"/>
      <c r="I10156" s="489"/>
      <c r="J10156" s="1362"/>
      <c r="K10156" s="1362"/>
      <c r="L10156" s="1362"/>
    </row>
    <row r="10157" spans="1:12" x14ac:dyDescent="0.25">
      <c r="A10157">
        <v>100384</v>
      </c>
      <c r="B10157" t="s">
        <v>3382</v>
      </c>
      <c r="C10157" t="s">
        <v>297</v>
      </c>
      <c r="D10157" s="254">
        <v>35.020000000000003</v>
      </c>
      <c r="E10157"/>
      <c r="F10157"/>
      <c r="G10157"/>
      <c r="H10157"/>
      <c r="I10157" s="489"/>
      <c r="J10157" s="1362"/>
      <c r="K10157" s="1362"/>
      <c r="L10157" s="1362"/>
    </row>
    <row r="10158" spans="1:12" x14ac:dyDescent="0.25">
      <c r="A10158">
        <v>100385</v>
      </c>
      <c r="B10158" t="s">
        <v>3383</v>
      </c>
      <c r="C10158" t="s">
        <v>297</v>
      </c>
      <c r="D10158" s="254">
        <v>43.86</v>
      </c>
      <c r="E10158"/>
      <c r="F10158"/>
      <c r="G10158"/>
      <c r="H10158"/>
      <c r="I10158" s="489"/>
      <c r="J10158" s="1362"/>
      <c r="K10158" s="1362"/>
      <c r="L10158" s="1362"/>
    </row>
    <row r="10159" spans="1:12" x14ac:dyDescent="0.25">
      <c r="A10159">
        <v>100386</v>
      </c>
      <c r="B10159" t="s">
        <v>3384</v>
      </c>
      <c r="C10159" t="s">
        <v>297</v>
      </c>
      <c r="D10159" s="254">
        <v>55.5</v>
      </c>
      <c r="E10159"/>
      <c r="F10159"/>
      <c r="G10159"/>
      <c r="H10159"/>
      <c r="I10159" s="489"/>
      <c r="J10159" s="1362"/>
      <c r="K10159" s="1362"/>
      <c r="L10159" s="1362"/>
    </row>
    <row r="10160" spans="1:12" x14ac:dyDescent="0.25">
      <c r="A10160">
        <v>100387</v>
      </c>
      <c r="B10160" t="s">
        <v>3385</v>
      </c>
      <c r="C10160" t="s">
        <v>297</v>
      </c>
      <c r="D10160" s="254">
        <v>68.27</v>
      </c>
      <c r="E10160"/>
      <c r="F10160"/>
      <c r="G10160"/>
      <c r="H10160"/>
      <c r="I10160" s="489"/>
      <c r="J10160" s="1362"/>
      <c r="K10160" s="1362"/>
      <c r="L10160" s="1362"/>
    </row>
    <row r="10161" spans="1:12" x14ac:dyDescent="0.25">
      <c r="A10161">
        <v>100388</v>
      </c>
      <c r="B10161" t="s">
        <v>3386</v>
      </c>
      <c r="C10161" t="s">
        <v>297</v>
      </c>
      <c r="D10161" s="254">
        <v>23.38</v>
      </c>
      <c r="E10161"/>
      <c r="F10161"/>
      <c r="G10161"/>
      <c r="H10161"/>
      <c r="I10161" s="489"/>
      <c r="J10161" s="1362"/>
      <c r="K10161" s="1362"/>
      <c r="L10161" s="1362"/>
    </row>
    <row r="10162" spans="1:12" x14ac:dyDescent="0.25">
      <c r="A10162">
        <v>100389</v>
      </c>
      <c r="B10162" t="s">
        <v>3387</v>
      </c>
      <c r="C10162" t="s">
        <v>297</v>
      </c>
      <c r="D10162" s="254">
        <v>20.18</v>
      </c>
      <c r="E10162"/>
      <c r="F10162"/>
      <c r="G10162"/>
      <c r="H10162"/>
      <c r="I10162" s="489"/>
      <c r="J10162" s="1362"/>
      <c r="K10162" s="1362"/>
      <c r="L10162" s="1362"/>
    </row>
    <row r="10163" spans="1:12" x14ac:dyDescent="0.25">
      <c r="A10163">
        <v>100390</v>
      </c>
      <c r="B10163" t="s">
        <v>3388</v>
      </c>
      <c r="C10163" t="s">
        <v>297</v>
      </c>
      <c r="D10163" s="254">
        <v>27.39</v>
      </c>
      <c r="E10163"/>
      <c r="F10163"/>
      <c r="G10163"/>
      <c r="H10163"/>
      <c r="I10163" s="489"/>
      <c r="J10163" s="1362"/>
      <c r="K10163" s="1362"/>
      <c r="L10163" s="1362"/>
    </row>
    <row r="10164" spans="1:12" x14ac:dyDescent="0.25">
      <c r="A10164">
        <v>100391</v>
      </c>
      <c r="B10164" t="s">
        <v>3389</v>
      </c>
      <c r="C10164" t="s">
        <v>297</v>
      </c>
      <c r="D10164" s="254">
        <v>22.87</v>
      </c>
      <c r="E10164"/>
      <c r="F10164"/>
      <c r="G10164"/>
      <c r="H10164"/>
      <c r="I10164" s="489"/>
      <c r="J10164" s="1362"/>
      <c r="K10164" s="1362"/>
      <c r="L10164" s="1362"/>
    </row>
    <row r="10165" spans="1:12" x14ac:dyDescent="0.25">
      <c r="A10165">
        <v>100392</v>
      </c>
      <c r="B10165" t="s">
        <v>3390</v>
      </c>
      <c r="C10165" t="s">
        <v>297</v>
      </c>
      <c r="D10165" s="254">
        <v>18.41</v>
      </c>
      <c r="E10165"/>
      <c r="F10165"/>
      <c r="G10165"/>
      <c r="H10165"/>
      <c r="I10165" s="489"/>
      <c r="J10165" s="1362"/>
      <c r="K10165" s="1362"/>
      <c r="L10165" s="1362"/>
    </row>
    <row r="10166" spans="1:12" x14ac:dyDescent="0.25">
      <c r="A10166">
        <v>100393</v>
      </c>
      <c r="B10166" t="s">
        <v>3391</v>
      </c>
      <c r="C10166" t="s">
        <v>297</v>
      </c>
      <c r="D10166" s="254">
        <v>23.23</v>
      </c>
      <c r="E10166"/>
      <c r="F10166"/>
      <c r="G10166"/>
      <c r="H10166"/>
      <c r="I10166" s="489"/>
      <c r="J10166" s="1362"/>
      <c r="K10166" s="1362"/>
      <c r="L10166" s="1362"/>
    </row>
    <row r="10167" spans="1:12" x14ac:dyDescent="0.25">
      <c r="A10167">
        <v>100394</v>
      </c>
      <c r="B10167" t="s">
        <v>3392</v>
      </c>
      <c r="C10167" t="s">
        <v>297</v>
      </c>
      <c r="D10167" s="254">
        <v>21.56</v>
      </c>
      <c r="E10167"/>
      <c r="F10167"/>
      <c r="G10167"/>
      <c r="H10167"/>
      <c r="I10167" s="489"/>
      <c r="J10167" s="1362"/>
      <c r="K10167" s="1362"/>
      <c r="L10167" s="1362"/>
    </row>
    <row r="10168" spans="1:12" x14ac:dyDescent="0.25">
      <c r="A10168">
        <v>100395</v>
      </c>
      <c r="B10168" t="s">
        <v>3393</v>
      </c>
      <c r="C10168" t="s">
        <v>297</v>
      </c>
      <c r="D10168" s="254">
        <v>27.26</v>
      </c>
      <c r="E10168"/>
      <c r="F10168"/>
      <c r="G10168"/>
      <c r="H10168"/>
      <c r="I10168" s="489"/>
      <c r="J10168" s="1362"/>
      <c r="K10168" s="1362"/>
      <c r="L10168" s="1362"/>
    </row>
    <row r="10169" spans="1:12" x14ac:dyDescent="0.25">
      <c r="A10169">
        <v>94189</v>
      </c>
      <c r="B10169" t="s">
        <v>3394</v>
      </c>
      <c r="C10169" t="s">
        <v>297</v>
      </c>
      <c r="D10169" s="254">
        <v>41.97</v>
      </c>
      <c r="E10169"/>
      <c r="F10169"/>
      <c r="G10169"/>
      <c r="H10169"/>
      <c r="I10169" s="489"/>
      <c r="J10169" s="1362"/>
      <c r="K10169" s="1362"/>
      <c r="L10169" s="1362"/>
    </row>
    <row r="10170" spans="1:12" x14ac:dyDescent="0.25">
      <c r="A10170">
        <v>94192</v>
      </c>
      <c r="B10170" t="s">
        <v>3395</v>
      </c>
      <c r="C10170" t="s">
        <v>297</v>
      </c>
      <c r="D10170" s="254">
        <v>44.63</v>
      </c>
      <c r="E10170"/>
      <c r="F10170"/>
      <c r="G10170"/>
      <c r="H10170"/>
      <c r="I10170" s="489"/>
      <c r="J10170" s="1362"/>
      <c r="K10170" s="1362"/>
      <c r="L10170" s="1362"/>
    </row>
    <row r="10171" spans="1:12" x14ac:dyDescent="0.25">
      <c r="A10171">
        <v>94195</v>
      </c>
      <c r="B10171" t="s">
        <v>3396</v>
      </c>
      <c r="C10171" t="s">
        <v>297</v>
      </c>
      <c r="D10171" s="254">
        <v>36.43</v>
      </c>
      <c r="E10171"/>
      <c r="F10171"/>
      <c r="G10171"/>
      <c r="H10171"/>
      <c r="I10171" s="489"/>
      <c r="J10171" s="1362"/>
      <c r="K10171" s="1362"/>
      <c r="L10171" s="1362"/>
    </row>
    <row r="10172" spans="1:12" x14ac:dyDescent="0.25">
      <c r="A10172">
        <v>94198</v>
      </c>
      <c r="B10172" t="s">
        <v>3397</v>
      </c>
      <c r="C10172" t="s">
        <v>297</v>
      </c>
      <c r="D10172" s="254">
        <v>39.96</v>
      </c>
      <c r="E10172"/>
      <c r="F10172"/>
      <c r="G10172"/>
      <c r="H10172"/>
      <c r="I10172" s="489"/>
      <c r="J10172" s="1362"/>
      <c r="K10172" s="1362"/>
      <c r="L10172" s="1362"/>
    </row>
    <row r="10173" spans="1:12" x14ac:dyDescent="0.25">
      <c r="A10173">
        <v>94201</v>
      </c>
      <c r="B10173" t="s">
        <v>3398</v>
      </c>
      <c r="C10173" t="s">
        <v>297</v>
      </c>
      <c r="D10173" s="254">
        <v>51.92</v>
      </c>
      <c r="E10173"/>
      <c r="F10173"/>
      <c r="G10173"/>
      <c r="H10173"/>
      <c r="I10173" s="489"/>
      <c r="J10173" s="1362"/>
      <c r="K10173" s="1362"/>
      <c r="L10173" s="1362"/>
    </row>
    <row r="10174" spans="1:12" x14ac:dyDescent="0.25">
      <c r="A10174">
        <v>94204</v>
      </c>
      <c r="B10174" t="s">
        <v>3399</v>
      </c>
      <c r="C10174" t="s">
        <v>297</v>
      </c>
      <c r="D10174" s="254">
        <v>57.91</v>
      </c>
      <c r="E10174"/>
      <c r="F10174"/>
      <c r="G10174"/>
      <c r="H10174"/>
      <c r="I10174" s="489"/>
      <c r="J10174" s="1362"/>
      <c r="K10174" s="1362"/>
      <c r="L10174" s="1362"/>
    </row>
    <row r="10175" spans="1:12" x14ac:dyDescent="0.25">
      <c r="A10175">
        <v>94224</v>
      </c>
      <c r="B10175" t="s">
        <v>3400</v>
      </c>
      <c r="C10175" t="s">
        <v>151</v>
      </c>
      <c r="D10175" s="254">
        <v>26.49</v>
      </c>
      <c r="E10175"/>
      <c r="F10175"/>
      <c r="G10175"/>
      <c r="H10175"/>
      <c r="I10175" s="489"/>
      <c r="J10175" s="1362"/>
      <c r="K10175" s="1362"/>
      <c r="L10175" s="1362"/>
    </row>
    <row r="10176" spans="1:12" x14ac:dyDescent="0.25">
      <c r="A10176">
        <v>94226</v>
      </c>
      <c r="B10176" t="s">
        <v>3401</v>
      </c>
      <c r="C10176" t="s">
        <v>297</v>
      </c>
      <c r="D10176" s="254">
        <v>23.45</v>
      </c>
      <c r="E10176"/>
      <c r="F10176"/>
      <c r="G10176"/>
      <c r="H10176"/>
      <c r="I10176" s="489"/>
      <c r="J10176" s="1362"/>
      <c r="K10176" s="1362"/>
      <c r="L10176" s="1362"/>
    </row>
    <row r="10177" spans="1:12" x14ac:dyDescent="0.25">
      <c r="A10177">
        <v>94232</v>
      </c>
      <c r="B10177" t="s">
        <v>3402</v>
      </c>
      <c r="C10177" t="s">
        <v>138</v>
      </c>
      <c r="D10177" s="254">
        <v>3.11</v>
      </c>
      <c r="E10177"/>
      <c r="F10177"/>
      <c r="G10177"/>
      <c r="H10177"/>
      <c r="I10177" s="489"/>
      <c r="J10177" s="1362"/>
      <c r="K10177" s="1362"/>
      <c r="L10177" s="1362"/>
    </row>
    <row r="10178" spans="1:12" x14ac:dyDescent="0.25">
      <c r="A10178">
        <v>94440</v>
      </c>
      <c r="B10178" t="s">
        <v>3403</v>
      </c>
      <c r="C10178" t="s">
        <v>297</v>
      </c>
      <c r="D10178" s="254">
        <v>36.43</v>
      </c>
      <c r="E10178"/>
      <c r="F10178"/>
      <c r="G10178"/>
      <c r="H10178"/>
      <c r="I10178" s="489"/>
      <c r="J10178" s="1362"/>
      <c r="K10178" s="1362"/>
      <c r="L10178" s="1362"/>
    </row>
    <row r="10179" spans="1:12" x14ac:dyDescent="0.25">
      <c r="A10179">
        <v>94441</v>
      </c>
      <c r="B10179" t="s">
        <v>3404</v>
      </c>
      <c r="C10179" t="s">
        <v>297</v>
      </c>
      <c r="D10179" s="254">
        <v>39.96</v>
      </c>
      <c r="E10179"/>
      <c r="F10179"/>
      <c r="G10179"/>
      <c r="H10179"/>
      <c r="I10179" s="489"/>
      <c r="J10179" s="1362"/>
      <c r="K10179" s="1362"/>
      <c r="L10179" s="1362"/>
    </row>
    <row r="10180" spans="1:12" x14ac:dyDescent="0.25">
      <c r="A10180">
        <v>94442</v>
      </c>
      <c r="B10180" t="s">
        <v>3405</v>
      </c>
      <c r="C10180" t="s">
        <v>297</v>
      </c>
      <c r="D10180" s="254">
        <v>36.43</v>
      </c>
      <c r="E10180"/>
      <c r="F10180"/>
      <c r="G10180"/>
      <c r="H10180"/>
      <c r="I10180" s="489"/>
      <c r="J10180" s="1362"/>
      <c r="K10180" s="1362"/>
      <c r="L10180" s="1362"/>
    </row>
    <row r="10181" spans="1:12" x14ac:dyDescent="0.25">
      <c r="A10181">
        <v>94443</v>
      </c>
      <c r="B10181" t="s">
        <v>3406</v>
      </c>
      <c r="C10181" t="s">
        <v>297</v>
      </c>
      <c r="D10181" s="254">
        <v>39.96</v>
      </c>
      <c r="E10181"/>
      <c r="F10181"/>
      <c r="G10181"/>
      <c r="H10181"/>
      <c r="I10181" s="489"/>
      <c r="J10181" s="1362"/>
      <c r="K10181" s="1362"/>
      <c r="L10181" s="1362"/>
    </row>
    <row r="10182" spans="1:12" x14ac:dyDescent="0.25">
      <c r="A10182">
        <v>94445</v>
      </c>
      <c r="B10182" t="s">
        <v>3407</v>
      </c>
      <c r="C10182" t="s">
        <v>297</v>
      </c>
      <c r="D10182" s="254">
        <v>51.92</v>
      </c>
      <c r="E10182"/>
      <c r="F10182"/>
      <c r="G10182"/>
      <c r="H10182"/>
      <c r="I10182" s="489"/>
      <c r="J10182" s="1362"/>
      <c r="K10182" s="1362"/>
      <c r="L10182" s="1362"/>
    </row>
    <row r="10183" spans="1:12" x14ac:dyDescent="0.25">
      <c r="A10183">
        <v>94446</v>
      </c>
      <c r="B10183" t="s">
        <v>3408</v>
      </c>
      <c r="C10183" t="s">
        <v>297</v>
      </c>
      <c r="D10183" s="254">
        <v>57.91</v>
      </c>
      <c r="E10183"/>
      <c r="F10183"/>
      <c r="G10183"/>
      <c r="H10183"/>
      <c r="I10183" s="489"/>
      <c r="J10183" s="1362"/>
      <c r="K10183" s="1362"/>
      <c r="L10183" s="1362"/>
    </row>
    <row r="10184" spans="1:12" x14ac:dyDescent="0.25">
      <c r="A10184">
        <v>94447</v>
      </c>
      <c r="B10184" t="s">
        <v>3409</v>
      </c>
      <c r="C10184" t="s">
        <v>297</v>
      </c>
      <c r="D10184" s="254">
        <v>51.92</v>
      </c>
      <c r="E10184"/>
      <c r="F10184"/>
      <c r="G10184"/>
      <c r="H10184"/>
      <c r="I10184" s="489"/>
      <c r="J10184" s="1362"/>
      <c r="K10184" s="1362"/>
      <c r="L10184" s="1362"/>
    </row>
    <row r="10185" spans="1:12" x14ac:dyDescent="0.25">
      <c r="A10185">
        <v>94448</v>
      </c>
      <c r="B10185" t="s">
        <v>3410</v>
      </c>
      <c r="C10185" t="s">
        <v>297</v>
      </c>
      <c r="D10185" s="254">
        <v>57.91</v>
      </c>
      <c r="E10185"/>
      <c r="F10185"/>
      <c r="G10185"/>
      <c r="H10185"/>
      <c r="I10185" s="489"/>
      <c r="J10185" s="1362"/>
      <c r="K10185" s="1362"/>
      <c r="L10185" s="1362"/>
    </row>
    <row r="10186" spans="1:12" x14ac:dyDescent="0.25">
      <c r="A10186">
        <v>94207</v>
      </c>
      <c r="B10186" t="s">
        <v>3411</v>
      </c>
      <c r="C10186" t="s">
        <v>297</v>
      </c>
      <c r="D10186" s="254">
        <v>46.35</v>
      </c>
      <c r="E10186"/>
      <c r="F10186"/>
      <c r="G10186"/>
      <c r="H10186"/>
      <c r="I10186" s="489"/>
      <c r="J10186" s="1362"/>
      <c r="K10186" s="1362"/>
      <c r="L10186" s="1362"/>
    </row>
    <row r="10187" spans="1:12" x14ac:dyDescent="0.25">
      <c r="A10187">
        <v>94210</v>
      </c>
      <c r="B10187" t="s">
        <v>3412</v>
      </c>
      <c r="C10187" t="s">
        <v>297</v>
      </c>
      <c r="D10187" s="254">
        <v>49.21</v>
      </c>
      <c r="E10187"/>
      <c r="F10187"/>
      <c r="G10187"/>
      <c r="H10187"/>
      <c r="I10187" s="489"/>
      <c r="J10187" s="1362"/>
      <c r="K10187" s="1362"/>
      <c r="L10187" s="1362"/>
    </row>
    <row r="10188" spans="1:12" x14ac:dyDescent="0.25">
      <c r="A10188">
        <v>94218</v>
      </c>
      <c r="B10188" t="s">
        <v>18402</v>
      </c>
      <c r="C10188" t="s">
        <v>297</v>
      </c>
      <c r="D10188" s="254">
        <v>117.8</v>
      </c>
      <c r="E10188"/>
      <c r="F10188"/>
      <c r="G10188"/>
      <c r="H10188"/>
      <c r="I10188" s="489"/>
      <c r="J10188" s="1362"/>
      <c r="K10188" s="1362"/>
      <c r="L10188" s="1362"/>
    </row>
    <row r="10189" spans="1:12" x14ac:dyDescent="0.25">
      <c r="A10189">
        <v>94213</v>
      </c>
      <c r="B10189" t="s">
        <v>3413</v>
      </c>
      <c r="C10189" t="s">
        <v>297</v>
      </c>
      <c r="D10189" s="254">
        <v>84.2</v>
      </c>
      <c r="E10189"/>
      <c r="F10189"/>
      <c r="G10189"/>
      <c r="H10189"/>
      <c r="I10189" s="489"/>
      <c r="J10189" s="1362"/>
      <c r="K10189" s="1362"/>
      <c r="L10189" s="1362"/>
    </row>
    <row r="10190" spans="1:12" x14ac:dyDescent="0.25">
      <c r="A10190">
        <v>94216</v>
      </c>
      <c r="B10190" t="s">
        <v>3414</v>
      </c>
      <c r="C10190" t="s">
        <v>297</v>
      </c>
      <c r="D10190" s="254">
        <v>244.49</v>
      </c>
      <c r="E10190"/>
      <c r="F10190"/>
      <c r="G10190"/>
      <c r="H10190"/>
      <c r="I10190" s="489"/>
      <c r="J10190" s="1362"/>
      <c r="K10190" s="1362"/>
      <c r="L10190" s="1362"/>
    </row>
    <row r="10191" spans="1:12" x14ac:dyDescent="0.25">
      <c r="A10191">
        <v>94219</v>
      </c>
      <c r="B10191" t="s">
        <v>3415</v>
      </c>
      <c r="C10191" t="s">
        <v>151</v>
      </c>
      <c r="D10191" s="254">
        <v>33.25</v>
      </c>
      <c r="E10191"/>
      <c r="F10191"/>
      <c r="G10191"/>
      <c r="H10191"/>
      <c r="I10191" s="489"/>
      <c r="J10191" s="1362"/>
      <c r="K10191" s="1362"/>
      <c r="L10191" s="1362"/>
    </row>
    <row r="10192" spans="1:12" x14ac:dyDescent="0.25">
      <c r="A10192">
        <v>94220</v>
      </c>
      <c r="B10192" t="s">
        <v>3416</v>
      </c>
      <c r="C10192" t="s">
        <v>151</v>
      </c>
      <c r="D10192" s="254">
        <v>57.22</v>
      </c>
      <c r="E10192"/>
      <c r="F10192"/>
      <c r="G10192"/>
      <c r="H10192"/>
      <c r="I10192" s="489"/>
      <c r="J10192" s="1362"/>
      <c r="K10192" s="1362"/>
      <c r="L10192" s="1362"/>
    </row>
    <row r="10193" spans="1:12" x14ac:dyDescent="0.25">
      <c r="A10193">
        <v>94221</v>
      </c>
      <c r="B10193" t="s">
        <v>3417</v>
      </c>
      <c r="C10193" t="s">
        <v>151</v>
      </c>
      <c r="D10193" s="254">
        <v>26.29</v>
      </c>
      <c r="E10193"/>
      <c r="F10193"/>
      <c r="G10193"/>
      <c r="H10193"/>
      <c r="I10193" s="489"/>
      <c r="J10193" s="1362"/>
      <c r="K10193" s="1362"/>
      <c r="L10193" s="1362"/>
    </row>
    <row r="10194" spans="1:12" x14ac:dyDescent="0.25">
      <c r="A10194">
        <v>94222</v>
      </c>
      <c r="B10194" t="s">
        <v>3418</v>
      </c>
      <c r="C10194" t="s">
        <v>151</v>
      </c>
      <c r="D10194" s="254">
        <v>50.26</v>
      </c>
      <c r="E10194"/>
      <c r="F10194"/>
      <c r="G10194"/>
      <c r="H10194"/>
      <c r="I10194" s="489"/>
      <c r="J10194" s="1362"/>
      <c r="K10194" s="1362"/>
      <c r="L10194" s="1362"/>
    </row>
    <row r="10195" spans="1:12" x14ac:dyDescent="0.25">
      <c r="A10195">
        <v>94223</v>
      </c>
      <c r="B10195" t="s">
        <v>3419</v>
      </c>
      <c r="C10195" t="s">
        <v>151</v>
      </c>
      <c r="D10195" s="254">
        <v>80.239999999999995</v>
      </c>
      <c r="E10195"/>
      <c r="F10195"/>
      <c r="G10195"/>
      <c r="H10195"/>
      <c r="I10195" s="489"/>
      <c r="J10195" s="1362"/>
      <c r="K10195" s="1362"/>
      <c r="L10195" s="1362"/>
    </row>
    <row r="10196" spans="1:12" x14ac:dyDescent="0.25">
      <c r="A10196">
        <v>94451</v>
      </c>
      <c r="B10196" t="s">
        <v>3420</v>
      </c>
      <c r="C10196" t="s">
        <v>151</v>
      </c>
      <c r="D10196" s="254">
        <v>89.26</v>
      </c>
      <c r="E10196"/>
      <c r="F10196"/>
      <c r="G10196"/>
      <c r="H10196"/>
      <c r="I10196" s="489"/>
      <c r="J10196" s="1362"/>
      <c r="K10196" s="1362"/>
      <c r="L10196" s="1362"/>
    </row>
    <row r="10197" spans="1:12" x14ac:dyDescent="0.25">
      <c r="A10197">
        <v>100325</v>
      </c>
      <c r="B10197" t="s">
        <v>3421</v>
      </c>
      <c r="C10197" t="s">
        <v>151</v>
      </c>
      <c r="D10197" s="254">
        <v>86.7</v>
      </c>
      <c r="E10197"/>
      <c r="F10197"/>
      <c r="G10197"/>
      <c r="H10197"/>
      <c r="I10197" s="489"/>
      <c r="J10197" s="1362"/>
      <c r="K10197" s="1362"/>
      <c r="L10197" s="1362"/>
    </row>
    <row r="10198" spans="1:12" x14ac:dyDescent="0.25">
      <c r="A10198">
        <v>100327</v>
      </c>
      <c r="B10198" t="s">
        <v>3422</v>
      </c>
      <c r="C10198" t="s">
        <v>151</v>
      </c>
      <c r="D10198" s="254">
        <v>62.84</v>
      </c>
      <c r="E10198"/>
      <c r="F10198"/>
      <c r="G10198"/>
      <c r="H10198"/>
      <c r="I10198" s="489"/>
      <c r="J10198" s="1362"/>
      <c r="K10198" s="1362"/>
      <c r="L10198" s="1362"/>
    </row>
    <row r="10199" spans="1:12" x14ac:dyDescent="0.25">
      <c r="A10199">
        <v>100328</v>
      </c>
      <c r="B10199" t="s">
        <v>3423</v>
      </c>
      <c r="C10199" t="s">
        <v>297</v>
      </c>
      <c r="D10199" s="254">
        <v>14.08</v>
      </c>
      <c r="E10199"/>
      <c r="F10199"/>
      <c r="G10199"/>
      <c r="H10199"/>
      <c r="I10199" s="489"/>
      <c r="J10199" s="1362"/>
      <c r="K10199" s="1362"/>
      <c r="L10199" s="1362"/>
    </row>
    <row r="10200" spans="1:12" x14ac:dyDescent="0.25">
      <c r="A10200">
        <v>100329</v>
      </c>
      <c r="B10200" t="s">
        <v>3424</v>
      </c>
      <c r="C10200" t="s">
        <v>297</v>
      </c>
      <c r="D10200" s="254">
        <v>17.61</v>
      </c>
      <c r="E10200"/>
      <c r="F10200"/>
      <c r="G10200"/>
      <c r="H10200"/>
      <c r="I10200" s="489"/>
      <c r="J10200" s="1362"/>
      <c r="K10200" s="1362"/>
      <c r="L10200" s="1362"/>
    </row>
    <row r="10201" spans="1:12" x14ac:dyDescent="0.25">
      <c r="A10201">
        <v>100330</v>
      </c>
      <c r="B10201" t="s">
        <v>3425</v>
      </c>
      <c r="C10201" t="s">
        <v>297</v>
      </c>
      <c r="D10201" s="254">
        <v>19.100000000000001</v>
      </c>
      <c r="E10201"/>
      <c r="F10201"/>
      <c r="G10201"/>
      <c r="H10201"/>
      <c r="I10201" s="489"/>
      <c r="J10201" s="1362"/>
      <c r="K10201" s="1362"/>
      <c r="L10201" s="1362"/>
    </row>
    <row r="10202" spans="1:12" x14ac:dyDescent="0.25">
      <c r="A10202">
        <v>100331</v>
      </c>
      <c r="B10202" t="s">
        <v>3426</v>
      </c>
      <c r="C10202" t="s">
        <v>297</v>
      </c>
      <c r="D10202" s="254">
        <v>25.12</v>
      </c>
      <c r="E10202"/>
      <c r="F10202"/>
      <c r="G10202"/>
      <c r="H10202"/>
      <c r="I10202" s="489"/>
      <c r="J10202" s="1362"/>
      <c r="K10202" s="1362"/>
      <c r="L10202" s="1362"/>
    </row>
    <row r="10203" spans="1:12" x14ac:dyDescent="0.25">
      <c r="A10203">
        <v>100434</v>
      </c>
      <c r="B10203" t="s">
        <v>3616</v>
      </c>
      <c r="C10203" t="s">
        <v>151</v>
      </c>
      <c r="D10203" s="254">
        <v>70.900000000000006</v>
      </c>
      <c r="E10203"/>
      <c r="F10203"/>
      <c r="G10203"/>
      <c r="H10203"/>
      <c r="I10203" s="489"/>
      <c r="J10203" s="1362"/>
      <c r="K10203" s="1362"/>
      <c r="L10203" s="1362"/>
    </row>
    <row r="10204" spans="1:12" x14ac:dyDescent="0.25">
      <c r="A10204">
        <v>100435</v>
      </c>
      <c r="B10204" t="s">
        <v>3617</v>
      </c>
      <c r="C10204" t="s">
        <v>151</v>
      </c>
      <c r="D10204" s="254">
        <v>59.96</v>
      </c>
      <c r="E10204"/>
      <c r="F10204"/>
      <c r="G10204"/>
      <c r="H10204"/>
      <c r="I10204" s="489"/>
      <c r="J10204" s="1362"/>
      <c r="K10204" s="1362"/>
      <c r="L10204" s="1362"/>
    </row>
    <row r="10205" spans="1:12" x14ac:dyDescent="0.25">
      <c r="A10205">
        <v>94227</v>
      </c>
      <c r="B10205" t="s">
        <v>3427</v>
      </c>
      <c r="C10205" t="s">
        <v>151</v>
      </c>
      <c r="D10205" s="254">
        <v>69.95</v>
      </c>
      <c r="E10205"/>
      <c r="F10205"/>
      <c r="G10205"/>
      <c r="H10205"/>
      <c r="I10205" s="489"/>
      <c r="J10205" s="1362"/>
      <c r="K10205" s="1362"/>
      <c r="L10205" s="1362"/>
    </row>
    <row r="10206" spans="1:12" x14ac:dyDescent="0.25">
      <c r="A10206">
        <v>94228</v>
      </c>
      <c r="B10206" t="s">
        <v>3428</v>
      </c>
      <c r="C10206" t="s">
        <v>151</v>
      </c>
      <c r="D10206" s="254">
        <v>94.86</v>
      </c>
      <c r="E10206"/>
      <c r="F10206"/>
      <c r="G10206"/>
      <c r="H10206"/>
      <c r="I10206" s="489"/>
      <c r="J10206" s="1362"/>
      <c r="K10206" s="1362"/>
      <c r="L10206" s="1362"/>
    </row>
    <row r="10207" spans="1:12" x14ac:dyDescent="0.25">
      <c r="A10207">
        <v>94229</v>
      </c>
      <c r="B10207" t="s">
        <v>3429</v>
      </c>
      <c r="C10207" t="s">
        <v>151</v>
      </c>
      <c r="D10207" s="254">
        <v>183.69</v>
      </c>
      <c r="E10207"/>
      <c r="F10207"/>
      <c r="G10207"/>
      <c r="H10207"/>
      <c r="I10207" s="489"/>
      <c r="J10207" s="1362"/>
      <c r="K10207" s="1362"/>
      <c r="L10207" s="1362"/>
    </row>
    <row r="10208" spans="1:12" x14ac:dyDescent="0.25">
      <c r="A10208">
        <v>94231</v>
      </c>
      <c r="B10208" t="s">
        <v>3430</v>
      </c>
      <c r="C10208" t="s">
        <v>151</v>
      </c>
      <c r="D10208" s="254">
        <v>55.68</v>
      </c>
      <c r="E10208"/>
      <c r="F10208"/>
      <c r="G10208"/>
      <c r="H10208"/>
      <c r="I10208" s="489"/>
      <c r="J10208" s="1362"/>
      <c r="K10208" s="1362"/>
      <c r="L10208" s="1362"/>
    </row>
    <row r="10209" spans="1:12" x14ac:dyDescent="0.25">
      <c r="A10209">
        <v>94449</v>
      </c>
      <c r="B10209" t="s">
        <v>3431</v>
      </c>
      <c r="C10209" t="s">
        <v>297</v>
      </c>
      <c r="D10209" s="254">
        <v>64.58</v>
      </c>
      <c r="E10209"/>
      <c r="F10209"/>
      <c r="G10209"/>
      <c r="H10209"/>
      <c r="I10209" s="489"/>
      <c r="J10209" s="1362"/>
      <c r="K10209" s="1362"/>
      <c r="L10209" s="1362"/>
    </row>
    <row r="10210" spans="1:12" x14ac:dyDescent="0.25">
      <c r="A10210">
        <v>92255</v>
      </c>
      <c r="B10210" t="s">
        <v>3432</v>
      </c>
      <c r="C10210" t="s">
        <v>138</v>
      </c>
      <c r="D10210" s="254">
        <v>194.07</v>
      </c>
      <c r="E10210"/>
      <c r="F10210"/>
      <c r="G10210"/>
      <c r="H10210"/>
      <c r="I10210" s="489"/>
      <c r="J10210" s="1362"/>
      <c r="K10210" s="1362"/>
      <c r="L10210" s="1362"/>
    </row>
    <row r="10211" spans="1:12" x14ac:dyDescent="0.25">
      <c r="A10211">
        <v>92256</v>
      </c>
      <c r="B10211" t="s">
        <v>3433</v>
      </c>
      <c r="C10211" t="s">
        <v>138</v>
      </c>
      <c r="D10211" s="254">
        <v>235.92</v>
      </c>
      <c r="E10211"/>
      <c r="F10211"/>
      <c r="G10211"/>
      <c r="H10211"/>
      <c r="I10211" s="489"/>
      <c r="J10211" s="1362"/>
      <c r="K10211" s="1362"/>
      <c r="L10211" s="1362"/>
    </row>
    <row r="10212" spans="1:12" x14ac:dyDescent="0.25">
      <c r="A10212">
        <v>92257</v>
      </c>
      <c r="B10212" t="s">
        <v>3434</v>
      </c>
      <c r="C10212" t="s">
        <v>138</v>
      </c>
      <c r="D10212" s="254">
        <v>277.33</v>
      </c>
      <c r="E10212"/>
      <c r="F10212"/>
      <c r="G10212"/>
      <c r="H10212"/>
      <c r="I10212" s="489"/>
      <c r="J10212" s="1362"/>
      <c r="K10212" s="1362"/>
      <c r="L10212" s="1362"/>
    </row>
    <row r="10213" spans="1:12" x14ac:dyDescent="0.25">
      <c r="A10213">
        <v>92258</v>
      </c>
      <c r="B10213" t="s">
        <v>3435</v>
      </c>
      <c r="C10213" t="s">
        <v>138</v>
      </c>
      <c r="D10213" s="254">
        <v>343.92</v>
      </c>
      <c r="E10213"/>
      <c r="F10213"/>
      <c r="G10213"/>
      <c r="H10213"/>
      <c r="I10213" s="489"/>
      <c r="J10213" s="1362"/>
      <c r="K10213" s="1362"/>
      <c r="L10213" s="1362"/>
    </row>
    <row r="10214" spans="1:12" x14ac:dyDescent="0.25">
      <c r="A10214">
        <v>92568</v>
      </c>
      <c r="B10214" t="s">
        <v>3436</v>
      </c>
      <c r="C10214" t="s">
        <v>297</v>
      </c>
      <c r="D10214" s="254">
        <v>193.54</v>
      </c>
      <c r="E10214"/>
      <c r="F10214"/>
      <c r="G10214"/>
      <c r="H10214"/>
      <c r="I10214" s="489"/>
      <c r="J10214" s="1362"/>
      <c r="K10214" s="1362"/>
      <c r="L10214" s="1362"/>
    </row>
    <row r="10215" spans="1:12" x14ac:dyDescent="0.25">
      <c r="A10215">
        <v>92569</v>
      </c>
      <c r="B10215" t="s">
        <v>3437</v>
      </c>
      <c r="C10215" t="s">
        <v>297</v>
      </c>
      <c r="D10215" s="254">
        <v>109.55</v>
      </c>
      <c r="E10215"/>
      <c r="F10215"/>
      <c r="G10215"/>
      <c r="H10215"/>
      <c r="I10215" s="489"/>
      <c r="J10215" s="1362"/>
      <c r="K10215" s="1362"/>
      <c r="L10215" s="1362"/>
    </row>
    <row r="10216" spans="1:12" x14ac:dyDescent="0.25">
      <c r="A10216">
        <v>92570</v>
      </c>
      <c r="B10216" t="s">
        <v>3438</v>
      </c>
      <c r="C10216" t="s">
        <v>297</v>
      </c>
      <c r="D10216" s="254">
        <v>70.59</v>
      </c>
      <c r="E10216"/>
      <c r="F10216"/>
      <c r="G10216"/>
      <c r="H10216"/>
      <c r="I10216" s="489"/>
      <c r="J10216" s="1362"/>
      <c r="K10216" s="1362"/>
      <c r="L10216" s="1362"/>
    </row>
    <row r="10217" spans="1:12" x14ac:dyDescent="0.25">
      <c r="A10217">
        <v>92571</v>
      </c>
      <c r="B10217" t="s">
        <v>3439</v>
      </c>
      <c r="C10217" t="s">
        <v>297</v>
      </c>
      <c r="D10217" s="254">
        <v>202.29</v>
      </c>
      <c r="E10217"/>
      <c r="F10217"/>
      <c r="G10217"/>
      <c r="H10217"/>
      <c r="I10217" s="489"/>
      <c r="J10217" s="1362"/>
      <c r="K10217" s="1362"/>
      <c r="L10217" s="1362"/>
    </row>
    <row r="10218" spans="1:12" x14ac:dyDescent="0.25">
      <c r="A10218">
        <v>92572</v>
      </c>
      <c r="B10218" t="s">
        <v>3440</v>
      </c>
      <c r="C10218" t="s">
        <v>297</v>
      </c>
      <c r="D10218" s="254">
        <v>123.36</v>
      </c>
      <c r="E10218"/>
      <c r="F10218"/>
      <c r="G10218"/>
      <c r="H10218"/>
      <c r="I10218" s="489"/>
      <c r="J10218" s="1362"/>
      <c r="K10218" s="1362"/>
      <c r="L10218" s="1362"/>
    </row>
    <row r="10219" spans="1:12" x14ac:dyDescent="0.25">
      <c r="A10219">
        <v>92573</v>
      </c>
      <c r="B10219" t="s">
        <v>3441</v>
      </c>
      <c r="C10219" t="s">
        <v>297</v>
      </c>
      <c r="D10219" s="254">
        <v>74.19</v>
      </c>
      <c r="E10219"/>
      <c r="F10219"/>
      <c r="G10219"/>
      <c r="H10219"/>
      <c r="I10219" s="489"/>
      <c r="J10219" s="1362"/>
      <c r="K10219" s="1362"/>
      <c r="L10219" s="1362"/>
    </row>
    <row r="10220" spans="1:12" x14ac:dyDescent="0.25">
      <c r="A10220">
        <v>92574</v>
      </c>
      <c r="B10220" t="s">
        <v>3442</v>
      </c>
      <c r="C10220" t="s">
        <v>297</v>
      </c>
      <c r="D10220" s="254">
        <v>196.25</v>
      </c>
      <c r="E10220"/>
      <c r="F10220"/>
      <c r="G10220"/>
      <c r="H10220"/>
      <c r="I10220" s="489"/>
      <c r="J10220" s="1362"/>
      <c r="K10220" s="1362"/>
      <c r="L10220" s="1362"/>
    </row>
    <row r="10221" spans="1:12" x14ac:dyDescent="0.25">
      <c r="A10221">
        <v>92575</v>
      </c>
      <c r="B10221" t="s">
        <v>3443</v>
      </c>
      <c r="C10221" t="s">
        <v>297</v>
      </c>
      <c r="D10221" s="254">
        <v>99.95</v>
      </c>
      <c r="E10221"/>
      <c r="F10221"/>
      <c r="G10221"/>
      <c r="H10221"/>
      <c r="I10221" s="489"/>
      <c r="J10221" s="1362"/>
      <c r="K10221" s="1362"/>
      <c r="L10221" s="1362"/>
    </row>
    <row r="10222" spans="1:12" x14ac:dyDescent="0.25">
      <c r="A10222">
        <v>92576</v>
      </c>
      <c r="B10222" t="s">
        <v>3444</v>
      </c>
      <c r="C10222" t="s">
        <v>297</v>
      </c>
      <c r="D10222" s="254">
        <v>55.74</v>
      </c>
      <c r="E10222"/>
      <c r="F10222"/>
      <c r="G10222"/>
      <c r="H10222"/>
      <c r="I10222" s="489"/>
      <c r="J10222" s="1362"/>
      <c r="K10222" s="1362"/>
      <c r="L10222" s="1362"/>
    </row>
    <row r="10223" spans="1:12" x14ac:dyDescent="0.25">
      <c r="A10223">
        <v>92577</v>
      </c>
      <c r="B10223" t="s">
        <v>3445</v>
      </c>
      <c r="C10223" t="s">
        <v>297</v>
      </c>
      <c r="D10223" s="254">
        <v>205.75</v>
      </c>
      <c r="E10223"/>
      <c r="F10223"/>
      <c r="G10223"/>
      <c r="H10223"/>
      <c r="I10223" s="489"/>
      <c r="J10223" s="1362"/>
      <c r="K10223" s="1362"/>
      <c r="L10223" s="1362"/>
    </row>
    <row r="10224" spans="1:12" x14ac:dyDescent="0.25">
      <c r="A10224">
        <v>92578</v>
      </c>
      <c r="B10224" t="s">
        <v>3446</v>
      </c>
      <c r="C10224" t="s">
        <v>297</v>
      </c>
      <c r="D10224" s="254">
        <v>105.16</v>
      </c>
      <c r="E10224"/>
      <c r="F10224"/>
      <c r="G10224"/>
      <c r="H10224"/>
      <c r="I10224" s="489"/>
      <c r="J10224" s="1362"/>
      <c r="K10224" s="1362"/>
      <c r="L10224" s="1362"/>
    </row>
    <row r="10225" spans="1:12" x14ac:dyDescent="0.25">
      <c r="A10225">
        <v>92579</v>
      </c>
      <c r="B10225" t="s">
        <v>3447</v>
      </c>
      <c r="C10225" t="s">
        <v>297</v>
      </c>
      <c r="D10225" s="254">
        <v>58.63</v>
      </c>
      <c r="E10225"/>
      <c r="F10225"/>
      <c r="G10225"/>
      <c r="H10225"/>
      <c r="I10225" s="489"/>
      <c r="J10225" s="1362"/>
      <c r="K10225" s="1362"/>
      <c r="L10225" s="1362"/>
    </row>
    <row r="10226" spans="1:12" x14ac:dyDescent="0.25">
      <c r="A10226">
        <v>92580</v>
      </c>
      <c r="B10226" t="s">
        <v>3448</v>
      </c>
      <c r="C10226" t="s">
        <v>297</v>
      </c>
      <c r="D10226" s="254">
        <v>72.290000000000006</v>
      </c>
      <c r="E10226"/>
      <c r="F10226"/>
      <c r="G10226"/>
      <c r="H10226"/>
      <c r="I10226" s="489"/>
      <c r="J10226" s="1362"/>
      <c r="K10226" s="1362"/>
      <c r="L10226" s="1362"/>
    </row>
    <row r="10227" spans="1:12" x14ac:dyDescent="0.25">
      <c r="A10227">
        <v>92581</v>
      </c>
      <c r="B10227" t="s">
        <v>3449</v>
      </c>
      <c r="C10227" t="s">
        <v>297</v>
      </c>
      <c r="D10227" s="254">
        <v>75.97</v>
      </c>
      <c r="E10227"/>
      <c r="F10227"/>
      <c r="G10227"/>
      <c r="H10227"/>
      <c r="I10227" s="489"/>
      <c r="J10227" s="1362"/>
      <c r="K10227" s="1362"/>
      <c r="L10227" s="1362"/>
    </row>
    <row r="10228" spans="1:12" x14ac:dyDescent="0.25">
      <c r="A10228">
        <v>92582</v>
      </c>
      <c r="B10228" t="s">
        <v>1138</v>
      </c>
      <c r="C10228" t="s">
        <v>138</v>
      </c>
      <c r="D10228" s="254">
        <v>996.11</v>
      </c>
      <c r="E10228"/>
      <c r="F10228"/>
      <c r="G10228"/>
      <c r="H10228"/>
      <c r="I10228" s="489"/>
      <c r="J10228" s="1362"/>
      <c r="K10228" s="1362"/>
      <c r="L10228" s="1362"/>
    </row>
    <row r="10229" spans="1:12" x14ac:dyDescent="0.25">
      <c r="A10229">
        <v>92584</v>
      </c>
      <c r="B10229" t="s">
        <v>1139</v>
      </c>
      <c r="C10229" t="s">
        <v>138</v>
      </c>
      <c r="D10229" s="254">
        <v>1189.92</v>
      </c>
      <c r="E10229"/>
      <c r="F10229"/>
      <c r="G10229"/>
      <c r="H10229"/>
      <c r="I10229" s="489"/>
      <c r="J10229" s="1362"/>
      <c r="K10229" s="1362"/>
      <c r="L10229" s="1362"/>
    </row>
    <row r="10230" spans="1:12" x14ac:dyDescent="0.25">
      <c r="A10230">
        <v>92586</v>
      </c>
      <c r="B10230" t="s">
        <v>1140</v>
      </c>
      <c r="C10230" t="s">
        <v>138</v>
      </c>
      <c r="D10230" s="254">
        <v>1383.74</v>
      </c>
      <c r="E10230"/>
      <c r="F10230"/>
      <c r="G10230"/>
      <c r="H10230"/>
      <c r="I10230" s="489"/>
      <c r="J10230" s="1362"/>
      <c r="K10230" s="1362"/>
      <c r="L10230" s="1362"/>
    </row>
    <row r="10231" spans="1:12" x14ac:dyDescent="0.25">
      <c r="A10231">
        <v>92588</v>
      </c>
      <c r="B10231" t="s">
        <v>1141</v>
      </c>
      <c r="C10231" t="s">
        <v>138</v>
      </c>
      <c r="D10231" s="254">
        <v>1743.11</v>
      </c>
      <c r="E10231"/>
      <c r="F10231"/>
      <c r="G10231"/>
      <c r="H10231"/>
      <c r="I10231" s="489"/>
      <c r="J10231" s="1362"/>
      <c r="K10231" s="1362"/>
      <c r="L10231" s="1362"/>
    </row>
    <row r="10232" spans="1:12" x14ac:dyDescent="0.25">
      <c r="A10232">
        <v>92590</v>
      </c>
      <c r="B10232" t="s">
        <v>1142</v>
      </c>
      <c r="C10232" t="s">
        <v>138</v>
      </c>
      <c r="D10232" s="254">
        <v>1936.91</v>
      </c>
      <c r="E10232"/>
      <c r="F10232"/>
      <c r="G10232"/>
      <c r="H10232"/>
      <c r="I10232" s="489"/>
      <c r="J10232" s="1362"/>
      <c r="K10232" s="1362"/>
      <c r="L10232" s="1362"/>
    </row>
    <row r="10233" spans="1:12" x14ac:dyDescent="0.25">
      <c r="A10233">
        <v>92592</v>
      </c>
      <c r="B10233" t="s">
        <v>1143</v>
      </c>
      <c r="C10233" t="s">
        <v>138</v>
      </c>
      <c r="D10233" s="254">
        <v>2172.14</v>
      </c>
      <c r="E10233"/>
      <c r="F10233"/>
      <c r="G10233"/>
      <c r="H10233"/>
      <c r="I10233" s="489"/>
      <c r="J10233" s="1362"/>
      <c r="K10233" s="1362"/>
      <c r="L10233" s="1362"/>
    </row>
    <row r="10234" spans="1:12" x14ac:dyDescent="0.25">
      <c r="A10234">
        <v>92593</v>
      </c>
      <c r="B10234" t="s">
        <v>1144</v>
      </c>
      <c r="C10234" t="s">
        <v>282</v>
      </c>
      <c r="D10234" s="254">
        <v>16.53</v>
      </c>
      <c r="E10234"/>
      <c r="F10234"/>
      <c r="G10234"/>
      <c r="H10234"/>
      <c r="I10234" s="489"/>
      <c r="J10234" s="1362"/>
      <c r="K10234" s="1362"/>
      <c r="L10234" s="1362"/>
    </row>
    <row r="10235" spans="1:12" x14ac:dyDescent="0.25">
      <c r="A10235">
        <v>92594</v>
      </c>
      <c r="B10235" t="s">
        <v>1145</v>
      </c>
      <c r="C10235" t="s">
        <v>138</v>
      </c>
      <c r="D10235" s="254">
        <v>2538.6799999999998</v>
      </c>
      <c r="E10235"/>
      <c r="F10235"/>
      <c r="G10235"/>
      <c r="H10235"/>
      <c r="I10235" s="489"/>
      <c r="J10235" s="1362"/>
      <c r="K10235" s="1362"/>
      <c r="L10235" s="1362"/>
    </row>
    <row r="10236" spans="1:12" x14ac:dyDescent="0.25">
      <c r="A10236">
        <v>92596</v>
      </c>
      <c r="B10236" t="s">
        <v>1146</v>
      </c>
      <c r="C10236" t="s">
        <v>138</v>
      </c>
      <c r="D10236" s="254">
        <v>2807.39</v>
      </c>
      <c r="E10236"/>
      <c r="F10236"/>
      <c r="G10236"/>
      <c r="H10236"/>
      <c r="I10236" s="489"/>
      <c r="J10236" s="1362"/>
      <c r="K10236" s="1362"/>
      <c r="L10236" s="1362"/>
    </row>
    <row r="10237" spans="1:12" x14ac:dyDescent="0.25">
      <c r="A10237">
        <v>92598</v>
      </c>
      <c r="B10237" t="s">
        <v>1147</v>
      </c>
      <c r="C10237" t="s">
        <v>138</v>
      </c>
      <c r="D10237" s="254">
        <v>3001.21</v>
      </c>
      <c r="E10237"/>
      <c r="F10237"/>
      <c r="G10237"/>
      <c r="H10237"/>
      <c r="I10237" s="489"/>
      <c r="J10237" s="1362"/>
      <c r="K10237" s="1362"/>
      <c r="L10237" s="1362"/>
    </row>
    <row r="10238" spans="1:12" x14ac:dyDescent="0.25">
      <c r="A10238">
        <v>92600</v>
      </c>
      <c r="B10238" t="s">
        <v>1148</v>
      </c>
      <c r="C10238" t="s">
        <v>138</v>
      </c>
      <c r="D10238" s="254">
        <v>3244.07</v>
      </c>
      <c r="E10238"/>
      <c r="F10238"/>
      <c r="G10238"/>
      <c r="H10238"/>
      <c r="I10238" s="489"/>
      <c r="J10238" s="1362"/>
      <c r="K10238" s="1362"/>
      <c r="L10238" s="1362"/>
    </row>
    <row r="10239" spans="1:12" x14ac:dyDescent="0.25">
      <c r="A10239">
        <v>92602</v>
      </c>
      <c r="B10239" t="s">
        <v>1149</v>
      </c>
      <c r="C10239" t="s">
        <v>138</v>
      </c>
      <c r="D10239" s="254">
        <v>996.11</v>
      </c>
      <c r="E10239"/>
      <c r="F10239"/>
      <c r="G10239"/>
      <c r="H10239"/>
      <c r="I10239" s="489"/>
      <c r="J10239" s="1362"/>
      <c r="K10239" s="1362"/>
      <c r="L10239" s="1362"/>
    </row>
    <row r="10240" spans="1:12" x14ac:dyDescent="0.25">
      <c r="A10240">
        <v>92604</v>
      </c>
      <c r="B10240" t="s">
        <v>1150</v>
      </c>
      <c r="C10240" t="s">
        <v>138</v>
      </c>
      <c r="D10240" s="254">
        <v>1140.8800000000001</v>
      </c>
      <c r="E10240"/>
      <c r="F10240"/>
      <c r="G10240"/>
      <c r="H10240"/>
      <c r="I10240" s="489"/>
      <c r="J10240" s="1362"/>
      <c r="K10240" s="1362"/>
      <c r="L10240" s="1362"/>
    </row>
    <row r="10241" spans="1:12" x14ac:dyDescent="0.25">
      <c r="A10241">
        <v>92606</v>
      </c>
      <c r="B10241" t="s">
        <v>1151</v>
      </c>
      <c r="C10241" t="s">
        <v>138</v>
      </c>
      <c r="D10241" s="254">
        <v>1334.69</v>
      </c>
      <c r="E10241"/>
      <c r="F10241"/>
      <c r="G10241"/>
      <c r="H10241"/>
      <c r="I10241" s="489"/>
      <c r="J10241" s="1362"/>
      <c r="K10241" s="1362"/>
      <c r="L10241" s="1362"/>
    </row>
    <row r="10242" spans="1:12" x14ac:dyDescent="0.25">
      <c r="A10242">
        <v>92608</v>
      </c>
      <c r="B10242" t="s">
        <v>1152</v>
      </c>
      <c r="C10242" t="s">
        <v>138</v>
      </c>
      <c r="D10242" s="254">
        <v>1645.02</v>
      </c>
      <c r="E10242"/>
      <c r="F10242"/>
      <c r="G10242"/>
      <c r="H10242"/>
      <c r="I10242" s="489"/>
      <c r="J10242" s="1362"/>
      <c r="K10242" s="1362"/>
      <c r="L10242" s="1362"/>
    </row>
    <row r="10243" spans="1:12" x14ac:dyDescent="0.25">
      <c r="A10243">
        <v>92610</v>
      </c>
      <c r="B10243" t="s">
        <v>1153</v>
      </c>
      <c r="C10243" t="s">
        <v>138</v>
      </c>
      <c r="D10243" s="254">
        <v>1838.82</v>
      </c>
      <c r="E10243"/>
      <c r="F10243"/>
      <c r="G10243"/>
      <c r="H10243"/>
      <c r="I10243" s="489"/>
      <c r="J10243" s="1362"/>
      <c r="K10243" s="1362"/>
      <c r="L10243" s="1362"/>
    </row>
    <row r="10244" spans="1:12" x14ac:dyDescent="0.25">
      <c r="A10244">
        <v>92612</v>
      </c>
      <c r="B10244" t="s">
        <v>1154</v>
      </c>
      <c r="C10244" t="s">
        <v>138</v>
      </c>
      <c r="D10244" s="254">
        <v>2074.0500000000002</v>
      </c>
      <c r="E10244"/>
      <c r="F10244"/>
      <c r="G10244"/>
      <c r="H10244"/>
      <c r="I10244" s="489"/>
      <c r="J10244" s="1362"/>
      <c r="K10244" s="1362"/>
      <c r="L10244" s="1362"/>
    </row>
    <row r="10245" spans="1:12" x14ac:dyDescent="0.25">
      <c r="A10245">
        <v>92614</v>
      </c>
      <c r="B10245" t="s">
        <v>1155</v>
      </c>
      <c r="C10245" t="s">
        <v>138</v>
      </c>
      <c r="D10245" s="254">
        <v>2342.5100000000002</v>
      </c>
      <c r="E10245"/>
      <c r="F10245"/>
      <c r="G10245"/>
      <c r="H10245"/>
      <c r="I10245" s="489"/>
      <c r="J10245" s="1362"/>
      <c r="K10245" s="1362"/>
      <c r="L10245" s="1362"/>
    </row>
    <row r="10246" spans="1:12" x14ac:dyDescent="0.25">
      <c r="A10246">
        <v>92616</v>
      </c>
      <c r="B10246" t="s">
        <v>1156</v>
      </c>
      <c r="C10246" t="s">
        <v>138</v>
      </c>
      <c r="D10246" s="254">
        <v>2660.26</v>
      </c>
      <c r="E10246"/>
      <c r="F10246"/>
      <c r="G10246"/>
      <c r="H10246"/>
      <c r="I10246" s="489"/>
      <c r="J10246" s="1362"/>
      <c r="K10246" s="1362"/>
      <c r="L10246" s="1362"/>
    </row>
    <row r="10247" spans="1:12" x14ac:dyDescent="0.25">
      <c r="A10247">
        <v>92618</v>
      </c>
      <c r="B10247" t="s">
        <v>1157</v>
      </c>
      <c r="C10247" t="s">
        <v>138</v>
      </c>
      <c r="D10247" s="254">
        <v>2854.08</v>
      </c>
      <c r="E10247"/>
      <c r="F10247"/>
      <c r="G10247"/>
      <c r="H10247"/>
      <c r="I10247" s="489"/>
      <c r="J10247" s="1362"/>
      <c r="K10247" s="1362"/>
      <c r="L10247" s="1362"/>
    </row>
    <row r="10248" spans="1:12" x14ac:dyDescent="0.25">
      <c r="A10248">
        <v>92620</v>
      </c>
      <c r="B10248" t="s">
        <v>1158</v>
      </c>
      <c r="C10248" t="s">
        <v>138</v>
      </c>
      <c r="D10248" s="254">
        <v>3047.89</v>
      </c>
      <c r="E10248"/>
      <c r="F10248"/>
      <c r="G10248"/>
      <c r="H10248"/>
      <c r="I10248" s="489"/>
      <c r="J10248" s="1362"/>
      <c r="K10248" s="1362"/>
      <c r="L10248" s="1362"/>
    </row>
    <row r="10249" spans="1:12" x14ac:dyDescent="0.25">
      <c r="A10249">
        <v>100357</v>
      </c>
      <c r="B10249" t="s">
        <v>3450</v>
      </c>
      <c r="C10249" t="s">
        <v>138</v>
      </c>
      <c r="D10249" s="254">
        <v>1327.27</v>
      </c>
      <c r="E10249"/>
      <c r="F10249"/>
      <c r="G10249"/>
      <c r="H10249"/>
      <c r="I10249" s="489"/>
      <c r="J10249" s="1362"/>
      <c r="K10249" s="1362"/>
      <c r="L10249" s="1362"/>
    </row>
    <row r="10250" spans="1:12" x14ac:dyDescent="0.25">
      <c r="A10250">
        <v>100358</v>
      </c>
      <c r="B10250" t="s">
        <v>3451</v>
      </c>
      <c r="C10250" t="s">
        <v>138</v>
      </c>
      <c r="D10250" s="254">
        <v>1776.58</v>
      </c>
      <c r="E10250"/>
      <c r="F10250"/>
      <c r="G10250"/>
      <c r="H10250"/>
      <c r="I10250" s="489"/>
      <c r="J10250" s="1362"/>
      <c r="K10250" s="1362"/>
      <c r="L10250" s="1362"/>
    </row>
    <row r="10251" spans="1:12" x14ac:dyDescent="0.25">
      <c r="A10251">
        <v>100359</v>
      </c>
      <c r="B10251" t="s">
        <v>3452</v>
      </c>
      <c r="C10251" t="s">
        <v>138</v>
      </c>
      <c r="D10251" s="254">
        <v>1880.57</v>
      </c>
      <c r="E10251"/>
      <c r="F10251"/>
      <c r="G10251"/>
      <c r="H10251"/>
      <c r="I10251" s="489"/>
      <c r="J10251" s="1362"/>
      <c r="K10251" s="1362"/>
      <c r="L10251" s="1362"/>
    </row>
    <row r="10252" spans="1:12" x14ac:dyDescent="0.25">
      <c r="A10252">
        <v>100360</v>
      </c>
      <c r="B10252" t="s">
        <v>3453</v>
      </c>
      <c r="C10252" t="s">
        <v>138</v>
      </c>
      <c r="D10252" s="254">
        <v>2091.3000000000002</v>
      </c>
      <c r="E10252"/>
      <c r="F10252"/>
      <c r="G10252"/>
      <c r="H10252"/>
      <c r="I10252" s="489"/>
      <c r="J10252" s="1362"/>
      <c r="K10252" s="1362"/>
      <c r="L10252" s="1362"/>
    </row>
    <row r="10253" spans="1:12" x14ac:dyDescent="0.25">
      <c r="A10253">
        <v>100361</v>
      </c>
      <c r="B10253" t="s">
        <v>3454</v>
      </c>
      <c r="C10253" t="s">
        <v>138</v>
      </c>
      <c r="D10253" s="254">
        <v>2585.17</v>
      </c>
      <c r="E10253"/>
      <c r="F10253"/>
      <c r="G10253"/>
      <c r="H10253"/>
      <c r="I10253" s="489"/>
      <c r="J10253" s="1362"/>
      <c r="K10253" s="1362"/>
      <c r="L10253" s="1362"/>
    </row>
    <row r="10254" spans="1:12" x14ac:dyDescent="0.25">
      <c r="A10254">
        <v>100362</v>
      </c>
      <c r="B10254" t="s">
        <v>3455</v>
      </c>
      <c r="C10254" t="s">
        <v>138</v>
      </c>
      <c r="D10254" s="254">
        <v>3460.88</v>
      </c>
      <c r="E10254"/>
      <c r="F10254"/>
      <c r="G10254"/>
      <c r="H10254"/>
      <c r="I10254" s="489"/>
      <c r="J10254" s="1362"/>
      <c r="K10254" s="1362"/>
      <c r="L10254" s="1362"/>
    </row>
    <row r="10255" spans="1:12" x14ac:dyDescent="0.25">
      <c r="A10255">
        <v>100363</v>
      </c>
      <c r="B10255" t="s">
        <v>3456</v>
      </c>
      <c r="C10255" t="s">
        <v>138</v>
      </c>
      <c r="D10255" s="254">
        <v>3587.14</v>
      </c>
      <c r="E10255"/>
      <c r="F10255"/>
      <c r="G10255"/>
      <c r="H10255"/>
      <c r="I10255" s="489"/>
      <c r="J10255" s="1362"/>
      <c r="K10255" s="1362"/>
      <c r="L10255" s="1362"/>
    </row>
    <row r="10256" spans="1:12" x14ac:dyDescent="0.25">
      <c r="A10256">
        <v>100364</v>
      </c>
      <c r="B10256" t="s">
        <v>3457</v>
      </c>
      <c r="C10256" t="s">
        <v>138</v>
      </c>
      <c r="D10256" s="254">
        <v>3897.68</v>
      </c>
      <c r="E10256"/>
      <c r="F10256"/>
      <c r="G10256"/>
      <c r="H10256"/>
      <c r="I10256" s="489"/>
      <c r="J10256" s="1362"/>
      <c r="K10256" s="1362"/>
      <c r="L10256" s="1362"/>
    </row>
    <row r="10257" spans="1:12" x14ac:dyDescent="0.25">
      <c r="A10257">
        <v>100365</v>
      </c>
      <c r="B10257" t="s">
        <v>3458</v>
      </c>
      <c r="C10257" t="s">
        <v>138</v>
      </c>
      <c r="D10257" s="254">
        <v>4467.8900000000003</v>
      </c>
      <c r="E10257"/>
      <c r="F10257"/>
      <c r="G10257"/>
      <c r="H10257"/>
      <c r="I10257" s="489"/>
      <c r="J10257" s="1362"/>
      <c r="K10257" s="1362"/>
      <c r="L10257" s="1362"/>
    </row>
    <row r="10258" spans="1:12" x14ac:dyDescent="0.25">
      <c r="A10258">
        <v>100366</v>
      </c>
      <c r="B10258" t="s">
        <v>3459</v>
      </c>
      <c r="C10258" t="s">
        <v>138</v>
      </c>
      <c r="D10258" s="254">
        <v>4809.88</v>
      </c>
      <c r="E10258"/>
      <c r="F10258"/>
      <c r="G10258"/>
      <c r="H10258"/>
      <c r="I10258" s="489"/>
      <c r="J10258" s="1362"/>
      <c r="K10258" s="1362"/>
      <c r="L10258" s="1362"/>
    </row>
    <row r="10259" spans="1:12" x14ac:dyDescent="0.25">
      <c r="A10259">
        <v>100367</v>
      </c>
      <c r="B10259" t="s">
        <v>3460</v>
      </c>
      <c r="C10259" t="s">
        <v>138</v>
      </c>
      <c r="D10259" s="254">
        <v>1287.08</v>
      </c>
      <c r="E10259"/>
      <c r="F10259"/>
      <c r="G10259"/>
      <c r="H10259"/>
      <c r="I10259" s="489"/>
      <c r="J10259" s="1362"/>
      <c r="K10259" s="1362"/>
      <c r="L10259" s="1362"/>
    </row>
    <row r="10260" spans="1:12" x14ac:dyDescent="0.25">
      <c r="A10260">
        <v>100368</v>
      </c>
      <c r="B10260" t="s">
        <v>3461</v>
      </c>
      <c r="C10260" t="s">
        <v>138</v>
      </c>
      <c r="D10260" s="254">
        <v>1727</v>
      </c>
      <c r="E10260"/>
      <c r="F10260"/>
      <c r="G10260"/>
      <c r="H10260"/>
      <c r="I10260" s="489"/>
      <c r="J10260" s="1362"/>
      <c r="K10260" s="1362"/>
      <c r="L10260" s="1362"/>
    </row>
    <row r="10261" spans="1:12" x14ac:dyDescent="0.25">
      <c r="A10261">
        <v>100369</v>
      </c>
      <c r="B10261" t="s">
        <v>3462</v>
      </c>
      <c r="C10261" t="s">
        <v>138</v>
      </c>
      <c r="D10261" s="254">
        <v>1830.99</v>
      </c>
      <c r="E10261"/>
      <c r="F10261"/>
      <c r="G10261"/>
      <c r="H10261"/>
      <c r="I10261" s="489"/>
      <c r="J10261" s="1362"/>
      <c r="K10261" s="1362"/>
      <c r="L10261" s="1362"/>
    </row>
    <row r="10262" spans="1:12" x14ac:dyDescent="0.25">
      <c r="A10262">
        <v>100370</v>
      </c>
      <c r="B10262" t="s">
        <v>3463</v>
      </c>
      <c r="C10262" t="s">
        <v>138</v>
      </c>
      <c r="D10262" s="254">
        <v>2195.31</v>
      </c>
      <c r="E10262"/>
      <c r="F10262"/>
      <c r="G10262"/>
      <c r="H10262"/>
      <c r="I10262" s="489"/>
      <c r="J10262" s="1362"/>
      <c r="K10262" s="1362"/>
      <c r="L10262" s="1362"/>
    </row>
    <row r="10263" spans="1:12" x14ac:dyDescent="0.25">
      <c r="A10263">
        <v>100371</v>
      </c>
      <c r="B10263" t="s">
        <v>3464</v>
      </c>
      <c r="C10263" t="s">
        <v>138</v>
      </c>
      <c r="D10263" s="254">
        <v>2452.9499999999998</v>
      </c>
      <c r="E10263"/>
      <c r="F10263"/>
      <c r="G10263"/>
      <c r="H10263"/>
      <c r="I10263" s="489"/>
      <c r="J10263" s="1362"/>
      <c r="K10263" s="1362"/>
      <c r="L10263" s="1362"/>
    </row>
    <row r="10264" spans="1:12" x14ac:dyDescent="0.25">
      <c r="A10264">
        <v>100372</v>
      </c>
      <c r="B10264" t="s">
        <v>3465</v>
      </c>
      <c r="C10264" t="s">
        <v>138</v>
      </c>
      <c r="D10264" s="254">
        <v>3234.35</v>
      </c>
      <c r="E10264"/>
      <c r="F10264"/>
      <c r="G10264"/>
      <c r="H10264"/>
      <c r="I10264" s="489"/>
      <c r="J10264" s="1362"/>
      <c r="K10264" s="1362"/>
      <c r="L10264" s="1362"/>
    </row>
    <row r="10265" spans="1:12" x14ac:dyDescent="0.25">
      <c r="A10265">
        <v>100373</v>
      </c>
      <c r="B10265" t="s">
        <v>3466</v>
      </c>
      <c r="C10265" t="s">
        <v>138</v>
      </c>
      <c r="D10265" s="254">
        <v>3360.42</v>
      </c>
      <c r="E10265"/>
      <c r="F10265"/>
      <c r="G10265"/>
      <c r="H10265"/>
      <c r="I10265" s="489"/>
      <c r="J10265" s="1362"/>
      <c r="K10265" s="1362"/>
      <c r="L10265" s="1362"/>
    </row>
    <row r="10266" spans="1:12" x14ac:dyDescent="0.25">
      <c r="A10266">
        <v>100374</v>
      </c>
      <c r="B10266" t="s">
        <v>3467</v>
      </c>
      <c r="C10266" t="s">
        <v>138</v>
      </c>
      <c r="D10266" s="254">
        <v>3599.72</v>
      </c>
      <c r="E10266"/>
      <c r="F10266"/>
      <c r="G10266"/>
      <c r="H10266"/>
      <c r="I10266" s="489"/>
      <c r="J10266" s="1362"/>
      <c r="K10266" s="1362"/>
      <c r="L10266" s="1362"/>
    </row>
    <row r="10267" spans="1:12" x14ac:dyDescent="0.25">
      <c r="A10267">
        <v>100375</v>
      </c>
      <c r="B10267" t="s">
        <v>3468</v>
      </c>
      <c r="C10267" t="s">
        <v>138</v>
      </c>
      <c r="D10267" s="254">
        <v>4023.17</v>
      </c>
      <c r="E10267"/>
      <c r="F10267"/>
      <c r="G10267"/>
      <c r="H10267"/>
      <c r="I10267" s="489"/>
      <c r="J10267" s="1362"/>
      <c r="K10267" s="1362"/>
      <c r="L10267" s="1362"/>
    </row>
    <row r="10268" spans="1:12" x14ac:dyDescent="0.25">
      <c r="A10268">
        <v>100376</v>
      </c>
      <c r="B10268" t="s">
        <v>3469</v>
      </c>
      <c r="C10268" t="s">
        <v>138</v>
      </c>
      <c r="D10268" s="254">
        <v>3924.68</v>
      </c>
      <c r="E10268"/>
      <c r="F10268"/>
      <c r="G10268"/>
      <c r="H10268"/>
      <c r="I10268" s="489"/>
      <c r="J10268" s="1362"/>
      <c r="K10268" s="1362"/>
      <c r="L10268" s="1362"/>
    </row>
    <row r="10269" spans="1:12" x14ac:dyDescent="0.25">
      <c r="A10269">
        <v>100377</v>
      </c>
      <c r="B10269" t="s">
        <v>3618</v>
      </c>
      <c r="C10269" t="s">
        <v>282</v>
      </c>
      <c r="D10269" s="254">
        <v>17.07</v>
      </c>
      <c r="E10269"/>
      <c r="F10269"/>
      <c r="G10269"/>
      <c r="H10269"/>
      <c r="I10269" s="489"/>
      <c r="J10269" s="1362"/>
      <c r="K10269" s="1362"/>
      <c r="L10269" s="1362"/>
    </row>
    <row r="10270" spans="1:12" x14ac:dyDescent="0.25">
      <c r="A10270">
        <v>100378</v>
      </c>
      <c r="B10270" t="s">
        <v>3619</v>
      </c>
      <c r="C10270" t="s">
        <v>282</v>
      </c>
      <c r="D10270" s="254">
        <v>16.14</v>
      </c>
      <c r="E10270"/>
      <c r="F10270"/>
      <c r="G10270"/>
      <c r="H10270"/>
      <c r="I10270" s="489"/>
      <c r="J10270" s="1362"/>
      <c r="K10270" s="1362"/>
      <c r="L10270" s="1362"/>
    </row>
    <row r="10271" spans="1:12" x14ac:dyDescent="0.25">
      <c r="A10271">
        <v>100382</v>
      </c>
      <c r="B10271" t="s">
        <v>3470</v>
      </c>
      <c r="C10271" t="s">
        <v>297</v>
      </c>
      <c r="D10271" s="254">
        <v>31.14</v>
      </c>
      <c r="E10271"/>
      <c r="F10271"/>
      <c r="G10271"/>
      <c r="H10271"/>
      <c r="I10271" s="489"/>
      <c r="J10271" s="1362"/>
      <c r="K10271" s="1362"/>
      <c r="L10271" s="1362"/>
    </row>
    <row r="10272" spans="1:12" x14ac:dyDescent="0.25">
      <c r="A10272">
        <v>104314</v>
      </c>
      <c r="B10272" t="s">
        <v>18403</v>
      </c>
      <c r="C10272" t="s">
        <v>282</v>
      </c>
      <c r="D10272" s="254">
        <v>16.670000000000002</v>
      </c>
      <c r="E10272"/>
      <c r="F10272"/>
      <c r="G10272"/>
      <c r="H10272"/>
      <c r="I10272" s="489"/>
      <c r="J10272" s="1362"/>
      <c r="K10272" s="1362"/>
      <c r="L10272" s="1362"/>
    </row>
    <row r="10273" spans="1:12" x14ac:dyDescent="0.25">
      <c r="A10273">
        <v>94444</v>
      </c>
      <c r="B10273" t="s">
        <v>3471</v>
      </c>
      <c r="C10273" t="s">
        <v>297</v>
      </c>
      <c r="D10273" s="254">
        <v>711.25</v>
      </c>
      <c r="E10273"/>
      <c r="F10273"/>
      <c r="G10273"/>
      <c r="H10273"/>
      <c r="I10273" s="489"/>
      <c r="J10273" s="1362"/>
      <c r="K10273" s="1362"/>
      <c r="L10273" s="1362"/>
    </row>
    <row r="10274" spans="1:12" x14ac:dyDescent="0.25">
      <c r="A10274">
        <v>102661</v>
      </c>
      <c r="B10274" t="s">
        <v>6510</v>
      </c>
      <c r="C10274" t="s">
        <v>151</v>
      </c>
      <c r="D10274" s="254">
        <v>44.04</v>
      </c>
      <c r="E10274"/>
      <c r="F10274"/>
      <c r="G10274"/>
      <c r="H10274"/>
      <c r="I10274" s="489"/>
      <c r="J10274" s="1362"/>
      <c r="K10274" s="1362"/>
      <c r="L10274" s="1362"/>
    </row>
    <row r="10275" spans="1:12" x14ac:dyDescent="0.25">
      <c r="A10275">
        <v>102663</v>
      </c>
      <c r="B10275" t="s">
        <v>6511</v>
      </c>
      <c r="C10275" t="s">
        <v>151</v>
      </c>
      <c r="D10275" s="254">
        <v>57.14</v>
      </c>
      <c r="E10275"/>
      <c r="F10275"/>
      <c r="G10275"/>
      <c r="H10275"/>
      <c r="I10275" s="489"/>
      <c r="J10275" s="1362"/>
      <c r="K10275" s="1362"/>
      <c r="L10275" s="1362"/>
    </row>
    <row r="10276" spans="1:12" x14ac:dyDescent="0.25">
      <c r="A10276">
        <v>102664</v>
      </c>
      <c r="B10276" t="s">
        <v>6512</v>
      </c>
      <c r="C10276" t="s">
        <v>151</v>
      </c>
      <c r="D10276" s="254">
        <v>45.12</v>
      </c>
      <c r="E10276"/>
      <c r="F10276"/>
      <c r="G10276"/>
      <c r="H10276"/>
      <c r="I10276" s="489"/>
      <c r="J10276" s="1362"/>
      <c r="K10276" s="1362"/>
      <c r="L10276" s="1362"/>
    </row>
    <row r="10277" spans="1:12" x14ac:dyDescent="0.25">
      <c r="A10277">
        <v>102665</v>
      </c>
      <c r="B10277" t="s">
        <v>6513</v>
      </c>
      <c r="C10277" t="s">
        <v>151</v>
      </c>
      <c r="D10277" s="254">
        <v>24.7</v>
      </c>
      <c r="E10277"/>
      <c r="F10277"/>
      <c r="G10277"/>
      <c r="H10277"/>
      <c r="I10277" s="489"/>
      <c r="J10277" s="1362"/>
      <c r="K10277" s="1362"/>
      <c r="L10277" s="1362"/>
    </row>
    <row r="10278" spans="1:12" x14ac:dyDescent="0.25">
      <c r="A10278">
        <v>102666</v>
      </c>
      <c r="B10278" t="s">
        <v>6514</v>
      </c>
      <c r="C10278" t="s">
        <v>151</v>
      </c>
      <c r="D10278" s="254">
        <v>56.18</v>
      </c>
      <c r="E10278"/>
      <c r="F10278"/>
      <c r="G10278"/>
      <c r="H10278"/>
      <c r="I10278" s="489"/>
      <c r="J10278" s="1362"/>
      <c r="K10278" s="1362"/>
      <c r="L10278" s="1362"/>
    </row>
    <row r="10279" spans="1:12" x14ac:dyDescent="0.25">
      <c r="A10279">
        <v>102669</v>
      </c>
      <c r="B10279" t="s">
        <v>6515</v>
      </c>
      <c r="C10279" t="s">
        <v>151</v>
      </c>
      <c r="D10279" s="254">
        <v>70.569999999999993</v>
      </c>
      <c r="E10279"/>
      <c r="F10279"/>
      <c r="G10279"/>
      <c r="H10279"/>
      <c r="I10279" s="489"/>
      <c r="J10279" s="1362"/>
      <c r="K10279" s="1362"/>
      <c r="L10279" s="1362"/>
    </row>
    <row r="10280" spans="1:12" x14ac:dyDescent="0.25">
      <c r="A10280">
        <v>102670</v>
      </c>
      <c r="B10280" t="s">
        <v>6516</v>
      </c>
      <c r="C10280" t="s">
        <v>151</v>
      </c>
      <c r="D10280" s="254">
        <v>142.74</v>
      </c>
      <c r="E10280"/>
      <c r="F10280"/>
      <c r="G10280"/>
      <c r="H10280"/>
      <c r="I10280" s="489"/>
      <c r="J10280" s="1362"/>
      <c r="K10280" s="1362"/>
      <c r="L10280" s="1362"/>
    </row>
    <row r="10281" spans="1:12" x14ac:dyDescent="0.25">
      <c r="A10281">
        <v>102673</v>
      </c>
      <c r="B10281" t="s">
        <v>6517</v>
      </c>
      <c r="C10281" t="s">
        <v>151</v>
      </c>
      <c r="D10281" s="254">
        <v>181.89</v>
      </c>
      <c r="E10281"/>
      <c r="F10281"/>
      <c r="G10281"/>
      <c r="H10281"/>
      <c r="I10281" s="489"/>
      <c r="J10281" s="1362"/>
      <c r="K10281" s="1362"/>
      <c r="L10281" s="1362"/>
    </row>
    <row r="10282" spans="1:12" x14ac:dyDescent="0.25">
      <c r="A10282">
        <v>102674</v>
      </c>
      <c r="B10282" t="s">
        <v>6518</v>
      </c>
      <c r="C10282" t="s">
        <v>151</v>
      </c>
      <c r="D10282" s="254">
        <v>156.31</v>
      </c>
      <c r="E10282"/>
      <c r="F10282"/>
      <c r="G10282"/>
      <c r="H10282"/>
      <c r="I10282" s="489"/>
      <c r="J10282" s="1362"/>
      <c r="K10282" s="1362"/>
      <c r="L10282" s="1362"/>
    </row>
    <row r="10283" spans="1:12" x14ac:dyDescent="0.25">
      <c r="A10283">
        <v>102677</v>
      </c>
      <c r="B10283" t="s">
        <v>6519</v>
      </c>
      <c r="C10283" t="s">
        <v>151</v>
      </c>
      <c r="D10283" s="254">
        <v>175.04</v>
      </c>
      <c r="E10283"/>
      <c r="F10283"/>
      <c r="G10283"/>
      <c r="H10283"/>
      <c r="I10283" s="489"/>
      <c r="J10283" s="1362"/>
      <c r="K10283" s="1362"/>
      <c r="L10283" s="1362"/>
    </row>
    <row r="10284" spans="1:12" x14ac:dyDescent="0.25">
      <c r="A10284">
        <v>102678</v>
      </c>
      <c r="B10284" t="s">
        <v>6520</v>
      </c>
      <c r="C10284" t="s">
        <v>151</v>
      </c>
      <c r="D10284" s="254">
        <v>134.51</v>
      </c>
      <c r="E10284"/>
      <c r="F10284"/>
      <c r="G10284"/>
      <c r="H10284"/>
      <c r="I10284" s="489"/>
      <c r="J10284" s="1362"/>
      <c r="K10284" s="1362"/>
      <c r="L10284" s="1362"/>
    </row>
    <row r="10285" spans="1:12" x14ac:dyDescent="0.25">
      <c r="A10285">
        <v>102679</v>
      </c>
      <c r="B10285" t="s">
        <v>6521</v>
      </c>
      <c r="C10285" t="s">
        <v>151</v>
      </c>
      <c r="D10285" s="254">
        <v>144.66999999999999</v>
      </c>
      <c r="E10285"/>
      <c r="F10285"/>
      <c r="G10285"/>
      <c r="H10285"/>
      <c r="I10285" s="489"/>
      <c r="J10285" s="1362"/>
      <c r="K10285" s="1362"/>
      <c r="L10285" s="1362"/>
    </row>
    <row r="10286" spans="1:12" x14ac:dyDescent="0.25">
      <c r="A10286">
        <v>102680</v>
      </c>
      <c r="B10286" t="s">
        <v>6522</v>
      </c>
      <c r="C10286" t="s">
        <v>151</v>
      </c>
      <c r="D10286" s="254">
        <v>146.74</v>
      </c>
      <c r="E10286"/>
      <c r="F10286"/>
      <c r="G10286"/>
      <c r="H10286"/>
      <c r="I10286" s="489"/>
      <c r="J10286" s="1362"/>
      <c r="K10286" s="1362"/>
      <c r="L10286" s="1362"/>
    </row>
    <row r="10287" spans="1:12" x14ac:dyDescent="0.25">
      <c r="A10287">
        <v>102683</v>
      </c>
      <c r="B10287" t="s">
        <v>6523</v>
      </c>
      <c r="C10287" t="s">
        <v>151</v>
      </c>
      <c r="D10287" s="254">
        <v>171.84</v>
      </c>
      <c r="E10287"/>
      <c r="F10287"/>
      <c r="G10287"/>
      <c r="H10287"/>
      <c r="I10287" s="489"/>
      <c r="J10287" s="1362"/>
      <c r="K10287" s="1362"/>
      <c r="L10287" s="1362"/>
    </row>
    <row r="10288" spans="1:12" x14ac:dyDescent="0.25">
      <c r="A10288">
        <v>102684</v>
      </c>
      <c r="B10288" t="s">
        <v>6524</v>
      </c>
      <c r="C10288" t="s">
        <v>151</v>
      </c>
      <c r="D10288" s="254">
        <v>156.88</v>
      </c>
      <c r="E10288"/>
      <c r="F10288"/>
      <c r="G10288"/>
      <c r="H10288"/>
      <c r="I10288" s="489"/>
      <c r="J10288" s="1362"/>
      <c r="K10288" s="1362"/>
      <c r="L10288" s="1362"/>
    </row>
    <row r="10289" spans="1:12" x14ac:dyDescent="0.25">
      <c r="A10289">
        <v>102687</v>
      </c>
      <c r="B10289" t="s">
        <v>6525</v>
      </c>
      <c r="C10289" t="s">
        <v>151</v>
      </c>
      <c r="D10289" s="254">
        <v>176.89</v>
      </c>
      <c r="E10289"/>
      <c r="F10289"/>
      <c r="G10289"/>
      <c r="H10289"/>
      <c r="I10289" s="489"/>
      <c r="J10289" s="1362"/>
      <c r="K10289" s="1362"/>
      <c r="L10289" s="1362"/>
    </row>
    <row r="10290" spans="1:12" x14ac:dyDescent="0.25">
      <c r="A10290">
        <v>102688</v>
      </c>
      <c r="B10290" t="s">
        <v>6526</v>
      </c>
      <c r="C10290" t="s">
        <v>151</v>
      </c>
      <c r="D10290" s="254">
        <v>49.99</v>
      </c>
      <c r="E10290"/>
      <c r="F10290"/>
      <c r="G10290"/>
      <c r="H10290"/>
      <c r="I10290" s="489"/>
      <c r="J10290" s="1362"/>
      <c r="K10290" s="1362"/>
      <c r="L10290" s="1362"/>
    </row>
    <row r="10291" spans="1:12" x14ac:dyDescent="0.25">
      <c r="A10291">
        <v>102690</v>
      </c>
      <c r="B10291" t="s">
        <v>6527</v>
      </c>
      <c r="C10291" t="s">
        <v>151</v>
      </c>
      <c r="D10291" s="254">
        <v>62.13</v>
      </c>
      <c r="E10291"/>
      <c r="F10291"/>
      <c r="G10291"/>
      <c r="H10291"/>
      <c r="I10291" s="489"/>
      <c r="J10291" s="1362"/>
      <c r="K10291" s="1362"/>
      <c r="L10291" s="1362"/>
    </row>
    <row r="10292" spans="1:12" x14ac:dyDescent="0.25">
      <c r="A10292">
        <v>102694</v>
      </c>
      <c r="B10292" t="s">
        <v>6528</v>
      </c>
      <c r="C10292" t="s">
        <v>151</v>
      </c>
      <c r="D10292" s="254">
        <v>99.1</v>
      </c>
      <c r="E10292"/>
      <c r="F10292"/>
      <c r="G10292"/>
      <c r="H10292"/>
      <c r="I10292" s="489"/>
      <c r="J10292" s="1362"/>
      <c r="K10292" s="1362"/>
      <c r="L10292" s="1362"/>
    </row>
    <row r="10293" spans="1:12" x14ac:dyDescent="0.25">
      <c r="A10293">
        <v>102697</v>
      </c>
      <c r="B10293" t="s">
        <v>6529</v>
      </c>
      <c r="C10293" t="s">
        <v>151</v>
      </c>
      <c r="D10293" s="254">
        <v>105.78</v>
      </c>
      <c r="E10293"/>
      <c r="F10293"/>
      <c r="G10293"/>
      <c r="H10293"/>
      <c r="I10293" s="489"/>
      <c r="J10293" s="1362"/>
      <c r="K10293" s="1362"/>
      <c r="L10293" s="1362"/>
    </row>
    <row r="10294" spans="1:12" x14ac:dyDescent="0.25">
      <c r="A10294">
        <v>102704</v>
      </c>
      <c r="B10294" t="s">
        <v>6530</v>
      </c>
      <c r="C10294" t="s">
        <v>151</v>
      </c>
      <c r="D10294" s="254">
        <v>11.84</v>
      </c>
      <c r="E10294"/>
      <c r="F10294"/>
      <c r="G10294"/>
      <c r="H10294"/>
      <c r="I10294" s="489"/>
      <c r="J10294" s="1362"/>
      <c r="K10294" s="1362"/>
      <c r="L10294" s="1362"/>
    </row>
    <row r="10295" spans="1:12" x14ac:dyDescent="0.25">
      <c r="A10295">
        <v>102706</v>
      </c>
      <c r="B10295" t="s">
        <v>6531</v>
      </c>
      <c r="C10295" t="s">
        <v>151</v>
      </c>
      <c r="D10295" s="254">
        <v>13.66</v>
      </c>
      <c r="E10295"/>
      <c r="F10295"/>
      <c r="G10295"/>
      <c r="H10295"/>
      <c r="I10295" s="489"/>
      <c r="J10295" s="1362"/>
      <c r="K10295" s="1362"/>
      <c r="L10295" s="1362"/>
    </row>
    <row r="10296" spans="1:12" x14ac:dyDescent="0.25">
      <c r="A10296">
        <v>102707</v>
      </c>
      <c r="B10296" t="s">
        <v>6532</v>
      </c>
      <c r="C10296" t="s">
        <v>151</v>
      </c>
      <c r="D10296" s="254">
        <v>30.06</v>
      </c>
      <c r="E10296"/>
      <c r="F10296"/>
      <c r="G10296"/>
      <c r="H10296"/>
      <c r="I10296" s="489"/>
      <c r="J10296" s="1362"/>
      <c r="K10296" s="1362"/>
      <c r="L10296" s="1362"/>
    </row>
    <row r="10297" spans="1:12" x14ac:dyDescent="0.25">
      <c r="A10297">
        <v>102708</v>
      </c>
      <c r="B10297" t="s">
        <v>6533</v>
      </c>
      <c r="C10297" t="s">
        <v>138</v>
      </c>
      <c r="D10297" s="254">
        <v>24.6</v>
      </c>
      <c r="E10297"/>
      <c r="F10297"/>
      <c r="G10297"/>
      <c r="H10297"/>
      <c r="I10297" s="489"/>
      <c r="J10297" s="1362"/>
      <c r="K10297" s="1362"/>
      <c r="L10297" s="1362"/>
    </row>
    <row r="10298" spans="1:12" x14ac:dyDescent="0.25">
      <c r="A10298">
        <v>102710</v>
      </c>
      <c r="B10298" t="s">
        <v>6534</v>
      </c>
      <c r="C10298" t="s">
        <v>138</v>
      </c>
      <c r="D10298" s="254">
        <v>58.93</v>
      </c>
      <c r="E10298"/>
      <c r="F10298"/>
      <c r="G10298"/>
      <c r="H10298"/>
      <c r="I10298" s="489"/>
      <c r="J10298" s="1362"/>
      <c r="K10298" s="1362"/>
      <c r="L10298" s="1362"/>
    </row>
    <row r="10299" spans="1:12" x14ac:dyDescent="0.25">
      <c r="A10299">
        <v>102711</v>
      </c>
      <c r="B10299" t="s">
        <v>6535</v>
      </c>
      <c r="C10299" t="s">
        <v>138</v>
      </c>
      <c r="D10299" s="254">
        <v>78.19</v>
      </c>
      <c r="E10299"/>
      <c r="F10299"/>
      <c r="G10299"/>
      <c r="H10299"/>
      <c r="I10299" s="489"/>
      <c r="J10299" s="1362"/>
      <c r="K10299" s="1362"/>
      <c r="L10299" s="1362"/>
    </row>
    <row r="10300" spans="1:12" x14ac:dyDescent="0.25">
      <c r="A10300">
        <v>102712</v>
      </c>
      <c r="B10300" t="s">
        <v>6536</v>
      </c>
      <c r="C10300" t="s">
        <v>297</v>
      </c>
      <c r="D10300" s="254">
        <v>7.98</v>
      </c>
      <c r="E10300"/>
      <c r="F10300"/>
      <c r="G10300"/>
      <c r="H10300"/>
      <c r="I10300" s="489"/>
      <c r="J10300" s="1362"/>
      <c r="K10300" s="1362"/>
      <c r="L10300" s="1362"/>
    </row>
    <row r="10301" spans="1:12" x14ac:dyDescent="0.25">
      <c r="A10301">
        <v>102713</v>
      </c>
      <c r="B10301" t="s">
        <v>6537</v>
      </c>
      <c r="C10301" t="s">
        <v>297</v>
      </c>
      <c r="D10301" s="254">
        <v>10.94</v>
      </c>
      <c r="E10301"/>
      <c r="F10301"/>
      <c r="G10301"/>
      <c r="H10301"/>
      <c r="I10301" s="489"/>
      <c r="J10301" s="1362"/>
      <c r="K10301" s="1362"/>
      <c r="L10301" s="1362"/>
    </row>
    <row r="10302" spans="1:12" x14ac:dyDescent="0.25">
      <c r="A10302">
        <v>102715</v>
      </c>
      <c r="B10302" t="s">
        <v>6538</v>
      </c>
      <c r="C10302" t="s">
        <v>297</v>
      </c>
      <c r="D10302" s="254">
        <v>21.61</v>
      </c>
      <c r="E10302"/>
      <c r="F10302"/>
      <c r="G10302"/>
      <c r="H10302"/>
      <c r="I10302" s="489"/>
      <c r="J10302" s="1362"/>
      <c r="K10302" s="1362"/>
      <c r="L10302" s="1362"/>
    </row>
    <row r="10303" spans="1:12" x14ac:dyDescent="0.25">
      <c r="A10303">
        <v>102716</v>
      </c>
      <c r="B10303" t="s">
        <v>6539</v>
      </c>
      <c r="C10303" t="s">
        <v>1159</v>
      </c>
      <c r="D10303" s="254">
        <v>191.02</v>
      </c>
      <c r="E10303"/>
      <c r="F10303"/>
      <c r="G10303"/>
      <c r="H10303"/>
      <c r="I10303" s="489"/>
      <c r="J10303" s="1362"/>
      <c r="K10303" s="1362"/>
      <c r="L10303" s="1362"/>
    </row>
    <row r="10304" spans="1:12" x14ac:dyDescent="0.25">
      <c r="A10304">
        <v>102717</v>
      </c>
      <c r="B10304" t="s">
        <v>6540</v>
      </c>
      <c r="C10304" t="s">
        <v>1159</v>
      </c>
      <c r="D10304" s="254">
        <v>136.62</v>
      </c>
      <c r="E10304"/>
      <c r="F10304"/>
      <c r="G10304"/>
      <c r="H10304"/>
      <c r="I10304" s="489"/>
      <c r="J10304" s="1362"/>
      <c r="K10304" s="1362"/>
      <c r="L10304" s="1362"/>
    </row>
    <row r="10305" spans="1:12" x14ac:dyDescent="0.25">
      <c r="A10305">
        <v>102718</v>
      </c>
      <c r="B10305" t="s">
        <v>6541</v>
      </c>
      <c r="C10305" t="s">
        <v>1159</v>
      </c>
      <c r="D10305" s="254">
        <v>201.62</v>
      </c>
      <c r="E10305"/>
      <c r="F10305"/>
      <c r="G10305"/>
      <c r="H10305"/>
      <c r="I10305" s="489"/>
      <c r="J10305" s="1362"/>
      <c r="K10305" s="1362"/>
      <c r="L10305" s="1362"/>
    </row>
    <row r="10306" spans="1:12" x14ac:dyDescent="0.25">
      <c r="A10306">
        <v>102719</v>
      </c>
      <c r="B10306" t="s">
        <v>6542</v>
      </c>
      <c r="C10306" t="s">
        <v>1159</v>
      </c>
      <c r="D10306" s="254">
        <v>147.22</v>
      </c>
      <c r="E10306"/>
      <c r="F10306"/>
      <c r="G10306"/>
      <c r="H10306"/>
      <c r="I10306" s="489"/>
      <c r="J10306" s="1362"/>
      <c r="K10306" s="1362"/>
      <c r="L10306" s="1362"/>
    </row>
    <row r="10307" spans="1:12" x14ac:dyDescent="0.25">
      <c r="A10307">
        <v>102722</v>
      </c>
      <c r="B10307" t="s">
        <v>6543</v>
      </c>
      <c r="C10307" t="s">
        <v>151</v>
      </c>
      <c r="D10307" s="254">
        <v>50.92</v>
      </c>
      <c r="E10307"/>
      <c r="F10307"/>
      <c r="G10307"/>
      <c r="H10307"/>
      <c r="I10307" s="489"/>
      <c r="J10307" s="1362"/>
      <c r="K10307" s="1362"/>
      <c r="L10307" s="1362"/>
    </row>
    <row r="10308" spans="1:12" x14ac:dyDescent="0.25">
      <c r="A10308">
        <v>102723</v>
      </c>
      <c r="B10308" t="s">
        <v>6544</v>
      </c>
      <c r="C10308" t="s">
        <v>151</v>
      </c>
      <c r="D10308" s="254">
        <v>51.45</v>
      </c>
      <c r="E10308"/>
      <c r="F10308"/>
      <c r="G10308"/>
      <c r="H10308"/>
      <c r="I10308" s="489"/>
      <c r="J10308" s="1362"/>
      <c r="K10308" s="1362"/>
      <c r="L10308" s="1362"/>
    </row>
    <row r="10309" spans="1:12" x14ac:dyDescent="0.25">
      <c r="A10309">
        <v>102724</v>
      </c>
      <c r="B10309" t="s">
        <v>6545</v>
      </c>
      <c r="C10309" t="s">
        <v>138</v>
      </c>
      <c r="D10309" s="254">
        <v>28.87</v>
      </c>
      <c r="E10309"/>
      <c r="F10309"/>
      <c r="G10309"/>
      <c r="H10309"/>
      <c r="I10309" s="489"/>
      <c r="J10309" s="1362"/>
      <c r="K10309" s="1362"/>
      <c r="L10309" s="1362"/>
    </row>
    <row r="10310" spans="1:12" x14ac:dyDescent="0.25">
      <c r="A10310">
        <v>102725</v>
      </c>
      <c r="B10310" t="s">
        <v>6546</v>
      </c>
      <c r="C10310" t="s">
        <v>138</v>
      </c>
      <c r="D10310" s="254">
        <v>27.72</v>
      </c>
      <c r="E10310"/>
      <c r="F10310"/>
      <c r="G10310"/>
      <c r="H10310"/>
      <c r="I10310" s="489"/>
      <c r="J10310" s="1362"/>
      <c r="K10310" s="1362"/>
      <c r="L10310" s="1362"/>
    </row>
    <row r="10311" spans="1:12" x14ac:dyDescent="0.25">
      <c r="A10311">
        <v>102726</v>
      </c>
      <c r="B10311" t="s">
        <v>6547</v>
      </c>
      <c r="C10311" t="s">
        <v>138</v>
      </c>
      <c r="D10311" s="254">
        <v>25.29</v>
      </c>
      <c r="E10311"/>
      <c r="F10311"/>
      <c r="G10311"/>
      <c r="H10311"/>
      <c r="I10311" s="489"/>
      <c r="J10311" s="1362"/>
      <c r="K10311" s="1362"/>
      <c r="L10311" s="1362"/>
    </row>
    <row r="10312" spans="1:12" x14ac:dyDescent="0.25">
      <c r="A10312">
        <v>103653</v>
      </c>
      <c r="B10312" t="s">
        <v>13499</v>
      </c>
      <c r="C10312" t="s">
        <v>297</v>
      </c>
      <c r="D10312" s="254">
        <v>25.81</v>
      </c>
      <c r="E10312"/>
      <c r="F10312"/>
      <c r="G10312"/>
      <c r="H10312"/>
      <c r="I10312" s="489"/>
      <c r="J10312" s="1362"/>
      <c r="K10312" s="1362"/>
      <c r="L10312" s="1362"/>
    </row>
    <row r="10313" spans="1:12" x14ac:dyDescent="0.25">
      <c r="A10313">
        <v>92743</v>
      </c>
      <c r="B10313" t="s">
        <v>2956</v>
      </c>
      <c r="C10313" t="s">
        <v>1159</v>
      </c>
      <c r="D10313" s="254">
        <v>736.36</v>
      </c>
      <c r="E10313"/>
      <c r="F10313"/>
      <c r="G10313"/>
      <c r="H10313"/>
      <c r="I10313" s="489"/>
      <c r="J10313" s="1362"/>
      <c r="K10313" s="1362"/>
      <c r="L10313" s="1362"/>
    </row>
    <row r="10314" spans="1:12" x14ac:dyDescent="0.25">
      <c r="A10314">
        <v>92744</v>
      </c>
      <c r="B10314" t="s">
        <v>2957</v>
      </c>
      <c r="C10314" t="s">
        <v>1159</v>
      </c>
      <c r="D10314" s="254">
        <v>711.39</v>
      </c>
      <c r="E10314"/>
      <c r="F10314"/>
      <c r="G10314"/>
      <c r="H10314"/>
      <c r="I10314" s="489"/>
      <c r="J10314" s="1362"/>
      <c r="K10314" s="1362"/>
      <c r="L10314" s="1362"/>
    </row>
    <row r="10315" spans="1:12" x14ac:dyDescent="0.25">
      <c r="A10315">
        <v>92745</v>
      </c>
      <c r="B10315" t="s">
        <v>2958</v>
      </c>
      <c r="C10315" t="s">
        <v>1159</v>
      </c>
      <c r="D10315" s="254">
        <v>917.81</v>
      </c>
      <c r="E10315"/>
      <c r="F10315"/>
      <c r="G10315"/>
      <c r="H10315"/>
      <c r="I10315" s="489"/>
      <c r="J10315" s="1362"/>
      <c r="K10315" s="1362"/>
      <c r="L10315" s="1362"/>
    </row>
    <row r="10316" spans="1:12" x14ac:dyDescent="0.25">
      <c r="A10316">
        <v>92746</v>
      </c>
      <c r="B10316" t="s">
        <v>3138</v>
      </c>
      <c r="C10316" t="s">
        <v>1159</v>
      </c>
      <c r="D10316" s="254">
        <v>845.05</v>
      </c>
      <c r="E10316"/>
      <c r="F10316"/>
      <c r="G10316"/>
      <c r="H10316"/>
      <c r="I10316" s="489"/>
      <c r="J10316" s="1362"/>
      <c r="K10316" s="1362"/>
      <c r="L10316" s="1362"/>
    </row>
    <row r="10317" spans="1:12" x14ac:dyDescent="0.25">
      <c r="A10317">
        <v>92747</v>
      </c>
      <c r="B10317" t="s">
        <v>3139</v>
      </c>
      <c r="C10317" t="s">
        <v>1159</v>
      </c>
      <c r="D10317" s="254">
        <v>1020.98</v>
      </c>
      <c r="E10317"/>
      <c r="F10317"/>
      <c r="G10317"/>
      <c r="H10317"/>
      <c r="I10317" s="489"/>
      <c r="J10317" s="1362"/>
      <c r="K10317" s="1362"/>
      <c r="L10317" s="1362"/>
    </row>
    <row r="10318" spans="1:12" x14ac:dyDescent="0.25">
      <c r="A10318">
        <v>92748</v>
      </c>
      <c r="B10318" t="s">
        <v>2959</v>
      </c>
      <c r="C10318" t="s">
        <v>1159</v>
      </c>
      <c r="D10318" s="254">
        <v>921.45</v>
      </c>
      <c r="E10318"/>
      <c r="F10318"/>
      <c r="G10318"/>
      <c r="H10318"/>
      <c r="I10318" s="489"/>
      <c r="J10318" s="1362"/>
      <c r="K10318" s="1362"/>
      <c r="L10318" s="1362"/>
    </row>
    <row r="10319" spans="1:12" x14ac:dyDescent="0.25">
      <c r="A10319">
        <v>92749</v>
      </c>
      <c r="B10319" t="s">
        <v>3140</v>
      </c>
      <c r="C10319" t="s">
        <v>1159</v>
      </c>
      <c r="D10319" s="254">
        <v>1065.1300000000001</v>
      </c>
      <c r="E10319"/>
      <c r="F10319"/>
      <c r="G10319"/>
      <c r="H10319"/>
      <c r="I10319" s="489"/>
      <c r="J10319" s="1362"/>
      <c r="K10319" s="1362"/>
      <c r="L10319" s="1362"/>
    </row>
    <row r="10320" spans="1:12" x14ac:dyDescent="0.25">
      <c r="A10320">
        <v>92750</v>
      </c>
      <c r="B10320" t="s">
        <v>3141</v>
      </c>
      <c r="C10320" t="s">
        <v>1159</v>
      </c>
      <c r="D10320" s="254">
        <v>1847.29</v>
      </c>
      <c r="E10320"/>
      <c r="F10320"/>
      <c r="G10320"/>
      <c r="H10320"/>
      <c r="I10320" s="489"/>
      <c r="J10320" s="1362"/>
      <c r="K10320" s="1362"/>
      <c r="L10320" s="1362"/>
    </row>
    <row r="10321" spans="1:12" x14ac:dyDescent="0.25">
      <c r="A10321">
        <v>92751</v>
      </c>
      <c r="B10321" t="s">
        <v>3142</v>
      </c>
      <c r="C10321" t="s">
        <v>1159</v>
      </c>
      <c r="D10321" s="254">
        <v>2301.85</v>
      </c>
      <c r="E10321"/>
      <c r="F10321"/>
      <c r="G10321"/>
      <c r="H10321"/>
      <c r="I10321" s="489"/>
      <c r="J10321" s="1362"/>
      <c r="K10321" s="1362"/>
      <c r="L10321" s="1362"/>
    </row>
    <row r="10322" spans="1:12" x14ac:dyDescent="0.25">
      <c r="A10322">
        <v>92752</v>
      </c>
      <c r="B10322" t="s">
        <v>3143</v>
      </c>
      <c r="C10322" t="s">
        <v>1159</v>
      </c>
      <c r="D10322" s="254">
        <v>2754.71</v>
      </c>
      <c r="E10322"/>
      <c r="F10322"/>
      <c r="G10322"/>
      <c r="H10322"/>
      <c r="I10322" s="489"/>
      <c r="J10322" s="1362"/>
      <c r="K10322" s="1362"/>
      <c r="L10322" s="1362"/>
    </row>
    <row r="10323" spans="1:12" x14ac:dyDescent="0.25">
      <c r="A10323">
        <v>92753</v>
      </c>
      <c r="B10323" t="s">
        <v>3144</v>
      </c>
      <c r="C10323" t="s">
        <v>1159</v>
      </c>
      <c r="D10323" s="254">
        <v>706.52</v>
      </c>
      <c r="E10323"/>
      <c r="F10323"/>
      <c r="G10323"/>
      <c r="H10323"/>
      <c r="I10323" s="489"/>
      <c r="J10323" s="1362"/>
      <c r="K10323" s="1362"/>
      <c r="L10323" s="1362"/>
    </row>
    <row r="10324" spans="1:12" x14ac:dyDescent="0.25">
      <c r="A10324">
        <v>92754</v>
      </c>
      <c r="B10324" t="s">
        <v>3145</v>
      </c>
      <c r="C10324" t="s">
        <v>1159</v>
      </c>
      <c r="D10324" s="254">
        <v>644.95000000000005</v>
      </c>
      <c r="E10324"/>
      <c r="F10324"/>
      <c r="G10324"/>
      <c r="H10324"/>
      <c r="I10324" s="489"/>
      <c r="J10324" s="1362"/>
      <c r="K10324" s="1362"/>
      <c r="L10324" s="1362"/>
    </row>
    <row r="10325" spans="1:12" x14ac:dyDescent="0.25">
      <c r="A10325">
        <v>92755</v>
      </c>
      <c r="B10325" t="s">
        <v>1160</v>
      </c>
      <c r="C10325" t="s">
        <v>297</v>
      </c>
      <c r="D10325" s="254">
        <v>270.81</v>
      </c>
      <c r="E10325"/>
      <c r="F10325"/>
      <c r="G10325"/>
      <c r="H10325"/>
      <c r="I10325" s="489"/>
      <c r="J10325" s="1362"/>
      <c r="K10325" s="1362"/>
      <c r="L10325" s="1362"/>
    </row>
    <row r="10326" spans="1:12" x14ac:dyDescent="0.25">
      <c r="A10326">
        <v>92756</v>
      </c>
      <c r="B10326" t="s">
        <v>1161</v>
      </c>
      <c r="C10326" t="s">
        <v>297</v>
      </c>
      <c r="D10326" s="254">
        <v>306.88</v>
      </c>
      <c r="E10326"/>
      <c r="F10326"/>
      <c r="G10326"/>
      <c r="H10326"/>
      <c r="I10326" s="489"/>
      <c r="J10326" s="1362"/>
      <c r="K10326" s="1362"/>
      <c r="L10326" s="1362"/>
    </row>
    <row r="10327" spans="1:12" x14ac:dyDescent="0.25">
      <c r="A10327">
        <v>92757</v>
      </c>
      <c r="B10327" t="s">
        <v>1162</v>
      </c>
      <c r="C10327" t="s">
        <v>297</v>
      </c>
      <c r="D10327" s="254">
        <v>350.77</v>
      </c>
      <c r="E10327"/>
      <c r="F10327"/>
      <c r="G10327"/>
      <c r="H10327"/>
      <c r="I10327" s="489"/>
      <c r="J10327" s="1362"/>
      <c r="K10327" s="1362"/>
      <c r="L10327" s="1362"/>
    </row>
    <row r="10328" spans="1:12" x14ac:dyDescent="0.25">
      <c r="A10328">
        <v>92758</v>
      </c>
      <c r="B10328" t="s">
        <v>1163</v>
      </c>
      <c r="C10328" t="s">
        <v>1159</v>
      </c>
      <c r="D10328" s="254">
        <v>844.66</v>
      </c>
      <c r="E10328"/>
      <c r="F10328"/>
      <c r="G10328"/>
      <c r="H10328"/>
      <c r="I10328" s="489"/>
      <c r="J10328" s="1362"/>
      <c r="K10328" s="1362"/>
      <c r="L10328" s="1362"/>
    </row>
    <row r="10329" spans="1:12" x14ac:dyDescent="0.25">
      <c r="A10329">
        <v>91069</v>
      </c>
      <c r="B10329" t="s">
        <v>1164</v>
      </c>
      <c r="C10329" t="s">
        <v>297</v>
      </c>
      <c r="D10329" s="254">
        <v>128.99</v>
      </c>
      <c r="E10329"/>
      <c r="F10329"/>
      <c r="G10329"/>
      <c r="H10329"/>
      <c r="I10329" s="489"/>
      <c r="J10329" s="1362"/>
      <c r="K10329" s="1362"/>
      <c r="L10329" s="1362"/>
    </row>
    <row r="10330" spans="1:12" x14ac:dyDescent="0.25">
      <c r="A10330">
        <v>91070</v>
      </c>
      <c r="B10330" t="s">
        <v>1165</v>
      </c>
      <c r="C10330" t="s">
        <v>297</v>
      </c>
      <c r="D10330" s="254">
        <v>143.4</v>
      </c>
      <c r="E10330"/>
      <c r="F10330"/>
      <c r="G10330"/>
      <c r="H10330"/>
      <c r="I10330" s="489"/>
      <c r="J10330" s="1362"/>
      <c r="K10330" s="1362"/>
      <c r="L10330" s="1362"/>
    </row>
    <row r="10331" spans="1:12" x14ac:dyDescent="0.25">
      <c r="A10331">
        <v>91071</v>
      </c>
      <c r="B10331" t="s">
        <v>1166</v>
      </c>
      <c r="C10331" t="s">
        <v>297</v>
      </c>
      <c r="D10331" s="254">
        <v>175.06</v>
      </c>
      <c r="E10331"/>
      <c r="F10331"/>
      <c r="G10331"/>
      <c r="H10331"/>
      <c r="I10331" s="489"/>
      <c r="J10331" s="1362"/>
      <c r="K10331" s="1362"/>
      <c r="L10331" s="1362"/>
    </row>
    <row r="10332" spans="1:12" x14ac:dyDescent="0.25">
      <c r="A10332">
        <v>91072</v>
      </c>
      <c r="B10332" t="s">
        <v>1167</v>
      </c>
      <c r="C10332" t="s">
        <v>297</v>
      </c>
      <c r="D10332" s="254">
        <v>189.48</v>
      </c>
      <c r="E10332"/>
      <c r="F10332"/>
      <c r="G10332"/>
      <c r="H10332"/>
      <c r="I10332" s="489"/>
      <c r="J10332" s="1362"/>
      <c r="K10332" s="1362"/>
      <c r="L10332" s="1362"/>
    </row>
    <row r="10333" spans="1:12" x14ac:dyDescent="0.25">
      <c r="A10333">
        <v>91073</v>
      </c>
      <c r="B10333" t="s">
        <v>1168</v>
      </c>
      <c r="C10333" t="s">
        <v>297</v>
      </c>
      <c r="D10333" s="254">
        <v>143.74</v>
      </c>
      <c r="E10333"/>
      <c r="F10333"/>
      <c r="G10333"/>
      <c r="H10333"/>
      <c r="I10333" s="489"/>
      <c r="J10333" s="1362"/>
      <c r="K10333" s="1362"/>
      <c r="L10333" s="1362"/>
    </row>
    <row r="10334" spans="1:12" x14ac:dyDescent="0.25">
      <c r="A10334">
        <v>91074</v>
      </c>
      <c r="B10334" t="s">
        <v>1169</v>
      </c>
      <c r="C10334" t="s">
        <v>297</v>
      </c>
      <c r="D10334" s="254">
        <v>159.74</v>
      </c>
      <c r="E10334"/>
      <c r="F10334"/>
      <c r="G10334"/>
      <c r="H10334"/>
      <c r="I10334" s="489"/>
      <c r="J10334" s="1362"/>
      <c r="K10334" s="1362"/>
      <c r="L10334" s="1362"/>
    </row>
    <row r="10335" spans="1:12" x14ac:dyDescent="0.25">
      <c r="A10335">
        <v>91075</v>
      </c>
      <c r="B10335" t="s">
        <v>1170</v>
      </c>
      <c r="C10335" t="s">
        <v>297</v>
      </c>
      <c r="D10335" s="254">
        <v>192.53</v>
      </c>
      <c r="E10335"/>
      <c r="F10335"/>
      <c r="G10335"/>
      <c r="H10335"/>
      <c r="I10335" s="489"/>
      <c r="J10335" s="1362"/>
      <c r="K10335" s="1362"/>
      <c r="L10335" s="1362"/>
    </row>
    <row r="10336" spans="1:12" x14ac:dyDescent="0.25">
      <c r="A10336">
        <v>91076</v>
      </c>
      <c r="B10336" t="s">
        <v>1171</v>
      </c>
      <c r="C10336" t="s">
        <v>297</v>
      </c>
      <c r="D10336" s="254">
        <v>208.58</v>
      </c>
      <c r="E10336"/>
      <c r="F10336"/>
      <c r="G10336"/>
      <c r="H10336"/>
      <c r="I10336" s="489"/>
      <c r="J10336" s="1362"/>
      <c r="K10336" s="1362"/>
      <c r="L10336" s="1362"/>
    </row>
    <row r="10337" spans="1:12" x14ac:dyDescent="0.25">
      <c r="A10337">
        <v>91077</v>
      </c>
      <c r="B10337" t="s">
        <v>1172</v>
      </c>
      <c r="C10337" t="s">
        <v>297</v>
      </c>
      <c r="D10337" s="254">
        <v>144.71</v>
      </c>
      <c r="E10337"/>
      <c r="F10337"/>
      <c r="G10337"/>
      <c r="H10337"/>
      <c r="I10337" s="489"/>
      <c r="J10337" s="1362"/>
      <c r="K10337" s="1362"/>
      <c r="L10337" s="1362"/>
    </row>
    <row r="10338" spans="1:12" x14ac:dyDescent="0.25">
      <c r="A10338">
        <v>91078</v>
      </c>
      <c r="B10338" t="s">
        <v>1173</v>
      </c>
      <c r="C10338" t="s">
        <v>297</v>
      </c>
      <c r="D10338" s="254">
        <v>169.99</v>
      </c>
      <c r="E10338"/>
      <c r="F10338"/>
      <c r="G10338"/>
      <c r="H10338"/>
      <c r="I10338" s="489"/>
      <c r="J10338" s="1362"/>
      <c r="K10338" s="1362"/>
      <c r="L10338" s="1362"/>
    </row>
    <row r="10339" spans="1:12" x14ac:dyDescent="0.25">
      <c r="A10339">
        <v>91079</v>
      </c>
      <c r="B10339" t="s">
        <v>1174</v>
      </c>
      <c r="C10339" t="s">
        <v>297</v>
      </c>
      <c r="D10339" s="254">
        <v>151.66999999999999</v>
      </c>
      <c r="E10339"/>
      <c r="F10339"/>
      <c r="G10339"/>
      <c r="H10339"/>
      <c r="I10339" s="489"/>
      <c r="J10339" s="1362"/>
      <c r="K10339" s="1362"/>
      <c r="L10339" s="1362"/>
    </row>
    <row r="10340" spans="1:12" x14ac:dyDescent="0.25">
      <c r="A10340">
        <v>91080</v>
      </c>
      <c r="B10340" t="s">
        <v>1175</v>
      </c>
      <c r="C10340" t="s">
        <v>297</v>
      </c>
      <c r="D10340" s="254">
        <v>176.72</v>
      </c>
      <c r="E10340"/>
      <c r="F10340"/>
      <c r="G10340"/>
      <c r="H10340"/>
      <c r="I10340" s="489"/>
      <c r="J10340" s="1362"/>
      <c r="K10340" s="1362"/>
      <c r="L10340" s="1362"/>
    </row>
    <row r="10341" spans="1:12" x14ac:dyDescent="0.25">
      <c r="A10341">
        <v>91081</v>
      </c>
      <c r="B10341" t="s">
        <v>1176</v>
      </c>
      <c r="C10341" t="s">
        <v>297</v>
      </c>
      <c r="D10341" s="254">
        <v>161.41999999999999</v>
      </c>
      <c r="E10341"/>
      <c r="F10341"/>
      <c r="G10341"/>
      <c r="H10341"/>
      <c r="I10341" s="489"/>
      <c r="J10341" s="1362"/>
      <c r="K10341" s="1362"/>
      <c r="L10341" s="1362"/>
    </row>
    <row r="10342" spans="1:12" x14ac:dyDescent="0.25">
      <c r="A10342">
        <v>91082</v>
      </c>
      <c r="B10342" t="s">
        <v>1177</v>
      </c>
      <c r="C10342" t="s">
        <v>297</v>
      </c>
      <c r="D10342" s="254">
        <v>188.06</v>
      </c>
      <c r="E10342"/>
      <c r="F10342"/>
      <c r="G10342"/>
      <c r="H10342"/>
      <c r="I10342" s="489"/>
      <c r="J10342" s="1362"/>
      <c r="K10342" s="1362"/>
      <c r="L10342" s="1362"/>
    </row>
    <row r="10343" spans="1:12" x14ac:dyDescent="0.25">
      <c r="A10343">
        <v>91083</v>
      </c>
      <c r="B10343" t="s">
        <v>1178</v>
      </c>
      <c r="C10343" t="s">
        <v>297</v>
      </c>
      <c r="D10343" s="254">
        <v>173.57</v>
      </c>
      <c r="E10343"/>
      <c r="F10343"/>
      <c r="G10343"/>
      <c r="H10343"/>
      <c r="I10343" s="489"/>
      <c r="J10343" s="1362"/>
      <c r="K10343" s="1362"/>
      <c r="L10343" s="1362"/>
    </row>
    <row r="10344" spans="1:12" x14ac:dyDescent="0.25">
      <c r="A10344">
        <v>91084</v>
      </c>
      <c r="B10344" t="s">
        <v>1179</v>
      </c>
      <c r="C10344" t="s">
        <v>297</v>
      </c>
      <c r="D10344" s="254">
        <v>199.96</v>
      </c>
      <c r="E10344"/>
      <c r="F10344"/>
      <c r="G10344"/>
      <c r="H10344"/>
      <c r="I10344" s="489"/>
      <c r="J10344" s="1362"/>
      <c r="K10344" s="1362"/>
      <c r="L10344" s="1362"/>
    </row>
    <row r="10345" spans="1:12" x14ac:dyDescent="0.25">
      <c r="A10345">
        <v>91086</v>
      </c>
      <c r="B10345" t="s">
        <v>1180</v>
      </c>
      <c r="C10345" t="s">
        <v>297</v>
      </c>
      <c r="D10345" s="254">
        <v>140.53</v>
      </c>
      <c r="E10345"/>
      <c r="F10345"/>
      <c r="G10345"/>
      <c r="H10345"/>
      <c r="I10345" s="489"/>
      <c r="J10345" s="1362"/>
      <c r="K10345" s="1362"/>
      <c r="L10345" s="1362"/>
    </row>
    <row r="10346" spans="1:12" x14ac:dyDescent="0.25">
      <c r="A10346">
        <v>91087</v>
      </c>
      <c r="B10346" t="s">
        <v>1181</v>
      </c>
      <c r="C10346" t="s">
        <v>297</v>
      </c>
      <c r="D10346" s="254">
        <v>155.36000000000001</v>
      </c>
      <c r="E10346"/>
      <c r="F10346"/>
      <c r="G10346"/>
      <c r="H10346"/>
      <c r="I10346" s="489"/>
      <c r="J10346" s="1362"/>
      <c r="K10346" s="1362"/>
      <c r="L10346" s="1362"/>
    </row>
    <row r="10347" spans="1:12" x14ac:dyDescent="0.25">
      <c r="A10347">
        <v>91088</v>
      </c>
      <c r="B10347" t="s">
        <v>1182</v>
      </c>
      <c r="C10347" t="s">
        <v>297</v>
      </c>
      <c r="D10347" s="254">
        <v>188.42</v>
      </c>
      <c r="E10347"/>
      <c r="F10347"/>
      <c r="G10347"/>
      <c r="H10347"/>
      <c r="I10347" s="489"/>
      <c r="J10347" s="1362"/>
      <c r="K10347" s="1362"/>
      <c r="L10347" s="1362"/>
    </row>
    <row r="10348" spans="1:12" x14ac:dyDescent="0.25">
      <c r="A10348">
        <v>91089</v>
      </c>
      <c r="B10348" t="s">
        <v>1183</v>
      </c>
      <c r="C10348" t="s">
        <v>297</v>
      </c>
      <c r="D10348" s="254">
        <v>203.41</v>
      </c>
      <c r="E10348"/>
      <c r="F10348"/>
      <c r="G10348"/>
      <c r="H10348"/>
      <c r="I10348" s="489"/>
      <c r="J10348" s="1362"/>
      <c r="K10348" s="1362"/>
      <c r="L10348" s="1362"/>
    </row>
    <row r="10349" spans="1:12" x14ac:dyDescent="0.25">
      <c r="A10349">
        <v>91090</v>
      </c>
      <c r="B10349" t="s">
        <v>1184</v>
      </c>
      <c r="C10349" t="s">
        <v>297</v>
      </c>
      <c r="D10349" s="254">
        <v>153.05000000000001</v>
      </c>
      <c r="E10349"/>
      <c r="F10349"/>
      <c r="G10349"/>
      <c r="H10349"/>
      <c r="I10349" s="489"/>
      <c r="J10349" s="1362"/>
      <c r="K10349" s="1362"/>
      <c r="L10349" s="1362"/>
    </row>
    <row r="10350" spans="1:12" x14ac:dyDescent="0.25">
      <c r="A10350">
        <v>91091</v>
      </c>
      <c r="B10350" t="s">
        <v>1185</v>
      </c>
      <c r="C10350" t="s">
        <v>297</v>
      </c>
      <c r="D10350" s="254">
        <v>169.58</v>
      </c>
      <c r="E10350"/>
      <c r="F10350"/>
      <c r="G10350"/>
      <c r="H10350"/>
      <c r="I10350" s="489"/>
      <c r="J10350" s="1362"/>
      <c r="K10350" s="1362"/>
      <c r="L10350" s="1362"/>
    </row>
    <row r="10351" spans="1:12" x14ac:dyDescent="0.25">
      <c r="A10351">
        <v>91092</v>
      </c>
      <c r="B10351" t="s">
        <v>1186</v>
      </c>
      <c r="C10351" t="s">
        <v>297</v>
      </c>
      <c r="D10351" s="254">
        <v>203.04</v>
      </c>
      <c r="E10351"/>
      <c r="F10351"/>
      <c r="G10351"/>
      <c r="H10351"/>
      <c r="I10351" s="489"/>
      <c r="J10351" s="1362"/>
      <c r="K10351" s="1362"/>
      <c r="L10351" s="1362"/>
    </row>
    <row r="10352" spans="1:12" x14ac:dyDescent="0.25">
      <c r="A10352">
        <v>91093</v>
      </c>
      <c r="B10352" t="s">
        <v>1187</v>
      </c>
      <c r="C10352" t="s">
        <v>297</v>
      </c>
      <c r="D10352" s="254">
        <v>220.06</v>
      </c>
      <c r="E10352"/>
      <c r="F10352"/>
      <c r="G10352"/>
      <c r="H10352"/>
      <c r="I10352" s="489"/>
      <c r="J10352" s="1362"/>
      <c r="K10352" s="1362"/>
      <c r="L10352" s="1362"/>
    </row>
    <row r="10353" spans="1:12" x14ac:dyDescent="0.25">
      <c r="A10353">
        <v>91094</v>
      </c>
      <c r="B10353" t="s">
        <v>1188</v>
      </c>
      <c r="C10353" t="s">
        <v>297</v>
      </c>
      <c r="D10353" s="254">
        <v>151.59</v>
      </c>
      <c r="E10353"/>
      <c r="F10353"/>
      <c r="G10353"/>
      <c r="H10353"/>
      <c r="I10353" s="489"/>
      <c r="J10353" s="1362"/>
      <c r="K10353" s="1362"/>
      <c r="L10353" s="1362"/>
    </row>
    <row r="10354" spans="1:12" x14ac:dyDescent="0.25">
      <c r="A10354">
        <v>91095</v>
      </c>
      <c r="B10354" t="s">
        <v>1189</v>
      </c>
      <c r="C10354" t="s">
        <v>297</v>
      </c>
      <c r="D10354" s="254">
        <v>177.31</v>
      </c>
      <c r="E10354"/>
      <c r="F10354"/>
      <c r="G10354"/>
      <c r="H10354"/>
      <c r="I10354" s="489"/>
      <c r="J10354" s="1362"/>
      <c r="K10354" s="1362"/>
      <c r="L10354" s="1362"/>
    </row>
    <row r="10355" spans="1:12" x14ac:dyDescent="0.25">
      <c r="A10355">
        <v>91096</v>
      </c>
      <c r="B10355" t="s">
        <v>1190</v>
      </c>
      <c r="C10355" t="s">
        <v>297</v>
      </c>
      <c r="D10355" s="254">
        <v>155.38999999999999</v>
      </c>
      <c r="E10355"/>
      <c r="F10355"/>
      <c r="G10355"/>
      <c r="H10355"/>
      <c r="I10355" s="489"/>
      <c r="J10355" s="1362"/>
      <c r="K10355" s="1362"/>
      <c r="L10355" s="1362"/>
    </row>
    <row r="10356" spans="1:12" x14ac:dyDescent="0.25">
      <c r="A10356">
        <v>91097</v>
      </c>
      <c r="B10356" t="s">
        <v>1191</v>
      </c>
      <c r="C10356" t="s">
        <v>297</v>
      </c>
      <c r="D10356" s="254">
        <v>180.97</v>
      </c>
      <c r="E10356"/>
      <c r="F10356"/>
      <c r="G10356"/>
      <c r="H10356"/>
      <c r="I10356" s="489"/>
      <c r="J10356" s="1362"/>
      <c r="K10356" s="1362"/>
      <c r="L10356" s="1362"/>
    </row>
    <row r="10357" spans="1:12" x14ac:dyDescent="0.25">
      <c r="A10357">
        <v>91098</v>
      </c>
      <c r="B10357" t="s">
        <v>1192</v>
      </c>
      <c r="C10357" t="s">
        <v>297</v>
      </c>
      <c r="D10357" s="254">
        <v>168.03</v>
      </c>
      <c r="E10357"/>
      <c r="F10357"/>
      <c r="G10357"/>
      <c r="H10357"/>
      <c r="I10357" s="489"/>
      <c r="J10357" s="1362"/>
      <c r="K10357" s="1362"/>
      <c r="L10357" s="1362"/>
    </row>
    <row r="10358" spans="1:12" x14ac:dyDescent="0.25">
      <c r="A10358">
        <v>91099</v>
      </c>
      <c r="B10358" t="s">
        <v>1193</v>
      </c>
      <c r="C10358" t="s">
        <v>297</v>
      </c>
      <c r="D10358" s="254">
        <v>195.24</v>
      </c>
      <c r="E10358"/>
      <c r="F10358"/>
      <c r="G10358"/>
      <c r="H10358"/>
      <c r="I10358" s="489"/>
      <c r="J10358" s="1362"/>
      <c r="K10358" s="1362"/>
      <c r="L10358" s="1362"/>
    </row>
    <row r="10359" spans="1:12" x14ac:dyDescent="0.25">
      <c r="A10359">
        <v>91100</v>
      </c>
      <c r="B10359" t="s">
        <v>1194</v>
      </c>
      <c r="C10359" t="s">
        <v>297</v>
      </c>
      <c r="D10359" s="254">
        <v>177.96</v>
      </c>
      <c r="E10359"/>
      <c r="F10359"/>
      <c r="G10359"/>
      <c r="H10359"/>
      <c r="I10359" s="489"/>
      <c r="J10359" s="1362"/>
      <c r="K10359" s="1362"/>
      <c r="L10359" s="1362"/>
    </row>
    <row r="10360" spans="1:12" x14ac:dyDescent="0.25">
      <c r="A10360">
        <v>91101</v>
      </c>
      <c r="B10360" t="s">
        <v>1195</v>
      </c>
      <c r="C10360" t="s">
        <v>297</v>
      </c>
      <c r="D10360" s="254">
        <v>205.1</v>
      </c>
      <c r="E10360"/>
      <c r="F10360"/>
      <c r="G10360"/>
      <c r="H10360"/>
      <c r="I10360" s="489"/>
      <c r="J10360" s="1362"/>
      <c r="K10360" s="1362"/>
      <c r="L10360" s="1362"/>
    </row>
    <row r="10361" spans="1:12" x14ac:dyDescent="0.25">
      <c r="A10361">
        <v>93952</v>
      </c>
      <c r="B10361" t="s">
        <v>1196</v>
      </c>
      <c r="C10361" t="s">
        <v>151</v>
      </c>
      <c r="D10361" s="254">
        <v>229.29</v>
      </c>
      <c r="E10361"/>
      <c r="F10361"/>
      <c r="G10361"/>
      <c r="H10361"/>
      <c r="I10361" s="489"/>
      <c r="J10361" s="1362"/>
      <c r="K10361" s="1362"/>
      <c r="L10361" s="1362"/>
    </row>
    <row r="10362" spans="1:12" x14ac:dyDescent="0.25">
      <c r="A10362">
        <v>93953</v>
      </c>
      <c r="B10362" t="s">
        <v>1197</v>
      </c>
      <c r="C10362" t="s">
        <v>151</v>
      </c>
      <c r="D10362" s="254">
        <v>212.96</v>
      </c>
      <c r="E10362"/>
      <c r="F10362"/>
      <c r="G10362"/>
      <c r="H10362"/>
      <c r="I10362" s="489"/>
      <c r="J10362" s="1362"/>
      <c r="K10362" s="1362"/>
      <c r="L10362" s="1362"/>
    </row>
    <row r="10363" spans="1:12" x14ac:dyDescent="0.25">
      <c r="A10363">
        <v>93954</v>
      </c>
      <c r="B10363" t="s">
        <v>1198</v>
      </c>
      <c r="C10363" t="s">
        <v>151</v>
      </c>
      <c r="D10363" s="254">
        <v>203.11</v>
      </c>
      <c r="E10363"/>
      <c r="F10363"/>
      <c r="G10363"/>
      <c r="H10363"/>
      <c r="I10363" s="489"/>
      <c r="J10363" s="1362"/>
      <c r="K10363" s="1362"/>
      <c r="L10363" s="1362"/>
    </row>
    <row r="10364" spans="1:12" x14ac:dyDescent="0.25">
      <c r="A10364">
        <v>93955</v>
      </c>
      <c r="B10364" t="s">
        <v>1199</v>
      </c>
      <c r="C10364" t="s">
        <v>151</v>
      </c>
      <c r="D10364" s="254">
        <v>196.12</v>
      </c>
      <c r="E10364"/>
      <c r="F10364"/>
      <c r="G10364"/>
      <c r="H10364"/>
      <c r="I10364" s="489"/>
      <c r="J10364" s="1362"/>
      <c r="K10364" s="1362"/>
      <c r="L10364" s="1362"/>
    </row>
    <row r="10365" spans="1:12" x14ac:dyDescent="0.25">
      <c r="A10365">
        <v>93956</v>
      </c>
      <c r="B10365" t="s">
        <v>1200</v>
      </c>
      <c r="C10365" t="s">
        <v>151</v>
      </c>
      <c r="D10365" s="254">
        <v>190.58</v>
      </c>
      <c r="E10365"/>
      <c r="F10365"/>
      <c r="G10365"/>
      <c r="H10365"/>
      <c r="I10365" s="489"/>
      <c r="J10365" s="1362"/>
      <c r="K10365" s="1362"/>
      <c r="L10365" s="1362"/>
    </row>
    <row r="10366" spans="1:12" x14ac:dyDescent="0.25">
      <c r="A10366">
        <v>93957</v>
      </c>
      <c r="B10366" t="s">
        <v>1201</v>
      </c>
      <c r="C10366" t="s">
        <v>151</v>
      </c>
      <c r="D10366" s="254">
        <v>244.01</v>
      </c>
      <c r="E10366"/>
      <c r="F10366"/>
      <c r="G10366"/>
      <c r="H10366"/>
      <c r="I10366" s="489"/>
      <c r="J10366" s="1362"/>
      <c r="K10366" s="1362"/>
      <c r="L10366" s="1362"/>
    </row>
    <row r="10367" spans="1:12" x14ac:dyDescent="0.25">
      <c r="A10367">
        <v>93958</v>
      </c>
      <c r="B10367" t="s">
        <v>1202</v>
      </c>
      <c r="C10367" t="s">
        <v>151</v>
      </c>
      <c r="D10367" s="254">
        <v>226.72</v>
      </c>
      <c r="E10367"/>
      <c r="F10367"/>
      <c r="G10367"/>
      <c r="H10367"/>
      <c r="I10367" s="489"/>
      <c r="J10367" s="1362"/>
      <c r="K10367" s="1362"/>
      <c r="L10367" s="1362"/>
    </row>
    <row r="10368" spans="1:12" x14ac:dyDescent="0.25">
      <c r="A10368">
        <v>93959</v>
      </c>
      <c r="B10368" t="s">
        <v>1203</v>
      </c>
      <c r="C10368" t="s">
        <v>151</v>
      </c>
      <c r="D10368" s="254">
        <v>216.41</v>
      </c>
      <c r="E10368"/>
      <c r="F10368"/>
      <c r="G10368"/>
      <c r="H10368"/>
      <c r="I10368" s="489"/>
      <c r="J10368" s="1362"/>
      <c r="K10368" s="1362"/>
      <c r="L10368" s="1362"/>
    </row>
    <row r="10369" spans="1:12" x14ac:dyDescent="0.25">
      <c r="A10369">
        <v>93960</v>
      </c>
      <c r="B10369" t="s">
        <v>1204</v>
      </c>
      <c r="C10369" t="s">
        <v>151</v>
      </c>
      <c r="D10369" s="254">
        <v>209.12</v>
      </c>
      <c r="E10369"/>
      <c r="F10369"/>
      <c r="G10369"/>
      <c r="H10369"/>
      <c r="I10369" s="489"/>
      <c r="J10369" s="1362"/>
      <c r="K10369" s="1362"/>
      <c r="L10369" s="1362"/>
    </row>
    <row r="10370" spans="1:12" x14ac:dyDescent="0.25">
      <c r="A10370">
        <v>93961</v>
      </c>
      <c r="B10370" t="s">
        <v>1205</v>
      </c>
      <c r="C10370" t="s">
        <v>151</v>
      </c>
      <c r="D10370" s="254">
        <v>203.41</v>
      </c>
      <c r="E10370"/>
      <c r="F10370"/>
      <c r="G10370"/>
      <c r="H10370"/>
      <c r="I10370" s="489"/>
      <c r="J10370" s="1362"/>
      <c r="K10370" s="1362"/>
      <c r="L10370" s="1362"/>
    </row>
    <row r="10371" spans="1:12" x14ac:dyDescent="0.25">
      <c r="A10371">
        <v>93962</v>
      </c>
      <c r="B10371" t="s">
        <v>1206</v>
      </c>
      <c r="C10371" t="s">
        <v>151</v>
      </c>
      <c r="D10371" s="254">
        <v>215.38</v>
      </c>
      <c r="E10371"/>
      <c r="F10371"/>
      <c r="G10371"/>
      <c r="H10371"/>
      <c r="I10371" s="489"/>
      <c r="J10371" s="1362"/>
      <c r="K10371" s="1362"/>
      <c r="L10371" s="1362"/>
    </row>
    <row r="10372" spans="1:12" x14ac:dyDescent="0.25">
      <c r="A10372">
        <v>93963</v>
      </c>
      <c r="B10372" t="s">
        <v>1207</v>
      </c>
      <c r="C10372" t="s">
        <v>151</v>
      </c>
      <c r="D10372" s="254">
        <v>199.05</v>
      </c>
      <c r="E10372"/>
      <c r="F10372"/>
      <c r="G10372"/>
      <c r="H10372"/>
      <c r="I10372" s="489"/>
      <c r="J10372" s="1362"/>
      <c r="K10372" s="1362"/>
      <c r="L10372" s="1362"/>
    </row>
    <row r="10373" spans="1:12" x14ac:dyDescent="0.25">
      <c r="A10373">
        <v>93964</v>
      </c>
      <c r="B10373" t="s">
        <v>1208</v>
      </c>
      <c r="C10373" t="s">
        <v>151</v>
      </c>
      <c r="D10373" s="254">
        <v>189.24</v>
      </c>
      <c r="E10373"/>
      <c r="F10373"/>
      <c r="G10373"/>
      <c r="H10373"/>
      <c r="I10373" s="489"/>
      <c r="J10373" s="1362"/>
      <c r="K10373" s="1362"/>
      <c r="L10373" s="1362"/>
    </row>
    <row r="10374" spans="1:12" x14ac:dyDescent="0.25">
      <c r="A10374">
        <v>93965</v>
      </c>
      <c r="B10374" t="s">
        <v>1209</v>
      </c>
      <c r="C10374" t="s">
        <v>151</v>
      </c>
      <c r="D10374" s="254">
        <v>179.67</v>
      </c>
      <c r="E10374"/>
      <c r="F10374"/>
      <c r="G10374"/>
      <c r="H10374"/>
      <c r="I10374" s="489"/>
      <c r="J10374" s="1362"/>
      <c r="K10374" s="1362"/>
      <c r="L10374" s="1362"/>
    </row>
    <row r="10375" spans="1:12" x14ac:dyDescent="0.25">
      <c r="A10375">
        <v>93966</v>
      </c>
      <c r="B10375" t="s">
        <v>1210</v>
      </c>
      <c r="C10375" t="s">
        <v>151</v>
      </c>
      <c r="D10375" s="254">
        <v>176.82</v>
      </c>
      <c r="E10375"/>
      <c r="F10375"/>
      <c r="G10375"/>
      <c r="H10375"/>
      <c r="I10375" s="489"/>
      <c r="J10375" s="1362"/>
      <c r="K10375" s="1362"/>
      <c r="L10375" s="1362"/>
    </row>
    <row r="10376" spans="1:12" x14ac:dyDescent="0.25">
      <c r="A10376">
        <v>93967</v>
      </c>
      <c r="B10376" t="s">
        <v>1211</v>
      </c>
      <c r="C10376" t="s">
        <v>151</v>
      </c>
      <c r="D10376" s="254">
        <v>230.09</v>
      </c>
      <c r="E10376"/>
      <c r="F10376"/>
      <c r="G10376"/>
      <c r="H10376"/>
      <c r="I10376" s="489"/>
      <c r="J10376" s="1362"/>
      <c r="K10376" s="1362"/>
      <c r="L10376" s="1362"/>
    </row>
    <row r="10377" spans="1:12" x14ac:dyDescent="0.25">
      <c r="A10377">
        <v>93968</v>
      </c>
      <c r="B10377" t="s">
        <v>1212</v>
      </c>
      <c r="C10377" t="s">
        <v>151</v>
      </c>
      <c r="D10377" s="254">
        <v>212.8</v>
      </c>
      <c r="E10377"/>
      <c r="F10377"/>
      <c r="G10377"/>
      <c r="H10377"/>
      <c r="I10377" s="489"/>
      <c r="J10377" s="1362"/>
      <c r="K10377" s="1362"/>
      <c r="L10377" s="1362"/>
    </row>
    <row r="10378" spans="1:12" x14ac:dyDescent="0.25">
      <c r="A10378">
        <v>93969</v>
      </c>
      <c r="B10378" t="s">
        <v>1213</v>
      </c>
      <c r="C10378" t="s">
        <v>151</v>
      </c>
      <c r="D10378" s="254">
        <v>202.53</v>
      </c>
      <c r="E10378"/>
      <c r="F10378"/>
      <c r="G10378"/>
      <c r="H10378"/>
      <c r="I10378" s="489"/>
      <c r="J10378" s="1362"/>
      <c r="K10378" s="1362"/>
      <c r="L10378" s="1362"/>
    </row>
    <row r="10379" spans="1:12" x14ac:dyDescent="0.25">
      <c r="A10379">
        <v>93970</v>
      </c>
      <c r="B10379" t="s">
        <v>1214</v>
      </c>
      <c r="C10379" t="s">
        <v>151</v>
      </c>
      <c r="D10379" s="254">
        <v>195.27</v>
      </c>
      <c r="E10379"/>
      <c r="F10379"/>
      <c r="G10379"/>
      <c r="H10379"/>
      <c r="I10379" s="489"/>
      <c r="J10379" s="1362"/>
      <c r="K10379" s="1362"/>
      <c r="L10379" s="1362"/>
    </row>
    <row r="10380" spans="1:12" x14ac:dyDescent="0.25">
      <c r="A10380">
        <v>93971</v>
      </c>
      <c r="B10380" t="s">
        <v>1215</v>
      </c>
      <c r="C10380" t="s">
        <v>151</v>
      </c>
      <c r="D10380" s="254">
        <v>183.73</v>
      </c>
      <c r="E10380"/>
      <c r="F10380"/>
      <c r="G10380"/>
      <c r="H10380"/>
      <c r="I10380" s="489"/>
      <c r="J10380" s="1362"/>
      <c r="K10380" s="1362"/>
      <c r="L10380" s="1362"/>
    </row>
    <row r="10381" spans="1:12" x14ac:dyDescent="0.25">
      <c r="A10381">
        <v>95108</v>
      </c>
      <c r="B10381" t="s">
        <v>1216</v>
      </c>
      <c r="C10381" t="s">
        <v>138</v>
      </c>
      <c r="D10381" s="254">
        <v>34.29</v>
      </c>
      <c r="E10381"/>
      <c r="F10381"/>
      <c r="G10381"/>
      <c r="H10381"/>
      <c r="I10381" s="489"/>
      <c r="J10381" s="1362"/>
      <c r="K10381" s="1362"/>
      <c r="L10381" s="1362"/>
    </row>
    <row r="10382" spans="1:12" x14ac:dyDescent="0.25">
      <c r="A10382">
        <v>100332</v>
      </c>
      <c r="B10382" t="s">
        <v>3472</v>
      </c>
      <c r="C10382" t="s">
        <v>297</v>
      </c>
      <c r="D10382" s="254">
        <v>1233.03</v>
      </c>
      <c r="E10382"/>
      <c r="F10382"/>
      <c r="G10382"/>
      <c r="H10382"/>
      <c r="I10382" s="489"/>
      <c r="J10382" s="1362"/>
      <c r="K10382" s="1362"/>
      <c r="L10382" s="1362"/>
    </row>
    <row r="10383" spans="1:12" x14ac:dyDescent="0.25">
      <c r="A10383">
        <v>100333</v>
      </c>
      <c r="B10383" t="s">
        <v>3473</v>
      </c>
      <c r="C10383" t="s">
        <v>297</v>
      </c>
      <c r="D10383" s="254">
        <v>728.69</v>
      </c>
      <c r="E10383"/>
      <c r="F10383"/>
      <c r="G10383"/>
      <c r="H10383"/>
      <c r="I10383" s="489"/>
      <c r="J10383" s="1362"/>
      <c r="K10383" s="1362"/>
      <c r="L10383" s="1362"/>
    </row>
    <row r="10384" spans="1:12" x14ac:dyDescent="0.25">
      <c r="A10384">
        <v>100334</v>
      </c>
      <c r="B10384" t="s">
        <v>3474</v>
      </c>
      <c r="C10384" t="s">
        <v>297</v>
      </c>
      <c r="D10384" s="254">
        <v>960.61</v>
      </c>
      <c r="E10384"/>
      <c r="F10384"/>
      <c r="G10384"/>
      <c r="H10384"/>
      <c r="I10384" s="489"/>
      <c r="J10384" s="1362"/>
      <c r="K10384" s="1362"/>
      <c r="L10384" s="1362"/>
    </row>
    <row r="10385" spans="1:12" x14ac:dyDescent="0.25">
      <c r="A10385">
        <v>100335</v>
      </c>
      <c r="B10385" t="s">
        <v>3475</v>
      </c>
      <c r="C10385" t="s">
        <v>297</v>
      </c>
      <c r="D10385" s="254">
        <v>582.35</v>
      </c>
      <c r="E10385"/>
      <c r="F10385"/>
      <c r="G10385"/>
      <c r="H10385"/>
      <c r="I10385" s="489"/>
      <c r="J10385" s="1362"/>
      <c r="K10385" s="1362"/>
      <c r="L10385" s="1362"/>
    </row>
    <row r="10386" spans="1:12" x14ac:dyDescent="0.25">
      <c r="A10386">
        <v>100341</v>
      </c>
      <c r="B10386" t="s">
        <v>3476</v>
      </c>
      <c r="C10386" t="s">
        <v>297</v>
      </c>
      <c r="D10386" s="254">
        <v>43.21</v>
      </c>
      <c r="E10386"/>
      <c r="F10386"/>
      <c r="G10386"/>
      <c r="H10386"/>
      <c r="I10386" s="489"/>
      <c r="J10386" s="1362"/>
      <c r="K10386" s="1362"/>
      <c r="L10386" s="1362"/>
    </row>
    <row r="10387" spans="1:12" x14ac:dyDescent="0.25">
      <c r="A10387">
        <v>100342</v>
      </c>
      <c r="B10387" t="s">
        <v>3477</v>
      </c>
      <c r="C10387" t="s">
        <v>282</v>
      </c>
      <c r="D10387" s="254">
        <v>16.28</v>
      </c>
      <c r="E10387"/>
      <c r="F10387"/>
      <c r="G10387"/>
      <c r="H10387"/>
      <c r="I10387" s="489"/>
      <c r="J10387" s="1362"/>
      <c r="K10387" s="1362"/>
      <c r="L10387" s="1362"/>
    </row>
    <row r="10388" spans="1:12" x14ac:dyDescent="0.25">
      <c r="A10388">
        <v>100343</v>
      </c>
      <c r="B10388" t="s">
        <v>3478</v>
      </c>
      <c r="C10388" t="s">
        <v>282</v>
      </c>
      <c r="D10388" s="254">
        <v>15.27</v>
      </c>
      <c r="E10388"/>
      <c r="F10388"/>
      <c r="G10388"/>
      <c r="H10388"/>
      <c r="I10388" s="489"/>
      <c r="J10388" s="1362"/>
      <c r="K10388" s="1362"/>
      <c r="L10388" s="1362"/>
    </row>
    <row r="10389" spans="1:12" x14ac:dyDescent="0.25">
      <c r="A10389">
        <v>100344</v>
      </c>
      <c r="B10389" t="s">
        <v>3479</v>
      </c>
      <c r="C10389" t="s">
        <v>282</v>
      </c>
      <c r="D10389" s="254">
        <v>13.64</v>
      </c>
      <c r="E10389"/>
      <c r="F10389"/>
      <c r="G10389"/>
      <c r="H10389"/>
      <c r="I10389" s="489"/>
      <c r="J10389" s="1362"/>
      <c r="K10389" s="1362"/>
      <c r="L10389" s="1362"/>
    </row>
    <row r="10390" spans="1:12" x14ac:dyDescent="0.25">
      <c r="A10390">
        <v>100345</v>
      </c>
      <c r="B10390" t="s">
        <v>3480</v>
      </c>
      <c r="C10390" t="s">
        <v>282</v>
      </c>
      <c r="D10390" s="254">
        <v>11.54</v>
      </c>
      <c r="E10390"/>
      <c r="F10390"/>
      <c r="G10390"/>
      <c r="H10390"/>
      <c r="I10390" s="489"/>
      <c r="J10390" s="1362"/>
      <c r="K10390" s="1362"/>
      <c r="L10390" s="1362"/>
    </row>
    <row r="10391" spans="1:12" x14ac:dyDescent="0.25">
      <c r="A10391">
        <v>100346</v>
      </c>
      <c r="B10391" t="s">
        <v>3481</v>
      </c>
      <c r="C10391" t="s">
        <v>282</v>
      </c>
      <c r="D10391" s="254">
        <v>10.94</v>
      </c>
      <c r="E10391"/>
      <c r="F10391"/>
      <c r="G10391"/>
      <c r="H10391"/>
      <c r="I10391" s="489"/>
      <c r="J10391" s="1362"/>
      <c r="K10391" s="1362"/>
      <c r="L10391" s="1362"/>
    </row>
    <row r="10392" spans="1:12" x14ac:dyDescent="0.25">
      <c r="A10392">
        <v>100347</v>
      </c>
      <c r="B10392" t="s">
        <v>3482</v>
      </c>
      <c r="C10392" t="s">
        <v>282</v>
      </c>
      <c r="D10392" s="254">
        <v>12.21</v>
      </c>
      <c r="E10392"/>
      <c r="F10392"/>
      <c r="G10392"/>
      <c r="H10392"/>
      <c r="I10392" s="489"/>
      <c r="J10392" s="1362"/>
      <c r="K10392" s="1362"/>
      <c r="L10392" s="1362"/>
    </row>
    <row r="10393" spans="1:12" x14ac:dyDescent="0.25">
      <c r="A10393">
        <v>100348</v>
      </c>
      <c r="B10393" t="s">
        <v>3483</v>
      </c>
      <c r="C10393" t="s">
        <v>282</v>
      </c>
      <c r="D10393" s="254">
        <v>11.92</v>
      </c>
      <c r="E10393"/>
      <c r="F10393"/>
      <c r="G10393"/>
      <c r="H10393"/>
      <c r="I10393" s="489"/>
      <c r="J10393" s="1362"/>
      <c r="K10393" s="1362"/>
      <c r="L10393" s="1362"/>
    </row>
    <row r="10394" spans="1:12" x14ac:dyDescent="0.25">
      <c r="A10394">
        <v>100349</v>
      </c>
      <c r="B10394" t="s">
        <v>3484</v>
      </c>
      <c r="C10394" t="s">
        <v>1159</v>
      </c>
      <c r="D10394" s="254">
        <v>638.55999999999995</v>
      </c>
      <c r="E10394"/>
      <c r="F10394"/>
      <c r="G10394"/>
      <c r="H10394"/>
      <c r="I10394" s="489"/>
      <c r="J10394" s="1362"/>
      <c r="K10394" s="1362"/>
      <c r="L10394" s="1362"/>
    </row>
    <row r="10395" spans="1:12" x14ac:dyDescent="0.25">
      <c r="A10395">
        <v>102989</v>
      </c>
      <c r="B10395" t="s">
        <v>6871</v>
      </c>
      <c r="C10395" t="s">
        <v>151</v>
      </c>
      <c r="D10395" s="254">
        <v>29.13</v>
      </c>
      <c r="E10395"/>
      <c r="F10395"/>
      <c r="G10395"/>
      <c r="H10395"/>
      <c r="I10395" s="489"/>
      <c r="J10395" s="1362"/>
      <c r="K10395" s="1362"/>
      <c r="L10395" s="1362"/>
    </row>
    <row r="10396" spans="1:12" x14ac:dyDescent="0.25">
      <c r="A10396">
        <v>102990</v>
      </c>
      <c r="B10396" t="s">
        <v>6872</v>
      </c>
      <c r="C10396" t="s">
        <v>151</v>
      </c>
      <c r="D10396" s="254">
        <v>35.31</v>
      </c>
      <c r="E10396"/>
      <c r="F10396"/>
      <c r="G10396"/>
      <c r="H10396"/>
      <c r="I10396" s="489"/>
      <c r="J10396" s="1362"/>
      <c r="K10396" s="1362"/>
      <c r="L10396" s="1362"/>
    </row>
    <row r="10397" spans="1:12" x14ac:dyDescent="0.25">
      <c r="A10397">
        <v>102991</v>
      </c>
      <c r="B10397" t="s">
        <v>6873</v>
      </c>
      <c r="C10397" t="s">
        <v>151</v>
      </c>
      <c r="D10397" s="254">
        <v>45.58</v>
      </c>
      <c r="E10397"/>
      <c r="F10397"/>
      <c r="G10397"/>
      <c r="H10397"/>
      <c r="I10397" s="489"/>
      <c r="J10397" s="1362"/>
      <c r="K10397" s="1362"/>
      <c r="L10397" s="1362"/>
    </row>
    <row r="10398" spans="1:12" x14ac:dyDescent="0.25">
      <c r="A10398">
        <v>102992</v>
      </c>
      <c r="B10398" t="s">
        <v>6874</v>
      </c>
      <c r="C10398" t="s">
        <v>151</v>
      </c>
      <c r="D10398" s="254">
        <v>64.3</v>
      </c>
      <c r="E10398"/>
      <c r="F10398"/>
      <c r="G10398"/>
      <c r="H10398"/>
      <c r="I10398" s="489"/>
      <c r="J10398" s="1362"/>
      <c r="K10398" s="1362"/>
      <c r="L10398" s="1362"/>
    </row>
    <row r="10399" spans="1:12" x14ac:dyDescent="0.25">
      <c r="A10399">
        <v>102993</v>
      </c>
      <c r="B10399" t="s">
        <v>6875</v>
      </c>
      <c r="C10399" t="s">
        <v>151</v>
      </c>
      <c r="D10399" s="254">
        <v>83.97</v>
      </c>
      <c r="E10399"/>
      <c r="F10399"/>
      <c r="G10399"/>
      <c r="H10399"/>
      <c r="I10399" s="489"/>
      <c r="J10399" s="1362"/>
      <c r="K10399" s="1362"/>
      <c r="L10399" s="1362"/>
    </row>
    <row r="10400" spans="1:12" x14ac:dyDescent="0.25">
      <c r="A10400">
        <v>102994</v>
      </c>
      <c r="B10400" t="s">
        <v>6876</v>
      </c>
      <c r="C10400" t="s">
        <v>151</v>
      </c>
      <c r="D10400" s="254">
        <v>136.94</v>
      </c>
      <c r="E10400"/>
      <c r="F10400"/>
      <c r="G10400"/>
      <c r="H10400"/>
      <c r="I10400" s="489"/>
      <c r="J10400" s="1362"/>
      <c r="K10400" s="1362"/>
      <c r="L10400" s="1362"/>
    </row>
    <row r="10401" spans="1:12" x14ac:dyDescent="0.25">
      <c r="A10401">
        <v>102995</v>
      </c>
      <c r="B10401" t="s">
        <v>6877</v>
      </c>
      <c r="C10401" t="s">
        <v>151</v>
      </c>
      <c r="D10401" s="254">
        <v>55.47</v>
      </c>
      <c r="E10401"/>
      <c r="F10401"/>
      <c r="G10401"/>
      <c r="H10401"/>
      <c r="I10401" s="489"/>
      <c r="J10401" s="1362"/>
      <c r="K10401" s="1362"/>
      <c r="L10401" s="1362"/>
    </row>
    <row r="10402" spans="1:12" x14ac:dyDescent="0.25">
      <c r="A10402">
        <v>102996</v>
      </c>
      <c r="B10402" t="s">
        <v>6878</v>
      </c>
      <c r="C10402" t="s">
        <v>151</v>
      </c>
      <c r="D10402" s="254">
        <v>78.459999999999994</v>
      </c>
      <c r="E10402"/>
      <c r="F10402"/>
      <c r="G10402"/>
      <c r="H10402"/>
      <c r="I10402" s="489"/>
      <c r="J10402" s="1362"/>
      <c r="K10402" s="1362"/>
      <c r="L10402" s="1362"/>
    </row>
    <row r="10403" spans="1:12" x14ac:dyDescent="0.25">
      <c r="A10403">
        <v>102997</v>
      </c>
      <c r="B10403" t="s">
        <v>6879</v>
      </c>
      <c r="C10403" t="s">
        <v>151</v>
      </c>
      <c r="D10403" s="254">
        <v>104.65</v>
      </c>
      <c r="E10403"/>
      <c r="F10403"/>
      <c r="G10403"/>
      <c r="H10403"/>
      <c r="I10403" s="489"/>
      <c r="J10403" s="1362"/>
      <c r="K10403" s="1362"/>
      <c r="L10403" s="1362"/>
    </row>
    <row r="10404" spans="1:12" x14ac:dyDescent="0.25">
      <c r="A10404">
        <v>102998</v>
      </c>
      <c r="B10404" t="s">
        <v>6880</v>
      </c>
      <c r="C10404" t="s">
        <v>151</v>
      </c>
      <c r="D10404" s="254">
        <v>100</v>
      </c>
      <c r="E10404"/>
      <c r="F10404"/>
      <c r="G10404"/>
      <c r="H10404"/>
      <c r="I10404" s="489"/>
      <c r="J10404" s="1362"/>
      <c r="K10404" s="1362"/>
      <c r="L10404" s="1362"/>
    </row>
    <row r="10405" spans="1:12" x14ac:dyDescent="0.25">
      <c r="A10405">
        <v>102999</v>
      </c>
      <c r="B10405" t="s">
        <v>6881</v>
      </c>
      <c r="C10405" t="s">
        <v>151</v>
      </c>
      <c r="D10405" s="254">
        <v>126.53</v>
      </c>
      <c r="E10405"/>
      <c r="F10405"/>
      <c r="G10405"/>
      <c r="H10405"/>
      <c r="I10405" s="489"/>
      <c r="J10405" s="1362"/>
      <c r="K10405" s="1362"/>
      <c r="L10405" s="1362"/>
    </row>
    <row r="10406" spans="1:12" x14ac:dyDescent="0.25">
      <c r="A10406">
        <v>103000</v>
      </c>
      <c r="B10406" t="s">
        <v>6882</v>
      </c>
      <c r="C10406" t="s">
        <v>151</v>
      </c>
      <c r="D10406" s="254">
        <v>127.04</v>
      </c>
      <c r="E10406"/>
      <c r="F10406"/>
      <c r="G10406"/>
      <c r="H10406"/>
      <c r="I10406" s="489"/>
      <c r="J10406" s="1362"/>
      <c r="K10406" s="1362"/>
      <c r="L10406" s="1362"/>
    </row>
    <row r="10407" spans="1:12" x14ac:dyDescent="0.25">
      <c r="A10407">
        <v>103001</v>
      </c>
      <c r="B10407" t="s">
        <v>6883</v>
      </c>
      <c r="C10407" t="s">
        <v>138</v>
      </c>
      <c r="D10407" s="254">
        <v>248.41</v>
      </c>
      <c r="E10407"/>
      <c r="F10407"/>
      <c r="G10407"/>
      <c r="H10407"/>
      <c r="I10407" s="489"/>
      <c r="J10407" s="1362"/>
      <c r="K10407" s="1362"/>
      <c r="L10407" s="1362"/>
    </row>
    <row r="10408" spans="1:12" x14ac:dyDescent="0.25">
      <c r="A10408">
        <v>103002</v>
      </c>
      <c r="B10408" t="s">
        <v>6884</v>
      </c>
      <c r="C10408" t="s">
        <v>138</v>
      </c>
      <c r="D10408" s="254">
        <v>309.5</v>
      </c>
      <c r="E10408"/>
      <c r="F10408"/>
      <c r="G10408"/>
      <c r="H10408"/>
      <c r="I10408" s="489"/>
      <c r="J10408" s="1362"/>
      <c r="K10408" s="1362"/>
      <c r="L10408" s="1362"/>
    </row>
    <row r="10409" spans="1:12" x14ac:dyDescent="0.25">
      <c r="A10409">
        <v>103003</v>
      </c>
      <c r="B10409" t="s">
        <v>6885</v>
      </c>
      <c r="C10409" t="s">
        <v>138</v>
      </c>
      <c r="D10409" s="254">
        <v>431.75</v>
      </c>
      <c r="E10409"/>
      <c r="F10409"/>
      <c r="G10409"/>
      <c r="H10409"/>
      <c r="I10409" s="489"/>
      <c r="J10409" s="1362"/>
      <c r="K10409" s="1362"/>
      <c r="L10409" s="1362"/>
    </row>
    <row r="10410" spans="1:12" x14ac:dyDescent="0.25">
      <c r="A10410">
        <v>103005</v>
      </c>
      <c r="B10410" t="s">
        <v>6886</v>
      </c>
      <c r="C10410" t="s">
        <v>138</v>
      </c>
      <c r="D10410" s="254">
        <v>669.25</v>
      </c>
      <c r="E10410"/>
      <c r="F10410"/>
      <c r="G10410"/>
      <c r="H10410"/>
      <c r="I10410" s="489"/>
      <c r="J10410" s="1362"/>
      <c r="K10410" s="1362"/>
      <c r="L10410" s="1362"/>
    </row>
    <row r="10411" spans="1:12" x14ac:dyDescent="0.25">
      <c r="A10411">
        <v>103006</v>
      </c>
      <c r="B10411" t="s">
        <v>6887</v>
      </c>
      <c r="C10411" t="s">
        <v>138</v>
      </c>
      <c r="D10411" s="254">
        <v>921.82</v>
      </c>
      <c r="E10411"/>
      <c r="F10411"/>
      <c r="G10411"/>
      <c r="H10411"/>
      <c r="I10411" s="489"/>
      <c r="J10411" s="1362"/>
      <c r="K10411" s="1362"/>
      <c r="L10411" s="1362"/>
    </row>
    <row r="10412" spans="1:12" x14ac:dyDescent="0.25">
      <c r="A10412">
        <v>103007</v>
      </c>
      <c r="B10412" t="s">
        <v>6888</v>
      </c>
      <c r="C10412" t="s">
        <v>138</v>
      </c>
      <c r="D10412" s="254">
        <v>1222.08</v>
      </c>
      <c r="E10412"/>
      <c r="F10412"/>
      <c r="G10412"/>
      <c r="H10412"/>
      <c r="I10412" s="489"/>
      <c r="J10412" s="1362"/>
      <c r="K10412" s="1362"/>
      <c r="L10412" s="1362"/>
    </row>
    <row r="10413" spans="1:12" x14ac:dyDescent="0.25">
      <c r="A10413">
        <v>97933</v>
      </c>
      <c r="B10413" t="s">
        <v>5729</v>
      </c>
      <c r="C10413" t="s">
        <v>138</v>
      </c>
      <c r="D10413" s="254">
        <v>999.35</v>
      </c>
      <c r="E10413"/>
      <c r="F10413"/>
      <c r="G10413"/>
      <c r="H10413"/>
      <c r="I10413" s="489"/>
      <c r="J10413" s="1362"/>
      <c r="K10413" s="1362"/>
      <c r="L10413" s="1362"/>
    </row>
    <row r="10414" spans="1:12" x14ac:dyDescent="0.25">
      <c r="A10414">
        <v>97934</v>
      </c>
      <c r="B10414" t="s">
        <v>18404</v>
      </c>
      <c r="C10414" t="s">
        <v>138</v>
      </c>
      <c r="D10414" s="254">
        <v>2359.29</v>
      </c>
      <c r="E10414"/>
      <c r="F10414"/>
      <c r="G10414"/>
      <c r="H10414"/>
      <c r="I10414" s="489"/>
      <c r="J10414" s="1362"/>
      <c r="K10414" s="1362"/>
      <c r="L10414" s="1362"/>
    </row>
    <row r="10415" spans="1:12" x14ac:dyDescent="0.25">
      <c r="A10415">
        <v>97935</v>
      </c>
      <c r="B10415" t="s">
        <v>5730</v>
      </c>
      <c r="C10415" t="s">
        <v>138</v>
      </c>
      <c r="D10415" s="254">
        <v>856.66</v>
      </c>
      <c r="E10415"/>
      <c r="F10415"/>
      <c r="G10415"/>
      <c r="H10415"/>
      <c r="I10415" s="489"/>
      <c r="J10415" s="1362"/>
      <c r="K10415" s="1362"/>
      <c r="L10415" s="1362"/>
    </row>
    <row r="10416" spans="1:12" x14ac:dyDescent="0.25">
      <c r="A10416">
        <v>97936</v>
      </c>
      <c r="B10416" t="s">
        <v>5731</v>
      </c>
      <c r="C10416" t="s">
        <v>138</v>
      </c>
      <c r="D10416" s="254">
        <v>2098.88</v>
      </c>
      <c r="E10416"/>
      <c r="F10416"/>
      <c r="G10416"/>
      <c r="H10416"/>
      <c r="I10416" s="489"/>
      <c r="J10416" s="1362"/>
      <c r="K10416" s="1362"/>
      <c r="L10416" s="1362"/>
    </row>
    <row r="10417" spans="1:12" x14ac:dyDescent="0.25">
      <c r="A10417">
        <v>97947</v>
      </c>
      <c r="B10417" t="s">
        <v>5732</v>
      </c>
      <c r="C10417" t="s">
        <v>138</v>
      </c>
      <c r="D10417" s="254">
        <v>2013.91</v>
      </c>
      <c r="E10417"/>
      <c r="F10417"/>
      <c r="G10417"/>
      <c r="H10417"/>
      <c r="I10417" s="489"/>
      <c r="J10417" s="1362"/>
      <c r="K10417" s="1362"/>
      <c r="L10417" s="1362"/>
    </row>
    <row r="10418" spans="1:12" x14ac:dyDescent="0.25">
      <c r="A10418">
        <v>97948</v>
      </c>
      <c r="B10418" t="s">
        <v>5733</v>
      </c>
      <c r="C10418" t="s">
        <v>138</v>
      </c>
      <c r="D10418" s="254">
        <v>3661.64</v>
      </c>
      <c r="E10418"/>
      <c r="F10418"/>
      <c r="G10418"/>
      <c r="H10418"/>
      <c r="I10418" s="489"/>
      <c r="J10418" s="1362"/>
      <c r="K10418" s="1362"/>
      <c r="L10418" s="1362"/>
    </row>
    <row r="10419" spans="1:12" x14ac:dyDescent="0.25">
      <c r="A10419">
        <v>97949</v>
      </c>
      <c r="B10419" t="s">
        <v>5734</v>
      </c>
      <c r="C10419" t="s">
        <v>138</v>
      </c>
      <c r="D10419" s="254">
        <v>2105.61</v>
      </c>
      <c r="E10419"/>
      <c r="F10419"/>
      <c r="G10419"/>
      <c r="H10419"/>
      <c r="I10419" s="489"/>
      <c r="J10419" s="1362"/>
      <c r="K10419" s="1362"/>
      <c r="L10419" s="1362"/>
    </row>
    <row r="10420" spans="1:12" x14ac:dyDescent="0.25">
      <c r="A10420">
        <v>97950</v>
      </c>
      <c r="B10420" t="s">
        <v>5735</v>
      </c>
      <c r="C10420" t="s">
        <v>138</v>
      </c>
      <c r="D10420" s="254">
        <v>3662.91</v>
      </c>
      <c r="E10420"/>
      <c r="F10420"/>
      <c r="G10420"/>
      <c r="H10420"/>
      <c r="I10420" s="489"/>
      <c r="J10420" s="1362"/>
      <c r="K10420" s="1362"/>
      <c r="L10420" s="1362"/>
    </row>
    <row r="10421" spans="1:12" x14ac:dyDescent="0.25">
      <c r="A10421">
        <v>97951</v>
      </c>
      <c r="B10421" t="s">
        <v>5736</v>
      </c>
      <c r="C10421" t="s">
        <v>138</v>
      </c>
      <c r="D10421" s="254">
        <v>3259.75</v>
      </c>
      <c r="E10421"/>
      <c r="F10421"/>
      <c r="G10421"/>
      <c r="H10421"/>
      <c r="I10421" s="489"/>
      <c r="J10421" s="1362"/>
      <c r="K10421" s="1362"/>
      <c r="L10421" s="1362"/>
    </row>
    <row r="10422" spans="1:12" x14ac:dyDescent="0.25">
      <c r="A10422">
        <v>97952</v>
      </c>
      <c r="B10422" t="s">
        <v>5737</v>
      </c>
      <c r="C10422" t="s">
        <v>138</v>
      </c>
      <c r="D10422" s="254">
        <v>5536.12</v>
      </c>
      <c r="E10422"/>
      <c r="F10422"/>
      <c r="G10422"/>
      <c r="H10422"/>
      <c r="I10422" s="489"/>
      <c r="J10422" s="1362"/>
      <c r="K10422" s="1362"/>
      <c r="L10422" s="1362"/>
    </row>
    <row r="10423" spans="1:12" x14ac:dyDescent="0.25">
      <c r="A10423">
        <v>97953</v>
      </c>
      <c r="B10423" t="s">
        <v>5738</v>
      </c>
      <c r="C10423" t="s">
        <v>138</v>
      </c>
      <c r="D10423" s="254">
        <v>1386.66</v>
      </c>
      <c r="E10423"/>
      <c r="F10423"/>
      <c r="G10423"/>
      <c r="H10423"/>
      <c r="I10423" s="489"/>
      <c r="J10423" s="1362"/>
      <c r="K10423" s="1362"/>
      <c r="L10423" s="1362"/>
    </row>
    <row r="10424" spans="1:12" x14ac:dyDescent="0.25">
      <c r="A10424">
        <v>97955</v>
      </c>
      <c r="B10424" t="s">
        <v>5739</v>
      </c>
      <c r="C10424" t="s">
        <v>138</v>
      </c>
      <c r="D10424" s="254">
        <v>3018.34</v>
      </c>
      <c r="E10424"/>
      <c r="F10424"/>
      <c r="G10424"/>
      <c r="H10424"/>
      <c r="I10424" s="489"/>
      <c r="J10424" s="1362"/>
      <c r="K10424" s="1362"/>
      <c r="L10424" s="1362"/>
    </row>
    <row r="10425" spans="1:12" x14ac:dyDescent="0.25">
      <c r="A10425">
        <v>97956</v>
      </c>
      <c r="B10425" t="s">
        <v>5740</v>
      </c>
      <c r="C10425" t="s">
        <v>138</v>
      </c>
      <c r="D10425" s="254">
        <v>1538.74</v>
      </c>
      <c r="E10425"/>
      <c r="F10425"/>
      <c r="G10425"/>
      <c r="H10425"/>
      <c r="I10425" s="489"/>
      <c r="J10425" s="1362"/>
      <c r="K10425" s="1362"/>
      <c r="L10425" s="1362"/>
    </row>
    <row r="10426" spans="1:12" x14ac:dyDescent="0.25">
      <c r="A10426">
        <v>97957</v>
      </c>
      <c r="B10426" t="s">
        <v>5741</v>
      </c>
      <c r="C10426" t="s">
        <v>138</v>
      </c>
      <c r="D10426" s="254">
        <v>2748.82</v>
      </c>
      <c r="E10426"/>
      <c r="F10426"/>
      <c r="G10426"/>
      <c r="H10426"/>
      <c r="I10426" s="489"/>
      <c r="J10426" s="1362"/>
      <c r="K10426" s="1362"/>
      <c r="L10426" s="1362"/>
    </row>
    <row r="10427" spans="1:12" x14ac:dyDescent="0.25">
      <c r="A10427">
        <v>97961</v>
      </c>
      <c r="B10427" t="s">
        <v>5742</v>
      </c>
      <c r="C10427" t="s">
        <v>138</v>
      </c>
      <c r="D10427" s="254">
        <v>2453.36</v>
      </c>
      <c r="E10427"/>
      <c r="F10427"/>
      <c r="G10427"/>
      <c r="H10427"/>
      <c r="I10427" s="489"/>
      <c r="J10427" s="1362"/>
      <c r="K10427" s="1362"/>
      <c r="L10427" s="1362"/>
    </row>
    <row r="10428" spans="1:12" x14ac:dyDescent="0.25">
      <c r="A10428">
        <v>97973</v>
      </c>
      <c r="B10428" t="s">
        <v>5743</v>
      </c>
      <c r="C10428" t="s">
        <v>138</v>
      </c>
      <c r="D10428" s="254">
        <v>4585.68</v>
      </c>
      <c r="E10428"/>
      <c r="F10428"/>
      <c r="G10428"/>
      <c r="H10428"/>
      <c r="I10428" s="489"/>
      <c r="J10428" s="1362"/>
      <c r="K10428" s="1362"/>
      <c r="L10428" s="1362"/>
    </row>
    <row r="10429" spans="1:12" x14ac:dyDescent="0.25">
      <c r="A10429">
        <v>97974</v>
      </c>
      <c r="B10429" t="s">
        <v>18405</v>
      </c>
      <c r="C10429" t="s">
        <v>138</v>
      </c>
      <c r="D10429" s="254">
        <v>506.76</v>
      </c>
      <c r="E10429"/>
      <c r="F10429"/>
      <c r="G10429"/>
      <c r="H10429"/>
      <c r="I10429" s="489"/>
      <c r="J10429" s="1362"/>
      <c r="K10429" s="1362"/>
      <c r="L10429" s="1362"/>
    </row>
    <row r="10430" spans="1:12" x14ac:dyDescent="0.25">
      <c r="A10430">
        <v>97975</v>
      </c>
      <c r="B10430" t="s">
        <v>18406</v>
      </c>
      <c r="C10430" t="s">
        <v>138</v>
      </c>
      <c r="D10430" s="254">
        <v>644</v>
      </c>
      <c r="E10430"/>
      <c r="F10430"/>
      <c r="G10430"/>
      <c r="H10430"/>
      <c r="I10430" s="489"/>
      <c r="J10430" s="1362"/>
      <c r="K10430" s="1362"/>
      <c r="L10430" s="1362"/>
    </row>
    <row r="10431" spans="1:12" x14ac:dyDescent="0.25">
      <c r="A10431">
        <v>97976</v>
      </c>
      <c r="B10431" t="s">
        <v>18407</v>
      </c>
      <c r="C10431" t="s">
        <v>138</v>
      </c>
      <c r="D10431" s="254">
        <v>1286.78</v>
      </c>
      <c r="E10431"/>
      <c r="F10431"/>
      <c r="G10431"/>
      <c r="H10431"/>
      <c r="I10431" s="489"/>
      <c r="J10431" s="1362"/>
      <c r="K10431" s="1362"/>
      <c r="L10431" s="1362"/>
    </row>
    <row r="10432" spans="1:12" x14ac:dyDescent="0.25">
      <c r="A10432">
        <v>97977</v>
      </c>
      <c r="B10432" t="s">
        <v>18408</v>
      </c>
      <c r="C10432" t="s">
        <v>138</v>
      </c>
      <c r="D10432" s="254">
        <v>1846.72</v>
      </c>
      <c r="E10432"/>
      <c r="F10432"/>
      <c r="G10432"/>
      <c r="H10432"/>
      <c r="I10432" s="489"/>
      <c r="J10432" s="1362"/>
      <c r="K10432" s="1362"/>
      <c r="L10432" s="1362"/>
    </row>
    <row r="10433" spans="1:12" x14ac:dyDescent="0.25">
      <c r="A10433">
        <v>97978</v>
      </c>
      <c r="B10433" t="s">
        <v>18409</v>
      </c>
      <c r="C10433" t="s">
        <v>138</v>
      </c>
      <c r="D10433" s="254">
        <v>1000.01</v>
      </c>
      <c r="E10433"/>
      <c r="F10433"/>
      <c r="G10433"/>
      <c r="H10433"/>
      <c r="I10433" s="489"/>
      <c r="J10433" s="1362"/>
      <c r="K10433" s="1362"/>
      <c r="L10433" s="1362"/>
    </row>
    <row r="10434" spans="1:12" x14ac:dyDescent="0.25">
      <c r="A10434">
        <v>97980</v>
      </c>
      <c r="B10434" t="s">
        <v>18410</v>
      </c>
      <c r="C10434" t="s">
        <v>138</v>
      </c>
      <c r="D10434" s="254">
        <v>2361.81</v>
      </c>
      <c r="E10434"/>
      <c r="F10434"/>
      <c r="G10434"/>
      <c r="H10434"/>
      <c r="I10434" s="489"/>
      <c r="J10434" s="1362"/>
      <c r="K10434" s="1362"/>
      <c r="L10434" s="1362"/>
    </row>
    <row r="10435" spans="1:12" x14ac:dyDescent="0.25">
      <c r="A10435">
        <v>97981</v>
      </c>
      <c r="B10435" t="s">
        <v>5744</v>
      </c>
      <c r="C10435" t="s">
        <v>151</v>
      </c>
      <c r="D10435" s="254">
        <v>1384.29</v>
      </c>
      <c r="E10435"/>
      <c r="F10435"/>
      <c r="G10435"/>
      <c r="H10435"/>
      <c r="I10435" s="489"/>
      <c r="J10435" s="1362"/>
      <c r="K10435" s="1362"/>
      <c r="L10435" s="1362"/>
    </row>
    <row r="10436" spans="1:12" x14ac:dyDescent="0.25">
      <c r="A10436">
        <v>97983</v>
      </c>
      <c r="B10436" t="s">
        <v>5745</v>
      </c>
      <c r="C10436" t="s">
        <v>151</v>
      </c>
      <c r="D10436" s="254">
        <v>483.49</v>
      </c>
      <c r="E10436"/>
      <c r="F10436"/>
      <c r="G10436"/>
      <c r="H10436"/>
      <c r="I10436" s="489"/>
      <c r="J10436" s="1362"/>
      <c r="K10436" s="1362"/>
      <c r="L10436" s="1362"/>
    </row>
    <row r="10437" spans="1:12" x14ac:dyDescent="0.25">
      <c r="A10437">
        <v>97985</v>
      </c>
      <c r="B10437" t="s">
        <v>5746</v>
      </c>
      <c r="C10437" t="s">
        <v>151</v>
      </c>
      <c r="D10437" s="254">
        <v>1674.16</v>
      </c>
      <c r="E10437"/>
      <c r="F10437"/>
      <c r="G10437"/>
      <c r="H10437"/>
      <c r="I10437" s="489"/>
      <c r="J10437" s="1362"/>
      <c r="K10437" s="1362"/>
      <c r="L10437" s="1362"/>
    </row>
    <row r="10438" spans="1:12" x14ac:dyDescent="0.25">
      <c r="A10438">
        <v>97987</v>
      </c>
      <c r="B10438" t="s">
        <v>5747</v>
      </c>
      <c r="C10438" t="s">
        <v>151</v>
      </c>
      <c r="D10438" s="254">
        <v>642.32000000000005</v>
      </c>
      <c r="E10438"/>
      <c r="F10438"/>
      <c r="G10438"/>
      <c r="H10438"/>
      <c r="I10438" s="489"/>
      <c r="J10438" s="1362"/>
      <c r="K10438" s="1362"/>
      <c r="L10438" s="1362"/>
    </row>
    <row r="10439" spans="1:12" x14ac:dyDescent="0.25">
      <c r="A10439">
        <v>97988</v>
      </c>
      <c r="B10439" t="s">
        <v>18411</v>
      </c>
      <c r="C10439" t="s">
        <v>138</v>
      </c>
      <c r="D10439" s="254">
        <v>3467.97</v>
      </c>
      <c r="E10439"/>
      <c r="F10439"/>
      <c r="G10439"/>
      <c r="H10439"/>
      <c r="I10439" s="489"/>
      <c r="J10439" s="1362"/>
      <c r="K10439" s="1362"/>
      <c r="L10439" s="1362"/>
    </row>
    <row r="10440" spans="1:12" x14ac:dyDescent="0.25">
      <c r="A10440">
        <v>97989</v>
      </c>
      <c r="B10440" t="s">
        <v>5748</v>
      </c>
      <c r="C10440" t="s">
        <v>151</v>
      </c>
      <c r="D10440" s="254">
        <v>1963.96</v>
      </c>
      <c r="E10440"/>
      <c r="F10440"/>
      <c r="G10440"/>
      <c r="H10440"/>
      <c r="I10440" s="489"/>
      <c r="J10440" s="1362"/>
      <c r="K10440" s="1362"/>
      <c r="L10440" s="1362"/>
    </row>
    <row r="10441" spans="1:12" x14ac:dyDescent="0.25">
      <c r="A10441">
        <v>97991</v>
      </c>
      <c r="B10441" t="s">
        <v>5749</v>
      </c>
      <c r="C10441" t="s">
        <v>151</v>
      </c>
      <c r="D10441" s="254">
        <v>879.73</v>
      </c>
      <c r="E10441"/>
      <c r="F10441"/>
      <c r="G10441"/>
      <c r="H10441"/>
      <c r="I10441" s="489"/>
      <c r="J10441" s="1362"/>
      <c r="K10441" s="1362"/>
      <c r="L10441" s="1362"/>
    </row>
    <row r="10442" spans="1:12" x14ac:dyDescent="0.25">
      <c r="A10442">
        <v>97992</v>
      </c>
      <c r="B10442" t="s">
        <v>18412</v>
      </c>
      <c r="C10442" t="s">
        <v>138</v>
      </c>
      <c r="D10442" s="254">
        <v>4453.43</v>
      </c>
      <c r="E10442"/>
      <c r="F10442"/>
      <c r="G10442"/>
      <c r="H10442"/>
      <c r="I10442" s="489"/>
      <c r="J10442" s="1362"/>
      <c r="K10442" s="1362"/>
      <c r="L10442" s="1362"/>
    </row>
    <row r="10443" spans="1:12" x14ac:dyDescent="0.25">
      <c r="A10443">
        <v>97993</v>
      </c>
      <c r="B10443" t="s">
        <v>5750</v>
      </c>
      <c r="C10443" t="s">
        <v>151</v>
      </c>
      <c r="D10443" s="254">
        <v>2398.79</v>
      </c>
      <c r="E10443"/>
      <c r="F10443"/>
      <c r="G10443"/>
      <c r="H10443"/>
      <c r="I10443" s="489"/>
      <c r="J10443" s="1362"/>
      <c r="K10443" s="1362"/>
      <c r="L10443" s="1362"/>
    </row>
    <row r="10444" spans="1:12" x14ac:dyDescent="0.25">
      <c r="A10444">
        <v>97994</v>
      </c>
      <c r="B10444" t="s">
        <v>18413</v>
      </c>
      <c r="C10444" t="s">
        <v>138</v>
      </c>
      <c r="D10444" s="254">
        <v>2777.79</v>
      </c>
      <c r="E10444"/>
      <c r="F10444"/>
      <c r="G10444"/>
      <c r="H10444"/>
      <c r="I10444" s="489"/>
      <c r="J10444" s="1362"/>
      <c r="K10444" s="1362"/>
      <c r="L10444" s="1362"/>
    </row>
    <row r="10445" spans="1:12" x14ac:dyDescent="0.25">
      <c r="A10445">
        <v>97995</v>
      </c>
      <c r="B10445" t="s">
        <v>5751</v>
      </c>
      <c r="C10445" t="s">
        <v>151</v>
      </c>
      <c r="D10445" s="254">
        <v>1384.58</v>
      </c>
      <c r="E10445"/>
      <c r="F10445"/>
      <c r="G10445"/>
      <c r="H10445"/>
      <c r="I10445" s="489"/>
      <c r="J10445" s="1362"/>
      <c r="K10445" s="1362"/>
      <c r="L10445" s="1362"/>
    </row>
    <row r="10446" spans="1:12" x14ac:dyDescent="0.25">
      <c r="A10446">
        <v>97996</v>
      </c>
      <c r="B10446" t="s">
        <v>18414</v>
      </c>
      <c r="C10446" t="s">
        <v>138</v>
      </c>
      <c r="D10446" s="254">
        <v>3507.67</v>
      </c>
      <c r="E10446"/>
      <c r="F10446"/>
      <c r="G10446"/>
      <c r="H10446"/>
      <c r="I10446" s="489"/>
      <c r="J10446" s="1362"/>
      <c r="K10446" s="1362"/>
      <c r="L10446" s="1362"/>
    </row>
    <row r="10447" spans="1:12" x14ac:dyDescent="0.25">
      <c r="A10447">
        <v>97997</v>
      </c>
      <c r="B10447" t="s">
        <v>5752</v>
      </c>
      <c r="C10447" t="s">
        <v>151</v>
      </c>
      <c r="D10447" s="254">
        <v>1654.66</v>
      </c>
      <c r="E10447"/>
      <c r="F10447"/>
      <c r="G10447"/>
      <c r="H10447"/>
      <c r="I10447" s="489"/>
      <c r="J10447" s="1362"/>
      <c r="K10447" s="1362"/>
      <c r="L10447" s="1362"/>
    </row>
    <row r="10448" spans="1:12" x14ac:dyDescent="0.25">
      <c r="A10448">
        <v>97999</v>
      </c>
      <c r="B10448" t="s">
        <v>5753</v>
      </c>
      <c r="C10448" t="s">
        <v>151</v>
      </c>
      <c r="D10448" s="254">
        <v>1924.83</v>
      </c>
      <c r="E10448"/>
      <c r="F10448"/>
      <c r="G10448"/>
      <c r="H10448"/>
      <c r="I10448" s="489"/>
      <c r="J10448" s="1362"/>
      <c r="K10448" s="1362"/>
      <c r="L10448" s="1362"/>
    </row>
    <row r="10449" spans="1:12" x14ac:dyDescent="0.25">
      <c r="A10449">
        <v>98001</v>
      </c>
      <c r="B10449" t="s">
        <v>5754</v>
      </c>
      <c r="C10449" t="s">
        <v>151</v>
      </c>
      <c r="D10449" s="254">
        <v>2194.92</v>
      </c>
      <c r="E10449"/>
      <c r="F10449"/>
      <c r="G10449"/>
      <c r="H10449"/>
      <c r="I10449" s="489"/>
      <c r="J10449" s="1362"/>
      <c r="K10449" s="1362"/>
      <c r="L10449" s="1362"/>
    </row>
    <row r="10450" spans="1:12" x14ac:dyDescent="0.25">
      <c r="A10450">
        <v>98002</v>
      </c>
      <c r="B10450" t="s">
        <v>18415</v>
      </c>
      <c r="C10450" t="s">
        <v>138</v>
      </c>
      <c r="D10450" s="254">
        <v>5732.11</v>
      </c>
      <c r="E10450"/>
      <c r="F10450"/>
      <c r="G10450"/>
      <c r="H10450"/>
      <c r="I10450" s="489"/>
      <c r="J10450" s="1362"/>
      <c r="K10450" s="1362"/>
      <c r="L10450" s="1362"/>
    </row>
    <row r="10451" spans="1:12" x14ac:dyDescent="0.25">
      <c r="A10451">
        <v>98003</v>
      </c>
      <c r="B10451" t="s">
        <v>5755</v>
      </c>
      <c r="C10451" t="s">
        <v>151</v>
      </c>
      <c r="D10451" s="254">
        <v>2465.1</v>
      </c>
      <c r="E10451"/>
      <c r="F10451"/>
      <c r="G10451"/>
      <c r="H10451"/>
      <c r="I10451" s="489"/>
      <c r="J10451" s="1362"/>
      <c r="K10451" s="1362"/>
      <c r="L10451" s="1362"/>
    </row>
    <row r="10452" spans="1:12" x14ac:dyDescent="0.25">
      <c r="A10452">
        <v>98005</v>
      </c>
      <c r="B10452" t="s">
        <v>5756</v>
      </c>
      <c r="C10452" t="s">
        <v>151</v>
      </c>
      <c r="D10452" s="254">
        <v>2735.26</v>
      </c>
      <c r="E10452"/>
      <c r="F10452"/>
      <c r="G10452"/>
      <c r="H10452"/>
      <c r="I10452" s="489"/>
      <c r="J10452" s="1362"/>
      <c r="K10452" s="1362"/>
      <c r="L10452" s="1362"/>
    </row>
    <row r="10453" spans="1:12" x14ac:dyDescent="0.25">
      <c r="A10453">
        <v>98006</v>
      </c>
      <c r="B10453" t="s">
        <v>18416</v>
      </c>
      <c r="C10453" t="s">
        <v>138</v>
      </c>
      <c r="D10453" s="254">
        <v>7200.66</v>
      </c>
      <c r="E10453"/>
      <c r="F10453"/>
      <c r="G10453"/>
      <c r="H10453"/>
      <c r="I10453" s="489"/>
      <c r="J10453" s="1362"/>
      <c r="K10453" s="1362"/>
      <c r="L10453" s="1362"/>
    </row>
    <row r="10454" spans="1:12" x14ac:dyDescent="0.25">
      <c r="A10454">
        <v>98007</v>
      </c>
      <c r="B10454" t="s">
        <v>5757</v>
      </c>
      <c r="C10454" t="s">
        <v>151</v>
      </c>
      <c r="D10454" s="254">
        <v>3005.34</v>
      </c>
      <c r="E10454"/>
      <c r="F10454"/>
      <c r="G10454"/>
      <c r="H10454"/>
      <c r="I10454" s="489"/>
      <c r="J10454" s="1362"/>
      <c r="K10454" s="1362"/>
      <c r="L10454" s="1362"/>
    </row>
    <row r="10455" spans="1:12" x14ac:dyDescent="0.25">
      <c r="A10455">
        <v>98008</v>
      </c>
      <c r="B10455" t="s">
        <v>5758</v>
      </c>
      <c r="C10455" t="s">
        <v>138</v>
      </c>
      <c r="D10455" s="254">
        <v>4338.17</v>
      </c>
      <c r="E10455"/>
      <c r="F10455"/>
      <c r="G10455"/>
      <c r="H10455"/>
      <c r="I10455" s="489"/>
      <c r="J10455" s="1362"/>
      <c r="K10455" s="1362"/>
      <c r="L10455" s="1362"/>
    </row>
    <row r="10456" spans="1:12" x14ac:dyDescent="0.25">
      <c r="A10456">
        <v>98009</v>
      </c>
      <c r="B10456" t="s">
        <v>5759</v>
      </c>
      <c r="C10456" t="s">
        <v>151</v>
      </c>
      <c r="D10456" s="254">
        <v>1924.83</v>
      </c>
      <c r="E10456"/>
      <c r="F10456"/>
      <c r="G10456"/>
      <c r="H10456"/>
      <c r="I10456" s="489"/>
      <c r="J10456" s="1362"/>
      <c r="K10456" s="1362"/>
      <c r="L10456" s="1362"/>
    </row>
    <row r="10457" spans="1:12" x14ac:dyDescent="0.25">
      <c r="A10457">
        <v>98010</v>
      </c>
      <c r="B10457" t="s">
        <v>18417</v>
      </c>
      <c r="C10457" t="s">
        <v>138</v>
      </c>
      <c r="D10457" s="254">
        <v>5288.2</v>
      </c>
      <c r="E10457"/>
      <c r="F10457"/>
      <c r="G10457"/>
      <c r="H10457"/>
      <c r="I10457" s="489"/>
      <c r="J10457" s="1362"/>
      <c r="K10457" s="1362"/>
      <c r="L10457" s="1362"/>
    </row>
    <row r="10458" spans="1:12" x14ac:dyDescent="0.25">
      <c r="A10458">
        <v>98011</v>
      </c>
      <c r="B10458" t="s">
        <v>5760</v>
      </c>
      <c r="C10458" t="s">
        <v>151</v>
      </c>
      <c r="D10458" s="254">
        <v>2194.92</v>
      </c>
      <c r="E10458"/>
      <c r="F10458"/>
      <c r="G10458"/>
      <c r="H10458"/>
      <c r="I10458" s="489"/>
      <c r="J10458" s="1362"/>
      <c r="K10458" s="1362"/>
      <c r="L10458" s="1362"/>
    </row>
    <row r="10459" spans="1:12" x14ac:dyDescent="0.25">
      <c r="A10459">
        <v>98012</v>
      </c>
      <c r="B10459" t="s">
        <v>18418</v>
      </c>
      <c r="C10459" t="s">
        <v>138</v>
      </c>
      <c r="D10459" s="254">
        <v>6210.52</v>
      </c>
      <c r="E10459"/>
      <c r="F10459"/>
      <c r="G10459"/>
      <c r="H10459"/>
      <c r="I10459" s="489"/>
      <c r="J10459" s="1362"/>
      <c r="K10459" s="1362"/>
      <c r="L10459" s="1362"/>
    </row>
    <row r="10460" spans="1:12" x14ac:dyDescent="0.25">
      <c r="A10460">
        <v>98013</v>
      </c>
      <c r="B10460" t="s">
        <v>5761</v>
      </c>
      <c r="C10460" t="s">
        <v>151</v>
      </c>
      <c r="D10460" s="254">
        <v>2465.1</v>
      </c>
      <c r="E10460"/>
      <c r="F10460"/>
      <c r="G10460"/>
      <c r="H10460"/>
      <c r="I10460" s="489"/>
      <c r="J10460" s="1362"/>
      <c r="K10460" s="1362"/>
      <c r="L10460" s="1362"/>
    </row>
    <row r="10461" spans="1:12" x14ac:dyDescent="0.25">
      <c r="A10461">
        <v>98014</v>
      </c>
      <c r="B10461" t="s">
        <v>18419</v>
      </c>
      <c r="C10461" t="s">
        <v>138</v>
      </c>
      <c r="D10461" s="254">
        <v>7132.8</v>
      </c>
      <c r="E10461"/>
      <c r="F10461"/>
      <c r="G10461"/>
      <c r="H10461"/>
      <c r="I10461" s="489"/>
      <c r="J10461" s="1362"/>
      <c r="K10461" s="1362"/>
      <c r="L10461" s="1362"/>
    </row>
    <row r="10462" spans="1:12" x14ac:dyDescent="0.25">
      <c r="A10462">
        <v>98015</v>
      </c>
      <c r="B10462" t="s">
        <v>5762</v>
      </c>
      <c r="C10462" t="s">
        <v>151</v>
      </c>
      <c r="D10462" s="254">
        <v>2735.26</v>
      </c>
      <c r="E10462"/>
      <c r="F10462"/>
      <c r="G10462"/>
      <c r="H10462"/>
      <c r="I10462" s="489"/>
      <c r="J10462" s="1362"/>
      <c r="K10462" s="1362"/>
      <c r="L10462" s="1362"/>
    </row>
    <row r="10463" spans="1:12" x14ac:dyDescent="0.25">
      <c r="A10463">
        <v>98016</v>
      </c>
      <c r="B10463" t="s">
        <v>18420</v>
      </c>
      <c r="C10463" t="s">
        <v>138</v>
      </c>
      <c r="D10463" s="254">
        <v>8055.17</v>
      </c>
      <c r="E10463"/>
      <c r="F10463"/>
      <c r="G10463"/>
      <c r="H10463"/>
      <c r="I10463" s="489"/>
      <c r="J10463" s="1362"/>
      <c r="K10463" s="1362"/>
      <c r="L10463" s="1362"/>
    </row>
    <row r="10464" spans="1:12" x14ac:dyDescent="0.25">
      <c r="A10464">
        <v>98017</v>
      </c>
      <c r="B10464" t="s">
        <v>5763</v>
      </c>
      <c r="C10464" t="s">
        <v>151</v>
      </c>
      <c r="D10464" s="254">
        <v>3005.34</v>
      </c>
      <c r="E10464"/>
      <c r="F10464"/>
      <c r="G10464"/>
      <c r="H10464"/>
      <c r="I10464" s="489"/>
      <c r="J10464" s="1362"/>
      <c r="K10464" s="1362"/>
      <c r="L10464" s="1362"/>
    </row>
    <row r="10465" spans="1:12" x14ac:dyDescent="0.25">
      <c r="A10465">
        <v>98018</v>
      </c>
      <c r="B10465" t="s">
        <v>18421</v>
      </c>
      <c r="C10465" t="s">
        <v>138</v>
      </c>
      <c r="D10465" s="254">
        <v>8977.4599999999991</v>
      </c>
      <c r="E10465"/>
      <c r="F10465"/>
      <c r="G10465"/>
      <c r="H10465"/>
      <c r="I10465" s="489"/>
      <c r="J10465" s="1362"/>
      <c r="K10465" s="1362"/>
      <c r="L10465" s="1362"/>
    </row>
    <row r="10466" spans="1:12" x14ac:dyDescent="0.25">
      <c r="A10466">
        <v>98019</v>
      </c>
      <c r="B10466" t="s">
        <v>5764</v>
      </c>
      <c r="C10466" t="s">
        <v>151</v>
      </c>
      <c r="D10466" s="254">
        <v>3300.21</v>
      </c>
      <c r="E10466"/>
      <c r="F10466"/>
      <c r="G10466"/>
      <c r="H10466"/>
      <c r="I10466" s="489"/>
      <c r="J10466" s="1362"/>
      <c r="K10466" s="1362"/>
      <c r="L10466" s="1362"/>
    </row>
    <row r="10467" spans="1:12" x14ac:dyDescent="0.25">
      <c r="A10467">
        <v>98020</v>
      </c>
      <c r="B10467" t="s">
        <v>18422</v>
      </c>
      <c r="C10467" t="s">
        <v>138</v>
      </c>
      <c r="D10467" s="254">
        <v>6386.18</v>
      </c>
      <c r="E10467"/>
      <c r="F10467"/>
      <c r="G10467"/>
      <c r="H10467"/>
      <c r="I10467" s="489"/>
      <c r="J10467" s="1362"/>
      <c r="K10467" s="1362"/>
      <c r="L10467" s="1362"/>
    </row>
    <row r="10468" spans="1:12" x14ac:dyDescent="0.25">
      <c r="A10468">
        <v>98021</v>
      </c>
      <c r="B10468" t="s">
        <v>5765</v>
      </c>
      <c r="C10468" t="s">
        <v>151</v>
      </c>
      <c r="D10468" s="254">
        <v>2489.86</v>
      </c>
      <c r="E10468"/>
      <c r="F10468"/>
      <c r="G10468"/>
      <c r="H10468"/>
      <c r="I10468" s="489"/>
      <c r="J10468" s="1362"/>
      <c r="K10468" s="1362"/>
      <c r="L10468" s="1362"/>
    </row>
    <row r="10469" spans="1:12" x14ac:dyDescent="0.25">
      <c r="A10469">
        <v>98022</v>
      </c>
      <c r="B10469" t="s">
        <v>18423</v>
      </c>
      <c r="C10469" t="s">
        <v>138</v>
      </c>
      <c r="D10469" s="254">
        <v>7483.17</v>
      </c>
      <c r="E10469"/>
      <c r="F10469"/>
      <c r="G10469"/>
      <c r="H10469"/>
      <c r="I10469" s="489"/>
      <c r="J10469" s="1362"/>
      <c r="K10469" s="1362"/>
      <c r="L10469" s="1362"/>
    </row>
    <row r="10470" spans="1:12" x14ac:dyDescent="0.25">
      <c r="A10470">
        <v>98023</v>
      </c>
      <c r="B10470" t="s">
        <v>5766</v>
      </c>
      <c r="C10470" t="s">
        <v>151</v>
      </c>
      <c r="D10470" s="254">
        <v>2759.95</v>
      </c>
      <c r="E10470"/>
      <c r="F10470"/>
      <c r="G10470"/>
      <c r="H10470"/>
      <c r="I10470" s="489"/>
      <c r="J10470" s="1362"/>
      <c r="K10470" s="1362"/>
      <c r="L10470" s="1362"/>
    </row>
    <row r="10471" spans="1:12" x14ac:dyDescent="0.25">
      <c r="A10471">
        <v>98024</v>
      </c>
      <c r="B10471" t="s">
        <v>18424</v>
      </c>
      <c r="C10471" t="s">
        <v>138</v>
      </c>
      <c r="D10471" s="254">
        <v>8641.4599999999991</v>
      </c>
      <c r="E10471"/>
      <c r="F10471"/>
      <c r="G10471"/>
      <c r="H10471"/>
      <c r="I10471" s="489"/>
      <c r="J10471" s="1362"/>
      <c r="K10471" s="1362"/>
      <c r="L10471" s="1362"/>
    </row>
    <row r="10472" spans="1:12" x14ac:dyDescent="0.25">
      <c r="A10472">
        <v>98025</v>
      </c>
      <c r="B10472" t="s">
        <v>5767</v>
      </c>
      <c r="C10472" t="s">
        <v>151</v>
      </c>
      <c r="D10472" s="254">
        <v>3030.11</v>
      </c>
      <c r="E10472"/>
      <c r="F10472"/>
      <c r="G10472"/>
      <c r="H10472"/>
      <c r="I10472" s="489"/>
      <c r="J10472" s="1362"/>
      <c r="K10472" s="1362"/>
      <c r="L10472" s="1362"/>
    </row>
    <row r="10473" spans="1:12" x14ac:dyDescent="0.25">
      <c r="A10473">
        <v>98026</v>
      </c>
      <c r="B10473" t="s">
        <v>18425</v>
      </c>
      <c r="C10473" t="s">
        <v>138</v>
      </c>
      <c r="D10473" s="254">
        <v>9746.17</v>
      </c>
      <c r="E10473"/>
      <c r="F10473"/>
      <c r="G10473"/>
      <c r="H10473"/>
      <c r="I10473" s="489"/>
      <c r="J10473" s="1362"/>
      <c r="K10473" s="1362"/>
      <c r="L10473" s="1362"/>
    </row>
    <row r="10474" spans="1:12" x14ac:dyDescent="0.25">
      <c r="A10474">
        <v>98027</v>
      </c>
      <c r="B10474" t="s">
        <v>5768</v>
      </c>
      <c r="C10474" t="s">
        <v>151</v>
      </c>
      <c r="D10474" s="254">
        <v>3300.21</v>
      </c>
      <c r="E10474"/>
      <c r="F10474"/>
      <c r="G10474"/>
      <c r="H10474"/>
      <c r="I10474" s="489"/>
      <c r="J10474" s="1362"/>
      <c r="K10474" s="1362"/>
      <c r="L10474" s="1362"/>
    </row>
    <row r="10475" spans="1:12" x14ac:dyDescent="0.25">
      <c r="A10475">
        <v>98028</v>
      </c>
      <c r="B10475" t="s">
        <v>18426</v>
      </c>
      <c r="C10475" t="s">
        <v>138</v>
      </c>
      <c r="D10475" s="254">
        <v>10850.95</v>
      </c>
      <c r="E10475"/>
      <c r="F10475"/>
      <c r="G10475"/>
      <c r="H10475"/>
      <c r="I10475" s="489"/>
      <c r="J10475" s="1362"/>
      <c r="K10475" s="1362"/>
      <c r="L10475" s="1362"/>
    </row>
    <row r="10476" spans="1:12" x14ac:dyDescent="0.25">
      <c r="A10476">
        <v>98029</v>
      </c>
      <c r="B10476" t="s">
        <v>5769</v>
      </c>
      <c r="C10476" t="s">
        <v>151</v>
      </c>
      <c r="D10476" s="254">
        <v>3575.42</v>
      </c>
      <c r="E10476"/>
      <c r="F10476"/>
      <c r="G10476"/>
      <c r="H10476"/>
      <c r="I10476" s="489"/>
      <c r="J10476" s="1362"/>
      <c r="K10476" s="1362"/>
      <c r="L10476" s="1362"/>
    </row>
    <row r="10477" spans="1:12" x14ac:dyDescent="0.25">
      <c r="A10477">
        <v>98030</v>
      </c>
      <c r="B10477" t="s">
        <v>18427</v>
      </c>
      <c r="C10477" t="s">
        <v>138</v>
      </c>
      <c r="D10477" s="254">
        <v>8848.08</v>
      </c>
      <c r="E10477"/>
      <c r="F10477"/>
      <c r="G10477"/>
      <c r="H10477"/>
      <c r="I10477" s="489"/>
      <c r="J10477" s="1362"/>
      <c r="K10477" s="1362"/>
      <c r="L10477" s="1362"/>
    </row>
    <row r="10478" spans="1:12" x14ac:dyDescent="0.25">
      <c r="A10478">
        <v>98031</v>
      </c>
      <c r="B10478" t="s">
        <v>5770</v>
      </c>
      <c r="C10478" t="s">
        <v>151</v>
      </c>
      <c r="D10478" s="254">
        <v>3035.27</v>
      </c>
      <c r="E10478"/>
      <c r="F10478"/>
      <c r="G10478"/>
      <c r="H10478"/>
      <c r="I10478" s="489"/>
      <c r="J10478" s="1362"/>
      <c r="K10478" s="1362"/>
      <c r="L10478" s="1362"/>
    </row>
    <row r="10479" spans="1:12" x14ac:dyDescent="0.25">
      <c r="A10479">
        <v>98032</v>
      </c>
      <c r="B10479" t="s">
        <v>18428</v>
      </c>
      <c r="C10479" t="s">
        <v>138</v>
      </c>
      <c r="D10479" s="254">
        <v>10180.6</v>
      </c>
      <c r="E10479"/>
      <c r="F10479"/>
      <c r="G10479"/>
      <c r="H10479"/>
      <c r="I10479" s="489"/>
      <c r="J10479" s="1362"/>
      <c r="K10479" s="1362"/>
      <c r="L10479" s="1362"/>
    </row>
    <row r="10480" spans="1:12" x14ac:dyDescent="0.25">
      <c r="A10480">
        <v>98033</v>
      </c>
      <c r="B10480" t="s">
        <v>5771</v>
      </c>
      <c r="C10480" t="s">
        <v>151</v>
      </c>
      <c r="D10480" s="254">
        <v>3305.37</v>
      </c>
      <c r="E10480"/>
      <c r="F10480"/>
      <c r="G10480"/>
      <c r="H10480"/>
      <c r="I10480" s="489"/>
      <c r="J10480" s="1362"/>
      <c r="K10480" s="1362"/>
      <c r="L10480" s="1362"/>
    </row>
    <row r="10481" spans="1:12" x14ac:dyDescent="0.25">
      <c r="A10481">
        <v>98034</v>
      </c>
      <c r="B10481" t="s">
        <v>18429</v>
      </c>
      <c r="C10481" t="s">
        <v>138</v>
      </c>
      <c r="D10481" s="254">
        <v>11513.14</v>
      </c>
      <c r="E10481"/>
      <c r="F10481"/>
      <c r="G10481"/>
      <c r="H10481"/>
      <c r="I10481" s="489"/>
      <c r="J10481" s="1362"/>
      <c r="K10481" s="1362"/>
      <c r="L10481" s="1362"/>
    </row>
    <row r="10482" spans="1:12" x14ac:dyDescent="0.25">
      <c r="A10482">
        <v>98035</v>
      </c>
      <c r="B10482" t="s">
        <v>5772</v>
      </c>
      <c r="C10482" t="s">
        <v>151</v>
      </c>
      <c r="D10482" s="254">
        <v>3575.42</v>
      </c>
      <c r="E10482"/>
      <c r="F10482"/>
      <c r="G10482"/>
      <c r="H10482"/>
      <c r="I10482" s="489"/>
      <c r="J10482" s="1362"/>
      <c r="K10482" s="1362"/>
      <c r="L10482" s="1362"/>
    </row>
    <row r="10483" spans="1:12" x14ac:dyDescent="0.25">
      <c r="A10483">
        <v>98036</v>
      </c>
      <c r="B10483" t="s">
        <v>18430</v>
      </c>
      <c r="C10483" t="s">
        <v>138</v>
      </c>
      <c r="D10483" s="254">
        <v>12845.67</v>
      </c>
      <c r="E10483"/>
      <c r="F10483"/>
      <c r="G10483"/>
      <c r="H10483"/>
      <c r="I10483" s="489"/>
      <c r="J10483" s="1362"/>
      <c r="K10483" s="1362"/>
      <c r="L10483" s="1362"/>
    </row>
    <row r="10484" spans="1:12" x14ac:dyDescent="0.25">
      <c r="A10484">
        <v>98037</v>
      </c>
      <c r="B10484" t="s">
        <v>5773</v>
      </c>
      <c r="C10484" t="s">
        <v>151</v>
      </c>
      <c r="D10484" s="254">
        <v>3850.66</v>
      </c>
      <c r="E10484"/>
      <c r="F10484"/>
      <c r="G10484"/>
      <c r="H10484"/>
      <c r="I10484" s="489"/>
      <c r="J10484" s="1362"/>
      <c r="K10484" s="1362"/>
      <c r="L10484" s="1362"/>
    </row>
    <row r="10485" spans="1:12" x14ac:dyDescent="0.25">
      <c r="A10485">
        <v>98038</v>
      </c>
      <c r="B10485" t="s">
        <v>18431</v>
      </c>
      <c r="C10485" t="s">
        <v>138</v>
      </c>
      <c r="D10485" s="254">
        <v>11758.27</v>
      </c>
      <c r="E10485"/>
      <c r="F10485"/>
      <c r="G10485"/>
      <c r="H10485"/>
      <c r="I10485" s="489"/>
      <c r="J10485" s="1362"/>
      <c r="K10485" s="1362"/>
      <c r="L10485" s="1362"/>
    </row>
    <row r="10486" spans="1:12" x14ac:dyDescent="0.25">
      <c r="A10486">
        <v>98039</v>
      </c>
      <c r="B10486" t="s">
        <v>5774</v>
      </c>
      <c r="C10486" t="s">
        <v>151</v>
      </c>
      <c r="D10486" s="254">
        <v>3580.59</v>
      </c>
      <c r="E10486"/>
      <c r="F10486"/>
      <c r="G10486"/>
      <c r="H10486"/>
      <c r="I10486" s="489"/>
      <c r="J10486" s="1362"/>
      <c r="K10486" s="1362"/>
      <c r="L10486" s="1362"/>
    </row>
    <row r="10487" spans="1:12" x14ac:dyDescent="0.25">
      <c r="A10487">
        <v>98040</v>
      </c>
      <c r="B10487" t="s">
        <v>18432</v>
      </c>
      <c r="C10487" t="s">
        <v>138</v>
      </c>
      <c r="D10487" s="254">
        <v>13290.37</v>
      </c>
      <c r="E10487"/>
      <c r="F10487"/>
      <c r="G10487"/>
      <c r="H10487"/>
      <c r="I10487" s="489"/>
      <c r="J10487" s="1362"/>
      <c r="K10487" s="1362"/>
      <c r="L10487" s="1362"/>
    </row>
    <row r="10488" spans="1:12" x14ac:dyDescent="0.25">
      <c r="A10488">
        <v>98041</v>
      </c>
      <c r="B10488" t="s">
        <v>5775</v>
      </c>
      <c r="C10488" t="s">
        <v>151</v>
      </c>
      <c r="D10488" s="254">
        <v>3850.66</v>
      </c>
      <c r="E10488"/>
      <c r="F10488"/>
      <c r="G10488"/>
      <c r="H10488"/>
      <c r="I10488" s="489"/>
      <c r="J10488" s="1362"/>
      <c r="K10488" s="1362"/>
      <c r="L10488" s="1362"/>
    </row>
    <row r="10489" spans="1:12" x14ac:dyDescent="0.25">
      <c r="A10489">
        <v>98042</v>
      </c>
      <c r="B10489" t="s">
        <v>18433</v>
      </c>
      <c r="C10489" t="s">
        <v>138</v>
      </c>
      <c r="D10489" s="254">
        <v>14822.51</v>
      </c>
      <c r="E10489"/>
      <c r="F10489"/>
      <c r="G10489"/>
      <c r="H10489"/>
      <c r="I10489" s="489"/>
      <c r="J10489" s="1362"/>
      <c r="K10489" s="1362"/>
      <c r="L10489" s="1362"/>
    </row>
    <row r="10490" spans="1:12" x14ac:dyDescent="0.25">
      <c r="A10490">
        <v>98043</v>
      </c>
      <c r="B10490" t="s">
        <v>5776</v>
      </c>
      <c r="C10490" t="s">
        <v>151</v>
      </c>
      <c r="D10490" s="254">
        <v>4126</v>
      </c>
      <c r="E10490"/>
      <c r="F10490"/>
      <c r="G10490"/>
      <c r="H10490"/>
      <c r="I10490" s="489"/>
      <c r="J10490" s="1362"/>
      <c r="K10490" s="1362"/>
      <c r="L10490" s="1362"/>
    </row>
    <row r="10491" spans="1:12" x14ac:dyDescent="0.25">
      <c r="A10491">
        <v>98044</v>
      </c>
      <c r="B10491" t="s">
        <v>18434</v>
      </c>
      <c r="C10491" t="s">
        <v>138</v>
      </c>
      <c r="D10491" s="254">
        <v>15067.71</v>
      </c>
      <c r="E10491"/>
      <c r="F10491"/>
      <c r="G10491"/>
      <c r="H10491"/>
      <c r="I10491" s="489"/>
      <c r="J10491" s="1362"/>
      <c r="K10491" s="1362"/>
      <c r="L10491" s="1362"/>
    </row>
    <row r="10492" spans="1:12" x14ac:dyDescent="0.25">
      <c r="A10492">
        <v>98045</v>
      </c>
      <c r="B10492" t="s">
        <v>5777</v>
      </c>
      <c r="C10492" t="s">
        <v>151</v>
      </c>
      <c r="D10492" s="254">
        <v>4126</v>
      </c>
      <c r="E10492"/>
      <c r="F10492"/>
      <c r="G10492"/>
      <c r="H10492"/>
      <c r="I10492" s="489"/>
      <c r="J10492" s="1362"/>
      <c r="K10492" s="1362"/>
      <c r="L10492" s="1362"/>
    </row>
    <row r="10493" spans="1:12" x14ac:dyDescent="0.25">
      <c r="A10493">
        <v>98046</v>
      </c>
      <c r="B10493" t="s">
        <v>18435</v>
      </c>
      <c r="C10493" t="s">
        <v>138</v>
      </c>
      <c r="D10493" s="254">
        <v>16799.27</v>
      </c>
      <c r="E10493"/>
      <c r="F10493"/>
      <c r="G10493"/>
      <c r="H10493"/>
      <c r="I10493" s="489"/>
      <c r="J10493" s="1362"/>
      <c r="K10493" s="1362"/>
      <c r="L10493" s="1362"/>
    </row>
    <row r="10494" spans="1:12" x14ac:dyDescent="0.25">
      <c r="A10494">
        <v>98047</v>
      </c>
      <c r="B10494" t="s">
        <v>5778</v>
      </c>
      <c r="C10494" t="s">
        <v>151</v>
      </c>
      <c r="D10494" s="254">
        <v>4401.25</v>
      </c>
      <c r="E10494"/>
      <c r="F10494"/>
      <c r="G10494"/>
      <c r="H10494"/>
      <c r="I10494" s="489"/>
      <c r="J10494" s="1362"/>
      <c r="K10494" s="1362"/>
      <c r="L10494" s="1362"/>
    </row>
    <row r="10495" spans="1:12" x14ac:dyDescent="0.25">
      <c r="A10495">
        <v>98048</v>
      </c>
      <c r="B10495" t="s">
        <v>5779</v>
      </c>
      <c r="C10495" t="s">
        <v>138</v>
      </c>
      <c r="D10495" s="254">
        <v>18776.09</v>
      </c>
      <c r="E10495"/>
      <c r="F10495"/>
      <c r="G10495"/>
      <c r="H10495"/>
      <c r="I10495" s="489"/>
      <c r="J10495" s="1362"/>
      <c r="K10495" s="1362"/>
      <c r="L10495" s="1362"/>
    </row>
    <row r="10496" spans="1:12" x14ac:dyDescent="0.25">
      <c r="A10496">
        <v>98049</v>
      </c>
      <c r="B10496" t="s">
        <v>5780</v>
      </c>
      <c r="C10496" t="s">
        <v>151</v>
      </c>
      <c r="D10496" s="254">
        <v>4626.09</v>
      </c>
      <c r="E10496"/>
      <c r="F10496"/>
      <c r="G10496"/>
      <c r="H10496"/>
      <c r="I10496" s="489"/>
      <c r="J10496" s="1362"/>
      <c r="K10496" s="1362"/>
      <c r="L10496" s="1362"/>
    </row>
    <row r="10497" spans="1:12" x14ac:dyDescent="0.25">
      <c r="A10497">
        <v>98050</v>
      </c>
      <c r="B10497" t="s">
        <v>5781</v>
      </c>
      <c r="C10497" t="s">
        <v>151</v>
      </c>
      <c r="D10497" s="254">
        <v>266.98</v>
      </c>
      <c r="E10497"/>
      <c r="F10497"/>
      <c r="G10497"/>
      <c r="H10497"/>
      <c r="I10497" s="489"/>
      <c r="J10497" s="1362"/>
      <c r="K10497" s="1362"/>
      <c r="L10497" s="1362"/>
    </row>
    <row r="10498" spans="1:12" x14ac:dyDescent="0.25">
      <c r="A10498">
        <v>98051</v>
      </c>
      <c r="B10498" t="s">
        <v>5782</v>
      </c>
      <c r="C10498" t="s">
        <v>151</v>
      </c>
      <c r="D10498" s="254">
        <v>1098.6500000000001</v>
      </c>
      <c r="E10498"/>
      <c r="F10498"/>
      <c r="G10498"/>
      <c r="H10498"/>
      <c r="I10498" s="489"/>
      <c r="J10498" s="1362"/>
      <c r="K10498" s="1362"/>
      <c r="L10498" s="1362"/>
    </row>
    <row r="10499" spans="1:12" x14ac:dyDescent="0.25">
      <c r="A10499">
        <v>98405</v>
      </c>
      <c r="B10499" t="s">
        <v>18436</v>
      </c>
      <c r="C10499" t="s">
        <v>138</v>
      </c>
      <c r="D10499" s="254">
        <v>2915.32</v>
      </c>
      <c r="E10499"/>
      <c r="F10499"/>
      <c r="G10499"/>
      <c r="H10499"/>
      <c r="I10499" s="489"/>
      <c r="J10499" s="1362"/>
      <c r="K10499" s="1362"/>
      <c r="L10499" s="1362"/>
    </row>
    <row r="10500" spans="1:12" x14ac:dyDescent="0.25">
      <c r="A10500">
        <v>98406</v>
      </c>
      <c r="B10500" t="s">
        <v>18437</v>
      </c>
      <c r="C10500" t="s">
        <v>138</v>
      </c>
      <c r="D10500" s="254">
        <v>6466.35</v>
      </c>
      <c r="E10500"/>
      <c r="F10500"/>
      <c r="G10500"/>
      <c r="H10500"/>
      <c r="I10500" s="489"/>
      <c r="J10500" s="1362"/>
      <c r="K10500" s="1362"/>
      <c r="L10500" s="1362"/>
    </row>
    <row r="10501" spans="1:12" x14ac:dyDescent="0.25">
      <c r="A10501">
        <v>98407</v>
      </c>
      <c r="B10501" t="s">
        <v>18438</v>
      </c>
      <c r="C10501" t="s">
        <v>138</v>
      </c>
      <c r="D10501" s="254">
        <v>4237.45</v>
      </c>
      <c r="E10501"/>
      <c r="F10501"/>
      <c r="G10501"/>
      <c r="H10501"/>
      <c r="I10501" s="489"/>
      <c r="J10501" s="1362"/>
      <c r="K10501" s="1362"/>
      <c r="L10501" s="1362"/>
    </row>
    <row r="10502" spans="1:12" x14ac:dyDescent="0.25">
      <c r="A10502">
        <v>98408</v>
      </c>
      <c r="B10502" t="s">
        <v>18439</v>
      </c>
      <c r="C10502" t="s">
        <v>138</v>
      </c>
      <c r="D10502" s="254">
        <v>4967.33</v>
      </c>
      <c r="E10502"/>
      <c r="F10502"/>
      <c r="G10502"/>
      <c r="H10502"/>
      <c r="I10502" s="489"/>
      <c r="J10502" s="1362"/>
      <c r="K10502" s="1362"/>
      <c r="L10502" s="1362"/>
    </row>
    <row r="10503" spans="1:12" x14ac:dyDescent="0.25">
      <c r="A10503">
        <v>98409</v>
      </c>
      <c r="B10503" t="s">
        <v>5783</v>
      </c>
      <c r="C10503" t="s">
        <v>151</v>
      </c>
      <c r="D10503" s="254">
        <v>366.74</v>
      </c>
      <c r="E10503"/>
      <c r="F10503"/>
      <c r="G10503"/>
      <c r="H10503"/>
      <c r="I10503" s="489"/>
      <c r="J10503" s="1362"/>
      <c r="K10503" s="1362"/>
      <c r="L10503" s="1362"/>
    </row>
    <row r="10504" spans="1:12" x14ac:dyDescent="0.25">
      <c r="A10504">
        <v>98410</v>
      </c>
      <c r="B10504" t="s">
        <v>18440</v>
      </c>
      <c r="C10504" t="s">
        <v>138</v>
      </c>
      <c r="D10504" s="254">
        <v>1292.43</v>
      </c>
      <c r="E10504"/>
      <c r="F10504"/>
      <c r="G10504"/>
      <c r="H10504"/>
      <c r="I10504" s="489"/>
      <c r="J10504" s="1362"/>
      <c r="K10504" s="1362"/>
      <c r="L10504" s="1362"/>
    </row>
    <row r="10505" spans="1:12" x14ac:dyDescent="0.25">
      <c r="A10505">
        <v>99240</v>
      </c>
      <c r="B10505" t="s">
        <v>5784</v>
      </c>
      <c r="C10505" t="s">
        <v>151</v>
      </c>
      <c r="D10505" s="254">
        <v>639.16999999999996</v>
      </c>
      <c r="E10505"/>
      <c r="F10505"/>
      <c r="G10505"/>
      <c r="H10505"/>
      <c r="I10505" s="489"/>
      <c r="J10505" s="1362"/>
      <c r="K10505" s="1362"/>
      <c r="L10505" s="1362"/>
    </row>
    <row r="10506" spans="1:12" x14ac:dyDescent="0.25">
      <c r="A10506">
        <v>99241</v>
      </c>
      <c r="B10506" t="s">
        <v>5785</v>
      </c>
      <c r="C10506" t="s">
        <v>151</v>
      </c>
      <c r="D10506" s="254">
        <v>1858.74</v>
      </c>
      <c r="E10506"/>
      <c r="F10506"/>
      <c r="G10506"/>
      <c r="H10506"/>
      <c r="I10506" s="489"/>
      <c r="J10506" s="1362"/>
      <c r="K10506" s="1362"/>
      <c r="L10506" s="1362"/>
    </row>
    <row r="10507" spans="1:12" x14ac:dyDescent="0.25">
      <c r="A10507">
        <v>99242</v>
      </c>
      <c r="B10507" t="s">
        <v>18441</v>
      </c>
      <c r="C10507" t="s">
        <v>138</v>
      </c>
      <c r="D10507" s="254">
        <v>3378.1</v>
      </c>
      <c r="E10507"/>
      <c r="F10507"/>
      <c r="G10507"/>
      <c r="H10507"/>
      <c r="I10507" s="489"/>
      <c r="J10507" s="1362"/>
      <c r="K10507" s="1362"/>
      <c r="L10507" s="1362"/>
    </row>
    <row r="10508" spans="1:12" x14ac:dyDescent="0.25">
      <c r="A10508">
        <v>99243</v>
      </c>
      <c r="B10508" t="s">
        <v>5786</v>
      </c>
      <c r="C10508" t="s">
        <v>151</v>
      </c>
      <c r="D10508" s="254">
        <v>1878.85</v>
      </c>
      <c r="E10508"/>
      <c r="F10508"/>
      <c r="G10508"/>
      <c r="H10508"/>
      <c r="I10508" s="489"/>
      <c r="J10508" s="1362"/>
      <c r="K10508" s="1362"/>
      <c r="L10508" s="1362"/>
    </row>
    <row r="10509" spans="1:12" x14ac:dyDescent="0.25">
      <c r="A10509">
        <v>99244</v>
      </c>
      <c r="B10509" t="s">
        <v>18442</v>
      </c>
      <c r="C10509" t="s">
        <v>138</v>
      </c>
      <c r="D10509" s="254">
        <v>5180.2299999999996</v>
      </c>
      <c r="E10509"/>
      <c r="F10509"/>
      <c r="G10509"/>
      <c r="H10509"/>
      <c r="I10509" s="489"/>
      <c r="J10509" s="1362"/>
      <c r="K10509" s="1362"/>
      <c r="L10509" s="1362"/>
    </row>
    <row r="10510" spans="1:12" x14ac:dyDescent="0.25">
      <c r="A10510">
        <v>99246</v>
      </c>
      <c r="B10510" t="s">
        <v>5787</v>
      </c>
      <c r="C10510" t="s">
        <v>151</v>
      </c>
      <c r="D10510" s="254">
        <v>875.43</v>
      </c>
      <c r="E10510"/>
      <c r="F10510"/>
      <c r="G10510"/>
      <c r="H10510"/>
      <c r="I10510" s="489"/>
      <c r="J10510" s="1362"/>
      <c r="K10510" s="1362"/>
      <c r="L10510" s="1362"/>
    </row>
    <row r="10511" spans="1:12" x14ac:dyDescent="0.25">
      <c r="A10511">
        <v>99247</v>
      </c>
      <c r="B10511" t="s">
        <v>5788</v>
      </c>
      <c r="C10511" t="s">
        <v>151</v>
      </c>
      <c r="D10511" s="254">
        <v>2119.12</v>
      </c>
      <c r="E10511"/>
      <c r="F10511"/>
      <c r="G10511"/>
      <c r="H10511"/>
      <c r="I10511" s="489"/>
      <c r="J10511" s="1362"/>
      <c r="K10511" s="1362"/>
      <c r="L10511" s="1362"/>
    </row>
    <row r="10512" spans="1:12" x14ac:dyDescent="0.25">
      <c r="A10512">
        <v>99248</v>
      </c>
      <c r="B10512" t="s">
        <v>18443</v>
      </c>
      <c r="C10512" t="s">
        <v>138</v>
      </c>
      <c r="D10512" s="254">
        <v>4344.97</v>
      </c>
      <c r="E10512"/>
      <c r="F10512"/>
      <c r="G10512"/>
      <c r="H10512"/>
      <c r="I10512" s="489"/>
      <c r="J10512" s="1362"/>
      <c r="K10512" s="1362"/>
      <c r="L10512" s="1362"/>
    </row>
    <row r="10513" spans="1:12" x14ac:dyDescent="0.25">
      <c r="A10513">
        <v>99249</v>
      </c>
      <c r="B10513" t="s">
        <v>5789</v>
      </c>
      <c r="C10513" t="s">
        <v>151</v>
      </c>
      <c r="D10513" s="254">
        <v>2300.4299999999998</v>
      </c>
      <c r="E10513"/>
      <c r="F10513"/>
      <c r="G10513"/>
      <c r="H10513"/>
      <c r="I10513" s="489"/>
      <c r="J10513" s="1362"/>
      <c r="K10513" s="1362"/>
      <c r="L10513" s="1362"/>
    </row>
    <row r="10514" spans="1:12" x14ac:dyDescent="0.25">
      <c r="A10514">
        <v>99252</v>
      </c>
      <c r="B10514" t="s">
        <v>18444</v>
      </c>
      <c r="C10514" t="s">
        <v>138</v>
      </c>
      <c r="D10514" s="254">
        <v>2721.51</v>
      </c>
      <c r="E10514"/>
      <c r="F10514"/>
      <c r="G10514"/>
      <c r="H10514"/>
      <c r="I10514" s="489"/>
      <c r="J10514" s="1362"/>
      <c r="K10514" s="1362"/>
      <c r="L10514" s="1362"/>
    </row>
    <row r="10515" spans="1:12" x14ac:dyDescent="0.25">
      <c r="A10515">
        <v>99254</v>
      </c>
      <c r="B10515" t="s">
        <v>5790</v>
      </c>
      <c r="C10515" t="s">
        <v>151</v>
      </c>
      <c r="D10515" s="254">
        <v>1337.93</v>
      </c>
      <c r="E10515"/>
      <c r="F10515"/>
      <c r="G10515"/>
      <c r="H10515"/>
      <c r="I10515" s="489"/>
      <c r="J10515" s="1362"/>
      <c r="K10515" s="1362"/>
      <c r="L10515" s="1362"/>
    </row>
    <row r="10516" spans="1:12" x14ac:dyDescent="0.25">
      <c r="A10516">
        <v>99256</v>
      </c>
      <c r="B10516" t="s">
        <v>18445</v>
      </c>
      <c r="C10516" t="s">
        <v>138</v>
      </c>
      <c r="D10516" s="254">
        <v>6083.09</v>
      </c>
      <c r="E10516"/>
      <c r="F10516"/>
      <c r="G10516"/>
      <c r="H10516"/>
      <c r="I10516" s="489"/>
      <c r="J10516" s="1362"/>
      <c r="K10516" s="1362"/>
      <c r="L10516" s="1362"/>
    </row>
    <row r="10517" spans="1:12" x14ac:dyDescent="0.25">
      <c r="A10517">
        <v>99259</v>
      </c>
      <c r="B10517" t="s">
        <v>18446</v>
      </c>
      <c r="C10517" t="s">
        <v>138</v>
      </c>
      <c r="D10517" s="254">
        <v>3435.85</v>
      </c>
      <c r="E10517"/>
      <c r="F10517"/>
      <c r="G10517"/>
      <c r="H10517"/>
      <c r="I10517" s="489"/>
      <c r="J10517" s="1362"/>
      <c r="K10517" s="1362"/>
      <c r="L10517" s="1362"/>
    </row>
    <row r="10518" spans="1:12" x14ac:dyDescent="0.25">
      <c r="A10518">
        <v>99261</v>
      </c>
      <c r="B10518" t="s">
        <v>5791</v>
      </c>
      <c r="C10518" t="s">
        <v>151</v>
      </c>
      <c r="D10518" s="254">
        <v>1598.3</v>
      </c>
      <c r="E10518"/>
      <c r="F10518"/>
      <c r="G10518"/>
      <c r="H10518"/>
      <c r="I10518" s="489"/>
      <c r="J10518" s="1362"/>
      <c r="K10518" s="1362"/>
      <c r="L10518" s="1362"/>
    </row>
    <row r="10519" spans="1:12" x14ac:dyDescent="0.25">
      <c r="A10519">
        <v>99263</v>
      </c>
      <c r="B10519" t="s">
        <v>5792</v>
      </c>
      <c r="C10519" t="s">
        <v>151</v>
      </c>
      <c r="D10519" s="254">
        <v>2379.5700000000002</v>
      </c>
      <c r="E10519"/>
      <c r="F10519"/>
      <c r="G10519"/>
      <c r="H10519"/>
      <c r="I10519" s="489"/>
      <c r="J10519" s="1362"/>
      <c r="K10519" s="1362"/>
      <c r="L10519" s="1362"/>
    </row>
    <row r="10520" spans="1:12" x14ac:dyDescent="0.25">
      <c r="A10520">
        <v>99265</v>
      </c>
      <c r="B10520" t="s">
        <v>18447</v>
      </c>
      <c r="C10520" t="s">
        <v>138</v>
      </c>
      <c r="D10520" s="254">
        <v>4150.1099999999997</v>
      </c>
      <c r="E10520"/>
      <c r="F10520"/>
      <c r="G10520"/>
      <c r="H10520"/>
      <c r="I10520" s="489"/>
      <c r="J10520" s="1362"/>
      <c r="K10520" s="1362"/>
      <c r="L10520" s="1362"/>
    </row>
    <row r="10521" spans="1:12" x14ac:dyDescent="0.25">
      <c r="A10521">
        <v>99266</v>
      </c>
      <c r="B10521" t="s">
        <v>5793</v>
      </c>
      <c r="C10521" t="s">
        <v>151</v>
      </c>
      <c r="D10521" s="254">
        <v>1858.74</v>
      </c>
      <c r="E10521"/>
      <c r="F10521"/>
      <c r="G10521"/>
      <c r="H10521"/>
      <c r="I10521" s="489"/>
      <c r="J10521" s="1362"/>
      <c r="K10521" s="1362"/>
      <c r="L10521" s="1362"/>
    </row>
    <row r="10522" spans="1:12" x14ac:dyDescent="0.25">
      <c r="A10522">
        <v>99267</v>
      </c>
      <c r="B10522" t="s">
        <v>18448</v>
      </c>
      <c r="C10522" t="s">
        <v>138</v>
      </c>
      <c r="D10522" s="254">
        <v>4864.45</v>
      </c>
      <c r="E10522"/>
      <c r="F10522"/>
      <c r="G10522"/>
      <c r="H10522"/>
      <c r="I10522" s="489"/>
      <c r="J10522" s="1362"/>
      <c r="K10522" s="1362"/>
      <c r="L10522" s="1362"/>
    </row>
    <row r="10523" spans="1:12" x14ac:dyDescent="0.25">
      <c r="A10523">
        <v>99268</v>
      </c>
      <c r="B10523" t="s">
        <v>18449</v>
      </c>
      <c r="C10523" t="s">
        <v>138</v>
      </c>
      <c r="D10523" s="254">
        <v>502.74</v>
      </c>
      <c r="E10523"/>
      <c r="F10523"/>
      <c r="G10523"/>
      <c r="H10523"/>
      <c r="I10523" s="489"/>
      <c r="J10523" s="1362"/>
      <c r="K10523" s="1362"/>
      <c r="L10523" s="1362"/>
    </row>
    <row r="10524" spans="1:12" x14ac:dyDescent="0.25">
      <c r="A10524">
        <v>99269</v>
      </c>
      <c r="B10524" t="s">
        <v>5794</v>
      </c>
      <c r="C10524" t="s">
        <v>151</v>
      </c>
      <c r="D10524" s="254">
        <v>2119.12</v>
      </c>
      <c r="E10524"/>
      <c r="F10524"/>
      <c r="G10524"/>
      <c r="H10524"/>
      <c r="I10524" s="489"/>
      <c r="J10524" s="1362"/>
      <c r="K10524" s="1362"/>
      <c r="L10524" s="1362"/>
    </row>
    <row r="10525" spans="1:12" x14ac:dyDescent="0.25">
      <c r="A10525">
        <v>99270</v>
      </c>
      <c r="B10525" t="s">
        <v>18450</v>
      </c>
      <c r="C10525" t="s">
        <v>138</v>
      </c>
      <c r="D10525" s="254">
        <v>639.29999999999995</v>
      </c>
      <c r="E10525"/>
      <c r="F10525"/>
      <c r="G10525"/>
      <c r="H10525"/>
      <c r="I10525" s="489"/>
      <c r="J10525" s="1362"/>
      <c r="K10525" s="1362"/>
      <c r="L10525" s="1362"/>
    </row>
    <row r="10526" spans="1:12" x14ac:dyDescent="0.25">
      <c r="A10526">
        <v>99271</v>
      </c>
      <c r="B10526" t="s">
        <v>18451</v>
      </c>
      <c r="C10526" t="s">
        <v>138</v>
      </c>
      <c r="D10526" s="254">
        <v>6985.89</v>
      </c>
      <c r="E10526"/>
      <c r="F10526"/>
      <c r="G10526"/>
      <c r="H10526"/>
      <c r="I10526" s="489"/>
      <c r="J10526" s="1362"/>
      <c r="K10526" s="1362"/>
      <c r="L10526" s="1362"/>
    </row>
    <row r="10527" spans="1:12" x14ac:dyDescent="0.25">
      <c r="A10527">
        <v>99272</v>
      </c>
      <c r="B10527" t="s">
        <v>18452</v>
      </c>
      <c r="C10527" t="s">
        <v>138</v>
      </c>
      <c r="D10527" s="254">
        <v>1246.32</v>
      </c>
      <c r="E10527"/>
      <c r="F10527"/>
      <c r="G10527"/>
      <c r="H10527"/>
      <c r="I10527" s="489"/>
      <c r="J10527" s="1362"/>
      <c r="K10527" s="1362"/>
      <c r="L10527" s="1362"/>
    </row>
    <row r="10528" spans="1:12" x14ac:dyDescent="0.25">
      <c r="A10528">
        <v>99273</v>
      </c>
      <c r="B10528" t="s">
        <v>18453</v>
      </c>
      <c r="C10528" t="s">
        <v>138</v>
      </c>
      <c r="D10528" s="254">
        <v>1775.01</v>
      </c>
      <c r="E10528"/>
      <c r="F10528"/>
      <c r="G10528"/>
      <c r="H10528"/>
      <c r="I10528" s="489"/>
      <c r="J10528" s="1362"/>
      <c r="K10528" s="1362"/>
      <c r="L10528" s="1362"/>
    </row>
    <row r="10529" spans="1:12" x14ac:dyDescent="0.25">
      <c r="A10529">
        <v>99274</v>
      </c>
      <c r="B10529" t="s">
        <v>18454</v>
      </c>
      <c r="C10529" t="s">
        <v>138</v>
      </c>
      <c r="D10529" s="254">
        <v>5613.7</v>
      </c>
      <c r="E10529"/>
      <c r="F10529"/>
      <c r="G10529"/>
      <c r="H10529"/>
      <c r="I10529" s="489"/>
      <c r="J10529" s="1362"/>
      <c r="K10529" s="1362"/>
      <c r="L10529" s="1362"/>
    </row>
    <row r="10530" spans="1:12" x14ac:dyDescent="0.25">
      <c r="A10530">
        <v>99275</v>
      </c>
      <c r="B10530" t="s">
        <v>18455</v>
      </c>
      <c r="C10530" t="s">
        <v>138</v>
      </c>
      <c r="D10530" s="254">
        <v>992.12</v>
      </c>
      <c r="E10530"/>
      <c r="F10530"/>
      <c r="G10530"/>
      <c r="H10530"/>
      <c r="I10530" s="489"/>
      <c r="J10530" s="1362"/>
      <c r="K10530" s="1362"/>
      <c r="L10530" s="1362"/>
    </row>
    <row r="10531" spans="1:12" x14ac:dyDescent="0.25">
      <c r="A10531">
        <v>99276</v>
      </c>
      <c r="B10531" t="s">
        <v>5795</v>
      </c>
      <c r="C10531" t="s">
        <v>151</v>
      </c>
      <c r="D10531" s="254">
        <v>2640.01</v>
      </c>
      <c r="E10531"/>
      <c r="F10531"/>
      <c r="G10531"/>
      <c r="H10531"/>
      <c r="I10531" s="489"/>
      <c r="J10531" s="1362"/>
      <c r="K10531" s="1362"/>
      <c r="L10531" s="1362"/>
    </row>
    <row r="10532" spans="1:12" x14ac:dyDescent="0.25">
      <c r="A10532">
        <v>99277</v>
      </c>
      <c r="B10532" t="s">
        <v>5796</v>
      </c>
      <c r="C10532" t="s">
        <v>151</v>
      </c>
      <c r="D10532" s="254">
        <v>2379.5700000000002</v>
      </c>
      <c r="E10532"/>
      <c r="F10532"/>
      <c r="G10532"/>
      <c r="H10532"/>
      <c r="I10532" s="489"/>
      <c r="J10532" s="1362"/>
      <c r="K10532" s="1362"/>
      <c r="L10532" s="1362"/>
    </row>
    <row r="10533" spans="1:12" x14ac:dyDescent="0.25">
      <c r="A10533">
        <v>99278</v>
      </c>
      <c r="B10533" t="s">
        <v>5797</v>
      </c>
      <c r="C10533" t="s">
        <v>151</v>
      </c>
      <c r="D10533" s="254">
        <v>364.82</v>
      </c>
      <c r="E10533"/>
      <c r="F10533"/>
      <c r="G10533"/>
      <c r="H10533"/>
      <c r="I10533" s="489"/>
      <c r="J10533" s="1362"/>
      <c r="K10533" s="1362"/>
      <c r="L10533" s="1362"/>
    </row>
    <row r="10534" spans="1:12" x14ac:dyDescent="0.25">
      <c r="A10534">
        <v>99279</v>
      </c>
      <c r="B10534" t="s">
        <v>18456</v>
      </c>
      <c r="C10534" t="s">
        <v>138</v>
      </c>
      <c r="D10534" s="254">
        <v>6332.41</v>
      </c>
      <c r="E10534"/>
      <c r="F10534"/>
      <c r="G10534"/>
      <c r="H10534"/>
      <c r="I10534" s="489"/>
      <c r="J10534" s="1362"/>
      <c r="K10534" s="1362"/>
      <c r="L10534" s="1362"/>
    </row>
    <row r="10535" spans="1:12" x14ac:dyDescent="0.25">
      <c r="A10535">
        <v>99280</v>
      </c>
      <c r="B10535" t="s">
        <v>18457</v>
      </c>
      <c r="C10535" t="s">
        <v>138</v>
      </c>
      <c r="D10535" s="254">
        <v>2290.9299999999998</v>
      </c>
      <c r="E10535"/>
      <c r="F10535"/>
      <c r="G10535"/>
      <c r="H10535"/>
      <c r="I10535" s="489"/>
      <c r="J10535" s="1362"/>
      <c r="K10535" s="1362"/>
      <c r="L10535" s="1362"/>
    </row>
    <row r="10536" spans="1:12" x14ac:dyDescent="0.25">
      <c r="A10536">
        <v>99281</v>
      </c>
      <c r="B10536" t="s">
        <v>5798</v>
      </c>
      <c r="C10536" t="s">
        <v>151</v>
      </c>
      <c r="D10536" s="254">
        <v>2640.01</v>
      </c>
      <c r="E10536"/>
      <c r="F10536"/>
      <c r="G10536"/>
      <c r="H10536"/>
      <c r="I10536" s="489"/>
      <c r="J10536" s="1362"/>
      <c r="K10536" s="1362"/>
      <c r="L10536" s="1362"/>
    </row>
    <row r="10537" spans="1:12" x14ac:dyDescent="0.25">
      <c r="A10537">
        <v>99282</v>
      </c>
      <c r="B10537" t="s">
        <v>5799</v>
      </c>
      <c r="C10537" t="s">
        <v>151</v>
      </c>
      <c r="D10537" s="254">
        <v>2926.77</v>
      </c>
      <c r="E10537"/>
      <c r="F10537"/>
      <c r="G10537"/>
      <c r="H10537"/>
      <c r="I10537" s="489"/>
      <c r="J10537" s="1362"/>
      <c r="K10537" s="1362"/>
      <c r="L10537" s="1362"/>
    </row>
    <row r="10538" spans="1:12" x14ac:dyDescent="0.25">
      <c r="A10538">
        <v>99283</v>
      </c>
      <c r="B10538" t="s">
        <v>5800</v>
      </c>
      <c r="C10538" t="s">
        <v>151</v>
      </c>
      <c r="D10538" s="254">
        <v>1316.83</v>
      </c>
      <c r="E10538"/>
      <c r="F10538"/>
      <c r="G10538"/>
      <c r="H10538"/>
      <c r="I10538" s="489"/>
      <c r="J10538" s="1362"/>
      <c r="K10538" s="1362"/>
      <c r="L10538" s="1362"/>
    </row>
    <row r="10539" spans="1:12" x14ac:dyDescent="0.25">
      <c r="A10539">
        <v>99284</v>
      </c>
      <c r="B10539" t="s">
        <v>18458</v>
      </c>
      <c r="C10539" t="s">
        <v>138</v>
      </c>
      <c r="D10539" s="254">
        <v>7888.78</v>
      </c>
      <c r="E10539"/>
      <c r="F10539"/>
      <c r="G10539"/>
      <c r="H10539"/>
      <c r="I10539" s="489"/>
      <c r="J10539" s="1362"/>
      <c r="K10539" s="1362"/>
      <c r="L10539" s="1362"/>
    </row>
    <row r="10540" spans="1:12" x14ac:dyDescent="0.25">
      <c r="A10540">
        <v>99285</v>
      </c>
      <c r="B10540" t="s">
        <v>18459</v>
      </c>
      <c r="C10540" t="s">
        <v>138</v>
      </c>
      <c r="D10540" s="254">
        <v>1373.18</v>
      </c>
      <c r="E10540"/>
      <c r="F10540"/>
      <c r="G10540"/>
      <c r="H10540"/>
      <c r="I10540" s="489"/>
      <c r="J10540" s="1362"/>
      <c r="K10540" s="1362"/>
      <c r="L10540" s="1362"/>
    </row>
    <row r="10541" spans="1:12" x14ac:dyDescent="0.25">
      <c r="A10541">
        <v>99286</v>
      </c>
      <c r="B10541" t="s">
        <v>18460</v>
      </c>
      <c r="C10541" t="s">
        <v>138</v>
      </c>
      <c r="D10541" s="254">
        <v>7051.19</v>
      </c>
      <c r="E10541"/>
      <c r="F10541"/>
      <c r="G10541"/>
      <c r="H10541"/>
      <c r="I10541" s="489"/>
      <c r="J10541" s="1362"/>
      <c r="K10541" s="1362"/>
      <c r="L10541" s="1362"/>
    </row>
    <row r="10542" spans="1:12" x14ac:dyDescent="0.25">
      <c r="A10542">
        <v>99287</v>
      </c>
      <c r="B10542" t="s">
        <v>18461</v>
      </c>
      <c r="C10542" t="s">
        <v>138</v>
      </c>
      <c r="D10542" s="254">
        <v>9968.82</v>
      </c>
      <c r="E10542"/>
      <c r="F10542"/>
      <c r="G10542"/>
      <c r="H10542"/>
      <c r="I10542" s="489"/>
      <c r="J10542" s="1362"/>
      <c r="K10542" s="1362"/>
      <c r="L10542" s="1362"/>
    </row>
    <row r="10543" spans="1:12" x14ac:dyDescent="0.25">
      <c r="A10543">
        <v>99288</v>
      </c>
      <c r="B10543" t="s">
        <v>5801</v>
      </c>
      <c r="C10543" t="s">
        <v>151</v>
      </c>
      <c r="D10543" s="254">
        <v>480.98</v>
      </c>
      <c r="E10543"/>
      <c r="F10543"/>
      <c r="G10543"/>
      <c r="H10543"/>
      <c r="I10543" s="489"/>
      <c r="J10543" s="1362"/>
      <c r="K10543" s="1362"/>
      <c r="L10543" s="1362"/>
    </row>
    <row r="10544" spans="1:12" x14ac:dyDescent="0.25">
      <c r="A10544">
        <v>99289</v>
      </c>
      <c r="B10544" t="s">
        <v>5802</v>
      </c>
      <c r="C10544" t="s">
        <v>151</v>
      </c>
      <c r="D10544" s="254">
        <v>2900.38</v>
      </c>
      <c r="E10544"/>
      <c r="F10544"/>
      <c r="G10544"/>
      <c r="H10544"/>
      <c r="I10544" s="489"/>
      <c r="J10544" s="1362"/>
      <c r="K10544" s="1362"/>
      <c r="L10544" s="1362"/>
    </row>
    <row r="10545" spans="1:12" x14ac:dyDescent="0.25">
      <c r="A10545">
        <v>99290</v>
      </c>
      <c r="B10545" t="s">
        <v>18462</v>
      </c>
      <c r="C10545" t="s">
        <v>138</v>
      </c>
      <c r="D10545" s="254">
        <v>4249.67</v>
      </c>
      <c r="E10545"/>
      <c r="F10545"/>
      <c r="G10545"/>
      <c r="H10545"/>
      <c r="I10545" s="489"/>
      <c r="J10545" s="1362"/>
      <c r="K10545" s="1362"/>
      <c r="L10545" s="1362"/>
    </row>
    <row r="10546" spans="1:12" x14ac:dyDescent="0.25">
      <c r="A10546">
        <v>99291</v>
      </c>
      <c r="B10546" t="s">
        <v>5803</v>
      </c>
      <c r="C10546" t="s">
        <v>151</v>
      </c>
      <c r="D10546" s="254">
        <v>2900.38</v>
      </c>
      <c r="E10546"/>
      <c r="F10546"/>
      <c r="G10546"/>
      <c r="H10546"/>
      <c r="I10546" s="489"/>
      <c r="J10546" s="1362"/>
      <c r="K10546" s="1362"/>
      <c r="L10546" s="1362"/>
    </row>
    <row r="10547" spans="1:12" x14ac:dyDescent="0.25">
      <c r="A10547">
        <v>99292</v>
      </c>
      <c r="B10547" t="s">
        <v>18463</v>
      </c>
      <c r="C10547" t="s">
        <v>138</v>
      </c>
      <c r="D10547" s="254">
        <v>2834.51</v>
      </c>
      <c r="E10547"/>
      <c r="F10547"/>
      <c r="G10547"/>
      <c r="H10547"/>
      <c r="I10547" s="489"/>
      <c r="J10547" s="1362"/>
      <c r="K10547" s="1362"/>
      <c r="L10547" s="1362"/>
    </row>
    <row r="10548" spans="1:12" x14ac:dyDescent="0.25">
      <c r="A10548">
        <v>99293</v>
      </c>
      <c r="B10548" t="s">
        <v>5804</v>
      </c>
      <c r="C10548" t="s">
        <v>151</v>
      </c>
      <c r="D10548" s="254">
        <v>1597.87</v>
      </c>
      <c r="E10548"/>
      <c r="F10548"/>
      <c r="G10548"/>
      <c r="H10548"/>
      <c r="I10548" s="489"/>
      <c r="J10548" s="1362"/>
      <c r="K10548" s="1362"/>
      <c r="L10548" s="1362"/>
    </row>
    <row r="10549" spans="1:12" x14ac:dyDescent="0.25">
      <c r="A10549">
        <v>99294</v>
      </c>
      <c r="B10549" t="s">
        <v>18464</v>
      </c>
      <c r="C10549" t="s">
        <v>138</v>
      </c>
      <c r="D10549" s="254">
        <v>8791.6</v>
      </c>
      <c r="E10549"/>
      <c r="F10549"/>
      <c r="G10549"/>
      <c r="H10549"/>
      <c r="I10549" s="489"/>
      <c r="J10549" s="1362"/>
      <c r="K10549" s="1362"/>
      <c r="L10549" s="1362"/>
    </row>
    <row r="10550" spans="1:12" x14ac:dyDescent="0.25">
      <c r="A10550">
        <v>99296</v>
      </c>
      <c r="B10550" t="s">
        <v>5805</v>
      </c>
      <c r="C10550" t="s">
        <v>151</v>
      </c>
      <c r="D10550" s="254">
        <v>3187.16</v>
      </c>
      <c r="E10550"/>
      <c r="F10550"/>
      <c r="G10550"/>
      <c r="H10550"/>
      <c r="I10550" s="489"/>
      <c r="J10550" s="1362"/>
      <c r="K10550" s="1362"/>
      <c r="L10550" s="1362"/>
    </row>
    <row r="10551" spans="1:12" x14ac:dyDescent="0.25">
      <c r="A10551">
        <v>99297</v>
      </c>
      <c r="B10551" t="s">
        <v>5806</v>
      </c>
      <c r="C10551" t="s">
        <v>151</v>
      </c>
      <c r="D10551" s="254">
        <v>3182.61</v>
      </c>
      <c r="E10551"/>
      <c r="F10551"/>
      <c r="G10551"/>
      <c r="H10551"/>
      <c r="I10551" s="489"/>
      <c r="J10551" s="1362"/>
      <c r="K10551" s="1362"/>
      <c r="L10551" s="1362"/>
    </row>
    <row r="10552" spans="1:12" x14ac:dyDescent="0.25">
      <c r="A10552">
        <v>99298</v>
      </c>
      <c r="B10552" t="s">
        <v>18465</v>
      </c>
      <c r="C10552" t="s">
        <v>138</v>
      </c>
      <c r="D10552" s="254">
        <v>11272.91</v>
      </c>
      <c r="E10552"/>
      <c r="F10552"/>
      <c r="G10552"/>
      <c r="H10552"/>
      <c r="I10552" s="489"/>
      <c r="J10552" s="1362"/>
      <c r="K10552" s="1362"/>
      <c r="L10552" s="1362"/>
    </row>
    <row r="10553" spans="1:12" x14ac:dyDescent="0.25">
      <c r="A10553">
        <v>99299</v>
      </c>
      <c r="B10553" t="s">
        <v>5807</v>
      </c>
      <c r="C10553" t="s">
        <v>151</v>
      </c>
      <c r="D10553" s="254">
        <v>3447.48</v>
      </c>
      <c r="E10553"/>
      <c r="F10553"/>
      <c r="G10553"/>
      <c r="H10553"/>
      <c r="I10553" s="489"/>
      <c r="J10553" s="1362"/>
      <c r="K10553" s="1362"/>
      <c r="L10553" s="1362"/>
    </row>
    <row r="10554" spans="1:12" x14ac:dyDescent="0.25">
      <c r="A10554">
        <v>99300</v>
      </c>
      <c r="B10554" t="s">
        <v>18466</v>
      </c>
      <c r="C10554" t="s">
        <v>138</v>
      </c>
      <c r="D10554" s="254">
        <v>12576.99</v>
      </c>
      <c r="E10554"/>
      <c r="F10554"/>
      <c r="G10554"/>
      <c r="H10554"/>
      <c r="I10554" s="489"/>
      <c r="J10554" s="1362"/>
      <c r="K10554" s="1362"/>
      <c r="L10554" s="1362"/>
    </row>
    <row r="10555" spans="1:12" x14ac:dyDescent="0.25">
      <c r="A10555">
        <v>99301</v>
      </c>
      <c r="B10555" t="s">
        <v>18467</v>
      </c>
      <c r="C10555" t="s">
        <v>138</v>
      </c>
      <c r="D10555" s="254">
        <v>6254.65</v>
      </c>
      <c r="E10555"/>
      <c r="F10555"/>
      <c r="G10555"/>
      <c r="H10555"/>
      <c r="I10555" s="489"/>
      <c r="J10555" s="1362"/>
      <c r="K10555" s="1362"/>
      <c r="L10555" s="1362"/>
    </row>
    <row r="10556" spans="1:12" x14ac:dyDescent="0.25">
      <c r="A10556">
        <v>99302</v>
      </c>
      <c r="B10556" t="s">
        <v>5808</v>
      </c>
      <c r="C10556" t="s">
        <v>151</v>
      </c>
      <c r="D10556" s="254">
        <v>3712.4</v>
      </c>
      <c r="E10556"/>
      <c r="F10556"/>
      <c r="G10556"/>
      <c r="H10556"/>
      <c r="I10556" s="489"/>
      <c r="J10556" s="1362"/>
      <c r="K10556" s="1362"/>
      <c r="L10556" s="1362"/>
    </row>
    <row r="10557" spans="1:12" x14ac:dyDescent="0.25">
      <c r="A10557">
        <v>99303</v>
      </c>
      <c r="B10557" t="s">
        <v>18468</v>
      </c>
      <c r="C10557" t="s">
        <v>138</v>
      </c>
      <c r="D10557" s="254">
        <v>11512.61</v>
      </c>
      <c r="E10557"/>
      <c r="F10557"/>
      <c r="G10557"/>
      <c r="H10557"/>
      <c r="I10557" s="489"/>
      <c r="J10557" s="1362"/>
      <c r="K10557" s="1362"/>
      <c r="L10557" s="1362"/>
    </row>
    <row r="10558" spans="1:12" x14ac:dyDescent="0.25">
      <c r="A10558">
        <v>99304</v>
      </c>
      <c r="B10558" t="s">
        <v>5809</v>
      </c>
      <c r="C10558" t="s">
        <v>151</v>
      </c>
      <c r="D10558" s="254">
        <v>3452.04</v>
      </c>
      <c r="E10558"/>
      <c r="F10558"/>
      <c r="G10558"/>
      <c r="H10558"/>
      <c r="I10558" s="489"/>
      <c r="J10558" s="1362"/>
      <c r="K10558" s="1362"/>
      <c r="L10558" s="1362"/>
    </row>
    <row r="10559" spans="1:12" x14ac:dyDescent="0.25">
      <c r="A10559">
        <v>99305</v>
      </c>
      <c r="B10559" t="s">
        <v>18469</v>
      </c>
      <c r="C10559" t="s">
        <v>138</v>
      </c>
      <c r="D10559" s="254">
        <v>13012.11</v>
      </c>
      <c r="E10559"/>
      <c r="F10559"/>
      <c r="G10559"/>
      <c r="H10559"/>
      <c r="I10559" s="489"/>
      <c r="J10559" s="1362"/>
      <c r="K10559" s="1362"/>
      <c r="L10559" s="1362"/>
    </row>
    <row r="10560" spans="1:12" x14ac:dyDescent="0.25">
      <c r="A10560">
        <v>99306</v>
      </c>
      <c r="B10560" t="s">
        <v>5810</v>
      </c>
      <c r="C10560" t="s">
        <v>151</v>
      </c>
      <c r="D10560" s="254">
        <v>3712.4</v>
      </c>
      <c r="E10560"/>
      <c r="F10560"/>
      <c r="G10560"/>
      <c r="H10560"/>
      <c r="I10560" s="489"/>
      <c r="J10560" s="1362"/>
      <c r="K10560" s="1362"/>
      <c r="L10560" s="1362"/>
    </row>
    <row r="10561" spans="1:12" x14ac:dyDescent="0.25">
      <c r="A10561">
        <v>99307</v>
      </c>
      <c r="B10561" t="s">
        <v>5811</v>
      </c>
      <c r="C10561" t="s">
        <v>151</v>
      </c>
      <c r="D10561" s="254">
        <v>2401.4</v>
      </c>
      <c r="E10561"/>
      <c r="F10561"/>
      <c r="G10561"/>
      <c r="H10561"/>
      <c r="I10561" s="489"/>
      <c r="J10561" s="1362"/>
      <c r="K10561" s="1362"/>
      <c r="L10561" s="1362"/>
    </row>
    <row r="10562" spans="1:12" x14ac:dyDescent="0.25">
      <c r="A10562">
        <v>99308</v>
      </c>
      <c r="B10562" t="s">
        <v>18470</v>
      </c>
      <c r="C10562" t="s">
        <v>138</v>
      </c>
      <c r="D10562" s="254">
        <v>14511.65</v>
      </c>
      <c r="E10562"/>
      <c r="F10562"/>
      <c r="G10562"/>
      <c r="H10562"/>
      <c r="I10562" s="489"/>
      <c r="J10562" s="1362"/>
      <c r="K10562" s="1362"/>
      <c r="L10562" s="1362"/>
    </row>
    <row r="10563" spans="1:12" x14ac:dyDescent="0.25">
      <c r="A10563">
        <v>99309</v>
      </c>
      <c r="B10563" t="s">
        <v>5812</v>
      </c>
      <c r="C10563" t="s">
        <v>151</v>
      </c>
      <c r="D10563" s="254">
        <v>3977.41</v>
      </c>
      <c r="E10563"/>
      <c r="F10563"/>
      <c r="G10563"/>
      <c r="H10563"/>
      <c r="I10563" s="489"/>
      <c r="J10563" s="1362"/>
      <c r="K10563" s="1362"/>
      <c r="L10563" s="1362"/>
    </row>
    <row r="10564" spans="1:12" x14ac:dyDescent="0.25">
      <c r="A10564">
        <v>99310</v>
      </c>
      <c r="B10564" t="s">
        <v>18471</v>
      </c>
      <c r="C10564" t="s">
        <v>138</v>
      </c>
      <c r="D10564" s="254">
        <v>14751.4</v>
      </c>
      <c r="E10564"/>
      <c r="F10564"/>
      <c r="G10564"/>
      <c r="H10564"/>
      <c r="I10564" s="489"/>
      <c r="J10564" s="1362"/>
      <c r="K10564" s="1362"/>
      <c r="L10564" s="1362"/>
    </row>
    <row r="10565" spans="1:12" x14ac:dyDescent="0.25">
      <c r="A10565">
        <v>99311</v>
      </c>
      <c r="B10565" t="s">
        <v>5813</v>
      </c>
      <c r="C10565" t="s">
        <v>151</v>
      </c>
      <c r="D10565" s="254">
        <v>3977.41</v>
      </c>
      <c r="E10565"/>
      <c r="F10565"/>
      <c r="G10565"/>
      <c r="H10565"/>
      <c r="I10565" s="489"/>
      <c r="J10565" s="1362"/>
      <c r="K10565" s="1362"/>
      <c r="L10565" s="1362"/>
    </row>
    <row r="10566" spans="1:12" x14ac:dyDescent="0.25">
      <c r="A10566">
        <v>99312</v>
      </c>
      <c r="B10566" t="s">
        <v>18472</v>
      </c>
      <c r="C10566" t="s">
        <v>138</v>
      </c>
      <c r="D10566" s="254">
        <v>7328.71</v>
      </c>
      <c r="E10566"/>
      <c r="F10566"/>
      <c r="G10566"/>
      <c r="H10566"/>
      <c r="I10566" s="489"/>
      <c r="J10566" s="1362"/>
      <c r="K10566" s="1362"/>
      <c r="L10566" s="1362"/>
    </row>
    <row r="10567" spans="1:12" x14ac:dyDescent="0.25">
      <c r="A10567">
        <v>99313</v>
      </c>
      <c r="B10567" t="s">
        <v>18473</v>
      </c>
      <c r="C10567" t="s">
        <v>138</v>
      </c>
      <c r="D10567" s="254">
        <v>16446.22</v>
      </c>
      <c r="E10567"/>
      <c r="F10567"/>
      <c r="G10567"/>
      <c r="H10567"/>
      <c r="I10567" s="489"/>
      <c r="J10567" s="1362"/>
      <c r="K10567" s="1362"/>
      <c r="L10567" s="1362"/>
    </row>
    <row r="10568" spans="1:12" x14ac:dyDescent="0.25">
      <c r="A10568">
        <v>99314</v>
      </c>
      <c r="B10568" t="s">
        <v>5814</v>
      </c>
      <c r="C10568" t="s">
        <v>151</v>
      </c>
      <c r="D10568" s="254">
        <v>4242.34</v>
      </c>
      <c r="E10568"/>
      <c r="F10568"/>
      <c r="G10568"/>
      <c r="H10568"/>
      <c r="I10568" s="489"/>
      <c r="J10568" s="1362"/>
      <c r="K10568" s="1362"/>
      <c r="L10568" s="1362"/>
    </row>
    <row r="10569" spans="1:12" x14ac:dyDescent="0.25">
      <c r="A10569">
        <v>99315</v>
      </c>
      <c r="B10569" t="s">
        <v>18474</v>
      </c>
      <c r="C10569" t="s">
        <v>138</v>
      </c>
      <c r="D10569" s="254">
        <v>18380.849999999999</v>
      </c>
      <c r="E10569"/>
      <c r="F10569"/>
      <c r="G10569"/>
      <c r="H10569"/>
      <c r="I10569" s="489"/>
      <c r="J10569" s="1362"/>
      <c r="K10569" s="1362"/>
      <c r="L10569" s="1362"/>
    </row>
    <row r="10570" spans="1:12" x14ac:dyDescent="0.25">
      <c r="A10570">
        <v>99317</v>
      </c>
      <c r="B10570" t="s">
        <v>5815</v>
      </c>
      <c r="C10570" t="s">
        <v>151</v>
      </c>
      <c r="D10570" s="254">
        <v>2661.78</v>
      </c>
      <c r="E10570"/>
      <c r="F10570"/>
      <c r="G10570"/>
      <c r="H10570"/>
      <c r="I10570" s="489"/>
      <c r="J10570" s="1362"/>
      <c r="K10570" s="1362"/>
      <c r="L10570" s="1362"/>
    </row>
    <row r="10571" spans="1:12" x14ac:dyDescent="0.25">
      <c r="A10571">
        <v>99318</v>
      </c>
      <c r="B10571" t="s">
        <v>5816</v>
      </c>
      <c r="C10571" t="s">
        <v>151</v>
      </c>
      <c r="D10571" s="254">
        <v>266.12</v>
      </c>
      <c r="E10571"/>
      <c r="F10571"/>
      <c r="G10571"/>
      <c r="H10571"/>
      <c r="I10571" s="489"/>
      <c r="J10571" s="1362"/>
      <c r="K10571" s="1362"/>
      <c r="L10571" s="1362"/>
    </row>
    <row r="10572" spans="1:12" x14ac:dyDescent="0.25">
      <c r="A10572">
        <v>99319</v>
      </c>
      <c r="B10572" t="s">
        <v>5817</v>
      </c>
      <c r="C10572" t="s">
        <v>151</v>
      </c>
      <c r="D10572" s="254">
        <v>1042.22</v>
      </c>
      <c r="E10572"/>
      <c r="F10572"/>
      <c r="G10572"/>
      <c r="H10572"/>
      <c r="I10572" s="489"/>
      <c r="J10572" s="1362"/>
      <c r="K10572" s="1362"/>
      <c r="L10572" s="1362"/>
    </row>
    <row r="10573" spans="1:12" x14ac:dyDescent="0.25">
      <c r="A10573">
        <v>99320</v>
      </c>
      <c r="B10573" t="s">
        <v>18475</v>
      </c>
      <c r="C10573" t="s">
        <v>138</v>
      </c>
      <c r="D10573" s="254">
        <v>8464.06</v>
      </c>
      <c r="E10573"/>
      <c r="F10573"/>
      <c r="G10573"/>
      <c r="H10573"/>
      <c r="I10573" s="489"/>
      <c r="J10573" s="1362"/>
      <c r="K10573" s="1362"/>
      <c r="L10573" s="1362"/>
    </row>
    <row r="10574" spans="1:12" x14ac:dyDescent="0.25">
      <c r="A10574">
        <v>99321</v>
      </c>
      <c r="B10574" t="s">
        <v>5818</v>
      </c>
      <c r="C10574" t="s">
        <v>151</v>
      </c>
      <c r="D10574" s="254">
        <v>2922.21</v>
      </c>
      <c r="E10574"/>
      <c r="F10574"/>
      <c r="G10574"/>
      <c r="H10574"/>
      <c r="I10574" s="489"/>
      <c r="J10574" s="1362"/>
      <c r="K10574" s="1362"/>
      <c r="L10574" s="1362"/>
    </row>
    <row r="10575" spans="1:12" x14ac:dyDescent="0.25">
      <c r="A10575">
        <v>99322</v>
      </c>
      <c r="B10575" t="s">
        <v>18476</v>
      </c>
      <c r="C10575" t="s">
        <v>138</v>
      </c>
      <c r="D10575" s="254">
        <v>9545.83</v>
      </c>
      <c r="E10575"/>
      <c r="F10575"/>
      <c r="G10575"/>
      <c r="H10575"/>
      <c r="I10575" s="489"/>
      <c r="J10575" s="1362"/>
      <c r="K10575" s="1362"/>
      <c r="L10575" s="1362"/>
    </row>
    <row r="10576" spans="1:12" x14ac:dyDescent="0.25">
      <c r="A10576">
        <v>99323</v>
      </c>
      <c r="B10576" t="s">
        <v>5819</v>
      </c>
      <c r="C10576" t="s">
        <v>151</v>
      </c>
      <c r="D10576" s="254">
        <v>3182.61</v>
      </c>
      <c r="E10576"/>
      <c r="F10576"/>
      <c r="G10576"/>
      <c r="H10576"/>
      <c r="I10576" s="489"/>
      <c r="J10576" s="1362"/>
      <c r="K10576" s="1362"/>
      <c r="L10576" s="1362"/>
    </row>
    <row r="10577" spans="1:12" x14ac:dyDescent="0.25">
      <c r="A10577">
        <v>99324</v>
      </c>
      <c r="B10577" t="s">
        <v>18477</v>
      </c>
      <c r="C10577" t="s">
        <v>138</v>
      </c>
      <c r="D10577" s="254">
        <v>10627.66</v>
      </c>
      <c r="E10577"/>
      <c r="F10577"/>
      <c r="G10577"/>
      <c r="H10577"/>
      <c r="I10577" s="489"/>
      <c r="J10577" s="1362"/>
      <c r="K10577" s="1362"/>
      <c r="L10577" s="1362"/>
    </row>
    <row r="10578" spans="1:12" x14ac:dyDescent="0.25">
      <c r="A10578">
        <v>99325</v>
      </c>
      <c r="B10578" t="s">
        <v>5820</v>
      </c>
      <c r="C10578" t="s">
        <v>151</v>
      </c>
      <c r="D10578" s="254">
        <v>3447.48</v>
      </c>
      <c r="E10578"/>
      <c r="F10578"/>
      <c r="G10578"/>
      <c r="H10578"/>
      <c r="I10578" s="489"/>
      <c r="J10578" s="1362"/>
      <c r="K10578" s="1362"/>
      <c r="L10578" s="1362"/>
    </row>
    <row r="10579" spans="1:12" x14ac:dyDescent="0.25">
      <c r="A10579">
        <v>99326</v>
      </c>
      <c r="B10579" t="s">
        <v>18478</v>
      </c>
      <c r="C10579" t="s">
        <v>138</v>
      </c>
      <c r="D10579" s="254">
        <v>8664.77</v>
      </c>
      <c r="E10579"/>
      <c r="F10579"/>
      <c r="G10579"/>
      <c r="H10579"/>
      <c r="I10579" s="489"/>
      <c r="J10579" s="1362"/>
      <c r="K10579" s="1362"/>
      <c r="L10579" s="1362"/>
    </row>
    <row r="10580" spans="1:12" x14ac:dyDescent="0.25">
      <c r="A10580">
        <v>99327</v>
      </c>
      <c r="B10580" t="s">
        <v>5821</v>
      </c>
      <c r="C10580" t="s">
        <v>151</v>
      </c>
      <c r="D10580" s="254">
        <v>4462.8</v>
      </c>
      <c r="E10580"/>
      <c r="F10580"/>
      <c r="G10580"/>
      <c r="H10580"/>
      <c r="I10580" s="489"/>
      <c r="J10580" s="1362"/>
      <c r="K10580" s="1362"/>
      <c r="L10580" s="1362"/>
    </row>
    <row r="10581" spans="1:12" x14ac:dyDescent="0.25">
      <c r="A10581">
        <v>101800</v>
      </c>
      <c r="B10581" t="s">
        <v>5822</v>
      </c>
      <c r="C10581" t="s">
        <v>138</v>
      </c>
      <c r="D10581" s="254">
        <v>1747.99</v>
      </c>
      <c r="E10581"/>
      <c r="F10581"/>
      <c r="G10581"/>
      <c r="H10581"/>
      <c r="I10581" s="489"/>
      <c r="J10581" s="1362"/>
      <c r="K10581" s="1362"/>
      <c r="L10581" s="1362"/>
    </row>
    <row r="10582" spans="1:12" x14ac:dyDescent="0.25">
      <c r="A10582">
        <v>101801</v>
      </c>
      <c r="B10582" t="s">
        <v>5823</v>
      </c>
      <c r="C10582" t="s">
        <v>138</v>
      </c>
      <c r="D10582" s="254">
        <v>1133.3900000000001</v>
      </c>
      <c r="E10582"/>
      <c r="F10582"/>
      <c r="G10582"/>
      <c r="H10582"/>
      <c r="I10582" s="489"/>
      <c r="J10582" s="1362"/>
      <c r="K10582" s="1362"/>
      <c r="L10582" s="1362"/>
    </row>
    <row r="10583" spans="1:12" x14ac:dyDescent="0.25">
      <c r="A10583">
        <v>101806</v>
      </c>
      <c r="B10583" t="s">
        <v>18479</v>
      </c>
      <c r="C10583" t="s">
        <v>138</v>
      </c>
      <c r="D10583" s="254">
        <v>613.36</v>
      </c>
      <c r="E10583"/>
      <c r="F10583"/>
      <c r="G10583"/>
      <c r="H10583"/>
      <c r="I10583" s="489"/>
      <c r="J10583" s="1362"/>
      <c r="K10583" s="1362"/>
      <c r="L10583" s="1362"/>
    </row>
    <row r="10584" spans="1:12" x14ac:dyDescent="0.25">
      <c r="A10584">
        <v>101807</v>
      </c>
      <c r="B10584" t="s">
        <v>18480</v>
      </c>
      <c r="C10584" t="s">
        <v>138</v>
      </c>
      <c r="D10584" s="254">
        <v>524.97</v>
      </c>
      <c r="E10584"/>
      <c r="F10584"/>
      <c r="G10584"/>
      <c r="H10584"/>
      <c r="I10584" s="489"/>
      <c r="J10584" s="1362"/>
      <c r="K10584" s="1362"/>
      <c r="L10584" s="1362"/>
    </row>
    <row r="10585" spans="1:12" x14ac:dyDescent="0.25">
      <c r="A10585">
        <v>101808</v>
      </c>
      <c r="B10585" t="s">
        <v>18481</v>
      </c>
      <c r="C10585" t="s">
        <v>138</v>
      </c>
      <c r="D10585" s="254">
        <v>508.94</v>
      </c>
      <c r="E10585"/>
      <c r="F10585"/>
      <c r="G10585"/>
      <c r="H10585"/>
      <c r="I10585" s="489"/>
      <c r="J10585" s="1362"/>
      <c r="K10585" s="1362"/>
      <c r="L10585" s="1362"/>
    </row>
    <row r="10586" spans="1:12" x14ac:dyDescent="0.25">
      <c r="A10586">
        <v>101809</v>
      </c>
      <c r="B10586" t="s">
        <v>5824</v>
      </c>
      <c r="C10586" t="s">
        <v>138</v>
      </c>
      <c r="D10586" s="254">
        <v>3213.31</v>
      </c>
      <c r="E10586"/>
      <c r="F10586"/>
      <c r="G10586"/>
      <c r="H10586"/>
      <c r="I10586" s="489"/>
      <c r="J10586" s="1362"/>
      <c r="K10586" s="1362"/>
      <c r="L10586" s="1362"/>
    </row>
    <row r="10587" spans="1:12" x14ac:dyDescent="0.25">
      <c r="A10587">
        <v>102139</v>
      </c>
      <c r="B10587" t="s">
        <v>18482</v>
      </c>
      <c r="C10587" t="s">
        <v>138</v>
      </c>
      <c r="D10587" s="254">
        <v>1782.19</v>
      </c>
      <c r="E10587"/>
      <c r="F10587"/>
      <c r="G10587"/>
      <c r="H10587"/>
      <c r="I10587" s="489"/>
      <c r="J10587" s="1362"/>
      <c r="K10587" s="1362"/>
      <c r="L10587" s="1362"/>
    </row>
    <row r="10588" spans="1:12" x14ac:dyDescent="0.25">
      <c r="A10588">
        <v>102141</v>
      </c>
      <c r="B10588" t="s">
        <v>18483</v>
      </c>
      <c r="C10588" t="s">
        <v>138</v>
      </c>
      <c r="D10588" s="254">
        <v>2760.82</v>
      </c>
      <c r="E10588"/>
      <c r="F10588"/>
      <c r="G10588"/>
      <c r="H10588"/>
      <c r="I10588" s="489"/>
      <c r="J10588" s="1362"/>
      <c r="K10588" s="1362"/>
      <c r="L10588" s="1362"/>
    </row>
    <row r="10589" spans="1:12" x14ac:dyDescent="0.25">
      <c r="A10589">
        <v>102142</v>
      </c>
      <c r="B10589" t="s">
        <v>18484</v>
      </c>
      <c r="C10589" t="s">
        <v>138</v>
      </c>
      <c r="D10589" s="254">
        <v>2725.17</v>
      </c>
      <c r="E10589"/>
      <c r="F10589"/>
      <c r="G10589"/>
      <c r="H10589"/>
      <c r="I10589" s="489"/>
      <c r="J10589" s="1362"/>
      <c r="K10589" s="1362"/>
      <c r="L10589" s="1362"/>
    </row>
    <row r="10590" spans="1:12" x14ac:dyDescent="0.25">
      <c r="A10590">
        <v>102457</v>
      </c>
      <c r="B10590" t="s">
        <v>18485</v>
      </c>
      <c r="C10590" t="s">
        <v>138</v>
      </c>
      <c r="D10590" s="254">
        <v>1748.43</v>
      </c>
      <c r="E10590"/>
      <c r="F10590"/>
      <c r="G10590"/>
      <c r="H10590"/>
      <c r="I10590" s="489"/>
      <c r="J10590" s="1362"/>
      <c r="K10590" s="1362"/>
      <c r="L10590" s="1362"/>
    </row>
    <row r="10591" spans="1:12" x14ac:dyDescent="0.25">
      <c r="A10591">
        <v>94263</v>
      </c>
      <c r="B10591" t="s">
        <v>3194</v>
      </c>
      <c r="C10591" t="s">
        <v>151</v>
      </c>
      <c r="D10591" s="254">
        <v>35.119999999999997</v>
      </c>
      <c r="E10591"/>
      <c r="F10591"/>
      <c r="G10591"/>
      <c r="H10591"/>
      <c r="I10591" s="489"/>
      <c r="J10591" s="1362"/>
      <c r="K10591" s="1362"/>
      <c r="L10591" s="1362"/>
    </row>
    <row r="10592" spans="1:12" x14ac:dyDescent="0.25">
      <c r="A10592">
        <v>94264</v>
      </c>
      <c r="B10592" t="s">
        <v>3195</v>
      </c>
      <c r="C10592" t="s">
        <v>151</v>
      </c>
      <c r="D10592" s="254">
        <v>38.89</v>
      </c>
      <c r="E10592"/>
      <c r="F10592"/>
      <c r="G10592"/>
      <c r="H10592"/>
      <c r="I10592" s="489"/>
      <c r="J10592" s="1362"/>
      <c r="K10592" s="1362"/>
      <c r="L10592" s="1362"/>
    </row>
    <row r="10593" spans="1:12" x14ac:dyDescent="0.25">
      <c r="A10593">
        <v>94265</v>
      </c>
      <c r="B10593" t="s">
        <v>3196</v>
      </c>
      <c r="C10593" t="s">
        <v>151</v>
      </c>
      <c r="D10593" s="254">
        <v>45.97</v>
      </c>
      <c r="E10593"/>
      <c r="F10593"/>
      <c r="G10593"/>
      <c r="H10593"/>
      <c r="I10593" s="489"/>
      <c r="J10593" s="1362"/>
      <c r="K10593" s="1362"/>
      <c r="L10593" s="1362"/>
    </row>
    <row r="10594" spans="1:12" x14ac:dyDescent="0.25">
      <c r="A10594">
        <v>94266</v>
      </c>
      <c r="B10594" t="s">
        <v>3197</v>
      </c>
      <c r="C10594" t="s">
        <v>151</v>
      </c>
      <c r="D10594" s="254">
        <v>50.27</v>
      </c>
      <c r="E10594"/>
      <c r="F10594"/>
      <c r="G10594"/>
      <c r="H10594"/>
      <c r="I10594" s="489"/>
      <c r="J10594" s="1362"/>
      <c r="K10594" s="1362"/>
      <c r="L10594" s="1362"/>
    </row>
    <row r="10595" spans="1:12" x14ac:dyDescent="0.25">
      <c r="A10595">
        <v>94267</v>
      </c>
      <c r="B10595" t="s">
        <v>3198</v>
      </c>
      <c r="C10595" t="s">
        <v>151</v>
      </c>
      <c r="D10595" s="254">
        <v>55.01</v>
      </c>
      <c r="E10595"/>
      <c r="F10595"/>
      <c r="G10595"/>
      <c r="H10595"/>
      <c r="I10595" s="489"/>
      <c r="J10595" s="1362"/>
      <c r="K10595" s="1362"/>
      <c r="L10595" s="1362"/>
    </row>
    <row r="10596" spans="1:12" x14ac:dyDescent="0.25">
      <c r="A10596">
        <v>94268</v>
      </c>
      <c r="B10596" t="s">
        <v>3199</v>
      </c>
      <c r="C10596" t="s">
        <v>151</v>
      </c>
      <c r="D10596" s="254">
        <v>59.76</v>
      </c>
      <c r="E10596"/>
      <c r="F10596"/>
      <c r="G10596"/>
      <c r="H10596"/>
      <c r="I10596" s="489"/>
      <c r="J10596" s="1362"/>
      <c r="K10596" s="1362"/>
      <c r="L10596" s="1362"/>
    </row>
    <row r="10597" spans="1:12" x14ac:dyDescent="0.25">
      <c r="A10597">
        <v>94269</v>
      </c>
      <c r="B10597" t="s">
        <v>3200</v>
      </c>
      <c r="C10597" t="s">
        <v>151</v>
      </c>
      <c r="D10597" s="254">
        <v>78.430000000000007</v>
      </c>
      <c r="E10597"/>
      <c r="F10597"/>
      <c r="G10597"/>
      <c r="H10597"/>
      <c r="I10597" s="489"/>
      <c r="J10597" s="1362"/>
      <c r="K10597" s="1362"/>
      <c r="L10597" s="1362"/>
    </row>
    <row r="10598" spans="1:12" x14ac:dyDescent="0.25">
      <c r="A10598">
        <v>94270</v>
      </c>
      <c r="B10598" t="s">
        <v>3201</v>
      </c>
      <c r="C10598" t="s">
        <v>151</v>
      </c>
      <c r="D10598" s="254">
        <v>85.05</v>
      </c>
      <c r="E10598"/>
      <c r="F10598"/>
      <c r="G10598"/>
      <c r="H10598"/>
      <c r="I10598" s="489"/>
      <c r="J10598" s="1362"/>
      <c r="K10598" s="1362"/>
      <c r="L10598" s="1362"/>
    </row>
    <row r="10599" spans="1:12" x14ac:dyDescent="0.25">
      <c r="A10599">
        <v>94271</v>
      </c>
      <c r="B10599" t="s">
        <v>3202</v>
      </c>
      <c r="C10599" t="s">
        <v>151</v>
      </c>
      <c r="D10599" s="254">
        <v>95.38</v>
      </c>
      <c r="E10599"/>
      <c r="F10599"/>
      <c r="G10599"/>
      <c r="H10599"/>
      <c r="I10599" s="489"/>
      <c r="J10599" s="1362"/>
      <c r="K10599" s="1362"/>
      <c r="L10599" s="1362"/>
    </row>
    <row r="10600" spans="1:12" x14ac:dyDescent="0.25">
      <c r="A10600">
        <v>94272</v>
      </c>
      <c r="B10600" t="s">
        <v>3203</v>
      </c>
      <c r="C10600" t="s">
        <v>151</v>
      </c>
      <c r="D10600" s="254">
        <v>104.2</v>
      </c>
      <c r="E10600"/>
      <c r="F10600"/>
      <c r="G10600"/>
      <c r="H10600"/>
      <c r="I10600" s="489"/>
      <c r="J10600" s="1362"/>
      <c r="K10600" s="1362"/>
      <c r="L10600" s="1362"/>
    </row>
    <row r="10601" spans="1:12" x14ac:dyDescent="0.25">
      <c r="A10601">
        <v>94273</v>
      </c>
      <c r="B10601" t="s">
        <v>1217</v>
      </c>
      <c r="C10601" t="s">
        <v>151</v>
      </c>
      <c r="D10601" s="254">
        <v>52.16</v>
      </c>
      <c r="E10601"/>
      <c r="F10601"/>
      <c r="G10601"/>
      <c r="H10601"/>
      <c r="I10601" s="489"/>
      <c r="J10601" s="1362"/>
      <c r="K10601" s="1362"/>
      <c r="L10601" s="1362"/>
    </row>
    <row r="10602" spans="1:12" x14ac:dyDescent="0.25">
      <c r="A10602">
        <v>94274</v>
      </c>
      <c r="B10602" t="s">
        <v>1218</v>
      </c>
      <c r="C10602" t="s">
        <v>151</v>
      </c>
      <c r="D10602" s="254">
        <v>56.72</v>
      </c>
      <c r="E10602"/>
      <c r="F10602"/>
      <c r="G10602"/>
      <c r="H10602"/>
      <c r="I10602" s="489"/>
      <c r="J10602" s="1362"/>
      <c r="K10602" s="1362"/>
      <c r="L10602" s="1362"/>
    </row>
    <row r="10603" spans="1:12" x14ac:dyDescent="0.25">
      <c r="A10603">
        <v>94275</v>
      </c>
      <c r="B10603" t="s">
        <v>18486</v>
      </c>
      <c r="C10603" t="s">
        <v>151</v>
      </c>
      <c r="D10603" s="254">
        <v>46.92</v>
      </c>
      <c r="E10603"/>
      <c r="F10603"/>
      <c r="G10603"/>
      <c r="H10603"/>
      <c r="I10603" s="489"/>
      <c r="J10603" s="1362"/>
      <c r="K10603" s="1362"/>
      <c r="L10603" s="1362"/>
    </row>
    <row r="10604" spans="1:12" x14ac:dyDescent="0.25">
      <c r="A10604">
        <v>94276</v>
      </c>
      <c r="B10604" t="s">
        <v>18487</v>
      </c>
      <c r="C10604" t="s">
        <v>151</v>
      </c>
      <c r="D10604" s="254">
        <v>51.48</v>
      </c>
      <c r="E10604"/>
      <c r="F10604"/>
      <c r="G10604"/>
      <c r="H10604"/>
      <c r="I10604" s="489"/>
      <c r="J10604" s="1362"/>
      <c r="K10604" s="1362"/>
      <c r="L10604" s="1362"/>
    </row>
    <row r="10605" spans="1:12" x14ac:dyDescent="0.25">
      <c r="A10605">
        <v>94277</v>
      </c>
      <c r="B10605" t="s">
        <v>6203</v>
      </c>
      <c r="C10605" t="s">
        <v>151</v>
      </c>
      <c r="D10605" s="254">
        <v>41.61</v>
      </c>
      <c r="E10605"/>
      <c r="F10605"/>
      <c r="G10605"/>
      <c r="H10605"/>
      <c r="I10605" s="489"/>
      <c r="J10605" s="1362"/>
      <c r="K10605" s="1362"/>
      <c r="L10605" s="1362"/>
    </row>
    <row r="10606" spans="1:12" x14ac:dyDescent="0.25">
      <c r="A10606">
        <v>94278</v>
      </c>
      <c r="B10606" t="s">
        <v>6204</v>
      </c>
      <c r="C10606" t="s">
        <v>151</v>
      </c>
      <c r="D10606" s="254">
        <v>46.17</v>
      </c>
      <c r="E10606"/>
      <c r="F10606"/>
      <c r="G10606"/>
      <c r="H10606"/>
      <c r="I10606" s="489"/>
      <c r="J10606" s="1362"/>
      <c r="K10606" s="1362"/>
      <c r="L10606" s="1362"/>
    </row>
    <row r="10607" spans="1:12" x14ac:dyDescent="0.25">
      <c r="A10607">
        <v>94279</v>
      </c>
      <c r="B10607" t="s">
        <v>6205</v>
      </c>
      <c r="C10607" t="s">
        <v>151</v>
      </c>
      <c r="D10607" s="254">
        <v>47.35</v>
      </c>
      <c r="E10607"/>
      <c r="F10607"/>
      <c r="G10607"/>
      <c r="H10607"/>
      <c r="I10607" s="489"/>
      <c r="J10607" s="1362"/>
      <c r="K10607" s="1362"/>
      <c r="L10607" s="1362"/>
    </row>
    <row r="10608" spans="1:12" x14ac:dyDescent="0.25">
      <c r="A10608">
        <v>94280</v>
      </c>
      <c r="B10608" t="s">
        <v>6206</v>
      </c>
      <c r="C10608" t="s">
        <v>151</v>
      </c>
      <c r="D10608" s="254">
        <v>51.91</v>
      </c>
      <c r="E10608"/>
      <c r="F10608"/>
      <c r="G10608"/>
      <c r="H10608"/>
      <c r="I10608" s="489"/>
      <c r="J10608" s="1362"/>
      <c r="K10608" s="1362"/>
      <c r="L10608" s="1362"/>
    </row>
    <row r="10609" spans="1:12" x14ac:dyDescent="0.25">
      <c r="A10609">
        <v>94281</v>
      </c>
      <c r="B10609" t="s">
        <v>1219</v>
      </c>
      <c r="C10609" t="s">
        <v>151</v>
      </c>
      <c r="D10609" s="254">
        <v>59.22</v>
      </c>
      <c r="E10609"/>
      <c r="F10609"/>
      <c r="G10609"/>
      <c r="H10609"/>
      <c r="I10609" s="489"/>
      <c r="J10609" s="1362"/>
      <c r="K10609" s="1362"/>
      <c r="L10609" s="1362"/>
    </row>
    <row r="10610" spans="1:12" x14ac:dyDescent="0.25">
      <c r="A10610">
        <v>94282</v>
      </c>
      <c r="B10610" t="s">
        <v>1220</v>
      </c>
      <c r="C10610" t="s">
        <v>151</v>
      </c>
      <c r="D10610" s="254">
        <v>73.12</v>
      </c>
      <c r="E10610"/>
      <c r="F10610"/>
      <c r="G10610"/>
      <c r="H10610"/>
      <c r="I10610" s="489"/>
      <c r="J10610" s="1362"/>
      <c r="K10610" s="1362"/>
      <c r="L10610" s="1362"/>
    </row>
    <row r="10611" spans="1:12" x14ac:dyDescent="0.25">
      <c r="A10611">
        <v>94283</v>
      </c>
      <c r="B10611" t="s">
        <v>1221</v>
      </c>
      <c r="C10611" t="s">
        <v>151</v>
      </c>
      <c r="D10611" s="254">
        <v>75.67</v>
      </c>
      <c r="E10611"/>
      <c r="F10611"/>
      <c r="G10611"/>
      <c r="H10611"/>
      <c r="I10611" s="489"/>
      <c r="J10611" s="1362"/>
      <c r="K10611" s="1362"/>
      <c r="L10611" s="1362"/>
    </row>
    <row r="10612" spans="1:12" x14ac:dyDescent="0.25">
      <c r="A10612">
        <v>94284</v>
      </c>
      <c r="B10612" t="s">
        <v>1222</v>
      </c>
      <c r="C10612" t="s">
        <v>151</v>
      </c>
      <c r="D10612" s="254">
        <v>89.56</v>
      </c>
      <c r="E10612"/>
      <c r="F10612"/>
      <c r="G10612"/>
      <c r="H10612"/>
      <c r="I10612" s="489"/>
      <c r="J10612" s="1362"/>
      <c r="K10612" s="1362"/>
      <c r="L10612" s="1362"/>
    </row>
    <row r="10613" spans="1:12" x14ac:dyDescent="0.25">
      <c r="A10613">
        <v>94285</v>
      </c>
      <c r="B10613" t="s">
        <v>1223</v>
      </c>
      <c r="C10613" t="s">
        <v>151</v>
      </c>
      <c r="D10613" s="254">
        <v>91.45</v>
      </c>
      <c r="E10613"/>
      <c r="F10613"/>
      <c r="G10613"/>
      <c r="H10613"/>
      <c r="I10613" s="489"/>
      <c r="J10613" s="1362"/>
      <c r="K10613" s="1362"/>
      <c r="L10613" s="1362"/>
    </row>
    <row r="10614" spans="1:12" x14ac:dyDescent="0.25">
      <c r="A10614">
        <v>94286</v>
      </c>
      <c r="B10614" t="s">
        <v>1224</v>
      </c>
      <c r="C10614" t="s">
        <v>151</v>
      </c>
      <c r="D10614" s="254">
        <v>105.34</v>
      </c>
      <c r="E10614"/>
      <c r="F10614"/>
      <c r="G10614"/>
      <c r="H10614"/>
      <c r="I10614" s="489"/>
      <c r="J10614" s="1362"/>
      <c r="K10614" s="1362"/>
      <c r="L10614" s="1362"/>
    </row>
    <row r="10615" spans="1:12" x14ac:dyDescent="0.25">
      <c r="A10615">
        <v>94287</v>
      </c>
      <c r="B10615" t="s">
        <v>1225</v>
      </c>
      <c r="C10615" t="s">
        <v>151</v>
      </c>
      <c r="D10615" s="254">
        <v>46.25</v>
      </c>
      <c r="E10615"/>
      <c r="F10615"/>
      <c r="G10615"/>
      <c r="H10615"/>
      <c r="I10615" s="489"/>
      <c r="J10615" s="1362"/>
      <c r="K10615" s="1362"/>
      <c r="L10615" s="1362"/>
    </row>
    <row r="10616" spans="1:12" x14ac:dyDescent="0.25">
      <c r="A10616">
        <v>94288</v>
      </c>
      <c r="B10616" t="s">
        <v>1226</v>
      </c>
      <c r="C10616" t="s">
        <v>151</v>
      </c>
      <c r="D10616" s="254">
        <v>58.4</v>
      </c>
      <c r="E10616"/>
      <c r="F10616"/>
      <c r="G10616"/>
      <c r="H10616"/>
      <c r="I10616" s="489"/>
      <c r="J10616" s="1362"/>
      <c r="K10616" s="1362"/>
      <c r="L10616" s="1362"/>
    </row>
    <row r="10617" spans="1:12" x14ac:dyDescent="0.25">
      <c r="A10617">
        <v>94289</v>
      </c>
      <c r="B10617" t="s">
        <v>1227</v>
      </c>
      <c r="C10617" t="s">
        <v>151</v>
      </c>
      <c r="D10617" s="254">
        <v>58.13</v>
      </c>
      <c r="E10617"/>
      <c r="F10617"/>
      <c r="G10617"/>
      <c r="H10617"/>
      <c r="I10617" s="489"/>
      <c r="J10617" s="1362"/>
      <c r="K10617" s="1362"/>
      <c r="L10617" s="1362"/>
    </row>
    <row r="10618" spans="1:12" x14ac:dyDescent="0.25">
      <c r="A10618">
        <v>94290</v>
      </c>
      <c r="B10618" t="s">
        <v>1228</v>
      </c>
      <c r="C10618" t="s">
        <v>151</v>
      </c>
      <c r="D10618" s="254">
        <v>70.28</v>
      </c>
      <c r="E10618"/>
      <c r="F10618"/>
      <c r="G10618"/>
      <c r="H10618"/>
      <c r="I10618" s="489"/>
      <c r="J10618" s="1362"/>
      <c r="K10618" s="1362"/>
      <c r="L10618" s="1362"/>
    </row>
    <row r="10619" spans="1:12" x14ac:dyDescent="0.25">
      <c r="A10619">
        <v>94291</v>
      </c>
      <c r="B10619" t="s">
        <v>1229</v>
      </c>
      <c r="C10619" t="s">
        <v>151</v>
      </c>
      <c r="D10619" s="254">
        <v>69.400000000000006</v>
      </c>
      <c r="E10619"/>
      <c r="F10619"/>
      <c r="G10619"/>
      <c r="H10619"/>
      <c r="I10619" s="489"/>
      <c r="J10619" s="1362"/>
      <c r="K10619" s="1362"/>
      <c r="L10619" s="1362"/>
    </row>
    <row r="10620" spans="1:12" x14ac:dyDescent="0.25">
      <c r="A10620">
        <v>94292</v>
      </c>
      <c r="B10620" t="s">
        <v>1230</v>
      </c>
      <c r="C10620" t="s">
        <v>151</v>
      </c>
      <c r="D10620" s="254">
        <v>81.56</v>
      </c>
      <c r="E10620"/>
      <c r="F10620"/>
      <c r="G10620"/>
      <c r="H10620"/>
      <c r="I10620" s="489"/>
      <c r="J10620" s="1362"/>
      <c r="K10620" s="1362"/>
      <c r="L10620" s="1362"/>
    </row>
    <row r="10621" spans="1:12" x14ac:dyDescent="0.25">
      <c r="A10621">
        <v>94293</v>
      </c>
      <c r="B10621" t="s">
        <v>1231</v>
      </c>
      <c r="C10621" t="s">
        <v>151</v>
      </c>
      <c r="D10621" s="254">
        <v>181.95</v>
      </c>
      <c r="E10621"/>
      <c r="F10621"/>
      <c r="G10621"/>
      <c r="H10621"/>
      <c r="I10621" s="489"/>
      <c r="J10621" s="1362"/>
      <c r="K10621" s="1362"/>
      <c r="L10621" s="1362"/>
    </row>
    <row r="10622" spans="1:12" x14ac:dyDescent="0.25">
      <c r="A10622">
        <v>94294</v>
      </c>
      <c r="B10622" t="s">
        <v>1232</v>
      </c>
      <c r="C10622" t="s">
        <v>151</v>
      </c>
      <c r="D10622" s="254">
        <v>9.82</v>
      </c>
      <c r="E10622"/>
      <c r="F10622"/>
      <c r="G10622"/>
      <c r="H10622"/>
      <c r="I10622" s="489"/>
      <c r="J10622" s="1362"/>
      <c r="K10622" s="1362"/>
      <c r="L10622" s="1362"/>
    </row>
    <row r="10623" spans="1:12" x14ac:dyDescent="0.25">
      <c r="A10623">
        <v>102727</v>
      </c>
      <c r="B10623" t="s">
        <v>6548</v>
      </c>
      <c r="C10623" t="s">
        <v>297</v>
      </c>
      <c r="D10623" s="254">
        <v>110.19</v>
      </c>
      <c r="E10623"/>
      <c r="F10623"/>
      <c r="G10623"/>
      <c r="H10623"/>
      <c r="I10623" s="489"/>
      <c r="J10623" s="1362"/>
      <c r="K10623" s="1362"/>
      <c r="L10623" s="1362"/>
    </row>
    <row r="10624" spans="1:12" x14ac:dyDescent="0.25">
      <c r="A10624">
        <v>102728</v>
      </c>
      <c r="B10624" t="s">
        <v>6549</v>
      </c>
      <c r="C10624" t="s">
        <v>282</v>
      </c>
      <c r="D10624" s="254">
        <v>16.66</v>
      </c>
      <c r="E10624"/>
      <c r="F10624"/>
      <c r="G10624"/>
      <c r="H10624"/>
      <c r="I10624" s="489"/>
      <c r="J10624" s="1362"/>
      <c r="K10624" s="1362"/>
      <c r="L10624" s="1362"/>
    </row>
    <row r="10625" spans="1:12" x14ac:dyDescent="0.25">
      <c r="A10625">
        <v>102729</v>
      </c>
      <c r="B10625" t="s">
        <v>6550</v>
      </c>
      <c r="C10625" t="s">
        <v>282</v>
      </c>
      <c r="D10625" s="254">
        <v>15.57</v>
      </c>
      <c r="E10625"/>
      <c r="F10625"/>
      <c r="G10625"/>
      <c r="H10625"/>
      <c r="I10625" s="489"/>
      <c r="J10625" s="1362"/>
      <c r="K10625" s="1362"/>
      <c r="L10625" s="1362"/>
    </row>
    <row r="10626" spans="1:12" x14ac:dyDescent="0.25">
      <c r="A10626">
        <v>102730</v>
      </c>
      <c r="B10626" t="s">
        <v>6551</v>
      </c>
      <c r="C10626" t="s">
        <v>282</v>
      </c>
      <c r="D10626" s="254">
        <v>13.86</v>
      </c>
      <c r="E10626"/>
      <c r="F10626"/>
      <c r="G10626"/>
      <c r="H10626"/>
      <c r="I10626" s="489"/>
      <c r="J10626" s="1362"/>
      <c r="K10626" s="1362"/>
      <c r="L10626" s="1362"/>
    </row>
    <row r="10627" spans="1:12" x14ac:dyDescent="0.25">
      <c r="A10627">
        <v>102731</v>
      </c>
      <c r="B10627" t="s">
        <v>6552</v>
      </c>
      <c r="C10627" t="s">
        <v>282</v>
      </c>
      <c r="D10627" s="254">
        <v>11.67</v>
      </c>
      <c r="E10627"/>
      <c r="F10627"/>
      <c r="G10627"/>
      <c r="H10627"/>
      <c r="I10627" s="489"/>
      <c r="J10627" s="1362"/>
      <c r="K10627" s="1362"/>
      <c r="L10627" s="1362"/>
    </row>
    <row r="10628" spans="1:12" x14ac:dyDescent="0.25">
      <c r="A10628">
        <v>102732</v>
      </c>
      <c r="B10628" t="s">
        <v>6553</v>
      </c>
      <c r="C10628" t="s">
        <v>282</v>
      </c>
      <c r="D10628" s="254">
        <v>11.04</v>
      </c>
      <c r="E10628"/>
      <c r="F10628"/>
      <c r="G10628"/>
      <c r="H10628"/>
      <c r="I10628" s="489"/>
      <c r="J10628" s="1362"/>
      <c r="K10628" s="1362"/>
      <c r="L10628" s="1362"/>
    </row>
    <row r="10629" spans="1:12" x14ac:dyDescent="0.25">
      <c r="A10629">
        <v>102733</v>
      </c>
      <c r="B10629" t="s">
        <v>6554</v>
      </c>
      <c r="C10629" t="s">
        <v>282</v>
      </c>
      <c r="D10629" s="254">
        <v>12.28</v>
      </c>
      <c r="E10629"/>
      <c r="F10629"/>
      <c r="G10629"/>
      <c r="H10629"/>
      <c r="I10629" s="489"/>
      <c r="J10629" s="1362"/>
      <c r="K10629" s="1362"/>
      <c r="L10629" s="1362"/>
    </row>
    <row r="10630" spans="1:12" x14ac:dyDescent="0.25">
      <c r="A10630">
        <v>102734</v>
      </c>
      <c r="B10630" t="s">
        <v>6555</v>
      </c>
      <c r="C10630" t="s">
        <v>282</v>
      </c>
      <c r="D10630" s="254">
        <v>15.6</v>
      </c>
      <c r="E10630"/>
      <c r="F10630"/>
      <c r="G10630"/>
      <c r="H10630"/>
      <c r="I10630" s="489"/>
      <c r="J10630" s="1362"/>
      <c r="K10630" s="1362"/>
      <c r="L10630" s="1362"/>
    </row>
    <row r="10631" spans="1:12" x14ac:dyDescent="0.25">
      <c r="A10631">
        <v>102735</v>
      </c>
      <c r="B10631" t="s">
        <v>6556</v>
      </c>
      <c r="C10631" t="s">
        <v>282</v>
      </c>
      <c r="D10631" s="254">
        <v>14.65</v>
      </c>
      <c r="E10631"/>
      <c r="F10631"/>
      <c r="G10631"/>
      <c r="H10631"/>
      <c r="I10631" s="489"/>
      <c r="J10631" s="1362"/>
      <c r="K10631" s="1362"/>
      <c r="L10631" s="1362"/>
    </row>
    <row r="10632" spans="1:12" x14ac:dyDescent="0.25">
      <c r="A10632">
        <v>102736</v>
      </c>
      <c r="B10632" t="s">
        <v>6557</v>
      </c>
      <c r="C10632" t="s">
        <v>1159</v>
      </c>
      <c r="D10632" s="254">
        <v>617.05999999999995</v>
      </c>
      <c r="E10632"/>
      <c r="F10632"/>
      <c r="G10632"/>
      <c r="H10632"/>
      <c r="I10632" s="489"/>
      <c r="J10632" s="1362"/>
      <c r="K10632" s="1362"/>
      <c r="L10632" s="1362"/>
    </row>
    <row r="10633" spans="1:12" x14ac:dyDescent="0.25">
      <c r="A10633">
        <v>102737</v>
      </c>
      <c r="B10633" t="s">
        <v>6558</v>
      </c>
      <c r="C10633" t="s">
        <v>138</v>
      </c>
      <c r="D10633" s="254">
        <v>1167.3399999999999</v>
      </c>
      <c r="E10633"/>
      <c r="F10633"/>
      <c r="G10633"/>
      <c r="H10633"/>
      <c r="I10633" s="489"/>
      <c r="J10633" s="1362"/>
      <c r="K10633" s="1362"/>
      <c r="L10633" s="1362"/>
    </row>
    <row r="10634" spans="1:12" x14ac:dyDescent="0.25">
      <c r="A10634">
        <v>102738</v>
      </c>
      <c r="B10634" t="s">
        <v>6559</v>
      </c>
      <c r="C10634" t="s">
        <v>138</v>
      </c>
      <c r="D10634" s="254">
        <v>2384.83</v>
      </c>
      <c r="E10634"/>
      <c r="F10634"/>
      <c r="G10634"/>
      <c r="H10634"/>
      <c r="I10634" s="489"/>
      <c r="J10634" s="1362"/>
      <c r="K10634" s="1362"/>
      <c r="L10634" s="1362"/>
    </row>
    <row r="10635" spans="1:12" x14ac:dyDescent="0.25">
      <c r="A10635">
        <v>102739</v>
      </c>
      <c r="B10635" t="s">
        <v>6560</v>
      </c>
      <c r="C10635" t="s">
        <v>138</v>
      </c>
      <c r="D10635" s="254">
        <v>3991.59</v>
      </c>
      <c r="E10635"/>
      <c r="F10635"/>
      <c r="G10635"/>
      <c r="H10635"/>
      <c r="I10635" s="489"/>
      <c r="J10635" s="1362"/>
      <c r="K10635" s="1362"/>
      <c r="L10635" s="1362"/>
    </row>
    <row r="10636" spans="1:12" x14ac:dyDescent="0.25">
      <c r="A10636">
        <v>102740</v>
      </c>
      <c r="B10636" t="s">
        <v>6561</v>
      </c>
      <c r="C10636" t="s">
        <v>138</v>
      </c>
      <c r="D10636" s="254">
        <v>5977.64</v>
      </c>
      <c r="E10636"/>
      <c r="F10636"/>
      <c r="G10636"/>
      <c r="H10636"/>
      <c r="I10636" s="489"/>
      <c r="J10636" s="1362"/>
      <c r="K10636" s="1362"/>
      <c r="L10636" s="1362"/>
    </row>
    <row r="10637" spans="1:12" x14ac:dyDescent="0.25">
      <c r="A10637">
        <v>102741</v>
      </c>
      <c r="B10637" t="s">
        <v>6562</v>
      </c>
      <c r="C10637" t="s">
        <v>138</v>
      </c>
      <c r="D10637" s="254">
        <v>8382.01</v>
      </c>
      <c r="E10637"/>
      <c r="F10637"/>
      <c r="G10637"/>
      <c r="H10637"/>
      <c r="I10637" s="489"/>
      <c r="J10637" s="1362"/>
      <c r="K10637" s="1362"/>
      <c r="L10637" s="1362"/>
    </row>
    <row r="10638" spans="1:12" x14ac:dyDescent="0.25">
      <c r="A10638">
        <v>102742</v>
      </c>
      <c r="B10638" t="s">
        <v>6563</v>
      </c>
      <c r="C10638" t="s">
        <v>138</v>
      </c>
      <c r="D10638" s="254">
        <v>14497.3</v>
      </c>
      <c r="E10638"/>
      <c r="F10638"/>
      <c r="G10638"/>
      <c r="H10638"/>
      <c r="I10638" s="489"/>
      <c r="J10638" s="1362"/>
      <c r="K10638" s="1362"/>
      <c r="L10638" s="1362"/>
    </row>
    <row r="10639" spans="1:12" x14ac:dyDescent="0.25">
      <c r="A10639">
        <v>102743</v>
      </c>
      <c r="B10639" t="s">
        <v>6564</v>
      </c>
      <c r="C10639" t="s">
        <v>138</v>
      </c>
      <c r="D10639" s="254">
        <v>4830.76</v>
      </c>
      <c r="E10639"/>
      <c r="F10639"/>
      <c r="G10639"/>
      <c r="H10639"/>
      <c r="I10639" s="489"/>
      <c r="J10639" s="1362"/>
      <c r="K10639" s="1362"/>
      <c r="L10639" s="1362"/>
    </row>
    <row r="10640" spans="1:12" x14ac:dyDescent="0.25">
      <c r="A10640">
        <v>102744</v>
      </c>
      <c r="B10640" t="s">
        <v>6565</v>
      </c>
      <c r="C10640" t="s">
        <v>138</v>
      </c>
      <c r="D10640" s="254">
        <v>7230.81</v>
      </c>
      <c r="E10640"/>
      <c r="F10640"/>
      <c r="G10640"/>
      <c r="H10640"/>
      <c r="I10640" s="489"/>
      <c r="J10640" s="1362"/>
      <c r="K10640" s="1362"/>
      <c r="L10640" s="1362"/>
    </row>
    <row r="10641" spans="1:12" x14ac:dyDescent="0.25">
      <c r="A10641">
        <v>102745</v>
      </c>
      <c r="B10641" t="s">
        <v>6566</v>
      </c>
      <c r="C10641" t="s">
        <v>138</v>
      </c>
      <c r="D10641" s="254">
        <v>10153.799999999999</v>
      </c>
      <c r="E10641"/>
      <c r="F10641"/>
      <c r="G10641"/>
      <c r="H10641"/>
      <c r="I10641" s="489"/>
      <c r="J10641" s="1362"/>
      <c r="K10641" s="1362"/>
      <c r="L10641" s="1362"/>
    </row>
    <row r="10642" spans="1:12" x14ac:dyDescent="0.25">
      <c r="A10642">
        <v>102746</v>
      </c>
      <c r="B10642" t="s">
        <v>6567</v>
      </c>
      <c r="C10642" t="s">
        <v>138</v>
      </c>
      <c r="D10642" s="254">
        <v>17581.919999999998</v>
      </c>
      <c r="E10642"/>
      <c r="F10642"/>
      <c r="G10642"/>
      <c r="H10642"/>
      <c r="I10642" s="489"/>
      <c r="J10642" s="1362"/>
      <c r="K10642" s="1362"/>
      <c r="L10642" s="1362"/>
    </row>
    <row r="10643" spans="1:12" x14ac:dyDescent="0.25">
      <c r="A10643">
        <v>102747</v>
      </c>
      <c r="B10643" t="s">
        <v>6568</v>
      </c>
      <c r="C10643" t="s">
        <v>138</v>
      </c>
      <c r="D10643" s="254">
        <v>8967.91</v>
      </c>
      <c r="E10643"/>
      <c r="F10643"/>
      <c r="G10643"/>
      <c r="H10643"/>
      <c r="I10643" s="489"/>
      <c r="J10643" s="1362"/>
      <c r="K10643" s="1362"/>
      <c r="L10643" s="1362"/>
    </row>
    <row r="10644" spans="1:12" x14ac:dyDescent="0.25">
      <c r="A10644">
        <v>102748</v>
      </c>
      <c r="B10644" t="s">
        <v>6569</v>
      </c>
      <c r="C10644" t="s">
        <v>138</v>
      </c>
      <c r="D10644" s="254">
        <v>12539.5</v>
      </c>
      <c r="E10644"/>
      <c r="F10644"/>
      <c r="G10644"/>
      <c r="H10644"/>
      <c r="I10644" s="489"/>
      <c r="J10644" s="1362"/>
      <c r="K10644" s="1362"/>
      <c r="L10644" s="1362"/>
    </row>
    <row r="10645" spans="1:12" x14ac:dyDescent="0.25">
      <c r="A10645">
        <v>102749</v>
      </c>
      <c r="B10645" t="s">
        <v>6570</v>
      </c>
      <c r="C10645" t="s">
        <v>138</v>
      </c>
      <c r="D10645" s="254">
        <v>21503.08</v>
      </c>
      <c r="E10645"/>
      <c r="F10645"/>
      <c r="G10645"/>
      <c r="H10645"/>
      <c r="I10645" s="489"/>
      <c r="J10645" s="1362"/>
      <c r="K10645" s="1362"/>
      <c r="L10645" s="1362"/>
    </row>
    <row r="10646" spans="1:12" x14ac:dyDescent="0.25">
      <c r="A10646">
        <v>102750</v>
      </c>
      <c r="B10646" t="s">
        <v>6571</v>
      </c>
      <c r="C10646" t="s">
        <v>138</v>
      </c>
      <c r="D10646" s="254">
        <v>2905.84</v>
      </c>
      <c r="E10646"/>
      <c r="F10646"/>
      <c r="G10646"/>
      <c r="H10646"/>
      <c r="I10646" s="489"/>
      <c r="J10646" s="1362"/>
      <c r="K10646" s="1362"/>
      <c r="L10646" s="1362"/>
    </row>
    <row r="10647" spans="1:12" x14ac:dyDescent="0.25">
      <c r="A10647">
        <v>102751</v>
      </c>
      <c r="B10647" t="s">
        <v>6572</v>
      </c>
      <c r="C10647" t="s">
        <v>138</v>
      </c>
      <c r="D10647" s="254">
        <v>5042.3999999999996</v>
      </c>
      <c r="E10647"/>
      <c r="F10647"/>
      <c r="G10647"/>
      <c r="H10647"/>
      <c r="I10647" s="489"/>
      <c r="J10647" s="1362"/>
      <c r="K10647" s="1362"/>
      <c r="L10647" s="1362"/>
    </row>
    <row r="10648" spans="1:12" x14ac:dyDescent="0.25">
      <c r="A10648">
        <v>102752</v>
      </c>
      <c r="B10648" t="s">
        <v>6573</v>
      </c>
      <c r="C10648" t="s">
        <v>138</v>
      </c>
      <c r="D10648" s="254">
        <v>8025.7</v>
      </c>
      <c r="E10648"/>
      <c r="F10648"/>
      <c r="G10648"/>
      <c r="H10648"/>
      <c r="I10648" s="489"/>
      <c r="J10648" s="1362"/>
      <c r="K10648" s="1362"/>
      <c r="L10648" s="1362"/>
    </row>
    <row r="10649" spans="1:12" x14ac:dyDescent="0.25">
      <c r="A10649">
        <v>102753</v>
      </c>
      <c r="B10649" t="s">
        <v>6574</v>
      </c>
      <c r="C10649" t="s">
        <v>138</v>
      </c>
      <c r="D10649" s="254">
        <v>11871.4</v>
      </c>
      <c r="E10649"/>
      <c r="F10649"/>
      <c r="G10649"/>
      <c r="H10649"/>
      <c r="I10649" s="489"/>
      <c r="J10649" s="1362"/>
      <c r="K10649" s="1362"/>
      <c r="L10649" s="1362"/>
    </row>
    <row r="10650" spans="1:12" x14ac:dyDescent="0.25">
      <c r="A10650">
        <v>102754</v>
      </c>
      <c r="B10650" t="s">
        <v>6575</v>
      </c>
      <c r="C10650" t="s">
        <v>138</v>
      </c>
      <c r="D10650" s="254">
        <v>22533.13</v>
      </c>
      <c r="E10650"/>
      <c r="F10650"/>
      <c r="G10650"/>
      <c r="H10650"/>
      <c r="I10650" s="489"/>
      <c r="J10650" s="1362"/>
      <c r="K10650" s="1362"/>
      <c r="L10650" s="1362"/>
    </row>
    <row r="10651" spans="1:12" x14ac:dyDescent="0.25">
      <c r="A10651">
        <v>102755</v>
      </c>
      <c r="B10651" t="s">
        <v>6576</v>
      </c>
      <c r="C10651" t="s">
        <v>138</v>
      </c>
      <c r="D10651" s="254">
        <v>11199.6</v>
      </c>
      <c r="E10651"/>
      <c r="F10651"/>
      <c r="G10651"/>
      <c r="H10651"/>
      <c r="I10651" s="489"/>
      <c r="J10651" s="1362"/>
      <c r="K10651" s="1362"/>
      <c r="L10651" s="1362"/>
    </row>
    <row r="10652" spans="1:12" x14ac:dyDescent="0.25">
      <c r="A10652">
        <v>102756</v>
      </c>
      <c r="B10652" t="s">
        <v>6577</v>
      </c>
      <c r="C10652" t="s">
        <v>138</v>
      </c>
      <c r="D10652" s="254">
        <v>16620.12</v>
      </c>
      <c r="E10652"/>
      <c r="F10652"/>
      <c r="G10652"/>
      <c r="H10652"/>
      <c r="I10652" s="489"/>
      <c r="J10652" s="1362"/>
      <c r="K10652" s="1362"/>
      <c r="L10652" s="1362"/>
    </row>
    <row r="10653" spans="1:12" x14ac:dyDescent="0.25">
      <c r="A10653">
        <v>102757</v>
      </c>
      <c r="B10653" t="s">
        <v>6578</v>
      </c>
      <c r="C10653" t="s">
        <v>138</v>
      </c>
      <c r="D10653" s="254">
        <v>30871.18</v>
      </c>
      <c r="E10653"/>
      <c r="F10653"/>
      <c r="G10653"/>
      <c r="H10653"/>
      <c r="I10653" s="489"/>
      <c r="J10653" s="1362"/>
      <c r="K10653" s="1362"/>
      <c r="L10653" s="1362"/>
    </row>
    <row r="10654" spans="1:12" x14ac:dyDescent="0.25">
      <c r="A10654">
        <v>102758</v>
      </c>
      <c r="B10654" t="s">
        <v>6579</v>
      </c>
      <c r="C10654" t="s">
        <v>138</v>
      </c>
      <c r="D10654" s="254">
        <v>14388.74</v>
      </c>
      <c r="E10654"/>
      <c r="F10654"/>
      <c r="G10654"/>
      <c r="H10654"/>
      <c r="I10654" s="489"/>
      <c r="J10654" s="1362"/>
      <c r="K10654" s="1362"/>
      <c r="L10654" s="1362"/>
    </row>
    <row r="10655" spans="1:12" x14ac:dyDescent="0.25">
      <c r="A10655">
        <v>102759</v>
      </c>
      <c r="B10655" t="s">
        <v>6580</v>
      </c>
      <c r="C10655" t="s">
        <v>138</v>
      </c>
      <c r="D10655" s="254">
        <v>21391.98</v>
      </c>
      <c r="E10655"/>
      <c r="F10655"/>
      <c r="G10655"/>
      <c r="H10655"/>
      <c r="I10655" s="489"/>
      <c r="J10655" s="1362"/>
      <c r="K10655" s="1362"/>
      <c r="L10655" s="1362"/>
    </row>
    <row r="10656" spans="1:12" x14ac:dyDescent="0.25">
      <c r="A10656">
        <v>102760</v>
      </c>
      <c r="B10656" t="s">
        <v>6581</v>
      </c>
      <c r="C10656" t="s">
        <v>138</v>
      </c>
      <c r="D10656" s="254">
        <v>39369.919999999998</v>
      </c>
      <c r="E10656"/>
      <c r="F10656"/>
      <c r="G10656"/>
      <c r="H10656"/>
      <c r="I10656" s="489"/>
      <c r="J10656" s="1362"/>
      <c r="K10656" s="1362"/>
      <c r="L10656" s="1362"/>
    </row>
    <row r="10657" spans="1:12" x14ac:dyDescent="0.25">
      <c r="A10657">
        <v>102761</v>
      </c>
      <c r="B10657" t="s">
        <v>6582</v>
      </c>
      <c r="C10657" t="s">
        <v>138</v>
      </c>
      <c r="D10657" s="254">
        <v>13897.63</v>
      </c>
      <c r="E10657"/>
      <c r="F10657"/>
      <c r="G10657"/>
      <c r="H10657"/>
      <c r="I10657" s="489"/>
      <c r="J10657" s="1362"/>
      <c r="K10657" s="1362"/>
      <c r="L10657" s="1362"/>
    </row>
    <row r="10658" spans="1:12" x14ac:dyDescent="0.25">
      <c r="A10658">
        <v>102762</v>
      </c>
      <c r="B10658" t="s">
        <v>6583</v>
      </c>
      <c r="C10658" t="s">
        <v>138</v>
      </c>
      <c r="D10658" s="254">
        <v>21420.9</v>
      </c>
      <c r="E10658"/>
      <c r="F10658"/>
      <c r="G10658"/>
      <c r="H10658"/>
      <c r="I10658" s="489"/>
      <c r="J10658" s="1362"/>
      <c r="K10658" s="1362"/>
      <c r="L10658" s="1362"/>
    </row>
    <row r="10659" spans="1:12" x14ac:dyDescent="0.25">
      <c r="A10659">
        <v>102763</v>
      </c>
      <c r="B10659" t="s">
        <v>6584</v>
      </c>
      <c r="C10659" t="s">
        <v>138</v>
      </c>
      <c r="D10659" s="254">
        <v>29766.89</v>
      </c>
      <c r="E10659"/>
      <c r="F10659"/>
      <c r="G10659"/>
      <c r="H10659"/>
      <c r="I10659" s="489"/>
      <c r="J10659" s="1362"/>
      <c r="K10659" s="1362"/>
      <c r="L10659" s="1362"/>
    </row>
    <row r="10660" spans="1:12" x14ac:dyDescent="0.25">
      <c r="A10660">
        <v>102764</v>
      </c>
      <c r="B10660" t="s">
        <v>6585</v>
      </c>
      <c r="C10660" t="s">
        <v>138</v>
      </c>
      <c r="D10660" s="254">
        <v>41946.5</v>
      </c>
      <c r="E10660"/>
      <c r="F10660"/>
      <c r="G10660"/>
      <c r="H10660"/>
      <c r="I10660" s="489"/>
      <c r="J10660" s="1362"/>
      <c r="K10660" s="1362"/>
      <c r="L10660" s="1362"/>
    </row>
    <row r="10661" spans="1:12" x14ac:dyDescent="0.25">
      <c r="A10661">
        <v>102765</v>
      </c>
      <c r="B10661" t="s">
        <v>6586</v>
      </c>
      <c r="C10661" t="s">
        <v>138</v>
      </c>
      <c r="D10661" s="254">
        <v>17277.16</v>
      </c>
      <c r="E10661"/>
      <c r="F10661"/>
      <c r="G10661"/>
      <c r="H10661"/>
      <c r="I10661" s="489"/>
      <c r="J10661" s="1362"/>
      <c r="K10661" s="1362"/>
      <c r="L10661" s="1362"/>
    </row>
    <row r="10662" spans="1:12" x14ac:dyDescent="0.25">
      <c r="A10662">
        <v>102766</v>
      </c>
      <c r="B10662" t="s">
        <v>6587</v>
      </c>
      <c r="C10662" t="s">
        <v>138</v>
      </c>
      <c r="D10662" s="254">
        <v>25955.360000000001</v>
      </c>
      <c r="E10662"/>
      <c r="F10662"/>
      <c r="G10662"/>
      <c r="H10662"/>
      <c r="I10662" s="489"/>
      <c r="J10662" s="1362"/>
      <c r="K10662" s="1362"/>
      <c r="L10662" s="1362"/>
    </row>
    <row r="10663" spans="1:12" x14ac:dyDescent="0.25">
      <c r="A10663">
        <v>102767</v>
      </c>
      <c r="B10663" t="s">
        <v>6588</v>
      </c>
      <c r="C10663" t="s">
        <v>138</v>
      </c>
      <c r="D10663" s="254">
        <v>36329.620000000003</v>
      </c>
      <c r="E10663"/>
      <c r="F10663"/>
      <c r="G10663"/>
      <c r="H10663"/>
      <c r="I10663" s="489"/>
      <c r="J10663" s="1362"/>
      <c r="K10663" s="1362"/>
      <c r="L10663" s="1362"/>
    </row>
    <row r="10664" spans="1:12" x14ac:dyDescent="0.25">
      <c r="A10664">
        <v>102768</v>
      </c>
      <c r="B10664" t="s">
        <v>6589</v>
      </c>
      <c r="C10664" t="s">
        <v>138</v>
      </c>
      <c r="D10664" s="254">
        <v>50754.47</v>
      </c>
      <c r="E10664"/>
      <c r="F10664"/>
      <c r="G10664"/>
      <c r="H10664"/>
      <c r="I10664" s="489"/>
      <c r="J10664" s="1362"/>
      <c r="K10664" s="1362"/>
      <c r="L10664" s="1362"/>
    </row>
    <row r="10665" spans="1:12" x14ac:dyDescent="0.25">
      <c r="A10665">
        <v>102769</v>
      </c>
      <c r="B10665" t="s">
        <v>6590</v>
      </c>
      <c r="C10665" t="s">
        <v>138</v>
      </c>
      <c r="D10665" s="254">
        <v>19937.72</v>
      </c>
      <c r="E10665"/>
      <c r="F10665"/>
      <c r="G10665"/>
      <c r="H10665"/>
      <c r="I10665" s="489"/>
      <c r="J10665" s="1362"/>
      <c r="K10665" s="1362"/>
      <c r="L10665" s="1362"/>
    </row>
    <row r="10666" spans="1:12" x14ac:dyDescent="0.25">
      <c r="A10666">
        <v>102770</v>
      </c>
      <c r="B10666" t="s">
        <v>6591</v>
      </c>
      <c r="C10666" t="s">
        <v>138</v>
      </c>
      <c r="D10666" s="254">
        <v>30550.41</v>
      </c>
      <c r="E10666"/>
      <c r="F10666"/>
      <c r="G10666"/>
      <c r="H10666"/>
      <c r="I10666" s="489"/>
      <c r="J10666" s="1362"/>
      <c r="K10666" s="1362"/>
      <c r="L10666" s="1362"/>
    </row>
    <row r="10667" spans="1:12" x14ac:dyDescent="0.25">
      <c r="A10667">
        <v>102771</v>
      </c>
      <c r="B10667" t="s">
        <v>6592</v>
      </c>
      <c r="C10667" t="s">
        <v>138</v>
      </c>
      <c r="D10667" s="254">
        <v>42738.42</v>
      </c>
      <c r="E10667"/>
      <c r="F10667"/>
      <c r="G10667"/>
      <c r="H10667"/>
      <c r="I10667" s="489"/>
      <c r="J10667" s="1362"/>
      <c r="K10667" s="1362"/>
      <c r="L10667" s="1362"/>
    </row>
    <row r="10668" spans="1:12" x14ac:dyDescent="0.25">
      <c r="A10668">
        <v>102772</v>
      </c>
      <c r="B10668" t="s">
        <v>6593</v>
      </c>
      <c r="C10668" t="s">
        <v>138</v>
      </c>
      <c r="D10668" s="254">
        <v>60173.24</v>
      </c>
      <c r="E10668"/>
      <c r="F10668"/>
      <c r="G10668"/>
      <c r="H10668"/>
      <c r="I10668" s="489"/>
      <c r="J10668" s="1362"/>
      <c r="K10668" s="1362"/>
      <c r="L10668" s="1362"/>
    </row>
    <row r="10669" spans="1:12" x14ac:dyDescent="0.25">
      <c r="A10669">
        <v>102773</v>
      </c>
      <c r="B10669" t="s">
        <v>6594</v>
      </c>
      <c r="C10669" t="s">
        <v>138</v>
      </c>
      <c r="D10669" s="254">
        <v>8959.68</v>
      </c>
      <c r="E10669"/>
      <c r="F10669"/>
      <c r="G10669"/>
      <c r="H10669"/>
      <c r="I10669" s="489"/>
      <c r="J10669" s="1362"/>
      <c r="K10669" s="1362"/>
      <c r="L10669" s="1362"/>
    </row>
    <row r="10670" spans="1:12" x14ac:dyDescent="0.25">
      <c r="A10670">
        <v>102774</v>
      </c>
      <c r="B10670" t="s">
        <v>6595</v>
      </c>
      <c r="C10670" t="s">
        <v>138</v>
      </c>
      <c r="D10670" s="254">
        <v>8959.68</v>
      </c>
      <c r="E10670"/>
      <c r="F10670"/>
      <c r="G10670"/>
      <c r="H10670"/>
      <c r="I10670" s="489"/>
      <c r="J10670" s="1362"/>
      <c r="K10670" s="1362"/>
      <c r="L10670" s="1362"/>
    </row>
    <row r="10671" spans="1:12" x14ac:dyDescent="0.25">
      <c r="A10671">
        <v>102775</v>
      </c>
      <c r="B10671" t="s">
        <v>6596</v>
      </c>
      <c r="C10671" t="s">
        <v>138</v>
      </c>
      <c r="D10671" s="254">
        <v>13377.84</v>
      </c>
      <c r="E10671"/>
      <c r="F10671"/>
      <c r="G10671"/>
      <c r="H10671"/>
      <c r="I10671" s="489"/>
      <c r="J10671" s="1362"/>
      <c r="K10671" s="1362"/>
      <c r="L10671" s="1362"/>
    </row>
    <row r="10672" spans="1:12" x14ac:dyDescent="0.25">
      <c r="A10672">
        <v>102776</v>
      </c>
      <c r="B10672" t="s">
        <v>6597</v>
      </c>
      <c r="C10672" t="s">
        <v>138</v>
      </c>
      <c r="D10672" s="254">
        <v>13377.84</v>
      </c>
      <c r="E10672"/>
      <c r="F10672"/>
      <c r="G10672"/>
      <c r="H10672"/>
      <c r="I10672" s="489"/>
      <c r="J10672" s="1362"/>
      <c r="K10672" s="1362"/>
      <c r="L10672" s="1362"/>
    </row>
    <row r="10673" spans="1:12" x14ac:dyDescent="0.25">
      <c r="A10673">
        <v>102777</v>
      </c>
      <c r="B10673" t="s">
        <v>6598</v>
      </c>
      <c r="C10673" t="s">
        <v>138</v>
      </c>
      <c r="D10673" s="254">
        <v>20250.66</v>
      </c>
      <c r="E10673"/>
      <c r="F10673"/>
      <c r="G10673"/>
      <c r="H10673"/>
      <c r="I10673" s="489"/>
      <c r="J10673" s="1362"/>
      <c r="K10673" s="1362"/>
      <c r="L10673" s="1362"/>
    </row>
    <row r="10674" spans="1:12" x14ac:dyDescent="0.25">
      <c r="A10674">
        <v>102778</v>
      </c>
      <c r="B10674" t="s">
        <v>6599</v>
      </c>
      <c r="C10674" t="s">
        <v>138</v>
      </c>
      <c r="D10674" s="254">
        <v>30672.57</v>
      </c>
      <c r="E10674"/>
      <c r="F10674"/>
      <c r="G10674"/>
      <c r="H10674"/>
      <c r="I10674" s="489"/>
      <c r="J10674" s="1362"/>
      <c r="K10674" s="1362"/>
      <c r="L10674" s="1362"/>
    </row>
    <row r="10675" spans="1:12" x14ac:dyDescent="0.25">
      <c r="A10675">
        <v>102779</v>
      </c>
      <c r="B10675" t="s">
        <v>6600</v>
      </c>
      <c r="C10675" t="s">
        <v>138</v>
      </c>
      <c r="D10675" s="254">
        <v>8959.68</v>
      </c>
      <c r="E10675"/>
      <c r="F10675"/>
      <c r="G10675"/>
      <c r="H10675"/>
      <c r="I10675" s="489"/>
      <c r="J10675" s="1362"/>
      <c r="K10675" s="1362"/>
      <c r="L10675" s="1362"/>
    </row>
    <row r="10676" spans="1:12" x14ac:dyDescent="0.25">
      <c r="A10676">
        <v>102780</v>
      </c>
      <c r="B10676" t="s">
        <v>6601</v>
      </c>
      <c r="C10676" t="s">
        <v>138</v>
      </c>
      <c r="D10676" s="254">
        <v>10309.799999999999</v>
      </c>
      <c r="E10676"/>
      <c r="F10676"/>
      <c r="G10676"/>
      <c r="H10676"/>
      <c r="I10676" s="489"/>
      <c r="J10676" s="1362"/>
      <c r="K10676" s="1362"/>
      <c r="L10676" s="1362"/>
    </row>
    <row r="10677" spans="1:12" x14ac:dyDescent="0.25">
      <c r="A10677">
        <v>102781</v>
      </c>
      <c r="B10677" t="s">
        <v>6602</v>
      </c>
      <c r="C10677" t="s">
        <v>138</v>
      </c>
      <c r="D10677" s="254">
        <v>15280.23</v>
      </c>
      <c r="E10677"/>
      <c r="F10677"/>
      <c r="G10677"/>
      <c r="H10677"/>
      <c r="I10677" s="489"/>
      <c r="J10677" s="1362"/>
      <c r="K10677" s="1362"/>
      <c r="L10677" s="1362"/>
    </row>
    <row r="10678" spans="1:12" x14ac:dyDescent="0.25">
      <c r="A10678">
        <v>102782</v>
      </c>
      <c r="B10678" t="s">
        <v>6603</v>
      </c>
      <c r="C10678" t="s">
        <v>138</v>
      </c>
      <c r="D10678" s="254">
        <v>17082.740000000002</v>
      </c>
      <c r="E10678"/>
      <c r="F10678"/>
      <c r="G10678"/>
      <c r="H10678"/>
      <c r="I10678" s="489"/>
      <c r="J10678" s="1362"/>
      <c r="K10678" s="1362"/>
      <c r="L10678" s="1362"/>
    </row>
    <row r="10679" spans="1:12" x14ac:dyDescent="0.25">
      <c r="A10679">
        <v>102783</v>
      </c>
      <c r="B10679" t="s">
        <v>6604</v>
      </c>
      <c r="C10679" t="s">
        <v>138</v>
      </c>
      <c r="D10679" s="254">
        <v>22605.439999999999</v>
      </c>
      <c r="E10679"/>
      <c r="F10679"/>
      <c r="G10679"/>
      <c r="H10679"/>
      <c r="I10679" s="489"/>
      <c r="J10679" s="1362"/>
      <c r="K10679" s="1362"/>
      <c r="L10679" s="1362"/>
    </row>
    <row r="10680" spans="1:12" x14ac:dyDescent="0.25">
      <c r="A10680">
        <v>102784</v>
      </c>
      <c r="B10680" t="s">
        <v>6605</v>
      </c>
      <c r="C10680" t="s">
        <v>138</v>
      </c>
      <c r="D10680" s="254">
        <v>35883.519999999997</v>
      </c>
      <c r="E10680"/>
      <c r="F10680"/>
      <c r="G10680"/>
      <c r="H10680"/>
      <c r="I10680" s="489"/>
      <c r="J10680" s="1362"/>
      <c r="K10680" s="1362"/>
      <c r="L10680" s="1362"/>
    </row>
    <row r="10681" spans="1:12" x14ac:dyDescent="0.25">
      <c r="A10681">
        <v>102785</v>
      </c>
      <c r="B10681" t="s">
        <v>6606</v>
      </c>
      <c r="C10681" t="s">
        <v>138</v>
      </c>
      <c r="D10681" s="254">
        <v>10309.799999999999</v>
      </c>
      <c r="E10681"/>
      <c r="F10681"/>
      <c r="G10681"/>
      <c r="H10681"/>
      <c r="I10681" s="489"/>
      <c r="J10681" s="1362"/>
      <c r="K10681" s="1362"/>
      <c r="L10681" s="1362"/>
    </row>
    <row r="10682" spans="1:12" x14ac:dyDescent="0.25">
      <c r="A10682">
        <v>102786</v>
      </c>
      <c r="B10682" t="s">
        <v>6607</v>
      </c>
      <c r="C10682" t="s">
        <v>138</v>
      </c>
      <c r="D10682" s="254">
        <v>11560.04</v>
      </c>
      <c r="E10682"/>
      <c r="F10682"/>
      <c r="G10682"/>
      <c r="H10682"/>
      <c r="I10682" s="489"/>
      <c r="J10682" s="1362"/>
      <c r="K10682" s="1362"/>
      <c r="L10682" s="1362"/>
    </row>
    <row r="10683" spans="1:12" x14ac:dyDescent="0.25">
      <c r="A10683">
        <v>102787</v>
      </c>
      <c r="B10683" t="s">
        <v>6608</v>
      </c>
      <c r="C10683" t="s">
        <v>138</v>
      </c>
      <c r="D10683" s="254">
        <v>17082.740000000002</v>
      </c>
      <c r="E10683"/>
      <c r="F10683"/>
      <c r="G10683"/>
      <c r="H10683"/>
      <c r="I10683" s="489"/>
      <c r="J10683" s="1362"/>
      <c r="K10683" s="1362"/>
      <c r="L10683" s="1362"/>
    </row>
    <row r="10684" spans="1:12" x14ac:dyDescent="0.25">
      <c r="A10684">
        <v>102788</v>
      </c>
      <c r="B10684" t="s">
        <v>6609</v>
      </c>
      <c r="C10684" t="s">
        <v>138</v>
      </c>
      <c r="D10684" s="254">
        <v>18866.52</v>
      </c>
      <c r="E10684"/>
      <c r="F10684"/>
      <c r="G10684"/>
      <c r="H10684"/>
      <c r="I10684" s="489"/>
      <c r="J10684" s="1362"/>
      <c r="K10684" s="1362"/>
      <c r="L10684" s="1362"/>
    </row>
    <row r="10685" spans="1:12" x14ac:dyDescent="0.25">
      <c r="A10685">
        <v>102789</v>
      </c>
      <c r="B10685" t="s">
        <v>6610</v>
      </c>
      <c r="C10685" t="s">
        <v>138</v>
      </c>
      <c r="D10685" s="254">
        <v>24847.85</v>
      </c>
      <c r="E10685"/>
      <c r="F10685"/>
      <c r="G10685"/>
      <c r="H10685"/>
      <c r="I10685" s="489"/>
      <c r="J10685" s="1362"/>
      <c r="K10685" s="1362"/>
      <c r="L10685" s="1362"/>
    </row>
    <row r="10686" spans="1:12" x14ac:dyDescent="0.25">
      <c r="A10686">
        <v>102790</v>
      </c>
      <c r="B10686" t="s">
        <v>6611</v>
      </c>
      <c r="C10686" t="s">
        <v>138</v>
      </c>
      <c r="D10686" s="254">
        <v>41406.6</v>
      </c>
      <c r="E10686"/>
      <c r="F10686"/>
      <c r="G10686"/>
      <c r="H10686"/>
      <c r="I10686" s="489"/>
      <c r="J10686" s="1362"/>
      <c r="K10686" s="1362"/>
      <c r="L10686" s="1362"/>
    </row>
    <row r="10687" spans="1:12" x14ac:dyDescent="0.25">
      <c r="A10687">
        <v>102791</v>
      </c>
      <c r="B10687" t="s">
        <v>6612</v>
      </c>
      <c r="C10687" t="s">
        <v>138</v>
      </c>
      <c r="D10687" s="254">
        <v>32888.019999999997</v>
      </c>
      <c r="E10687"/>
      <c r="F10687"/>
      <c r="G10687"/>
      <c r="H10687"/>
      <c r="I10687" s="489"/>
      <c r="J10687" s="1362"/>
      <c r="K10687" s="1362"/>
      <c r="L10687" s="1362"/>
    </row>
    <row r="10688" spans="1:12" x14ac:dyDescent="0.25">
      <c r="A10688">
        <v>102792</v>
      </c>
      <c r="B10688" t="s">
        <v>6613</v>
      </c>
      <c r="C10688" t="s">
        <v>138</v>
      </c>
      <c r="D10688" s="254">
        <v>53684.58</v>
      </c>
      <c r="E10688"/>
      <c r="F10688"/>
      <c r="G10688"/>
      <c r="H10688"/>
      <c r="I10688" s="489"/>
      <c r="J10688" s="1362"/>
      <c r="K10688" s="1362"/>
      <c r="L10688" s="1362"/>
    </row>
    <row r="10689" spans="1:12" x14ac:dyDescent="0.25">
      <c r="A10689">
        <v>102793</v>
      </c>
      <c r="B10689" t="s">
        <v>6614</v>
      </c>
      <c r="C10689" t="s">
        <v>138</v>
      </c>
      <c r="D10689" s="254">
        <v>72575.94</v>
      </c>
      <c r="E10689"/>
      <c r="F10689"/>
      <c r="G10689"/>
      <c r="H10689"/>
      <c r="I10689" s="489"/>
      <c r="J10689" s="1362"/>
      <c r="K10689" s="1362"/>
      <c r="L10689" s="1362"/>
    </row>
    <row r="10690" spans="1:12" x14ac:dyDescent="0.25">
      <c r="A10690">
        <v>102794</v>
      </c>
      <c r="B10690" t="s">
        <v>6615</v>
      </c>
      <c r="C10690" t="s">
        <v>138</v>
      </c>
      <c r="D10690" s="254">
        <v>104117.88</v>
      </c>
      <c r="E10690"/>
      <c r="F10690"/>
      <c r="G10690"/>
      <c r="H10690"/>
      <c r="I10690" s="489"/>
      <c r="J10690" s="1362"/>
      <c r="K10690" s="1362"/>
      <c r="L10690" s="1362"/>
    </row>
    <row r="10691" spans="1:12" x14ac:dyDescent="0.25">
      <c r="A10691">
        <v>102795</v>
      </c>
      <c r="B10691" t="s">
        <v>6616</v>
      </c>
      <c r="C10691" t="s">
        <v>138</v>
      </c>
      <c r="D10691" s="254">
        <v>35084.99</v>
      </c>
      <c r="E10691"/>
      <c r="F10691"/>
      <c r="G10691"/>
      <c r="H10691"/>
      <c r="I10691" s="489"/>
      <c r="J10691" s="1362"/>
      <c r="K10691" s="1362"/>
      <c r="L10691" s="1362"/>
    </row>
    <row r="10692" spans="1:12" x14ac:dyDescent="0.25">
      <c r="A10692">
        <v>102796</v>
      </c>
      <c r="B10692" t="s">
        <v>6617</v>
      </c>
      <c r="C10692" t="s">
        <v>138</v>
      </c>
      <c r="D10692" s="254">
        <v>56813.55</v>
      </c>
      <c r="E10692"/>
      <c r="F10692"/>
      <c r="G10692"/>
      <c r="H10692"/>
      <c r="I10692" s="489"/>
      <c r="J10692" s="1362"/>
      <c r="K10692" s="1362"/>
      <c r="L10692" s="1362"/>
    </row>
    <row r="10693" spans="1:12" x14ac:dyDescent="0.25">
      <c r="A10693">
        <v>102797</v>
      </c>
      <c r="B10693" t="s">
        <v>6618</v>
      </c>
      <c r="C10693" t="s">
        <v>138</v>
      </c>
      <c r="D10693" s="254">
        <v>80677.98</v>
      </c>
      <c r="E10693"/>
      <c r="F10693"/>
      <c r="G10693"/>
      <c r="H10693"/>
      <c r="I10693" s="489"/>
      <c r="J10693" s="1362"/>
      <c r="K10693" s="1362"/>
      <c r="L10693" s="1362"/>
    </row>
    <row r="10694" spans="1:12" x14ac:dyDescent="0.25">
      <c r="A10694">
        <v>102798</v>
      </c>
      <c r="B10694" t="s">
        <v>6619</v>
      </c>
      <c r="C10694" t="s">
        <v>138</v>
      </c>
      <c r="D10694" s="254">
        <v>98847.89</v>
      </c>
      <c r="E10694"/>
      <c r="F10694"/>
      <c r="G10694"/>
      <c r="H10694"/>
      <c r="I10694" s="489"/>
      <c r="J10694" s="1362"/>
      <c r="K10694" s="1362"/>
      <c r="L10694" s="1362"/>
    </row>
    <row r="10695" spans="1:12" x14ac:dyDescent="0.25">
      <c r="A10695">
        <v>102799</v>
      </c>
      <c r="B10695" t="s">
        <v>6620</v>
      </c>
      <c r="C10695" t="s">
        <v>138</v>
      </c>
      <c r="D10695" s="254">
        <v>35821.35</v>
      </c>
      <c r="E10695"/>
      <c r="F10695"/>
      <c r="G10695"/>
      <c r="H10695"/>
      <c r="I10695" s="489"/>
      <c r="J10695" s="1362"/>
      <c r="K10695" s="1362"/>
      <c r="L10695" s="1362"/>
    </row>
    <row r="10696" spans="1:12" x14ac:dyDescent="0.25">
      <c r="A10696">
        <v>102800</v>
      </c>
      <c r="B10696" t="s">
        <v>6621</v>
      </c>
      <c r="C10696" t="s">
        <v>138</v>
      </c>
      <c r="D10696" s="254">
        <v>62348.18</v>
      </c>
      <c r="E10696"/>
      <c r="F10696"/>
      <c r="G10696"/>
      <c r="H10696"/>
      <c r="I10696" s="489"/>
      <c r="J10696" s="1362"/>
      <c r="K10696" s="1362"/>
      <c r="L10696" s="1362"/>
    </row>
    <row r="10697" spans="1:12" x14ac:dyDescent="0.25">
      <c r="A10697">
        <v>102801</v>
      </c>
      <c r="B10697" t="s">
        <v>6622</v>
      </c>
      <c r="C10697" t="s">
        <v>138</v>
      </c>
      <c r="D10697" s="254">
        <v>87487.82</v>
      </c>
      <c r="E10697"/>
      <c r="F10697"/>
      <c r="G10697"/>
      <c r="H10697"/>
      <c r="I10697" s="489"/>
      <c r="J10697" s="1362"/>
      <c r="K10697" s="1362"/>
      <c r="L10697" s="1362"/>
    </row>
    <row r="10698" spans="1:12" x14ac:dyDescent="0.25">
      <c r="A10698">
        <v>102802</v>
      </c>
      <c r="B10698" t="s">
        <v>6623</v>
      </c>
      <c r="C10698" t="s">
        <v>138</v>
      </c>
      <c r="D10698" s="254">
        <v>104971.69</v>
      </c>
      <c r="E10698"/>
      <c r="F10698"/>
      <c r="G10698"/>
      <c r="H10698"/>
      <c r="I10698" s="489"/>
      <c r="J10698" s="1362"/>
      <c r="K10698" s="1362"/>
      <c r="L10698" s="1362"/>
    </row>
    <row r="10699" spans="1:12" x14ac:dyDescent="0.25">
      <c r="A10699">
        <v>101570</v>
      </c>
      <c r="B10699" t="s">
        <v>4632</v>
      </c>
      <c r="C10699" t="s">
        <v>297</v>
      </c>
      <c r="D10699" s="254">
        <v>26.55</v>
      </c>
      <c r="E10699"/>
      <c r="F10699"/>
      <c r="G10699"/>
      <c r="H10699"/>
      <c r="I10699" s="489"/>
      <c r="J10699" s="1362"/>
      <c r="K10699" s="1362"/>
      <c r="L10699" s="1362"/>
    </row>
    <row r="10700" spans="1:12" x14ac:dyDescent="0.25">
      <c r="A10700">
        <v>101571</v>
      </c>
      <c r="B10700" t="s">
        <v>4633</v>
      </c>
      <c r="C10700" t="s">
        <v>297</v>
      </c>
      <c r="D10700" s="254">
        <v>35.380000000000003</v>
      </c>
      <c r="E10700"/>
      <c r="F10700"/>
      <c r="G10700"/>
      <c r="H10700"/>
      <c r="I10700" s="489"/>
      <c r="J10700" s="1362"/>
      <c r="K10700" s="1362"/>
      <c r="L10700" s="1362"/>
    </row>
    <row r="10701" spans="1:12" x14ac:dyDescent="0.25">
      <c r="A10701">
        <v>101572</v>
      </c>
      <c r="B10701" t="s">
        <v>4634</v>
      </c>
      <c r="C10701" t="s">
        <v>297</v>
      </c>
      <c r="D10701" s="254">
        <v>21.03</v>
      </c>
      <c r="E10701"/>
      <c r="F10701"/>
      <c r="G10701"/>
      <c r="H10701"/>
      <c r="I10701" s="489"/>
      <c r="J10701" s="1362"/>
      <c r="K10701" s="1362"/>
      <c r="L10701" s="1362"/>
    </row>
    <row r="10702" spans="1:12" x14ac:dyDescent="0.25">
      <c r="A10702">
        <v>101573</v>
      </c>
      <c r="B10702" t="s">
        <v>4635</v>
      </c>
      <c r="C10702" t="s">
        <v>297</v>
      </c>
      <c r="D10702" s="254">
        <v>29.85</v>
      </c>
      <c r="E10702"/>
      <c r="F10702"/>
      <c r="G10702"/>
      <c r="H10702"/>
      <c r="I10702" s="489"/>
      <c r="J10702" s="1362"/>
      <c r="K10702" s="1362"/>
      <c r="L10702" s="1362"/>
    </row>
    <row r="10703" spans="1:12" x14ac:dyDescent="0.25">
      <c r="A10703">
        <v>101574</v>
      </c>
      <c r="B10703" t="s">
        <v>4636</v>
      </c>
      <c r="C10703" t="s">
        <v>297</v>
      </c>
      <c r="D10703" s="254">
        <v>16.420000000000002</v>
      </c>
      <c r="E10703"/>
      <c r="F10703"/>
      <c r="G10703"/>
      <c r="H10703"/>
      <c r="I10703" s="489"/>
      <c r="J10703" s="1362"/>
      <c r="K10703" s="1362"/>
      <c r="L10703" s="1362"/>
    </row>
    <row r="10704" spans="1:12" x14ac:dyDescent="0.25">
      <c r="A10704">
        <v>101575</v>
      </c>
      <c r="B10704" t="s">
        <v>4637</v>
      </c>
      <c r="C10704" t="s">
        <v>297</v>
      </c>
      <c r="D10704" s="254">
        <v>25.42</v>
      </c>
      <c r="E10704"/>
      <c r="F10704"/>
      <c r="G10704"/>
      <c r="H10704"/>
      <c r="I10704" s="489"/>
      <c r="J10704" s="1362"/>
      <c r="K10704" s="1362"/>
      <c r="L10704" s="1362"/>
    </row>
    <row r="10705" spans="1:12" x14ac:dyDescent="0.25">
      <c r="A10705">
        <v>101576</v>
      </c>
      <c r="B10705" t="s">
        <v>4638</v>
      </c>
      <c r="C10705" t="s">
        <v>297</v>
      </c>
      <c r="D10705" s="254">
        <v>50.06</v>
      </c>
      <c r="E10705"/>
      <c r="F10705"/>
      <c r="G10705"/>
      <c r="H10705"/>
      <c r="I10705" s="489"/>
      <c r="J10705" s="1362"/>
      <c r="K10705" s="1362"/>
      <c r="L10705" s="1362"/>
    </row>
    <row r="10706" spans="1:12" x14ac:dyDescent="0.25">
      <c r="A10706">
        <v>101577</v>
      </c>
      <c r="B10706" t="s">
        <v>4639</v>
      </c>
      <c r="C10706" t="s">
        <v>297</v>
      </c>
      <c r="D10706" s="254">
        <v>61.37</v>
      </c>
      <c r="E10706"/>
      <c r="F10706"/>
      <c r="G10706"/>
      <c r="H10706"/>
      <c r="I10706" s="489"/>
      <c r="J10706" s="1362"/>
      <c r="K10706" s="1362"/>
      <c r="L10706" s="1362"/>
    </row>
    <row r="10707" spans="1:12" x14ac:dyDescent="0.25">
      <c r="A10707">
        <v>101578</v>
      </c>
      <c r="B10707" t="s">
        <v>4640</v>
      </c>
      <c r="C10707" t="s">
        <v>297</v>
      </c>
      <c r="D10707" s="254">
        <v>41.88</v>
      </c>
      <c r="E10707"/>
      <c r="F10707"/>
      <c r="G10707"/>
      <c r="H10707"/>
      <c r="I10707" s="489"/>
      <c r="J10707" s="1362"/>
      <c r="K10707" s="1362"/>
      <c r="L10707" s="1362"/>
    </row>
    <row r="10708" spans="1:12" x14ac:dyDescent="0.25">
      <c r="A10708">
        <v>101579</v>
      </c>
      <c r="B10708" t="s">
        <v>4641</v>
      </c>
      <c r="C10708" t="s">
        <v>297</v>
      </c>
      <c r="D10708" s="254">
        <v>53.18</v>
      </c>
      <c r="E10708"/>
      <c r="F10708"/>
      <c r="G10708"/>
      <c r="H10708"/>
      <c r="I10708" s="489"/>
      <c r="J10708" s="1362"/>
      <c r="K10708" s="1362"/>
      <c r="L10708" s="1362"/>
    </row>
    <row r="10709" spans="1:12" x14ac:dyDescent="0.25">
      <c r="A10709">
        <v>101580</v>
      </c>
      <c r="B10709" t="s">
        <v>4642</v>
      </c>
      <c r="C10709" t="s">
        <v>297</v>
      </c>
      <c r="D10709" s="254">
        <v>38.07</v>
      </c>
      <c r="E10709"/>
      <c r="F10709"/>
      <c r="G10709"/>
      <c r="H10709"/>
      <c r="I10709" s="489"/>
      <c r="J10709" s="1362"/>
      <c r="K10709" s="1362"/>
      <c r="L10709" s="1362"/>
    </row>
    <row r="10710" spans="1:12" x14ac:dyDescent="0.25">
      <c r="A10710">
        <v>101581</v>
      </c>
      <c r="B10710" t="s">
        <v>4643</v>
      </c>
      <c r="C10710" t="s">
        <v>297</v>
      </c>
      <c r="D10710" s="254">
        <v>49.55</v>
      </c>
      <c r="E10710"/>
      <c r="F10710"/>
      <c r="G10710"/>
      <c r="H10710"/>
      <c r="I10710" s="489"/>
      <c r="J10710" s="1362"/>
      <c r="K10710" s="1362"/>
      <c r="L10710" s="1362"/>
    </row>
    <row r="10711" spans="1:12" x14ac:dyDescent="0.25">
      <c r="A10711">
        <v>101582</v>
      </c>
      <c r="B10711" t="s">
        <v>4644</v>
      </c>
      <c r="C10711" t="s">
        <v>297</v>
      </c>
      <c r="D10711" s="254">
        <v>82.71</v>
      </c>
      <c r="E10711"/>
      <c r="F10711"/>
      <c r="G10711"/>
      <c r="H10711"/>
      <c r="I10711" s="489"/>
      <c r="J10711" s="1362"/>
      <c r="K10711" s="1362"/>
      <c r="L10711" s="1362"/>
    </row>
    <row r="10712" spans="1:12" x14ac:dyDescent="0.25">
      <c r="A10712">
        <v>101583</v>
      </c>
      <c r="B10712" t="s">
        <v>4645</v>
      </c>
      <c r="C10712" t="s">
        <v>297</v>
      </c>
      <c r="D10712" s="254">
        <v>100.32</v>
      </c>
      <c r="E10712"/>
      <c r="F10712"/>
      <c r="G10712"/>
      <c r="H10712"/>
      <c r="I10712" s="489"/>
      <c r="J10712" s="1362"/>
      <c r="K10712" s="1362"/>
      <c r="L10712" s="1362"/>
    </row>
    <row r="10713" spans="1:12" x14ac:dyDescent="0.25">
      <c r="A10713">
        <v>101584</v>
      </c>
      <c r="B10713" t="s">
        <v>4646</v>
      </c>
      <c r="C10713" t="s">
        <v>297</v>
      </c>
      <c r="D10713" s="254">
        <v>68.75</v>
      </c>
      <c r="E10713"/>
      <c r="F10713"/>
      <c r="G10713"/>
      <c r="H10713"/>
      <c r="I10713" s="489"/>
      <c r="J10713" s="1362"/>
      <c r="K10713" s="1362"/>
      <c r="L10713" s="1362"/>
    </row>
    <row r="10714" spans="1:12" x14ac:dyDescent="0.25">
      <c r="A10714">
        <v>101585</v>
      </c>
      <c r="B10714" t="s">
        <v>4647</v>
      </c>
      <c r="C10714" t="s">
        <v>297</v>
      </c>
      <c r="D10714" s="254">
        <v>86.36</v>
      </c>
      <c r="E10714"/>
      <c r="F10714"/>
      <c r="G10714"/>
      <c r="H10714"/>
      <c r="I10714" s="489"/>
      <c r="J10714" s="1362"/>
      <c r="K10714" s="1362"/>
      <c r="L10714" s="1362"/>
    </row>
    <row r="10715" spans="1:12" x14ac:dyDescent="0.25">
      <c r="A10715">
        <v>101586</v>
      </c>
      <c r="B10715" t="s">
        <v>4648</v>
      </c>
      <c r="C10715" t="s">
        <v>297</v>
      </c>
      <c r="D10715" s="254">
        <v>60.88</v>
      </c>
      <c r="E10715"/>
      <c r="F10715"/>
      <c r="G10715"/>
      <c r="H10715"/>
      <c r="I10715" s="489"/>
      <c r="J10715" s="1362"/>
      <c r="K10715" s="1362"/>
      <c r="L10715" s="1362"/>
    </row>
    <row r="10716" spans="1:12" x14ac:dyDescent="0.25">
      <c r="A10716">
        <v>101587</v>
      </c>
      <c r="B10716" t="s">
        <v>4649</v>
      </c>
      <c r="C10716" t="s">
        <v>297</v>
      </c>
      <c r="D10716" s="254">
        <v>78.66</v>
      </c>
      <c r="E10716"/>
      <c r="F10716"/>
      <c r="G10716"/>
      <c r="H10716"/>
      <c r="I10716" s="489"/>
      <c r="J10716" s="1362"/>
      <c r="K10716" s="1362"/>
      <c r="L10716" s="1362"/>
    </row>
    <row r="10717" spans="1:12" x14ac:dyDescent="0.25">
      <c r="A10717">
        <v>101588</v>
      </c>
      <c r="B10717" t="s">
        <v>4650</v>
      </c>
      <c r="C10717" t="s">
        <v>297</v>
      </c>
      <c r="D10717" s="254">
        <v>93.67</v>
      </c>
      <c r="E10717"/>
      <c r="F10717"/>
      <c r="G10717"/>
      <c r="H10717"/>
      <c r="I10717" s="489"/>
      <c r="J10717" s="1362"/>
      <c r="K10717" s="1362"/>
      <c r="L10717" s="1362"/>
    </row>
    <row r="10718" spans="1:12" x14ac:dyDescent="0.25">
      <c r="A10718">
        <v>101589</v>
      </c>
      <c r="B10718" t="s">
        <v>4651</v>
      </c>
      <c r="C10718" t="s">
        <v>297</v>
      </c>
      <c r="D10718" s="254">
        <v>135.56</v>
      </c>
      <c r="E10718"/>
      <c r="F10718"/>
      <c r="G10718"/>
      <c r="H10718"/>
      <c r="I10718" s="489"/>
      <c r="J10718" s="1362"/>
      <c r="K10718" s="1362"/>
      <c r="L10718" s="1362"/>
    </row>
    <row r="10719" spans="1:12" x14ac:dyDescent="0.25">
      <c r="A10719">
        <v>101590</v>
      </c>
      <c r="B10719" t="s">
        <v>4652</v>
      </c>
      <c r="C10719" t="s">
        <v>297</v>
      </c>
      <c r="D10719" s="254">
        <v>71.38</v>
      </c>
      <c r="E10719"/>
      <c r="F10719"/>
      <c r="G10719"/>
      <c r="H10719"/>
      <c r="I10719" s="489"/>
      <c r="J10719" s="1362"/>
      <c r="K10719" s="1362"/>
      <c r="L10719" s="1362"/>
    </row>
    <row r="10720" spans="1:12" x14ac:dyDescent="0.25">
      <c r="A10720">
        <v>101591</v>
      </c>
      <c r="B10720" t="s">
        <v>4653</v>
      </c>
      <c r="C10720" t="s">
        <v>297</v>
      </c>
      <c r="D10720" s="254">
        <v>113.27</v>
      </c>
      <c r="E10720"/>
      <c r="F10720"/>
      <c r="G10720"/>
      <c r="H10720"/>
      <c r="I10720" s="489"/>
      <c r="J10720" s="1362"/>
      <c r="K10720" s="1362"/>
      <c r="L10720" s="1362"/>
    </row>
    <row r="10721" spans="1:12" x14ac:dyDescent="0.25">
      <c r="A10721">
        <v>101592</v>
      </c>
      <c r="B10721" t="s">
        <v>4654</v>
      </c>
      <c r="C10721" t="s">
        <v>297</v>
      </c>
      <c r="D10721" s="254">
        <v>51.3</v>
      </c>
      <c r="E10721"/>
      <c r="F10721"/>
      <c r="G10721"/>
      <c r="H10721"/>
      <c r="I10721" s="489"/>
      <c r="J10721" s="1362"/>
      <c r="K10721" s="1362"/>
      <c r="L10721" s="1362"/>
    </row>
    <row r="10722" spans="1:12" x14ac:dyDescent="0.25">
      <c r="A10722">
        <v>101593</v>
      </c>
      <c r="B10722" t="s">
        <v>4655</v>
      </c>
      <c r="C10722" t="s">
        <v>297</v>
      </c>
      <c r="D10722" s="254">
        <v>93.35</v>
      </c>
      <c r="E10722"/>
      <c r="F10722"/>
      <c r="G10722"/>
      <c r="H10722"/>
      <c r="I10722" s="489"/>
      <c r="J10722" s="1362"/>
      <c r="K10722" s="1362"/>
      <c r="L10722" s="1362"/>
    </row>
    <row r="10723" spans="1:12" x14ac:dyDescent="0.25">
      <c r="A10723">
        <v>101600</v>
      </c>
      <c r="B10723" t="s">
        <v>4656</v>
      </c>
      <c r="C10723" t="s">
        <v>297</v>
      </c>
      <c r="D10723" s="254">
        <v>17.170000000000002</v>
      </c>
      <c r="E10723"/>
      <c r="F10723"/>
      <c r="G10723"/>
      <c r="H10723"/>
      <c r="I10723" s="489"/>
      <c r="J10723" s="1362"/>
      <c r="K10723" s="1362"/>
      <c r="L10723" s="1362"/>
    </row>
    <row r="10724" spans="1:12" x14ac:dyDescent="0.25">
      <c r="A10724">
        <v>101601</v>
      </c>
      <c r="B10724" t="s">
        <v>4657</v>
      </c>
      <c r="C10724" t="s">
        <v>297</v>
      </c>
      <c r="D10724" s="254">
        <v>25.42</v>
      </c>
      <c r="E10724"/>
      <c r="F10724"/>
      <c r="G10724"/>
      <c r="H10724"/>
      <c r="I10724" s="489"/>
      <c r="J10724" s="1362"/>
      <c r="K10724" s="1362"/>
      <c r="L10724" s="1362"/>
    </row>
    <row r="10725" spans="1:12" x14ac:dyDescent="0.25">
      <c r="A10725">
        <v>101602</v>
      </c>
      <c r="B10725" t="s">
        <v>4658</v>
      </c>
      <c r="C10725" t="s">
        <v>297</v>
      </c>
      <c r="D10725" s="254">
        <v>12.73</v>
      </c>
      <c r="E10725"/>
      <c r="F10725"/>
      <c r="G10725"/>
      <c r="H10725"/>
      <c r="I10725" s="489"/>
      <c r="J10725" s="1362"/>
      <c r="K10725" s="1362"/>
      <c r="L10725" s="1362"/>
    </row>
    <row r="10726" spans="1:12" x14ac:dyDescent="0.25">
      <c r="A10726">
        <v>101603</v>
      </c>
      <c r="B10726" t="s">
        <v>4659</v>
      </c>
      <c r="C10726" t="s">
        <v>297</v>
      </c>
      <c r="D10726" s="254">
        <v>20.97</v>
      </c>
      <c r="E10726"/>
      <c r="F10726"/>
      <c r="G10726"/>
      <c r="H10726"/>
      <c r="I10726" s="489"/>
      <c r="J10726" s="1362"/>
      <c r="K10726" s="1362"/>
      <c r="L10726" s="1362"/>
    </row>
    <row r="10727" spans="1:12" x14ac:dyDescent="0.25">
      <c r="A10727">
        <v>101604</v>
      </c>
      <c r="B10727" t="s">
        <v>4660</v>
      </c>
      <c r="C10727" t="s">
        <v>297</v>
      </c>
      <c r="D10727" s="254">
        <v>8.33</v>
      </c>
      <c r="E10727"/>
      <c r="F10727"/>
      <c r="G10727"/>
      <c r="H10727"/>
      <c r="I10727" s="489"/>
      <c r="J10727" s="1362"/>
      <c r="K10727" s="1362"/>
      <c r="L10727" s="1362"/>
    </row>
    <row r="10728" spans="1:12" x14ac:dyDescent="0.25">
      <c r="A10728">
        <v>101605</v>
      </c>
      <c r="B10728" t="s">
        <v>4661</v>
      </c>
      <c r="C10728" t="s">
        <v>297</v>
      </c>
      <c r="D10728" s="254">
        <v>16.57</v>
      </c>
      <c r="E10728"/>
      <c r="F10728"/>
      <c r="G10728"/>
      <c r="H10728"/>
      <c r="I10728" s="489"/>
      <c r="J10728" s="1362"/>
      <c r="K10728" s="1362"/>
      <c r="L10728" s="1362"/>
    </row>
    <row r="10729" spans="1:12" x14ac:dyDescent="0.25">
      <c r="A10729">
        <v>90788</v>
      </c>
      <c r="B10729" t="s">
        <v>3951</v>
      </c>
      <c r="C10729" t="s">
        <v>138</v>
      </c>
      <c r="D10729" s="254">
        <v>815.07</v>
      </c>
      <c r="E10729"/>
      <c r="F10729"/>
      <c r="G10729"/>
      <c r="H10729"/>
      <c r="I10729" s="489"/>
      <c r="J10729" s="1362"/>
      <c r="K10729" s="1362"/>
      <c r="L10729" s="1362"/>
    </row>
    <row r="10730" spans="1:12" x14ac:dyDescent="0.25">
      <c r="A10730">
        <v>90789</v>
      </c>
      <c r="B10730" t="s">
        <v>3952</v>
      </c>
      <c r="C10730" t="s">
        <v>138</v>
      </c>
      <c r="D10730" s="254">
        <v>816.88</v>
      </c>
      <c r="E10730"/>
      <c r="F10730"/>
      <c r="G10730"/>
      <c r="H10730"/>
      <c r="I10730" s="489"/>
      <c r="J10730" s="1362"/>
      <c r="K10730" s="1362"/>
      <c r="L10730" s="1362"/>
    </row>
    <row r="10731" spans="1:12" x14ac:dyDescent="0.25">
      <c r="A10731">
        <v>90790</v>
      </c>
      <c r="B10731" t="s">
        <v>3953</v>
      </c>
      <c r="C10731" t="s">
        <v>138</v>
      </c>
      <c r="D10731" s="254">
        <v>842.58</v>
      </c>
      <c r="E10731"/>
      <c r="F10731"/>
      <c r="G10731"/>
      <c r="H10731"/>
      <c r="I10731" s="489"/>
      <c r="J10731" s="1362"/>
      <c r="K10731" s="1362"/>
      <c r="L10731" s="1362"/>
    </row>
    <row r="10732" spans="1:12" x14ac:dyDescent="0.25">
      <c r="A10732">
        <v>90791</v>
      </c>
      <c r="B10732" t="s">
        <v>4662</v>
      </c>
      <c r="C10732" t="s">
        <v>138</v>
      </c>
      <c r="D10732" s="254">
        <v>987.52</v>
      </c>
      <c r="E10732"/>
      <c r="F10732"/>
      <c r="G10732"/>
      <c r="H10732"/>
      <c r="I10732" s="489"/>
      <c r="J10732" s="1362"/>
      <c r="K10732" s="1362"/>
      <c r="L10732" s="1362"/>
    </row>
    <row r="10733" spans="1:12" x14ac:dyDescent="0.25">
      <c r="A10733">
        <v>90793</v>
      </c>
      <c r="B10733" t="s">
        <v>4663</v>
      </c>
      <c r="C10733" t="s">
        <v>138</v>
      </c>
      <c r="D10733" s="254">
        <v>1047.82</v>
      </c>
      <c r="E10733"/>
      <c r="F10733"/>
      <c r="G10733"/>
      <c r="H10733"/>
      <c r="I10733" s="489"/>
      <c r="J10733" s="1362"/>
      <c r="K10733" s="1362"/>
      <c r="L10733" s="1362"/>
    </row>
    <row r="10734" spans="1:12" x14ac:dyDescent="0.25">
      <c r="A10734">
        <v>90794</v>
      </c>
      <c r="B10734" t="s">
        <v>4664</v>
      </c>
      <c r="C10734" t="s">
        <v>138</v>
      </c>
      <c r="D10734" s="254">
        <v>710.79</v>
      </c>
      <c r="E10734"/>
      <c r="F10734"/>
      <c r="G10734"/>
      <c r="H10734"/>
      <c r="I10734" s="489"/>
      <c r="J10734" s="1362"/>
      <c r="K10734" s="1362"/>
      <c r="L10734" s="1362"/>
    </row>
    <row r="10735" spans="1:12" x14ac:dyDescent="0.25">
      <c r="A10735">
        <v>90795</v>
      </c>
      <c r="B10735" t="s">
        <v>4665</v>
      </c>
      <c r="C10735" t="s">
        <v>138</v>
      </c>
      <c r="D10735" s="254">
        <v>718.77</v>
      </c>
      <c r="E10735"/>
      <c r="F10735"/>
      <c r="G10735"/>
      <c r="H10735"/>
      <c r="I10735" s="489"/>
      <c r="J10735" s="1362"/>
      <c r="K10735" s="1362"/>
      <c r="L10735" s="1362"/>
    </row>
    <row r="10736" spans="1:12" x14ac:dyDescent="0.25">
      <c r="A10736">
        <v>90796</v>
      </c>
      <c r="B10736" t="s">
        <v>4666</v>
      </c>
      <c r="C10736" t="s">
        <v>138</v>
      </c>
      <c r="D10736" s="254">
        <v>726.76</v>
      </c>
      <c r="E10736"/>
      <c r="F10736"/>
      <c r="G10736"/>
      <c r="H10736"/>
      <c r="I10736" s="489"/>
      <c r="J10736" s="1362"/>
      <c r="K10736" s="1362"/>
      <c r="L10736" s="1362"/>
    </row>
    <row r="10737" spans="1:12" x14ac:dyDescent="0.25">
      <c r="A10737">
        <v>90797</v>
      </c>
      <c r="B10737" t="s">
        <v>4667</v>
      </c>
      <c r="C10737" t="s">
        <v>138</v>
      </c>
      <c r="D10737" s="254">
        <v>734.73</v>
      </c>
      <c r="E10737"/>
      <c r="F10737"/>
      <c r="G10737"/>
      <c r="H10737"/>
      <c r="I10737" s="489"/>
      <c r="J10737" s="1362"/>
      <c r="K10737" s="1362"/>
      <c r="L10737" s="1362"/>
    </row>
    <row r="10738" spans="1:12" x14ac:dyDescent="0.25">
      <c r="A10738">
        <v>90798</v>
      </c>
      <c r="B10738" t="s">
        <v>4668</v>
      </c>
      <c r="C10738" t="s">
        <v>138</v>
      </c>
      <c r="D10738" s="254">
        <v>1059.81</v>
      </c>
      <c r="E10738"/>
      <c r="F10738"/>
      <c r="G10738"/>
      <c r="H10738"/>
      <c r="I10738" s="489"/>
      <c r="J10738" s="1362"/>
      <c r="K10738" s="1362"/>
      <c r="L10738" s="1362"/>
    </row>
    <row r="10739" spans="1:12" x14ac:dyDescent="0.25">
      <c r="A10739">
        <v>90799</v>
      </c>
      <c r="B10739" t="s">
        <v>4669</v>
      </c>
      <c r="C10739" t="s">
        <v>138</v>
      </c>
      <c r="D10739" s="254">
        <v>1094.3599999999999</v>
      </c>
      <c r="E10739"/>
      <c r="F10739"/>
      <c r="G10739"/>
      <c r="H10739"/>
      <c r="I10739" s="489"/>
      <c r="J10739" s="1362"/>
      <c r="K10739" s="1362"/>
      <c r="L10739" s="1362"/>
    </row>
    <row r="10740" spans="1:12" x14ac:dyDescent="0.25">
      <c r="A10740">
        <v>90801</v>
      </c>
      <c r="B10740" t="s">
        <v>3954</v>
      </c>
      <c r="C10740" t="s">
        <v>138</v>
      </c>
      <c r="D10740" s="254">
        <v>334.64</v>
      </c>
      <c r="E10740"/>
      <c r="F10740"/>
      <c r="G10740"/>
      <c r="H10740"/>
      <c r="I10740" s="489"/>
      <c r="J10740" s="1362"/>
      <c r="K10740" s="1362"/>
      <c r="L10740" s="1362"/>
    </row>
    <row r="10741" spans="1:12" x14ac:dyDescent="0.25">
      <c r="A10741">
        <v>90806</v>
      </c>
      <c r="B10741" t="s">
        <v>18488</v>
      </c>
      <c r="C10741" t="s">
        <v>138</v>
      </c>
      <c r="D10741" s="254">
        <v>433.08</v>
      </c>
      <c r="E10741"/>
      <c r="F10741"/>
      <c r="G10741"/>
      <c r="H10741"/>
      <c r="I10741" s="489"/>
      <c r="J10741" s="1362"/>
      <c r="K10741" s="1362"/>
      <c r="L10741" s="1362"/>
    </row>
    <row r="10742" spans="1:12" x14ac:dyDescent="0.25">
      <c r="A10742">
        <v>90820</v>
      </c>
      <c r="B10742" t="s">
        <v>3955</v>
      </c>
      <c r="C10742" t="s">
        <v>138</v>
      </c>
      <c r="D10742" s="254">
        <v>335.54</v>
      </c>
      <c r="E10742"/>
      <c r="F10742"/>
      <c r="G10742"/>
      <c r="H10742"/>
      <c r="I10742" s="489"/>
      <c r="J10742" s="1362"/>
      <c r="K10742" s="1362"/>
      <c r="L10742" s="1362"/>
    </row>
    <row r="10743" spans="1:12" x14ac:dyDescent="0.25">
      <c r="A10743">
        <v>90821</v>
      </c>
      <c r="B10743" t="s">
        <v>3956</v>
      </c>
      <c r="C10743" t="s">
        <v>138</v>
      </c>
      <c r="D10743" s="254">
        <v>342.34</v>
      </c>
      <c r="E10743"/>
      <c r="F10743"/>
      <c r="G10743"/>
      <c r="H10743"/>
      <c r="I10743" s="489"/>
      <c r="J10743" s="1362"/>
      <c r="K10743" s="1362"/>
      <c r="L10743" s="1362"/>
    </row>
    <row r="10744" spans="1:12" x14ac:dyDescent="0.25">
      <c r="A10744">
        <v>90822</v>
      </c>
      <c r="B10744" t="s">
        <v>3957</v>
      </c>
      <c r="C10744" t="s">
        <v>138</v>
      </c>
      <c r="D10744" s="254">
        <v>365.94</v>
      </c>
      <c r="E10744"/>
      <c r="F10744"/>
      <c r="G10744"/>
      <c r="H10744"/>
      <c r="I10744" s="489"/>
      <c r="J10744" s="1362"/>
      <c r="K10744" s="1362"/>
      <c r="L10744" s="1362"/>
    </row>
    <row r="10745" spans="1:12" x14ac:dyDescent="0.25">
      <c r="A10745">
        <v>90823</v>
      </c>
      <c r="B10745" t="s">
        <v>3958</v>
      </c>
      <c r="C10745" t="s">
        <v>138</v>
      </c>
      <c r="D10745" s="254">
        <v>444.77</v>
      </c>
      <c r="E10745"/>
      <c r="F10745"/>
      <c r="G10745"/>
      <c r="H10745"/>
      <c r="I10745" s="489"/>
      <c r="J10745" s="1362"/>
      <c r="K10745" s="1362"/>
      <c r="L10745" s="1362"/>
    </row>
    <row r="10746" spans="1:12" x14ac:dyDescent="0.25">
      <c r="A10746">
        <v>90824</v>
      </c>
      <c r="B10746" t="s">
        <v>3959</v>
      </c>
      <c r="C10746" t="s">
        <v>138</v>
      </c>
      <c r="D10746" s="254">
        <v>627.13</v>
      </c>
      <c r="E10746"/>
      <c r="F10746"/>
      <c r="G10746"/>
      <c r="H10746"/>
      <c r="I10746" s="489"/>
      <c r="J10746" s="1362"/>
      <c r="K10746" s="1362"/>
      <c r="L10746" s="1362"/>
    </row>
    <row r="10747" spans="1:12" x14ac:dyDescent="0.25">
      <c r="A10747">
        <v>90825</v>
      </c>
      <c r="B10747" t="s">
        <v>3960</v>
      </c>
      <c r="C10747" t="s">
        <v>138</v>
      </c>
      <c r="D10747" s="254">
        <v>696.11</v>
      </c>
      <c r="E10747"/>
      <c r="F10747"/>
      <c r="G10747"/>
      <c r="H10747"/>
      <c r="I10747" s="489"/>
      <c r="J10747" s="1362"/>
      <c r="K10747" s="1362"/>
      <c r="L10747" s="1362"/>
    </row>
    <row r="10748" spans="1:12" x14ac:dyDescent="0.25">
      <c r="A10748">
        <v>90830</v>
      </c>
      <c r="B10748" t="s">
        <v>3961</v>
      </c>
      <c r="C10748" t="s">
        <v>138</v>
      </c>
      <c r="D10748" s="254">
        <v>168.97</v>
      </c>
      <c r="E10748"/>
      <c r="F10748"/>
      <c r="G10748"/>
      <c r="H10748"/>
      <c r="I10748" s="489"/>
      <c r="J10748" s="1362"/>
      <c r="K10748" s="1362"/>
      <c r="L10748" s="1362"/>
    </row>
    <row r="10749" spans="1:12" x14ac:dyDescent="0.25">
      <c r="A10749">
        <v>90831</v>
      </c>
      <c r="B10749" t="s">
        <v>3962</v>
      </c>
      <c r="C10749" t="s">
        <v>138</v>
      </c>
      <c r="D10749" s="254">
        <v>147.78</v>
      </c>
      <c r="E10749"/>
      <c r="F10749"/>
      <c r="G10749"/>
      <c r="H10749"/>
      <c r="I10749" s="489"/>
      <c r="J10749" s="1362"/>
      <c r="K10749" s="1362"/>
      <c r="L10749" s="1362"/>
    </row>
    <row r="10750" spans="1:12" x14ac:dyDescent="0.25">
      <c r="A10750">
        <v>90841</v>
      </c>
      <c r="B10750" t="s">
        <v>3963</v>
      </c>
      <c r="C10750" t="s">
        <v>138</v>
      </c>
      <c r="D10750" s="254">
        <v>1035.72</v>
      </c>
      <c r="E10750"/>
      <c r="F10750"/>
      <c r="G10750"/>
      <c r="H10750"/>
      <c r="I10750" s="489"/>
      <c r="J10750" s="1362"/>
      <c r="K10750" s="1362"/>
      <c r="L10750" s="1362"/>
    </row>
    <row r="10751" spans="1:12" x14ac:dyDescent="0.25">
      <c r="A10751">
        <v>90842</v>
      </c>
      <c r="B10751" t="s">
        <v>3964</v>
      </c>
      <c r="C10751" t="s">
        <v>138</v>
      </c>
      <c r="D10751" s="254">
        <v>1045.01</v>
      </c>
      <c r="E10751"/>
      <c r="F10751"/>
      <c r="G10751"/>
      <c r="H10751"/>
      <c r="I10751" s="489"/>
      <c r="J10751" s="1362"/>
      <c r="K10751" s="1362"/>
      <c r="L10751" s="1362"/>
    </row>
    <row r="10752" spans="1:12" x14ac:dyDescent="0.25">
      <c r="A10752">
        <v>90843</v>
      </c>
      <c r="B10752" t="s">
        <v>3965</v>
      </c>
      <c r="C10752" t="s">
        <v>138</v>
      </c>
      <c r="D10752" s="254">
        <v>1092.29</v>
      </c>
      <c r="E10752"/>
      <c r="F10752"/>
      <c r="G10752"/>
      <c r="H10752"/>
      <c r="I10752" s="489"/>
      <c r="J10752" s="1362"/>
      <c r="K10752" s="1362"/>
      <c r="L10752" s="1362"/>
    </row>
    <row r="10753" spans="1:12" x14ac:dyDescent="0.25">
      <c r="A10753">
        <v>90844</v>
      </c>
      <c r="B10753" t="s">
        <v>3966</v>
      </c>
      <c r="C10753" t="s">
        <v>138</v>
      </c>
      <c r="D10753" s="254">
        <v>1173.5999999999999</v>
      </c>
      <c r="E10753"/>
      <c r="F10753"/>
      <c r="G10753"/>
      <c r="H10753"/>
      <c r="I10753" s="489"/>
      <c r="J10753" s="1362"/>
      <c r="K10753" s="1362"/>
      <c r="L10753" s="1362"/>
    </row>
    <row r="10754" spans="1:12" x14ac:dyDescent="0.25">
      <c r="A10754">
        <v>90845</v>
      </c>
      <c r="B10754" t="s">
        <v>4670</v>
      </c>
      <c r="C10754" t="s">
        <v>138</v>
      </c>
      <c r="D10754" s="254">
        <v>1353.48</v>
      </c>
      <c r="E10754"/>
      <c r="F10754"/>
      <c r="G10754"/>
      <c r="H10754"/>
      <c r="I10754" s="489"/>
      <c r="J10754" s="1362"/>
      <c r="K10754" s="1362"/>
      <c r="L10754" s="1362"/>
    </row>
    <row r="10755" spans="1:12" x14ac:dyDescent="0.25">
      <c r="A10755">
        <v>90846</v>
      </c>
      <c r="B10755" t="s">
        <v>4671</v>
      </c>
      <c r="C10755" t="s">
        <v>138</v>
      </c>
      <c r="D10755" s="254">
        <v>1424.94</v>
      </c>
      <c r="E10755"/>
      <c r="F10755"/>
      <c r="G10755"/>
      <c r="H10755"/>
      <c r="I10755" s="489"/>
      <c r="J10755" s="1362"/>
      <c r="K10755" s="1362"/>
      <c r="L10755" s="1362"/>
    </row>
    <row r="10756" spans="1:12" x14ac:dyDescent="0.25">
      <c r="A10756">
        <v>90847</v>
      </c>
      <c r="B10756" t="s">
        <v>3967</v>
      </c>
      <c r="C10756" t="s">
        <v>138</v>
      </c>
      <c r="D10756" s="254">
        <v>887.94</v>
      </c>
      <c r="E10756"/>
      <c r="F10756"/>
      <c r="G10756"/>
      <c r="H10756"/>
      <c r="I10756" s="489"/>
      <c r="J10756" s="1362"/>
      <c r="K10756" s="1362"/>
      <c r="L10756" s="1362"/>
    </row>
    <row r="10757" spans="1:12" x14ac:dyDescent="0.25">
      <c r="A10757">
        <v>90848</v>
      </c>
      <c r="B10757" t="s">
        <v>3968</v>
      </c>
      <c r="C10757" t="s">
        <v>138</v>
      </c>
      <c r="D10757" s="254">
        <v>897.23</v>
      </c>
      <c r="E10757"/>
      <c r="F10757"/>
      <c r="G10757"/>
      <c r="H10757"/>
      <c r="I10757" s="489"/>
      <c r="J10757" s="1362"/>
      <c r="K10757" s="1362"/>
      <c r="L10757" s="1362"/>
    </row>
    <row r="10758" spans="1:12" x14ac:dyDescent="0.25">
      <c r="A10758">
        <v>90849</v>
      </c>
      <c r="B10758" t="s">
        <v>3969</v>
      </c>
      <c r="C10758" t="s">
        <v>138</v>
      </c>
      <c r="D10758" s="254">
        <v>923.32</v>
      </c>
      <c r="E10758"/>
      <c r="F10758"/>
      <c r="G10758"/>
      <c r="H10758"/>
      <c r="I10758" s="489"/>
      <c r="J10758" s="1362"/>
      <c r="K10758" s="1362"/>
      <c r="L10758" s="1362"/>
    </row>
    <row r="10759" spans="1:12" x14ac:dyDescent="0.25">
      <c r="A10759">
        <v>90850</v>
      </c>
      <c r="B10759" t="s">
        <v>3970</v>
      </c>
      <c r="C10759" t="s">
        <v>138</v>
      </c>
      <c r="D10759" s="254">
        <v>1004.63</v>
      </c>
      <c r="E10759"/>
      <c r="F10759"/>
      <c r="G10759"/>
      <c r="H10759"/>
      <c r="I10759" s="489"/>
      <c r="J10759" s="1362"/>
      <c r="K10759" s="1362"/>
      <c r="L10759" s="1362"/>
    </row>
    <row r="10760" spans="1:12" x14ac:dyDescent="0.25">
      <c r="A10760">
        <v>90851</v>
      </c>
      <c r="B10760" t="s">
        <v>4672</v>
      </c>
      <c r="C10760" t="s">
        <v>138</v>
      </c>
      <c r="D10760" s="254">
        <v>1184.51</v>
      </c>
      <c r="E10760"/>
      <c r="F10760"/>
      <c r="G10760"/>
      <c r="H10760"/>
      <c r="I10760" s="489"/>
      <c r="J10760" s="1362"/>
      <c r="K10760" s="1362"/>
      <c r="L10760" s="1362"/>
    </row>
    <row r="10761" spans="1:12" x14ac:dyDescent="0.25">
      <c r="A10761">
        <v>90852</v>
      </c>
      <c r="B10761" t="s">
        <v>4673</v>
      </c>
      <c r="C10761" t="s">
        <v>138</v>
      </c>
      <c r="D10761" s="254">
        <v>1255.97</v>
      </c>
      <c r="E10761"/>
      <c r="F10761"/>
      <c r="G10761"/>
      <c r="H10761"/>
      <c r="I10761" s="489"/>
      <c r="J10761" s="1362"/>
      <c r="K10761" s="1362"/>
      <c r="L10761" s="1362"/>
    </row>
    <row r="10762" spans="1:12" x14ac:dyDescent="0.25">
      <c r="A10762">
        <v>91009</v>
      </c>
      <c r="B10762" t="s">
        <v>3971</v>
      </c>
      <c r="C10762" t="s">
        <v>138</v>
      </c>
      <c r="D10762" s="254">
        <v>346.6</v>
      </c>
      <c r="E10762"/>
      <c r="F10762"/>
      <c r="G10762"/>
      <c r="H10762"/>
      <c r="I10762" s="489"/>
      <c r="J10762" s="1362"/>
      <c r="K10762" s="1362"/>
      <c r="L10762" s="1362"/>
    </row>
    <row r="10763" spans="1:12" x14ac:dyDescent="0.25">
      <c r="A10763">
        <v>91010</v>
      </c>
      <c r="B10763" t="s">
        <v>3972</v>
      </c>
      <c r="C10763" t="s">
        <v>138</v>
      </c>
      <c r="D10763" s="254">
        <v>353.92</v>
      </c>
      <c r="E10763"/>
      <c r="F10763"/>
      <c r="G10763"/>
      <c r="H10763"/>
      <c r="I10763" s="489"/>
      <c r="J10763" s="1362"/>
      <c r="K10763" s="1362"/>
      <c r="L10763" s="1362"/>
    </row>
    <row r="10764" spans="1:12" x14ac:dyDescent="0.25">
      <c r="A10764">
        <v>91011</v>
      </c>
      <c r="B10764" t="s">
        <v>3973</v>
      </c>
      <c r="C10764" t="s">
        <v>138</v>
      </c>
      <c r="D10764" s="254">
        <v>410.84</v>
      </c>
      <c r="E10764"/>
      <c r="F10764"/>
      <c r="G10764"/>
      <c r="H10764"/>
      <c r="I10764" s="489"/>
      <c r="J10764" s="1362"/>
      <c r="K10764" s="1362"/>
      <c r="L10764" s="1362"/>
    </row>
    <row r="10765" spans="1:12" x14ac:dyDescent="0.25">
      <c r="A10765">
        <v>91012</v>
      </c>
      <c r="B10765" t="s">
        <v>3974</v>
      </c>
      <c r="C10765" t="s">
        <v>138</v>
      </c>
      <c r="D10765" s="254">
        <v>454.57</v>
      </c>
      <c r="E10765"/>
      <c r="F10765"/>
      <c r="G10765"/>
      <c r="H10765"/>
      <c r="I10765" s="489"/>
      <c r="J10765" s="1362"/>
      <c r="K10765" s="1362"/>
      <c r="L10765" s="1362"/>
    </row>
    <row r="10766" spans="1:12" x14ac:dyDescent="0.25">
      <c r="A10766">
        <v>91013</v>
      </c>
      <c r="B10766" t="s">
        <v>3975</v>
      </c>
      <c r="C10766" t="s">
        <v>138</v>
      </c>
      <c r="D10766" s="254">
        <v>899</v>
      </c>
      <c r="E10766"/>
      <c r="F10766"/>
      <c r="G10766"/>
      <c r="H10766"/>
      <c r="I10766" s="489"/>
      <c r="J10766" s="1362"/>
      <c r="K10766" s="1362"/>
      <c r="L10766" s="1362"/>
    </row>
    <row r="10767" spans="1:12" x14ac:dyDescent="0.25">
      <c r="A10767">
        <v>91014</v>
      </c>
      <c r="B10767" t="s">
        <v>3976</v>
      </c>
      <c r="C10767" t="s">
        <v>138</v>
      </c>
      <c r="D10767" s="254">
        <v>908.81</v>
      </c>
      <c r="E10767"/>
      <c r="F10767"/>
      <c r="G10767"/>
      <c r="H10767"/>
      <c r="I10767" s="489"/>
      <c r="J10767" s="1362"/>
      <c r="K10767" s="1362"/>
      <c r="L10767" s="1362"/>
    </row>
    <row r="10768" spans="1:12" x14ac:dyDescent="0.25">
      <c r="A10768">
        <v>91015</v>
      </c>
      <c r="B10768" t="s">
        <v>3977</v>
      </c>
      <c r="C10768" t="s">
        <v>138</v>
      </c>
      <c r="D10768" s="254">
        <v>968.22</v>
      </c>
      <c r="E10768"/>
      <c r="F10768"/>
      <c r="G10768"/>
      <c r="H10768"/>
      <c r="I10768" s="489"/>
      <c r="J10768" s="1362"/>
      <c r="K10768" s="1362"/>
      <c r="L10768" s="1362"/>
    </row>
    <row r="10769" spans="1:12" x14ac:dyDescent="0.25">
      <c r="A10769">
        <v>91016</v>
      </c>
      <c r="B10769" t="s">
        <v>3978</v>
      </c>
      <c r="C10769" t="s">
        <v>138</v>
      </c>
      <c r="D10769" s="254">
        <v>1014.43</v>
      </c>
      <c r="E10769"/>
      <c r="F10769"/>
      <c r="G10769"/>
      <c r="H10769"/>
      <c r="I10769" s="489"/>
      <c r="J10769" s="1362"/>
      <c r="K10769" s="1362"/>
      <c r="L10769" s="1362"/>
    </row>
    <row r="10770" spans="1:12" x14ac:dyDescent="0.25">
      <c r="A10770">
        <v>91287</v>
      </c>
      <c r="B10770" t="s">
        <v>3979</v>
      </c>
      <c r="C10770" t="s">
        <v>138</v>
      </c>
      <c r="D10770" s="254">
        <v>247.34</v>
      </c>
      <c r="E10770"/>
      <c r="F10770"/>
      <c r="G10770"/>
      <c r="H10770"/>
      <c r="I10770" s="489"/>
      <c r="J10770" s="1362"/>
      <c r="K10770" s="1362"/>
      <c r="L10770" s="1362"/>
    </row>
    <row r="10771" spans="1:12" x14ac:dyDescent="0.25">
      <c r="A10771">
        <v>91292</v>
      </c>
      <c r="B10771" t="s">
        <v>18489</v>
      </c>
      <c r="C10771" t="s">
        <v>138</v>
      </c>
      <c r="D10771" s="254">
        <v>345.78</v>
      </c>
      <c r="E10771"/>
      <c r="F10771"/>
      <c r="G10771"/>
      <c r="H10771"/>
      <c r="I10771" s="489"/>
      <c r="J10771" s="1362"/>
      <c r="K10771" s="1362"/>
      <c r="L10771" s="1362"/>
    </row>
    <row r="10772" spans="1:12" x14ac:dyDescent="0.25">
      <c r="A10772">
        <v>91295</v>
      </c>
      <c r="B10772" t="s">
        <v>3980</v>
      </c>
      <c r="C10772" t="s">
        <v>138</v>
      </c>
      <c r="D10772" s="254">
        <v>356.17</v>
      </c>
      <c r="E10772"/>
      <c r="F10772"/>
      <c r="G10772"/>
      <c r="H10772"/>
      <c r="I10772" s="489"/>
      <c r="J10772" s="1362"/>
      <c r="K10772" s="1362"/>
      <c r="L10772" s="1362"/>
    </row>
    <row r="10773" spans="1:12" x14ac:dyDescent="0.25">
      <c r="A10773">
        <v>91296</v>
      </c>
      <c r="B10773" t="s">
        <v>3981</v>
      </c>
      <c r="C10773" t="s">
        <v>138</v>
      </c>
      <c r="D10773" s="254">
        <v>380.67</v>
      </c>
      <c r="E10773"/>
      <c r="F10773"/>
      <c r="G10773"/>
      <c r="H10773"/>
      <c r="I10773" s="489"/>
      <c r="J10773" s="1362"/>
      <c r="K10773" s="1362"/>
      <c r="L10773" s="1362"/>
    </row>
    <row r="10774" spans="1:12" x14ac:dyDescent="0.25">
      <c r="A10774">
        <v>91297</v>
      </c>
      <c r="B10774" t="s">
        <v>3982</v>
      </c>
      <c r="C10774" t="s">
        <v>138</v>
      </c>
      <c r="D10774" s="254">
        <v>417.22</v>
      </c>
      <c r="E10774"/>
      <c r="F10774"/>
      <c r="G10774"/>
      <c r="H10774"/>
      <c r="I10774" s="489"/>
      <c r="J10774" s="1362"/>
      <c r="K10774" s="1362"/>
      <c r="L10774" s="1362"/>
    </row>
    <row r="10775" spans="1:12" x14ac:dyDescent="0.25">
      <c r="A10775">
        <v>91298</v>
      </c>
      <c r="B10775" t="s">
        <v>3983</v>
      </c>
      <c r="C10775" t="s">
        <v>138</v>
      </c>
      <c r="D10775" s="254">
        <v>896.25</v>
      </c>
      <c r="E10775"/>
      <c r="F10775"/>
      <c r="G10775"/>
      <c r="H10775"/>
      <c r="I10775" s="489"/>
      <c r="J10775" s="1362"/>
      <c r="K10775" s="1362"/>
      <c r="L10775" s="1362"/>
    </row>
    <row r="10776" spans="1:12" x14ac:dyDescent="0.25">
      <c r="A10776">
        <v>91299</v>
      </c>
      <c r="B10776" t="s">
        <v>3984</v>
      </c>
      <c r="C10776" t="s">
        <v>138</v>
      </c>
      <c r="D10776" s="254">
        <v>1248.47</v>
      </c>
      <c r="E10776"/>
      <c r="F10776"/>
      <c r="G10776"/>
      <c r="H10776"/>
      <c r="I10776" s="489"/>
      <c r="J10776" s="1362"/>
      <c r="K10776" s="1362"/>
      <c r="L10776" s="1362"/>
    </row>
    <row r="10777" spans="1:12" x14ac:dyDescent="0.25">
      <c r="A10777">
        <v>91304</v>
      </c>
      <c r="B10777" t="s">
        <v>3985</v>
      </c>
      <c r="C10777" t="s">
        <v>138</v>
      </c>
      <c r="D10777" s="254">
        <v>104.17</v>
      </c>
      <c r="E10777"/>
      <c r="F10777"/>
      <c r="G10777"/>
      <c r="H10777"/>
      <c r="I10777" s="489"/>
      <c r="J10777" s="1362"/>
      <c r="K10777" s="1362"/>
      <c r="L10777" s="1362"/>
    </row>
    <row r="10778" spans="1:12" x14ac:dyDescent="0.25">
      <c r="A10778">
        <v>91305</v>
      </c>
      <c r="B10778" t="s">
        <v>3986</v>
      </c>
      <c r="C10778" t="s">
        <v>138</v>
      </c>
      <c r="D10778" s="254">
        <v>103.2</v>
      </c>
      <c r="E10778"/>
      <c r="F10778"/>
      <c r="G10778"/>
      <c r="H10778"/>
      <c r="I10778" s="489"/>
      <c r="J10778" s="1362"/>
      <c r="K10778" s="1362"/>
      <c r="L10778" s="1362"/>
    </row>
    <row r="10779" spans="1:12" x14ac:dyDescent="0.25">
      <c r="A10779">
        <v>91306</v>
      </c>
      <c r="B10779" t="s">
        <v>3987</v>
      </c>
      <c r="C10779" t="s">
        <v>138</v>
      </c>
      <c r="D10779" s="254">
        <v>147.78</v>
      </c>
      <c r="E10779"/>
      <c r="F10779"/>
      <c r="G10779"/>
      <c r="H10779"/>
      <c r="I10779" s="489"/>
      <c r="J10779" s="1362"/>
      <c r="K10779" s="1362"/>
      <c r="L10779" s="1362"/>
    </row>
    <row r="10780" spans="1:12" x14ac:dyDescent="0.25">
      <c r="A10780">
        <v>91307</v>
      </c>
      <c r="B10780" t="s">
        <v>3988</v>
      </c>
      <c r="C10780" t="s">
        <v>138</v>
      </c>
      <c r="D10780" s="254">
        <v>88.16</v>
      </c>
      <c r="E10780"/>
      <c r="F10780"/>
      <c r="G10780"/>
      <c r="H10780"/>
      <c r="I10780" s="489"/>
      <c r="J10780" s="1362"/>
      <c r="K10780" s="1362"/>
      <c r="L10780" s="1362"/>
    </row>
    <row r="10781" spans="1:12" x14ac:dyDescent="0.25">
      <c r="A10781">
        <v>91312</v>
      </c>
      <c r="B10781" t="s">
        <v>3989</v>
      </c>
      <c r="C10781" t="s">
        <v>138</v>
      </c>
      <c r="D10781" s="254">
        <v>866.21</v>
      </c>
      <c r="E10781"/>
      <c r="F10781"/>
      <c r="G10781"/>
      <c r="H10781"/>
      <c r="I10781" s="489"/>
      <c r="J10781" s="1362"/>
      <c r="K10781" s="1362"/>
      <c r="L10781" s="1362"/>
    </row>
    <row r="10782" spans="1:12" x14ac:dyDescent="0.25">
      <c r="A10782">
        <v>91313</v>
      </c>
      <c r="B10782" t="s">
        <v>3990</v>
      </c>
      <c r="C10782" t="s">
        <v>138</v>
      </c>
      <c r="D10782" s="254">
        <v>859.67</v>
      </c>
      <c r="E10782"/>
      <c r="F10782"/>
      <c r="G10782"/>
      <c r="H10782"/>
      <c r="I10782" s="489"/>
      <c r="J10782" s="1362"/>
      <c r="K10782" s="1362"/>
      <c r="L10782" s="1362"/>
    </row>
    <row r="10783" spans="1:12" x14ac:dyDescent="0.25">
      <c r="A10783">
        <v>91314</v>
      </c>
      <c r="B10783" t="s">
        <v>3991</v>
      </c>
      <c r="C10783" t="s">
        <v>138</v>
      </c>
      <c r="D10783" s="254">
        <v>900.99</v>
      </c>
      <c r="E10783"/>
      <c r="F10783"/>
      <c r="G10783"/>
      <c r="H10783"/>
      <c r="I10783" s="489"/>
      <c r="J10783" s="1362"/>
      <c r="K10783" s="1362"/>
      <c r="L10783" s="1362"/>
    </row>
    <row r="10784" spans="1:12" x14ac:dyDescent="0.25">
      <c r="A10784">
        <v>91315</v>
      </c>
      <c r="B10784" t="s">
        <v>3992</v>
      </c>
      <c r="C10784" t="s">
        <v>138</v>
      </c>
      <c r="D10784" s="254">
        <v>981.52</v>
      </c>
      <c r="E10784"/>
      <c r="F10784"/>
      <c r="G10784"/>
      <c r="H10784"/>
      <c r="I10784" s="489"/>
      <c r="J10784" s="1362"/>
      <c r="K10784" s="1362"/>
      <c r="L10784" s="1362"/>
    </row>
    <row r="10785" spans="1:12" x14ac:dyDescent="0.25">
      <c r="A10785">
        <v>91316</v>
      </c>
      <c r="B10785" t="s">
        <v>4674</v>
      </c>
      <c r="C10785" t="s">
        <v>138</v>
      </c>
      <c r="D10785" s="254">
        <v>1162.18</v>
      </c>
      <c r="E10785"/>
      <c r="F10785"/>
      <c r="G10785"/>
      <c r="H10785"/>
      <c r="I10785" s="489"/>
      <c r="J10785" s="1362"/>
      <c r="K10785" s="1362"/>
      <c r="L10785" s="1362"/>
    </row>
    <row r="10786" spans="1:12" x14ac:dyDescent="0.25">
      <c r="A10786">
        <v>91317</v>
      </c>
      <c r="B10786" t="s">
        <v>4675</v>
      </c>
      <c r="C10786" t="s">
        <v>138</v>
      </c>
      <c r="D10786" s="254">
        <v>1232.8599999999999</v>
      </c>
      <c r="E10786"/>
      <c r="F10786"/>
      <c r="G10786"/>
      <c r="H10786"/>
      <c r="I10786" s="489"/>
      <c r="J10786" s="1362"/>
      <c r="K10786" s="1362"/>
      <c r="L10786" s="1362"/>
    </row>
    <row r="10787" spans="1:12" x14ac:dyDescent="0.25">
      <c r="A10787">
        <v>91318</v>
      </c>
      <c r="B10787" t="s">
        <v>3993</v>
      </c>
      <c r="C10787" t="s">
        <v>138</v>
      </c>
      <c r="D10787" s="254">
        <v>763.01</v>
      </c>
      <c r="E10787"/>
      <c r="F10787"/>
      <c r="G10787"/>
      <c r="H10787"/>
      <c r="I10787" s="489"/>
      <c r="J10787" s="1362"/>
      <c r="K10787" s="1362"/>
      <c r="L10787" s="1362"/>
    </row>
    <row r="10788" spans="1:12" x14ac:dyDescent="0.25">
      <c r="A10788">
        <v>91319</v>
      </c>
      <c r="B10788" t="s">
        <v>3994</v>
      </c>
      <c r="C10788" t="s">
        <v>138</v>
      </c>
      <c r="D10788" s="254">
        <v>771.51</v>
      </c>
      <c r="E10788"/>
      <c r="F10788"/>
      <c r="G10788"/>
      <c r="H10788"/>
      <c r="I10788" s="489"/>
      <c r="J10788" s="1362"/>
      <c r="K10788" s="1362"/>
      <c r="L10788" s="1362"/>
    </row>
    <row r="10789" spans="1:12" x14ac:dyDescent="0.25">
      <c r="A10789">
        <v>91320</v>
      </c>
      <c r="B10789" t="s">
        <v>3995</v>
      </c>
      <c r="C10789" t="s">
        <v>138</v>
      </c>
      <c r="D10789" s="254">
        <v>796.82</v>
      </c>
      <c r="E10789"/>
      <c r="F10789"/>
      <c r="G10789"/>
      <c r="H10789"/>
      <c r="I10789" s="489"/>
      <c r="J10789" s="1362"/>
      <c r="K10789" s="1362"/>
      <c r="L10789" s="1362"/>
    </row>
    <row r="10790" spans="1:12" x14ac:dyDescent="0.25">
      <c r="A10790">
        <v>91321</v>
      </c>
      <c r="B10790" t="s">
        <v>3996</v>
      </c>
      <c r="C10790" t="s">
        <v>138</v>
      </c>
      <c r="D10790" s="254">
        <v>877.35</v>
      </c>
      <c r="E10790"/>
      <c r="F10790"/>
      <c r="G10790"/>
      <c r="H10790"/>
      <c r="I10790" s="489"/>
      <c r="J10790" s="1362"/>
      <c r="K10790" s="1362"/>
      <c r="L10790" s="1362"/>
    </row>
    <row r="10791" spans="1:12" x14ac:dyDescent="0.25">
      <c r="A10791">
        <v>91322</v>
      </c>
      <c r="B10791" t="s">
        <v>4676</v>
      </c>
      <c r="C10791" t="s">
        <v>138</v>
      </c>
      <c r="D10791" s="254">
        <v>1058.01</v>
      </c>
      <c r="E10791"/>
      <c r="F10791"/>
      <c r="G10791"/>
      <c r="H10791"/>
      <c r="I10791" s="489"/>
      <c r="J10791" s="1362"/>
      <c r="K10791" s="1362"/>
      <c r="L10791" s="1362"/>
    </row>
    <row r="10792" spans="1:12" x14ac:dyDescent="0.25">
      <c r="A10792">
        <v>91323</v>
      </c>
      <c r="B10792" t="s">
        <v>4677</v>
      </c>
      <c r="C10792" t="s">
        <v>138</v>
      </c>
      <c r="D10792" s="254">
        <v>1128.69</v>
      </c>
      <c r="E10792"/>
      <c r="F10792"/>
      <c r="G10792"/>
      <c r="H10792"/>
      <c r="I10792" s="489"/>
      <c r="J10792" s="1362"/>
      <c r="K10792" s="1362"/>
      <c r="L10792" s="1362"/>
    </row>
    <row r="10793" spans="1:12" x14ac:dyDescent="0.25">
      <c r="A10793">
        <v>91324</v>
      </c>
      <c r="B10793" t="s">
        <v>3997</v>
      </c>
      <c r="C10793" t="s">
        <v>138</v>
      </c>
      <c r="D10793" s="254">
        <v>774.07</v>
      </c>
      <c r="E10793"/>
      <c r="F10793"/>
      <c r="G10793"/>
      <c r="H10793"/>
      <c r="I10793" s="489"/>
      <c r="J10793" s="1362"/>
      <c r="K10793" s="1362"/>
      <c r="L10793" s="1362"/>
    </row>
    <row r="10794" spans="1:12" x14ac:dyDescent="0.25">
      <c r="A10794">
        <v>91325</v>
      </c>
      <c r="B10794" t="s">
        <v>3998</v>
      </c>
      <c r="C10794" t="s">
        <v>138</v>
      </c>
      <c r="D10794" s="254">
        <v>783.09</v>
      </c>
      <c r="E10794"/>
      <c r="F10794"/>
      <c r="G10794"/>
      <c r="H10794"/>
      <c r="I10794" s="489"/>
      <c r="J10794" s="1362"/>
      <c r="K10794" s="1362"/>
      <c r="L10794" s="1362"/>
    </row>
    <row r="10795" spans="1:12" x14ac:dyDescent="0.25">
      <c r="A10795">
        <v>91326</v>
      </c>
      <c r="B10795" t="s">
        <v>3999</v>
      </c>
      <c r="C10795" t="s">
        <v>138</v>
      </c>
      <c r="D10795" s="254">
        <v>841.72</v>
      </c>
      <c r="E10795"/>
      <c r="F10795"/>
      <c r="G10795"/>
      <c r="H10795"/>
      <c r="I10795" s="489"/>
      <c r="J10795" s="1362"/>
      <c r="K10795" s="1362"/>
      <c r="L10795" s="1362"/>
    </row>
    <row r="10796" spans="1:12" x14ac:dyDescent="0.25">
      <c r="A10796">
        <v>91327</v>
      </c>
      <c r="B10796" t="s">
        <v>4000</v>
      </c>
      <c r="C10796" t="s">
        <v>138</v>
      </c>
      <c r="D10796" s="254">
        <v>887.15</v>
      </c>
      <c r="E10796"/>
      <c r="F10796"/>
      <c r="G10796"/>
      <c r="H10796"/>
      <c r="I10796" s="489"/>
      <c r="J10796" s="1362"/>
      <c r="K10796" s="1362"/>
      <c r="L10796" s="1362"/>
    </row>
    <row r="10797" spans="1:12" x14ac:dyDescent="0.25">
      <c r="A10797">
        <v>91328</v>
      </c>
      <c r="B10797" t="s">
        <v>4001</v>
      </c>
      <c r="C10797" t="s">
        <v>138</v>
      </c>
      <c r="D10797" s="254">
        <v>908.57</v>
      </c>
      <c r="E10797"/>
      <c r="F10797"/>
      <c r="G10797"/>
      <c r="H10797"/>
      <c r="I10797" s="489"/>
      <c r="J10797" s="1362"/>
      <c r="K10797" s="1362"/>
      <c r="L10797" s="1362"/>
    </row>
    <row r="10798" spans="1:12" x14ac:dyDescent="0.25">
      <c r="A10798">
        <v>91329</v>
      </c>
      <c r="B10798" t="s">
        <v>4002</v>
      </c>
      <c r="C10798" t="s">
        <v>138</v>
      </c>
      <c r="D10798" s="254">
        <v>783.64</v>
      </c>
      <c r="E10798"/>
      <c r="F10798"/>
      <c r="G10798"/>
      <c r="H10798"/>
      <c r="I10798" s="489"/>
      <c r="J10798" s="1362"/>
      <c r="K10798" s="1362"/>
      <c r="L10798" s="1362"/>
    </row>
    <row r="10799" spans="1:12" x14ac:dyDescent="0.25">
      <c r="A10799">
        <v>91330</v>
      </c>
      <c r="B10799" t="s">
        <v>4003</v>
      </c>
      <c r="C10799" t="s">
        <v>138</v>
      </c>
      <c r="D10799" s="254">
        <v>935.56</v>
      </c>
      <c r="E10799"/>
      <c r="F10799"/>
      <c r="G10799"/>
      <c r="H10799"/>
      <c r="I10799" s="489"/>
      <c r="J10799" s="1362"/>
      <c r="K10799" s="1362"/>
      <c r="L10799" s="1362"/>
    </row>
    <row r="10800" spans="1:12" x14ac:dyDescent="0.25">
      <c r="A10800">
        <v>91331</v>
      </c>
      <c r="B10800" t="s">
        <v>4004</v>
      </c>
      <c r="C10800" t="s">
        <v>138</v>
      </c>
      <c r="D10800" s="254">
        <v>809.84</v>
      </c>
      <c r="E10800"/>
      <c r="F10800"/>
      <c r="G10800"/>
      <c r="H10800"/>
      <c r="I10800" s="489"/>
      <c r="J10800" s="1362"/>
      <c r="K10800" s="1362"/>
      <c r="L10800" s="1362"/>
    </row>
    <row r="10801" spans="1:12" x14ac:dyDescent="0.25">
      <c r="A10801">
        <v>91332</v>
      </c>
      <c r="B10801" t="s">
        <v>4005</v>
      </c>
      <c r="C10801" t="s">
        <v>138</v>
      </c>
      <c r="D10801" s="254">
        <v>974.6</v>
      </c>
      <c r="E10801"/>
      <c r="F10801"/>
      <c r="G10801"/>
      <c r="H10801"/>
      <c r="I10801" s="489"/>
      <c r="J10801" s="1362"/>
      <c r="K10801" s="1362"/>
      <c r="L10801" s="1362"/>
    </row>
    <row r="10802" spans="1:12" x14ac:dyDescent="0.25">
      <c r="A10802">
        <v>91333</v>
      </c>
      <c r="B10802" t="s">
        <v>4006</v>
      </c>
      <c r="C10802" t="s">
        <v>138</v>
      </c>
      <c r="D10802" s="254">
        <v>848.1</v>
      </c>
      <c r="E10802"/>
      <c r="F10802"/>
      <c r="G10802"/>
      <c r="H10802"/>
      <c r="I10802" s="489"/>
      <c r="J10802" s="1362"/>
      <c r="K10802" s="1362"/>
      <c r="L10802" s="1362"/>
    </row>
    <row r="10803" spans="1:12" x14ac:dyDescent="0.25">
      <c r="A10803">
        <v>91334</v>
      </c>
      <c r="B10803" t="s">
        <v>4007</v>
      </c>
      <c r="C10803" t="s">
        <v>138</v>
      </c>
      <c r="D10803" s="254">
        <v>1453.63</v>
      </c>
      <c r="E10803"/>
      <c r="F10803"/>
      <c r="G10803"/>
      <c r="H10803"/>
      <c r="I10803" s="489"/>
      <c r="J10803" s="1362"/>
      <c r="K10803" s="1362"/>
      <c r="L10803" s="1362"/>
    </row>
    <row r="10804" spans="1:12" x14ac:dyDescent="0.25">
      <c r="A10804">
        <v>91335</v>
      </c>
      <c r="B10804" t="s">
        <v>4008</v>
      </c>
      <c r="C10804" t="s">
        <v>138</v>
      </c>
      <c r="D10804" s="254">
        <v>1327.13</v>
      </c>
      <c r="E10804"/>
      <c r="F10804"/>
      <c r="G10804"/>
      <c r="H10804"/>
      <c r="I10804" s="489"/>
      <c r="J10804" s="1362"/>
      <c r="K10804" s="1362"/>
      <c r="L10804" s="1362"/>
    </row>
    <row r="10805" spans="1:12" x14ac:dyDescent="0.25">
      <c r="A10805">
        <v>91336</v>
      </c>
      <c r="B10805" t="s">
        <v>4009</v>
      </c>
      <c r="C10805" t="s">
        <v>138</v>
      </c>
      <c r="D10805" s="254">
        <v>1805.85</v>
      </c>
      <c r="E10805"/>
      <c r="F10805"/>
      <c r="G10805"/>
      <c r="H10805"/>
      <c r="I10805" s="489"/>
      <c r="J10805" s="1362"/>
      <c r="K10805" s="1362"/>
      <c r="L10805" s="1362"/>
    </row>
    <row r="10806" spans="1:12" x14ac:dyDescent="0.25">
      <c r="A10806">
        <v>91337</v>
      </c>
      <c r="B10806" t="s">
        <v>4010</v>
      </c>
      <c r="C10806" t="s">
        <v>138</v>
      </c>
      <c r="D10806" s="254">
        <v>1679.35</v>
      </c>
      <c r="E10806"/>
      <c r="F10806"/>
      <c r="G10806"/>
      <c r="H10806"/>
      <c r="I10806" s="489"/>
      <c r="J10806" s="1362"/>
      <c r="K10806" s="1362"/>
      <c r="L10806" s="1362"/>
    </row>
    <row r="10807" spans="1:12" x14ac:dyDescent="0.25">
      <c r="A10807">
        <v>100659</v>
      </c>
      <c r="B10807" t="s">
        <v>4011</v>
      </c>
      <c r="C10807" t="s">
        <v>151</v>
      </c>
      <c r="D10807" s="254">
        <v>12.43</v>
      </c>
      <c r="E10807"/>
      <c r="F10807"/>
      <c r="G10807"/>
      <c r="H10807"/>
      <c r="I10807" s="489"/>
      <c r="J10807" s="1362"/>
      <c r="K10807" s="1362"/>
      <c r="L10807" s="1362"/>
    </row>
    <row r="10808" spans="1:12" x14ac:dyDescent="0.25">
      <c r="A10808">
        <v>100660</v>
      </c>
      <c r="B10808" t="s">
        <v>4012</v>
      </c>
      <c r="C10808" t="s">
        <v>151</v>
      </c>
      <c r="D10808" s="254">
        <v>8.51</v>
      </c>
      <c r="E10808"/>
      <c r="F10808"/>
      <c r="G10808"/>
      <c r="H10808"/>
      <c r="I10808" s="489"/>
      <c r="J10808" s="1362"/>
      <c r="K10808" s="1362"/>
      <c r="L10808" s="1362"/>
    </row>
    <row r="10809" spans="1:12" x14ac:dyDescent="0.25">
      <c r="A10809">
        <v>100675</v>
      </c>
      <c r="B10809" t="s">
        <v>4013</v>
      </c>
      <c r="C10809" t="s">
        <v>138</v>
      </c>
      <c r="D10809" s="254">
        <v>933.94</v>
      </c>
      <c r="E10809"/>
      <c r="F10809"/>
      <c r="G10809"/>
      <c r="H10809"/>
      <c r="I10809" s="489"/>
      <c r="J10809" s="1362"/>
      <c r="K10809" s="1362"/>
      <c r="L10809" s="1362"/>
    </row>
    <row r="10810" spans="1:12" x14ac:dyDescent="0.25">
      <c r="A10810">
        <v>100676</v>
      </c>
      <c r="B10810" t="s">
        <v>4014</v>
      </c>
      <c r="C10810" t="s">
        <v>138</v>
      </c>
      <c r="D10810" s="254">
        <v>205.33</v>
      </c>
      <c r="E10810"/>
      <c r="F10810"/>
      <c r="G10810"/>
      <c r="H10810"/>
      <c r="I10810" s="489"/>
      <c r="J10810" s="1362"/>
      <c r="K10810" s="1362"/>
      <c r="L10810" s="1362"/>
    </row>
    <row r="10811" spans="1:12" x14ac:dyDescent="0.25">
      <c r="A10811">
        <v>100678</v>
      </c>
      <c r="B10811" t="s">
        <v>4015</v>
      </c>
      <c r="C10811" t="s">
        <v>138</v>
      </c>
      <c r="D10811" s="254">
        <v>1046.78</v>
      </c>
      <c r="E10811"/>
      <c r="F10811"/>
      <c r="G10811"/>
      <c r="H10811"/>
      <c r="I10811" s="489"/>
      <c r="J10811" s="1362"/>
      <c r="K10811" s="1362"/>
      <c r="L10811" s="1362"/>
    </row>
    <row r="10812" spans="1:12" x14ac:dyDescent="0.25">
      <c r="A10812">
        <v>100679</v>
      </c>
      <c r="B10812" t="s">
        <v>4016</v>
      </c>
      <c r="C10812" t="s">
        <v>138</v>
      </c>
      <c r="D10812" s="254">
        <v>877.27</v>
      </c>
      <c r="E10812"/>
      <c r="F10812"/>
      <c r="G10812"/>
      <c r="H10812"/>
      <c r="I10812" s="489"/>
      <c r="J10812" s="1362"/>
      <c r="K10812" s="1362"/>
      <c r="L10812" s="1362"/>
    </row>
    <row r="10813" spans="1:12" x14ac:dyDescent="0.25">
      <c r="A10813">
        <v>100680</v>
      </c>
      <c r="B10813" t="s">
        <v>4017</v>
      </c>
      <c r="C10813" t="s">
        <v>138</v>
      </c>
      <c r="D10813" s="254">
        <v>1056.5899999999999</v>
      </c>
      <c r="E10813"/>
      <c r="F10813"/>
      <c r="G10813"/>
      <c r="H10813"/>
      <c r="I10813" s="489"/>
      <c r="J10813" s="1362"/>
      <c r="K10813" s="1362"/>
      <c r="L10813" s="1362"/>
    </row>
    <row r="10814" spans="1:12" x14ac:dyDescent="0.25">
      <c r="A10814">
        <v>100681</v>
      </c>
      <c r="B10814" t="s">
        <v>4018</v>
      </c>
      <c r="C10814" t="s">
        <v>138</v>
      </c>
      <c r="D10814" s="254">
        <v>1083.3399999999999</v>
      </c>
      <c r="E10814"/>
      <c r="F10814"/>
      <c r="G10814"/>
      <c r="H10814"/>
      <c r="I10814" s="489"/>
      <c r="J10814" s="1362"/>
      <c r="K10814" s="1362"/>
      <c r="L10814" s="1362"/>
    </row>
    <row r="10815" spans="1:12" x14ac:dyDescent="0.25">
      <c r="A10815">
        <v>100682</v>
      </c>
      <c r="B10815" t="s">
        <v>4019</v>
      </c>
      <c r="C10815" t="s">
        <v>138</v>
      </c>
      <c r="D10815" s="254">
        <v>898</v>
      </c>
      <c r="E10815"/>
      <c r="F10815"/>
      <c r="G10815"/>
      <c r="H10815"/>
      <c r="I10815" s="489"/>
      <c r="J10815" s="1362"/>
      <c r="K10815" s="1362"/>
      <c r="L10815" s="1362"/>
    </row>
    <row r="10816" spans="1:12" x14ac:dyDescent="0.25">
      <c r="A10816">
        <v>100683</v>
      </c>
      <c r="B10816" t="s">
        <v>4020</v>
      </c>
      <c r="C10816" t="s">
        <v>138</v>
      </c>
      <c r="D10816" s="254">
        <v>1137.19</v>
      </c>
      <c r="E10816"/>
      <c r="F10816"/>
      <c r="G10816"/>
      <c r="H10816"/>
      <c r="I10816" s="489"/>
      <c r="J10816" s="1362"/>
      <c r="K10816" s="1362"/>
      <c r="L10816" s="1362"/>
    </row>
    <row r="10817" spans="1:12" x14ac:dyDescent="0.25">
      <c r="A10817">
        <v>100684</v>
      </c>
      <c r="B10817" t="s">
        <v>4021</v>
      </c>
      <c r="C10817" t="s">
        <v>138</v>
      </c>
      <c r="D10817" s="254">
        <v>945.89</v>
      </c>
      <c r="E10817"/>
      <c r="F10817"/>
      <c r="G10817"/>
      <c r="H10817"/>
      <c r="I10817" s="489"/>
      <c r="J10817" s="1362"/>
      <c r="K10817" s="1362"/>
      <c r="L10817" s="1362"/>
    </row>
    <row r="10818" spans="1:12" x14ac:dyDescent="0.25">
      <c r="A10818">
        <v>100685</v>
      </c>
      <c r="B10818" t="s">
        <v>4022</v>
      </c>
      <c r="C10818" t="s">
        <v>138</v>
      </c>
      <c r="D10818" s="254">
        <v>1183.4000000000001</v>
      </c>
      <c r="E10818"/>
      <c r="F10818"/>
      <c r="G10818"/>
      <c r="H10818"/>
      <c r="I10818" s="489"/>
      <c r="J10818" s="1362"/>
      <c r="K10818" s="1362"/>
      <c r="L10818" s="1362"/>
    </row>
    <row r="10819" spans="1:12" x14ac:dyDescent="0.25">
      <c r="A10819">
        <v>100686</v>
      </c>
      <c r="B10819" t="s">
        <v>4023</v>
      </c>
      <c r="C10819" t="s">
        <v>138</v>
      </c>
      <c r="D10819" s="254">
        <v>991.32</v>
      </c>
      <c r="E10819"/>
      <c r="F10819"/>
      <c r="G10819"/>
      <c r="H10819"/>
      <c r="I10819" s="489"/>
      <c r="J10819" s="1362"/>
      <c r="K10819" s="1362"/>
      <c r="L10819" s="1362"/>
    </row>
    <row r="10820" spans="1:12" x14ac:dyDescent="0.25">
      <c r="A10820">
        <v>100687</v>
      </c>
      <c r="B10820" t="s">
        <v>4024</v>
      </c>
      <c r="C10820" t="s">
        <v>138</v>
      </c>
      <c r="D10820" s="254">
        <v>1056.3499999999999</v>
      </c>
      <c r="E10820"/>
      <c r="F10820"/>
      <c r="G10820"/>
      <c r="H10820"/>
      <c r="I10820" s="489"/>
      <c r="J10820" s="1362"/>
      <c r="K10820" s="1362"/>
      <c r="L10820" s="1362"/>
    </row>
    <row r="10821" spans="1:12" x14ac:dyDescent="0.25">
      <c r="A10821">
        <v>100688</v>
      </c>
      <c r="B10821" t="s">
        <v>4025</v>
      </c>
      <c r="C10821" t="s">
        <v>138</v>
      </c>
      <c r="D10821" s="254">
        <v>886.84</v>
      </c>
      <c r="E10821"/>
      <c r="F10821"/>
      <c r="G10821"/>
      <c r="H10821"/>
      <c r="I10821" s="489"/>
      <c r="J10821" s="1362"/>
      <c r="K10821" s="1362"/>
      <c r="L10821" s="1362"/>
    </row>
    <row r="10822" spans="1:12" x14ac:dyDescent="0.25">
      <c r="A10822">
        <v>100689</v>
      </c>
      <c r="B10822" t="s">
        <v>4026</v>
      </c>
      <c r="C10822" t="s">
        <v>138</v>
      </c>
      <c r="D10822" s="254">
        <v>1143.57</v>
      </c>
      <c r="E10822"/>
      <c r="F10822"/>
      <c r="G10822"/>
      <c r="H10822"/>
      <c r="I10822" s="489"/>
      <c r="J10822" s="1362"/>
      <c r="K10822" s="1362"/>
      <c r="L10822" s="1362"/>
    </row>
    <row r="10823" spans="1:12" x14ac:dyDescent="0.25">
      <c r="A10823">
        <v>100690</v>
      </c>
      <c r="B10823" t="s">
        <v>4027</v>
      </c>
      <c r="C10823" t="s">
        <v>138</v>
      </c>
      <c r="D10823" s="254">
        <v>952.27</v>
      </c>
      <c r="E10823"/>
      <c r="F10823"/>
      <c r="G10823"/>
      <c r="H10823"/>
      <c r="I10823" s="489"/>
      <c r="J10823" s="1362"/>
      <c r="K10823" s="1362"/>
      <c r="L10823" s="1362"/>
    </row>
    <row r="10824" spans="1:12" x14ac:dyDescent="0.25">
      <c r="A10824">
        <v>100691</v>
      </c>
      <c r="B10824" t="s">
        <v>4028</v>
      </c>
      <c r="C10824" t="s">
        <v>138</v>
      </c>
      <c r="D10824" s="254">
        <v>1622.6</v>
      </c>
      <c r="E10824"/>
      <c r="F10824"/>
      <c r="G10824"/>
      <c r="H10824"/>
      <c r="I10824" s="489"/>
      <c r="J10824" s="1362"/>
      <c r="K10824" s="1362"/>
      <c r="L10824" s="1362"/>
    </row>
    <row r="10825" spans="1:12" x14ac:dyDescent="0.25">
      <c r="A10825">
        <v>100692</v>
      </c>
      <c r="B10825" t="s">
        <v>4029</v>
      </c>
      <c r="C10825" t="s">
        <v>138</v>
      </c>
      <c r="D10825" s="254">
        <v>1431.3</v>
      </c>
      <c r="E10825"/>
      <c r="F10825"/>
      <c r="G10825"/>
      <c r="H10825"/>
      <c r="I10825" s="489"/>
      <c r="J10825" s="1362"/>
      <c r="K10825" s="1362"/>
      <c r="L10825" s="1362"/>
    </row>
    <row r="10826" spans="1:12" x14ac:dyDescent="0.25">
      <c r="A10826">
        <v>100693</v>
      </c>
      <c r="B10826" t="s">
        <v>4030</v>
      </c>
      <c r="C10826" t="s">
        <v>138</v>
      </c>
      <c r="D10826" s="254">
        <v>1974.82</v>
      </c>
      <c r="E10826"/>
      <c r="F10826"/>
      <c r="G10826"/>
      <c r="H10826"/>
      <c r="I10826" s="489"/>
      <c r="J10826" s="1362"/>
      <c r="K10826" s="1362"/>
      <c r="L10826" s="1362"/>
    </row>
    <row r="10827" spans="1:12" x14ac:dyDescent="0.25">
      <c r="A10827">
        <v>100694</v>
      </c>
      <c r="B10827" t="s">
        <v>4031</v>
      </c>
      <c r="C10827" t="s">
        <v>138</v>
      </c>
      <c r="D10827" s="254">
        <v>1783.52</v>
      </c>
      <c r="E10827"/>
      <c r="F10827"/>
      <c r="G10827"/>
      <c r="H10827"/>
      <c r="I10827" s="489"/>
      <c r="J10827" s="1362"/>
      <c r="K10827" s="1362"/>
      <c r="L10827" s="1362"/>
    </row>
    <row r="10828" spans="1:12" x14ac:dyDescent="0.25">
      <c r="A10828">
        <v>100695</v>
      </c>
      <c r="B10828" t="s">
        <v>4032</v>
      </c>
      <c r="C10828" t="s">
        <v>138</v>
      </c>
      <c r="D10828" s="254">
        <v>61.94</v>
      </c>
      <c r="E10828"/>
      <c r="F10828"/>
      <c r="G10828"/>
      <c r="H10828"/>
      <c r="I10828" s="489"/>
      <c r="J10828" s="1362"/>
      <c r="K10828" s="1362"/>
      <c r="L10828" s="1362"/>
    </row>
    <row r="10829" spans="1:12" x14ac:dyDescent="0.25">
      <c r="A10829">
        <v>100696</v>
      </c>
      <c r="B10829" t="s">
        <v>4033</v>
      </c>
      <c r="C10829" t="s">
        <v>138</v>
      </c>
      <c r="D10829" s="254">
        <v>68.88</v>
      </c>
      <c r="E10829"/>
      <c r="F10829"/>
      <c r="G10829"/>
      <c r="H10829"/>
      <c r="I10829" s="489"/>
      <c r="J10829" s="1362"/>
      <c r="K10829" s="1362"/>
      <c r="L10829" s="1362"/>
    </row>
    <row r="10830" spans="1:12" x14ac:dyDescent="0.25">
      <c r="A10830">
        <v>100697</v>
      </c>
      <c r="B10830" t="s">
        <v>4034</v>
      </c>
      <c r="C10830" t="s">
        <v>138</v>
      </c>
      <c r="D10830" s="254">
        <v>75.87</v>
      </c>
      <c r="E10830"/>
      <c r="F10830"/>
      <c r="G10830"/>
      <c r="H10830"/>
      <c r="I10830" s="489"/>
      <c r="J10830" s="1362"/>
      <c r="K10830" s="1362"/>
      <c r="L10830" s="1362"/>
    </row>
    <row r="10831" spans="1:12" x14ac:dyDescent="0.25">
      <c r="A10831">
        <v>100698</v>
      </c>
      <c r="B10831" t="s">
        <v>4035</v>
      </c>
      <c r="C10831" t="s">
        <v>138</v>
      </c>
      <c r="D10831" s="254">
        <v>82.84</v>
      </c>
      <c r="E10831"/>
      <c r="F10831"/>
      <c r="G10831"/>
      <c r="H10831"/>
      <c r="I10831" s="489"/>
      <c r="J10831" s="1362"/>
      <c r="K10831" s="1362"/>
      <c r="L10831" s="1362"/>
    </row>
    <row r="10832" spans="1:12" x14ac:dyDescent="0.25">
      <c r="A10832">
        <v>100699</v>
      </c>
      <c r="B10832" t="s">
        <v>4036</v>
      </c>
      <c r="C10832" t="s">
        <v>138</v>
      </c>
      <c r="D10832" s="254">
        <v>98.55</v>
      </c>
      <c r="E10832"/>
      <c r="F10832"/>
      <c r="G10832"/>
      <c r="H10832"/>
      <c r="I10832" s="489"/>
      <c r="J10832" s="1362"/>
      <c r="K10832" s="1362"/>
      <c r="L10832" s="1362"/>
    </row>
    <row r="10833" spans="1:12" x14ac:dyDescent="0.25">
      <c r="A10833">
        <v>100700</v>
      </c>
      <c r="B10833" t="s">
        <v>4037</v>
      </c>
      <c r="C10833" t="s">
        <v>138</v>
      </c>
      <c r="D10833" s="254">
        <v>871.29</v>
      </c>
      <c r="E10833"/>
      <c r="F10833"/>
      <c r="G10833"/>
      <c r="H10833"/>
      <c r="I10833" s="489"/>
      <c r="J10833" s="1362"/>
      <c r="K10833" s="1362"/>
      <c r="L10833" s="1362"/>
    </row>
    <row r="10834" spans="1:12" x14ac:dyDescent="0.25">
      <c r="A10834">
        <v>100712</v>
      </c>
      <c r="B10834" t="s">
        <v>4038</v>
      </c>
      <c r="C10834" t="s">
        <v>138</v>
      </c>
      <c r="D10834" s="254">
        <v>871.25</v>
      </c>
      <c r="E10834"/>
      <c r="F10834"/>
      <c r="G10834"/>
      <c r="H10834"/>
      <c r="I10834" s="489"/>
      <c r="J10834" s="1362"/>
      <c r="K10834" s="1362"/>
      <c r="L10834" s="1362"/>
    </row>
    <row r="10835" spans="1:12" x14ac:dyDescent="0.25">
      <c r="A10835">
        <v>100665</v>
      </c>
      <c r="B10835" t="s">
        <v>4039</v>
      </c>
      <c r="C10835" t="s">
        <v>297</v>
      </c>
      <c r="D10835" s="254">
        <v>517.19000000000005</v>
      </c>
      <c r="E10835"/>
      <c r="F10835"/>
      <c r="G10835"/>
      <c r="H10835"/>
      <c r="I10835" s="489"/>
      <c r="J10835" s="1362"/>
      <c r="K10835" s="1362"/>
      <c r="L10835" s="1362"/>
    </row>
    <row r="10836" spans="1:12" x14ac:dyDescent="0.25">
      <c r="A10836">
        <v>100666</v>
      </c>
      <c r="B10836" t="s">
        <v>4040</v>
      </c>
      <c r="C10836" t="s">
        <v>297</v>
      </c>
      <c r="D10836" s="254">
        <v>424.39</v>
      </c>
      <c r="E10836"/>
      <c r="F10836"/>
      <c r="G10836"/>
      <c r="H10836"/>
      <c r="I10836" s="489"/>
      <c r="J10836" s="1362"/>
      <c r="K10836" s="1362"/>
      <c r="L10836" s="1362"/>
    </row>
    <row r="10837" spans="1:12" x14ac:dyDescent="0.25">
      <c r="A10837">
        <v>100667</v>
      </c>
      <c r="B10837" t="s">
        <v>4041</v>
      </c>
      <c r="C10837" t="s">
        <v>297</v>
      </c>
      <c r="D10837" s="254">
        <v>648.37</v>
      </c>
      <c r="E10837"/>
      <c r="F10837"/>
      <c r="G10837"/>
      <c r="H10837"/>
      <c r="I10837" s="489"/>
      <c r="J10837" s="1362"/>
      <c r="K10837" s="1362"/>
      <c r="L10837" s="1362"/>
    </row>
    <row r="10838" spans="1:12" x14ac:dyDescent="0.25">
      <c r="A10838">
        <v>100668</v>
      </c>
      <c r="B10838" t="s">
        <v>4042</v>
      </c>
      <c r="C10838" t="s">
        <v>297</v>
      </c>
      <c r="D10838" s="254">
        <v>883.49</v>
      </c>
      <c r="E10838"/>
      <c r="F10838"/>
      <c r="G10838"/>
      <c r="H10838"/>
      <c r="I10838" s="489"/>
      <c r="J10838" s="1362"/>
      <c r="K10838" s="1362"/>
      <c r="L10838" s="1362"/>
    </row>
    <row r="10839" spans="1:12" x14ac:dyDescent="0.25">
      <c r="A10839">
        <v>100669</v>
      </c>
      <c r="B10839" t="s">
        <v>4043</v>
      </c>
      <c r="C10839" t="s">
        <v>297</v>
      </c>
      <c r="D10839" s="254">
        <v>498.03</v>
      </c>
      <c r="E10839"/>
      <c r="F10839"/>
      <c r="G10839"/>
      <c r="H10839"/>
      <c r="I10839" s="489"/>
      <c r="J10839" s="1362"/>
      <c r="K10839" s="1362"/>
      <c r="L10839" s="1362"/>
    </row>
    <row r="10840" spans="1:12" x14ac:dyDescent="0.25">
      <c r="A10840">
        <v>100670</v>
      </c>
      <c r="B10840" t="s">
        <v>4044</v>
      </c>
      <c r="C10840" t="s">
        <v>297</v>
      </c>
      <c r="D10840" s="254">
        <v>632.51</v>
      </c>
      <c r="E10840"/>
      <c r="F10840"/>
      <c r="G10840"/>
      <c r="H10840"/>
      <c r="I10840" s="489"/>
      <c r="J10840" s="1362"/>
      <c r="K10840" s="1362"/>
      <c r="L10840" s="1362"/>
    </row>
    <row r="10841" spans="1:12" x14ac:dyDescent="0.25">
      <c r="A10841">
        <v>100671</v>
      </c>
      <c r="B10841" t="s">
        <v>4045</v>
      </c>
      <c r="C10841" t="s">
        <v>297</v>
      </c>
      <c r="D10841" s="254">
        <v>766.06</v>
      </c>
      <c r="E10841"/>
      <c r="F10841"/>
      <c r="G10841"/>
      <c r="H10841"/>
      <c r="I10841" s="489"/>
      <c r="J10841" s="1362"/>
      <c r="K10841" s="1362"/>
      <c r="L10841" s="1362"/>
    </row>
    <row r="10842" spans="1:12" x14ac:dyDescent="0.25">
      <c r="A10842">
        <v>100672</v>
      </c>
      <c r="B10842" t="s">
        <v>4046</v>
      </c>
      <c r="C10842" t="s">
        <v>297</v>
      </c>
      <c r="D10842" s="254">
        <v>522.78</v>
      </c>
      <c r="E10842"/>
      <c r="F10842"/>
      <c r="G10842"/>
      <c r="H10842"/>
      <c r="I10842" s="489"/>
      <c r="J10842" s="1362"/>
      <c r="K10842" s="1362"/>
      <c r="L10842" s="1362"/>
    </row>
    <row r="10843" spans="1:12" x14ac:dyDescent="0.25">
      <c r="A10843">
        <v>100701</v>
      </c>
      <c r="B10843" t="s">
        <v>4047</v>
      </c>
      <c r="C10843" t="s">
        <v>297</v>
      </c>
      <c r="D10843" s="254">
        <v>557.15</v>
      </c>
      <c r="E10843"/>
      <c r="F10843"/>
      <c r="G10843"/>
      <c r="H10843"/>
      <c r="I10843" s="489"/>
      <c r="J10843" s="1362"/>
      <c r="K10843" s="1362"/>
      <c r="L10843" s="1362"/>
    </row>
    <row r="10844" spans="1:12" x14ac:dyDescent="0.25">
      <c r="A10844">
        <v>94559</v>
      </c>
      <c r="B10844" t="s">
        <v>4048</v>
      </c>
      <c r="C10844" t="s">
        <v>297</v>
      </c>
      <c r="D10844" s="254">
        <v>838.11</v>
      </c>
      <c r="E10844"/>
      <c r="F10844"/>
      <c r="G10844"/>
      <c r="H10844"/>
      <c r="I10844" s="489"/>
      <c r="J10844" s="1362"/>
      <c r="K10844" s="1362"/>
      <c r="L10844" s="1362"/>
    </row>
    <row r="10845" spans="1:12" x14ac:dyDescent="0.25">
      <c r="A10845">
        <v>94562</v>
      </c>
      <c r="B10845" t="s">
        <v>4049</v>
      </c>
      <c r="C10845" t="s">
        <v>297</v>
      </c>
      <c r="D10845" s="254">
        <v>794.3</v>
      </c>
      <c r="E10845"/>
      <c r="F10845"/>
      <c r="G10845"/>
      <c r="H10845"/>
      <c r="I10845" s="489"/>
      <c r="J10845" s="1362"/>
      <c r="K10845" s="1362"/>
      <c r="L10845" s="1362"/>
    </row>
    <row r="10846" spans="1:12" x14ac:dyDescent="0.25">
      <c r="A10846">
        <v>94587</v>
      </c>
      <c r="B10846" t="s">
        <v>4050</v>
      </c>
      <c r="C10846" t="s">
        <v>151</v>
      </c>
      <c r="D10846" s="254">
        <v>89.56</v>
      </c>
      <c r="E10846"/>
      <c r="F10846"/>
      <c r="G10846"/>
      <c r="H10846"/>
      <c r="I10846" s="489"/>
      <c r="J10846" s="1362"/>
      <c r="K10846" s="1362"/>
      <c r="L10846" s="1362"/>
    </row>
    <row r="10847" spans="1:12" x14ac:dyDescent="0.25">
      <c r="A10847">
        <v>94588</v>
      </c>
      <c r="B10847" t="s">
        <v>4051</v>
      </c>
      <c r="C10847" t="s">
        <v>151</v>
      </c>
      <c r="D10847" s="254">
        <v>80.12</v>
      </c>
      <c r="E10847"/>
      <c r="F10847"/>
      <c r="G10847"/>
      <c r="H10847"/>
      <c r="I10847" s="489"/>
      <c r="J10847" s="1362"/>
      <c r="K10847" s="1362"/>
      <c r="L10847" s="1362"/>
    </row>
    <row r="10848" spans="1:12" x14ac:dyDescent="0.25">
      <c r="A10848">
        <v>99837</v>
      </c>
      <c r="B10848" t="s">
        <v>3256</v>
      </c>
      <c r="C10848" t="s">
        <v>151</v>
      </c>
      <c r="D10848" s="254">
        <v>611.79</v>
      </c>
      <c r="E10848"/>
      <c r="F10848"/>
      <c r="G10848"/>
      <c r="H10848"/>
      <c r="I10848" s="489"/>
      <c r="J10848" s="1362"/>
      <c r="K10848" s="1362"/>
      <c r="L10848" s="1362"/>
    </row>
    <row r="10849" spans="1:12" x14ac:dyDescent="0.25">
      <c r="A10849">
        <v>99839</v>
      </c>
      <c r="B10849" t="s">
        <v>3257</v>
      </c>
      <c r="C10849" t="s">
        <v>151</v>
      </c>
      <c r="D10849" s="254">
        <v>535.66</v>
      </c>
      <c r="E10849"/>
      <c r="F10849"/>
      <c r="G10849"/>
      <c r="H10849"/>
      <c r="I10849" s="489"/>
      <c r="J10849" s="1362"/>
      <c r="K10849" s="1362"/>
      <c r="L10849" s="1362"/>
    </row>
    <row r="10850" spans="1:12" x14ac:dyDescent="0.25">
      <c r="A10850">
        <v>99841</v>
      </c>
      <c r="B10850" t="s">
        <v>3258</v>
      </c>
      <c r="C10850" t="s">
        <v>151</v>
      </c>
      <c r="D10850" s="254">
        <v>1324.22</v>
      </c>
      <c r="E10850"/>
      <c r="F10850"/>
      <c r="G10850"/>
      <c r="H10850"/>
      <c r="I10850" s="489"/>
      <c r="J10850" s="1362"/>
      <c r="K10850" s="1362"/>
      <c r="L10850" s="1362"/>
    </row>
    <row r="10851" spans="1:12" x14ac:dyDescent="0.25">
      <c r="A10851">
        <v>99855</v>
      </c>
      <c r="B10851" t="s">
        <v>3259</v>
      </c>
      <c r="C10851" t="s">
        <v>151</v>
      </c>
      <c r="D10851" s="254">
        <v>111.31</v>
      </c>
      <c r="E10851"/>
      <c r="F10851"/>
      <c r="G10851"/>
      <c r="H10851"/>
      <c r="I10851" s="489"/>
      <c r="J10851" s="1362"/>
      <c r="K10851" s="1362"/>
      <c r="L10851" s="1362"/>
    </row>
    <row r="10852" spans="1:12" x14ac:dyDescent="0.25">
      <c r="A10852">
        <v>99857</v>
      </c>
      <c r="B10852" t="s">
        <v>3260</v>
      </c>
      <c r="C10852" t="s">
        <v>151</v>
      </c>
      <c r="D10852" s="254">
        <v>109.04</v>
      </c>
      <c r="E10852"/>
      <c r="F10852"/>
      <c r="G10852"/>
      <c r="H10852"/>
      <c r="I10852" s="489"/>
      <c r="J10852" s="1362"/>
      <c r="K10852" s="1362"/>
      <c r="L10852" s="1362"/>
    </row>
    <row r="10853" spans="1:12" x14ac:dyDescent="0.25">
      <c r="A10853">
        <v>99861</v>
      </c>
      <c r="B10853" t="s">
        <v>3261</v>
      </c>
      <c r="C10853" t="s">
        <v>297</v>
      </c>
      <c r="D10853" s="254">
        <v>714.52</v>
      </c>
      <c r="E10853"/>
      <c r="F10853"/>
      <c r="G10853"/>
      <c r="H10853"/>
      <c r="I10853" s="489"/>
      <c r="J10853" s="1362"/>
      <c r="K10853" s="1362"/>
      <c r="L10853" s="1362"/>
    </row>
    <row r="10854" spans="1:12" x14ac:dyDescent="0.25">
      <c r="A10854">
        <v>99862</v>
      </c>
      <c r="B10854" t="s">
        <v>3262</v>
      </c>
      <c r="C10854" t="s">
        <v>297</v>
      </c>
      <c r="D10854" s="254">
        <v>747.06</v>
      </c>
      <c r="E10854"/>
      <c r="F10854"/>
      <c r="G10854"/>
      <c r="H10854"/>
      <c r="I10854" s="489"/>
      <c r="J10854" s="1362"/>
      <c r="K10854" s="1362"/>
      <c r="L10854" s="1362"/>
    </row>
    <row r="10855" spans="1:12" x14ac:dyDescent="0.25">
      <c r="A10855">
        <v>90838</v>
      </c>
      <c r="B10855" t="s">
        <v>4052</v>
      </c>
      <c r="C10855" t="s">
        <v>138</v>
      </c>
      <c r="D10855" s="254">
        <v>1423.63</v>
      </c>
      <c r="E10855"/>
      <c r="F10855"/>
      <c r="G10855"/>
      <c r="H10855"/>
      <c r="I10855" s="489"/>
      <c r="J10855" s="1362"/>
      <c r="K10855" s="1362"/>
      <c r="L10855" s="1362"/>
    </row>
    <row r="10856" spans="1:12" x14ac:dyDescent="0.25">
      <c r="A10856">
        <v>91338</v>
      </c>
      <c r="B10856" t="s">
        <v>4053</v>
      </c>
      <c r="C10856" t="s">
        <v>297</v>
      </c>
      <c r="D10856" s="254">
        <v>1186.94</v>
      </c>
      <c r="E10856"/>
      <c r="F10856"/>
      <c r="G10856"/>
      <c r="H10856"/>
      <c r="I10856" s="489"/>
      <c r="J10856" s="1362"/>
      <c r="K10856" s="1362"/>
      <c r="L10856" s="1362"/>
    </row>
    <row r="10857" spans="1:12" x14ac:dyDescent="0.25">
      <c r="A10857">
        <v>91341</v>
      </c>
      <c r="B10857" t="s">
        <v>4054</v>
      </c>
      <c r="C10857" t="s">
        <v>297</v>
      </c>
      <c r="D10857" s="254">
        <v>906.66</v>
      </c>
      <c r="E10857"/>
      <c r="F10857"/>
      <c r="G10857"/>
      <c r="H10857"/>
      <c r="I10857" s="489"/>
      <c r="J10857" s="1362"/>
      <c r="K10857" s="1362"/>
      <c r="L10857" s="1362"/>
    </row>
    <row r="10858" spans="1:12" x14ac:dyDescent="0.25">
      <c r="A10858">
        <v>94805</v>
      </c>
      <c r="B10858" t="s">
        <v>4055</v>
      </c>
      <c r="C10858" t="s">
        <v>138</v>
      </c>
      <c r="D10858" s="254">
        <v>1210.1400000000001</v>
      </c>
      <c r="E10858"/>
      <c r="F10858"/>
      <c r="G10858"/>
      <c r="H10858"/>
      <c r="I10858" s="489"/>
      <c r="J10858" s="1362"/>
      <c r="K10858" s="1362"/>
      <c r="L10858" s="1362"/>
    </row>
    <row r="10859" spans="1:12" x14ac:dyDescent="0.25">
      <c r="A10859">
        <v>94806</v>
      </c>
      <c r="B10859" t="s">
        <v>4056</v>
      </c>
      <c r="C10859" t="s">
        <v>138</v>
      </c>
      <c r="D10859" s="254">
        <v>658.03</v>
      </c>
      <c r="E10859"/>
      <c r="F10859"/>
      <c r="G10859"/>
      <c r="H10859"/>
      <c r="I10859" s="489"/>
      <c r="J10859" s="1362"/>
      <c r="K10859" s="1362"/>
      <c r="L10859" s="1362"/>
    </row>
    <row r="10860" spans="1:12" x14ac:dyDescent="0.25">
      <c r="A10860">
        <v>94807</v>
      </c>
      <c r="B10860" t="s">
        <v>4057</v>
      </c>
      <c r="C10860" t="s">
        <v>138</v>
      </c>
      <c r="D10860" s="254">
        <v>601.21</v>
      </c>
      <c r="E10860"/>
      <c r="F10860"/>
      <c r="G10860"/>
      <c r="H10860"/>
      <c r="I10860" s="489"/>
      <c r="J10860" s="1362"/>
      <c r="K10860" s="1362"/>
      <c r="L10860" s="1362"/>
    </row>
    <row r="10861" spans="1:12" x14ac:dyDescent="0.25">
      <c r="A10861">
        <v>100702</v>
      </c>
      <c r="B10861" t="s">
        <v>4058</v>
      </c>
      <c r="C10861" t="s">
        <v>297</v>
      </c>
      <c r="D10861" s="254">
        <v>674.98</v>
      </c>
      <c r="E10861"/>
      <c r="F10861"/>
      <c r="G10861"/>
      <c r="H10861"/>
      <c r="I10861" s="489"/>
      <c r="J10861" s="1362"/>
      <c r="K10861" s="1362"/>
      <c r="L10861" s="1362"/>
    </row>
    <row r="10862" spans="1:12" x14ac:dyDescent="0.25">
      <c r="A10862">
        <v>102188</v>
      </c>
      <c r="B10862" t="s">
        <v>5976</v>
      </c>
      <c r="C10862" t="s">
        <v>138</v>
      </c>
      <c r="D10862" s="254">
        <v>902.64</v>
      </c>
      <c r="E10862"/>
      <c r="F10862"/>
      <c r="G10862"/>
      <c r="H10862"/>
      <c r="I10862" s="489"/>
      <c r="J10862" s="1362"/>
      <c r="K10862" s="1362"/>
      <c r="L10862" s="1362"/>
    </row>
    <row r="10863" spans="1:12" x14ac:dyDescent="0.25">
      <c r="A10863">
        <v>102189</v>
      </c>
      <c r="B10863" t="s">
        <v>5977</v>
      </c>
      <c r="C10863" t="s">
        <v>138</v>
      </c>
      <c r="D10863" s="254">
        <v>241.58</v>
      </c>
      <c r="E10863"/>
      <c r="F10863"/>
      <c r="G10863"/>
      <c r="H10863"/>
      <c r="I10863" s="489"/>
      <c r="J10863" s="1362"/>
      <c r="K10863" s="1362"/>
      <c r="L10863" s="1362"/>
    </row>
    <row r="10864" spans="1:12" x14ac:dyDescent="0.25">
      <c r="A10864">
        <v>100703</v>
      </c>
      <c r="B10864" t="s">
        <v>4059</v>
      </c>
      <c r="C10864" t="s">
        <v>138</v>
      </c>
      <c r="D10864" s="254">
        <v>33.86</v>
      </c>
      <c r="E10864"/>
      <c r="F10864"/>
      <c r="G10864"/>
      <c r="H10864"/>
      <c r="I10864" s="489"/>
      <c r="J10864" s="1362"/>
      <c r="K10864" s="1362"/>
      <c r="L10864" s="1362"/>
    </row>
    <row r="10865" spans="1:12" x14ac:dyDescent="0.25">
      <c r="A10865">
        <v>100704</v>
      </c>
      <c r="B10865" t="s">
        <v>4060</v>
      </c>
      <c r="C10865" t="s">
        <v>138</v>
      </c>
      <c r="D10865" s="254">
        <v>71.78</v>
      </c>
      <c r="E10865"/>
      <c r="F10865"/>
      <c r="G10865"/>
      <c r="H10865"/>
      <c r="I10865" s="489"/>
      <c r="J10865" s="1362"/>
      <c r="K10865" s="1362"/>
      <c r="L10865" s="1362"/>
    </row>
    <row r="10866" spans="1:12" x14ac:dyDescent="0.25">
      <c r="A10866">
        <v>100705</v>
      </c>
      <c r="B10866" t="s">
        <v>4061</v>
      </c>
      <c r="C10866" t="s">
        <v>138</v>
      </c>
      <c r="D10866" s="254">
        <v>82.68</v>
      </c>
      <c r="E10866"/>
      <c r="F10866"/>
      <c r="G10866"/>
      <c r="H10866"/>
      <c r="I10866" s="489"/>
      <c r="J10866" s="1362"/>
      <c r="K10866" s="1362"/>
      <c r="L10866" s="1362"/>
    </row>
    <row r="10867" spans="1:12" x14ac:dyDescent="0.25">
      <c r="A10867">
        <v>100706</v>
      </c>
      <c r="B10867" t="s">
        <v>4062</v>
      </c>
      <c r="C10867" t="s">
        <v>138</v>
      </c>
      <c r="D10867" s="254">
        <v>73.78</v>
      </c>
      <c r="E10867"/>
      <c r="F10867"/>
      <c r="G10867"/>
      <c r="H10867"/>
      <c r="I10867" s="489"/>
      <c r="J10867" s="1362"/>
      <c r="K10867" s="1362"/>
      <c r="L10867" s="1362"/>
    </row>
    <row r="10868" spans="1:12" x14ac:dyDescent="0.25">
      <c r="A10868">
        <v>100707</v>
      </c>
      <c r="B10868" t="s">
        <v>4063</v>
      </c>
      <c r="C10868" t="s">
        <v>138</v>
      </c>
      <c r="D10868" s="254">
        <v>151.84</v>
      </c>
      <c r="E10868"/>
      <c r="F10868"/>
      <c r="G10868"/>
      <c r="H10868"/>
      <c r="I10868" s="489"/>
      <c r="J10868" s="1362"/>
      <c r="K10868" s="1362"/>
      <c r="L10868" s="1362"/>
    </row>
    <row r="10869" spans="1:12" x14ac:dyDescent="0.25">
      <c r="A10869">
        <v>100708</v>
      </c>
      <c r="B10869" t="s">
        <v>4064</v>
      </c>
      <c r="C10869" t="s">
        <v>138</v>
      </c>
      <c r="D10869" s="254">
        <v>190.12</v>
      </c>
      <c r="E10869"/>
      <c r="F10869"/>
      <c r="G10869"/>
      <c r="H10869"/>
      <c r="I10869" s="489"/>
      <c r="J10869" s="1362"/>
      <c r="K10869" s="1362"/>
      <c r="L10869" s="1362"/>
    </row>
    <row r="10870" spans="1:12" x14ac:dyDescent="0.25">
      <c r="A10870">
        <v>100709</v>
      </c>
      <c r="B10870" t="s">
        <v>4065</v>
      </c>
      <c r="C10870" t="s">
        <v>138</v>
      </c>
      <c r="D10870" s="254">
        <v>50.54</v>
      </c>
      <c r="E10870"/>
      <c r="F10870"/>
      <c r="G10870"/>
      <c r="H10870"/>
      <c r="I10870" s="489"/>
      <c r="J10870" s="1362"/>
      <c r="K10870" s="1362"/>
      <c r="L10870" s="1362"/>
    </row>
    <row r="10871" spans="1:12" x14ac:dyDescent="0.25">
      <c r="A10871">
        <v>100710</v>
      </c>
      <c r="B10871" t="s">
        <v>4066</v>
      </c>
      <c r="C10871" t="s">
        <v>138</v>
      </c>
      <c r="D10871" s="254">
        <v>130.33000000000001</v>
      </c>
      <c r="E10871"/>
      <c r="F10871"/>
      <c r="G10871"/>
      <c r="H10871"/>
      <c r="I10871" s="489"/>
      <c r="J10871" s="1362"/>
      <c r="K10871" s="1362"/>
      <c r="L10871" s="1362"/>
    </row>
    <row r="10872" spans="1:12" x14ac:dyDescent="0.25">
      <c r="A10872">
        <v>102151</v>
      </c>
      <c r="B10872" t="s">
        <v>5978</v>
      </c>
      <c r="C10872" t="s">
        <v>297</v>
      </c>
      <c r="D10872" s="254">
        <v>171.05</v>
      </c>
      <c r="E10872"/>
      <c r="F10872"/>
      <c r="G10872"/>
      <c r="H10872"/>
      <c r="I10872" s="489"/>
      <c r="J10872" s="1362"/>
      <c r="K10872" s="1362"/>
      <c r="L10872" s="1362"/>
    </row>
    <row r="10873" spans="1:12" x14ac:dyDescent="0.25">
      <c r="A10873">
        <v>102152</v>
      </c>
      <c r="B10873" t="s">
        <v>5979</v>
      </c>
      <c r="C10873" t="s">
        <v>297</v>
      </c>
      <c r="D10873" s="254">
        <v>214.38</v>
      </c>
      <c r="E10873"/>
      <c r="F10873"/>
      <c r="G10873"/>
      <c r="H10873"/>
      <c r="I10873" s="489"/>
      <c r="J10873" s="1362"/>
      <c r="K10873" s="1362"/>
      <c r="L10873" s="1362"/>
    </row>
    <row r="10874" spans="1:12" x14ac:dyDescent="0.25">
      <c r="A10874">
        <v>102153</v>
      </c>
      <c r="B10874" t="s">
        <v>5980</v>
      </c>
      <c r="C10874" t="s">
        <v>297</v>
      </c>
      <c r="D10874" s="254">
        <v>272.16000000000003</v>
      </c>
      <c r="E10874"/>
      <c r="F10874"/>
      <c r="G10874"/>
      <c r="H10874"/>
      <c r="I10874" s="489"/>
      <c r="J10874" s="1362"/>
      <c r="K10874" s="1362"/>
      <c r="L10874" s="1362"/>
    </row>
    <row r="10875" spans="1:12" x14ac:dyDescent="0.25">
      <c r="A10875">
        <v>102154</v>
      </c>
      <c r="B10875" t="s">
        <v>5981</v>
      </c>
      <c r="C10875" t="s">
        <v>297</v>
      </c>
      <c r="D10875" s="254">
        <v>235.24</v>
      </c>
      <c r="E10875"/>
      <c r="F10875"/>
      <c r="G10875"/>
      <c r="H10875"/>
      <c r="I10875" s="489"/>
      <c r="J10875" s="1362"/>
      <c r="K10875" s="1362"/>
      <c r="L10875" s="1362"/>
    </row>
    <row r="10876" spans="1:12" x14ac:dyDescent="0.25">
      <c r="A10876">
        <v>102155</v>
      </c>
      <c r="B10876" t="s">
        <v>5982</v>
      </c>
      <c r="C10876" t="s">
        <v>297</v>
      </c>
      <c r="D10876" s="254">
        <v>282.49</v>
      </c>
      <c r="E10876"/>
      <c r="F10876"/>
      <c r="G10876"/>
      <c r="H10876"/>
      <c r="I10876" s="489"/>
      <c r="J10876" s="1362"/>
      <c r="K10876" s="1362"/>
      <c r="L10876" s="1362"/>
    </row>
    <row r="10877" spans="1:12" x14ac:dyDescent="0.25">
      <c r="A10877">
        <v>102156</v>
      </c>
      <c r="B10877" t="s">
        <v>5983</v>
      </c>
      <c r="C10877" t="s">
        <v>297</v>
      </c>
      <c r="D10877" s="254">
        <v>270.86</v>
      </c>
      <c r="E10877"/>
      <c r="F10877"/>
      <c r="G10877"/>
      <c r="H10877"/>
      <c r="I10877" s="489"/>
      <c r="J10877" s="1362"/>
      <c r="K10877" s="1362"/>
      <c r="L10877" s="1362"/>
    </row>
    <row r="10878" spans="1:12" x14ac:dyDescent="0.25">
      <c r="A10878">
        <v>102157</v>
      </c>
      <c r="B10878" t="s">
        <v>5984</v>
      </c>
      <c r="C10878" t="s">
        <v>297</v>
      </c>
      <c r="D10878" s="254">
        <v>371.97</v>
      </c>
      <c r="E10878"/>
      <c r="F10878"/>
      <c r="G10878"/>
      <c r="H10878"/>
      <c r="I10878" s="489"/>
      <c r="J10878" s="1362"/>
      <c r="K10878" s="1362"/>
      <c r="L10878" s="1362"/>
    </row>
    <row r="10879" spans="1:12" x14ac:dyDescent="0.25">
      <c r="A10879">
        <v>102158</v>
      </c>
      <c r="B10879" t="s">
        <v>5985</v>
      </c>
      <c r="C10879" t="s">
        <v>297</v>
      </c>
      <c r="D10879" s="254">
        <v>377.01</v>
      </c>
      <c r="E10879"/>
      <c r="F10879"/>
      <c r="G10879"/>
      <c r="H10879"/>
      <c r="I10879" s="489"/>
      <c r="J10879" s="1362"/>
      <c r="K10879" s="1362"/>
      <c r="L10879" s="1362"/>
    </row>
    <row r="10880" spans="1:12" x14ac:dyDescent="0.25">
      <c r="A10880">
        <v>102159</v>
      </c>
      <c r="B10880" t="s">
        <v>5986</v>
      </c>
      <c r="C10880" t="s">
        <v>297</v>
      </c>
      <c r="D10880" s="254">
        <v>449.77</v>
      </c>
      <c r="E10880"/>
      <c r="F10880"/>
      <c r="G10880"/>
      <c r="H10880"/>
      <c r="I10880" s="489"/>
      <c r="J10880" s="1362"/>
      <c r="K10880" s="1362"/>
      <c r="L10880" s="1362"/>
    </row>
    <row r="10881" spans="1:12" x14ac:dyDescent="0.25">
      <c r="A10881">
        <v>102160</v>
      </c>
      <c r="B10881" t="s">
        <v>5987</v>
      </c>
      <c r="C10881" t="s">
        <v>297</v>
      </c>
      <c r="D10881" s="254">
        <v>185.49</v>
      </c>
      <c r="E10881"/>
      <c r="F10881"/>
      <c r="G10881"/>
      <c r="H10881"/>
      <c r="I10881" s="489"/>
      <c r="J10881" s="1362"/>
      <c r="K10881" s="1362"/>
      <c r="L10881" s="1362"/>
    </row>
    <row r="10882" spans="1:12" x14ac:dyDescent="0.25">
      <c r="A10882">
        <v>102161</v>
      </c>
      <c r="B10882" t="s">
        <v>18490</v>
      </c>
      <c r="C10882" t="s">
        <v>297</v>
      </c>
      <c r="D10882" s="254">
        <v>280.98</v>
      </c>
      <c r="E10882"/>
      <c r="F10882"/>
      <c r="G10882"/>
      <c r="H10882"/>
      <c r="I10882" s="489"/>
      <c r="J10882" s="1362"/>
      <c r="K10882" s="1362"/>
      <c r="L10882" s="1362"/>
    </row>
    <row r="10883" spans="1:12" x14ac:dyDescent="0.25">
      <c r="A10883">
        <v>102162</v>
      </c>
      <c r="B10883" t="s">
        <v>18491</v>
      </c>
      <c r="C10883" t="s">
        <v>297</v>
      </c>
      <c r="D10883" s="254">
        <v>324.31</v>
      </c>
      <c r="E10883"/>
      <c r="F10883"/>
      <c r="G10883"/>
      <c r="H10883"/>
      <c r="I10883" s="489"/>
      <c r="J10883" s="1362"/>
      <c r="K10883" s="1362"/>
      <c r="L10883" s="1362"/>
    </row>
    <row r="10884" spans="1:12" x14ac:dyDescent="0.25">
      <c r="A10884">
        <v>102163</v>
      </c>
      <c r="B10884" t="s">
        <v>18492</v>
      </c>
      <c r="C10884" t="s">
        <v>297</v>
      </c>
      <c r="D10884" s="254">
        <v>382.09</v>
      </c>
      <c r="E10884"/>
      <c r="F10884"/>
      <c r="G10884"/>
      <c r="H10884"/>
      <c r="I10884" s="489"/>
      <c r="J10884" s="1362"/>
      <c r="K10884" s="1362"/>
      <c r="L10884" s="1362"/>
    </row>
    <row r="10885" spans="1:12" x14ac:dyDescent="0.25">
      <c r="A10885">
        <v>102164</v>
      </c>
      <c r="B10885" t="s">
        <v>18493</v>
      </c>
      <c r="C10885" t="s">
        <v>297</v>
      </c>
      <c r="D10885" s="254">
        <v>324.94</v>
      </c>
      <c r="E10885"/>
      <c r="F10885"/>
      <c r="G10885"/>
      <c r="H10885"/>
      <c r="I10885" s="489"/>
      <c r="J10885" s="1362"/>
      <c r="K10885" s="1362"/>
      <c r="L10885" s="1362"/>
    </row>
    <row r="10886" spans="1:12" x14ac:dyDescent="0.25">
      <c r="A10886">
        <v>102165</v>
      </c>
      <c r="B10886" t="s">
        <v>18494</v>
      </c>
      <c r="C10886" t="s">
        <v>297</v>
      </c>
      <c r="D10886" s="254">
        <v>372.19</v>
      </c>
      <c r="E10886"/>
      <c r="F10886"/>
      <c r="G10886"/>
      <c r="H10886"/>
      <c r="I10886" s="489"/>
      <c r="J10886" s="1362"/>
      <c r="K10886" s="1362"/>
      <c r="L10886" s="1362"/>
    </row>
    <row r="10887" spans="1:12" x14ac:dyDescent="0.25">
      <c r="A10887">
        <v>102166</v>
      </c>
      <c r="B10887" t="s">
        <v>18495</v>
      </c>
      <c r="C10887" t="s">
        <v>297</v>
      </c>
      <c r="D10887" s="254">
        <v>340.33</v>
      </c>
      <c r="E10887"/>
      <c r="F10887"/>
      <c r="G10887"/>
      <c r="H10887"/>
      <c r="I10887" s="489"/>
      <c r="J10887" s="1362"/>
      <c r="K10887" s="1362"/>
      <c r="L10887" s="1362"/>
    </row>
    <row r="10888" spans="1:12" x14ac:dyDescent="0.25">
      <c r="A10888">
        <v>102167</v>
      </c>
      <c r="B10888" t="s">
        <v>18496</v>
      </c>
      <c r="C10888" t="s">
        <v>297</v>
      </c>
      <c r="D10888" s="254">
        <v>441.44</v>
      </c>
      <c r="E10888"/>
      <c r="F10888"/>
      <c r="G10888"/>
      <c r="H10888"/>
      <c r="I10888" s="489"/>
      <c r="J10888" s="1362"/>
      <c r="K10888" s="1362"/>
      <c r="L10888" s="1362"/>
    </row>
    <row r="10889" spans="1:12" x14ac:dyDescent="0.25">
      <c r="A10889">
        <v>102168</v>
      </c>
      <c r="B10889" t="s">
        <v>18497</v>
      </c>
      <c r="C10889" t="s">
        <v>297</v>
      </c>
      <c r="D10889" s="254">
        <v>428.51</v>
      </c>
      <c r="E10889"/>
      <c r="F10889"/>
      <c r="G10889"/>
      <c r="H10889"/>
      <c r="I10889" s="489"/>
      <c r="J10889" s="1362"/>
      <c r="K10889" s="1362"/>
      <c r="L10889" s="1362"/>
    </row>
    <row r="10890" spans="1:12" x14ac:dyDescent="0.25">
      <c r="A10890">
        <v>102169</v>
      </c>
      <c r="B10890" t="s">
        <v>18498</v>
      </c>
      <c r="C10890" t="s">
        <v>297</v>
      </c>
      <c r="D10890" s="254">
        <v>494.61</v>
      </c>
      <c r="E10890"/>
      <c r="F10890"/>
      <c r="G10890"/>
      <c r="H10890"/>
      <c r="I10890" s="489"/>
      <c r="J10890" s="1362"/>
      <c r="K10890" s="1362"/>
      <c r="L10890" s="1362"/>
    </row>
    <row r="10891" spans="1:12" x14ac:dyDescent="0.25">
      <c r="A10891">
        <v>102170</v>
      </c>
      <c r="B10891" t="s">
        <v>18499</v>
      </c>
      <c r="C10891" t="s">
        <v>297</v>
      </c>
      <c r="D10891" s="254">
        <v>295.42</v>
      </c>
      <c r="E10891"/>
      <c r="F10891"/>
      <c r="G10891"/>
      <c r="H10891"/>
      <c r="I10891" s="489"/>
      <c r="J10891" s="1362"/>
      <c r="K10891" s="1362"/>
      <c r="L10891" s="1362"/>
    </row>
    <row r="10892" spans="1:12" x14ac:dyDescent="0.25">
      <c r="A10892">
        <v>102171</v>
      </c>
      <c r="B10892" t="s">
        <v>18500</v>
      </c>
      <c r="C10892" t="s">
        <v>297</v>
      </c>
      <c r="D10892" s="254">
        <v>556.04999999999995</v>
      </c>
      <c r="E10892"/>
      <c r="F10892"/>
      <c r="G10892"/>
      <c r="H10892"/>
      <c r="I10892" s="489"/>
      <c r="J10892" s="1362"/>
      <c r="K10892" s="1362"/>
      <c r="L10892" s="1362"/>
    </row>
    <row r="10893" spans="1:12" x14ac:dyDescent="0.25">
      <c r="A10893">
        <v>102172</v>
      </c>
      <c r="B10893" t="s">
        <v>18501</v>
      </c>
      <c r="C10893" t="s">
        <v>297</v>
      </c>
      <c r="D10893" s="254">
        <v>542.54999999999995</v>
      </c>
      <c r="E10893"/>
      <c r="F10893"/>
      <c r="G10893"/>
      <c r="H10893"/>
      <c r="I10893" s="489"/>
      <c r="J10893" s="1362"/>
      <c r="K10893" s="1362"/>
      <c r="L10893" s="1362"/>
    </row>
    <row r="10894" spans="1:12" x14ac:dyDescent="0.25">
      <c r="A10894">
        <v>102176</v>
      </c>
      <c r="B10894" t="s">
        <v>18502</v>
      </c>
      <c r="C10894" t="s">
        <v>297</v>
      </c>
      <c r="D10894" s="254">
        <v>1026.06</v>
      </c>
      <c r="E10894"/>
      <c r="F10894"/>
      <c r="G10894"/>
      <c r="H10894"/>
      <c r="I10894" s="489"/>
      <c r="J10894" s="1362"/>
      <c r="K10894" s="1362"/>
      <c r="L10894" s="1362"/>
    </row>
    <row r="10895" spans="1:12" x14ac:dyDescent="0.25">
      <c r="A10895">
        <v>102177</v>
      </c>
      <c r="B10895" t="s">
        <v>18503</v>
      </c>
      <c r="C10895" t="s">
        <v>297</v>
      </c>
      <c r="D10895" s="254">
        <v>2051.6</v>
      </c>
      <c r="E10895"/>
      <c r="F10895"/>
      <c r="G10895"/>
      <c r="H10895"/>
      <c r="I10895" s="489"/>
      <c r="J10895" s="1362"/>
      <c r="K10895" s="1362"/>
      <c r="L10895" s="1362"/>
    </row>
    <row r="10896" spans="1:12" x14ac:dyDescent="0.25">
      <c r="A10896">
        <v>102178</v>
      </c>
      <c r="B10896" t="s">
        <v>18504</v>
      </c>
      <c r="C10896" t="s">
        <v>297</v>
      </c>
      <c r="D10896" s="254">
        <v>2352.15</v>
      </c>
      <c r="E10896"/>
      <c r="F10896"/>
      <c r="G10896"/>
      <c r="H10896"/>
      <c r="I10896" s="489"/>
      <c r="J10896" s="1362"/>
      <c r="K10896" s="1362"/>
      <c r="L10896" s="1362"/>
    </row>
    <row r="10897" spans="1:12" x14ac:dyDescent="0.25">
      <c r="A10897">
        <v>102179</v>
      </c>
      <c r="B10897" t="s">
        <v>18505</v>
      </c>
      <c r="C10897" t="s">
        <v>297</v>
      </c>
      <c r="D10897" s="254">
        <v>341.31</v>
      </c>
      <c r="E10897"/>
      <c r="F10897"/>
      <c r="G10897"/>
      <c r="H10897"/>
      <c r="I10897" s="489"/>
      <c r="J10897" s="1362"/>
      <c r="K10897" s="1362"/>
      <c r="L10897" s="1362"/>
    </row>
    <row r="10898" spans="1:12" x14ac:dyDescent="0.25">
      <c r="A10898">
        <v>102180</v>
      </c>
      <c r="B10898" t="s">
        <v>18506</v>
      </c>
      <c r="C10898" t="s">
        <v>297</v>
      </c>
      <c r="D10898" s="254">
        <v>383.4</v>
      </c>
      <c r="E10898"/>
      <c r="F10898"/>
      <c r="G10898"/>
      <c r="H10898"/>
      <c r="I10898" s="489"/>
      <c r="J10898" s="1362"/>
      <c r="K10898" s="1362"/>
      <c r="L10898" s="1362"/>
    </row>
    <row r="10899" spans="1:12" x14ac:dyDescent="0.25">
      <c r="A10899">
        <v>102181</v>
      </c>
      <c r="B10899" t="s">
        <v>18507</v>
      </c>
      <c r="C10899" t="s">
        <v>297</v>
      </c>
      <c r="D10899" s="254">
        <v>443.26</v>
      </c>
      <c r="E10899"/>
      <c r="F10899"/>
      <c r="G10899"/>
      <c r="H10899"/>
      <c r="I10899" s="489"/>
      <c r="J10899" s="1362"/>
      <c r="K10899" s="1362"/>
      <c r="L10899" s="1362"/>
    </row>
    <row r="10900" spans="1:12" x14ac:dyDescent="0.25">
      <c r="A10900">
        <v>102182</v>
      </c>
      <c r="B10900" t="s">
        <v>5988</v>
      </c>
      <c r="C10900" t="s">
        <v>138</v>
      </c>
      <c r="D10900" s="254">
        <v>878.8</v>
      </c>
      <c r="E10900"/>
      <c r="F10900"/>
      <c r="G10900"/>
      <c r="H10900"/>
      <c r="I10900" s="489"/>
      <c r="J10900" s="1362"/>
      <c r="K10900" s="1362"/>
      <c r="L10900" s="1362"/>
    </row>
    <row r="10901" spans="1:12" x14ac:dyDescent="0.25">
      <c r="A10901">
        <v>102183</v>
      </c>
      <c r="B10901" t="s">
        <v>5989</v>
      </c>
      <c r="C10901" t="s">
        <v>138</v>
      </c>
      <c r="D10901" s="254">
        <v>1769.09</v>
      </c>
      <c r="E10901"/>
      <c r="F10901"/>
      <c r="G10901"/>
      <c r="H10901"/>
      <c r="I10901" s="489"/>
      <c r="J10901" s="1362"/>
      <c r="K10901" s="1362"/>
      <c r="L10901" s="1362"/>
    </row>
    <row r="10902" spans="1:12" x14ac:dyDescent="0.25">
      <c r="A10902">
        <v>102184</v>
      </c>
      <c r="B10902" t="s">
        <v>5990</v>
      </c>
      <c r="C10902" t="s">
        <v>138</v>
      </c>
      <c r="D10902" s="254">
        <v>1760.1</v>
      </c>
      <c r="E10902"/>
      <c r="F10902"/>
      <c r="G10902"/>
      <c r="H10902"/>
      <c r="I10902" s="489"/>
      <c r="J10902" s="1362"/>
      <c r="K10902" s="1362"/>
      <c r="L10902" s="1362"/>
    </row>
    <row r="10903" spans="1:12" x14ac:dyDescent="0.25">
      <c r="A10903">
        <v>102185</v>
      </c>
      <c r="B10903" t="s">
        <v>5991</v>
      </c>
      <c r="C10903" t="s">
        <v>138</v>
      </c>
      <c r="D10903" s="254">
        <v>3531.37</v>
      </c>
      <c r="E10903"/>
      <c r="F10903"/>
      <c r="G10903"/>
      <c r="H10903"/>
      <c r="I10903" s="489"/>
      <c r="J10903" s="1362"/>
      <c r="K10903" s="1362"/>
      <c r="L10903" s="1362"/>
    </row>
    <row r="10904" spans="1:12" x14ac:dyDescent="0.25">
      <c r="A10904">
        <v>102190</v>
      </c>
      <c r="B10904" t="s">
        <v>5992</v>
      </c>
      <c r="C10904" t="s">
        <v>297</v>
      </c>
      <c r="D10904" s="254">
        <v>17.64</v>
      </c>
      <c r="E10904"/>
      <c r="F10904"/>
      <c r="G10904"/>
      <c r="H10904"/>
      <c r="I10904" s="489"/>
      <c r="J10904" s="1362"/>
      <c r="K10904" s="1362"/>
      <c r="L10904" s="1362"/>
    </row>
    <row r="10905" spans="1:12" x14ac:dyDescent="0.25">
      <c r="A10905">
        <v>102191</v>
      </c>
      <c r="B10905" t="s">
        <v>5993</v>
      </c>
      <c r="C10905" t="s">
        <v>297</v>
      </c>
      <c r="D10905" s="254">
        <v>21.43</v>
      </c>
      <c r="E10905"/>
      <c r="F10905"/>
      <c r="G10905"/>
      <c r="H10905"/>
      <c r="I10905" s="489"/>
      <c r="J10905" s="1362"/>
      <c r="K10905" s="1362"/>
      <c r="L10905" s="1362"/>
    </row>
    <row r="10906" spans="1:12" x14ac:dyDescent="0.25">
      <c r="A10906">
        <v>102192</v>
      </c>
      <c r="B10906" t="s">
        <v>5994</v>
      </c>
      <c r="C10906" t="s">
        <v>297</v>
      </c>
      <c r="D10906" s="254">
        <v>15.3</v>
      </c>
      <c r="E10906"/>
      <c r="F10906"/>
      <c r="G10906"/>
      <c r="H10906"/>
      <c r="I10906" s="489"/>
      <c r="J10906" s="1362"/>
      <c r="K10906" s="1362"/>
      <c r="L10906" s="1362"/>
    </row>
    <row r="10907" spans="1:12" x14ac:dyDescent="0.25">
      <c r="A10907">
        <v>94569</v>
      </c>
      <c r="B10907" t="s">
        <v>4067</v>
      </c>
      <c r="C10907" t="s">
        <v>297</v>
      </c>
      <c r="D10907" s="254">
        <v>798.2</v>
      </c>
      <c r="E10907"/>
      <c r="F10907"/>
      <c r="G10907"/>
      <c r="H10907"/>
      <c r="I10907" s="489"/>
      <c r="J10907" s="1362"/>
      <c r="K10907" s="1362"/>
      <c r="L10907" s="1362"/>
    </row>
    <row r="10908" spans="1:12" x14ac:dyDescent="0.25">
      <c r="A10908">
        <v>94570</v>
      </c>
      <c r="B10908" t="s">
        <v>4068</v>
      </c>
      <c r="C10908" t="s">
        <v>297</v>
      </c>
      <c r="D10908" s="254">
        <v>414.56</v>
      </c>
      <c r="E10908"/>
      <c r="F10908"/>
      <c r="G10908"/>
      <c r="H10908"/>
      <c r="I10908" s="489"/>
      <c r="J10908" s="1362"/>
      <c r="K10908" s="1362"/>
      <c r="L10908" s="1362"/>
    </row>
    <row r="10909" spans="1:12" x14ac:dyDescent="0.25">
      <c r="A10909">
        <v>94572</v>
      </c>
      <c r="B10909" t="s">
        <v>4069</v>
      </c>
      <c r="C10909" t="s">
        <v>297</v>
      </c>
      <c r="D10909" s="254">
        <v>592.27</v>
      </c>
      <c r="E10909"/>
      <c r="F10909"/>
      <c r="G10909"/>
      <c r="H10909"/>
      <c r="I10909" s="489"/>
      <c r="J10909" s="1362"/>
      <c r="K10909" s="1362"/>
      <c r="L10909" s="1362"/>
    </row>
    <row r="10910" spans="1:12" x14ac:dyDescent="0.25">
      <c r="A10910">
        <v>94573</v>
      </c>
      <c r="B10910" t="s">
        <v>4070</v>
      </c>
      <c r="C10910" t="s">
        <v>297</v>
      </c>
      <c r="D10910" s="254">
        <v>479.95</v>
      </c>
      <c r="E10910"/>
      <c r="F10910"/>
      <c r="G10910"/>
      <c r="H10910"/>
      <c r="I10910" s="489"/>
      <c r="J10910" s="1362"/>
      <c r="K10910" s="1362"/>
      <c r="L10910" s="1362"/>
    </row>
    <row r="10911" spans="1:12" x14ac:dyDescent="0.25">
      <c r="A10911">
        <v>94580</v>
      </c>
      <c r="B10911" t="s">
        <v>4071</v>
      </c>
      <c r="C10911" t="s">
        <v>297</v>
      </c>
      <c r="D10911" s="254">
        <v>658.9</v>
      </c>
      <c r="E10911"/>
      <c r="F10911"/>
      <c r="G10911"/>
      <c r="H10911"/>
      <c r="I10911" s="489"/>
      <c r="J10911" s="1362"/>
      <c r="K10911" s="1362"/>
      <c r="L10911" s="1362"/>
    </row>
    <row r="10912" spans="1:12" x14ac:dyDescent="0.25">
      <c r="A10912">
        <v>94589</v>
      </c>
      <c r="B10912" t="s">
        <v>6889</v>
      </c>
      <c r="C10912" t="s">
        <v>151</v>
      </c>
      <c r="D10912" s="254">
        <v>24.31</v>
      </c>
      <c r="E10912"/>
      <c r="F10912"/>
      <c r="G10912"/>
      <c r="H10912"/>
      <c r="I10912" s="489"/>
      <c r="J10912" s="1362"/>
      <c r="K10912" s="1362"/>
      <c r="L10912" s="1362"/>
    </row>
    <row r="10913" spans="1:12" x14ac:dyDescent="0.25">
      <c r="A10913">
        <v>94590</v>
      </c>
      <c r="B10913" t="s">
        <v>6890</v>
      </c>
      <c r="C10913" t="s">
        <v>151</v>
      </c>
      <c r="D10913" s="254">
        <v>19.63</v>
      </c>
      <c r="E10913"/>
      <c r="F10913"/>
      <c r="G10913"/>
      <c r="H10913"/>
      <c r="I10913" s="489"/>
      <c r="J10913" s="1362"/>
      <c r="K10913" s="1362"/>
      <c r="L10913" s="1362"/>
    </row>
    <row r="10914" spans="1:12" x14ac:dyDescent="0.25">
      <c r="A10914">
        <v>100674</v>
      </c>
      <c r="B10914" t="s">
        <v>4072</v>
      </c>
      <c r="C10914" t="s">
        <v>297</v>
      </c>
      <c r="D10914" s="254">
        <v>869.9</v>
      </c>
      <c r="E10914"/>
      <c r="F10914"/>
      <c r="G10914"/>
      <c r="H10914"/>
      <c r="I10914" s="489"/>
      <c r="J10914" s="1362"/>
      <c r="K10914" s="1362"/>
      <c r="L10914" s="1362"/>
    </row>
    <row r="10915" spans="1:12" x14ac:dyDescent="0.25">
      <c r="A10915">
        <v>101096</v>
      </c>
      <c r="B10915" t="s">
        <v>4318</v>
      </c>
      <c r="C10915" t="s">
        <v>1159</v>
      </c>
      <c r="D10915" s="254">
        <v>1300.79</v>
      </c>
      <c r="E10915"/>
      <c r="F10915"/>
      <c r="G10915"/>
      <c r="H10915"/>
      <c r="I10915" s="489"/>
      <c r="J10915" s="1362"/>
      <c r="K10915" s="1362"/>
      <c r="L10915" s="1362"/>
    </row>
    <row r="10916" spans="1:12" x14ac:dyDescent="0.25">
      <c r="A10916">
        <v>101097</v>
      </c>
      <c r="B10916" t="s">
        <v>4319</v>
      </c>
      <c r="C10916" t="s">
        <v>1159</v>
      </c>
      <c r="D10916" s="254">
        <v>1236.08</v>
      </c>
      <c r="E10916"/>
      <c r="F10916"/>
      <c r="G10916"/>
      <c r="H10916"/>
      <c r="I10916" s="489"/>
      <c r="J10916" s="1362"/>
      <c r="K10916" s="1362"/>
      <c r="L10916" s="1362"/>
    </row>
    <row r="10917" spans="1:12" x14ac:dyDescent="0.25">
      <c r="A10917">
        <v>101098</v>
      </c>
      <c r="B10917" t="s">
        <v>4320</v>
      </c>
      <c r="C10917" t="s">
        <v>1159</v>
      </c>
      <c r="D10917" s="254">
        <v>1154.6300000000001</v>
      </c>
      <c r="E10917"/>
      <c r="F10917"/>
      <c r="G10917"/>
      <c r="H10917"/>
      <c r="I10917" s="489"/>
      <c r="J10917" s="1362"/>
      <c r="K10917" s="1362"/>
      <c r="L10917" s="1362"/>
    </row>
    <row r="10918" spans="1:12" x14ac:dyDescent="0.25">
      <c r="A10918">
        <v>101099</v>
      </c>
      <c r="B10918" t="s">
        <v>4321</v>
      </c>
      <c r="C10918" t="s">
        <v>1159</v>
      </c>
      <c r="D10918" s="254">
        <v>1060.95</v>
      </c>
      <c r="E10918"/>
      <c r="F10918"/>
      <c r="G10918"/>
      <c r="H10918"/>
      <c r="I10918" s="489"/>
      <c r="J10918" s="1362"/>
      <c r="K10918" s="1362"/>
      <c r="L10918" s="1362"/>
    </row>
    <row r="10919" spans="1:12" x14ac:dyDescent="0.25">
      <c r="A10919">
        <v>101100</v>
      </c>
      <c r="B10919" t="s">
        <v>4322</v>
      </c>
      <c r="C10919" t="s">
        <v>1159</v>
      </c>
      <c r="D10919" s="254">
        <v>993.08</v>
      </c>
      <c r="E10919"/>
      <c r="F10919"/>
      <c r="G10919"/>
      <c r="H10919"/>
      <c r="I10919" s="489"/>
      <c r="J10919" s="1362"/>
      <c r="K10919" s="1362"/>
      <c r="L10919" s="1362"/>
    </row>
    <row r="10920" spans="1:12" x14ac:dyDescent="0.25">
      <c r="A10920">
        <v>101101</v>
      </c>
      <c r="B10920" t="s">
        <v>4323</v>
      </c>
      <c r="C10920" t="s">
        <v>1159</v>
      </c>
      <c r="D10920" s="254">
        <v>970.96</v>
      </c>
      <c r="E10920"/>
      <c r="F10920"/>
      <c r="G10920"/>
      <c r="H10920"/>
      <c r="I10920" s="489"/>
      <c r="J10920" s="1362"/>
      <c r="K10920" s="1362"/>
      <c r="L10920" s="1362"/>
    </row>
    <row r="10921" spans="1:12" x14ac:dyDescent="0.25">
      <c r="A10921">
        <v>101102</v>
      </c>
      <c r="B10921" t="s">
        <v>4324</v>
      </c>
      <c r="C10921" t="s">
        <v>1159</v>
      </c>
      <c r="D10921" s="254">
        <v>948.28</v>
      </c>
      <c r="E10921"/>
      <c r="F10921"/>
      <c r="G10921"/>
      <c r="H10921"/>
      <c r="I10921" s="489"/>
      <c r="J10921" s="1362"/>
      <c r="K10921" s="1362"/>
      <c r="L10921" s="1362"/>
    </row>
    <row r="10922" spans="1:12" x14ac:dyDescent="0.25">
      <c r="A10922">
        <v>101103</v>
      </c>
      <c r="B10922" t="s">
        <v>4325</v>
      </c>
      <c r="C10922" t="s">
        <v>1159</v>
      </c>
      <c r="D10922" s="254">
        <v>892.76</v>
      </c>
      <c r="E10922"/>
      <c r="F10922"/>
      <c r="G10922"/>
      <c r="H10922"/>
      <c r="I10922" s="489"/>
      <c r="J10922" s="1362"/>
      <c r="K10922" s="1362"/>
      <c r="L10922" s="1362"/>
    </row>
    <row r="10923" spans="1:12" x14ac:dyDescent="0.25">
      <c r="A10923">
        <v>101104</v>
      </c>
      <c r="B10923" t="s">
        <v>4326</v>
      </c>
      <c r="C10923" t="s">
        <v>1159</v>
      </c>
      <c r="D10923" s="254">
        <v>1259.54</v>
      </c>
      <c r="E10923"/>
      <c r="F10923"/>
      <c r="G10923"/>
      <c r="H10923"/>
      <c r="I10923" s="489"/>
      <c r="J10923" s="1362"/>
      <c r="K10923" s="1362"/>
      <c r="L10923" s="1362"/>
    </row>
    <row r="10924" spans="1:12" x14ac:dyDescent="0.25">
      <c r="A10924">
        <v>101105</v>
      </c>
      <c r="B10924" t="s">
        <v>4327</v>
      </c>
      <c r="C10924" t="s">
        <v>1159</v>
      </c>
      <c r="D10924" s="254">
        <v>1195.6300000000001</v>
      </c>
      <c r="E10924"/>
      <c r="F10924"/>
      <c r="G10924"/>
      <c r="H10924"/>
      <c r="I10924" s="489"/>
      <c r="J10924" s="1362"/>
      <c r="K10924" s="1362"/>
      <c r="L10924" s="1362"/>
    </row>
    <row r="10925" spans="1:12" x14ac:dyDescent="0.25">
      <c r="A10925">
        <v>101106</v>
      </c>
      <c r="B10925" t="s">
        <v>4328</v>
      </c>
      <c r="C10925" t="s">
        <v>1159</v>
      </c>
      <c r="D10925" s="254">
        <v>1115.9100000000001</v>
      </c>
      <c r="E10925"/>
      <c r="F10925"/>
      <c r="G10925"/>
      <c r="H10925"/>
      <c r="I10925" s="489"/>
      <c r="J10925" s="1362"/>
      <c r="K10925" s="1362"/>
      <c r="L10925" s="1362"/>
    </row>
    <row r="10926" spans="1:12" x14ac:dyDescent="0.25">
      <c r="A10926">
        <v>101107</v>
      </c>
      <c r="B10926" t="s">
        <v>4329</v>
      </c>
      <c r="C10926" t="s">
        <v>1159</v>
      </c>
      <c r="D10926" s="254">
        <v>1023.97</v>
      </c>
      <c r="E10926"/>
      <c r="F10926"/>
      <c r="G10926"/>
      <c r="H10926"/>
      <c r="I10926" s="489"/>
      <c r="J10926" s="1362"/>
      <c r="K10926" s="1362"/>
      <c r="L10926" s="1362"/>
    </row>
    <row r="10927" spans="1:12" x14ac:dyDescent="0.25">
      <c r="A10927">
        <v>101108</v>
      </c>
      <c r="B10927" t="s">
        <v>4330</v>
      </c>
      <c r="C10927" t="s">
        <v>1159</v>
      </c>
      <c r="D10927" s="254">
        <v>946.1</v>
      </c>
      <c r="E10927"/>
      <c r="F10927"/>
      <c r="G10927"/>
      <c r="H10927"/>
      <c r="I10927" s="489"/>
      <c r="J10927" s="1362"/>
      <c r="K10927" s="1362"/>
      <c r="L10927" s="1362"/>
    </row>
    <row r="10928" spans="1:12" x14ac:dyDescent="0.25">
      <c r="A10928">
        <v>101109</v>
      </c>
      <c r="B10928" t="s">
        <v>4331</v>
      </c>
      <c r="C10928" t="s">
        <v>1159</v>
      </c>
      <c r="D10928" s="254">
        <v>925.09</v>
      </c>
      <c r="E10928"/>
      <c r="F10928"/>
      <c r="G10928"/>
      <c r="H10928"/>
      <c r="I10928" s="489"/>
      <c r="J10928" s="1362"/>
      <c r="K10928" s="1362"/>
      <c r="L10928" s="1362"/>
    </row>
    <row r="10929" spans="1:12" x14ac:dyDescent="0.25">
      <c r="A10929">
        <v>101110</v>
      </c>
      <c r="B10929" t="s">
        <v>4332</v>
      </c>
      <c r="C10929" t="s">
        <v>1159</v>
      </c>
      <c r="D10929" s="254">
        <v>904.79</v>
      </c>
      <c r="E10929"/>
      <c r="F10929"/>
      <c r="G10929"/>
      <c r="H10929"/>
      <c r="I10929" s="489"/>
      <c r="J10929" s="1362"/>
      <c r="K10929" s="1362"/>
      <c r="L10929" s="1362"/>
    </row>
    <row r="10930" spans="1:12" x14ac:dyDescent="0.25">
      <c r="A10930">
        <v>101111</v>
      </c>
      <c r="B10930" t="s">
        <v>4333</v>
      </c>
      <c r="C10930" t="s">
        <v>1159</v>
      </c>
      <c r="D10930" s="254">
        <v>851.66</v>
      </c>
      <c r="E10930"/>
      <c r="F10930"/>
      <c r="G10930"/>
      <c r="H10930"/>
      <c r="I10930" s="489"/>
      <c r="J10930" s="1362"/>
      <c r="K10930" s="1362"/>
      <c r="L10930" s="1362"/>
    </row>
    <row r="10931" spans="1:12" x14ac:dyDescent="0.25">
      <c r="A10931">
        <v>101112</v>
      </c>
      <c r="B10931" t="s">
        <v>4334</v>
      </c>
      <c r="C10931" t="s">
        <v>1159</v>
      </c>
      <c r="D10931" s="254">
        <v>934.85</v>
      </c>
      <c r="E10931"/>
      <c r="F10931"/>
      <c r="G10931"/>
      <c r="H10931"/>
      <c r="I10931" s="489"/>
      <c r="J10931" s="1362"/>
      <c r="K10931" s="1362"/>
      <c r="L10931" s="1362"/>
    </row>
    <row r="10932" spans="1:12" x14ac:dyDescent="0.25">
      <c r="A10932">
        <v>101113</v>
      </c>
      <c r="B10932" t="s">
        <v>4335</v>
      </c>
      <c r="C10932" t="s">
        <v>1159</v>
      </c>
      <c r="D10932" s="254">
        <v>897.61</v>
      </c>
      <c r="E10932"/>
      <c r="F10932"/>
      <c r="G10932"/>
      <c r="H10932"/>
      <c r="I10932" s="489"/>
      <c r="J10932" s="1362"/>
      <c r="K10932" s="1362"/>
      <c r="L10932" s="1362"/>
    </row>
    <row r="10933" spans="1:12" x14ac:dyDescent="0.25">
      <c r="A10933">
        <v>95601</v>
      </c>
      <c r="B10933" t="s">
        <v>6065</v>
      </c>
      <c r="C10933" t="s">
        <v>138</v>
      </c>
      <c r="D10933" s="254">
        <v>16.059999999999999</v>
      </c>
      <c r="E10933"/>
      <c r="F10933"/>
      <c r="G10933"/>
      <c r="H10933"/>
      <c r="I10933" s="489"/>
      <c r="J10933" s="1362"/>
      <c r="K10933" s="1362"/>
      <c r="L10933" s="1362"/>
    </row>
    <row r="10934" spans="1:12" x14ac:dyDescent="0.25">
      <c r="A10934">
        <v>95602</v>
      </c>
      <c r="B10934" t="s">
        <v>6066</v>
      </c>
      <c r="C10934" t="s">
        <v>138</v>
      </c>
      <c r="D10934" s="254">
        <v>25.71</v>
      </c>
      <c r="E10934"/>
      <c r="F10934"/>
      <c r="G10934"/>
      <c r="H10934"/>
      <c r="I10934" s="489"/>
      <c r="J10934" s="1362"/>
      <c r="K10934" s="1362"/>
      <c r="L10934" s="1362"/>
    </row>
    <row r="10935" spans="1:12" x14ac:dyDescent="0.25">
      <c r="A10935">
        <v>95603</v>
      </c>
      <c r="B10935" t="s">
        <v>6067</v>
      </c>
      <c r="C10935" t="s">
        <v>138</v>
      </c>
      <c r="D10935" s="254">
        <v>43.85</v>
      </c>
      <c r="E10935"/>
      <c r="F10935"/>
      <c r="G10935"/>
      <c r="H10935"/>
      <c r="I10935" s="489"/>
      <c r="J10935" s="1362"/>
      <c r="K10935" s="1362"/>
      <c r="L10935" s="1362"/>
    </row>
    <row r="10936" spans="1:12" x14ac:dyDescent="0.25">
      <c r="A10936">
        <v>95604</v>
      </c>
      <c r="B10936" t="s">
        <v>6068</v>
      </c>
      <c r="C10936" t="s">
        <v>138</v>
      </c>
      <c r="D10936" s="254">
        <v>68.06</v>
      </c>
      <c r="E10936"/>
      <c r="F10936"/>
      <c r="G10936"/>
      <c r="H10936"/>
      <c r="I10936" s="489"/>
      <c r="J10936" s="1362"/>
      <c r="K10936" s="1362"/>
      <c r="L10936" s="1362"/>
    </row>
    <row r="10937" spans="1:12" x14ac:dyDescent="0.25">
      <c r="A10937">
        <v>95605</v>
      </c>
      <c r="B10937" t="s">
        <v>6069</v>
      </c>
      <c r="C10937" t="s">
        <v>138</v>
      </c>
      <c r="D10937" s="254">
        <v>124.99</v>
      </c>
      <c r="E10937"/>
      <c r="F10937"/>
      <c r="G10937"/>
      <c r="H10937"/>
      <c r="I10937" s="489"/>
      <c r="J10937" s="1362"/>
      <c r="K10937" s="1362"/>
      <c r="L10937" s="1362"/>
    </row>
    <row r="10938" spans="1:12" x14ac:dyDescent="0.25">
      <c r="A10938">
        <v>95607</v>
      </c>
      <c r="B10938" t="s">
        <v>6070</v>
      </c>
      <c r="C10938" t="s">
        <v>138</v>
      </c>
      <c r="D10938" s="254">
        <v>19.12</v>
      </c>
      <c r="E10938"/>
      <c r="F10938"/>
      <c r="G10938"/>
      <c r="H10938"/>
      <c r="I10938" s="489"/>
      <c r="J10938" s="1362"/>
      <c r="K10938" s="1362"/>
      <c r="L10938" s="1362"/>
    </row>
    <row r="10939" spans="1:12" x14ac:dyDescent="0.25">
      <c r="A10939">
        <v>95608</v>
      </c>
      <c r="B10939" t="s">
        <v>6071</v>
      </c>
      <c r="C10939" t="s">
        <v>138</v>
      </c>
      <c r="D10939" s="254">
        <v>27.74</v>
      </c>
      <c r="E10939"/>
      <c r="F10939"/>
      <c r="G10939"/>
      <c r="H10939"/>
      <c r="I10939" s="489"/>
      <c r="J10939" s="1362"/>
      <c r="K10939" s="1362"/>
      <c r="L10939" s="1362"/>
    </row>
    <row r="10940" spans="1:12" x14ac:dyDescent="0.25">
      <c r="A10940">
        <v>95609</v>
      </c>
      <c r="B10940" t="s">
        <v>6072</v>
      </c>
      <c r="C10940" t="s">
        <v>138</v>
      </c>
      <c r="D10940" s="254">
        <v>35.18</v>
      </c>
      <c r="E10940"/>
      <c r="F10940"/>
      <c r="G10940"/>
      <c r="H10940"/>
      <c r="I10940" s="489"/>
      <c r="J10940" s="1362"/>
      <c r="K10940" s="1362"/>
      <c r="L10940" s="1362"/>
    </row>
    <row r="10941" spans="1:12" x14ac:dyDescent="0.25">
      <c r="A10941">
        <v>100651</v>
      </c>
      <c r="B10941" t="s">
        <v>5194</v>
      </c>
      <c r="C10941" t="s">
        <v>151</v>
      </c>
      <c r="D10941" s="254">
        <v>138.25</v>
      </c>
      <c r="E10941"/>
      <c r="F10941"/>
      <c r="G10941"/>
      <c r="H10941"/>
      <c r="I10941" s="489"/>
      <c r="J10941" s="1362"/>
      <c r="K10941" s="1362"/>
      <c r="L10941" s="1362"/>
    </row>
    <row r="10942" spans="1:12" x14ac:dyDescent="0.25">
      <c r="A10942">
        <v>100652</v>
      </c>
      <c r="B10942" t="s">
        <v>5195</v>
      </c>
      <c r="C10942" t="s">
        <v>151</v>
      </c>
      <c r="D10942" s="254">
        <v>262.82</v>
      </c>
      <c r="E10942"/>
      <c r="F10942"/>
      <c r="G10942"/>
      <c r="H10942"/>
      <c r="I10942" s="489"/>
      <c r="J10942" s="1362"/>
      <c r="K10942" s="1362"/>
      <c r="L10942" s="1362"/>
    </row>
    <row r="10943" spans="1:12" x14ac:dyDescent="0.25">
      <c r="A10943">
        <v>100653</v>
      </c>
      <c r="B10943" t="s">
        <v>5196</v>
      </c>
      <c r="C10943" t="s">
        <v>151</v>
      </c>
      <c r="D10943" s="254">
        <v>436.74</v>
      </c>
      <c r="E10943"/>
      <c r="F10943"/>
      <c r="G10943"/>
      <c r="H10943"/>
      <c r="I10943" s="489"/>
      <c r="J10943" s="1362"/>
      <c r="K10943" s="1362"/>
      <c r="L10943" s="1362"/>
    </row>
    <row r="10944" spans="1:12" x14ac:dyDescent="0.25">
      <c r="A10944">
        <v>100654</v>
      </c>
      <c r="B10944" t="s">
        <v>5197</v>
      </c>
      <c r="C10944" t="s">
        <v>151</v>
      </c>
      <c r="D10944" s="254">
        <v>591.47</v>
      </c>
      <c r="E10944"/>
      <c r="F10944"/>
      <c r="G10944"/>
      <c r="H10944"/>
      <c r="I10944" s="489"/>
      <c r="J10944" s="1362"/>
      <c r="K10944" s="1362"/>
      <c r="L10944" s="1362"/>
    </row>
    <row r="10945" spans="1:12" x14ac:dyDescent="0.25">
      <c r="A10945">
        <v>100655</v>
      </c>
      <c r="B10945" t="s">
        <v>5198</v>
      </c>
      <c r="C10945" t="s">
        <v>151</v>
      </c>
      <c r="D10945" s="254">
        <v>684.17</v>
      </c>
      <c r="E10945"/>
      <c r="F10945"/>
      <c r="G10945"/>
      <c r="H10945"/>
      <c r="I10945" s="489"/>
      <c r="J10945" s="1362"/>
      <c r="K10945" s="1362"/>
      <c r="L10945" s="1362"/>
    </row>
    <row r="10946" spans="1:12" x14ac:dyDescent="0.25">
      <c r="A10946">
        <v>100656</v>
      </c>
      <c r="B10946" t="s">
        <v>4073</v>
      </c>
      <c r="C10946" t="s">
        <v>151</v>
      </c>
      <c r="D10946" s="254">
        <v>109.87</v>
      </c>
      <c r="E10946"/>
      <c r="F10946"/>
      <c r="G10946"/>
      <c r="H10946"/>
      <c r="I10946" s="489"/>
      <c r="J10946" s="1362"/>
      <c r="K10946" s="1362"/>
      <c r="L10946" s="1362"/>
    </row>
    <row r="10947" spans="1:12" x14ac:dyDescent="0.25">
      <c r="A10947">
        <v>100657</v>
      </c>
      <c r="B10947" t="s">
        <v>4074</v>
      </c>
      <c r="C10947" t="s">
        <v>151</v>
      </c>
      <c r="D10947" s="254">
        <v>141.91</v>
      </c>
      <c r="E10947"/>
      <c r="F10947"/>
      <c r="G10947"/>
      <c r="H10947"/>
      <c r="I10947" s="489"/>
      <c r="J10947" s="1362"/>
      <c r="K10947" s="1362"/>
      <c r="L10947" s="1362"/>
    </row>
    <row r="10948" spans="1:12" x14ac:dyDescent="0.25">
      <c r="A10948">
        <v>100658</v>
      </c>
      <c r="B10948" t="s">
        <v>4075</v>
      </c>
      <c r="C10948" t="s">
        <v>151</v>
      </c>
      <c r="D10948" s="254">
        <v>327.49</v>
      </c>
      <c r="E10948"/>
      <c r="F10948"/>
      <c r="G10948"/>
      <c r="H10948"/>
      <c r="I10948" s="489"/>
      <c r="J10948" s="1362"/>
      <c r="K10948" s="1362"/>
      <c r="L10948" s="1362"/>
    </row>
    <row r="10949" spans="1:12" x14ac:dyDescent="0.25">
      <c r="A10949">
        <v>100889</v>
      </c>
      <c r="B10949" t="s">
        <v>4076</v>
      </c>
      <c r="C10949" t="s">
        <v>282</v>
      </c>
      <c r="D10949" s="254">
        <v>21.09</v>
      </c>
      <c r="E10949"/>
      <c r="F10949"/>
      <c r="G10949"/>
      <c r="H10949"/>
      <c r="I10949" s="489"/>
      <c r="J10949" s="1362"/>
      <c r="K10949" s="1362"/>
      <c r="L10949" s="1362"/>
    </row>
    <row r="10950" spans="1:12" x14ac:dyDescent="0.25">
      <c r="A10950">
        <v>100890</v>
      </c>
      <c r="B10950" t="s">
        <v>4077</v>
      </c>
      <c r="C10950" t="s">
        <v>282</v>
      </c>
      <c r="D10950" s="254">
        <v>20.91</v>
      </c>
      <c r="E10950"/>
      <c r="F10950"/>
      <c r="G10950"/>
      <c r="H10950"/>
      <c r="I10950" s="489"/>
      <c r="J10950" s="1362"/>
      <c r="K10950" s="1362"/>
      <c r="L10950" s="1362"/>
    </row>
    <row r="10951" spans="1:12" x14ac:dyDescent="0.25">
      <c r="A10951">
        <v>100892</v>
      </c>
      <c r="B10951" t="s">
        <v>4078</v>
      </c>
      <c r="C10951" t="s">
        <v>282</v>
      </c>
      <c r="D10951" s="254">
        <v>19.829999999999998</v>
      </c>
      <c r="E10951"/>
      <c r="F10951"/>
      <c r="G10951"/>
      <c r="H10951"/>
      <c r="I10951" s="489"/>
      <c r="J10951" s="1362"/>
      <c r="K10951" s="1362"/>
      <c r="L10951" s="1362"/>
    </row>
    <row r="10952" spans="1:12" x14ac:dyDescent="0.25">
      <c r="A10952">
        <v>100893</v>
      </c>
      <c r="B10952" t="s">
        <v>4079</v>
      </c>
      <c r="C10952" t="s">
        <v>282</v>
      </c>
      <c r="D10952" s="254">
        <v>19.66</v>
      </c>
      <c r="E10952"/>
      <c r="F10952"/>
      <c r="G10952"/>
      <c r="H10952"/>
      <c r="I10952" s="489"/>
      <c r="J10952" s="1362"/>
      <c r="K10952" s="1362"/>
      <c r="L10952" s="1362"/>
    </row>
    <row r="10953" spans="1:12" x14ac:dyDescent="0.25">
      <c r="A10953">
        <v>100894</v>
      </c>
      <c r="B10953" t="s">
        <v>4080</v>
      </c>
      <c r="C10953" t="s">
        <v>282</v>
      </c>
      <c r="D10953" s="254">
        <v>19.55</v>
      </c>
      <c r="E10953"/>
      <c r="F10953"/>
      <c r="G10953"/>
      <c r="H10953"/>
      <c r="I10953" s="489"/>
      <c r="J10953" s="1362"/>
      <c r="K10953" s="1362"/>
      <c r="L10953" s="1362"/>
    </row>
    <row r="10954" spans="1:12" x14ac:dyDescent="0.25">
      <c r="A10954">
        <v>100896</v>
      </c>
      <c r="B10954" t="s">
        <v>4081</v>
      </c>
      <c r="C10954" t="s">
        <v>151</v>
      </c>
      <c r="D10954" s="254">
        <v>61.29</v>
      </c>
      <c r="E10954"/>
      <c r="F10954"/>
      <c r="G10954"/>
      <c r="H10954"/>
      <c r="I10954" s="489"/>
      <c r="J10954" s="1362"/>
      <c r="K10954" s="1362"/>
      <c r="L10954" s="1362"/>
    </row>
    <row r="10955" spans="1:12" x14ac:dyDescent="0.25">
      <c r="A10955">
        <v>100897</v>
      </c>
      <c r="B10955" t="s">
        <v>4082</v>
      </c>
      <c r="C10955" t="s">
        <v>151</v>
      </c>
      <c r="D10955" s="254">
        <v>118.94</v>
      </c>
      <c r="E10955"/>
      <c r="F10955"/>
      <c r="G10955"/>
      <c r="H10955"/>
      <c r="I10955" s="489"/>
      <c r="J10955" s="1362"/>
      <c r="K10955" s="1362"/>
      <c r="L10955" s="1362"/>
    </row>
    <row r="10956" spans="1:12" x14ac:dyDescent="0.25">
      <c r="A10956">
        <v>100898</v>
      </c>
      <c r="B10956" t="s">
        <v>4083</v>
      </c>
      <c r="C10956" t="s">
        <v>151</v>
      </c>
      <c r="D10956" s="254">
        <v>228.83</v>
      </c>
      <c r="E10956"/>
      <c r="F10956"/>
      <c r="G10956"/>
      <c r="H10956"/>
      <c r="I10956" s="489"/>
      <c r="J10956" s="1362"/>
      <c r="K10956" s="1362"/>
      <c r="L10956" s="1362"/>
    </row>
    <row r="10957" spans="1:12" x14ac:dyDescent="0.25">
      <c r="A10957">
        <v>100899</v>
      </c>
      <c r="B10957" t="s">
        <v>4084</v>
      </c>
      <c r="C10957" t="s">
        <v>151</v>
      </c>
      <c r="D10957" s="254">
        <v>84.96</v>
      </c>
      <c r="E10957"/>
      <c r="F10957"/>
      <c r="G10957"/>
      <c r="H10957"/>
      <c r="I10957" s="489"/>
      <c r="J10957" s="1362"/>
      <c r="K10957" s="1362"/>
      <c r="L10957" s="1362"/>
    </row>
    <row r="10958" spans="1:12" x14ac:dyDescent="0.25">
      <c r="A10958">
        <v>100900</v>
      </c>
      <c r="B10958" t="s">
        <v>4085</v>
      </c>
      <c r="C10958" t="s">
        <v>151</v>
      </c>
      <c r="D10958" s="254">
        <v>262.35000000000002</v>
      </c>
      <c r="E10958"/>
      <c r="F10958"/>
      <c r="G10958"/>
      <c r="H10958"/>
      <c r="I10958" s="489"/>
      <c r="J10958" s="1362"/>
      <c r="K10958" s="1362"/>
      <c r="L10958" s="1362"/>
    </row>
    <row r="10959" spans="1:12" x14ac:dyDescent="0.25">
      <c r="A10959">
        <v>101173</v>
      </c>
      <c r="B10959" t="s">
        <v>4336</v>
      </c>
      <c r="C10959" t="s">
        <v>151</v>
      </c>
      <c r="D10959" s="254">
        <v>64.48</v>
      </c>
      <c r="E10959"/>
      <c r="F10959"/>
      <c r="G10959"/>
      <c r="H10959"/>
      <c r="I10959" s="489"/>
      <c r="J10959" s="1362"/>
      <c r="K10959" s="1362"/>
      <c r="L10959" s="1362"/>
    </row>
    <row r="10960" spans="1:12" x14ac:dyDescent="0.25">
      <c r="A10960">
        <v>101174</v>
      </c>
      <c r="B10960" t="s">
        <v>4337</v>
      </c>
      <c r="C10960" t="s">
        <v>151</v>
      </c>
      <c r="D10960" s="254">
        <v>90.2</v>
      </c>
      <c r="E10960"/>
      <c r="F10960"/>
      <c r="G10960"/>
      <c r="H10960"/>
      <c r="I10960" s="489"/>
      <c r="J10960" s="1362"/>
      <c r="K10960" s="1362"/>
      <c r="L10960" s="1362"/>
    </row>
    <row r="10961" spans="1:12" x14ac:dyDescent="0.25">
      <c r="A10961">
        <v>101175</v>
      </c>
      <c r="B10961" t="s">
        <v>4338</v>
      </c>
      <c r="C10961" t="s">
        <v>151</v>
      </c>
      <c r="D10961" s="254">
        <v>123.3</v>
      </c>
      <c r="E10961"/>
      <c r="F10961"/>
      <c r="G10961"/>
      <c r="H10961"/>
      <c r="I10961" s="489"/>
      <c r="J10961" s="1362"/>
      <c r="K10961" s="1362"/>
      <c r="L10961" s="1362"/>
    </row>
    <row r="10962" spans="1:12" x14ac:dyDescent="0.25">
      <c r="A10962">
        <v>101176</v>
      </c>
      <c r="B10962" t="s">
        <v>4339</v>
      </c>
      <c r="C10962" t="s">
        <v>151</v>
      </c>
      <c r="D10962" s="254">
        <v>155.38</v>
      </c>
      <c r="E10962"/>
      <c r="F10962"/>
      <c r="G10962"/>
      <c r="H10962"/>
      <c r="I10962" s="489"/>
      <c r="J10962" s="1362"/>
      <c r="K10962" s="1362"/>
      <c r="L10962" s="1362"/>
    </row>
    <row r="10963" spans="1:12" x14ac:dyDescent="0.25">
      <c r="A10963">
        <v>102521</v>
      </c>
      <c r="B10963" t="s">
        <v>6073</v>
      </c>
      <c r="C10963" t="s">
        <v>138</v>
      </c>
      <c r="D10963" s="254">
        <v>103.11</v>
      </c>
      <c r="E10963"/>
      <c r="F10963"/>
      <c r="G10963"/>
      <c r="H10963"/>
      <c r="I10963" s="489"/>
      <c r="J10963" s="1362"/>
      <c r="K10963" s="1362"/>
      <c r="L10963" s="1362"/>
    </row>
    <row r="10964" spans="1:12" x14ac:dyDescent="0.25">
      <c r="A10964">
        <v>102522</v>
      </c>
      <c r="B10964" t="s">
        <v>6074</v>
      </c>
      <c r="C10964" t="s">
        <v>138</v>
      </c>
      <c r="D10964" s="254">
        <v>151.27000000000001</v>
      </c>
      <c r="E10964"/>
      <c r="F10964"/>
      <c r="G10964"/>
      <c r="H10964"/>
      <c r="I10964" s="489"/>
      <c r="J10964" s="1362"/>
      <c r="K10964" s="1362"/>
      <c r="L10964" s="1362"/>
    </row>
    <row r="10965" spans="1:12" x14ac:dyDescent="0.25">
      <c r="A10965">
        <v>102523</v>
      </c>
      <c r="B10965" t="s">
        <v>6075</v>
      </c>
      <c r="C10965" t="s">
        <v>138</v>
      </c>
      <c r="D10965" s="254">
        <v>199.42</v>
      </c>
      <c r="E10965"/>
      <c r="F10965"/>
      <c r="G10965"/>
      <c r="H10965"/>
      <c r="I10965" s="489"/>
      <c r="J10965" s="1362"/>
      <c r="K10965" s="1362"/>
      <c r="L10965" s="1362"/>
    </row>
    <row r="10966" spans="1:12" x14ac:dyDescent="0.25">
      <c r="A10966">
        <v>95240</v>
      </c>
      <c r="B10966" t="s">
        <v>5995</v>
      </c>
      <c r="C10966" t="s">
        <v>297</v>
      </c>
      <c r="D10966" s="254">
        <v>20.170000000000002</v>
      </c>
      <c r="E10966"/>
      <c r="F10966"/>
      <c r="G10966"/>
      <c r="H10966"/>
      <c r="I10966" s="489"/>
      <c r="J10966" s="1362"/>
      <c r="K10966" s="1362"/>
      <c r="L10966" s="1362"/>
    </row>
    <row r="10967" spans="1:12" x14ac:dyDescent="0.25">
      <c r="A10967">
        <v>95241</v>
      </c>
      <c r="B10967" t="s">
        <v>5996</v>
      </c>
      <c r="C10967" t="s">
        <v>297</v>
      </c>
      <c r="D10967" s="254">
        <v>33.630000000000003</v>
      </c>
      <c r="E10967"/>
      <c r="F10967"/>
      <c r="G10967"/>
      <c r="H10967"/>
      <c r="I10967" s="489"/>
      <c r="J10967" s="1362"/>
      <c r="K10967" s="1362"/>
      <c r="L10967" s="1362"/>
    </row>
    <row r="10968" spans="1:12" x14ac:dyDescent="0.25">
      <c r="A10968">
        <v>96616</v>
      </c>
      <c r="B10968" t="s">
        <v>1233</v>
      </c>
      <c r="C10968" t="s">
        <v>1159</v>
      </c>
      <c r="D10968" s="254">
        <v>700.93</v>
      </c>
      <c r="E10968"/>
      <c r="F10968"/>
      <c r="G10968"/>
      <c r="H10968"/>
      <c r="I10968" s="489"/>
      <c r="J10968" s="1362"/>
      <c r="K10968" s="1362"/>
      <c r="L10968" s="1362"/>
    </row>
    <row r="10969" spans="1:12" x14ac:dyDescent="0.25">
      <c r="A10969">
        <v>96617</v>
      </c>
      <c r="B10969" t="s">
        <v>1234</v>
      </c>
      <c r="C10969" t="s">
        <v>297</v>
      </c>
      <c r="D10969" s="254">
        <v>21.01</v>
      </c>
      <c r="E10969"/>
      <c r="F10969"/>
      <c r="G10969"/>
      <c r="H10969"/>
      <c r="I10969" s="489"/>
      <c r="J10969" s="1362"/>
      <c r="K10969" s="1362"/>
      <c r="L10969" s="1362"/>
    </row>
    <row r="10970" spans="1:12" x14ac:dyDescent="0.25">
      <c r="A10970">
        <v>96619</v>
      </c>
      <c r="B10970" t="s">
        <v>1235</v>
      </c>
      <c r="C10970" t="s">
        <v>297</v>
      </c>
      <c r="D10970" s="254">
        <v>35.03</v>
      </c>
      <c r="E10970"/>
      <c r="F10970"/>
      <c r="G10970"/>
      <c r="H10970"/>
      <c r="I10970" s="489"/>
      <c r="J10970" s="1362"/>
      <c r="K10970" s="1362"/>
      <c r="L10970" s="1362"/>
    </row>
    <row r="10971" spans="1:12" x14ac:dyDescent="0.25">
      <c r="A10971">
        <v>96620</v>
      </c>
      <c r="B10971" t="s">
        <v>5997</v>
      </c>
      <c r="C10971" t="s">
        <v>1159</v>
      </c>
      <c r="D10971" s="254">
        <v>672.95</v>
      </c>
      <c r="E10971"/>
      <c r="F10971"/>
      <c r="G10971"/>
      <c r="H10971"/>
      <c r="I10971" s="489"/>
      <c r="J10971" s="1362"/>
      <c r="K10971" s="1362"/>
      <c r="L10971" s="1362"/>
    </row>
    <row r="10972" spans="1:12" x14ac:dyDescent="0.25">
      <c r="A10972">
        <v>96621</v>
      </c>
      <c r="B10972" t="s">
        <v>1236</v>
      </c>
      <c r="C10972" t="s">
        <v>1159</v>
      </c>
      <c r="D10972" s="254">
        <v>243.37</v>
      </c>
      <c r="E10972"/>
      <c r="F10972"/>
      <c r="G10972"/>
      <c r="H10972"/>
      <c r="I10972" s="489"/>
      <c r="J10972" s="1362"/>
      <c r="K10972" s="1362"/>
      <c r="L10972" s="1362"/>
    </row>
    <row r="10973" spans="1:12" x14ac:dyDescent="0.25">
      <c r="A10973">
        <v>96622</v>
      </c>
      <c r="B10973" t="s">
        <v>5998</v>
      </c>
      <c r="C10973" t="s">
        <v>1159</v>
      </c>
      <c r="D10973" s="254">
        <v>161.33000000000001</v>
      </c>
      <c r="E10973"/>
      <c r="F10973"/>
      <c r="G10973"/>
      <c r="H10973"/>
      <c r="I10973" s="489"/>
      <c r="J10973" s="1362"/>
      <c r="K10973" s="1362"/>
      <c r="L10973" s="1362"/>
    </row>
    <row r="10974" spans="1:12" x14ac:dyDescent="0.25">
      <c r="A10974">
        <v>96623</v>
      </c>
      <c r="B10974" t="s">
        <v>1237</v>
      </c>
      <c r="C10974" t="s">
        <v>1159</v>
      </c>
      <c r="D10974" s="254">
        <v>224.21</v>
      </c>
      <c r="E10974"/>
      <c r="F10974"/>
      <c r="G10974"/>
      <c r="H10974"/>
      <c r="I10974" s="489"/>
      <c r="J10974" s="1362"/>
      <c r="K10974" s="1362"/>
      <c r="L10974" s="1362"/>
    </row>
    <row r="10975" spans="1:12" x14ac:dyDescent="0.25">
      <c r="A10975">
        <v>96624</v>
      </c>
      <c r="B10975" t="s">
        <v>5999</v>
      </c>
      <c r="C10975" t="s">
        <v>1159</v>
      </c>
      <c r="D10975" s="254">
        <v>154.58000000000001</v>
      </c>
      <c r="E10975"/>
      <c r="F10975"/>
      <c r="G10975"/>
      <c r="H10975"/>
      <c r="I10975" s="489"/>
      <c r="J10975" s="1362"/>
      <c r="K10975" s="1362"/>
      <c r="L10975" s="1362"/>
    </row>
    <row r="10976" spans="1:12" x14ac:dyDescent="0.25">
      <c r="A10976">
        <v>97082</v>
      </c>
      <c r="B10976" t="s">
        <v>6891</v>
      </c>
      <c r="C10976" t="s">
        <v>1159</v>
      </c>
      <c r="D10976" s="254">
        <v>60.46</v>
      </c>
      <c r="E10976"/>
      <c r="F10976"/>
      <c r="G10976"/>
      <c r="H10976"/>
      <c r="I10976" s="489"/>
      <c r="J10976" s="1362"/>
      <c r="K10976" s="1362"/>
      <c r="L10976" s="1362"/>
    </row>
    <row r="10977" spans="1:12" x14ac:dyDescent="0.25">
      <c r="A10977">
        <v>97083</v>
      </c>
      <c r="B10977" t="s">
        <v>6892</v>
      </c>
      <c r="C10977" t="s">
        <v>297</v>
      </c>
      <c r="D10977" s="254">
        <v>3.38</v>
      </c>
      <c r="E10977"/>
      <c r="F10977"/>
      <c r="G10977"/>
      <c r="H10977"/>
      <c r="I10977" s="489"/>
      <c r="J10977" s="1362"/>
      <c r="K10977" s="1362"/>
      <c r="L10977" s="1362"/>
    </row>
    <row r="10978" spans="1:12" x14ac:dyDescent="0.25">
      <c r="A10978">
        <v>97084</v>
      </c>
      <c r="B10978" t="s">
        <v>6893</v>
      </c>
      <c r="C10978" t="s">
        <v>297</v>
      </c>
      <c r="D10978" s="254">
        <v>0.7</v>
      </c>
      <c r="E10978"/>
      <c r="F10978"/>
      <c r="G10978"/>
      <c r="H10978"/>
      <c r="I10978" s="489"/>
      <c r="J10978" s="1362"/>
      <c r="K10978" s="1362"/>
      <c r="L10978" s="1362"/>
    </row>
    <row r="10979" spans="1:12" x14ac:dyDescent="0.25">
      <c r="A10979">
        <v>97086</v>
      </c>
      <c r="B10979" t="s">
        <v>6894</v>
      </c>
      <c r="C10979" t="s">
        <v>297</v>
      </c>
      <c r="D10979" s="254">
        <v>143.41</v>
      </c>
      <c r="E10979"/>
      <c r="F10979"/>
      <c r="G10979"/>
      <c r="H10979"/>
      <c r="I10979" s="489"/>
      <c r="J10979" s="1362"/>
      <c r="K10979" s="1362"/>
      <c r="L10979" s="1362"/>
    </row>
    <row r="10980" spans="1:12" x14ac:dyDescent="0.25">
      <c r="A10980">
        <v>97087</v>
      </c>
      <c r="B10980" t="s">
        <v>6895</v>
      </c>
      <c r="C10980" t="s">
        <v>297</v>
      </c>
      <c r="D10980" s="254">
        <v>2.2000000000000002</v>
      </c>
      <c r="E10980"/>
      <c r="F10980"/>
      <c r="G10980"/>
      <c r="H10980"/>
      <c r="I10980" s="489"/>
      <c r="J10980" s="1362"/>
      <c r="K10980" s="1362"/>
      <c r="L10980" s="1362"/>
    </row>
    <row r="10981" spans="1:12" x14ac:dyDescent="0.25">
      <c r="A10981">
        <v>97088</v>
      </c>
      <c r="B10981" t="s">
        <v>6896</v>
      </c>
      <c r="C10981" t="s">
        <v>282</v>
      </c>
      <c r="D10981" s="254">
        <v>20.48</v>
      </c>
      <c r="E10981"/>
      <c r="F10981"/>
      <c r="G10981"/>
      <c r="H10981"/>
      <c r="I10981" s="489"/>
      <c r="J10981" s="1362"/>
      <c r="K10981" s="1362"/>
      <c r="L10981" s="1362"/>
    </row>
    <row r="10982" spans="1:12" x14ac:dyDescent="0.25">
      <c r="A10982">
        <v>97089</v>
      </c>
      <c r="B10982" t="s">
        <v>6897</v>
      </c>
      <c r="C10982" t="s">
        <v>282</v>
      </c>
      <c r="D10982" s="254">
        <v>18.72</v>
      </c>
      <c r="E10982"/>
      <c r="F10982"/>
      <c r="G10982"/>
      <c r="H10982"/>
      <c r="I10982" s="489"/>
      <c r="J10982" s="1362"/>
      <c r="K10982" s="1362"/>
      <c r="L10982" s="1362"/>
    </row>
    <row r="10983" spans="1:12" x14ac:dyDescent="0.25">
      <c r="A10983">
        <v>97090</v>
      </c>
      <c r="B10983" t="s">
        <v>6898</v>
      </c>
      <c r="C10983" t="s">
        <v>282</v>
      </c>
      <c r="D10983" s="254">
        <v>18.38</v>
      </c>
      <c r="E10983"/>
      <c r="F10983"/>
      <c r="G10983"/>
      <c r="H10983"/>
      <c r="I10983" s="489"/>
      <c r="J10983" s="1362"/>
      <c r="K10983" s="1362"/>
      <c r="L10983" s="1362"/>
    </row>
    <row r="10984" spans="1:12" x14ac:dyDescent="0.25">
      <c r="A10984">
        <v>97091</v>
      </c>
      <c r="B10984" t="s">
        <v>6899</v>
      </c>
      <c r="C10984" t="s">
        <v>282</v>
      </c>
      <c r="D10984" s="254">
        <v>17.809999999999999</v>
      </c>
      <c r="E10984"/>
      <c r="F10984"/>
      <c r="G10984"/>
      <c r="H10984"/>
      <c r="I10984" s="489"/>
      <c r="J10984" s="1362"/>
      <c r="K10984" s="1362"/>
      <c r="L10984" s="1362"/>
    </row>
    <row r="10985" spans="1:12" x14ac:dyDescent="0.25">
      <c r="A10985">
        <v>97092</v>
      </c>
      <c r="B10985" t="s">
        <v>6900</v>
      </c>
      <c r="C10985" t="s">
        <v>282</v>
      </c>
      <c r="D10985" s="254">
        <v>17.239999999999998</v>
      </c>
      <c r="E10985"/>
      <c r="F10985"/>
      <c r="G10985"/>
      <c r="H10985"/>
      <c r="I10985" s="489"/>
      <c r="J10985" s="1362"/>
      <c r="K10985" s="1362"/>
      <c r="L10985" s="1362"/>
    </row>
    <row r="10986" spans="1:12" x14ac:dyDescent="0.25">
      <c r="A10986">
        <v>97093</v>
      </c>
      <c r="B10986" t="s">
        <v>6901</v>
      </c>
      <c r="C10986" t="s">
        <v>282</v>
      </c>
      <c r="D10986" s="254">
        <v>16.16</v>
      </c>
      <c r="E10986"/>
      <c r="F10986"/>
      <c r="G10986"/>
      <c r="H10986"/>
      <c r="I10986" s="489"/>
      <c r="J10986" s="1362"/>
      <c r="K10986" s="1362"/>
      <c r="L10986" s="1362"/>
    </row>
    <row r="10987" spans="1:12" x14ac:dyDescent="0.25">
      <c r="A10987">
        <v>97096</v>
      </c>
      <c r="B10987" t="s">
        <v>6902</v>
      </c>
      <c r="C10987" t="s">
        <v>1159</v>
      </c>
      <c r="D10987" s="254">
        <v>602.87</v>
      </c>
      <c r="E10987"/>
      <c r="F10987"/>
      <c r="G10987"/>
      <c r="H10987"/>
      <c r="I10987" s="489"/>
      <c r="J10987" s="1362"/>
      <c r="K10987" s="1362"/>
      <c r="L10987" s="1362"/>
    </row>
    <row r="10988" spans="1:12" x14ac:dyDescent="0.25">
      <c r="A10988">
        <v>97097</v>
      </c>
      <c r="B10988" t="s">
        <v>6903</v>
      </c>
      <c r="C10988" t="s">
        <v>297</v>
      </c>
      <c r="D10988" s="254">
        <v>35.24</v>
      </c>
      <c r="E10988"/>
      <c r="F10988"/>
      <c r="G10988"/>
      <c r="H10988"/>
      <c r="I10988" s="489"/>
      <c r="J10988" s="1362"/>
      <c r="K10988" s="1362"/>
      <c r="L10988" s="1362"/>
    </row>
    <row r="10989" spans="1:12" x14ac:dyDescent="0.25">
      <c r="A10989">
        <v>97101</v>
      </c>
      <c r="B10989" t="s">
        <v>6904</v>
      </c>
      <c r="C10989" t="s">
        <v>297</v>
      </c>
      <c r="D10989" s="254">
        <v>183.9</v>
      </c>
      <c r="E10989"/>
      <c r="F10989"/>
      <c r="G10989"/>
      <c r="H10989"/>
      <c r="I10989" s="489"/>
      <c r="J10989" s="1362"/>
      <c r="K10989" s="1362"/>
      <c r="L10989" s="1362"/>
    </row>
    <row r="10990" spans="1:12" x14ac:dyDescent="0.25">
      <c r="A10990">
        <v>97102</v>
      </c>
      <c r="B10990" t="s">
        <v>6905</v>
      </c>
      <c r="C10990" t="s">
        <v>297</v>
      </c>
      <c r="D10990" s="254">
        <v>230.4</v>
      </c>
      <c r="E10990"/>
      <c r="F10990"/>
      <c r="G10990"/>
      <c r="H10990"/>
      <c r="I10990" s="489"/>
      <c r="J10990" s="1362"/>
      <c r="K10990" s="1362"/>
      <c r="L10990" s="1362"/>
    </row>
    <row r="10991" spans="1:12" x14ac:dyDescent="0.25">
      <c r="A10991">
        <v>97103</v>
      </c>
      <c r="B10991" t="s">
        <v>6906</v>
      </c>
      <c r="C10991" t="s">
        <v>297</v>
      </c>
      <c r="D10991" s="254">
        <v>272.29000000000002</v>
      </c>
      <c r="E10991"/>
      <c r="F10991"/>
      <c r="G10991"/>
      <c r="H10991"/>
      <c r="I10991" s="489"/>
      <c r="J10991" s="1362"/>
      <c r="K10991" s="1362"/>
      <c r="L10991" s="1362"/>
    </row>
    <row r="10992" spans="1:12" x14ac:dyDescent="0.25">
      <c r="A10992">
        <v>100322</v>
      </c>
      <c r="B10992" t="s">
        <v>6000</v>
      </c>
      <c r="C10992" t="s">
        <v>1159</v>
      </c>
      <c r="D10992" s="254">
        <v>147.59</v>
      </c>
      <c r="E10992"/>
      <c r="F10992"/>
      <c r="G10992"/>
      <c r="H10992"/>
      <c r="I10992" s="489"/>
      <c r="J10992" s="1362"/>
      <c r="K10992" s="1362"/>
      <c r="L10992" s="1362"/>
    </row>
    <row r="10993" spans="1:12" x14ac:dyDescent="0.25">
      <c r="A10993">
        <v>100323</v>
      </c>
      <c r="B10993" t="s">
        <v>6001</v>
      </c>
      <c r="C10993" t="s">
        <v>1159</v>
      </c>
      <c r="D10993" s="254">
        <v>208.26</v>
      </c>
      <c r="E10993"/>
      <c r="F10993"/>
      <c r="G10993"/>
      <c r="H10993"/>
      <c r="I10993" s="489"/>
      <c r="J10993" s="1362"/>
      <c r="K10993" s="1362"/>
      <c r="L10993" s="1362"/>
    </row>
    <row r="10994" spans="1:12" x14ac:dyDescent="0.25">
      <c r="A10994">
        <v>100324</v>
      </c>
      <c r="B10994" t="s">
        <v>6002</v>
      </c>
      <c r="C10994" t="s">
        <v>1159</v>
      </c>
      <c r="D10994" s="254">
        <v>154.27000000000001</v>
      </c>
      <c r="E10994"/>
      <c r="F10994"/>
      <c r="G10994"/>
      <c r="H10994"/>
      <c r="I10994" s="489"/>
      <c r="J10994" s="1362"/>
      <c r="K10994" s="1362"/>
      <c r="L10994" s="1362"/>
    </row>
    <row r="10995" spans="1:12" x14ac:dyDescent="0.25">
      <c r="A10995">
        <v>103072</v>
      </c>
      <c r="B10995" t="s">
        <v>6907</v>
      </c>
      <c r="C10995" t="s">
        <v>297</v>
      </c>
      <c r="D10995" s="254">
        <v>322.77</v>
      </c>
      <c r="E10995"/>
      <c r="F10995"/>
      <c r="G10995"/>
      <c r="H10995"/>
      <c r="I10995" s="489"/>
      <c r="J10995" s="1362"/>
      <c r="K10995" s="1362"/>
      <c r="L10995" s="1362"/>
    </row>
    <row r="10996" spans="1:12" x14ac:dyDescent="0.25">
      <c r="A10996">
        <v>103073</v>
      </c>
      <c r="B10996" t="s">
        <v>6908</v>
      </c>
      <c r="C10996" t="s">
        <v>297</v>
      </c>
      <c r="D10996" s="254">
        <v>393.35</v>
      </c>
      <c r="E10996"/>
      <c r="F10996"/>
      <c r="G10996"/>
      <c r="H10996"/>
      <c r="I10996" s="489"/>
      <c r="J10996" s="1362"/>
      <c r="K10996" s="1362"/>
      <c r="L10996" s="1362"/>
    </row>
    <row r="10997" spans="1:12" x14ac:dyDescent="0.25">
      <c r="A10997">
        <v>103074</v>
      </c>
      <c r="B10997" t="s">
        <v>6909</v>
      </c>
      <c r="C10997" t="s">
        <v>297</v>
      </c>
      <c r="D10997" s="254">
        <v>179.41</v>
      </c>
      <c r="E10997"/>
      <c r="F10997"/>
      <c r="G10997"/>
      <c r="H10997"/>
      <c r="I10997" s="489"/>
      <c r="J10997" s="1362"/>
      <c r="K10997" s="1362"/>
      <c r="L10997" s="1362"/>
    </row>
    <row r="10998" spans="1:12" x14ac:dyDescent="0.25">
      <c r="A10998">
        <v>103075</v>
      </c>
      <c r="B10998" t="s">
        <v>6910</v>
      </c>
      <c r="C10998" t="s">
        <v>297</v>
      </c>
      <c r="D10998" s="254">
        <v>214.65</v>
      </c>
      <c r="E10998"/>
      <c r="F10998"/>
      <c r="G10998"/>
      <c r="H10998"/>
      <c r="I10998" s="489"/>
      <c r="J10998" s="1362"/>
      <c r="K10998" s="1362"/>
      <c r="L10998" s="1362"/>
    </row>
    <row r="10999" spans="1:12" x14ac:dyDescent="0.25">
      <c r="A10999">
        <v>103076</v>
      </c>
      <c r="B10999" t="s">
        <v>6911</v>
      </c>
      <c r="C10999" t="s">
        <v>297</v>
      </c>
      <c r="D10999" s="254">
        <v>160.16999999999999</v>
      </c>
      <c r="E10999"/>
      <c r="F10999"/>
      <c r="G10999"/>
      <c r="H10999"/>
      <c r="I10999" s="489"/>
      <c r="J10999" s="1362"/>
      <c r="K10999" s="1362"/>
      <c r="L10999" s="1362"/>
    </row>
    <row r="11000" spans="1:12" x14ac:dyDescent="0.25">
      <c r="A11000">
        <v>103077</v>
      </c>
      <c r="B11000" t="s">
        <v>6912</v>
      </c>
      <c r="C11000" t="s">
        <v>297</v>
      </c>
      <c r="D11000" s="254">
        <v>206.67</v>
      </c>
      <c r="E11000"/>
      <c r="F11000"/>
      <c r="G11000"/>
      <c r="H11000"/>
      <c r="I11000" s="489"/>
      <c r="J11000" s="1362"/>
      <c r="K11000" s="1362"/>
      <c r="L11000" s="1362"/>
    </row>
    <row r="11001" spans="1:12" x14ac:dyDescent="0.25">
      <c r="A11001">
        <v>103078</v>
      </c>
      <c r="B11001" t="s">
        <v>6913</v>
      </c>
      <c r="C11001" t="s">
        <v>297</v>
      </c>
      <c r="D11001" s="254">
        <v>248.56</v>
      </c>
      <c r="E11001"/>
      <c r="F11001"/>
      <c r="G11001"/>
      <c r="H11001"/>
      <c r="I11001" s="489"/>
      <c r="J11001" s="1362"/>
      <c r="K11001" s="1362"/>
      <c r="L11001" s="1362"/>
    </row>
    <row r="11002" spans="1:12" x14ac:dyDescent="0.25">
      <c r="A11002">
        <v>103079</v>
      </c>
      <c r="B11002" t="s">
        <v>6914</v>
      </c>
      <c r="C11002" t="s">
        <v>297</v>
      </c>
      <c r="D11002" s="254">
        <v>299.04000000000002</v>
      </c>
      <c r="E11002"/>
      <c r="F11002"/>
      <c r="G11002"/>
      <c r="H11002"/>
      <c r="I11002" s="489"/>
      <c r="J11002" s="1362"/>
      <c r="K11002" s="1362"/>
      <c r="L11002" s="1362"/>
    </row>
    <row r="11003" spans="1:12" x14ac:dyDescent="0.25">
      <c r="A11003">
        <v>103080</v>
      </c>
      <c r="B11003" t="s">
        <v>6915</v>
      </c>
      <c r="C11003" t="s">
        <v>297</v>
      </c>
      <c r="D11003" s="254">
        <v>369.62</v>
      </c>
      <c r="E11003"/>
      <c r="F11003"/>
      <c r="G11003"/>
      <c r="H11003"/>
      <c r="I11003" s="489"/>
      <c r="J11003" s="1362"/>
      <c r="K11003" s="1362"/>
      <c r="L11003" s="1362"/>
    </row>
    <row r="11004" spans="1:12" x14ac:dyDescent="0.25">
      <c r="A11004">
        <v>92263</v>
      </c>
      <c r="B11004" t="s">
        <v>4678</v>
      </c>
      <c r="C11004" t="s">
        <v>297</v>
      </c>
      <c r="D11004" s="254">
        <v>193.73</v>
      </c>
      <c r="E11004"/>
      <c r="F11004"/>
      <c r="G11004"/>
      <c r="H11004"/>
      <c r="I11004" s="489"/>
      <c r="J11004" s="1362"/>
      <c r="K11004" s="1362"/>
      <c r="L11004" s="1362"/>
    </row>
    <row r="11005" spans="1:12" x14ac:dyDescent="0.25">
      <c r="A11005">
        <v>92264</v>
      </c>
      <c r="B11005" t="s">
        <v>4679</v>
      </c>
      <c r="C11005" t="s">
        <v>297</v>
      </c>
      <c r="D11005" s="254">
        <v>260.45</v>
      </c>
      <c r="E11005"/>
      <c r="F11005"/>
      <c r="G11005"/>
      <c r="H11005"/>
      <c r="I11005" s="489"/>
      <c r="J11005" s="1362"/>
      <c r="K11005" s="1362"/>
      <c r="L11005" s="1362"/>
    </row>
    <row r="11006" spans="1:12" x14ac:dyDescent="0.25">
      <c r="A11006">
        <v>92265</v>
      </c>
      <c r="B11006" t="s">
        <v>4680</v>
      </c>
      <c r="C11006" t="s">
        <v>297</v>
      </c>
      <c r="D11006" s="254">
        <v>145.41999999999999</v>
      </c>
      <c r="E11006"/>
      <c r="F11006"/>
      <c r="G11006"/>
      <c r="H11006"/>
      <c r="I11006" s="489"/>
      <c r="J11006" s="1362"/>
      <c r="K11006" s="1362"/>
      <c r="L11006" s="1362"/>
    </row>
    <row r="11007" spans="1:12" x14ac:dyDescent="0.25">
      <c r="A11007">
        <v>92266</v>
      </c>
      <c r="B11007" t="s">
        <v>4681</v>
      </c>
      <c r="C11007" t="s">
        <v>297</v>
      </c>
      <c r="D11007" s="254">
        <v>202.65</v>
      </c>
      <c r="E11007"/>
      <c r="F11007"/>
      <c r="G11007"/>
      <c r="H11007"/>
      <c r="I11007" s="489"/>
      <c r="J11007" s="1362"/>
      <c r="K11007" s="1362"/>
      <c r="L11007" s="1362"/>
    </row>
    <row r="11008" spans="1:12" x14ac:dyDescent="0.25">
      <c r="A11008">
        <v>92267</v>
      </c>
      <c r="B11008" t="s">
        <v>4682</v>
      </c>
      <c r="C11008" t="s">
        <v>297</v>
      </c>
      <c r="D11008" s="254">
        <v>76.56</v>
      </c>
      <c r="E11008"/>
      <c r="F11008"/>
      <c r="G11008"/>
      <c r="H11008"/>
      <c r="I11008" s="489"/>
      <c r="J11008" s="1362"/>
      <c r="K11008" s="1362"/>
      <c r="L11008" s="1362"/>
    </row>
    <row r="11009" spans="1:12" x14ac:dyDescent="0.25">
      <c r="A11009">
        <v>92268</v>
      </c>
      <c r="B11009" t="s">
        <v>4683</v>
      </c>
      <c r="C11009" t="s">
        <v>297</v>
      </c>
      <c r="D11009" s="254">
        <v>128.99</v>
      </c>
      <c r="E11009"/>
      <c r="F11009"/>
      <c r="G11009"/>
      <c r="H11009"/>
      <c r="I11009" s="489"/>
      <c r="J11009" s="1362"/>
      <c r="K11009" s="1362"/>
      <c r="L11009" s="1362"/>
    </row>
    <row r="11010" spans="1:12" x14ac:dyDescent="0.25">
      <c r="A11010">
        <v>92269</v>
      </c>
      <c r="B11010" t="s">
        <v>4684</v>
      </c>
      <c r="C11010" t="s">
        <v>297</v>
      </c>
      <c r="D11010" s="254">
        <v>297.69</v>
      </c>
      <c r="E11010"/>
      <c r="F11010"/>
      <c r="G11010"/>
      <c r="H11010"/>
      <c r="I11010" s="489"/>
      <c r="J11010" s="1362"/>
      <c r="K11010" s="1362"/>
      <c r="L11010" s="1362"/>
    </row>
    <row r="11011" spans="1:12" x14ac:dyDescent="0.25">
      <c r="A11011">
        <v>92270</v>
      </c>
      <c r="B11011" t="s">
        <v>4685</v>
      </c>
      <c r="C11011" t="s">
        <v>297</v>
      </c>
      <c r="D11011" s="254">
        <v>223.33</v>
      </c>
      <c r="E11011"/>
      <c r="F11011"/>
      <c r="G11011"/>
      <c r="H11011"/>
      <c r="I11011" s="489"/>
      <c r="J11011" s="1362"/>
      <c r="K11011" s="1362"/>
      <c r="L11011" s="1362"/>
    </row>
    <row r="11012" spans="1:12" x14ac:dyDescent="0.25">
      <c r="A11012">
        <v>92271</v>
      </c>
      <c r="B11012" t="s">
        <v>4686</v>
      </c>
      <c r="C11012" t="s">
        <v>297</v>
      </c>
      <c r="D11012" s="254">
        <v>151.56</v>
      </c>
      <c r="E11012"/>
      <c r="F11012"/>
      <c r="G11012"/>
      <c r="H11012"/>
      <c r="I11012" s="489"/>
      <c r="J11012" s="1362"/>
      <c r="K11012" s="1362"/>
      <c r="L11012" s="1362"/>
    </row>
    <row r="11013" spans="1:12" x14ac:dyDescent="0.25">
      <c r="A11013">
        <v>92272</v>
      </c>
      <c r="B11013" t="s">
        <v>4687</v>
      </c>
      <c r="C11013" t="s">
        <v>151</v>
      </c>
      <c r="D11013" s="254">
        <v>41.85</v>
      </c>
      <c r="E11013"/>
      <c r="F11013"/>
      <c r="G11013"/>
      <c r="H11013"/>
      <c r="I11013" s="489"/>
      <c r="J11013" s="1362"/>
      <c r="K11013" s="1362"/>
      <c r="L11013" s="1362"/>
    </row>
    <row r="11014" spans="1:12" x14ac:dyDescent="0.25">
      <c r="A11014">
        <v>92273</v>
      </c>
      <c r="B11014" t="s">
        <v>4688</v>
      </c>
      <c r="C11014" t="s">
        <v>151</v>
      </c>
      <c r="D11014" s="254">
        <v>15.18</v>
      </c>
      <c r="E11014"/>
      <c r="F11014"/>
      <c r="G11014"/>
      <c r="H11014"/>
      <c r="I11014" s="489"/>
      <c r="J11014" s="1362"/>
      <c r="K11014" s="1362"/>
      <c r="L11014" s="1362"/>
    </row>
    <row r="11015" spans="1:12" x14ac:dyDescent="0.25">
      <c r="A11015">
        <v>92409</v>
      </c>
      <c r="B11015" t="s">
        <v>4689</v>
      </c>
      <c r="C11015" t="s">
        <v>297</v>
      </c>
      <c r="D11015" s="254">
        <v>404.03</v>
      </c>
      <c r="E11015"/>
      <c r="F11015"/>
      <c r="G11015"/>
      <c r="H11015"/>
      <c r="I11015" s="489"/>
      <c r="J11015" s="1362"/>
      <c r="K11015" s="1362"/>
      <c r="L11015" s="1362"/>
    </row>
    <row r="11016" spans="1:12" x14ac:dyDescent="0.25">
      <c r="A11016">
        <v>92411</v>
      </c>
      <c r="B11016" t="s">
        <v>4690</v>
      </c>
      <c r="C11016" t="s">
        <v>297</v>
      </c>
      <c r="D11016" s="254">
        <v>246.47</v>
      </c>
      <c r="E11016"/>
      <c r="F11016"/>
      <c r="G11016"/>
      <c r="H11016"/>
      <c r="I11016" s="489"/>
      <c r="J11016" s="1362"/>
      <c r="K11016" s="1362"/>
      <c r="L11016" s="1362"/>
    </row>
    <row r="11017" spans="1:12" x14ac:dyDescent="0.25">
      <c r="A11017">
        <v>92413</v>
      </c>
      <c r="B11017" t="s">
        <v>4691</v>
      </c>
      <c r="C11017" t="s">
        <v>297</v>
      </c>
      <c r="D11017" s="254">
        <v>150.27000000000001</v>
      </c>
      <c r="E11017"/>
      <c r="F11017"/>
      <c r="G11017"/>
      <c r="H11017"/>
      <c r="I11017" s="489"/>
      <c r="J11017" s="1362"/>
      <c r="K11017" s="1362"/>
      <c r="L11017" s="1362"/>
    </row>
    <row r="11018" spans="1:12" x14ac:dyDescent="0.25">
      <c r="A11018">
        <v>92415</v>
      </c>
      <c r="B11018" t="s">
        <v>4692</v>
      </c>
      <c r="C11018" t="s">
        <v>297</v>
      </c>
      <c r="D11018" s="254">
        <v>155.79</v>
      </c>
      <c r="E11018"/>
      <c r="F11018"/>
      <c r="G11018"/>
      <c r="H11018"/>
      <c r="I11018" s="489"/>
      <c r="J11018" s="1362"/>
      <c r="K11018" s="1362"/>
      <c r="L11018" s="1362"/>
    </row>
    <row r="11019" spans="1:12" x14ac:dyDescent="0.25">
      <c r="A11019">
        <v>92417</v>
      </c>
      <c r="B11019" t="s">
        <v>4693</v>
      </c>
      <c r="C11019" t="s">
        <v>297</v>
      </c>
      <c r="D11019" s="254">
        <v>179.75</v>
      </c>
      <c r="E11019"/>
      <c r="F11019"/>
      <c r="G11019"/>
      <c r="H11019"/>
      <c r="I11019" s="489"/>
      <c r="J11019" s="1362"/>
      <c r="K11019" s="1362"/>
      <c r="L11019" s="1362"/>
    </row>
    <row r="11020" spans="1:12" x14ac:dyDescent="0.25">
      <c r="A11020">
        <v>92419</v>
      </c>
      <c r="B11020" t="s">
        <v>4694</v>
      </c>
      <c r="C11020" t="s">
        <v>297</v>
      </c>
      <c r="D11020" s="254">
        <v>96.51</v>
      </c>
      <c r="E11020"/>
      <c r="F11020"/>
      <c r="G11020"/>
      <c r="H11020"/>
      <c r="I11020" s="489"/>
      <c r="J11020" s="1362"/>
      <c r="K11020" s="1362"/>
      <c r="L11020" s="1362"/>
    </row>
    <row r="11021" spans="1:12" x14ac:dyDescent="0.25">
      <c r="A11021">
        <v>92421</v>
      </c>
      <c r="B11021" t="s">
        <v>4695</v>
      </c>
      <c r="C11021" t="s">
        <v>297</v>
      </c>
      <c r="D11021" s="254">
        <v>114.89</v>
      </c>
      <c r="E11021"/>
      <c r="F11021"/>
      <c r="G11021"/>
      <c r="H11021"/>
      <c r="I11021" s="489"/>
      <c r="J11021" s="1362"/>
      <c r="K11021" s="1362"/>
      <c r="L11021" s="1362"/>
    </row>
    <row r="11022" spans="1:12" x14ac:dyDescent="0.25">
      <c r="A11022">
        <v>92423</v>
      </c>
      <c r="B11022" t="s">
        <v>4696</v>
      </c>
      <c r="C11022" t="s">
        <v>297</v>
      </c>
      <c r="D11022" s="254">
        <v>78.23</v>
      </c>
      <c r="E11022"/>
      <c r="F11022"/>
      <c r="G11022"/>
      <c r="H11022"/>
      <c r="I11022" s="489"/>
      <c r="J11022" s="1362"/>
      <c r="K11022" s="1362"/>
      <c r="L11022" s="1362"/>
    </row>
    <row r="11023" spans="1:12" x14ac:dyDescent="0.25">
      <c r="A11023">
        <v>92425</v>
      </c>
      <c r="B11023" t="s">
        <v>4697</v>
      </c>
      <c r="C11023" t="s">
        <v>297</v>
      </c>
      <c r="D11023" s="254">
        <v>94.2</v>
      </c>
      <c r="E11023"/>
      <c r="F11023"/>
      <c r="G11023"/>
      <c r="H11023"/>
      <c r="I11023" s="489"/>
      <c r="J11023" s="1362"/>
      <c r="K11023" s="1362"/>
      <c r="L11023" s="1362"/>
    </row>
    <row r="11024" spans="1:12" x14ac:dyDescent="0.25">
      <c r="A11024">
        <v>92427</v>
      </c>
      <c r="B11024" t="s">
        <v>4698</v>
      </c>
      <c r="C11024" t="s">
        <v>297</v>
      </c>
      <c r="D11024" s="254">
        <v>68.97</v>
      </c>
      <c r="E11024"/>
      <c r="F11024"/>
      <c r="G11024"/>
      <c r="H11024"/>
      <c r="I11024" s="489"/>
      <c r="J11024" s="1362"/>
      <c r="K11024" s="1362"/>
      <c r="L11024" s="1362"/>
    </row>
    <row r="11025" spans="1:12" x14ac:dyDescent="0.25">
      <c r="A11025">
        <v>92429</v>
      </c>
      <c r="B11025" t="s">
        <v>4699</v>
      </c>
      <c r="C11025" t="s">
        <v>297</v>
      </c>
      <c r="D11025" s="254">
        <v>83.78</v>
      </c>
      <c r="E11025"/>
      <c r="F11025"/>
      <c r="G11025"/>
      <c r="H11025"/>
      <c r="I11025" s="489"/>
      <c r="J11025" s="1362"/>
      <c r="K11025" s="1362"/>
      <c r="L11025" s="1362"/>
    </row>
    <row r="11026" spans="1:12" x14ac:dyDescent="0.25">
      <c r="A11026">
        <v>92431</v>
      </c>
      <c r="B11026" t="s">
        <v>4700</v>
      </c>
      <c r="C11026" t="s">
        <v>297</v>
      </c>
      <c r="D11026" s="254">
        <v>66.099999999999994</v>
      </c>
      <c r="E11026"/>
      <c r="F11026"/>
      <c r="G11026"/>
      <c r="H11026"/>
      <c r="I11026" s="489"/>
      <c r="J11026" s="1362"/>
      <c r="K11026" s="1362"/>
      <c r="L11026" s="1362"/>
    </row>
    <row r="11027" spans="1:12" x14ac:dyDescent="0.25">
      <c r="A11027">
        <v>92433</v>
      </c>
      <c r="B11027" t="s">
        <v>4701</v>
      </c>
      <c r="C11027" t="s">
        <v>297</v>
      </c>
      <c r="D11027" s="254">
        <v>80.16</v>
      </c>
      <c r="E11027"/>
      <c r="F11027"/>
      <c r="G11027"/>
      <c r="H11027"/>
      <c r="I11027" s="489"/>
      <c r="J11027" s="1362"/>
      <c r="K11027" s="1362"/>
      <c r="L11027" s="1362"/>
    </row>
    <row r="11028" spans="1:12" x14ac:dyDescent="0.25">
      <c r="A11028">
        <v>92435</v>
      </c>
      <c r="B11028" t="s">
        <v>4702</v>
      </c>
      <c r="C11028" t="s">
        <v>297</v>
      </c>
      <c r="D11028" s="254">
        <v>62.48</v>
      </c>
      <c r="E11028"/>
      <c r="F11028"/>
      <c r="G11028"/>
      <c r="H11028"/>
      <c r="I11028" s="489"/>
      <c r="J11028" s="1362"/>
      <c r="K11028" s="1362"/>
      <c r="L11028" s="1362"/>
    </row>
    <row r="11029" spans="1:12" x14ac:dyDescent="0.25">
      <c r="A11029">
        <v>92437</v>
      </c>
      <c r="B11029" t="s">
        <v>4703</v>
      </c>
      <c r="C11029" t="s">
        <v>297</v>
      </c>
      <c r="D11029" s="254">
        <v>76.069999999999993</v>
      </c>
      <c r="E11029"/>
      <c r="F11029"/>
      <c r="G11029"/>
      <c r="H11029"/>
      <c r="I11029" s="489"/>
      <c r="J11029" s="1362"/>
      <c r="K11029" s="1362"/>
      <c r="L11029" s="1362"/>
    </row>
    <row r="11030" spans="1:12" x14ac:dyDescent="0.25">
      <c r="A11030">
        <v>92439</v>
      </c>
      <c r="B11030" t="s">
        <v>4704</v>
      </c>
      <c r="C11030" t="s">
        <v>297</v>
      </c>
      <c r="D11030" s="254">
        <v>59.87</v>
      </c>
      <c r="E11030"/>
      <c r="F11030"/>
      <c r="G11030"/>
      <c r="H11030"/>
      <c r="I11030" s="489"/>
      <c r="J11030" s="1362"/>
      <c r="K11030" s="1362"/>
      <c r="L11030" s="1362"/>
    </row>
    <row r="11031" spans="1:12" x14ac:dyDescent="0.25">
      <c r="A11031">
        <v>92441</v>
      </c>
      <c r="B11031" t="s">
        <v>4705</v>
      </c>
      <c r="C11031" t="s">
        <v>297</v>
      </c>
      <c r="D11031" s="254">
        <v>73.12</v>
      </c>
      <c r="E11031"/>
      <c r="F11031"/>
      <c r="G11031"/>
      <c r="H11031"/>
      <c r="I11031" s="489"/>
      <c r="J11031" s="1362"/>
      <c r="K11031" s="1362"/>
      <c r="L11031" s="1362"/>
    </row>
    <row r="11032" spans="1:12" x14ac:dyDescent="0.25">
      <c r="A11032">
        <v>92443</v>
      </c>
      <c r="B11032" t="s">
        <v>4706</v>
      </c>
      <c r="C11032" t="s">
        <v>297</v>
      </c>
      <c r="D11032" s="254">
        <v>54.21</v>
      </c>
      <c r="E11032"/>
      <c r="F11032"/>
      <c r="G11032"/>
      <c r="H11032"/>
      <c r="I11032" s="489"/>
      <c r="J11032" s="1362"/>
      <c r="K11032" s="1362"/>
      <c r="L11032" s="1362"/>
    </row>
    <row r="11033" spans="1:12" x14ac:dyDescent="0.25">
      <c r="A11033">
        <v>92445</v>
      </c>
      <c r="B11033" t="s">
        <v>4707</v>
      </c>
      <c r="C11033" t="s">
        <v>297</v>
      </c>
      <c r="D11033" s="254">
        <v>66.989999999999995</v>
      </c>
      <c r="E11033"/>
      <c r="F11033"/>
      <c r="G11033"/>
      <c r="H11033"/>
      <c r="I11033" s="489"/>
      <c r="J11033" s="1362"/>
      <c r="K11033" s="1362"/>
      <c r="L11033" s="1362"/>
    </row>
    <row r="11034" spans="1:12" x14ac:dyDescent="0.25">
      <c r="A11034">
        <v>92446</v>
      </c>
      <c r="B11034" t="s">
        <v>4708</v>
      </c>
      <c r="C11034" t="s">
        <v>297</v>
      </c>
      <c r="D11034" s="254">
        <v>361.42</v>
      </c>
      <c r="E11034"/>
      <c r="F11034"/>
      <c r="G11034"/>
      <c r="H11034"/>
      <c r="I11034" s="489"/>
      <c r="J11034" s="1362"/>
      <c r="K11034" s="1362"/>
      <c r="L11034" s="1362"/>
    </row>
    <row r="11035" spans="1:12" x14ac:dyDescent="0.25">
      <c r="A11035">
        <v>92447</v>
      </c>
      <c r="B11035" t="s">
        <v>4709</v>
      </c>
      <c r="C11035" t="s">
        <v>297</v>
      </c>
      <c r="D11035" s="254">
        <v>246.3</v>
      </c>
      <c r="E11035"/>
      <c r="F11035"/>
      <c r="G11035"/>
      <c r="H11035"/>
      <c r="I11035" s="489"/>
      <c r="J11035" s="1362"/>
      <c r="K11035" s="1362"/>
      <c r="L11035" s="1362"/>
    </row>
    <row r="11036" spans="1:12" x14ac:dyDescent="0.25">
      <c r="A11036">
        <v>92448</v>
      </c>
      <c r="B11036" t="s">
        <v>4710</v>
      </c>
      <c r="C11036" t="s">
        <v>297</v>
      </c>
      <c r="D11036" s="254">
        <v>188.29</v>
      </c>
      <c r="E11036"/>
      <c r="F11036"/>
      <c r="G11036"/>
      <c r="H11036"/>
      <c r="I11036" s="489"/>
      <c r="J11036" s="1362"/>
      <c r="K11036" s="1362"/>
      <c r="L11036" s="1362"/>
    </row>
    <row r="11037" spans="1:12" x14ac:dyDescent="0.25">
      <c r="A11037">
        <v>92449</v>
      </c>
      <c r="B11037" t="s">
        <v>4711</v>
      </c>
      <c r="C11037" t="s">
        <v>297</v>
      </c>
      <c r="D11037" s="254">
        <v>316.99</v>
      </c>
      <c r="E11037"/>
      <c r="F11037"/>
      <c r="G11037"/>
      <c r="H11037"/>
      <c r="I11037" s="489"/>
      <c r="J11037" s="1362"/>
      <c r="K11037" s="1362"/>
      <c r="L11037" s="1362"/>
    </row>
    <row r="11038" spans="1:12" x14ac:dyDescent="0.25">
      <c r="A11038">
        <v>92450</v>
      </c>
      <c r="B11038" t="s">
        <v>4712</v>
      </c>
      <c r="C11038" t="s">
        <v>297</v>
      </c>
      <c r="D11038" s="254">
        <v>370.44</v>
      </c>
      <c r="E11038"/>
      <c r="F11038"/>
      <c r="G11038"/>
      <c r="H11038"/>
      <c r="I11038" s="489"/>
      <c r="J11038" s="1362"/>
      <c r="K11038" s="1362"/>
      <c r="L11038" s="1362"/>
    </row>
    <row r="11039" spans="1:12" x14ac:dyDescent="0.25">
      <c r="A11039">
        <v>92451</v>
      </c>
      <c r="B11039" t="s">
        <v>4713</v>
      </c>
      <c r="C11039" t="s">
        <v>297</v>
      </c>
      <c r="D11039" s="254">
        <v>217.26</v>
      </c>
      <c r="E11039"/>
      <c r="F11039"/>
      <c r="G11039"/>
      <c r="H11039"/>
      <c r="I11039" s="489"/>
      <c r="J11039" s="1362"/>
      <c r="K11039" s="1362"/>
      <c r="L11039" s="1362"/>
    </row>
    <row r="11040" spans="1:12" x14ac:dyDescent="0.25">
      <c r="A11040">
        <v>92452</v>
      </c>
      <c r="B11040" t="s">
        <v>4714</v>
      </c>
      <c r="C11040" t="s">
        <v>297</v>
      </c>
      <c r="D11040" s="254">
        <v>185.6</v>
      </c>
      <c r="E11040"/>
      <c r="F11040"/>
      <c r="G11040"/>
      <c r="H11040"/>
      <c r="I11040" s="489"/>
      <c r="J11040" s="1362"/>
      <c r="K11040" s="1362"/>
      <c r="L11040" s="1362"/>
    </row>
    <row r="11041" spans="1:12" x14ac:dyDescent="0.25">
      <c r="A11041">
        <v>92453</v>
      </c>
      <c r="B11041" t="s">
        <v>4715</v>
      </c>
      <c r="C11041" t="s">
        <v>297</v>
      </c>
      <c r="D11041" s="254">
        <v>269.73</v>
      </c>
      <c r="E11041"/>
      <c r="F11041"/>
      <c r="G11041"/>
      <c r="H11041"/>
      <c r="I11041" s="489"/>
      <c r="J11041" s="1362"/>
      <c r="K11041" s="1362"/>
      <c r="L11041" s="1362"/>
    </row>
    <row r="11042" spans="1:12" x14ac:dyDescent="0.25">
      <c r="A11042">
        <v>92454</v>
      </c>
      <c r="B11042" t="s">
        <v>4716</v>
      </c>
      <c r="C11042" t="s">
        <v>297</v>
      </c>
      <c r="D11042" s="254">
        <v>334.5</v>
      </c>
      <c r="E11042"/>
      <c r="F11042"/>
      <c r="G11042"/>
      <c r="H11042"/>
      <c r="I11042" s="489"/>
      <c r="J11042" s="1362"/>
      <c r="K11042" s="1362"/>
      <c r="L11042" s="1362"/>
    </row>
    <row r="11043" spans="1:12" x14ac:dyDescent="0.25">
      <c r="A11043">
        <v>92455</v>
      </c>
      <c r="B11043" t="s">
        <v>4717</v>
      </c>
      <c r="C11043" t="s">
        <v>297</v>
      </c>
      <c r="D11043" s="254">
        <v>176.81</v>
      </c>
      <c r="E11043"/>
      <c r="F11043"/>
      <c r="G11043"/>
      <c r="H11043"/>
      <c r="I11043" s="489"/>
      <c r="J11043" s="1362"/>
      <c r="K11043" s="1362"/>
      <c r="L11043" s="1362"/>
    </row>
    <row r="11044" spans="1:12" x14ac:dyDescent="0.25">
      <c r="A11044">
        <v>92456</v>
      </c>
      <c r="B11044" t="s">
        <v>4718</v>
      </c>
      <c r="C11044" t="s">
        <v>297</v>
      </c>
      <c r="D11044" s="254">
        <v>149.41999999999999</v>
      </c>
      <c r="E11044"/>
      <c r="F11044"/>
      <c r="G11044"/>
      <c r="H11044"/>
      <c r="I11044" s="489"/>
      <c r="J11044" s="1362"/>
      <c r="K11044" s="1362"/>
      <c r="L11044" s="1362"/>
    </row>
    <row r="11045" spans="1:12" x14ac:dyDescent="0.25">
      <c r="A11045">
        <v>92457</v>
      </c>
      <c r="B11045" t="s">
        <v>4719</v>
      </c>
      <c r="C11045" t="s">
        <v>297</v>
      </c>
      <c r="D11045" s="254">
        <v>233.98</v>
      </c>
      <c r="E11045"/>
      <c r="F11045"/>
      <c r="G11045"/>
      <c r="H11045"/>
      <c r="I11045" s="489"/>
      <c r="J11045" s="1362"/>
      <c r="K11045" s="1362"/>
      <c r="L11045" s="1362"/>
    </row>
    <row r="11046" spans="1:12" x14ac:dyDescent="0.25">
      <c r="A11046">
        <v>92458</v>
      </c>
      <c r="B11046" t="s">
        <v>1238</v>
      </c>
      <c r="C11046" t="s">
        <v>297</v>
      </c>
      <c r="D11046" s="254">
        <v>312.02</v>
      </c>
      <c r="E11046"/>
      <c r="F11046"/>
      <c r="G11046"/>
      <c r="H11046"/>
      <c r="I11046" s="489"/>
      <c r="J11046" s="1362"/>
      <c r="K11046" s="1362"/>
      <c r="L11046" s="1362"/>
    </row>
    <row r="11047" spans="1:12" x14ac:dyDescent="0.25">
      <c r="A11047">
        <v>92459</v>
      </c>
      <c r="B11047" t="s">
        <v>4720</v>
      </c>
      <c r="C11047" t="s">
        <v>297</v>
      </c>
      <c r="D11047" s="254">
        <v>149.75</v>
      </c>
      <c r="E11047"/>
      <c r="F11047"/>
      <c r="G11047"/>
      <c r="H11047"/>
      <c r="I11047" s="489"/>
      <c r="J11047" s="1362"/>
      <c r="K11047" s="1362"/>
      <c r="L11047" s="1362"/>
    </row>
    <row r="11048" spans="1:12" x14ac:dyDescent="0.25">
      <c r="A11048">
        <v>92460</v>
      </c>
      <c r="B11048" t="s">
        <v>4721</v>
      </c>
      <c r="C11048" t="s">
        <v>297</v>
      </c>
      <c r="D11048" s="254">
        <v>121.01</v>
      </c>
      <c r="E11048"/>
      <c r="F11048"/>
      <c r="G11048"/>
      <c r="H11048"/>
      <c r="I11048" s="489"/>
      <c r="J11048" s="1362"/>
      <c r="K11048" s="1362"/>
      <c r="L11048" s="1362"/>
    </row>
    <row r="11049" spans="1:12" x14ac:dyDescent="0.25">
      <c r="A11049">
        <v>92461</v>
      </c>
      <c r="B11049" t="s">
        <v>4722</v>
      </c>
      <c r="C11049" t="s">
        <v>297</v>
      </c>
      <c r="D11049" s="254">
        <v>215.83</v>
      </c>
      <c r="E11049"/>
      <c r="F11049"/>
      <c r="G11049"/>
      <c r="H11049"/>
      <c r="I11049" s="489"/>
      <c r="J11049" s="1362"/>
      <c r="K11049" s="1362"/>
      <c r="L11049" s="1362"/>
    </row>
    <row r="11050" spans="1:12" x14ac:dyDescent="0.25">
      <c r="A11050">
        <v>92462</v>
      </c>
      <c r="B11050" t="s">
        <v>4723</v>
      </c>
      <c r="C11050" t="s">
        <v>297</v>
      </c>
      <c r="D11050" s="254">
        <v>298.11</v>
      </c>
      <c r="E11050"/>
      <c r="F11050"/>
      <c r="G11050"/>
      <c r="H11050"/>
      <c r="I11050" s="489"/>
      <c r="J11050" s="1362"/>
      <c r="K11050" s="1362"/>
      <c r="L11050" s="1362"/>
    </row>
    <row r="11051" spans="1:12" x14ac:dyDescent="0.25">
      <c r="A11051">
        <v>92463</v>
      </c>
      <c r="B11051" t="s">
        <v>4724</v>
      </c>
      <c r="C11051" t="s">
        <v>297</v>
      </c>
      <c r="D11051" s="254">
        <v>135.61000000000001</v>
      </c>
      <c r="E11051"/>
      <c r="F11051"/>
      <c r="G11051"/>
      <c r="H11051"/>
      <c r="I11051" s="489"/>
      <c r="J11051" s="1362"/>
      <c r="K11051" s="1362"/>
      <c r="L11051" s="1362"/>
    </row>
    <row r="11052" spans="1:12" x14ac:dyDescent="0.25">
      <c r="A11052">
        <v>92464</v>
      </c>
      <c r="B11052" t="s">
        <v>4725</v>
      </c>
      <c r="C11052" t="s">
        <v>297</v>
      </c>
      <c r="D11052" s="254">
        <v>113.87</v>
      </c>
      <c r="E11052"/>
      <c r="F11052"/>
      <c r="G11052"/>
      <c r="H11052"/>
      <c r="I11052" s="489"/>
      <c r="J11052" s="1362"/>
      <c r="K11052" s="1362"/>
      <c r="L11052" s="1362"/>
    </row>
    <row r="11053" spans="1:12" x14ac:dyDescent="0.25">
      <c r="A11053">
        <v>92465</v>
      </c>
      <c r="B11053" t="s">
        <v>4726</v>
      </c>
      <c r="C11053" t="s">
        <v>297</v>
      </c>
      <c r="D11053" s="254">
        <v>174.44</v>
      </c>
      <c r="E11053"/>
      <c r="F11053"/>
      <c r="G11053"/>
      <c r="H11053"/>
      <c r="I11053" s="489"/>
      <c r="J11053" s="1362"/>
      <c r="K11053" s="1362"/>
      <c r="L11053" s="1362"/>
    </row>
    <row r="11054" spans="1:12" x14ac:dyDescent="0.25">
      <c r="A11054">
        <v>92466</v>
      </c>
      <c r="B11054" t="s">
        <v>4727</v>
      </c>
      <c r="C11054" t="s">
        <v>297</v>
      </c>
      <c r="D11054" s="254">
        <v>292.56</v>
      </c>
      <c r="E11054"/>
      <c r="F11054"/>
      <c r="G11054"/>
      <c r="H11054"/>
      <c r="I11054" s="489"/>
      <c r="J11054" s="1362"/>
      <c r="K11054" s="1362"/>
      <c r="L11054" s="1362"/>
    </row>
    <row r="11055" spans="1:12" x14ac:dyDescent="0.25">
      <c r="A11055">
        <v>92467</v>
      </c>
      <c r="B11055" t="s">
        <v>4728</v>
      </c>
      <c r="C11055" t="s">
        <v>297</v>
      </c>
      <c r="D11055" s="254">
        <v>113.91</v>
      </c>
      <c r="E11055"/>
      <c r="F11055"/>
      <c r="G11055"/>
      <c r="H11055"/>
      <c r="I11055" s="489"/>
      <c r="J11055" s="1362"/>
      <c r="K11055" s="1362"/>
      <c r="L11055" s="1362"/>
    </row>
    <row r="11056" spans="1:12" x14ac:dyDescent="0.25">
      <c r="A11056">
        <v>92468</v>
      </c>
      <c r="B11056" t="s">
        <v>4729</v>
      </c>
      <c r="C11056" t="s">
        <v>297</v>
      </c>
      <c r="D11056" s="254">
        <v>108.74</v>
      </c>
      <c r="E11056"/>
      <c r="F11056"/>
      <c r="G11056"/>
      <c r="H11056"/>
      <c r="I11056" s="489"/>
      <c r="J11056" s="1362"/>
      <c r="K11056" s="1362"/>
      <c r="L11056" s="1362"/>
    </row>
    <row r="11057" spans="1:12" x14ac:dyDescent="0.25">
      <c r="A11057">
        <v>92469</v>
      </c>
      <c r="B11057" t="s">
        <v>4730</v>
      </c>
      <c r="C11057" t="s">
        <v>297</v>
      </c>
      <c r="D11057" s="254">
        <v>159.02000000000001</v>
      </c>
      <c r="E11057"/>
      <c r="F11057"/>
      <c r="G11057"/>
      <c r="H11057"/>
      <c r="I11057" s="489"/>
      <c r="J11057" s="1362"/>
      <c r="K11057" s="1362"/>
      <c r="L11057" s="1362"/>
    </row>
    <row r="11058" spans="1:12" x14ac:dyDescent="0.25">
      <c r="A11058">
        <v>92470</v>
      </c>
      <c r="B11058" t="s">
        <v>4731</v>
      </c>
      <c r="C11058" t="s">
        <v>297</v>
      </c>
      <c r="D11058" s="254">
        <v>284.83999999999997</v>
      </c>
      <c r="E11058"/>
      <c r="F11058"/>
      <c r="G11058"/>
      <c r="H11058"/>
      <c r="I11058" s="489"/>
      <c r="J11058" s="1362"/>
      <c r="K11058" s="1362"/>
      <c r="L11058" s="1362"/>
    </row>
    <row r="11059" spans="1:12" x14ac:dyDescent="0.25">
      <c r="A11059">
        <v>92471</v>
      </c>
      <c r="B11059" t="s">
        <v>4732</v>
      </c>
      <c r="C11059" t="s">
        <v>297</v>
      </c>
      <c r="D11059" s="254">
        <v>103.95</v>
      </c>
      <c r="E11059"/>
      <c r="F11059"/>
      <c r="G11059"/>
      <c r="H11059"/>
      <c r="I11059" s="489"/>
      <c r="J11059" s="1362"/>
      <c r="K11059" s="1362"/>
      <c r="L11059" s="1362"/>
    </row>
    <row r="11060" spans="1:12" x14ac:dyDescent="0.25">
      <c r="A11060">
        <v>92472</v>
      </c>
      <c r="B11060" t="s">
        <v>4733</v>
      </c>
      <c r="C11060" t="s">
        <v>297</v>
      </c>
      <c r="D11060" s="254">
        <v>101.9</v>
      </c>
      <c r="E11060"/>
      <c r="F11060"/>
      <c r="G11060"/>
      <c r="H11060"/>
      <c r="I11060" s="489"/>
      <c r="J11060" s="1362"/>
      <c r="K11060" s="1362"/>
      <c r="L11060" s="1362"/>
    </row>
    <row r="11061" spans="1:12" x14ac:dyDescent="0.25">
      <c r="A11061">
        <v>92473</v>
      </c>
      <c r="B11061" t="s">
        <v>4734</v>
      </c>
      <c r="C11061" t="s">
        <v>297</v>
      </c>
      <c r="D11061" s="254">
        <v>146.57</v>
      </c>
      <c r="E11061"/>
      <c r="F11061"/>
      <c r="G11061"/>
      <c r="H11061"/>
      <c r="I11061" s="489"/>
      <c r="J11061" s="1362"/>
      <c r="K11061" s="1362"/>
      <c r="L11061" s="1362"/>
    </row>
    <row r="11062" spans="1:12" x14ac:dyDescent="0.25">
      <c r="A11062">
        <v>92474</v>
      </c>
      <c r="B11062" t="s">
        <v>4735</v>
      </c>
      <c r="C11062" t="s">
        <v>297</v>
      </c>
      <c r="D11062" s="254">
        <v>278.25</v>
      </c>
      <c r="E11062"/>
      <c r="F11062"/>
      <c r="G11062"/>
      <c r="H11062"/>
      <c r="I11062" s="489"/>
      <c r="J11062" s="1362"/>
      <c r="K11062" s="1362"/>
      <c r="L11062" s="1362"/>
    </row>
    <row r="11063" spans="1:12" x14ac:dyDescent="0.25">
      <c r="A11063">
        <v>92475</v>
      </c>
      <c r="B11063" t="s">
        <v>4736</v>
      </c>
      <c r="C11063" t="s">
        <v>297</v>
      </c>
      <c r="D11063" s="254">
        <v>95.91</v>
      </c>
      <c r="E11063"/>
      <c r="F11063"/>
      <c r="G11063"/>
      <c r="H11063"/>
      <c r="I11063" s="489"/>
      <c r="J11063" s="1362"/>
      <c r="K11063" s="1362"/>
      <c r="L11063" s="1362"/>
    </row>
    <row r="11064" spans="1:12" x14ac:dyDescent="0.25">
      <c r="A11064">
        <v>92476</v>
      </c>
      <c r="B11064" t="s">
        <v>4737</v>
      </c>
      <c r="C11064" t="s">
        <v>297</v>
      </c>
      <c r="D11064" s="254">
        <v>96.15</v>
      </c>
      <c r="E11064"/>
      <c r="F11064"/>
      <c r="G11064"/>
      <c r="H11064"/>
      <c r="I11064" s="489"/>
      <c r="J11064" s="1362"/>
      <c r="K11064" s="1362"/>
      <c r="L11064" s="1362"/>
    </row>
    <row r="11065" spans="1:12" x14ac:dyDescent="0.25">
      <c r="A11065">
        <v>92477</v>
      </c>
      <c r="B11065" t="s">
        <v>4738</v>
      </c>
      <c r="C11065" t="s">
        <v>297</v>
      </c>
      <c r="D11065" s="254">
        <v>119.82</v>
      </c>
      <c r="E11065"/>
      <c r="F11065"/>
      <c r="G11065"/>
      <c r="H11065"/>
      <c r="I11065" s="489"/>
      <c r="J11065" s="1362"/>
      <c r="K11065" s="1362"/>
      <c r="L11065" s="1362"/>
    </row>
    <row r="11066" spans="1:12" x14ac:dyDescent="0.25">
      <c r="A11066">
        <v>92478</v>
      </c>
      <c r="B11066" t="s">
        <v>4739</v>
      </c>
      <c r="C11066" t="s">
        <v>297</v>
      </c>
      <c r="D11066" s="254">
        <v>265.07</v>
      </c>
      <c r="E11066"/>
      <c r="F11066"/>
      <c r="G11066"/>
      <c r="H11066"/>
      <c r="I11066" s="489"/>
      <c r="J11066" s="1362"/>
      <c r="K11066" s="1362"/>
      <c r="L11066" s="1362"/>
    </row>
    <row r="11067" spans="1:12" x14ac:dyDescent="0.25">
      <c r="A11067">
        <v>92479</v>
      </c>
      <c r="B11067" t="s">
        <v>4740</v>
      </c>
      <c r="C11067" t="s">
        <v>297</v>
      </c>
      <c r="D11067" s="254">
        <v>78.59</v>
      </c>
      <c r="E11067"/>
      <c r="F11067"/>
      <c r="G11067"/>
      <c r="H11067"/>
      <c r="I11067" s="489"/>
      <c r="J11067" s="1362"/>
      <c r="K11067" s="1362"/>
      <c r="L11067" s="1362"/>
    </row>
    <row r="11068" spans="1:12" x14ac:dyDescent="0.25">
      <c r="A11068">
        <v>92480</v>
      </c>
      <c r="B11068" t="s">
        <v>4741</v>
      </c>
      <c r="C11068" t="s">
        <v>297</v>
      </c>
      <c r="D11068" s="254">
        <v>84.48</v>
      </c>
      <c r="E11068"/>
      <c r="F11068"/>
      <c r="G11068"/>
      <c r="H11068"/>
      <c r="I11068" s="489"/>
      <c r="J11068" s="1362"/>
      <c r="K11068" s="1362"/>
      <c r="L11068" s="1362"/>
    </row>
    <row r="11069" spans="1:12" x14ac:dyDescent="0.25">
      <c r="A11069">
        <v>92482</v>
      </c>
      <c r="B11069" t="s">
        <v>4742</v>
      </c>
      <c r="C11069" t="s">
        <v>297</v>
      </c>
      <c r="D11069" s="254">
        <v>411.12</v>
      </c>
      <c r="E11069"/>
      <c r="F11069"/>
      <c r="G11069"/>
      <c r="H11069"/>
      <c r="I11069" s="489"/>
      <c r="J11069" s="1362"/>
      <c r="K11069" s="1362"/>
      <c r="L11069" s="1362"/>
    </row>
    <row r="11070" spans="1:12" x14ac:dyDescent="0.25">
      <c r="A11070">
        <v>92484</v>
      </c>
      <c r="B11070" t="s">
        <v>4743</v>
      </c>
      <c r="C11070" t="s">
        <v>297</v>
      </c>
      <c r="D11070" s="254">
        <v>275.92</v>
      </c>
      <c r="E11070"/>
      <c r="F11070"/>
      <c r="G11070"/>
      <c r="H11070"/>
      <c r="I11070" s="489"/>
      <c r="J11070" s="1362"/>
      <c r="K11070" s="1362"/>
      <c r="L11070" s="1362"/>
    </row>
    <row r="11071" spans="1:12" x14ac:dyDescent="0.25">
      <c r="A11071">
        <v>92486</v>
      </c>
      <c r="B11071" t="s">
        <v>4744</v>
      </c>
      <c r="C11071" t="s">
        <v>297</v>
      </c>
      <c r="D11071" s="254">
        <v>191.45</v>
      </c>
      <c r="E11071"/>
      <c r="F11071"/>
      <c r="G11071"/>
      <c r="H11071"/>
      <c r="I11071" s="489"/>
      <c r="J11071" s="1362"/>
      <c r="K11071" s="1362"/>
      <c r="L11071" s="1362"/>
    </row>
    <row r="11072" spans="1:12" x14ac:dyDescent="0.25">
      <c r="A11072">
        <v>92488</v>
      </c>
      <c r="B11072" t="s">
        <v>4745</v>
      </c>
      <c r="C11072" t="s">
        <v>297</v>
      </c>
      <c r="D11072" s="254">
        <v>131.35</v>
      </c>
      <c r="E11072"/>
      <c r="F11072"/>
      <c r="G11072"/>
      <c r="H11072"/>
      <c r="I11072" s="489"/>
      <c r="J11072" s="1362"/>
      <c r="K11072" s="1362"/>
      <c r="L11072" s="1362"/>
    </row>
    <row r="11073" spans="1:12" x14ac:dyDescent="0.25">
      <c r="A11073">
        <v>92490</v>
      </c>
      <c r="B11073" t="s">
        <v>4746</v>
      </c>
      <c r="C11073" t="s">
        <v>297</v>
      </c>
      <c r="D11073" s="254">
        <v>80.88</v>
      </c>
      <c r="E11073"/>
      <c r="F11073"/>
      <c r="G11073"/>
      <c r="H11073"/>
      <c r="I11073" s="489"/>
      <c r="J11073" s="1362"/>
      <c r="K11073" s="1362"/>
      <c r="L11073" s="1362"/>
    </row>
    <row r="11074" spans="1:12" x14ac:dyDescent="0.25">
      <c r="A11074">
        <v>92492</v>
      </c>
      <c r="B11074" t="s">
        <v>4747</v>
      </c>
      <c r="C11074" t="s">
        <v>297</v>
      </c>
      <c r="D11074" s="254">
        <v>124.72</v>
      </c>
      <c r="E11074"/>
      <c r="F11074"/>
      <c r="G11074"/>
      <c r="H11074"/>
      <c r="I11074" s="489"/>
      <c r="J11074" s="1362"/>
      <c r="K11074" s="1362"/>
      <c r="L11074" s="1362"/>
    </row>
    <row r="11075" spans="1:12" x14ac:dyDescent="0.25">
      <c r="A11075">
        <v>92494</v>
      </c>
      <c r="B11075" t="s">
        <v>4748</v>
      </c>
      <c r="C11075" t="s">
        <v>297</v>
      </c>
      <c r="D11075" s="254">
        <v>75.400000000000006</v>
      </c>
      <c r="E11075"/>
      <c r="F11075"/>
      <c r="G11075"/>
      <c r="H11075"/>
      <c r="I11075" s="489"/>
      <c r="J11075" s="1362"/>
      <c r="K11075" s="1362"/>
      <c r="L11075" s="1362"/>
    </row>
    <row r="11076" spans="1:12" x14ac:dyDescent="0.25">
      <c r="A11076">
        <v>92496</v>
      </c>
      <c r="B11076" t="s">
        <v>4749</v>
      </c>
      <c r="C11076" t="s">
        <v>297</v>
      </c>
      <c r="D11076" s="254">
        <v>119.3</v>
      </c>
      <c r="E11076"/>
      <c r="F11076"/>
      <c r="G11076"/>
      <c r="H11076"/>
      <c r="I11076" s="489"/>
      <c r="J11076" s="1362"/>
      <c r="K11076" s="1362"/>
      <c r="L11076" s="1362"/>
    </row>
    <row r="11077" spans="1:12" x14ac:dyDescent="0.25">
      <c r="A11077">
        <v>92498</v>
      </c>
      <c r="B11077" t="s">
        <v>4750</v>
      </c>
      <c r="C11077" t="s">
        <v>297</v>
      </c>
      <c r="D11077" s="254">
        <v>70.95</v>
      </c>
      <c r="E11077"/>
      <c r="F11077"/>
      <c r="G11077"/>
      <c r="H11077"/>
      <c r="I11077" s="489"/>
      <c r="J11077" s="1362"/>
      <c r="K11077" s="1362"/>
      <c r="L11077" s="1362"/>
    </row>
    <row r="11078" spans="1:12" x14ac:dyDescent="0.25">
      <c r="A11078">
        <v>92500</v>
      </c>
      <c r="B11078" t="s">
        <v>4751</v>
      </c>
      <c r="C11078" t="s">
        <v>297</v>
      </c>
      <c r="D11078" s="254">
        <v>115.14</v>
      </c>
      <c r="E11078"/>
      <c r="F11078"/>
      <c r="G11078"/>
      <c r="H11078"/>
      <c r="I11078" s="489"/>
      <c r="J11078" s="1362"/>
      <c r="K11078" s="1362"/>
      <c r="L11078" s="1362"/>
    </row>
    <row r="11079" spans="1:12" x14ac:dyDescent="0.25">
      <c r="A11079">
        <v>92502</v>
      </c>
      <c r="B11079" t="s">
        <v>4752</v>
      </c>
      <c r="C11079" t="s">
        <v>297</v>
      </c>
      <c r="D11079" s="254">
        <v>67.739999999999995</v>
      </c>
      <c r="E11079"/>
      <c r="F11079"/>
      <c r="G11079"/>
      <c r="H11079"/>
      <c r="I11079" s="489"/>
      <c r="J11079" s="1362"/>
      <c r="K11079" s="1362"/>
      <c r="L11079" s="1362"/>
    </row>
    <row r="11080" spans="1:12" x14ac:dyDescent="0.25">
      <c r="A11080">
        <v>92504</v>
      </c>
      <c r="B11080" t="s">
        <v>4753</v>
      </c>
      <c r="C11080" t="s">
        <v>297</v>
      </c>
      <c r="D11080" s="254">
        <v>71.39</v>
      </c>
      <c r="E11080"/>
      <c r="F11080"/>
      <c r="G11080"/>
      <c r="H11080"/>
      <c r="I11080" s="489"/>
      <c r="J11080" s="1362"/>
      <c r="K11080" s="1362"/>
      <c r="L11080" s="1362"/>
    </row>
    <row r="11081" spans="1:12" x14ac:dyDescent="0.25">
      <c r="A11081">
        <v>92506</v>
      </c>
      <c r="B11081" t="s">
        <v>4754</v>
      </c>
      <c r="C11081" t="s">
        <v>297</v>
      </c>
      <c r="D11081" s="254">
        <v>61.73</v>
      </c>
      <c r="E11081"/>
      <c r="F11081"/>
      <c r="G11081"/>
      <c r="H11081"/>
      <c r="I11081" s="489"/>
      <c r="J11081" s="1362"/>
      <c r="K11081" s="1362"/>
      <c r="L11081" s="1362"/>
    </row>
    <row r="11082" spans="1:12" x14ac:dyDescent="0.25">
      <c r="A11082">
        <v>92508</v>
      </c>
      <c r="B11082" t="s">
        <v>4755</v>
      </c>
      <c r="C11082" t="s">
        <v>297</v>
      </c>
      <c r="D11082" s="254">
        <v>134.22</v>
      </c>
      <c r="E11082"/>
      <c r="F11082"/>
      <c r="G11082"/>
      <c r="H11082"/>
      <c r="I11082" s="489"/>
      <c r="J11082" s="1362"/>
      <c r="K11082" s="1362"/>
      <c r="L11082" s="1362"/>
    </row>
    <row r="11083" spans="1:12" x14ac:dyDescent="0.25">
      <c r="A11083">
        <v>92510</v>
      </c>
      <c r="B11083" t="s">
        <v>4756</v>
      </c>
      <c r="C11083" t="s">
        <v>297</v>
      </c>
      <c r="D11083" s="254">
        <v>81.78</v>
      </c>
      <c r="E11083"/>
      <c r="F11083"/>
      <c r="G11083"/>
      <c r="H11083"/>
      <c r="I11083" s="489"/>
      <c r="J11083" s="1362"/>
      <c r="K11083" s="1362"/>
      <c r="L11083" s="1362"/>
    </row>
    <row r="11084" spans="1:12" x14ac:dyDescent="0.25">
      <c r="A11084">
        <v>92512</v>
      </c>
      <c r="B11084" t="s">
        <v>4757</v>
      </c>
      <c r="C11084" t="s">
        <v>297</v>
      </c>
      <c r="D11084" s="254">
        <v>113.21</v>
      </c>
      <c r="E11084"/>
      <c r="F11084"/>
      <c r="G11084"/>
      <c r="H11084"/>
      <c r="I11084" s="489"/>
      <c r="J11084" s="1362"/>
      <c r="K11084" s="1362"/>
      <c r="L11084" s="1362"/>
    </row>
    <row r="11085" spans="1:12" x14ac:dyDescent="0.25">
      <c r="A11085">
        <v>92514</v>
      </c>
      <c r="B11085" t="s">
        <v>4758</v>
      </c>
      <c r="C11085" t="s">
        <v>297</v>
      </c>
      <c r="D11085" s="254">
        <v>61.99</v>
      </c>
      <c r="E11085"/>
      <c r="F11085"/>
      <c r="G11085"/>
      <c r="H11085"/>
      <c r="I11085" s="489"/>
      <c r="J11085" s="1362"/>
      <c r="K11085" s="1362"/>
      <c r="L11085" s="1362"/>
    </row>
    <row r="11086" spans="1:12" x14ac:dyDescent="0.25">
      <c r="A11086">
        <v>92515</v>
      </c>
      <c r="B11086" t="s">
        <v>4759</v>
      </c>
      <c r="C11086" t="s">
        <v>297</v>
      </c>
      <c r="D11086" s="254">
        <v>103.13</v>
      </c>
      <c r="E11086"/>
      <c r="F11086"/>
      <c r="G11086"/>
      <c r="H11086"/>
      <c r="I11086" s="489"/>
      <c r="J11086" s="1362"/>
      <c r="K11086" s="1362"/>
      <c r="L11086" s="1362"/>
    </row>
    <row r="11087" spans="1:12" x14ac:dyDescent="0.25">
      <c r="A11087">
        <v>92518</v>
      </c>
      <c r="B11087" t="s">
        <v>4760</v>
      </c>
      <c r="C11087" t="s">
        <v>297</v>
      </c>
      <c r="D11087" s="254">
        <v>53.08</v>
      </c>
      <c r="E11087"/>
      <c r="F11087"/>
      <c r="G11087"/>
      <c r="H11087"/>
      <c r="I11087" s="489"/>
      <c r="J11087" s="1362"/>
      <c r="K11087" s="1362"/>
      <c r="L11087" s="1362"/>
    </row>
    <row r="11088" spans="1:12" x14ac:dyDescent="0.25">
      <c r="A11088">
        <v>92520</v>
      </c>
      <c r="B11088" t="s">
        <v>4761</v>
      </c>
      <c r="C11088" t="s">
        <v>297</v>
      </c>
      <c r="D11088" s="254">
        <v>96.76</v>
      </c>
      <c r="E11088"/>
      <c r="F11088"/>
      <c r="G11088"/>
      <c r="H11088"/>
      <c r="I11088" s="489"/>
      <c r="J11088" s="1362"/>
      <c r="K11088" s="1362"/>
      <c r="L11088" s="1362"/>
    </row>
    <row r="11089" spans="1:12" x14ac:dyDescent="0.25">
      <c r="A11089">
        <v>92522</v>
      </c>
      <c r="B11089" t="s">
        <v>4762</v>
      </c>
      <c r="C11089" t="s">
        <v>297</v>
      </c>
      <c r="D11089" s="254">
        <v>47.78</v>
      </c>
      <c r="E11089"/>
      <c r="F11089"/>
      <c r="G11089"/>
      <c r="H11089"/>
      <c r="I11089" s="489"/>
      <c r="J11089" s="1362"/>
      <c r="K11089" s="1362"/>
      <c r="L11089" s="1362"/>
    </row>
    <row r="11090" spans="1:12" x14ac:dyDescent="0.25">
      <c r="A11090">
        <v>92524</v>
      </c>
      <c r="B11090" t="s">
        <v>7380</v>
      </c>
      <c r="C11090" t="s">
        <v>297</v>
      </c>
      <c r="D11090" s="254">
        <v>97</v>
      </c>
      <c r="E11090"/>
      <c r="F11090"/>
      <c r="G11090"/>
      <c r="H11090"/>
      <c r="I11090" s="489"/>
      <c r="J11090" s="1362"/>
      <c r="K11090" s="1362"/>
      <c r="L11090" s="1362"/>
    </row>
    <row r="11091" spans="1:12" x14ac:dyDescent="0.25">
      <c r="A11091">
        <v>92526</v>
      </c>
      <c r="B11091" t="s">
        <v>4763</v>
      </c>
      <c r="C11091" t="s">
        <v>297</v>
      </c>
      <c r="D11091" s="254">
        <v>49.01</v>
      </c>
      <c r="E11091"/>
      <c r="F11091"/>
      <c r="G11091"/>
      <c r="H11091"/>
      <c r="I11091" s="489"/>
      <c r="J11091" s="1362"/>
      <c r="K11091" s="1362"/>
      <c r="L11091" s="1362"/>
    </row>
    <row r="11092" spans="1:12" x14ac:dyDescent="0.25">
      <c r="A11092">
        <v>92528</v>
      </c>
      <c r="B11092" t="s">
        <v>4764</v>
      </c>
      <c r="C11092" t="s">
        <v>297</v>
      </c>
      <c r="D11092" s="254">
        <v>93.02</v>
      </c>
      <c r="E11092"/>
      <c r="F11092"/>
      <c r="G11092"/>
      <c r="H11092"/>
      <c r="I11092" s="489"/>
      <c r="J11092" s="1362"/>
      <c r="K11092" s="1362"/>
      <c r="L11092" s="1362"/>
    </row>
    <row r="11093" spans="1:12" x14ac:dyDescent="0.25">
      <c r="A11093">
        <v>92530</v>
      </c>
      <c r="B11093" t="s">
        <v>4765</v>
      </c>
      <c r="C11093" t="s">
        <v>297</v>
      </c>
      <c r="D11093" s="254">
        <v>45.95</v>
      </c>
      <c r="E11093"/>
      <c r="F11093"/>
      <c r="G11093"/>
      <c r="H11093"/>
      <c r="I11093" s="489"/>
      <c r="J11093" s="1362"/>
      <c r="K11093" s="1362"/>
      <c r="L11093" s="1362"/>
    </row>
    <row r="11094" spans="1:12" x14ac:dyDescent="0.25">
      <c r="A11094">
        <v>92532</v>
      </c>
      <c r="B11094" t="s">
        <v>4766</v>
      </c>
      <c r="C11094" t="s">
        <v>297</v>
      </c>
      <c r="D11094" s="254">
        <v>89.62</v>
      </c>
      <c r="E11094"/>
      <c r="F11094"/>
      <c r="G11094"/>
      <c r="H11094"/>
      <c r="I11094" s="489"/>
      <c r="J11094" s="1362"/>
      <c r="K11094" s="1362"/>
      <c r="L11094" s="1362"/>
    </row>
    <row r="11095" spans="1:12" x14ac:dyDescent="0.25">
      <c r="A11095">
        <v>92534</v>
      </c>
      <c r="B11095" t="s">
        <v>4767</v>
      </c>
      <c r="C11095" t="s">
        <v>297</v>
      </c>
      <c r="D11095" s="254">
        <v>43.39</v>
      </c>
      <c r="E11095"/>
      <c r="F11095"/>
      <c r="G11095"/>
      <c r="H11095"/>
      <c r="I11095" s="489"/>
      <c r="J11095" s="1362"/>
      <c r="K11095" s="1362"/>
      <c r="L11095" s="1362"/>
    </row>
    <row r="11096" spans="1:12" x14ac:dyDescent="0.25">
      <c r="A11096">
        <v>92536</v>
      </c>
      <c r="B11096" t="s">
        <v>4768</v>
      </c>
      <c r="C11096" t="s">
        <v>297</v>
      </c>
      <c r="D11096" s="254">
        <v>82.97</v>
      </c>
      <c r="E11096"/>
      <c r="F11096"/>
      <c r="G11096"/>
      <c r="H11096"/>
      <c r="I11096" s="489"/>
      <c r="J11096" s="1362"/>
      <c r="K11096" s="1362"/>
      <c r="L11096" s="1362"/>
    </row>
    <row r="11097" spans="1:12" x14ac:dyDescent="0.25">
      <c r="A11097">
        <v>92538</v>
      </c>
      <c r="B11097" t="s">
        <v>4769</v>
      </c>
      <c r="C11097" t="s">
        <v>297</v>
      </c>
      <c r="D11097" s="254">
        <v>38.21</v>
      </c>
      <c r="E11097"/>
      <c r="F11097"/>
      <c r="G11097"/>
      <c r="H11097"/>
      <c r="I11097" s="489"/>
      <c r="J11097" s="1362"/>
      <c r="K11097" s="1362"/>
      <c r="L11097" s="1362"/>
    </row>
    <row r="11098" spans="1:12" x14ac:dyDescent="0.25">
      <c r="A11098">
        <v>96252</v>
      </c>
      <c r="B11098" t="s">
        <v>1239</v>
      </c>
      <c r="C11098" t="s">
        <v>297</v>
      </c>
      <c r="D11098" s="254">
        <v>294.39</v>
      </c>
      <c r="E11098"/>
      <c r="F11098"/>
      <c r="G11098"/>
      <c r="H11098"/>
      <c r="I11098" s="489"/>
      <c r="J11098" s="1362"/>
      <c r="K11098" s="1362"/>
      <c r="L11098" s="1362"/>
    </row>
    <row r="11099" spans="1:12" x14ac:dyDescent="0.25">
      <c r="A11099">
        <v>96257</v>
      </c>
      <c r="B11099" t="s">
        <v>1240</v>
      </c>
      <c r="C11099" t="s">
        <v>297</v>
      </c>
      <c r="D11099" s="254">
        <v>231.23</v>
      </c>
      <c r="E11099"/>
      <c r="F11099"/>
      <c r="G11099"/>
      <c r="H11099"/>
      <c r="I11099" s="489"/>
      <c r="J11099" s="1362"/>
      <c r="K11099" s="1362"/>
      <c r="L11099" s="1362"/>
    </row>
    <row r="11100" spans="1:12" x14ac:dyDescent="0.25">
      <c r="A11100">
        <v>96258</v>
      </c>
      <c r="B11100" t="s">
        <v>1241</v>
      </c>
      <c r="C11100" t="s">
        <v>297</v>
      </c>
      <c r="D11100" s="254">
        <v>218.01</v>
      </c>
      <c r="E11100"/>
      <c r="F11100"/>
      <c r="G11100"/>
      <c r="H11100"/>
      <c r="I11100" s="489"/>
      <c r="J11100" s="1362"/>
      <c r="K11100" s="1362"/>
      <c r="L11100" s="1362"/>
    </row>
    <row r="11101" spans="1:12" x14ac:dyDescent="0.25">
      <c r="A11101">
        <v>96259</v>
      </c>
      <c r="B11101" t="s">
        <v>1242</v>
      </c>
      <c r="C11101" t="s">
        <v>297</v>
      </c>
      <c r="D11101" s="254">
        <v>256.44</v>
      </c>
      <c r="E11101"/>
      <c r="F11101"/>
      <c r="G11101"/>
      <c r="H11101"/>
      <c r="I11101" s="489"/>
      <c r="J11101" s="1362"/>
      <c r="K11101" s="1362"/>
      <c r="L11101" s="1362"/>
    </row>
    <row r="11102" spans="1:12" x14ac:dyDescent="0.25">
      <c r="A11102">
        <v>96529</v>
      </c>
      <c r="B11102" t="s">
        <v>1243</v>
      </c>
      <c r="C11102" t="s">
        <v>297</v>
      </c>
      <c r="D11102" s="254">
        <v>409.21</v>
      </c>
      <c r="E11102"/>
      <c r="F11102"/>
      <c r="G11102"/>
      <c r="H11102"/>
      <c r="I11102" s="489"/>
      <c r="J11102" s="1362"/>
      <c r="K11102" s="1362"/>
      <c r="L11102" s="1362"/>
    </row>
    <row r="11103" spans="1:12" x14ac:dyDescent="0.25">
      <c r="A11103">
        <v>96530</v>
      </c>
      <c r="B11103" t="s">
        <v>1244</v>
      </c>
      <c r="C11103" t="s">
        <v>297</v>
      </c>
      <c r="D11103" s="254">
        <v>234.44</v>
      </c>
      <c r="E11103"/>
      <c r="F11103"/>
      <c r="G11103"/>
      <c r="H11103"/>
      <c r="I11103" s="489"/>
      <c r="J11103" s="1362"/>
      <c r="K11103" s="1362"/>
      <c r="L11103" s="1362"/>
    </row>
    <row r="11104" spans="1:12" x14ac:dyDescent="0.25">
      <c r="A11104">
        <v>96531</v>
      </c>
      <c r="B11104" t="s">
        <v>1245</v>
      </c>
      <c r="C11104" t="s">
        <v>297</v>
      </c>
      <c r="D11104" s="254">
        <v>157.11000000000001</v>
      </c>
      <c r="E11104"/>
      <c r="F11104"/>
      <c r="G11104"/>
      <c r="H11104"/>
      <c r="I11104" s="489"/>
      <c r="J11104" s="1362"/>
      <c r="K11104" s="1362"/>
      <c r="L11104" s="1362"/>
    </row>
    <row r="11105" spans="1:12" x14ac:dyDescent="0.25">
      <c r="A11105">
        <v>96532</v>
      </c>
      <c r="B11105" t="s">
        <v>1246</v>
      </c>
      <c r="C11105" t="s">
        <v>297</v>
      </c>
      <c r="D11105" s="254">
        <v>253.29</v>
      </c>
      <c r="E11105"/>
      <c r="F11105"/>
      <c r="G11105"/>
      <c r="H11105"/>
      <c r="I11105" s="489"/>
      <c r="J11105" s="1362"/>
      <c r="K11105" s="1362"/>
      <c r="L11105" s="1362"/>
    </row>
    <row r="11106" spans="1:12" x14ac:dyDescent="0.25">
      <c r="A11106">
        <v>96533</v>
      </c>
      <c r="B11106" t="s">
        <v>1247</v>
      </c>
      <c r="C11106" t="s">
        <v>297</v>
      </c>
      <c r="D11106" s="254">
        <v>140.66</v>
      </c>
      <c r="E11106"/>
      <c r="F11106"/>
      <c r="G11106"/>
      <c r="H11106"/>
      <c r="I11106" s="489"/>
      <c r="J11106" s="1362"/>
      <c r="K11106" s="1362"/>
      <c r="L11106" s="1362"/>
    </row>
    <row r="11107" spans="1:12" x14ac:dyDescent="0.25">
      <c r="A11107">
        <v>96534</v>
      </c>
      <c r="B11107" t="s">
        <v>1248</v>
      </c>
      <c r="C11107" t="s">
        <v>297</v>
      </c>
      <c r="D11107" s="254">
        <v>105.39</v>
      </c>
      <c r="E11107"/>
      <c r="F11107"/>
      <c r="G11107"/>
      <c r="H11107"/>
      <c r="I11107" s="489"/>
      <c r="J11107" s="1362"/>
      <c r="K11107" s="1362"/>
      <c r="L11107" s="1362"/>
    </row>
    <row r="11108" spans="1:12" x14ac:dyDescent="0.25">
      <c r="A11108">
        <v>96535</v>
      </c>
      <c r="B11108" t="s">
        <v>1249</v>
      </c>
      <c r="C11108" t="s">
        <v>297</v>
      </c>
      <c r="D11108" s="254">
        <v>172.09</v>
      </c>
      <c r="E11108"/>
      <c r="F11108"/>
      <c r="G11108"/>
      <c r="H11108"/>
      <c r="I11108" s="489"/>
      <c r="J11108" s="1362"/>
      <c r="K11108" s="1362"/>
      <c r="L11108" s="1362"/>
    </row>
    <row r="11109" spans="1:12" x14ac:dyDescent="0.25">
      <c r="A11109">
        <v>96536</v>
      </c>
      <c r="B11109" t="s">
        <v>1250</v>
      </c>
      <c r="C11109" t="s">
        <v>297</v>
      </c>
      <c r="D11109" s="254">
        <v>91.89</v>
      </c>
      <c r="E11109"/>
      <c r="F11109"/>
      <c r="G11109"/>
      <c r="H11109"/>
      <c r="I11109" s="489"/>
      <c r="J11109" s="1362"/>
      <c r="K11109" s="1362"/>
      <c r="L11109" s="1362"/>
    </row>
    <row r="11110" spans="1:12" x14ac:dyDescent="0.25">
      <c r="A11110">
        <v>96537</v>
      </c>
      <c r="B11110" t="s">
        <v>1251</v>
      </c>
      <c r="C11110" t="s">
        <v>297</v>
      </c>
      <c r="D11110" s="254">
        <v>224.85</v>
      </c>
      <c r="E11110"/>
      <c r="F11110"/>
      <c r="G11110"/>
      <c r="H11110"/>
      <c r="I11110" s="489"/>
      <c r="J11110" s="1362"/>
      <c r="K11110" s="1362"/>
      <c r="L11110" s="1362"/>
    </row>
    <row r="11111" spans="1:12" x14ac:dyDescent="0.25">
      <c r="A11111">
        <v>96538</v>
      </c>
      <c r="B11111" t="s">
        <v>1252</v>
      </c>
      <c r="C11111" t="s">
        <v>297</v>
      </c>
      <c r="D11111" s="254">
        <v>299.45999999999998</v>
      </c>
      <c r="E11111"/>
      <c r="F11111"/>
      <c r="G11111"/>
      <c r="H11111"/>
      <c r="I11111" s="489"/>
      <c r="J11111" s="1362"/>
      <c r="K11111" s="1362"/>
      <c r="L11111" s="1362"/>
    </row>
    <row r="11112" spans="1:12" x14ac:dyDescent="0.25">
      <c r="A11112">
        <v>96539</v>
      </c>
      <c r="B11112" t="s">
        <v>1253</v>
      </c>
      <c r="C11112" t="s">
        <v>297</v>
      </c>
      <c r="D11112" s="254">
        <v>141.38999999999999</v>
      </c>
      <c r="E11112"/>
      <c r="F11112"/>
      <c r="G11112"/>
      <c r="H11112"/>
      <c r="I11112" s="489"/>
      <c r="J11112" s="1362"/>
      <c r="K11112" s="1362"/>
      <c r="L11112" s="1362"/>
    </row>
    <row r="11113" spans="1:12" x14ac:dyDescent="0.25">
      <c r="A11113">
        <v>96540</v>
      </c>
      <c r="B11113" t="s">
        <v>1254</v>
      </c>
      <c r="C11113" t="s">
        <v>297</v>
      </c>
      <c r="D11113" s="254">
        <v>152.32</v>
      </c>
      <c r="E11113"/>
      <c r="F11113"/>
      <c r="G11113"/>
      <c r="H11113"/>
      <c r="I11113" s="489"/>
      <c r="J11113" s="1362"/>
      <c r="K11113" s="1362"/>
      <c r="L11113" s="1362"/>
    </row>
    <row r="11114" spans="1:12" x14ac:dyDescent="0.25">
      <c r="A11114">
        <v>96541</v>
      </c>
      <c r="B11114" t="s">
        <v>1255</v>
      </c>
      <c r="C11114" t="s">
        <v>297</v>
      </c>
      <c r="D11114" s="254">
        <v>208.75</v>
      </c>
      <c r="E11114"/>
      <c r="F11114"/>
      <c r="G11114"/>
      <c r="H11114"/>
      <c r="I11114" s="489"/>
      <c r="J11114" s="1362"/>
      <c r="K11114" s="1362"/>
      <c r="L11114" s="1362"/>
    </row>
    <row r="11115" spans="1:12" x14ac:dyDescent="0.25">
      <c r="A11115">
        <v>96542</v>
      </c>
      <c r="B11115" t="s">
        <v>1256</v>
      </c>
      <c r="C11115" t="s">
        <v>297</v>
      </c>
      <c r="D11115" s="254">
        <v>103.11</v>
      </c>
      <c r="E11115"/>
      <c r="F11115"/>
      <c r="G11115"/>
      <c r="H11115"/>
      <c r="I11115" s="489"/>
      <c r="J11115" s="1362"/>
      <c r="K11115" s="1362"/>
      <c r="L11115" s="1362"/>
    </row>
    <row r="11116" spans="1:12" x14ac:dyDescent="0.25">
      <c r="A11116">
        <v>96543</v>
      </c>
      <c r="B11116" t="s">
        <v>1257</v>
      </c>
      <c r="C11116" t="s">
        <v>282</v>
      </c>
      <c r="D11116" s="254">
        <v>19.850000000000001</v>
      </c>
      <c r="E11116"/>
      <c r="F11116"/>
      <c r="G11116"/>
      <c r="H11116"/>
      <c r="I11116" s="489"/>
      <c r="J11116" s="1362"/>
      <c r="K11116" s="1362"/>
      <c r="L11116" s="1362"/>
    </row>
    <row r="11117" spans="1:12" x14ac:dyDescent="0.25">
      <c r="A11117">
        <v>97747</v>
      </c>
      <c r="B11117" t="s">
        <v>1258</v>
      </c>
      <c r="C11117" t="s">
        <v>297</v>
      </c>
      <c r="D11117" s="254">
        <v>239.78</v>
      </c>
      <c r="E11117"/>
      <c r="F11117"/>
      <c r="G11117"/>
      <c r="H11117"/>
      <c r="I11117" s="489"/>
      <c r="J11117" s="1362"/>
      <c r="K11117" s="1362"/>
      <c r="L11117" s="1362"/>
    </row>
    <row r="11118" spans="1:12" x14ac:dyDescent="0.25">
      <c r="A11118">
        <v>101791</v>
      </c>
      <c r="B11118" t="s">
        <v>4770</v>
      </c>
      <c r="C11118" t="s">
        <v>151</v>
      </c>
      <c r="D11118" s="254">
        <v>25.75</v>
      </c>
      <c r="E11118"/>
      <c r="F11118"/>
      <c r="G11118"/>
      <c r="H11118"/>
      <c r="I11118" s="489"/>
      <c r="J11118" s="1362"/>
      <c r="K11118" s="1362"/>
      <c r="L11118" s="1362"/>
    </row>
    <row r="11119" spans="1:12" x14ac:dyDescent="0.25">
      <c r="A11119">
        <v>101792</v>
      </c>
      <c r="B11119" t="s">
        <v>4771</v>
      </c>
      <c r="C11119" t="s">
        <v>1159</v>
      </c>
      <c r="D11119" s="254">
        <v>18.04</v>
      </c>
      <c r="E11119"/>
      <c r="F11119"/>
      <c r="G11119"/>
      <c r="H11119"/>
      <c r="I11119" s="489"/>
      <c r="J11119" s="1362"/>
      <c r="K11119" s="1362"/>
      <c r="L11119" s="1362"/>
    </row>
    <row r="11120" spans="1:12" x14ac:dyDescent="0.25">
      <c r="A11120">
        <v>101793</v>
      </c>
      <c r="B11120" t="s">
        <v>4772</v>
      </c>
      <c r="C11120" t="s">
        <v>1159</v>
      </c>
      <c r="D11120" s="254">
        <v>26.58</v>
      </c>
      <c r="E11120"/>
      <c r="F11120"/>
      <c r="G11120"/>
      <c r="H11120"/>
      <c r="I11120" s="489"/>
      <c r="J11120" s="1362"/>
      <c r="K11120" s="1362"/>
      <c r="L11120" s="1362"/>
    </row>
    <row r="11121" spans="1:12" x14ac:dyDescent="0.25">
      <c r="A11121">
        <v>101969</v>
      </c>
      <c r="B11121" t="s">
        <v>5199</v>
      </c>
      <c r="C11121" t="s">
        <v>297</v>
      </c>
      <c r="D11121" s="254">
        <v>235.57</v>
      </c>
      <c r="E11121"/>
      <c r="F11121"/>
      <c r="G11121"/>
      <c r="H11121"/>
      <c r="I11121" s="489"/>
      <c r="J11121" s="1362"/>
      <c r="K11121" s="1362"/>
      <c r="L11121" s="1362"/>
    </row>
    <row r="11122" spans="1:12" x14ac:dyDescent="0.25">
      <c r="A11122">
        <v>101971</v>
      </c>
      <c r="B11122" t="s">
        <v>5200</v>
      </c>
      <c r="C11122" t="s">
        <v>297</v>
      </c>
      <c r="D11122" s="254">
        <v>175.74</v>
      </c>
      <c r="E11122"/>
      <c r="F11122"/>
      <c r="G11122"/>
      <c r="H11122"/>
      <c r="I11122" s="489"/>
      <c r="J11122" s="1362"/>
      <c r="K11122" s="1362"/>
      <c r="L11122" s="1362"/>
    </row>
    <row r="11123" spans="1:12" x14ac:dyDescent="0.25">
      <c r="A11123">
        <v>101973</v>
      </c>
      <c r="B11123" t="s">
        <v>5201</v>
      </c>
      <c r="C11123" t="s">
        <v>297</v>
      </c>
      <c r="D11123" s="254">
        <v>274.31</v>
      </c>
      <c r="E11123"/>
      <c r="F11123"/>
      <c r="G11123"/>
      <c r="H11123"/>
      <c r="I11123" s="489"/>
      <c r="J11123" s="1362"/>
      <c r="K11123" s="1362"/>
      <c r="L11123" s="1362"/>
    </row>
    <row r="11124" spans="1:12" x14ac:dyDescent="0.25">
      <c r="A11124">
        <v>101974</v>
      </c>
      <c r="B11124" t="s">
        <v>5202</v>
      </c>
      <c r="C11124" t="s">
        <v>297</v>
      </c>
      <c r="D11124" s="254">
        <v>566.04999999999995</v>
      </c>
      <c r="E11124"/>
      <c r="F11124"/>
      <c r="G11124"/>
      <c r="H11124"/>
      <c r="I11124" s="489"/>
      <c r="J11124" s="1362"/>
      <c r="K11124" s="1362"/>
      <c r="L11124" s="1362"/>
    </row>
    <row r="11125" spans="1:12" x14ac:dyDescent="0.25">
      <c r="A11125">
        <v>101975</v>
      </c>
      <c r="B11125" t="s">
        <v>5203</v>
      </c>
      <c r="C11125" t="s">
        <v>297</v>
      </c>
      <c r="D11125" s="254">
        <v>484.04</v>
      </c>
      <c r="E11125"/>
      <c r="F11125"/>
      <c r="G11125"/>
      <c r="H11125"/>
      <c r="I11125" s="489"/>
      <c r="J11125" s="1362"/>
      <c r="K11125" s="1362"/>
      <c r="L11125" s="1362"/>
    </row>
    <row r="11126" spans="1:12" x14ac:dyDescent="0.25">
      <c r="A11126">
        <v>101977</v>
      </c>
      <c r="B11126" t="s">
        <v>5204</v>
      </c>
      <c r="C11126" t="s">
        <v>297</v>
      </c>
      <c r="D11126" s="254">
        <v>323.56</v>
      </c>
      <c r="E11126"/>
      <c r="F11126"/>
      <c r="G11126"/>
      <c r="H11126"/>
      <c r="I11126" s="489"/>
      <c r="J11126" s="1362"/>
      <c r="K11126" s="1362"/>
      <c r="L11126" s="1362"/>
    </row>
    <row r="11127" spans="1:12" x14ac:dyDescent="0.25">
      <c r="A11127">
        <v>101980</v>
      </c>
      <c r="B11127" t="s">
        <v>5205</v>
      </c>
      <c r="C11127" t="s">
        <v>297</v>
      </c>
      <c r="D11127" s="254">
        <v>293.35000000000002</v>
      </c>
      <c r="E11127"/>
      <c r="F11127"/>
      <c r="G11127"/>
      <c r="H11127"/>
      <c r="I11127" s="489"/>
      <c r="J11127" s="1362"/>
      <c r="K11127" s="1362"/>
      <c r="L11127" s="1362"/>
    </row>
    <row r="11128" spans="1:12" x14ac:dyDescent="0.25">
      <c r="A11128">
        <v>101981</v>
      </c>
      <c r="B11128" t="s">
        <v>5206</v>
      </c>
      <c r="C11128" t="s">
        <v>297</v>
      </c>
      <c r="D11128" s="254">
        <v>255.61</v>
      </c>
      <c r="E11128"/>
      <c r="F11128"/>
      <c r="G11128"/>
      <c r="H11128"/>
      <c r="I11128" s="489"/>
      <c r="J11128" s="1362"/>
      <c r="K11128" s="1362"/>
      <c r="L11128" s="1362"/>
    </row>
    <row r="11129" spans="1:12" x14ac:dyDescent="0.25">
      <c r="A11129">
        <v>101982</v>
      </c>
      <c r="B11129" t="s">
        <v>5207</v>
      </c>
      <c r="C11129" t="s">
        <v>297</v>
      </c>
      <c r="D11129" s="254">
        <v>223.98</v>
      </c>
      <c r="E11129"/>
      <c r="F11129"/>
      <c r="G11129"/>
      <c r="H11129"/>
      <c r="I11129" s="489"/>
      <c r="J11129" s="1362"/>
      <c r="K11129" s="1362"/>
      <c r="L11129" s="1362"/>
    </row>
    <row r="11130" spans="1:12" x14ac:dyDescent="0.25">
      <c r="A11130">
        <v>101983</v>
      </c>
      <c r="B11130" t="s">
        <v>5208</v>
      </c>
      <c r="C11130" t="s">
        <v>297</v>
      </c>
      <c r="D11130" s="254">
        <v>204.04</v>
      </c>
      <c r="E11130"/>
      <c r="F11130"/>
      <c r="G11130"/>
      <c r="H11130"/>
      <c r="I11130" s="489"/>
      <c r="J11130" s="1362"/>
      <c r="K11130" s="1362"/>
      <c r="L11130" s="1362"/>
    </row>
    <row r="11131" spans="1:12" x14ac:dyDescent="0.25">
      <c r="A11131">
        <v>101985</v>
      </c>
      <c r="B11131" t="s">
        <v>5209</v>
      </c>
      <c r="C11131" t="s">
        <v>297</v>
      </c>
      <c r="D11131" s="254">
        <v>256.55</v>
      </c>
      <c r="E11131"/>
      <c r="F11131"/>
      <c r="G11131"/>
      <c r="H11131"/>
      <c r="I11131" s="489"/>
      <c r="J11131" s="1362"/>
      <c r="K11131" s="1362"/>
      <c r="L11131" s="1362"/>
    </row>
    <row r="11132" spans="1:12" x14ac:dyDescent="0.25">
      <c r="A11132">
        <v>101986</v>
      </c>
      <c r="B11132" t="s">
        <v>5210</v>
      </c>
      <c r="C11132" t="s">
        <v>297</v>
      </c>
      <c r="D11132" s="254">
        <v>180.5</v>
      </c>
      <c r="E11132"/>
      <c r="F11132"/>
      <c r="G11132"/>
      <c r="H11132"/>
      <c r="I11132" s="489"/>
      <c r="J11132" s="1362"/>
      <c r="K11132" s="1362"/>
      <c r="L11132" s="1362"/>
    </row>
    <row r="11133" spans="1:12" x14ac:dyDescent="0.25">
      <c r="A11133">
        <v>101987</v>
      </c>
      <c r="B11133" t="s">
        <v>5211</v>
      </c>
      <c r="C11133" t="s">
        <v>297</v>
      </c>
      <c r="D11133" s="254">
        <v>327.74</v>
      </c>
      <c r="E11133"/>
      <c r="F11133"/>
      <c r="G11133"/>
      <c r="H11133"/>
      <c r="I11133" s="489"/>
      <c r="J11133" s="1362"/>
      <c r="K11133" s="1362"/>
      <c r="L11133" s="1362"/>
    </row>
    <row r="11134" spans="1:12" x14ac:dyDescent="0.25">
      <c r="A11134">
        <v>101988</v>
      </c>
      <c r="B11134" t="s">
        <v>5212</v>
      </c>
      <c r="C11134" t="s">
        <v>297</v>
      </c>
      <c r="D11134" s="254">
        <v>242.72</v>
      </c>
      <c r="E11134"/>
      <c r="F11134"/>
      <c r="G11134"/>
      <c r="H11134"/>
      <c r="I11134" s="489"/>
      <c r="J11134" s="1362"/>
      <c r="K11134" s="1362"/>
      <c r="L11134" s="1362"/>
    </row>
    <row r="11135" spans="1:12" x14ac:dyDescent="0.25">
      <c r="A11135">
        <v>101989</v>
      </c>
      <c r="B11135" t="s">
        <v>5213</v>
      </c>
      <c r="C11135" t="s">
        <v>297</v>
      </c>
      <c r="D11135" s="254">
        <v>183.64</v>
      </c>
      <c r="E11135"/>
      <c r="F11135"/>
      <c r="G11135"/>
      <c r="H11135"/>
      <c r="I11135" s="489"/>
      <c r="J11135" s="1362"/>
      <c r="K11135" s="1362"/>
      <c r="L11135" s="1362"/>
    </row>
    <row r="11136" spans="1:12" x14ac:dyDescent="0.25">
      <c r="A11136">
        <v>101990</v>
      </c>
      <c r="B11136" t="s">
        <v>5214</v>
      </c>
      <c r="C11136" t="s">
        <v>297</v>
      </c>
      <c r="D11136" s="254">
        <v>295.3</v>
      </c>
      <c r="E11136"/>
      <c r="F11136"/>
      <c r="G11136"/>
      <c r="H11136"/>
      <c r="I11136" s="489"/>
      <c r="J11136" s="1362"/>
      <c r="K11136" s="1362"/>
      <c r="L11136" s="1362"/>
    </row>
    <row r="11137" spans="1:12" x14ac:dyDescent="0.25">
      <c r="A11137">
        <v>101991</v>
      </c>
      <c r="B11137" t="s">
        <v>5215</v>
      </c>
      <c r="C11137" t="s">
        <v>297</v>
      </c>
      <c r="D11137" s="254">
        <v>254.62</v>
      </c>
      <c r="E11137"/>
      <c r="F11137"/>
      <c r="G11137"/>
      <c r="H11137"/>
      <c r="I11137" s="489"/>
      <c r="J11137" s="1362"/>
      <c r="K11137" s="1362"/>
      <c r="L11137" s="1362"/>
    </row>
    <row r="11138" spans="1:12" x14ac:dyDescent="0.25">
      <c r="A11138">
        <v>101992</v>
      </c>
      <c r="B11138" t="s">
        <v>5216</v>
      </c>
      <c r="C11138" t="s">
        <v>297</v>
      </c>
      <c r="D11138" s="254">
        <v>181.91</v>
      </c>
      <c r="E11138"/>
      <c r="F11138"/>
      <c r="G11138"/>
      <c r="H11138"/>
      <c r="I11138" s="489"/>
      <c r="J11138" s="1362"/>
      <c r="K11138" s="1362"/>
      <c r="L11138" s="1362"/>
    </row>
    <row r="11139" spans="1:12" x14ac:dyDescent="0.25">
      <c r="A11139">
        <v>101993</v>
      </c>
      <c r="B11139" t="s">
        <v>5217</v>
      </c>
      <c r="C11139" t="s">
        <v>297</v>
      </c>
      <c r="D11139" s="254">
        <v>386.7</v>
      </c>
      <c r="E11139"/>
      <c r="F11139"/>
      <c r="G11139"/>
      <c r="H11139"/>
      <c r="I11139" s="489"/>
      <c r="J11139" s="1362"/>
      <c r="K11139" s="1362"/>
      <c r="L11139" s="1362"/>
    </row>
    <row r="11140" spans="1:12" x14ac:dyDescent="0.25">
      <c r="A11140">
        <v>101994</v>
      </c>
      <c r="B11140" t="s">
        <v>5218</v>
      </c>
      <c r="C11140" t="s">
        <v>297</v>
      </c>
      <c r="D11140" s="254">
        <v>259.99</v>
      </c>
      <c r="E11140"/>
      <c r="F11140"/>
      <c r="G11140"/>
      <c r="H11140"/>
      <c r="I11140" s="489"/>
      <c r="J11140" s="1362"/>
      <c r="K11140" s="1362"/>
      <c r="L11140" s="1362"/>
    </row>
    <row r="11141" spans="1:12" x14ac:dyDescent="0.25">
      <c r="A11141">
        <v>101995</v>
      </c>
      <c r="B11141" t="s">
        <v>5219</v>
      </c>
      <c r="C11141" t="s">
        <v>297</v>
      </c>
      <c r="D11141" s="254">
        <v>193.67</v>
      </c>
      <c r="E11141"/>
      <c r="F11141"/>
      <c r="G11141"/>
      <c r="H11141"/>
      <c r="I11141" s="489"/>
      <c r="J11141" s="1362"/>
      <c r="K11141" s="1362"/>
      <c r="L11141" s="1362"/>
    </row>
    <row r="11142" spans="1:12" x14ac:dyDescent="0.25">
      <c r="A11142">
        <v>101996</v>
      </c>
      <c r="B11142" t="s">
        <v>5220</v>
      </c>
      <c r="C11142" t="s">
        <v>297</v>
      </c>
      <c r="D11142" s="254">
        <v>318.66000000000003</v>
      </c>
      <c r="E11142"/>
      <c r="F11142"/>
      <c r="G11142"/>
      <c r="H11142"/>
      <c r="I11142" s="489"/>
      <c r="J11142" s="1362"/>
      <c r="K11142" s="1362"/>
      <c r="L11142" s="1362"/>
    </row>
    <row r="11143" spans="1:12" x14ac:dyDescent="0.25">
      <c r="A11143">
        <v>101997</v>
      </c>
      <c r="B11143" t="s">
        <v>5221</v>
      </c>
      <c r="C11143" t="s">
        <v>297</v>
      </c>
      <c r="D11143" s="254">
        <v>255.57</v>
      </c>
      <c r="E11143"/>
      <c r="F11143"/>
      <c r="G11143"/>
      <c r="H11143"/>
      <c r="I11143" s="489"/>
      <c r="J11143" s="1362"/>
      <c r="K11143" s="1362"/>
      <c r="L11143" s="1362"/>
    </row>
    <row r="11144" spans="1:12" x14ac:dyDescent="0.25">
      <c r="A11144">
        <v>101998</v>
      </c>
      <c r="B11144" t="s">
        <v>5222</v>
      </c>
      <c r="C11144" t="s">
        <v>297</v>
      </c>
      <c r="D11144" s="254">
        <v>181.21</v>
      </c>
      <c r="E11144"/>
      <c r="F11144"/>
      <c r="G11144"/>
      <c r="H11144"/>
      <c r="I11144" s="489"/>
      <c r="J11144" s="1362"/>
      <c r="K11144" s="1362"/>
      <c r="L11144" s="1362"/>
    </row>
    <row r="11145" spans="1:12" x14ac:dyDescent="0.25">
      <c r="A11145">
        <v>101999</v>
      </c>
      <c r="B11145" t="s">
        <v>5223</v>
      </c>
      <c r="C11145" t="s">
        <v>297</v>
      </c>
      <c r="D11145" s="254">
        <v>415.33</v>
      </c>
      <c r="E11145"/>
      <c r="F11145"/>
      <c r="G11145"/>
      <c r="H11145"/>
      <c r="I11145" s="489"/>
      <c r="J11145" s="1362"/>
      <c r="K11145" s="1362"/>
      <c r="L11145" s="1362"/>
    </row>
    <row r="11146" spans="1:12" x14ac:dyDescent="0.25">
      <c r="A11146">
        <v>102000</v>
      </c>
      <c r="B11146" t="s">
        <v>5224</v>
      </c>
      <c r="C11146" t="s">
        <v>297</v>
      </c>
      <c r="D11146" s="254">
        <v>593.32000000000005</v>
      </c>
      <c r="E11146"/>
      <c r="F11146"/>
      <c r="G11146"/>
      <c r="H11146"/>
      <c r="I11146" s="489"/>
      <c r="J11146" s="1362"/>
      <c r="K11146" s="1362"/>
      <c r="L11146" s="1362"/>
    </row>
    <row r="11147" spans="1:12" x14ac:dyDescent="0.25">
      <c r="A11147">
        <v>102001</v>
      </c>
      <c r="B11147" t="s">
        <v>5225</v>
      </c>
      <c r="C11147" t="s">
        <v>297</v>
      </c>
      <c r="D11147" s="254">
        <v>515.03</v>
      </c>
      <c r="E11147"/>
      <c r="F11147"/>
      <c r="G11147"/>
      <c r="H11147"/>
      <c r="I11147" s="489"/>
      <c r="J11147" s="1362"/>
      <c r="K11147" s="1362"/>
      <c r="L11147" s="1362"/>
    </row>
    <row r="11148" spans="1:12" x14ac:dyDescent="0.25">
      <c r="A11148">
        <v>102002</v>
      </c>
      <c r="B11148" t="s">
        <v>5226</v>
      </c>
      <c r="C11148" t="s">
        <v>297</v>
      </c>
      <c r="D11148" s="254">
        <v>327.14999999999998</v>
      </c>
      <c r="E11148"/>
      <c r="F11148"/>
      <c r="G11148"/>
      <c r="H11148"/>
      <c r="I11148" s="489"/>
      <c r="J11148" s="1362"/>
      <c r="K11148" s="1362"/>
      <c r="L11148" s="1362"/>
    </row>
    <row r="11149" spans="1:12" x14ac:dyDescent="0.25">
      <c r="A11149">
        <v>102003</v>
      </c>
      <c r="B11149" t="s">
        <v>5227</v>
      </c>
      <c r="C11149" t="s">
        <v>297</v>
      </c>
      <c r="D11149" s="254">
        <v>298.51</v>
      </c>
      <c r="E11149"/>
      <c r="F11149"/>
      <c r="G11149"/>
      <c r="H11149"/>
      <c r="I11149" s="489"/>
      <c r="J11149" s="1362"/>
      <c r="K11149" s="1362"/>
      <c r="L11149" s="1362"/>
    </row>
    <row r="11150" spans="1:12" x14ac:dyDescent="0.25">
      <c r="A11150">
        <v>102004</v>
      </c>
      <c r="B11150" t="s">
        <v>5228</v>
      </c>
      <c r="C11150" t="s">
        <v>297</v>
      </c>
      <c r="D11150" s="254">
        <v>266.14</v>
      </c>
      <c r="E11150"/>
      <c r="F11150"/>
      <c r="G11150"/>
      <c r="H11150"/>
      <c r="I11150" s="489"/>
      <c r="J11150" s="1362"/>
      <c r="K11150" s="1362"/>
      <c r="L11150" s="1362"/>
    </row>
    <row r="11151" spans="1:12" x14ac:dyDescent="0.25">
      <c r="A11151">
        <v>102005</v>
      </c>
      <c r="B11151" t="s">
        <v>5229</v>
      </c>
      <c r="C11151" t="s">
        <v>297</v>
      </c>
      <c r="D11151" s="254">
        <v>232.2</v>
      </c>
      <c r="E11151"/>
      <c r="F11151"/>
      <c r="G11151"/>
      <c r="H11151"/>
      <c r="I11151" s="489"/>
      <c r="J11151" s="1362"/>
      <c r="K11151" s="1362"/>
      <c r="L11151" s="1362"/>
    </row>
    <row r="11152" spans="1:12" x14ac:dyDescent="0.25">
      <c r="A11152">
        <v>102006</v>
      </c>
      <c r="B11152" t="s">
        <v>5230</v>
      </c>
      <c r="C11152" t="s">
        <v>297</v>
      </c>
      <c r="D11152" s="254">
        <v>210.8</v>
      </c>
      <c r="E11152"/>
      <c r="F11152"/>
      <c r="G11152"/>
      <c r="H11152"/>
      <c r="I11152" s="489"/>
      <c r="J11152" s="1362"/>
      <c r="K11152" s="1362"/>
      <c r="L11152" s="1362"/>
    </row>
    <row r="11153" spans="1:12" x14ac:dyDescent="0.25">
      <c r="A11153">
        <v>102007</v>
      </c>
      <c r="B11153" t="s">
        <v>5231</v>
      </c>
      <c r="C11153" t="s">
        <v>297</v>
      </c>
      <c r="D11153" s="254">
        <v>563.83000000000004</v>
      </c>
      <c r="E11153"/>
      <c r="F11153"/>
      <c r="G11153"/>
      <c r="H11153"/>
      <c r="I11153" s="489"/>
      <c r="J11153" s="1362"/>
      <c r="K11153" s="1362"/>
      <c r="L11153" s="1362"/>
    </row>
    <row r="11154" spans="1:12" x14ac:dyDescent="0.25">
      <c r="A11154">
        <v>102008</v>
      </c>
      <c r="B11154" t="s">
        <v>5232</v>
      </c>
      <c r="C11154" t="s">
        <v>297</v>
      </c>
      <c r="D11154" s="254">
        <v>473.05</v>
      </c>
      <c r="E11154"/>
      <c r="F11154"/>
      <c r="G11154"/>
      <c r="H11154"/>
      <c r="I11154" s="489"/>
      <c r="J11154" s="1362"/>
      <c r="K11154" s="1362"/>
      <c r="L11154" s="1362"/>
    </row>
    <row r="11155" spans="1:12" x14ac:dyDescent="0.25">
      <c r="A11155">
        <v>102009</v>
      </c>
      <c r="B11155" t="s">
        <v>5233</v>
      </c>
      <c r="C11155" t="s">
        <v>297</v>
      </c>
      <c r="D11155" s="254">
        <v>325.92</v>
      </c>
      <c r="E11155"/>
      <c r="F11155"/>
      <c r="G11155"/>
      <c r="H11155"/>
      <c r="I11155" s="489"/>
      <c r="J11155" s="1362"/>
      <c r="K11155" s="1362"/>
      <c r="L11155" s="1362"/>
    </row>
    <row r="11156" spans="1:12" x14ac:dyDescent="0.25">
      <c r="A11156">
        <v>102010</v>
      </c>
      <c r="B11156" t="s">
        <v>5234</v>
      </c>
      <c r="C11156" t="s">
        <v>297</v>
      </c>
      <c r="D11156" s="254">
        <v>293.19</v>
      </c>
      <c r="E11156"/>
      <c r="F11156"/>
      <c r="G11156"/>
      <c r="H11156"/>
      <c r="I11156" s="489"/>
      <c r="J11156" s="1362"/>
      <c r="K11156" s="1362"/>
      <c r="L11156" s="1362"/>
    </row>
    <row r="11157" spans="1:12" x14ac:dyDescent="0.25">
      <c r="A11157">
        <v>102011</v>
      </c>
      <c r="B11157" t="s">
        <v>5235</v>
      </c>
      <c r="C11157" t="s">
        <v>297</v>
      </c>
      <c r="D11157" s="254">
        <v>253</v>
      </c>
      <c r="E11157"/>
      <c r="F11157"/>
      <c r="G11157"/>
      <c r="H11157"/>
      <c r="I11157" s="489"/>
      <c r="J11157" s="1362"/>
      <c r="K11157" s="1362"/>
      <c r="L11157" s="1362"/>
    </row>
    <row r="11158" spans="1:12" x14ac:dyDescent="0.25">
      <c r="A11158">
        <v>102012</v>
      </c>
      <c r="B11158" t="s">
        <v>5236</v>
      </c>
      <c r="C11158" t="s">
        <v>297</v>
      </c>
      <c r="D11158" s="254">
        <v>220.58</v>
      </c>
      <c r="E11158"/>
      <c r="F11158"/>
      <c r="G11158"/>
      <c r="H11158"/>
      <c r="I11158" s="489"/>
      <c r="J11158" s="1362"/>
      <c r="K11158" s="1362"/>
      <c r="L11158" s="1362"/>
    </row>
    <row r="11159" spans="1:12" x14ac:dyDescent="0.25">
      <c r="A11159">
        <v>102013</v>
      </c>
      <c r="B11159" t="s">
        <v>5237</v>
      </c>
      <c r="C11159" t="s">
        <v>297</v>
      </c>
      <c r="D11159" s="254">
        <v>202.57</v>
      </c>
      <c r="E11159"/>
      <c r="F11159"/>
      <c r="G11159"/>
      <c r="H11159"/>
      <c r="I11159" s="489"/>
      <c r="J11159" s="1362"/>
      <c r="K11159" s="1362"/>
      <c r="L11159" s="1362"/>
    </row>
    <row r="11160" spans="1:12" x14ac:dyDescent="0.25">
      <c r="A11160">
        <v>102014</v>
      </c>
      <c r="B11160" t="s">
        <v>5238</v>
      </c>
      <c r="C11160" t="s">
        <v>297</v>
      </c>
      <c r="D11160" s="254">
        <v>652.66</v>
      </c>
      <c r="E11160"/>
      <c r="F11160"/>
      <c r="G11160"/>
      <c r="H11160"/>
      <c r="I11160" s="489"/>
      <c r="J11160" s="1362"/>
      <c r="K11160" s="1362"/>
      <c r="L11160" s="1362"/>
    </row>
    <row r="11161" spans="1:12" x14ac:dyDescent="0.25">
      <c r="A11161">
        <v>102015</v>
      </c>
      <c r="B11161" t="s">
        <v>5239</v>
      </c>
      <c r="C11161" t="s">
        <v>297</v>
      </c>
      <c r="D11161" s="254">
        <v>548.97</v>
      </c>
      <c r="E11161"/>
      <c r="F11161"/>
      <c r="G11161"/>
      <c r="H11161"/>
      <c r="I11161" s="489"/>
      <c r="J11161" s="1362"/>
      <c r="K11161" s="1362"/>
      <c r="L11161" s="1362"/>
    </row>
    <row r="11162" spans="1:12" x14ac:dyDescent="0.25">
      <c r="A11162">
        <v>102016</v>
      </c>
      <c r="B11162" t="s">
        <v>5240</v>
      </c>
      <c r="C11162" t="s">
        <v>297</v>
      </c>
      <c r="D11162" s="254">
        <v>324.3</v>
      </c>
      <c r="E11162"/>
      <c r="F11162"/>
      <c r="G11162"/>
      <c r="H11162"/>
      <c r="I11162" s="489"/>
      <c r="J11162" s="1362"/>
      <c r="K11162" s="1362"/>
      <c r="L11162" s="1362"/>
    </row>
    <row r="11163" spans="1:12" x14ac:dyDescent="0.25">
      <c r="A11163">
        <v>102017</v>
      </c>
      <c r="B11163" t="s">
        <v>5241</v>
      </c>
      <c r="C11163" t="s">
        <v>297</v>
      </c>
      <c r="D11163" s="254">
        <v>293.51</v>
      </c>
      <c r="E11163"/>
      <c r="F11163"/>
      <c r="G11163"/>
      <c r="H11163"/>
      <c r="I11163" s="489"/>
      <c r="J11163" s="1362"/>
      <c r="K11163" s="1362"/>
      <c r="L11163" s="1362"/>
    </row>
    <row r="11164" spans="1:12" x14ac:dyDescent="0.25">
      <c r="A11164">
        <v>102036</v>
      </c>
      <c r="B11164" t="s">
        <v>5242</v>
      </c>
      <c r="C11164" t="s">
        <v>297</v>
      </c>
      <c r="D11164" s="254">
        <v>259.07</v>
      </c>
      <c r="E11164"/>
      <c r="F11164"/>
      <c r="G11164"/>
      <c r="H11164"/>
      <c r="I11164" s="489"/>
      <c r="J11164" s="1362"/>
      <c r="K11164" s="1362"/>
      <c r="L11164" s="1362"/>
    </row>
    <row r="11165" spans="1:12" x14ac:dyDescent="0.25">
      <c r="A11165">
        <v>102037</v>
      </c>
      <c r="B11165" t="s">
        <v>5243</v>
      </c>
      <c r="C11165" t="s">
        <v>297</v>
      </c>
      <c r="D11165" s="254">
        <v>225.34</v>
      </c>
      <c r="E11165"/>
      <c r="F11165"/>
      <c r="G11165"/>
      <c r="H11165"/>
      <c r="I11165" s="489"/>
      <c r="J11165" s="1362"/>
      <c r="K11165" s="1362"/>
      <c r="L11165" s="1362"/>
    </row>
    <row r="11166" spans="1:12" x14ac:dyDescent="0.25">
      <c r="A11166">
        <v>102038</v>
      </c>
      <c r="B11166" t="s">
        <v>5244</v>
      </c>
      <c r="C11166" t="s">
        <v>297</v>
      </c>
      <c r="D11166" s="254">
        <v>206.62</v>
      </c>
      <c r="E11166"/>
      <c r="F11166"/>
      <c r="G11166"/>
      <c r="H11166"/>
      <c r="I11166" s="489"/>
      <c r="J11166" s="1362"/>
      <c r="K11166" s="1362"/>
      <c r="L11166" s="1362"/>
    </row>
    <row r="11167" spans="1:12" x14ac:dyDescent="0.25">
      <c r="A11167">
        <v>102039</v>
      </c>
      <c r="B11167" t="s">
        <v>5245</v>
      </c>
      <c r="C11167" t="s">
        <v>297</v>
      </c>
      <c r="D11167" s="254">
        <v>592.99</v>
      </c>
      <c r="E11167"/>
      <c r="F11167"/>
      <c r="G11167"/>
      <c r="H11167"/>
      <c r="I11167" s="489"/>
      <c r="J11167" s="1362"/>
      <c r="K11167" s="1362"/>
      <c r="L11167" s="1362"/>
    </row>
    <row r="11168" spans="1:12" x14ac:dyDescent="0.25">
      <c r="A11168">
        <v>102040</v>
      </c>
      <c r="B11168" t="s">
        <v>5246</v>
      </c>
      <c r="C11168" t="s">
        <v>297</v>
      </c>
      <c r="D11168" s="254">
        <v>495.73</v>
      </c>
      <c r="E11168"/>
      <c r="F11168"/>
      <c r="G11168"/>
      <c r="H11168"/>
      <c r="I11168" s="489"/>
      <c r="J11168" s="1362"/>
      <c r="K11168" s="1362"/>
      <c r="L11168" s="1362"/>
    </row>
    <row r="11169" spans="1:12" x14ac:dyDescent="0.25">
      <c r="A11169">
        <v>102041</v>
      </c>
      <c r="B11169" t="s">
        <v>5247</v>
      </c>
      <c r="C11169" t="s">
        <v>297</v>
      </c>
      <c r="D11169" s="254">
        <v>329.88</v>
      </c>
      <c r="E11169"/>
      <c r="F11169"/>
      <c r="G11169"/>
      <c r="H11169"/>
      <c r="I11169" s="489"/>
      <c r="J11169" s="1362"/>
      <c r="K11169" s="1362"/>
      <c r="L11169" s="1362"/>
    </row>
    <row r="11170" spans="1:12" x14ac:dyDescent="0.25">
      <c r="A11170">
        <v>102042</v>
      </c>
      <c r="B11170" t="s">
        <v>5248</v>
      </c>
      <c r="C11170" t="s">
        <v>297</v>
      </c>
      <c r="D11170" s="254">
        <v>294.42</v>
      </c>
      <c r="E11170"/>
      <c r="F11170"/>
      <c r="G11170"/>
      <c r="H11170"/>
      <c r="I11170" s="489"/>
      <c r="J11170" s="1362"/>
      <c r="K11170" s="1362"/>
      <c r="L11170" s="1362"/>
    </row>
    <row r="11171" spans="1:12" x14ac:dyDescent="0.25">
      <c r="A11171">
        <v>102043</v>
      </c>
      <c r="B11171" t="s">
        <v>5249</v>
      </c>
      <c r="C11171" t="s">
        <v>297</v>
      </c>
      <c r="D11171" s="254">
        <v>255.44</v>
      </c>
      <c r="E11171"/>
      <c r="F11171"/>
      <c r="G11171"/>
      <c r="H11171"/>
      <c r="I11171" s="489"/>
      <c r="J11171" s="1362"/>
      <c r="K11171" s="1362"/>
      <c r="L11171" s="1362"/>
    </row>
    <row r="11172" spans="1:12" x14ac:dyDescent="0.25">
      <c r="A11172">
        <v>102044</v>
      </c>
      <c r="B11172" t="s">
        <v>5250</v>
      </c>
      <c r="C11172" t="s">
        <v>297</v>
      </c>
      <c r="D11172" s="254">
        <v>223.72</v>
      </c>
      <c r="E11172"/>
      <c r="F11172"/>
      <c r="G11172"/>
      <c r="H11172"/>
      <c r="I11172" s="489"/>
      <c r="J11172" s="1362"/>
      <c r="K11172" s="1362"/>
      <c r="L11172" s="1362"/>
    </row>
    <row r="11173" spans="1:12" x14ac:dyDescent="0.25">
      <c r="A11173">
        <v>102045</v>
      </c>
      <c r="B11173" t="s">
        <v>5251</v>
      </c>
      <c r="C11173" t="s">
        <v>297</v>
      </c>
      <c r="D11173" s="254">
        <v>204.67</v>
      </c>
      <c r="E11173"/>
      <c r="F11173"/>
      <c r="G11173"/>
      <c r="H11173"/>
      <c r="I11173" s="489"/>
      <c r="J11173" s="1362"/>
      <c r="K11173" s="1362"/>
      <c r="L11173" s="1362"/>
    </row>
    <row r="11174" spans="1:12" x14ac:dyDescent="0.25">
      <c r="A11174">
        <v>102046</v>
      </c>
      <c r="B11174" t="s">
        <v>5252</v>
      </c>
      <c r="C11174" t="s">
        <v>297</v>
      </c>
      <c r="D11174" s="254">
        <v>670.1</v>
      </c>
      <c r="E11174"/>
      <c r="F11174"/>
      <c r="G11174"/>
      <c r="H11174"/>
      <c r="I11174" s="489"/>
      <c r="J11174" s="1362"/>
      <c r="K11174" s="1362"/>
      <c r="L11174" s="1362"/>
    </row>
    <row r="11175" spans="1:12" x14ac:dyDescent="0.25">
      <c r="A11175">
        <v>102047</v>
      </c>
      <c r="B11175" t="s">
        <v>5253</v>
      </c>
      <c r="C11175" t="s">
        <v>297</v>
      </c>
      <c r="D11175" s="254">
        <v>574.76</v>
      </c>
      <c r="E11175"/>
      <c r="F11175"/>
      <c r="G11175"/>
      <c r="H11175"/>
      <c r="I11175" s="489"/>
      <c r="J11175" s="1362"/>
      <c r="K11175" s="1362"/>
      <c r="L11175" s="1362"/>
    </row>
    <row r="11176" spans="1:12" x14ac:dyDescent="0.25">
      <c r="A11176">
        <v>102048</v>
      </c>
      <c r="B11176" t="s">
        <v>5254</v>
      </c>
      <c r="C11176" t="s">
        <v>297</v>
      </c>
      <c r="D11176" s="254">
        <v>319.47000000000003</v>
      </c>
      <c r="E11176"/>
      <c r="F11176"/>
      <c r="G11176"/>
      <c r="H11176"/>
      <c r="I11176" s="489"/>
      <c r="J11176" s="1362"/>
      <c r="K11176" s="1362"/>
      <c r="L11176" s="1362"/>
    </row>
    <row r="11177" spans="1:12" x14ac:dyDescent="0.25">
      <c r="A11177">
        <v>102049</v>
      </c>
      <c r="B11177" t="s">
        <v>5255</v>
      </c>
      <c r="C11177" t="s">
        <v>297</v>
      </c>
      <c r="D11177" s="254">
        <v>285.74</v>
      </c>
      <c r="E11177"/>
      <c r="F11177"/>
      <c r="G11177"/>
      <c r="H11177"/>
      <c r="I11177" s="489"/>
      <c r="J11177" s="1362"/>
      <c r="K11177" s="1362"/>
      <c r="L11177" s="1362"/>
    </row>
    <row r="11178" spans="1:12" x14ac:dyDescent="0.25">
      <c r="A11178">
        <v>102050</v>
      </c>
      <c r="B11178" t="s">
        <v>5256</v>
      </c>
      <c r="C11178" t="s">
        <v>297</v>
      </c>
      <c r="D11178" s="254">
        <v>253.54</v>
      </c>
      <c r="E11178"/>
      <c r="F11178"/>
      <c r="G11178"/>
      <c r="H11178"/>
      <c r="I11178" s="489"/>
      <c r="J11178" s="1362"/>
      <c r="K11178" s="1362"/>
      <c r="L11178" s="1362"/>
    </row>
    <row r="11179" spans="1:12" x14ac:dyDescent="0.25">
      <c r="A11179">
        <v>102051</v>
      </c>
      <c r="B11179" t="s">
        <v>5257</v>
      </c>
      <c r="C11179" t="s">
        <v>297</v>
      </c>
      <c r="D11179" s="254">
        <v>219.71</v>
      </c>
      <c r="E11179"/>
      <c r="F11179"/>
      <c r="G11179"/>
      <c r="H11179"/>
      <c r="I11179" s="489"/>
      <c r="J11179" s="1362"/>
      <c r="K11179" s="1362"/>
      <c r="L11179" s="1362"/>
    </row>
    <row r="11180" spans="1:12" x14ac:dyDescent="0.25">
      <c r="A11180">
        <v>102052</v>
      </c>
      <c r="B11180" t="s">
        <v>5258</v>
      </c>
      <c r="C11180" t="s">
        <v>297</v>
      </c>
      <c r="D11180" s="254">
        <v>200.92</v>
      </c>
      <c r="E11180"/>
      <c r="F11180"/>
      <c r="G11180"/>
      <c r="H11180"/>
      <c r="I11180" s="489"/>
      <c r="J11180" s="1362"/>
      <c r="K11180" s="1362"/>
      <c r="L11180" s="1362"/>
    </row>
    <row r="11181" spans="1:12" x14ac:dyDescent="0.25">
      <c r="A11181">
        <v>102059</v>
      </c>
      <c r="B11181" t="s">
        <v>5259</v>
      </c>
      <c r="C11181" t="s">
        <v>297</v>
      </c>
      <c r="D11181" s="254">
        <v>552.70000000000005</v>
      </c>
      <c r="E11181"/>
      <c r="F11181"/>
      <c r="G11181"/>
      <c r="H11181"/>
      <c r="I11181" s="489"/>
      <c r="J11181" s="1362"/>
      <c r="K11181" s="1362"/>
      <c r="L11181" s="1362"/>
    </row>
    <row r="11182" spans="1:12" x14ac:dyDescent="0.25">
      <c r="A11182">
        <v>102060</v>
      </c>
      <c r="B11182" t="s">
        <v>5260</v>
      </c>
      <c r="C11182" t="s">
        <v>297</v>
      </c>
      <c r="D11182" s="254">
        <v>466.27</v>
      </c>
      <c r="E11182"/>
      <c r="F11182"/>
      <c r="G11182"/>
      <c r="H11182"/>
      <c r="I11182" s="489"/>
      <c r="J11182" s="1362"/>
      <c r="K11182" s="1362"/>
      <c r="L11182" s="1362"/>
    </row>
    <row r="11183" spans="1:12" x14ac:dyDescent="0.25">
      <c r="A11183">
        <v>102061</v>
      </c>
      <c r="B11183" t="s">
        <v>5261</v>
      </c>
      <c r="C11183" t="s">
        <v>297</v>
      </c>
      <c r="D11183" s="254">
        <v>304.17</v>
      </c>
      <c r="E11183"/>
      <c r="F11183"/>
      <c r="G11183"/>
      <c r="H11183"/>
      <c r="I11183" s="489"/>
      <c r="J11183" s="1362"/>
      <c r="K11183" s="1362"/>
      <c r="L11183" s="1362"/>
    </row>
    <row r="11184" spans="1:12" x14ac:dyDescent="0.25">
      <c r="A11184">
        <v>102062</v>
      </c>
      <c r="B11184" t="s">
        <v>5262</v>
      </c>
      <c r="C11184" t="s">
        <v>297</v>
      </c>
      <c r="D11184" s="254">
        <v>276.97000000000003</v>
      </c>
      <c r="E11184"/>
      <c r="F11184"/>
      <c r="G11184"/>
      <c r="H11184"/>
      <c r="I11184" s="489"/>
      <c r="J11184" s="1362"/>
      <c r="K11184" s="1362"/>
      <c r="L11184" s="1362"/>
    </row>
    <row r="11185" spans="1:12" x14ac:dyDescent="0.25">
      <c r="A11185">
        <v>102063</v>
      </c>
      <c r="B11185" t="s">
        <v>5263</v>
      </c>
      <c r="C11185" t="s">
        <v>297</v>
      </c>
      <c r="D11185" s="254">
        <v>239.41</v>
      </c>
      <c r="E11185"/>
      <c r="F11185"/>
      <c r="G11185"/>
      <c r="H11185"/>
      <c r="I11185" s="489"/>
      <c r="J11185" s="1362"/>
      <c r="K11185" s="1362"/>
      <c r="L11185" s="1362"/>
    </row>
    <row r="11186" spans="1:12" x14ac:dyDescent="0.25">
      <c r="A11186">
        <v>102064</v>
      </c>
      <c r="B11186" t="s">
        <v>5264</v>
      </c>
      <c r="C11186" t="s">
        <v>297</v>
      </c>
      <c r="D11186" s="254">
        <v>207.31</v>
      </c>
      <c r="E11186"/>
      <c r="F11186"/>
      <c r="G11186"/>
      <c r="H11186"/>
      <c r="I11186" s="489"/>
      <c r="J11186" s="1362"/>
      <c r="K11186" s="1362"/>
      <c r="L11186" s="1362"/>
    </row>
    <row r="11187" spans="1:12" x14ac:dyDescent="0.25">
      <c r="A11187">
        <v>102065</v>
      </c>
      <c r="B11187" t="s">
        <v>5265</v>
      </c>
      <c r="C11187" t="s">
        <v>297</v>
      </c>
      <c r="D11187" s="254">
        <v>189.53</v>
      </c>
      <c r="E11187"/>
      <c r="F11187"/>
      <c r="G11187"/>
      <c r="H11187"/>
      <c r="I11187" s="489"/>
      <c r="J11187" s="1362"/>
      <c r="K11187" s="1362"/>
      <c r="L11187" s="1362"/>
    </row>
    <row r="11188" spans="1:12" x14ac:dyDescent="0.25">
      <c r="A11188">
        <v>102066</v>
      </c>
      <c r="B11188" t="s">
        <v>5266</v>
      </c>
      <c r="C11188" t="s">
        <v>297</v>
      </c>
      <c r="D11188" s="254">
        <v>590.13</v>
      </c>
      <c r="E11188"/>
      <c r="F11188"/>
      <c r="G11188"/>
      <c r="H11188"/>
      <c r="I11188" s="489"/>
      <c r="J11188" s="1362"/>
      <c r="K11188" s="1362"/>
      <c r="L11188" s="1362"/>
    </row>
    <row r="11189" spans="1:12" x14ac:dyDescent="0.25">
      <c r="A11189">
        <v>102067</v>
      </c>
      <c r="B11189" t="s">
        <v>5267</v>
      </c>
      <c r="C11189" t="s">
        <v>297</v>
      </c>
      <c r="D11189" s="254">
        <v>508.81</v>
      </c>
      <c r="E11189"/>
      <c r="F11189"/>
      <c r="G11189"/>
      <c r="H11189"/>
      <c r="I11189" s="489"/>
      <c r="J11189" s="1362"/>
      <c r="K11189" s="1362"/>
      <c r="L11189" s="1362"/>
    </row>
    <row r="11190" spans="1:12" x14ac:dyDescent="0.25">
      <c r="A11190">
        <v>102068</v>
      </c>
      <c r="B11190" t="s">
        <v>5268</v>
      </c>
      <c r="C11190" t="s">
        <v>297</v>
      </c>
      <c r="D11190" s="254">
        <v>291.27999999999997</v>
      </c>
      <c r="E11190"/>
      <c r="F11190"/>
      <c r="G11190"/>
      <c r="H11190"/>
      <c r="I11190" s="489"/>
      <c r="J11190" s="1362"/>
      <c r="K11190" s="1362"/>
      <c r="L11190" s="1362"/>
    </row>
    <row r="11191" spans="1:12" x14ac:dyDescent="0.25">
      <c r="A11191">
        <v>102069</v>
      </c>
      <c r="B11191" t="s">
        <v>5269</v>
      </c>
      <c r="C11191" t="s">
        <v>297</v>
      </c>
      <c r="D11191" s="254">
        <v>266.07</v>
      </c>
      <c r="E11191"/>
      <c r="F11191"/>
      <c r="G11191"/>
      <c r="H11191"/>
      <c r="I11191" s="489"/>
      <c r="J11191" s="1362"/>
      <c r="K11191" s="1362"/>
      <c r="L11191" s="1362"/>
    </row>
    <row r="11192" spans="1:12" x14ac:dyDescent="0.25">
      <c r="A11192">
        <v>102070</v>
      </c>
      <c r="B11192" t="s">
        <v>5270</v>
      </c>
      <c r="C11192" t="s">
        <v>297</v>
      </c>
      <c r="D11192" s="254">
        <v>235.65</v>
      </c>
      <c r="E11192"/>
      <c r="F11192"/>
      <c r="G11192"/>
      <c r="H11192"/>
      <c r="I11192" s="489"/>
      <c r="J11192" s="1362"/>
      <c r="K11192" s="1362"/>
      <c r="L11192" s="1362"/>
    </row>
    <row r="11193" spans="1:12" x14ac:dyDescent="0.25">
      <c r="A11193">
        <v>102071</v>
      </c>
      <c r="B11193" t="s">
        <v>5271</v>
      </c>
      <c r="C11193" t="s">
        <v>297</v>
      </c>
      <c r="D11193" s="254">
        <v>204.19</v>
      </c>
      <c r="E11193"/>
      <c r="F11193"/>
      <c r="G11193"/>
      <c r="H11193"/>
      <c r="I11193" s="489"/>
      <c r="J11193" s="1362"/>
      <c r="K11193" s="1362"/>
      <c r="L11193" s="1362"/>
    </row>
    <row r="11194" spans="1:12" x14ac:dyDescent="0.25">
      <c r="A11194">
        <v>102072</v>
      </c>
      <c r="B11194" t="s">
        <v>5272</v>
      </c>
      <c r="C11194" t="s">
        <v>297</v>
      </c>
      <c r="D11194" s="254">
        <v>188.79</v>
      </c>
      <c r="E11194"/>
      <c r="F11194"/>
      <c r="G11194"/>
      <c r="H11194"/>
      <c r="I11194" s="489"/>
      <c r="J11194" s="1362"/>
      <c r="K11194" s="1362"/>
      <c r="L11194" s="1362"/>
    </row>
    <row r="11195" spans="1:12" x14ac:dyDescent="0.25">
      <c r="A11195">
        <v>102073</v>
      </c>
      <c r="B11195" t="s">
        <v>5273</v>
      </c>
      <c r="C11195" t="s">
        <v>1159</v>
      </c>
      <c r="D11195" s="254">
        <v>3888.63</v>
      </c>
      <c r="E11195"/>
      <c r="F11195"/>
      <c r="G11195"/>
      <c r="H11195"/>
      <c r="I11195" s="489"/>
      <c r="J11195" s="1362"/>
      <c r="K11195" s="1362"/>
      <c r="L11195" s="1362"/>
    </row>
    <row r="11196" spans="1:12" x14ac:dyDescent="0.25">
      <c r="A11196">
        <v>102074</v>
      </c>
      <c r="B11196" t="s">
        <v>5274</v>
      </c>
      <c r="C11196" t="s">
        <v>1159</v>
      </c>
      <c r="D11196" s="254">
        <v>4662.2299999999996</v>
      </c>
      <c r="E11196"/>
      <c r="F11196"/>
      <c r="G11196"/>
      <c r="H11196"/>
      <c r="I11196" s="489"/>
      <c r="J11196" s="1362"/>
      <c r="K11196" s="1362"/>
      <c r="L11196" s="1362"/>
    </row>
    <row r="11197" spans="1:12" x14ac:dyDescent="0.25">
      <c r="A11197">
        <v>102075</v>
      </c>
      <c r="B11197" t="s">
        <v>5275</v>
      </c>
      <c r="C11197" t="s">
        <v>1159</v>
      </c>
      <c r="D11197" s="254">
        <v>4874.28</v>
      </c>
      <c r="E11197"/>
      <c r="F11197"/>
      <c r="G11197"/>
      <c r="H11197"/>
      <c r="I11197" s="489"/>
      <c r="J11197" s="1362"/>
      <c r="K11197" s="1362"/>
      <c r="L11197" s="1362"/>
    </row>
    <row r="11198" spans="1:12" x14ac:dyDescent="0.25">
      <c r="A11198">
        <v>102076</v>
      </c>
      <c r="B11198" t="s">
        <v>5276</v>
      </c>
      <c r="C11198" t="s">
        <v>1159</v>
      </c>
      <c r="D11198" s="254">
        <v>5009.08</v>
      </c>
      <c r="E11198"/>
      <c r="F11198"/>
      <c r="G11198"/>
      <c r="H11198"/>
      <c r="I11198" s="489"/>
      <c r="J11198" s="1362"/>
      <c r="K11198" s="1362"/>
      <c r="L11198" s="1362"/>
    </row>
    <row r="11199" spans="1:12" x14ac:dyDescent="0.25">
      <c r="A11199">
        <v>102077</v>
      </c>
      <c r="B11199" t="s">
        <v>5277</v>
      </c>
      <c r="C11199" t="s">
        <v>1159</v>
      </c>
      <c r="D11199" s="254">
        <v>5591.09</v>
      </c>
      <c r="E11199"/>
      <c r="F11199"/>
      <c r="G11199"/>
      <c r="H11199"/>
      <c r="I11199" s="489"/>
      <c r="J11199" s="1362"/>
      <c r="K11199" s="1362"/>
      <c r="L11199" s="1362"/>
    </row>
    <row r="11200" spans="1:12" x14ac:dyDescent="0.25">
      <c r="A11200">
        <v>102078</v>
      </c>
      <c r="B11200" t="s">
        <v>5278</v>
      </c>
      <c r="C11200" t="s">
        <v>1159</v>
      </c>
      <c r="D11200" s="254">
        <v>5680.07</v>
      </c>
      <c r="E11200"/>
      <c r="F11200"/>
      <c r="G11200"/>
      <c r="H11200"/>
      <c r="I11200" s="489"/>
      <c r="J11200" s="1362"/>
      <c r="K11200" s="1362"/>
      <c r="L11200" s="1362"/>
    </row>
    <row r="11201" spans="1:12" x14ac:dyDescent="0.25">
      <c r="A11201">
        <v>102079</v>
      </c>
      <c r="B11201" t="s">
        <v>5279</v>
      </c>
      <c r="C11201" t="s">
        <v>1159</v>
      </c>
      <c r="D11201" s="254">
        <v>5446.13</v>
      </c>
      <c r="E11201"/>
      <c r="F11201"/>
      <c r="G11201"/>
      <c r="H11201"/>
      <c r="I11201" s="489"/>
      <c r="J11201" s="1362"/>
      <c r="K11201" s="1362"/>
      <c r="L11201" s="1362"/>
    </row>
    <row r="11202" spans="1:12" x14ac:dyDescent="0.25">
      <c r="A11202">
        <v>102080</v>
      </c>
      <c r="B11202" t="s">
        <v>5280</v>
      </c>
      <c r="C11202" t="s">
        <v>1159</v>
      </c>
      <c r="D11202" s="254">
        <v>4777.71</v>
      </c>
      <c r="E11202"/>
      <c r="F11202"/>
      <c r="G11202"/>
      <c r="H11202"/>
      <c r="I11202" s="489"/>
      <c r="J11202" s="1362"/>
      <c r="K11202" s="1362"/>
      <c r="L11202" s="1362"/>
    </row>
    <row r="11203" spans="1:12" x14ac:dyDescent="0.25">
      <c r="A11203">
        <v>102086</v>
      </c>
      <c r="B11203" t="s">
        <v>5281</v>
      </c>
      <c r="C11203" t="s">
        <v>297</v>
      </c>
      <c r="D11203" s="254">
        <v>248.22</v>
      </c>
      <c r="E11203"/>
      <c r="F11203"/>
      <c r="G11203"/>
      <c r="H11203"/>
      <c r="I11203" s="489"/>
      <c r="J11203" s="1362"/>
      <c r="K11203" s="1362"/>
      <c r="L11203" s="1362"/>
    </row>
    <row r="11204" spans="1:12" x14ac:dyDescent="0.25">
      <c r="A11204">
        <v>102087</v>
      </c>
      <c r="B11204" t="s">
        <v>5282</v>
      </c>
      <c r="C11204" t="s">
        <v>297</v>
      </c>
      <c r="D11204" s="254">
        <v>186.19</v>
      </c>
      <c r="E11204"/>
      <c r="F11204"/>
      <c r="G11204"/>
      <c r="H11204"/>
      <c r="I11204" s="489"/>
      <c r="J11204" s="1362"/>
      <c r="K11204" s="1362"/>
      <c r="L11204" s="1362"/>
    </row>
    <row r="11205" spans="1:12" x14ac:dyDescent="0.25">
      <c r="A11205">
        <v>102088</v>
      </c>
      <c r="B11205" t="s">
        <v>5283</v>
      </c>
      <c r="C11205" t="s">
        <v>297</v>
      </c>
      <c r="D11205" s="254">
        <v>295.52999999999997</v>
      </c>
      <c r="E11205"/>
      <c r="F11205"/>
      <c r="G11205"/>
      <c r="H11205"/>
      <c r="I11205" s="489"/>
      <c r="J11205" s="1362"/>
      <c r="K11205" s="1362"/>
      <c r="L11205" s="1362"/>
    </row>
    <row r="11206" spans="1:12" x14ac:dyDescent="0.25">
      <c r="A11206">
        <v>102089</v>
      </c>
      <c r="B11206" t="s">
        <v>5284</v>
      </c>
      <c r="C11206" t="s">
        <v>297</v>
      </c>
      <c r="D11206" s="254">
        <v>242.39</v>
      </c>
      <c r="E11206"/>
      <c r="F11206"/>
      <c r="G11206"/>
      <c r="H11206"/>
      <c r="I11206" s="489"/>
      <c r="J11206" s="1362"/>
      <c r="K11206" s="1362"/>
      <c r="L11206" s="1362"/>
    </row>
    <row r="11207" spans="1:12" x14ac:dyDescent="0.25">
      <c r="A11207">
        <v>102090</v>
      </c>
      <c r="B11207" t="s">
        <v>5285</v>
      </c>
      <c r="C11207" t="s">
        <v>297</v>
      </c>
      <c r="D11207" s="254">
        <v>172.03</v>
      </c>
      <c r="E11207"/>
      <c r="F11207"/>
      <c r="G11207"/>
      <c r="H11207"/>
      <c r="I11207" s="489"/>
      <c r="J11207" s="1362"/>
      <c r="K11207" s="1362"/>
      <c r="L11207" s="1362"/>
    </row>
    <row r="11208" spans="1:12" x14ac:dyDescent="0.25">
      <c r="A11208">
        <v>102091</v>
      </c>
      <c r="B11208" t="s">
        <v>5286</v>
      </c>
      <c r="C11208" t="s">
        <v>297</v>
      </c>
      <c r="D11208" s="254">
        <v>349.05</v>
      </c>
      <c r="E11208"/>
      <c r="F11208"/>
      <c r="G11208"/>
      <c r="H11208"/>
      <c r="I11208" s="489"/>
      <c r="J11208" s="1362"/>
      <c r="K11208" s="1362"/>
      <c r="L11208" s="1362"/>
    </row>
    <row r="11209" spans="1:12" x14ac:dyDescent="0.25">
      <c r="A11209">
        <v>103760</v>
      </c>
      <c r="B11209" t="s">
        <v>13592</v>
      </c>
      <c r="C11209" t="s">
        <v>297</v>
      </c>
      <c r="D11209" s="254">
        <v>147.44</v>
      </c>
      <c r="E11209"/>
      <c r="F11209"/>
      <c r="G11209"/>
      <c r="H11209"/>
      <c r="I11209" s="489"/>
      <c r="J11209" s="1362"/>
      <c r="K11209" s="1362"/>
      <c r="L11209" s="1362"/>
    </row>
    <row r="11210" spans="1:12" x14ac:dyDescent="0.25">
      <c r="A11210">
        <v>103761</v>
      </c>
      <c r="B11210" t="s">
        <v>13593</v>
      </c>
      <c r="C11210" t="s">
        <v>297</v>
      </c>
      <c r="D11210" s="254">
        <v>95.61</v>
      </c>
      <c r="E11210"/>
      <c r="F11210"/>
      <c r="G11210"/>
      <c r="H11210"/>
      <c r="I11210" s="489"/>
      <c r="J11210" s="1362"/>
      <c r="K11210" s="1362"/>
      <c r="L11210" s="1362"/>
    </row>
    <row r="11211" spans="1:12" x14ac:dyDescent="0.25">
      <c r="A11211">
        <v>103762</v>
      </c>
      <c r="B11211" t="s">
        <v>13594</v>
      </c>
      <c r="C11211" t="s">
        <v>297</v>
      </c>
      <c r="D11211" s="254">
        <v>80.510000000000005</v>
      </c>
      <c r="E11211"/>
      <c r="F11211"/>
      <c r="G11211"/>
      <c r="H11211"/>
      <c r="I11211" s="489"/>
      <c r="J11211" s="1362"/>
      <c r="K11211" s="1362"/>
      <c r="L11211" s="1362"/>
    </row>
    <row r="11212" spans="1:12" x14ac:dyDescent="0.25">
      <c r="A11212">
        <v>103763</v>
      </c>
      <c r="B11212" t="s">
        <v>13595</v>
      </c>
      <c r="C11212" t="s">
        <v>297</v>
      </c>
      <c r="D11212" s="254">
        <v>70.09</v>
      </c>
      <c r="E11212"/>
      <c r="F11212"/>
      <c r="G11212"/>
      <c r="H11212"/>
      <c r="I11212" s="489"/>
      <c r="J11212" s="1362"/>
      <c r="K11212" s="1362"/>
      <c r="L11212" s="1362"/>
    </row>
    <row r="11213" spans="1:12" x14ac:dyDescent="0.25">
      <c r="A11213">
        <v>89996</v>
      </c>
      <c r="B11213" t="s">
        <v>6916</v>
      </c>
      <c r="C11213" t="s">
        <v>282</v>
      </c>
      <c r="D11213" s="254">
        <v>12.16</v>
      </c>
      <c r="E11213"/>
      <c r="F11213"/>
      <c r="G11213"/>
      <c r="H11213"/>
      <c r="I11213" s="489"/>
      <c r="J11213" s="1362"/>
      <c r="K11213" s="1362"/>
      <c r="L11213" s="1362"/>
    </row>
    <row r="11214" spans="1:12" x14ac:dyDescent="0.25">
      <c r="A11214">
        <v>89997</v>
      </c>
      <c r="B11214" t="s">
        <v>6917</v>
      </c>
      <c r="C11214" t="s">
        <v>282</v>
      </c>
      <c r="D11214" s="254">
        <v>9.92</v>
      </c>
      <c r="E11214"/>
      <c r="F11214"/>
      <c r="G11214"/>
      <c r="H11214"/>
      <c r="I11214" s="489"/>
      <c r="J11214" s="1362"/>
      <c r="K11214" s="1362"/>
      <c r="L11214" s="1362"/>
    </row>
    <row r="11215" spans="1:12" x14ac:dyDescent="0.25">
      <c r="A11215">
        <v>89998</v>
      </c>
      <c r="B11215" t="s">
        <v>6918</v>
      </c>
      <c r="C11215" t="s">
        <v>282</v>
      </c>
      <c r="D11215" s="254">
        <v>11.6</v>
      </c>
      <c r="E11215"/>
      <c r="F11215"/>
      <c r="G11215"/>
      <c r="H11215"/>
      <c r="I11215" s="489"/>
      <c r="J11215" s="1362"/>
      <c r="K11215" s="1362"/>
      <c r="L11215" s="1362"/>
    </row>
    <row r="11216" spans="1:12" x14ac:dyDescent="0.25">
      <c r="A11216">
        <v>89999</v>
      </c>
      <c r="B11216" t="s">
        <v>6919</v>
      </c>
      <c r="C11216" t="s">
        <v>282</v>
      </c>
      <c r="D11216" s="254">
        <v>17.96</v>
      </c>
      <c r="E11216"/>
      <c r="F11216"/>
      <c r="G11216"/>
      <c r="H11216"/>
      <c r="I11216" s="489"/>
      <c r="J11216" s="1362"/>
      <c r="K11216" s="1362"/>
      <c r="L11216" s="1362"/>
    </row>
    <row r="11217" spans="1:12" x14ac:dyDescent="0.25">
      <c r="A11217">
        <v>90000</v>
      </c>
      <c r="B11217" t="s">
        <v>6920</v>
      </c>
      <c r="C11217" t="s">
        <v>282</v>
      </c>
      <c r="D11217" s="254">
        <v>14.52</v>
      </c>
      <c r="E11217"/>
      <c r="F11217"/>
      <c r="G11217"/>
      <c r="H11217"/>
      <c r="I11217" s="489"/>
      <c r="J11217" s="1362"/>
      <c r="K11217" s="1362"/>
      <c r="L11217" s="1362"/>
    </row>
    <row r="11218" spans="1:12" x14ac:dyDescent="0.25">
      <c r="A11218">
        <v>91593</v>
      </c>
      <c r="B11218" t="s">
        <v>3304</v>
      </c>
      <c r="C11218" t="s">
        <v>282</v>
      </c>
      <c r="D11218" s="254">
        <v>12.86</v>
      </c>
      <c r="E11218"/>
      <c r="F11218"/>
      <c r="G11218"/>
      <c r="H11218"/>
      <c r="I11218" s="489"/>
      <c r="J11218" s="1362"/>
      <c r="K11218" s="1362"/>
      <c r="L11218" s="1362"/>
    </row>
    <row r="11219" spans="1:12" x14ac:dyDescent="0.25">
      <c r="A11219">
        <v>91594</v>
      </c>
      <c r="B11219" t="s">
        <v>3305</v>
      </c>
      <c r="C11219" t="s">
        <v>282</v>
      </c>
      <c r="D11219" s="254">
        <v>13.32</v>
      </c>
      <c r="E11219"/>
      <c r="F11219"/>
      <c r="G11219"/>
      <c r="H11219"/>
      <c r="I11219" s="489"/>
      <c r="J11219" s="1362"/>
      <c r="K11219" s="1362"/>
      <c r="L11219" s="1362"/>
    </row>
    <row r="11220" spans="1:12" x14ac:dyDescent="0.25">
      <c r="A11220">
        <v>91595</v>
      </c>
      <c r="B11220" t="s">
        <v>3306</v>
      </c>
      <c r="C11220" t="s">
        <v>282</v>
      </c>
      <c r="D11220" s="254">
        <v>14.08</v>
      </c>
      <c r="E11220"/>
      <c r="F11220"/>
      <c r="G11220"/>
      <c r="H11220"/>
      <c r="I11220" s="489"/>
      <c r="J11220" s="1362"/>
      <c r="K11220" s="1362"/>
      <c r="L11220" s="1362"/>
    </row>
    <row r="11221" spans="1:12" x14ac:dyDescent="0.25">
      <c r="A11221">
        <v>91596</v>
      </c>
      <c r="B11221" t="s">
        <v>3307</v>
      </c>
      <c r="C11221" t="s">
        <v>282</v>
      </c>
      <c r="D11221" s="254">
        <v>13.21</v>
      </c>
      <c r="E11221"/>
      <c r="F11221"/>
      <c r="G11221"/>
      <c r="H11221"/>
      <c r="I11221" s="489"/>
      <c r="J11221" s="1362"/>
      <c r="K11221" s="1362"/>
      <c r="L11221" s="1362"/>
    </row>
    <row r="11222" spans="1:12" x14ac:dyDescent="0.25">
      <c r="A11222">
        <v>91597</v>
      </c>
      <c r="B11222" t="s">
        <v>3308</v>
      </c>
      <c r="C11222" t="s">
        <v>282</v>
      </c>
      <c r="D11222" s="254">
        <v>9.4</v>
      </c>
      <c r="E11222"/>
      <c r="F11222"/>
      <c r="G11222"/>
      <c r="H11222"/>
      <c r="I11222" s="489"/>
      <c r="J11222" s="1362"/>
      <c r="K11222" s="1362"/>
      <c r="L11222" s="1362"/>
    </row>
    <row r="11223" spans="1:12" x14ac:dyDescent="0.25">
      <c r="A11223">
        <v>91598</v>
      </c>
      <c r="B11223" t="s">
        <v>3309</v>
      </c>
      <c r="C11223" t="s">
        <v>282</v>
      </c>
      <c r="D11223" s="254">
        <v>12.97</v>
      </c>
      <c r="E11223"/>
      <c r="F11223"/>
      <c r="G11223"/>
      <c r="H11223"/>
      <c r="I11223" s="489"/>
      <c r="J11223" s="1362"/>
      <c r="K11223" s="1362"/>
      <c r="L11223" s="1362"/>
    </row>
    <row r="11224" spans="1:12" x14ac:dyDescent="0.25">
      <c r="A11224">
        <v>91599</v>
      </c>
      <c r="B11224" t="s">
        <v>3310</v>
      </c>
      <c r="C11224" t="s">
        <v>282</v>
      </c>
      <c r="D11224" s="254">
        <v>9.84</v>
      </c>
      <c r="E11224"/>
      <c r="F11224"/>
      <c r="G11224"/>
      <c r="H11224"/>
      <c r="I11224" s="489"/>
      <c r="J11224" s="1362"/>
      <c r="K11224" s="1362"/>
      <c r="L11224" s="1362"/>
    </row>
    <row r="11225" spans="1:12" x14ac:dyDescent="0.25">
      <c r="A11225">
        <v>91600</v>
      </c>
      <c r="B11225" t="s">
        <v>3311</v>
      </c>
      <c r="C11225" t="s">
        <v>282</v>
      </c>
      <c r="D11225" s="254">
        <v>16.04</v>
      </c>
      <c r="E11225"/>
      <c r="F11225"/>
      <c r="G11225"/>
      <c r="H11225"/>
      <c r="I11225" s="489"/>
      <c r="J11225" s="1362"/>
      <c r="K11225" s="1362"/>
      <c r="L11225" s="1362"/>
    </row>
    <row r="11226" spans="1:12" x14ac:dyDescent="0.25">
      <c r="A11226">
        <v>91601</v>
      </c>
      <c r="B11226" t="s">
        <v>3312</v>
      </c>
      <c r="C11226" t="s">
        <v>282</v>
      </c>
      <c r="D11226" s="254">
        <v>14.27</v>
      </c>
      <c r="E11226"/>
      <c r="F11226"/>
      <c r="G11226"/>
      <c r="H11226"/>
      <c r="I11226" s="489"/>
      <c r="J11226" s="1362"/>
      <c r="K11226" s="1362"/>
      <c r="L11226" s="1362"/>
    </row>
    <row r="11227" spans="1:12" x14ac:dyDescent="0.25">
      <c r="A11227">
        <v>91602</v>
      </c>
      <c r="B11227" t="s">
        <v>3313</v>
      </c>
      <c r="C11227" t="s">
        <v>282</v>
      </c>
      <c r="D11227" s="254">
        <v>13.18</v>
      </c>
      <c r="E11227"/>
      <c r="F11227"/>
      <c r="G11227"/>
      <c r="H11227"/>
      <c r="I11227" s="489"/>
      <c r="J11227" s="1362"/>
      <c r="K11227" s="1362"/>
      <c r="L11227" s="1362"/>
    </row>
    <row r="11228" spans="1:12" x14ac:dyDescent="0.25">
      <c r="A11228">
        <v>91603</v>
      </c>
      <c r="B11228" t="s">
        <v>3314</v>
      </c>
      <c r="C11228" t="s">
        <v>282</v>
      </c>
      <c r="D11228" s="254">
        <v>12.44</v>
      </c>
      <c r="E11228"/>
      <c r="F11228"/>
      <c r="G11228"/>
      <c r="H11228"/>
      <c r="I11228" s="489"/>
      <c r="J11228" s="1362"/>
      <c r="K11228" s="1362"/>
      <c r="L11228" s="1362"/>
    </row>
    <row r="11229" spans="1:12" x14ac:dyDescent="0.25">
      <c r="A11229">
        <v>92759</v>
      </c>
      <c r="B11229" t="s">
        <v>18508</v>
      </c>
      <c r="C11229" t="s">
        <v>282</v>
      </c>
      <c r="D11229" s="254">
        <v>16.079999999999998</v>
      </c>
      <c r="E11229"/>
      <c r="F11229"/>
      <c r="G11229"/>
      <c r="H11229"/>
      <c r="I11229" s="489"/>
      <c r="J11229" s="1362"/>
      <c r="K11229" s="1362"/>
      <c r="L11229" s="1362"/>
    </row>
    <row r="11230" spans="1:12" x14ac:dyDescent="0.25">
      <c r="A11230">
        <v>92760</v>
      </c>
      <c r="B11230" t="s">
        <v>18509</v>
      </c>
      <c r="C11230" t="s">
        <v>282</v>
      </c>
      <c r="D11230" s="254">
        <v>15.26</v>
      </c>
      <c r="E11230"/>
      <c r="F11230"/>
      <c r="G11230"/>
      <c r="H11230"/>
      <c r="I11230" s="489"/>
      <c r="J11230" s="1362"/>
      <c r="K11230" s="1362"/>
      <c r="L11230" s="1362"/>
    </row>
    <row r="11231" spans="1:12" x14ac:dyDescent="0.25">
      <c r="A11231">
        <v>92761</v>
      </c>
      <c r="B11231" t="s">
        <v>18510</v>
      </c>
      <c r="C11231" t="s">
        <v>282</v>
      </c>
      <c r="D11231" s="254">
        <v>14.42</v>
      </c>
      <c r="E11231"/>
      <c r="F11231"/>
      <c r="G11231"/>
      <c r="H11231"/>
      <c r="I11231" s="489"/>
      <c r="J11231" s="1362"/>
      <c r="K11231" s="1362"/>
      <c r="L11231" s="1362"/>
    </row>
    <row r="11232" spans="1:12" x14ac:dyDescent="0.25">
      <c r="A11232">
        <v>92762</v>
      </c>
      <c r="B11232" t="s">
        <v>18511</v>
      </c>
      <c r="C11232" t="s">
        <v>282</v>
      </c>
      <c r="D11232" s="254">
        <v>12.91</v>
      </c>
      <c r="E11232"/>
      <c r="F11232"/>
      <c r="G11232"/>
      <c r="H11232"/>
      <c r="I11232" s="489"/>
      <c r="J11232" s="1362"/>
      <c r="K11232" s="1362"/>
      <c r="L11232" s="1362"/>
    </row>
    <row r="11233" spans="1:12" x14ac:dyDescent="0.25">
      <c r="A11233">
        <v>92763</v>
      </c>
      <c r="B11233" t="s">
        <v>18512</v>
      </c>
      <c r="C11233" t="s">
        <v>282</v>
      </c>
      <c r="D11233" s="254">
        <v>10.88</v>
      </c>
      <c r="E11233"/>
      <c r="F11233"/>
      <c r="G11233"/>
      <c r="H11233"/>
      <c r="I11233" s="489"/>
      <c r="J11233" s="1362"/>
      <c r="K11233" s="1362"/>
      <c r="L11233" s="1362"/>
    </row>
    <row r="11234" spans="1:12" x14ac:dyDescent="0.25">
      <c r="A11234">
        <v>92764</v>
      </c>
      <c r="B11234" t="s">
        <v>18513</v>
      </c>
      <c r="C11234" t="s">
        <v>282</v>
      </c>
      <c r="D11234" s="254">
        <v>10.57</v>
      </c>
      <c r="E11234"/>
      <c r="F11234"/>
      <c r="G11234"/>
      <c r="H11234"/>
      <c r="I11234" s="489"/>
      <c r="J11234" s="1362"/>
      <c r="K11234" s="1362"/>
      <c r="L11234" s="1362"/>
    </row>
    <row r="11235" spans="1:12" x14ac:dyDescent="0.25">
      <c r="A11235">
        <v>92765</v>
      </c>
      <c r="B11235" t="s">
        <v>18514</v>
      </c>
      <c r="C11235" t="s">
        <v>282</v>
      </c>
      <c r="D11235" s="254">
        <v>12.05</v>
      </c>
      <c r="E11235"/>
      <c r="F11235"/>
      <c r="G11235"/>
      <c r="H11235"/>
      <c r="I11235" s="489"/>
      <c r="J11235" s="1362"/>
      <c r="K11235" s="1362"/>
      <c r="L11235" s="1362"/>
    </row>
    <row r="11236" spans="1:12" x14ac:dyDescent="0.25">
      <c r="A11236">
        <v>92766</v>
      </c>
      <c r="B11236" t="s">
        <v>18515</v>
      </c>
      <c r="C11236" t="s">
        <v>282</v>
      </c>
      <c r="D11236" s="254">
        <v>11.93</v>
      </c>
      <c r="E11236"/>
      <c r="F11236"/>
      <c r="G11236"/>
      <c r="H11236"/>
      <c r="I11236" s="489"/>
      <c r="J11236" s="1362"/>
      <c r="K11236" s="1362"/>
      <c r="L11236" s="1362"/>
    </row>
    <row r="11237" spans="1:12" x14ac:dyDescent="0.25">
      <c r="A11237">
        <v>92767</v>
      </c>
      <c r="B11237" t="s">
        <v>18516</v>
      </c>
      <c r="C11237" t="s">
        <v>282</v>
      </c>
      <c r="D11237" s="254">
        <v>17.53</v>
      </c>
      <c r="E11237"/>
      <c r="F11237"/>
      <c r="G11237"/>
      <c r="H11237"/>
      <c r="I11237" s="489"/>
      <c r="J11237" s="1362"/>
      <c r="K11237" s="1362"/>
      <c r="L11237" s="1362"/>
    </row>
    <row r="11238" spans="1:12" x14ac:dyDescent="0.25">
      <c r="A11238">
        <v>92768</v>
      </c>
      <c r="B11238" t="s">
        <v>18517</v>
      </c>
      <c r="C11238" t="s">
        <v>282</v>
      </c>
      <c r="D11238" s="254">
        <v>15.46</v>
      </c>
      <c r="E11238"/>
      <c r="F11238"/>
      <c r="G11238"/>
      <c r="H11238"/>
      <c r="I11238" s="489"/>
      <c r="J11238" s="1362"/>
      <c r="K11238" s="1362"/>
      <c r="L11238" s="1362"/>
    </row>
    <row r="11239" spans="1:12" x14ac:dyDescent="0.25">
      <c r="A11239">
        <v>92769</v>
      </c>
      <c r="B11239" t="s">
        <v>18518</v>
      </c>
      <c r="C11239" t="s">
        <v>282</v>
      </c>
      <c r="D11239" s="254">
        <v>14.68</v>
      </c>
      <c r="E11239"/>
      <c r="F11239"/>
      <c r="G11239"/>
      <c r="H11239"/>
      <c r="I11239" s="489"/>
      <c r="J11239" s="1362"/>
      <c r="K11239" s="1362"/>
      <c r="L11239" s="1362"/>
    </row>
    <row r="11240" spans="1:12" x14ac:dyDescent="0.25">
      <c r="A11240">
        <v>92770</v>
      </c>
      <c r="B11240" t="s">
        <v>18519</v>
      </c>
      <c r="C11240" t="s">
        <v>282</v>
      </c>
      <c r="D11240" s="254">
        <v>13.88</v>
      </c>
      <c r="E11240"/>
      <c r="F11240"/>
      <c r="G11240"/>
      <c r="H11240"/>
      <c r="I11240" s="489"/>
      <c r="J11240" s="1362"/>
      <c r="K11240" s="1362"/>
      <c r="L11240" s="1362"/>
    </row>
    <row r="11241" spans="1:12" x14ac:dyDescent="0.25">
      <c r="A11241">
        <v>92771</v>
      </c>
      <c r="B11241" t="s">
        <v>18520</v>
      </c>
      <c r="C11241" t="s">
        <v>282</v>
      </c>
      <c r="D11241" s="254">
        <v>12.42</v>
      </c>
      <c r="E11241"/>
      <c r="F11241"/>
      <c r="G11241"/>
      <c r="H11241"/>
      <c r="I11241" s="489"/>
      <c r="J11241" s="1362"/>
      <c r="K11241" s="1362"/>
      <c r="L11241" s="1362"/>
    </row>
    <row r="11242" spans="1:12" x14ac:dyDescent="0.25">
      <c r="A11242">
        <v>92772</v>
      </c>
      <c r="B11242" t="s">
        <v>18521</v>
      </c>
      <c r="C11242" t="s">
        <v>282</v>
      </c>
      <c r="D11242" s="254">
        <v>10.46</v>
      </c>
      <c r="E11242"/>
      <c r="F11242"/>
      <c r="G11242"/>
      <c r="H11242"/>
      <c r="I11242" s="489"/>
      <c r="J11242" s="1362"/>
      <c r="K11242" s="1362"/>
      <c r="L11242" s="1362"/>
    </row>
    <row r="11243" spans="1:12" x14ac:dyDescent="0.25">
      <c r="A11243">
        <v>92773</v>
      </c>
      <c r="B11243" t="s">
        <v>18522</v>
      </c>
      <c r="C11243" t="s">
        <v>282</v>
      </c>
      <c r="D11243" s="254">
        <v>10.29</v>
      </c>
      <c r="E11243"/>
      <c r="F11243"/>
      <c r="G11243"/>
      <c r="H11243"/>
      <c r="I11243" s="489"/>
      <c r="J11243" s="1362"/>
      <c r="K11243" s="1362"/>
      <c r="L11243" s="1362"/>
    </row>
    <row r="11244" spans="1:12" x14ac:dyDescent="0.25">
      <c r="A11244">
        <v>92774</v>
      </c>
      <c r="B11244" t="s">
        <v>18523</v>
      </c>
      <c r="C11244" t="s">
        <v>282</v>
      </c>
      <c r="D11244" s="254">
        <v>11.88</v>
      </c>
      <c r="E11244"/>
      <c r="F11244"/>
      <c r="G11244"/>
      <c r="H11244"/>
      <c r="I11244" s="489"/>
      <c r="J11244" s="1362"/>
      <c r="K11244" s="1362"/>
      <c r="L11244" s="1362"/>
    </row>
    <row r="11245" spans="1:12" x14ac:dyDescent="0.25">
      <c r="A11245">
        <v>92798</v>
      </c>
      <c r="B11245" t="s">
        <v>18524</v>
      </c>
      <c r="C11245" t="s">
        <v>282</v>
      </c>
      <c r="D11245" s="254">
        <v>10.78</v>
      </c>
      <c r="E11245"/>
      <c r="F11245"/>
      <c r="G11245"/>
      <c r="H11245"/>
      <c r="I11245" s="489"/>
      <c r="J11245" s="1362"/>
      <c r="K11245" s="1362"/>
      <c r="L11245" s="1362"/>
    </row>
    <row r="11246" spans="1:12" x14ac:dyDescent="0.25">
      <c r="A11246">
        <v>92799</v>
      </c>
      <c r="B11246" t="s">
        <v>18525</v>
      </c>
      <c r="C11246" t="s">
        <v>282</v>
      </c>
      <c r="D11246" s="254">
        <v>12.7</v>
      </c>
      <c r="E11246"/>
      <c r="F11246"/>
      <c r="G11246"/>
      <c r="H11246"/>
      <c r="I11246" s="489"/>
      <c r="J11246" s="1362"/>
      <c r="K11246" s="1362"/>
      <c r="L11246" s="1362"/>
    </row>
    <row r="11247" spans="1:12" x14ac:dyDescent="0.25">
      <c r="A11247">
        <v>92800</v>
      </c>
      <c r="B11247" t="s">
        <v>18526</v>
      </c>
      <c r="C11247" t="s">
        <v>282</v>
      </c>
      <c r="D11247" s="254">
        <v>11.51</v>
      </c>
      <c r="E11247"/>
      <c r="F11247"/>
      <c r="G11247"/>
      <c r="H11247"/>
      <c r="I11247" s="489"/>
      <c r="J11247" s="1362"/>
      <c r="K11247" s="1362"/>
      <c r="L11247" s="1362"/>
    </row>
    <row r="11248" spans="1:12" x14ac:dyDescent="0.25">
      <c r="A11248">
        <v>92801</v>
      </c>
      <c r="B11248" t="s">
        <v>18527</v>
      </c>
      <c r="C11248" t="s">
        <v>282</v>
      </c>
      <c r="D11248" s="254">
        <v>11.68</v>
      </c>
      <c r="E11248"/>
      <c r="F11248"/>
      <c r="G11248"/>
      <c r="H11248"/>
      <c r="I11248" s="489"/>
      <c r="J11248" s="1362"/>
      <c r="K11248" s="1362"/>
      <c r="L11248" s="1362"/>
    </row>
    <row r="11249" spans="1:12" x14ac:dyDescent="0.25">
      <c r="A11249">
        <v>92802</v>
      </c>
      <c r="B11249" t="s">
        <v>18528</v>
      </c>
      <c r="C11249" t="s">
        <v>282</v>
      </c>
      <c r="D11249" s="254">
        <v>11.65</v>
      </c>
      <c r="E11249"/>
      <c r="F11249"/>
      <c r="G11249"/>
      <c r="H11249"/>
      <c r="I11249" s="489"/>
      <c r="J11249" s="1362"/>
      <c r="K11249" s="1362"/>
      <c r="L11249" s="1362"/>
    </row>
    <row r="11250" spans="1:12" x14ac:dyDescent="0.25">
      <c r="A11250">
        <v>92803</v>
      </c>
      <c r="B11250" t="s">
        <v>18529</v>
      </c>
      <c r="C11250" t="s">
        <v>282</v>
      </c>
      <c r="D11250" s="254">
        <v>10.75</v>
      </c>
      <c r="E11250"/>
      <c r="F11250"/>
      <c r="G11250"/>
      <c r="H11250"/>
      <c r="I11250" s="489"/>
      <c r="J11250" s="1362"/>
      <c r="K11250" s="1362"/>
      <c r="L11250" s="1362"/>
    </row>
    <row r="11251" spans="1:12" x14ac:dyDescent="0.25">
      <c r="A11251">
        <v>92804</v>
      </c>
      <c r="B11251" t="s">
        <v>18530</v>
      </c>
      <c r="C11251" t="s">
        <v>282</v>
      </c>
      <c r="D11251" s="254">
        <v>9.2200000000000006</v>
      </c>
      <c r="E11251"/>
      <c r="F11251"/>
      <c r="G11251"/>
      <c r="H11251"/>
      <c r="I11251" s="489"/>
      <c r="J11251" s="1362"/>
      <c r="K11251" s="1362"/>
      <c r="L11251" s="1362"/>
    </row>
    <row r="11252" spans="1:12" x14ac:dyDescent="0.25">
      <c r="A11252">
        <v>92805</v>
      </c>
      <c r="B11252" t="s">
        <v>18531</v>
      </c>
      <c r="C11252" t="s">
        <v>282</v>
      </c>
      <c r="D11252" s="254">
        <v>9.14</v>
      </c>
      <c r="E11252"/>
      <c r="F11252"/>
      <c r="G11252"/>
      <c r="H11252"/>
      <c r="I11252" s="489"/>
      <c r="J11252" s="1362"/>
      <c r="K11252" s="1362"/>
      <c r="L11252" s="1362"/>
    </row>
    <row r="11253" spans="1:12" x14ac:dyDescent="0.25">
      <c r="A11253">
        <v>92806</v>
      </c>
      <c r="B11253" t="s">
        <v>18532</v>
      </c>
      <c r="C11253" t="s">
        <v>282</v>
      </c>
      <c r="D11253" s="254">
        <v>10.78</v>
      </c>
      <c r="E11253"/>
      <c r="F11253"/>
      <c r="G11253"/>
      <c r="H11253"/>
      <c r="I11253" s="489"/>
      <c r="J11253" s="1362"/>
      <c r="K11253" s="1362"/>
      <c r="L11253" s="1362"/>
    </row>
    <row r="11254" spans="1:12" x14ac:dyDescent="0.25">
      <c r="A11254">
        <v>92875</v>
      </c>
      <c r="B11254" t="s">
        <v>18533</v>
      </c>
      <c r="C11254" t="s">
        <v>282</v>
      </c>
      <c r="D11254" s="254">
        <v>11.08</v>
      </c>
      <c r="E11254"/>
      <c r="F11254"/>
      <c r="G11254"/>
      <c r="H11254"/>
      <c r="I11254" s="489"/>
      <c r="J11254" s="1362"/>
      <c r="K11254" s="1362"/>
      <c r="L11254" s="1362"/>
    </row>
    <row r="11255" spans="1:12" x14ac:dyDescent="0.25">
      <c r="A11255">
        <v>92876</v>
      </c>
      <c r="B11255" t="s">
        <v>18534</v>
      </c>
      <c r="C11255" t="s">
        <v>282</v>
      </c>
      <c r="D11255" s="254">
        <v>10.78</v>
      </c>
      <c r="E11255"/>
      <c r="F11255"/>
      <c r="G11255"/>
      <c r="H11255"/>
      <c r="I11255" s="489"/>
      <c r="J11255" s="1362"/>
      <c r="K11255" s="1362"/>
      <c r="L11255" s="1362"/>
    </row>
    <row r="11256" spans="1:12" x14ac:dyDescent="0.25">
      <c r="A11256">
        <v>92877</v>
      </c>
      <c r="B11256" t="s">
        <v>18535</v>
      </c>
      <c r="C11256" t="s">
        <v>282</v>
      </c>
      <c r="D11256" s="254">
        <v>11.66</v>
      </c>
      <c r="E11256"/>
      <c r="F11256"/>
      <c r="G11256"/>
      <c r="H11256"/>
      <c r="I11256" s="489"/>
      <c r="J11256" s="1362"/>
      <c r="K11256" s="1362"/>
      <c r="L11256" s="1362"/>
    </row>
    <row r="11257" spans="1:12" x14ac:dyDescent="0.25">
      <c r="A11257">
        <v>92878</v>
      </c>
      <c r="B11257" t="s">
        <v>18536</v>
      </c>
      <c r="C11257" t="s">
        <v>282</v>
      </c>
      <c r="D11257" s="254">
        <v>11.49</v>
      </c>
      <c r="E11257"/>
      <c r="F11257"/>
      <c r="G11257"/>
      <c r="H11257"/>
      <c r="I11257" s="489"/>
      <c r="J11257" s="1362"/>
      <c r="K11257" s="1362"/>
      <c r="L11257" s="1362"/>
    </row>
    <row r="11258" spans="1:12" x14ac:dyDescent="0.25">
      <c r="A11258">
        <v>92879</v>
      </c>
      <c r="B11258" t="s">
        <v>18537</v>
      </c>
      <c r="C11258" t="s">
        <v>282</v>
      </c>
      <c r="D11258" s="254">
        <v>11.37</v>
      </c>
      <c r="E11258"/>
      <c r="F11258"/>
      <c r="G11258"/>
      <c r="H11258"/>
      <c r="I11258" s="489"/>
      <c r="J11258" s="1362"/>
      <c r="K11258" s="1362"/>
      <c r="L11258" s="1362"/>
    </row>
    <row r="11259" spans="1:12" x14ac:dyDescent="0.25">
      <c r="A11259">
        <v>92880</v>
      </c>
      <c r="B11259" t="s">
        <v>18538</v>
      </c>
      <c r="C11259" t="s">
        <v>282</v>
      </c>
      <c r="D11259" s="254">
        <v>11.63</v>
      </c>
      <c r="E11259"/>
      <c r="F11259"/>
      <c r="G11259"/>
      <c r="H11259"/>
      <c r="I11259" s="489"/>
      <c r="J11259" s="1362"/>
      <c r="K11259" s="1362"/>
      <c r="L11259" s="1362"/>
    </row>
    <row r="11260" spans="1:12" x14ac:dyDescent="0.25">
      <c r="A11260">
        <v>92881</v>
      </c>
      <c r="B11260" t="s">
        <v>18539</v>
      </c>
      <c r="C11260" t="s">
        <v>282</v>
      </c>
      <c r="D11260" s="254">
        <v>11.6</v>
      </c>
      <c r="E11260"/>
      <c r="F11260"/>
      <c r="G11260"/>
      <c r="H11260"/>
      <c r="I11260" s="489"/>
      <c r="J11260" s="1362"/>
      <c r="K11260" s="1362"/>
      <c r="L11260" s="1362"/>
    </row>
    <row r="11261" spans="1:12" x14ac:dyDescent="0.25">
      <c r="A11261">
        <v>92882</v>
      </c>
      <c r="B11261" t="s">
        <v>18540</v>
      </c>
      <c r="C11261" t="s">
        <v>282</v>
      </c>
      <c r="D11261" s="254">
        <v>15.19</v>
      </c>
      <c r="E11261"/>
      <c r="F11261"/>
      <c r="G11261"/>
      <c r="H11261"/>
      <c r="I11261" s="489"/>
      <c r="J11261" s="1362"/>
      <c r="K11261" s="1362"/>
      <c r="L11261" s="1362"/>
    </row>
    <row r="11262" spans="1:12" x14ac:dyDescent="0.25">
      <c r="A11262">
        <v>92883</v>
      </c>
      <c r="B11262" t="s">
        <v>18541</v>
      </c>
      <c r="C11262" t="s">
        <v>282</v>
      </c>
      <c r="D11262" s="254">
        <v>14.04</v>
      </c>
      <c r="E11262"/>
      <c r="F11262"/>
      <c r="G11262"/>
      <c r="H11262"/>
      <c r="I11262" s="489"/>
      <c r="J11262" s="1362"/>
      <c r="K11262" s="1362"/>
      <c r="L11262" s="1362"/>
    </row>
    <row r="11263" spans="1:12" x14ac:dyDescent="0.25">
      <c r="A11263">
        <v>92884</v>
      </c>
      <c r="B11263" t="s">
        <v>18542</v>
      </c>
      <c r="C11263" t="s">
        <v>282</v>
      </c>
      <c r="D11263" s="254">
        <v>14.28</v>
      </c>
      <c r="E11263"/>
      <c r="F11263"/>
      <c r="G11263"/>
      <c r="H11263"/>
      <c r="I11263" s="489"/>
      <c r="J11263" s="1362"/>
      <c r="K11263" s="1362"/>
      <c r="L11263" s="1362"/>
    </row>
    <row r="11264" spans="1:12" x14ac:dyDescent="0.25">
      <c r="A11264">
        <v>92885</v>
      </c>
      <c r="B11264" t="s">
        <v>18543</v>
      </c>
      <c r="C11264" t="s">
        <v>282</v>
      </c>
      <c r="D11264" s="254">
        <v>13.59</v>
      </c>
      <c r="E11264"/>
      <c r="F11264"/>
      <c r="G11264"/>
      <c r="H11264"/>
      <c r="I11264" s="489"/>
      <c r="J11264" s="1362"/>
      <c r="K11264" s="1362"/>
      <c r="L11264" s="1362"/>
    </row>
    <row r="11265" spans="1:12" x14ac:dyDescent="0.25">
      <c r="A11265">
        <v>92886</v>
      </c>
      <c r="B11265" t="s">
        <v>18544</v>
      </c>
      <c r="C11265" t="s">
        <v>282</v>
      </c>
      <c r="D11265" s="254">
        <v>13.03</v>
      </c>
      <c r="E11265"/>
      <c r="F11265"/>
      <c r="G11265"/>
      <c r="H11265"/>
      <c r="I11265" s="489"/>
      <c r="J11265" s="1362"/>
      <c r="K11265" s="1362"/>
      <c r="L11265" s="1362"/>
    </row>
    <row r="11266" spans="1:12" x14ac:dyDescent="0.25">
      <c r="A11266">
        <v>92887</v>
      </c>
      <c r="B11266" t="s">
        <v>18545</v>
      </c>
      <c r="C11266" t="s">
        <v>282</v>
      </c>
      <c r="D11266" s="254">
        <v>12.97</v>
      </c>
      <c r="E11266"/>
      <c r="F11266"/>
      <c r="G11266"/>
      <c r="H11266"/>
      <c r="I11266" s="489"/>
      <c r="J11266" s="1362"/>
      <c r="K11266" s="1362"/>
      <c r="L11266" s="1362"/>
    </row>
    <row r="11267" spans="1:12" x14ac:dyDescent="0.25">
      <c r="A11267">
        <v>92888</v>
      </c>
      <c r="B11267" t="s">
        <v>18546</v>
      </c>
      <c r="C11267" t="s">
        <v>282</v>
      </c>
      <c r="D11267" s="254">
        <v>12.68</v>
      </c>
      <c r="E11267"/>
      <c r="F11267"/>
      <c r="G11267"/>
      <c r="H11267"/>
      <c r="I11267" s="489"/>
      <c r="J11267" s="1362"/>
      <c r="K11267" s="1362"/>
      <c r="L11267" s="1362"/>
    </row>
    <row r="11268" spans="1:12" x14ac:dyDescent="0.25">
      <c r="A11268">
        <v>92915</v>
      </c>
      <c r="B11268" t="s">
        <v>18547</v>
      </c>
      <c r="C11268" t="s">
        <v>282</v>
      </c>
      <c r="D11268" s="254">
        <v>18.989999999999998</v>
      </c>
      <c r="E11268"/>
      <c r="F11268"/>
      <c r="G11268"/>
      <c r="H11268"/>
      <c r="I11268" s="489"/>
      <c r="J11268" s="1362"/>
      <c r="K11268" s="1362"/>
      <c r="L11268" s="1362"/>
    </row>
    <row r="11269" spans="1:12" x14ac:dyDescent="0.25">
      <c r="A11269">
        <v>92916</v>
      </c>
      <c r="B11269" t="s">
        <v>18548</v>
      </c>
      <c r="C11269" t="s">
        <v>282</v>
      </c>
      <c r="D11269" s="254">
        <v>17.41</v>
      </c>
      <c r="E11269"/>
      <c r="F11269"/>
      <c r="G11269"/>
      <c r="H11269"/>
      <c r="I11269" s="489"/>
      <c r="J11269" s="1362"/>
      <c r="K11269" s="1362"/>
      <c r="L11269" s="1362"/>
    </row>
    <row r="11270" spans="1:12" x14ac:dyDescent="0.25">
      <c r="A11270">
        <v>92917</v>
      </c>
      <c r="B11270" t="s">
        <v>18549</v>
      </c>
      <c r="C11270" t="s">
        <v>282</v>
      </c>
      <c r="D11270" s="254">
        <v>15.95</v>
      </c>
      <c r="E11270"/>
      <c r="F11270"/>
      <c r="G11270"/>
      <c r="H11270"/>
      <c r="I11270" s="489"/>
      <c r="J11270" s="1362"/>
      <c r="K11270" s="1362"/>
      <c r="L11270" s="1362"/>
    </row>
    <row r="11271" spans="1:12" x14ac:dyDescent="0.25">
      <c r="A11271">
        <v>92919</v>
      </c>
      <c r="B11271" t="s">
        <v>18550</v>
      </c>
      <c r="C11271" t="s">
        <v>282</v>
      </c>
      <c r="D11271" s="254">
        <v>13.98</v>
      </c>
      <c r="E11271"/>
      <c r="F11271"/>
      <c r="G11271"/>
      <c r="H11271"/>
      <c r="I11271" s="489"/>
      <c r="J11271" s="1362"/>
      <c r="K11271" s="1362"/>
      <c r="L11271" s="1362"/>
    </row>
    <row r="11272" spans="1:12" x14ac:dyDescent="0.25">
      <c r="A11272">
        <v>92921</v>
      </c>
      <c r="B11272" t="s">
        <v>18551</v>
      </c>
      <c r="C11272" t="s">
        <v>282</v>
      </c>
      <c r="D11272" s="254">
        <v>11.59</v>
      </c>
      <c r="E11272"/>
      <c r="F11272"/>
      <c r="G11272"/>
      <c r="H11272"/>
      <c r="I11272" s="489"/>
      <c r="J11272" s="1362"/>
      <c r="K11272" s="1362"/>
      <c r="L11272" s="1362"/>
    </row>
    <row r="11273" spans="1:12" x14ac:dyDescent="0.25">
      <c r="A11273">
        <v>92922</v>
      </c>
      <c r="B11273" t="s">
        <v>18552</v>
      </c>
      <c r="C11273" t="s">
        <v>282</v>
      </c>
      <c r="D11273" s="254">
        <v>11.11</v>
      </c>
      <c r="E11273"/>
      <c r="F11273"/>
      <c r="G11273"/>
      <c r="H11273"/>
      <c r="I11273" s="489"/>
      <c r="J11273" s="1362"/>
      <c r="K11273" s="1362"/>
      <c r="L11273" s="1362"/>
    </row>
    <row r="11274" spans="1:12" x14ac:dyDescent="0.25">
      <c r="A11274">
        <v>92923</v>
      </c>
      <c r="B11274" t="s">
        <v>18553</v>
      </c>
      <c r="C11274" t="s">
        <v>282</v>
      </c>
      <c r="D11274" s="254">
        <v>12.47</v>
      </c>
      <c r="E11274"/>
      <c r="F11274"/>
      <c r="G11274"/>
      <c r="H11274"/>
      <c r="I11274" s="489"/>
      <c r="J11274" s="1362"/>
      <c r="K11274" s="1362"/>
      <c r="L11274" s="1362"/>
    </row>
    <row r="11275" spans="1:12" x14ac:dyDescent="0.25">
      <c r="A11275">
        <v>92924</v>
      </c>
      <c r="B11275" t="s">
        <v>18554</v>
      </c>
      <c r="C11275" t="s">
        <v>282</v>
      </c>
      <c r="D11275" s="254">
        <v>12.25</v>
      </c>
      <c r="E11275"/>
      <c r="F11275"/>
      <c r="G11275"/>
      <c r="H11275"/>
      <c r="I11275" s="489"/>
      <c r="J11275" s="1362"/>
      <c r="K11275" s="1362"/>
      <c r="L11275" s="1362"/>
    </row>
    <row r="11276" spans="1:12" x14ac:dyDescent="0.25">
      <c r="A11276">
        <v>95448</v>
      </c>
      <c r="B11276" t="s">
        <v>18555</v>
      </c>
      <c r="C11276" t="s">
        <v>282</v>
      </c>
      <c r="D11276" s="254">
        <v>11.82</v>
      </c>
      <c r="E11276"/>
      <c r="F11276"/>
      <c r="G11276"/>
      <c r="H11276"/>
      <c r="I11276" s="489"/>
      <c r="J11276" s="1362"/>
      <c r="K11276" s="1362"/>
      <c r="L11276" s="1362"/>
    </row>
    <row r="11277" spans="1:12" x14ac:dyDescent="0.25">
      <c r="A11277">
        <v>95576</v>
      </c>
      <c r="B11277" t="s">
        <v>18556</v>
      </c>
      <c r="C11277" t="s">
        <v>282</v>
      </c>
      <c r="D11277" s="254">
        <v>14.61</v>
      </c>
      <c r="E11277"/>
      <c r="F11277"/>
      <c r="G11277"/>
      <c r="H11277"/>
      <c r="I11277" s="489"/>
      <c r="J11277" s="1362"/>
      <c r="K11277" s="1362"/>
      <c r="L11277" s="1362"/>
    </row>
    <row r="11278" spans="1:12" x14ac:dyDescent="0.25">
      <c r="A11278">
        <v>95577</v>
      </c>
      <c r="B11278" t="s">
        <v>18557</v>
      </c>
      <c r="C11278" t="s">
        <v>282</v>
      </c>
      <c r="D11278" s="254">
        <v>12.49</v>
      </c>
      <c r="E11278"/>
      <c r="F11278"/>
      <c r="G11278"/>
      <c r="H11278"/>
      <c r="I11278" s="489"/>
      <c r="J11278" s="1362"/>
      <c r="K11278" s="1362"/>
      <c r="L11278" s="1362"/>
    </row>
    <row r="11279" spans="1:12" x14ac:dyDescent="0.25">
      <c r="A11279">
        <v>95578</v>
      </c>
      <c r="B11279" t="s">
        <v>18558</v>
      </c>
      <c r="C11279" t="s">
        <v>282</v>
      </c>
      <c r="D11279" s="254">
        <v>10.45</v>
      </c>
      <c r="E11279"/>
      <c r="F11279"/>
      <c r="G11279"/>
      <c r="H11279"/>
      <c r="I11279" s="489"/>
      <c r="J11279" s="1362"/>
      <c r="K11279" s="1362"/>
      <c r="L11279" s="1362"/>
    </row>
    <row r="11280" spans="1:12" x14ac:dyDescent="0.25">
      <c r="A11280">
        <v>95579</v>
      </c>
      <c r="B11280" t="s">
        <v>18559</v>
      </c>
      <c r="C11280" t="s">
        <v>282</v>
      </c>
      <c r="D11280" s="254">
        <v>10.14</v>
      </c>
      <c r="E11280"/>
      <c r="F11280"/>
      <c r="G11280"/>
      <c r="H11280"/>
      <c r="I11280" s="489"/>
      <c r="J11280" s="1362"/>
      <c r="K11280" s="1362"/>
      <c r="L11280" s="1362"/>
    </row>
    <row r="11281" spans="1:12" x14ac:dyDescent="0.25">
      <c r="A11281">
        <v>95580</v>
      </c>
      <c r="B11281" t="s">
        <v>18560</v>
      </c>
      <c r="C11281" t="s">
        <v>282</v>
      </c>
      <c r="D11281" s="254">
        <v>11.68</v>
      </c>
      <c r="E11281"/>
      <c r="F11281"/>
      <c r="G11281"/>
      <c r="H11281"/>
      <c r="I11281" s="489"/>
      <c r="J11281" s="1362"/>
      <c r="K11281" s="1362"/>
      <c r="L11281" s="1362"/>
    </row>
    <row r="11282" spans="1:12" x14ac:dyDescent="0.25">
      <c r="A11282">
        <v>95581</v>
      </c>
      <c r="B11282" t="s">
        <v>18561</v>
      </c>
      <c r="C11282" t="s">
        <v>282</v>
      </c>
      <c r="D11282" s="254">
        <v>11.64</v>
      </c>
      <c r="E11282"/>
      <c r="F11282"/>
      <c r="G11282"/>
      <c r="H11282"/>
      <c r="I11282" s="489"/>
      <c r="J11282" s="1362"/>
      <c r="K11282" s="1362"/>
      <c r="L11282" s="1362"/>
    </row>
    <row r="11283" spans="1:12" x14ac:dyDescent="0.25">
      <c r="A11283">
        <v>95582</v>
      </c>
      <c r="B11283" t="s">
        <v>18562</v>
      </c>
      <c r="C11283" t="s">
        <v>282</v>
      </c>
      <c r="D11283" s="254">
        <v>12.67</v>
      </c>
      <c r="E11283"/>
      <c r="F11283"/>
      <c r="G11283"/>
      <c r="H11283"/>
      <c r="I11283" s="489"/>
      <c r="J11283" s="1362"/>
      <c r="K11283" s="1362"/>
      <c r="L11283" s="1362"/>
    </row>
    <row r="11284" spans="1:12" x14ac:dyDescent="0.25">
      <c r="A11284">
        <v>95583</v>
      </c>
      <c r="B11284" t="s">
        <v>18563</v>
      </c>
      <c r="C11284" t="s">
        <v>282</v>
      </c>
      <c r="D11284" s="254">
        <v>18.02</v>
      </c>
      <c r="E11284"/>
      <c r="F11284"/>
      <c r="G11284"/>
      <c r="H11284"/>
      <c r="I11284" s="489"/>
      <c r="J11284" s="1362"/>
      <c r="K11284" s="1362"/>
      <c r="L11284" s="1362"/>
    </row>
    <row r="11285" spans="1:12" x14ac:dyDescent="0.25">
      <c r="A11285">
        <v>95584</v>
      </c>
      <c r="B11285" t="s">
        <v>18564</v>
      </c>
      <c r="C11285" t="s">
        <v>282</v>
      </c>
      <c r="D11285" s="254">
        <v>16.04</v>
      </c>
      <c r="E11285"/>
      <c r="F11285"/>
      <c r="G11285"/>
      <c r="H11285"/>
      <c r="I11285" s="489"/>
      <c r="J11285" s="1362"/>
      <c r="K11285" s="1362"/>
      <c r="L11285" s="1362"/>
    </row>
    <row r="11286" spans="1:12" x14ac:dyDescent="0.25">
      <c r="A11286">
        <v>95592</v>
      </c>
      <c r="B11286" t="s">
        <v>18565</v>
      </c>
      <c r="C11286" t="s">
        <v>282</v>
      </c>
      <c r="D11286" s="254">
        <v>18.02</v>
      </c>
      <c r="E11286"/>
      <c r="F11286"/>
      <c r="G11286"/>
      <c r="H11286"/>
      <c r="I11286" s="489"/>
      <c r="J11286" s="1362"/>
      <c r="K11286" s="1362"/>
      <c r="L11286" s="1362"/>
    </row>
    <row r="11287" spans="1:12" x14ac:dyDescent="0.25">
      <c r="A11287">
        <v>95593</v>
      </c>
      <c r="B11287" t="s">
        <v>18566</v>
      </c>
      <c r="C11287" t="s">
        <v>282</v>
      </c>
      <c r="D11287" s="254">
        <v>16.04</v>
      </c>
      <c r="E11287"/>
      <c r="F11287"/>
      <c r="G11287"/>
      <c r="H11287"/>
      <c r="I11287" s="489"/>
      <c r="J11287" s="1362"/>
      <c r="K11287" s="1362"/>
      <c r="L11287" s="1362"/>
    </row>
    <row r="11288" spans="1:12" x14ac:dyDescent="0.25">
      <c r="A11288">
        <v>95943</v>
      </c>
      <c r="B11288" t="s">
        <v>5287</v>
      </c>
      <c r="C11288" t="s">
        <v>282</v>
      </c>
      <c r="D11288" s="254">
        <v>24.74</v>
      </c>
      <c r="E11288"/>
      <c r="F11288"/>
      <c r="G11288"/>
      <c r="H11288"/>
      <c r="I11288" s="489"/>
      <c r="J11288" s="1362"/>
      <c r="K11288" s="1362"/>
      <c r="L11288" s="1362"/>
    </row>
    <row r="11289" spans="1:12" x14ac:dyDescent="0.25">
      <c r="A11289">
        <v>95944</v>
      </c>
      <c r="B11289" t="s">
        <v>5288</v>
      </c>
      <c r="C11289" t="s">
        <v>282</v>
      </c>
      <c r="D11289" s="254">
        <v>22.55</v>
      </c>
      <c r="E11289"/>
      <c r="F11289"/>
      <c r="G11289"/>
      <c r="H11289"/>
      <c r="I11289" s="489"/>
      <c r="J11289" s="1362"/>
      <c r="K11289" s="1362"/>
      <c r="L11289" s="1362"/>
    </row>
    <row r="11290" spans="1:12" x14ac:dyDescent="0.25">
      <c r="A11290">
        <v>95945</v>
      </c>
      <c r="B11290" t="s">
        <v>5289</v>
      </c>
      <c r="C11290" t="s">
        <v>282</v>
      </c>
      <c r="D11290" s="254">
        <v>18.39</v>
      </c>
      <c r="E11290"/>
      <c r="F11290"/>
      <c r="G11290"/>
      <c r="H11290"/>
      <c r="I11290" s="489"/>
      <c r="J11290" s="1362"/>
      <c r="K11290" s="1362"/>
      <c r="L11290" s="1362"/>
    </row>
    <row r="11291" spans="1:12" x14ac:dyDescent="0.25">
      <c r="A11291">
        <v>95946</v>
      </c>
      <c r="B11291" t="s">
        <v>5290</v>
      </c>
      <c r="C11291" t="s">
        <v>282</v>
      </c>
      <c r="D11291" s="254">
        <v>14.73</v>
      </c>
      <c r="E11291"/>
      <c r="F11291"/>
      <c r="G11291"/>
      <c r="H11291"/>
      <c r="I11291" s="489"/>
      <c r="J11291" s="1362"/>
      <c r="K11291" s="1362"/>
      <c r="L11291" s="1362"/>
    </row>
    <row r="11292" spans="1:12" x14ac:dyDescent="0.25">
      <c r="A11292">
        <v>95947</v>
      </c>
      <c r="B11292" t="s">
        <v>5291</v>
      </c>
      <c r="C11292" t="s">
        <v>282</v>
      </c>
      <c r="D11292" s="254">
        <v>11.43</v>
      </c>
      <c r="E11292"/>
      <c r="F11292"/>
      <c r="G11292"/>
      <c r="H11292"/>
      <c r="I11292" s="489"/>
      <c r="J11292" s="1362"/>
      <c r="K11292" s="1362"/>
      <c r="L11292" s="1362"/>
    </row>
    <row r="11293" spans="1:12" x14ac:dyDescent="0.25">
      <c r="A11293">
        <v>95948</v>
      </c>
      <c r="B11293" t="s">
        <v>5292</v>
      </c>
      <c r="C11293" t="s">
        <v>282</v>
      </c>
      <c r="D11293" s="254">
        <v>10.14</v>
      </c>
      <c r="E11293"/>
      <c r="F11293"/>
      <c r="G11293"/>
      <c r="H11293"/>
      <c r="I11293" s="489"/>
      <c r="J11293" s="1362"/>
      <c r="K11293" s="1362"/>
      <c r="L11293" s="1362"/>
    </row>
    <row r="11294" spans="1:12" x14ac:dyDescent="0.25">
      <c r="A11294">
        <v>96544</v>
      </c>
      <c r="B11294" t="s">
        <v>1259</v>
      </c>
      <c r="C11294" t="s">
        <v>282</v>
      </c>
      <c r="D11294" s="254">
        <v>18.25</v>
      </c>
      <c r="E11294"/>
      <c r="F11294"/>
      <c r="G11294"/>
      <c r="H11294"/>
      <c r="I11294" s="489"/>
      <c r="J11294" s="1362"/>
      <c r="K11294" s="1362"/>
      <c r="L11294" s="1362"/>
    </row>
    <row r="11295" spans="1:12" x14ac:dyDescent="0.25">
      <c r="A11295">
        <v>96545</v>
      </c>
      <c r="B11295" t="s">
        <v>1260</v>
      </c>
      <c r="C11295" t="s">
        <v>282</v>
      </c>
      <c r="D11295" s="254">
        <v>16.809999999999999</v>
      </c>
      <c r="E11295"/>
      <c r="F11295"/>
      <c r="G11295"/>
      <c r="H11295"/>
      <c r="I11295" s="489"/>
      <c r="J11295" s="1362"/>
      <c r="K11295" s="1362"/>
      <c r="L11295" s="1362"/>
    </row>
    <row r="11296" spans="1:12" x14ac:dyDescent="0.25">
      <c r="A11296">
        <v>96546</v>
      </c>
      <c r="B11296" t="s">
        <v>1261</v>
      </c>
      <c r="C11296" t="s">
        <v>282</v>
      </c>
      <c r="D11296" s="254">
        <v>14.88</v>
      </c>
      <c r="E11296"/>
      <c r="F11296"/>
      <c r="G11296"/>
      <c r="H11296"/>
      <c r="I11296" s="489"/>
      <c r="J11296" s="1362"/>
      <c r="K11296" s="1362"/>
      <c r="L11296" s="1362"/>
    </row>
    <row r="11297" spans="1:12" x14ac:dyDescent="0.25">
      <c r="A11297">
        <v>96547</v>
      </c>
      <c r="B11297" t="s">
        <v>1262</v>
      </c>
      <c r="C11297" t="s">
        <v>282</v>
      </c>
      <c r="D11297" s="254">
        <v>12.53</v>
      </c>
      <c r="E11297"/>
      <c r="F11297"/>
      <c r="G11297"/>
      <c r="H11297"/>
      <c r="I11297" s="489"/>
      <c r="J11297" s="1362"/>
      <c r="K11297" s="1362"/>
      <c r="L11297" s="1362"/>
    </row>
    <row r="11298" spans="1:12" x14ac:dyDescent="0.25">
      <c r="A11298">
        <v>96548</v>
      </c>
      <c r="B11298" t="s">
        <v>1263</v>
      </c>
      <c r="C11298" t="s">
        <v>282</v>
      </c>
      <c r="D11298" s="254">
        <v>11.74</v>
      </c>
      <c r="E11298"/>
      <c r="F11298"/>
      <c r="G11298"/>
      <c r="H11298"/>
      <c r="I11298" s="489"/>
      <c r="J11298" s="1362"/>
      <c r="K11298" s="1362"/>
      <c r="L11298" s="1362"/>
    </row>
    <row r="11299" spans="1:12" x14ac:dyDescent="0.25">
      <c r="A11299">
        <v>96549</v>
      </c>
      <c r="B11299" t="s">
        <v>1264</v>
      </c>
      <c r="C11299" t="s">
        <v>282</v>
      </c>
      <c r="D11299" s="254">
        <v>12.9</v>
      </c>
      <c r="E11299"/>
      <c r="F11299"/>
      <c r="G11299"/>
      <c r="H11299"/>
      <c r="I11299" s="489"/>
      <c r="J11299" s="1362"/>
      <c r="K11299" s="1362"/>
      <c r="L11299" s="1362"/>
    </row>
    <row r="11300" spans="1:12" x14ac:dyDescent="0.25">
      <c r="A11300">
        <v>96550</v>
      </c>
      <c r="B11300" t="s">
        <v>1265</v>
      </c>
      <c r="C11300" t="s">
        <v>282</v>
      </c>
      <c r="D11300" s="254">
        <v>12.5</v>
      </c>
      <c r="E11300"/>
      <c r="F11300"/>
      <c r="G11300"/>
      <c r="H11300"/>
      <c r="I11300" s="489"/>
      <c r="J11300" s="1362"/>
      <c r="K11300" s="1362"/>
      <c r="L11300" s="1362"/>
    </row>
    <row r="11301" spans="1:12" x14ac:dyDescent="0.25">
      <c r="A11301">
        <v>100064</v>
      </c>
      <c r="B11301" t="s">
        <v>6046</v>
      </c>
      <c r="C11301" t="s">
        <v>282</v>
      </c>
      <c r="D11301" s="254">
        <v>13.16</v>
      </c>
      <c r="E11301"/>
      <c r="F11301"/>
      <c r="G11301"/>
      <c r="H11301"/>
      <c r="I11301" s="489"/>
      <c r="J11301" s="1362"/>
      <c r="K11301" s="1362"/>
      <c r="L11301" s="1362"/>
    </row>
    <row r="11302" spans="1:12" x14ac:dyDescent="0.25">
      <c r="A11302">
        <v>100066</v>
      </c>
      <c r="B11302" t="s">
        <v>3315</v>
      </c>
      <c r="C11302" t="s">
        <v>282</v>
      </c>
      <c r="D11302" s="254">
        <v>13.07</v>
      </c>
      <c r="E11302"/>
      <c r="F11302"/>
      <c r="G11302"/>
      <c r="H11302"/>
      <c r="I11302" s="489"/>
      <c r="J11302" s="1362"/>
      <c r="K11302" s="1362"/>
      <c r="L11302" s="1362"/>
    </row>
    <row r="11303" spans="1:12" x14ac:dyDescent="0.25">
      <c r="A11303">
        <v>100067</v>
      </c>
      <c r="B11303" t="s">
        <v>3316</v>
      </c>
      <c r="C11303" t="s">
        <v>282</v>
      </c>
      <c r="D11303" s="254">
        <v>13.87</v>
      </c>
      <c r="E11303"/>
      <c r="F11303"/>
      <c r="G11303"/>
      <c r="H11303"/>
      <c r="I11303" s="489"/>
      <c r="J11303" s="1362"/>
      <c r="K11303" s="1362"/>
      <c r="L11303" s="1362"/>
    </row>
    <row r="11304" spans="1:12" x14ac:dyDescent="0.25">
      <c r="A11304">
        <v>100068</v>
      </c>
      <c r="B11304" t="s">
        <v>3317</v>
      </c>
      <c r="C11304" t="s">
        <v>282</v>
      </c>
      <c r="D11304" s="254">
        <v>10.66</v>
      </c>
      <c r="E11304"/>
      <c r="F11304"/>
      <c r="G11304"/>
      <c r="H11304"/>
      <c r="I11304" s="489"/>
      <c r="J11304" s="1362"/>
      <c r="K11304" s="1362"/>
      <c r="L11304" s="1362"/>
    </row>
    <row r="11305" spans="1:12" x14ac:dyDescent="0.25">
      <c r="A11305">
        <v>102920</v>
      </c>
      <c r="B11305" t="s">
        <v>6921</v>
      </c>
      <c r="C11305" t="s">
        <v>282</v>
      </c>
      <c r="D11305" s="254">
        <v>9.56</v>
      </c>
      <c r="E11305"/>
      <c r="F11305"/>
      <c r="G11305"/>
      <c r="H11305"/>
      <c r="I11305" s="489"/>
      <c r="J11305" s="1362"/>
      <c r="K11305" s="1362"/>
      <c r="L11305" s="1362"/>
    </row>
    <row r="11306" spans="1:12" x14ac:dyDescent="0.25">
      <c r="A11306">
        <v>102921</v>
      </c>
      <c r="B11306" t="s">
        <v>6922</v>
      </c>
      <c r="C11306" t="s">
        <v>282</v>
      </c>
      <c r="D11306" s="254">
        <v>9.23</v>
      </c>
      <c r="E11306"/>
      <c r="F11306"/>
      <c r="G11306"/>
      <c r="H11306"/>
      <c r="I11306" s="489"/>
      <c r="J11306" s="1362"/>
      <c r="K11306" s="1362"/>
      <c r="L11306" s="1362"/>
    </row>
    <row r="11307" spans="1:12" x14ac:dyDescent="0.25">
      <c r="A11307">
        <v>102922</v>
      </c>
      <c r="B11307" t="s">
        <v>6923</v>
      </c>
      <c r="C11307" t="s">
        <v>282</v>
      </c>
      <c r="D11307" s="254">
        <v>10.16</v>
      </c>
      <c r="E11307"/>
      <c r="F11307"/>
      <c r="G11307"/>
      <c r="H11307"/>
      <c r="I11307" s="489"/>
      <c r="J11307" s="1362"/>
      <c r="K11307" s="1362"/>
      <c r="L11307" s="1362"/>
    </row>
    <row r="11308" spans="1:12" x14ac:dyDescent="0.25">
      <c r="A11308">
        <v>102923</v>
      </c>
      <c r="B11308" t="s">
        <v>6924</v>
      </c>
      <c r="C11308" t="s">
        <v>282</v>
      </c>
      <c r="D11308" s="254">
        <v>9.01</v>
      </c>
      <c r="E11308"/>
      <c r="F11308"/>
      <c r="G11308"/>
      <c r="H11308"/>
      <c r="I11308" s="489"/>
      <c r="J11308" s="1362"/>
      <c r="K11308" s="1362"/>
      <c r="L11308" s="1362"/>
    </row>
    <row r="11309" spans="1:12" x14ac:dyDescent="0.25">
      <c r="A11309">
        <v>103088</v>
      </c>
      <c r="B11309" t="s">
        <v>6925</v>
      </c>
      <c r="C11309" t="s">
        <v>282</v>
      </c>
      <c r="D11309" s="254">
        <v>11.44</v>
      </c>
      <c r="E11309"/>
      <c r="F11309"/>
      <c r="G11309"/>
      <c r="H11309"/>
      <c r="I11309" s="489"/>
      <c r="J11309" s="1362"/>
      <c r="K11309" s="1362"/>
      <c r="L11309" s="1362"/>
    </row>
    <row r="11310" spans="1:12" x14ac:dyDescent="0.25">
      <c r="A11310">
        <v>104104</v>
      </c>
      <c r="B11310" t="s">
        <v>18567</v>
      </c>
      <c r="C11310" t="s">
        <v>282</v>
      </c>
      <c r="D11310" s="254">
        <v>12.87</v>
      </c>
      <c r="E11310"/>
      <c r="F11310"/>
      <c r="G11310"/>
      <c r="H11310"/>
      <c r="I11310" s="489"/>
      <c r="J11310" s="1362"/>
      <c r="K11310" s="1362"/>
      <c r="L11310" s="1362"/>
    </row>
    <row r="11311" spans="1:12" x14ac:dyDescent="0.25">
      <c r="A11311">
        <v>104105</v>
      </c>
      <c r="B11311" t="s">
        <v>18568</v>
      </c>
      <c r="C11311" t="s">
        <v>282</v>
      </c>
      <c r="D11311" s="254">
        <v>12.87</v>
      </c>
      <c r="E11311"/>
      <c r="F11311"/>
      <c r="G11311"/>
      <c r="H11311"/>
      <c r="I11311" s="489"/>
      <c r="J11311" s="1362"/>
      <c r="K11311" s="1362"/>
      <c r="L11311" s="1362"/>
    </row>
    <row r="11312" spans="1:12" x14ac:dyDescent="0.25">
      <c r="A11312">
        <v>104106</v>
      </c>
      <c r="B11312" t="s">
        <v>18569</v>
      </c>
      <c r="C11312" t="s">
        <v>282</v>
      </c>
      <c r="D11312" s="254">
        <v>11.81</v>
      </c>
      <c r="E11312"/>
      <c r="F11312"/>
      <c r="G11312"/>
      <c r="H11312"/>
      <c r="I11312" s="489"/>
      <c r="J11312" s="1362"/>
      <c r="K11312" s="1362"/>
      <c r="L11312" s="1362"/>
    </row>
    <row r="11313" spans="1:12" x14ac:dyDescent="0.25">
      <c r="A11313">
        <v>104107</v>
      </c>
      <c r="B11313" t="s">
        <v>18570</v>
      </c>
      <c r="C11313" t="s">
        <v>282</v>
      </c>
      <c r="D11313" s="254">
        <v>12.52</v>
      </c>
      <c r="E11313"/>
      <c r="F11313"/>
      <c r="G11313"/>
      <c r="H11313"/>
      <c r="I11313" s="489"/>
      <c r="J11313" s="1362"/>
      <c r="K11313" s="1362"/>
      <c r="L11313" s="1362"/>
    </row>
    <row r="11314" spans="1:12" x14ac:dyDescent="0.25">
      <c r="A11314">
        <v>104108</v>
      </c>
      <c r="B11314" t="s">
        <v>18571</v>
      </c>
      <c r="C11314" t="s">
        <v>282</v>
      </c>
      <c r="D11314" s="254">
        <v>14.82</v>
      </c>
      <c r="E11314"/>
      <c r="F11314"/>
      <c r="G11314"/>
      <c r="H11314"/>
      <c r="I11314" s="489"/>
      <c r="J11314" s="1362"/>
      <c r="K11314" s="1362"/>
      <c r="L11314" s="1362"/>
    </row>
    <row r="11315" spans="1:12" x14ac:dyDescent="0.25">
      <c r="A11315">
        <v>104109</v>
      </c>
      <c r="B11315" t="s">
        <v>18572</v>
      </c>
      <c r="C11315" t="s">
        <v>282</v>
      </c>
      <c r="D11315" s="254">
        <v>18.010000000000002</v>
      </c>
      <c r="E11315"/>
      <c r="F11315"/>
      <c r="G11315"/>
      <c r="H11315"/>
      <c r="I11315" s="489"/>
      <c r="J11315" s="1362"/>
      <c r="K11315" s="1362"/>
      <c r="L11315" s="1362"/>
    </row>
    <row r="11316" spans="1:12" x14ac:dyDescent="0.25">
      <c r="A11316">
        <v>104110</v>
      </c>
      <c r="B11316" t="s">
        <v>18573</v>
      </c>
      <c r="C11316" t="s">
        <v>282</v>
      </c>
      <c r="D11316" s="254">
        <v>20.309999999999999</v>
      </c>
      <c r="E11316"/>
      <c r="F11316"/>
      <c r="G11316"/>
      <c r="H11316"/>
      <c r="I11316" s="489"/>
      <c r="J11316" s="1362"/>
      <c r="K11316" s="1362"/>
      <c r="L11316" s="1362"/>
    </row>
    <row r="11317" spans="1:12" x14ac:dyDescent="0.25">
      <c r="A11317">
        <v>104111</v>
      </c>
      <c r="B11317" t="s">
        <v>18574</v>
      </c>
      <c r="C11317" t="s">
        <v>282</v>
      </c>
      <c r="D11317" s="254">
        <v>22.9</v>
      </c>
      <c r="E11317"/>
      <c r="F11317"/>
      <c r="G11317"/>
      <c r="H11317"/>
      <c r="I11317" s="489"/>
      <c r="J11317" s="1362"/>
      <c r="K11317" s="1362"/>
      <c r="L11317" s="1362"/>
    </row>
    <row r="11318" spans="1:12" x14ac:dyDescent="0.25">
      <c r="A11318">
        <v>89993</v>
      </c>
      <c r="B11318" t="s">
        <v>6926</v>
      </c>
      <c r="C11318" t="s">
        <v>1159</v>
      </c>
      <c r="D11318" s="254">
        <v>1070.8399999999999</v>
      </c>
      <c r="E11318"/>
      <c r="F11318"/>
      <c r="G11318"/>
      <c r="H11318"/>
      <c r="I11318" s="489"/>
      <c r="J11318" s="1362"/>
      <c r="K11318" s="1362"/>
      <c r="L11318" s="1362"/>
    </row>
    <row r="11319" spans="1:12" x14ac:dyDescent="0.25">
      <c r="A11319">
        <v>89994</v>
      </c>
      <c r="B11319" t="s">
        <v>6927</v>
      </c>
      <c r="C11319" t="s">
        <v>1159</v>
      </c>
      <c r="D11319" s="254">
        <v>917.92</v>
      </c>
      <c r="E11319"/>
      <c r="F11319"/>
      <c r="G11319"/>
      <c r="H11319"/>
      <c r="I11319" s="489"/>
      <c r="J11319" s="1362"/>
      <c r="K11319" s="1362"/>
      <c r="L11319" s="1362"/>
    </row>
    <row r="11320" spans="1:12" x14ac:dyDescent="0.25">
      <c r="A11320">
        <v>89995</v>
      </c>
      <c r="B11320" t="s">
        <v>6928</v>
      </c>
      <c r="C11320" t="s">
        <v>1159</v>
      </c>
      <c r="D11320" s="254">
        <v>1031.73</v>
      </c>
      <c r="E11320"/>
      <c r="F11320"/>
      <c r="G11320"/>
      <c r="H11320"/>
      <c r="I11320" s="489"/>
      <c r="J11320" s="1362"/>
      <c r="K11320" s="1362"/>
      <c r="L11320" s="1362"/>
    </row>
    <row r="11321" spans="1:12" x14ac:dyDescent="0.25">
      <c r="A11321">
        <v>90278</v>
      </c>
      <c r="B11321" t="s">
        <v>6929</v>
      </c>
      <c r="C11321" t="s">
        <v>1159</v>
      </c>
      <c r="D11321" s="254">
        <v>533.74</v>
      </c>
      <c r="E11321"/>
      <c r="F11321"/>
      <c r="G11321"/>
      <c r="H11321"/>
      <c r="I11321" s="489"/>
      <c r="J11321" s="1362"/>
      <c r="K11321" s="1362"/>
      <c r="L11321" s="1362"/>
    </row>
    <row r="11322" spans="1:12" x14ac:dyDescent="0.25">
      <c r="A11322">
        <v>90279</v>
      </c>
      <c r="B11322" t="s">
        <v>6930</v>
      </c>
      <c r="C11322" t="s">
        <v>1159</v>
      </c>
      <c r="D11322" s="254">
        <v>584.48</v>
      </c>
      <c r="E11322"/>
      <c r="F11322"/>
      <c r="G11322"/>
      <c r="H11322"/>
      <c r="I11322" s="489"/>
      <c r="J11322" s="1362"/>
      <c r="K11322" s="1362"/>
      <c r="L11322" s="1362"/>
    </row>
    <row r="11323" spans="1:12" x14ac:dyDescent="0.25">
      <c r="A11323">
        <v>90280</v>
      </c>
      <c r="B11323" t="s">
        <v>6931</v>
      </c>
      <c r="C11323" t="s">
        <v>1159</v>
      </c>
      <c r="D11323" s="254">
        <v>644.53</v>
      </c>
      <c r="E11323"/>
      <c r="F11323"/>
      <c r="G11323"/>
      <c r="H11323"/>
      <c r="I11323" s="489"/>
      <c r="J11323" s="1362"/>
      <c r="K11323" s="1362"/>
      <c r="L11323" s="1362"/>
    </row>
    <row r="11324" spans="1:12" x14ac:dyDescent="0.25">
      <c r="A11324">
        <v>90281</v>
      </c>
      <c r="B11324" t="s">
        <v>6932</v>
      </c>
      <c r="C11324" t="s">
        <v>1159</v>
      </c>
      <c r="D11324" s="254">
        <v>742.35</v>
      </c>
      <c r="E11324"/>
      <c r="F11324"/>
      <c r="G11324"/>
      <c r="H11324"/>
      <c r="I11324" s="489"/>
      <c r="J11324" s="1362"/>
      <c r="K11324" s="1362"/>
      <c r="L11324" s="1362"/>
    </row>
    <row r="11325" spans="1:12" x14ac:dyDescent="0.25">
      <c r="A11325">
        <v>90282</v>
      </c>
      <c r="B11325" t="s">
        <v>6933</v>
      </c>
      <c r="C11325" t="s">
        <v>1159</v>
      </c>
      <c r="D11325" s="254">
        <v>526.34</v>
      </c>
      <c r="E11325"/>
      <c r="F11325"/>
      <c r="G11325"/>
      <c r="H11325"/>
      <c r="I11325" s="489"/>
      <c r="J11325" s="1362"/>
      <c r="K11325" s="1362"/>
      <c r="L11325" s="1362"/>
    </row>
    <row r="11326" spans="1:12" x14ac:dyDescent="0.25">
      <c r="A11326">
        <v>90283</v>
      </c>
      <c r="B11326" t="s">
        <v>6934</v>
      </c>
      <c r="C11326" t="s">
        <v>1159</v>
      </c>
      <c r="D11326" s="254">
        <v>577.64</v>
      </c>
      <c r="E11326"/>
      <c r="F11326"/>
      <c r="G11326"/>
      <c r="H11326"/>
      <c r="I11326" s="489"/>
      <c r="J11326" s="1362"/>
      <c r="K11326" s="1362"/>
      <c r="L11326" s="1362"/>
    </row>
    <row r="11327" spans="1:12" x14ac:dyDescent="0.25">
      <c r="A11327">
        <v>90284</v>
      </c>
      <c r="B11327" t="s">
        <v>6935</v>
      </c>
      <c r="C11327" t="s">
        <v>1159</v>
      </c>
      <c r="D11327" s="254">
        <v>640.97</v>
      </c>
      <c r="E11327"/>
      <c r="F11327"/>
      <c r="G11327"/>
      <c r="H11327"/>
      <c r="I11327" s="489"/>
      <c r="J11327" s="1362"/>
      <c r="K11327" s="1362"/>
      <c r="L11327" s="1362"/>
    </row>
    <row r="11328" spans="1:12" x14ac:dyDescent="0.25">
      <c r="A11328">
        <v>90285</v>
      </c>
      <c r="B11328" t="s">
        <v>6936</v>
      </c>
      <c r="C11328" t="s">
        <v>1159</v>
      </c>
      <c r="D11328" s="254">
        <v>745.02</v>
      </c>
      <c r="E11328"/>
      <c r="F11328"/>
      <c r="G11328"/>
      <c r="H11328"/>
      <c r="I11328" s="489"/>
      <c r="J11328" s="1362"/>
      <c r="K11328" s="1362"/>
      <c r="L11328" s="1362"/>
    </row>
    <row r="11329" spans="1:12" x14ac:dyDescent="0.25">
      <c r="A11329">
        <v>94962</v>
      </c>
      <c r="B11329" t="s">
        <v>6076</v>
      </c>
      <c r="C11329" t="s">
        <v>1159</v>
      </c>
      <c r="D11329" s="254">
        <v>424.83</v>
      </c>
      <c r="E11329"/>
      <c r="F11329"/>
      <c r="G11329"/>
      <c r="H11329"/>
      <c r="I11329" s="489"/>
      <c r="J11329" s="1362"/>
      <c r="K11329" s="1362"/>
      <c r="L11329" s="1362"/>
    </row>
    <row r="11330" spans="1:12" x14ac:dyDescent="0.25">
      <c r="A11330">
        <v>94963</v>
      </c>
      <c r="B11330" t="s">
        <v>6077</v>
      </c>
      <c r="C11330" t="s">
        <v>1159</v>
      </c>
      <c r="D11330" s="254">
        <v>467.4</v>
      </c>
      <c r="E11330"/>
      <c r="F11330"/>
      <c r="G11330"/>
      <c r="H11330"/>
      <c r="I11330" s="489"/>
      <c r="J11330" s="1362"/>
      <c r="K11330" s="1362"/>
      <c r="L11330" s="1362"/>
    </row>
    <row r="11331" spans="1:12" x14ac:dyDescent="0.25">
      <c r="A11331">
        <v>94964</v>
      </c>
      <c r="B11331" t="s">
        <v>6078</v>
      </c>
      <c r="C11331" t="s">
        <v>1159</v>
      </c>
      <c r="D11331" s="254">
        <v>506.05</v>
      </c>
      <c r="E11331"/>
      <c r="F11331"/>
      <c r="G11331"/>
      <c r="H11331"/>
      <c r="I11331" s="489"/>
      <c r="J11331" s="1362"/>
      <c r="K11331" s="1362"/>
      <c r="L11331" s="1362"/>
    </row>
    <row r="11332" spans="1:12" x14ac:dyDescent="0.25">
      <c r="A11332">
        <v>94965</v>
      </c>
      <c r="B11332" t="s">
        <v>6079</v>
      </c>
      <c r="C11332" t="s">
        <v>1159</v>
      </c>
      <c r="D11332" s="254">
        <v>524.24</v>
      </c>
      <c r="E11332"/>
      <c r="F11332"/>
      <c r="G11332"/>
      <c r="H11332"/>
      <c r="I11332" s="489"/>
      <c r="J11332" s="1362"/>
      <c r="K11332" s="1362"/>
      <c r="L11332" s="1362"/>
    </row>
    <row r="11333" spans="1:12" x14ac:dyDescent="0.25">
      <c r="A11333">
        <v>94966</v>
      </c>
      <c r="B11333" t="s">
        <v>6080</v>
      </c>
      <c r="C11333" t="s">
        <v>1159</v>
      </c>
      <c r="D11333" s="254">
        <v>540.83000000000004</v>
      </c>
      <c r="E11333"/>
      <c r="F11333"/>
      <c r="G11333"/>
      <c r="H11333"/>
      <c r="I11333" s="489"/>
      <c r="J11333" s="1362"/>
      <c r="K11333" s="1362"/>
      <c r="L11333" s="1362"/>
    </row>
    <row r="11334" spans="1:12" x14ac:dyDescent="0.25">
      <c r="A11334">
        <v>94967</v>
      </c>
      <c r="B11334" t="s">
        <v>6081</v>
      </c>
      <c r="C11334" t="s">
        <v>1159</v>
      </c>
      <c r="D11334" s="254">
        <v>612.41999999999996</v>
      </c>
      <c r="E11334"/>
      <c r="F11334"/>
      <c r="G11334"/>
      <c r="H11334"/>
      <c r="I11334" s="489"/>
      <c r="J11334" s="1362"/>
      <c r="K11334" s="1362"/>
      <c r="L11334" s="1362"/>
    </row>
    <row r="11335" spans="1:12" x14ac:dyDescent="0.25">
      <c r="A11335">
        <v>94968</v>
      </c>
      <c r="B11335" t="s">
        <v>6082</v>
      </c>
      <c r="C11335" t="s">
        <v>1159</v>
      </c>
      <c r="D11335" s="254">
        <v>421.76</v>
      </c>
      <c r="E11335"/>
      <c r="F11335"/>
      <c r="G11335"/>
      <c r="H11335"/>
      <c r="I11335" s="489"/>
      <c r="J11335" s="1362"/>
      <c r="K11335" s="1362"/>
      <c r="L11335" s="1362"/>
    </row>
    <row r="11336" spans="1:12" x14ac:dyDescent="0.25">
      <c r="A11336">
        <v>94969</v>
      </c>
      <c r="B11336" t="s">
        <v>6083</v>
      </c>
      <c r="C11336" t="s">
        <v>1159</v>
      </c>
      <c r="D11336" s="254">
        <v>461.19</v>
      </c>
      <c r="E11336"/>
      <c r="F11336"/>
      <c r="G11336"/>
      <c r="H11336"/>
      <c r="I11336" s="489"/>
      <c r="J11336" s="1362"/>
      <c r="K11336" s="1362"/>
      <c r="L11336" s="1362"/>
    </row>
    <row r="11337" spans="1:12" x14ac:dyDescent="0.25">
      <c r="A11337">
        <v>94970</v>
      </c>
      <c r="B11337" t="s">
        <v>6084</v>
      </c>
      <c r="C11337" t="s">
        <v>1159</v>
      </c>
      <c r="D11337" s="254">
        <v>493.89</v>
      </c>
      <c r="E11337"/>
      <c r="F11337"/>
      <c r="G11337"/>
      <c r="H11337"/>
      <c r="I11337" s="489"/>
      <c r="J11337" s="1362"/>
      <c r="K11337" s="1362"/>
      <c r="L11337" s="1362"/>
    </row>
    <row r="11338" spans="1:12" x14ac:dyDescent="0.25">
      <c r="A11338">
        <v>94971</v>
      </c>
      <c r="B11338" t="s">
        <v>6085</v>
      </c>
      <c r="C11338" t="s">
        <v>1159</v>
      </c>
      <c r="D11338" s="254">
        <v>518.12</v>
      </c>
      <c r="E11338"/>
      <c r="F11338"/>
      <c r="G11338"/>
      <c r="H11338"/>
      <c r="I11338" s="489"/>
      <c r="J11338" s="1362"/>
      <c r="K11338" s="1362"/>
      <c r="L11338" s="1362"/>
    </row>
    <row r="11339" spans="1:12" x14ac:dyDescent="0.25">
      <c r="A11339">
        <v>94972</v>
      </c>
      <c r="B11339" t="s">
        <v>6086</v>
      </c>
      <c r="C11339" t="s">
        <v>1159</v>
      </c>
      <c r="D11339" s="254">
        <v>534.67999999999995</v>
      </c>
      <c r="E11339"/>
      <c r="F11339"/>
      <c r="G11339"/>
      <c r="H11339"/>
      <c r="I11339" s="489"/>
      <c r="J11339" s="1362"/>
      <c r="K11339" s="1362"/>
      <c r="L11339" s="1362"/>
    </row>
    <row r="11340" spans="1:12" x14ac:dyDescent="0.25">
      <c r="A11340">
        <v>94973</v>
      </c>
      <c r="B11340" t="s">
        <v>6087</v>
      </c>
      <c r="C11340" t="s">
        <v>1159</v>
      </c>
      <c r="D11340" s="254">
        <v>604.62</v>
      </c>
      <c r="E11340"/>
      <c r="F11340"/>
      <c r="G11340"/>
      <c r="H11340"/>
      <c r="I11340" s="489"/>
      <c r="J11340" s="1362"/>
      <c r="K11340" s="1362"/>
      <c r="L11340" s="1362"/>
    </row>
    <row r="11341" spans="1:12" x14ac:dyDescent="0.25">
      <c r="A11341">
        <v>94974</v>
      </c>
      <c r="B11341" t="s">
        <v>6088</v>
      </c>
      <c r="C11341" t="s">
        <v>1159</v>
      </c>
      <c r="D11341" s="254">
        <v>486.2</v>
      </c>
      <c r="E11341"/>
      <c r="F11341"/>
      <c r="G11341"/>
      <c r="H11341"/>
      <c r="I11341" s="489"/>
      <c r="J11341" s="1362"/>
      <c r="K11341" s="1362"/>
      <c r="L11341" s="1362"/>
    </row>
    <row r="11342" spans="1:12" x14ac:dyDescent="0.25">
      <c r="A11342">
        <v>94975</v>
      </c>
      <c r="B11342" t="s">
        <v>6089</v>
      </c>
      <c r="C11342" t="s">
        <v>1159</v>
      </c>
      <c r="D11342" s="254">
        <v>523.26</v>
      </c>
      <c r="E11342"/>
      <c r="F11342"/>
      <c r="G11342"/>
      <c r="H11342"/>
      <c r="I11342" s="489"/>
      <c r="J11342" s="1362"/>
      <c r="K11342" s="1362"/>
      <c r="L11342" s="1362"/>
    </row>
    <row r="11343" spans="1:12" x14ac:dyDescent="0.25">
      <c r="A11343">
        <v>96555</v>
      </c>
      <c r="B11343" t="s">
        <v>1266</v>
      </c>
      <c r="C11343" t="s">
        <v>1159</v>
      </c>
      <c r="D11343" s="254">
        <v>739.42</v>
      </c>
      <c r="E11343"/>
      <c r="F11343"/>
      <c r="G11343"/>
      <c r="H11343"/>
      <c r="I11343" s="489"/>
      <c r="J11343" s="1362"/>
      <c r="K11343" s="1362"/>
      <c r="L11343" s="1362"/>
    </row>
    <row r="11344" spans="1:12" x14ac:dyDescent="0.25">
      <c r="A11344">
        <v>96556</v>
      </c>
      <c r="B11344" t="s">
        <v>1267</v>
      </c>
      <c r="C11344" t="s">
        <v>1159</v>
      </c>
      <c r="D11344" s="254">
        <v>834.06</v>
      </c>
      <c r="E11344"/>
      <c r="F11344"/>
      <c r="G11344"/>
      <c r="H11344"/>
      <c r="I11344" s="489"/>
      <c r="J11344" s="1362"/>
      <c r="K11344" s="1362"/>
      <c r="L11344" s="1362"/>
    </row>
    <row r="11345" spans="1:12" x14ac:dyDescent="0.25">
      <c r="A11345">
        <v>96557</v>
      </c>
      <c r="B11345" t="s">
        <v>1268</v>
      </c>
      <c r="C11345" t="s">
        <v>1159</v>
      </c>
      <c r="D11345" s="254">
        <v>653.65</v>
      </c>
      <c r="E11345"/>
      <c r="F11345"/>
      <c r="G11345"/>
      <c r="H11345"/>
      <c r="I11345" s="489"/>
      <c r="J11345" s="1362"/>
      <c r="K11345" s="1362"/>
      <c r="L11345" s="1362"/>
    </row>
    <row r="11346" spans="1:12" x14ac:dyDescent="0.25">
      <c r="A11346">
        <v>96558</v>
      </c>
      <c r="B11346" t="s">
        <v>1269</v>
      </c>
      <c r="C11346" t="s">
        <v>1159</v>
      </c>
      <c r="D11346" s="254">
        <v>661.75</v>
      </c>
      <c r="E11346"/>
      <c r="F11346"/>
      <c r="G11346"/>
      <c r="H11346"/>
      <c r="I11346" s="489"/>
      <c r="J11346" s="1362"/>
      <c r="K11346" s="1362"/>
      <c r="L11346" s="1362"/>
    </row>
    <row r="11347" spans="1:12" x14ac:dyDescent="0.25">
      <c r="A11347">
        <v>99235</v>
      </c>
      <c r="B11347" t="s">
        <v>6937</v>
      </c>
      <c r="C11347" t="s">
        <v>1159</v>
      </c>
      <c r="D11347" s="254">
        <v>633.5</v>
      </c>
      <c r="E11347"/>
      <c r="F11347"/>
      <c r="G11347"/>
      <c r="H11347"/>
      <c r="I11347" s="489"/>
      <c r="J11347" s="1362"/>
      <c r="K11347" s="1362"/>
      <c r="L11347" s="1362"/>
    </row>
    <row r="11348" spans="1:12" x14ac:dyDescent="0.25">
      <c r="A11348">
        <v>99431</v>
      </c>
      <c r="B11348" t="s">
        <v>6938</v>
      </c>
      <c r="C11348" t="s">
        <v>1159</v>
      </c>
      <c r="D11348" s="254">
        <v>656.74</v>
      </c>
      <c r="E11348"/>
      <c r="F11348"/>
      <c r="G11348"/>
      <c r="H11348"/>
      <c r="I11348" s="489"/>
      <c r="J11348" s="1362"/>
      <c r="K11348" s="1362"/>
      <c r="L11348" s="1362"/>
    </row>
    <row r="11349" spans="1:12" x14ac:dyDescent="0.25">
      <c r="A11349">
        <v>99432</v>
      </c>
      <c r="B11349" t="s">
        <v>6939</v>
      </c>
      <c r="C11349" t="s">
        <v>1159</v>
      </c>
      <c r="D11349" s="254">
        <v>637.63</v>
      </c>
      <c r="E11349"/>
      <c r="F11349"/>
      <c r="G11349"/>
      <c r="H11349"/>
      <c r="I11349" s="489"/>
      <c r="J11349" s="1362"/>
      <c r="K11349" s="1362"/>
      <c r="L11349" s="1362"/>
    </row>
    <row r="11350" spans="1:12" x14ac:dyDescent="0.25">
      <c r="A11350">
        <v>99433</v>
      </c>
      <c r="B11350" t="s">
        <v>6940</v>
      </c>
      <c r="C11350" t="s">
        <v>1159</v>
      </c>
      <c r="D11350" s="254">
        <v>692.72</v>
      </c>
      <c r="E11350"/>
      <c r="F11350"/>
      <c r="G11350"/>
      <c r="H11350"/>
      <c r="I11350" s="489"/>
      <c r="J11350" s="1362"/>
      <c r="K11350" s="1362"/>
      <c r="L11350" s="1362"/>
    </row>
    <row r="11351" spans="1:12" x14ac:dyDescent="0.25">
      <c r="A11351">
        <v>99434</v>
      </c>
      <c r="B11351" t="s">
        <v>6941</v>
      </c>
      <c r="C11351" t="s">
        <v>1159</v>
      </c>
      <c r="D11351" s="254">
        <v>661.15</v>
      </c>
      <c r="E11351"/>
      <c r="F11351"/>
      <c r="G11351"/>
      <c r="H11351"/>
      <c r="I11351" s="489"/>
      <c r="J11351" s="1362"/>
      <c r="K11351" s="1362"/>
      <c r="L11351" s="1362"/>
    </row>
    <row r="11352" spans="1:12" x14ac:dyDescent="0.25">
      <c r="A11352">
        <v>99435</v>
      </c>
      <c r="B11352" t="s">
        <v>6942</v>
      </c>
      <c r="C11352" t="s">
        <v>1159</v>
      </c>
      <c r="D11352" s="254">
        <v>640.64</v>
      </c>
      <c r="E11352"/>
      <c r="F11352"/>
      <c r="G11352"/>
      <c r="H11352"/>
      <c r="I11352" s="489"/>
      <c r="J11352" s="1362"/>
      <c r="K11352" s="1362"/>
      <c r="L11352" s="1362"/>
    </row>
    <row r="11353" spans="1:12" x14ac:dyDescent="0.25">
      <c r="A11353">
        <v>99436</v>
      </c>
      <c r="B11353" t="s">
        <v>6943</v>
      </c>
      <c r="C11353" t="s">
        <v>1159</v>
      </c>
      <c r="D11353" s="254">
        <v>715.75</v>
      </c>
      <c r="E11353"/>
      <c r="F11353"/>
      <c r="G11353"/>
      <c r="H11353"/>
      <c r="I11353" s="489"/>
      <c r="J11353" s="1362"/>
      <c r="K11353" s="1362"/>
      <c r="L11353" s="1362"/>
    </row>
    <row r="11354" spans="1:12" x14ac:dyDescent="0.25">
      <c r="A11354">
        <v>99437</v>
      </c>
      <c r="B11354" t="s">
        <v>6944</v>
      </c>
      <c r="C11354" t="s">
        <v>1159</v>
      </c>
      <c r="D11354" s="254">
        <v>672.07</v>
      </c>
      <c r="E11354"/>
      <c r="F11354"/>
      <c r="G11354"/>
      <c r="H11354"/>
      <c r="I11354" s="489"/>
      <c r="J11354" s="1362"/>
      <c r="K11354" s="1362"/>
      <c r="L11354" s="1362"/>
    </row>
    <row r="11355" spans="1:12" x14ac:dyDescent="0.25">
      <c r="A11355">
        <v>99438</v>
      </c>
      <c r="B11355" t="s">
        <v>6945</v>
      </c>
      <c r="C11355" t="s">
        <v>1159</v>
      </c>
      <c r="D11355" s="254">
        <v>678.36</v>
      </c>
      <c r="E11355"/>
      <c r="F11355"/>
      <c r="G11355"/>
      <c r="H11355"/>
      <c r="I11355" s="489"/>
      <c r="J11355" s="1362"/>
      <c r="K11355" s="1362"/>
      <c r="L11355" s="1362"/>
    </row>
    <row r="11356" spans="1:12" x14ac:dyDescent="0.25">
      <c r="A11356">
        <v>99439</v>
      </c>
      <c r="B11356" t="s">
        <v>6946</v>
      </c>
      <c r="C11356" t="s">
        <v>1159</v>
      </c>
      <c r="D11356" s="254">
        <v>646.71</v>
      </c>
      <c r="E11356"/>
      <c r="F11356"/>
      <c r="G11356"/>
      <c r="H11356"/>
      <c r="I11356" s="489"/>
      <c r="J11356" s="1362"/>
      <c r="K11356" s="1362"/>
      <c r="L11356" s="1362"/>
    </row>
    <row r="11357" spans="1:12" x14ac:dyDescent="0.25">
      <c r="A11357">
        <v>102473</v>
      </c>
      <c r="B11357" t="s">
        <v>6090</v>
      </c>
      <c r="C11357" t="s">
        <v>1159</v>
      </c>
      <c r="D11357" s="254">
        <v>573.21</v>
      </c>
      <c r="E11357"/>
      <c r="F11357"/>
      <c r="G11357"/>
      <c r="H11357"/>
      <c r="I11357" s="489"/>
      <c r="J11357" s="1362"/>
      <c r="K11357" s="1362"/>
      <c r="L11357" s="1362"/>
    </row>
    <row r="11358" spans="1:12" x14ac:dyDescent="0.25">
      <c r="A11358">
        <v>102474</v>
      </c>
      <c r="B11358" t="s">
        <v>6091</v>
      </c>
      <c r="C11358" t="s">
        <v>1159</v>
      </c>
      <c r="D11358" s="254">
        <v>612.64</v>
      </c>
      <c r="E11358"/>
      <c r="F11358"/>
      <c r="G11358"/>
      <c r="H11358"/>
      <c r="I11358" s="489"/>
      <c r="J11358" s="1362"/>
      <c r="K11358" s="1362"/>
      <c r="L11358" s="1362"/>
    </row>
    <row r="11359" spans="1:12" x14ac:dyDescent="0.25">
      <c r="A11359">
        <v>102475</v>
      </c>
      <c r="B11359" t="s">
        <v>6092</v>
      </c>
      <c r="C11359" t="s">
        <v>1159</v>
      </c>
      <c r="D11359" s="254">
        <v>655.42</v>
      </c>
      <c r="E11359"/>
      <c r="F11359"/>
      <c r="G11359"/>
      <c r="H11359"/>
      <c r="I11359" s="489"/>
      <c r="J11359" s="1362"/>
      <c r="K11359" s="1362"/>
      <c r="L11359" s="1362"/>
    </row>
    <row r="11360" spans="1:12" x14ac:dyDescent="0.25">
      <c r="A11360">
        <v>102476</v>
      </c>
      <c r="B11360" t="s">
        <v>6093</v>
      </c>
      <c r="C11360" t="s">
        <v>1159</v>
      </c>
      <c r="D11360" s="254">
        <v>674.12</v>
      </c>
      <c r="E11360"/>
      <c r="F11360"/>
      <c r="G11360"/>
      <c r="H11360"/>
      <c r="I11360" s="489"/>
      <c r="J11360" s="1362"/>
      <c r="K11360" s="1362"/>
      <c r="L11360" s="1362"/>
    </row>
    <row r="11361" spans="1:12" x14ac:dyDescent="0.25">
      <c r="A11361">
        <v>102477</v>
      </c>
      <c r="B11361" t="s">
        <v>6094</v>
      </c>
      <c r="C11361" t="s">
        <v>1159</v>
      </c>
      <c r="D11361" s="254">
        <v>708.39</v>
      </c>
      <c r="E11361"/>
      <c r="F11361"/>
      <c r="G11361"/>
      <c r="H11361"/>
      <c r="I11361" s="489"/>
      <c r="J11361" s="1362"/>
      <c r="K11361" s="1362"/>
      <c r="L11361" s="1362"/>
    </row>
    <row r="11362" spans="1:12" x14ac:dyDescent="0.25">
      <c r="A11362">
        <v>102478</v>
      </c>
      <c r="B11362" t="s">
        <v>6095</v>
      </c>
      <c r="C11362" t="s">
        <v>1159</v>
      </c>
      <c r="D11362" s="254">
        <v>759.55</v>
      </c>
      <c r="E11362"/>
      <c r="F11362"/>
      <c r="G11362"/>
      <c r="H11362"/>
      <c r="I11362" s="489"/>
      <c r="J11362" s="1362"/>
      <c r="K11362" s="1362"/>
      <c r="L11362" s="1362"/>
    </row>
    <row r="11363" spans="1:12" x14ac:dyDescent="0.25">
      <c r="A11363">
        <v>102479</v>
      </c>
      <c r="B11363" t="s">
        <v>6096</v>
      </c>
      <c r="C11363" t="s">
        <v>1159</v>
      </c>
      <c r="D11363" s="254">
        <v>570.79</v>
      </c>
      <c r="E11363"/>
      <c r="F11363"/>
      <c r="G11363"/>
      <c r="H11363"/>
      <c r="I11363" s="489"/>
      <c r="J11363" s="1362"/>
      <c r="K11363" s="1362"/>
      <c r="L11363" s="1362"/>
    </row>
    <row r="11364" spans="1:12" x14ac:dyDescent="0.25">
      <c r="A11364">
        <v>102480</v>
      </c>
      <c r="B11364" t="s">
        <v>6097</v>
      </c>
      <c r="C11364" t="s">
        <v>1159</v>
      </c>
      <c r="D11364" s="254">
        <v>606.94000000000005</v>
      </c>
      <c r="E11364"/>
      <c r="F11364"/>
      <c r="G11364"/>
      <c r="H11364"/>
      <c r="I11364" s="489"/>
      <c r="J11364" s="1362"/>
      <c r="K11364" s="1362"/>
      <c r="L11364" s="1362"/>
    </row>
    <row r="11365" spans="1:12" x14ac:dyDescent="0.25">
      <c r="A11365">
        <v>102481</v>
      </c>
      <c r="B11365" t="s">
        <v>6098</v>
      </c>
      <c r="C11365" t="s">
        <v>1159</v>
      </c>
      <c r="D11365" s="254">
        <v>643.82000000000005</v>
      </c>
      <c r="E11365"/>
      <c r="F11365"/>
      <c r="G11365"/>
      <c r="H11365"/>
      <c r="I11365" s="489"/>
      <c r="J11365" s="1362"/>
      <c r="K11365" s="1362"/>
      <c r="L11365" s="1362"/>
    </row>
    <row r="11366" spans="1:12" x14ac:dyDescent="0.25">
      <c r="A11366">
        <v>102482</v>
      </c>
      <c r="B11366" t="s">
        <v>6099</v>
      </c>
      <c r="C11366" t="s">
        <v>1159</v>
      </c>
      <c r="D11366" s="254">
        <v>671.95</v>
      </c>
      <c r="E11366"/>
      <c r="F11366"/>
      <c r="G11366"/>
      <c r="H11366"/>
      <c r="I11366" s="489"/>
      <c r="J11366" s="1362"/>
      <c r="K11366" s="1362"/>
      <c r="L11366" s="1362"/>
    </row>
    <row r="11367" spans="1:12" x14ac:dyDescent="0.25">
      <c r="A11367">
        <v>102483</v>
      </c>
      <c r="B11367" t="s">
        <v>6100</v>
      </c>
      <c r="C11367" t="s">
        <v>1159</v>
      </c>
      <c r="D11367" s="254">
        <v>702.34</v>
      </c>
      <c r="E11367"/>
      <c r="F11367"/>
      <c r="G11367"/>
      <c r="H11367"/>
      <c r="I11367" s="489"/>
      <c r="J11367" s="1362"/>
      <c r="K11367" s="1362"/>
      <c r="L11367" s="1362"/>
    </row>
    <row r="11368" spans="1:12" x14ac:dyDescent="0.25">
      <c r="A11368">
        <v>102484</v>
      </c>
      <c r="B11368" t="s">
        <v>6101</v>
      </c>
      <c r="C11368" t="s">
        <v>1159</v>
      </c>
      <c r="D11368" s="254">
        <v>759</v>
      </c>
      <c r="E11368"/>
      <c r="F11368"/>
      <c r="G11368"/>
      <c r="H11368"/>
      <c r="I11368" s="489"/>
      <c r="J11368" s="1362"/>
      <c r="K11368" s="1362"/>
      <c r="L11368" s="1362"/>
    </row>
    <row r="11369" spans="1:12" x14ac:dyDescent="0.25">
      <c r="A11369">
        <v>102485</v>
      </c>
      <c r="B11369" t="s">
        <v>6102</v>
      </c>
      <c r="C11369" t="s">
        <v>1159</v>
      </c>
      <c r="D11369" s="254">
        <v>637.80999999999995</v>
      </c>
      <c r="E11369"/>
      <c r="F11369"/>
      <c r="G11369"/>
      <c r="H11369"/>
      <c r="I11369" s="489"/>
      <c r="J11369" s="1362"/>
      <c r="K11369" s="1362"/>
      <c r="L11369" s="1362"/>
    </row>
    <row r="11370" spans="1:12" x14ac:dyDescent="0.25">
      <c r="A11370">
        <v>102486</v>
      </c>
      <c r="B11370" t="s">
        <v>6103</v>
      </c>
      <c r="C11370" t="s">
        <v>1159</v>
      </c>
      <c r="D11370" s="254">
        <v>669.7</v>
      </c>
      <c r="E11370"/>
      <c r="F11370"/>
      <c r="G11370"/>
      <c r="H11370"/>
      <c r="I11370" s="489"/>
      <c r="J11370" s="1362"/>
      <c r="K11370" s="1362"/>
      <c r="L11370" s="1362"/>
    </row>
    <row r="11371" spans="1:12" x14ac:dyDescent="0.25">
      <c r="A11371">
        <v>102487</v>
      </c>
      <c r="B11371" t="s">
        <v>6104</v>
      </c>
      <c r="C11371" t="s">
        <v>1159</v>
      </c>
      <c r="D11371" s="254">
        <v>605.92999999999995</v>
      </c>
      <c r="E11371"/>
      <c r="F11371"/>
      <c r="G11371"/>
      <c r="H11371"/>
      <c r="I11371" s="489"/>
      <c r="J11371" s="1362"/>
      <c r="K11371" s="1362"/>
      <c r="L11371" s="1362"/>
    </row>
    <row r="11372" spans="1:12" x14ac:dyDescent="0.25">
      <c r="A11372">
        <v>103183</v>
      </c>
      <c r="B11372" t="s">
        <v>6947</v>
      </c>
      <c r="C11372" t="s">
        <v>1159</v>
      </c>
      <c r="D11372" s="254">
        <v>690.22</v>
      </c>
      <c r="E11372"/>
      <c r="F11372"/>
      <c r="G11372"/>
      <c r="H11372"/>
      <c r="I11372" s="489"/>
      <c r="J11372" s="1362"/>
      <c r="K11372" s="1362"/>
      <c r="L11372" s="1362"/>
    </row>
    <row r="11373" spans="1:12" x14ac:dyDescent="0.25">
      <c r="A11373">
        <v>103184</v>
      </c>
      <c r="B11373" t="s">
        <v>6948</v>
      </c>
      <c r="C11373" t="s">
        <v>1159</v>
      </c>
      <c r="D11373" s="254">
        <v>646.20000000000005</v>
      </c>
      <c r="E11373"/>
      <c r="F11373"/>
      <c r="G11373"/>
      <c r="H11373"/>
      <c r="I11373" s="489"/>
      <c r="J11373" s="1362"/>
      <c r="K11373" s="1362"/>
      <c r="L11373" s="1362"/>
    </row>
    <row r="11374" spans="1:12" x14ac:dyDescent="0.25">
      <c r="A11374">
        <v>103669</v>
      </c>
      <c r="B11374" t="s">
        <v>13500</v>
      </c>
      <c r="C11374" t="s">
        <v>1159</v>
      </c>
      <c r="D11374" s="254">
        <v>924.76</v>
      </c>
      <c r="E11374"/>
      <c r="F11374"/>
      <c r="G11374"/>
      <c r="H11374"/>
      <c r="I11374" s="489"/>
      <c r="J11374" s="1362"/>
      <c r="K11374" s="1362"/>
      <c r="L11374" s="1362"/>
    </row>
    <row r="11375" spans="1:12" x14ac:dyDescent="0.25">
      <c r="A11375">
        <v>103670</v>
      </c>
      <c r="B11375" t="s">
        <v>13501</v>
      </c>
      <c r="C11375" t="s">
        <v>1159</v>
      </c>
      <c r="D11375" s="254">
        <v>301.64</v>
      </c>
      <c r="E11375"/>
      <c r="F11375"/>
      <c r="G11375"/>
      <c r="H11375"/>
      <c r="I11375" s="489"/>
      <c r="J11375" s="1362"/>
      <c r="K11375" s="1362"/>
      <c r="L11375" s="1362"/>
    </row>
    <row r="11376" spans="1:12" x14ac:dyDescent="0.25">
      <c r="A11376">
        <v>103671</v>
      </c>
      <c r="B11376" t="s">
        <v>13502</v>
      </c>
      <c r="C11376" t="s">
        <v>1159</v>
      </c>
      <c r="D11376" s="254">
        <v>672.03</v>
      </c>
      <c r="E11376"/>
      <c r="F11376"/>
      <c r="G11376"/>
      <c r="H11376"/>
      <c r="I11376" s="489"/>
      <c r="J11376" s="1362"/>
      <c r="K11376" s="1362"/>
      <c r="L11376" s="1362"/>
    </row>
    <row r="11377" spans="1:12" x14ac:dyDescent="0.25">
      <c r="A11377">
        <v>103672</v>
      </c>
      <c r="B11377" t="s">
        <v>13503</v>
      </c>
      <c r="C11377" t="s">
        <v>1159</v>
      </c>
      <c r="D11377" s="254">
        <v>628.74</v>
      </c>
      <c r="E11377"/>
      <c r="F11377"/>
      <c r="G11377"/>
      <c r="H11377"/>
      <c r="I11377" s="489"/>
      <c r="J11377" s="1362"/>
      <c r="K11377" s="1362"/>
      <c r="L11377" s="1362"/>
    </row>
    <row r="11378" spans="1:12" x14ac:dyDescent="0.25">
      <c r="A11378">
        <v>103673</v>
      </c>
      <c r="B11378" t="s">
        <v>13504</v>
      </c>
      <c r="C11378" t="s">
        <v>1159</v>
      </c>
      <c r="D11378" s="254">
        <v>41.47</v>
      </c>
      <c r="E11378"/>
      <c r="F11378"/>
      <c r="G11378"/>
      <c r="H11378"/>
      <c r="I11378" s="489"/>
      <c r="J11378" s="1362"/>
      <c r="K11378" s="1362"/>
      <c r="L11378" s="1362"/>
    </row>
    <row r="11379" spans="1:12" x14ac:dyDescent="0.25">
      <c r="A11379">
        <v>103674</v>
      </c>
      <c r="B11379" t="s">
        <v>13505</v>
      </c>
      <c r="C11379" t="s">
        <v>1159</v>
      </c>
      <c r="D11379" s="254">
        <v>651.86</v>
      </c>
      <c r="E11379"/>
      <c r="F11379"/>
      <c r="G11379"/>
      <c r="H11379"/>
      <c r="I11379" s="489"/>
      <c r="J11379" s="1362"/>
      <c r="K11379" s="1362"/>
      <c r="L11379" s="1362"/>
    </row>
    <row r="11380" spans="1:12" x14ac:dyDescent="0.25">
      <c r="A11380">
        <v>103675</v>
      </c>
      <c r="B11380" t="s">
        <v>13506</v>
      </c>
      <c r="C11380" t="s">
        <v>1159</v>
      </c>
      <c r="D11380" s="254">
        <v>631.21</v>
      </c>
      <c r="E11380"/>
      <c r="F11380"/>
      <c r="G11380"/>
      <c r="H11380"/>
      <c r="I11380" s="489"/>
      <c r="J11380" s="1362"/>
      <c r="K11380" s="1362"/>
      <c r="L11380" s="1362"/>
    </row>
    <row r="11381" spans="1:12" x14ac:dyDescent="0.25">
      <c r="A11381">
        <v>103676</v>
      </c>
      <c r="B11381" t="s">
        <v>13507</v>
      </c>
      <c r="C11381" t="s">
        <v>1159</v>
      </c>
      <c r="D11381" s="254">
        <v>978.7</v>
      </c>
      <c r="E11381"/>
      <c r="F11381"/>
      <c r="G11381"/>
      <c r="H11381"/>
      <c r="I11381" s="489"/>
      <c r="J11381" s="1362"/>
      <c r="K11381" s="1362"/>
      <c r="L11381" s="1362"/>
    </row>
    <row r="11382" spans="1:12" x14ac:dyDescent="0.25">
      <c r="A11382">
        <v>103677</v>
      </c>
      <c r="B11382" t="s">
        <v>13508</v>
      </c>
      <c r="C11382" t="s">
        <v>1159</v>
      </c>
      <c r="D11382" s="254">
        <v>807.4</v>
      </c>
      <c r="E11382"/>
      <c r="F11382"/>
      <c r="G11382"/>
      <c r="H11382"/>
      <c r="I11382" s="489"/>
      <c r="J11382" s="1362"/>
      <c r="K11382" s="1362"/>
      <c r="L11382" s="1362"/>
    </row>
    <row r="11383" spans="1:12" x14ac:dyDescent="0.25">
      <c r="A11383">
        <v>103678</v>
      </c>
      <c r="B11383" t="s">
        <v>13509</v>
      </c>
      <c r="C11383" t="s">
        <v>1159</v>
      </c>
      <c r="D11383" s="254">
        <v>881.87</v>
      </c>
      <c r="E11383"/>
      <c r="F11383"/>
      <c r="G11383"/>
      <c r="H11383"/>
      <c r="I11383" s="489"/>
      <c r="J11383" s="1362"/>
      <c r="K11383" s="1362"/>
      <c r="L11383" s="1362"/>
    </row>
    <row r="11384" spans="1:12" x14ac:dyDescent="0.25">
      <c r="A11384">
        <v>103679</v>
      </c>
      <c r="B11384" t="s">
        <v>13510</v>
      </c>
      <c r="C11384" t="s">
        <v>1159</v>
      </c>
      <c r="D11384" s="254">
        <v>764.32</v>
      </c>
      <c r="E11384"/>
      <c r="F11384"/>
      <c r="G11384"/>
      <c r="H11384"/>
      <c r="I11384" s="489"/>
      <c r="J11384" s="1362"/>
      <c r="K11384" s="1362"/>
      <c r="L11384" s="1362"/>
    </row>
    <row r="11385" spans="1:12" x14ac:dyDescent="0.25">
      <c r="A11385">
        <v>103680</v>
      </c>
      <c r="B11385" t="s">
        <v>13511</v>
      </c>
      <c r="C11385" t="s">
        <v>1159</v>
      </c>
      <c r="D11385" s="254">
        <v>821.37</v>
      </c>
      <c r="E11385"/>
      <c r="F11385"/>
      <c r="G11385"/>
      <c r="H11385"/>
      <c r="I11385" s="489"/>
      <c r="J11385" s="1362"/>
      <c r="K11385" s="1362"/>
      <c r="L11385" s="1362"/>
    </row>
    <row r="11386" spans="1:12" x14ac:dyDescent="0.25">
      <c r="A11386">
        <v>103681</v>
      </c>
      <c r="B11386" t="s">
        <v>13512</v>
      </c>
      <c r="C11386" t="s">
        <v>1159</v>
      </c>
      <c r="D11386" s="254">
        <v>701.06</v>
      </c>
      <c r="E11386"/>
      <c r="F11386"/>
      <c r="G11386"/>
      <c r="H11386"/>
      <c r="I11386" s="489"/>
      <c r="J11386" s="1362"/>
      <c r="K11386" s="1362"/>
      <c r="L11386" s="1362"/>
    </row>
    <row r="11387" spans="1:12" x14ac:dyDescent="0.25">
      <c r="A11387">
        <v>103682</v>
      </c>
      <c r="B11387" t="s">
        <v>13513</v>
      </c>
      <c r="C11387" t="s">
        <v>1159</v>
      </c>
      <c r="D11387" s="254">
        <v>942.6</v>
      </c>
      <c r="E11387"/>
      <c r="F11387"/>
      <c r="G11387"/>
      <c r="H11387"/>
      <c r="I11387" s="489"/>
      <c r="J11387" s="1362"/>
      <c r="K11387" s="1362"/>
      <c r="L11387" s="1362"/>
    </row>
    <row r="11388" spans="1:12" x14ac:dyDescent="0.25">
      <c r="A11388">
        <v>103683</v>
      </c>
      <c r="B11388" t="s">
        <v>13514</v>
      </c>
      <c r="C11388" t="s">
        <v>1159</v>
      </c>
      <c r="D11388" s="254">
        <v>1235.18</v>
      </c>
      <c r="E11388"/>
      <c r="F11388"/>
      <c r="G11388"/>
      <c r="H11388"/>
      <c r="I11388" s="489"/>
      <c r="J11388" s="1362"/>
      <c r="K11388" s="1362"/>
      <c r="L11388" s="1362"/>
    </row>
    <row r="11389" spans="1:12" x14ac:dyDescent="0.25">
      <c r="A11389">
        <v>103684</v>
      </c>
      <c r="B11389" t="s">
        <v>13515</v>
      </c>
      <c r="C11389" t="s">
        <v>1159</v>
      </c>
      <c r="D11389" s="254">
        <v>648.86</v>
      </c>
      <c r="E11389"/>
      <c r="F11389"/>
      <c r="G11389"/>
      <c r="H11389"/>
      <c r="I11389" s="489"/>
      <c r="J11389" s="1362"/>
      <c r="K11389" s="1362"/>
      <c r="L11389" s="1362"/>
    </row>
    <row r="11390" spans="1:12" x14ac:dyDescent="0.25">
      <c r="A11390">
        <v>103685</v>
      </c>
      <c r="B11390" t="s">
        <v>13516</v>
      </c>
      <c r="C11390" t="s">
        <v>1159</v>
      </c>
      <c r="D11390" s="254">
        <v>635.98</v>
      </c>
      <c r="E11390"/>
      <c r="F11390"/>
      <c r="G11390"/>
      <c r="H11390"/>
      <c r="I11390" s="489"/>
      <c r="J11390" s="1362"/>
      <c r="K11390" s="1362"/>
      <c r="L11390" s="1362"/>
    </row>
    <row r="11391" spans="1:12" x14ac:dyDescent="0.25">
      <c r="A11391">
        <v>103686</v>
      </c>
      <c r="B11391" t="s">
        <v>13517</v>
      </c>
      <c r="C11391" t="s">
        <v>1159</v>
      </c>
      <c r="D11391" s="254">
        <v>702.73</v>
      </c>
      <c r="E11391"/>
      <c r="F11391"/>
      <c r="G11391"/>
      <c r="H11391"/>
      <c r="I11391" s="489"/>
      <c r="J11391" s="1362"/>
      <c r="K11391" s="1362"/>
      <c r="L11391" s="1362"/>
    </row>
    <row r="11392" spans="1:12" x14ac:dyDescent="0.25">
      <c r="A11392">
        <v>103687</v>
      </c>
      <c r="B11392" t="s">
        <v>13518</v>
      </c>
      <c r="C11392" t="s">
        <v>1159</v>
      </c>
      <c r="D11392" s="254">
        <v>1049.9000000000001</v>
      </c>
      <c r="E11392"/>
      <c r="F11392"/>
      <c r="G11392"/>
      <c r="H11392"/>
      <c r="I11392" s="489"/>
      <c r="J11392" s="1362"/>
      <c r="K11392" s="1362"/>
      <c r="L11392" s="1362"/>
    </row>
    <row r="11393" spans="1:12" x14ac:dyDescent="0.25">
      <c r="A11393">
        <v>103688</v>
      </c>
      <c r="B11393" t="s">
        <v>13519</v>
      </c>
      <c r="C11393" t="s">
        <v>1159</v>
      </c>
      <c r="D11393" s="254">
        <v>801.39</v>
      </c>
      <c r="E11393"/>
      <c r="F11393"/>
      <c r="G11393"/>
      <c r="H11393"/>
      <c r="I11393" s="489"/>
      <c r="J11393" s="1362"/>
      <c r="K11393" s="1362"/>
      <c r="L11393" s="1362"/>
    </row>
    <row r="11394" spans="1:12" x14ac:dyDescent="0.25">
      <c r="A11394">
        <v>101963</v>
      </c>
      <c r="B11394" t="s">
        <v>5293</v>
      </c>
      <c r="C11394" t="s">
        <v>297</v>
      </c>
      <c r="D11394" s="254">
        <v>207.87</v>
      </c>
      <c r="E11394"/>
      <c r="F11394"/>
      <c r="G11394"/>
      <c r="H11394"/>
      <c r="I11394" s="489"/>
      <c r="J11394" s="1362"/>
      <c r="K11394" s="1362"/>
      <c r="L11394" s="1362"/>
    </row>
    <row r="11395" spans="1:12" x14ac:dyDescent="0.25">
      <c r="A11395">
        <v>101964</v>
      </c>
      <c r="B11395" t="s">
        <v>5294</v>
      </c>
      <c r="C11395" t="s">
        <v>297</v>
      </c>
      <c r="D11395" s="254">
        <v>195.13</v>
      </c>
      <c r="E11395"/>
      <c r="F11395"/>
      <c r="G11395"/>
      <c r="H11395"/>
      <c r="I11395" s="489"/>
      <c r="J11395" s="1362"/>
      <c r="K11395" s="1362"/>
      <c r="L11395" s="1362"/>
    </row>
    <row r="11396" spans="1:12" x14ac:dyDescent="0.25">
      <c r="A11396">
        <v>101165</v>
      </c>
      <c r="B11396" t="s">
        <v>4340</v>
      </c>
      <c r="C11396" t="s">
        <v>1159</v>
      </c>
      <c r="D11396" s="254">
        <v>1002.81</v>
      </c>
      <c r="E11396"/>
      <c r="F11396"/>
      <c r="G11396"/>
      <c r="H11396"/>
      <c r="I11396" s="489"/>
      <c r="J11396" s="1362"/>
      <c r="K11396" s="1362"/>
      <c r="L11396" s="1362"/>
    </row>
    <row r="11397" spans="1:12" x14ac:dyDescent="0.25">
      <c r="A11397">
        <v>101166</v>
      </c>
      <c r="B11397" t="s">
        <v>4341</v>
      </c>
      <c r="C11397" t="s">
        <v>1159</v>
      </c>
      <c r="D11397" s="254">
        <v>814.38</v>
      </c>
      <c r="E11397"/>
      <c r="F11397"/>
      <c r="G11397"/>
      <c r="H11397"/>
      <c r="I11397" s="489"/>
      <c r="J11397" s="1362"/>
      <c r="K11397" s="1362"/>
      <c r="L11397" s="1362"/>
    </row>
    <row r="11398" spans="1:12" x14ac:dyDescent="0.25">
      <c r="A11398">
        <v>98575</v>
      </c>
      <c r="B11398" t="s">
        <v>6949</v>
      </c>
      <c r="C11398" t="s">
        <v>151</v>
      </c>
      <c r="D11398" s="254">
        <v>110.53</v>
      </c>
      <c r="E11398"/>
      <c r="F11398"/>
      <c r="G11398"/>
      <c r="H11398"/>
      <c r="I11398" s="489"/>
      <c r="J11398" s="1362"/>
      <c r="K11398" s="1362"/>
      <c r="L11398" s="1362"/>
    </row>
    <row r="11399" spans="1:12" x14ac:dyDescent="0.25">
      <c r="A11399">
        <v>98576</v>
      </c>
      <c r="B11399" t="s">
        <v>2960</v>
      </c>
      <c r="C11399" t="s">
        <v>151</v>
      </c>
      <c r="D11399" s="254">
        <v>19.399999999999999</v>
      </c>
      <c r="E11399"/>
      <c r="F11399"/>
      <c r="G11399"/>
      <c r="H11399"/>
      <c r="I11399" s="489"/>
      <c r="J11399" s="1362"/>
      <c r="K11399" s="1362"/>
      <c r="L11399" s="1362"/>
    </row>
    <row r="11400" spans="1:12" x14ac:dyDescent="0.25">
      <c r="A11400">
        <v>98577</v>
      </c>
      <c r="B11400" t="s">
        <v>6950</v>
      </c>
      <c r="C11400" t="s">
        <v>151</v>
      </c>
      <c r="D11400" s="254">
        <v>50.42</v>
      </c>
      <c r="E11400"/>
      <c r="F11400"/>
      <c r="G11400"/>
      <c r="H11400"/>
      <c r="I11400" s="489"/>
      <c r="J11400" s="1362"/>
      <c r="K11400" s="1362"/>
      <c r="L11400" s="1362"/>
    </row>
    <row r="11401" spans="1:12" x14ac:dyDescent="0.25">
      <c r="A11401">
        <v>93182</v>
      </c>
      <c r="B11401" t="s">
        <v>1270</v>
      </c>
      <c r="C11401" t="s">
        <v>151</v>
      </c>
      <c r="D11401" s="254">
        <v>59.43</v>
      </c>
      <c r="E11401"/>
      <c r="F11401"/>
      <c r="G11401"/>
      <c r="H11401"/>
      <c r="I11401" s="489"/>
      <c r="J11401" s="1362"/>
      <c r="K11401" s="1362"/>
      <c r="L11401" s="1362"/>
    </row>
    <row r="11402" spans="1:12" x14ac:dyDescent="0.25">
      <c r="A11402">
        <v>93183</v>
      </c>
      <c r="B11402" t="s">
        <v>1271</v>
      </c>
      <c r="C11402" t="s">
        <v>151</v>
      </c>
      <c r="D11402" s="254">
        <v>75.72</v>
      </c>
      <c r="E11402"/>
      <c r="F11402"/>
      <c r="G11402"/>
      <c r="H11402"/>
      <c r="I11402" s="489"/>
      <c r="J11402" s="1362"/>
      <c r="K11402" s="1362"/>
      <c r="L11402" s="1362"/>
    </row>
    <row r="11403" spans="1:12" x14ac:dyDescent="0.25">
      <c r="A11403">
        <v>93184</v>
      </c>
      <c r="B11403" t="s">
        <v>1272</v>
      </c>
      <c r="C11403" t="s">
        <v>151</v>
      </c>
      <c r="D11403" s="254">
        <v>43.97</v>
      </c>
      <c r="E11403"/>
      <c r="F11403"/>
      <c r="G11403"/>
      <c r="H11403"/>
      <c r="I11403" s="489"/>
      <c r="J11403" s="1362"/>
      <c r="K11403" s="1362"/>
      <c r="L11403" s="1362"/>
    </row>
    <row r="11404" spans="1:12" x14ac:dyDescent="0.25">
      <c r="A11404">
        <v>93185</v>
      </c>
      <c r="B11404" t="s">
        <v>1273</v>
      </c>
      <c r="C11404" t="s">
        <v>151</v>
      </c>
      <c r="D11404" s="254">
        <v>74.59</v>
      </c>
      <c r="E11404"/>
      <c r="F11404"/>
      <c r="G11404"/>
      <c r="H11404"/>
      <c r="I11404" s="489"/>
      <c r="J11404" s="1362"/>
      <c r="K11404" s="1362"/>
      <c r="L11404" s="1362"/>
    </row>
    <row r="11405" spans="1:12" x14ac:dyDescent="0.25">
      <c r="A11405">
        <v>93186</v>
      </c>
      <c r="B11405" t="s">
        <v>1274</v>
      </c>
      <c r="C11405" t="s">
        <v>151</v>
      </c>
      <c r="D11405" s="254">
        <v>112.14</v>
      </c>
      <c r="E11405"/>
      <c r="F11405"/>
      <c r="G11405"/>
      <c r="H11405"/>
      <c r="I11405" s="489"/>
      <c r="J11405" s="1362"/>
      <c r="K11405" s="1362"/>
      <c r="L11405" s="1362"/>
    </row>
    <row r="11406" spans="1:12" x14ac:dyDescent="0.25">
      <c r="A11406">
        <v>93187</v>
      </c>
      <c r="B11406" t="s">
        <v>1275</v>
      </c>
      <c r="C11406" t="s">
        <v>151</v>
      </c>
      <c r="D11406" s="254">
        <v>128.03</v>
      </c>
      <c r="E11406"/>
      <c r="F11406"/>
      <c r="G11406"/>
      <c r="H11406"/>
      <c r="I11406" s="489"/>
      <c r="J11406" s="1362"/>
      <c r="K11406" s="1362"/>
      <c r="L11406" s="1362"/>
    </row>
    <row r="11407" spans="1:12" x14ac:dyDescent="0.25">
      <c r="A11407">
        <v>93188</v>
      </c>
      <c r="B11407" t="s">
        <v>1276</v>
      </c>
      <c r="C11407" t="s">
        <v>151</v>
      </c>
      <c r="D11407" s="254">
        <v>103.29</v>
      </c>
      <c r="E11407"/>
      <c r="F11407"/>
      <c r="G11407"/>
      <c r="H11407"/>
      <c r="I11407" s="489"/>
      <c r="J11407" s="1362"/>
      <c r="K11407" s="1362"/>
      <c r="L11407" s="1362"/>
    </row>
    <row r="11408" spans="1:12" x14ac:dyDescent="0.25">
      <c r="A11408">
        <v>93189</v>
      </c>
      <c r="B11408" t="s">
        <v>1277</v>
      </c>
      <c r="C11408" t="s">
        <v>151</v>
      </c>
      <c r="D11408" s="254">
        <v>128.91999999999999</v>
      </c>
      <c r="E11408"/>
      <c r="F11408"/>
      <c r="G11408"/>
      <c r="H11408"/>
      <c r="I11408" s="489"/>
      <c r="J11408" s="1362"/>
      <c r="K11408" s="1362"/>
      <c r="L11408" s="1362"/>
    </row>
    <row r="11409" spans="1:12" x14ac:dyDescent="0.25">
      <c r="A11409">
        <v>93190</v>
      </c>
      <c r="B11409" t="s">
        <v>1278</v>
      </c>
      <c r="C11409" t="s">
        <v>151</v>
      </c>
      <c r="D11409" s="254">
        <v>51.65</v>
      </c>
      <c r="E11409"/>
      <c r="F11409"/>
      <c r="G11409"/>
      <c r="H11409"/>
      <c r="I11409" s="489"/>
      <c r="J11409" s="1362"/>
      <c r="K11409" s="1362"/>
      <c r="L11409" s="1362"/>
    </row>
    <row r="11410" spans="1:12" x14ac:dyDescent="0.25">
      <c r="A11410">
        <v>93191</v>
      </c>
      <c r="B11410" t="s">
        <v>1279</v>
      </c>
      <c r="C11410" t="s">
        <v>151</v>
      </c>
      <c r="D11410" s="254">
        <v>53.61</v>
      </c>
      <c r="E11410"/>
      <c r="F11410"/>
      <c r="G11410"/>
      <c r="H11410"/>
      <c r="I11410" s="489"/>
      <c r="J11410" s="1362"/>
      <c r="K11410" s="1362"/>
      <c r="L11410" s="1362"/>
    </row>
    <row r="11411" spans="1:12" x14ac:dyDescent="0.25">
      <c r="A11411">
        <v>93192</v>
      </c>
      <c r="B11411" t="s">
        <v>1280</v>
      </c>
      <c r="C11411" t="s">
        <v>151</v>
      </c>
      <c r="D11411" s="254">
        <v>56.83</v>
      </c>
      <c r="E11411"/>
      <c r="F11411"/>
      <c r="G11411"/>
      <c r="H11411"/>
      <c r="I11411" s="489"/>
      <c r="J11411" s="1362"/>
      <c r="K11411" s="1362"/>
      <c r="L11411" s="1362"/>
    </row>
    <row r="11412" spans="1:12" x14ac:dyDescent="0.25">
      <c r="A11412">
        <v>93193</v>
      </c>
      <c r="B11412" t="s">
        <v>1281</v>
      </c>
      <c r="C11412" t="s">
        <v>151</v>
      </c>
      <c r="D11412" s="254">
        <v>54.67</v>
      </c>
      <c r="E11412"/>
      <c r="F11412"/>
      <c r="G11412"/>
      <c r="H11412"/>
      <c r="I11412" s="489"/>
      <c r="J11412" s="1362"/>
      <c r="K11412" s="1362"/>
      <c r="L11412" s="1362"/>
    </row>
    <row r="11413" spans="1:12" x14ac:dyDescent="0.25">
      <c r="A11413">
        <v>93194</v>
      </c>
      <c r="B11413" t="s">
        <v>1282</v>
      </c>
      <c r="C11413" t="s">
        <v>151</v>
      </c>
      <c r="D11413" s="254">
        <v>58.09</v>
      </c>
      <c r="E11413"/>
      <c r="F11413"/>
      <c r="G11413"/>
      <c r="H11413"/>
      <c r="I11413" s="489"/>
      <c r="J11413" s="1362"/>
      <c r="K11413" s="1362"/>
      <c r="L11413" s="1362"/>
    </row>
    <row r="11414" spans="1:12" x14ac:dyDescent="0.25">
      <c r="A11414">
        <v>93195</v>
      </c>
      <c r="B11414" t="s">
        <v>1283</v>
      </c>
      <c r="C11414" t="s">
        <v>151</v>
      </c>
      <c r="D11414" s="254">
        <v>71.34</v>
      </c>
      <c r="E11414"/>
      <c r="F11414"/>
      <c r="G11414"/>
      <c r="H11414"/>
      <c r="I11414" s="489"/>
      <c r="J11414" s="1362"/>
      <c r="K11414" s="1362"/>
      <c r="L11414" s="1362"/>
    </row>
    <row r="11415" spans="1:12" x14ac:dyDescent="0.25">
      <c r="A11415">
        <v>93196</v>
      </c>
      <c r="B11415" t="s">
        <v>1284</v>
      </c>
      <c r="C11415" t="s">
        <v>151</v>
      </c>
      <c r="D11415" s="254">
        <v>109.29</v>
      </c>
      <c r="E11415"/>
      <c r="F11415"/>
      <c r="G11415"/>
      <c r="H11415"/>
      <c r="I11415" s="489"/>
      <c r="J11415" s="1362"/>
      <c r="K11415" s="1362"/>
      <c r="L11415" s="1362"/>
    </row>
    <row r="11416" spans="1:12" x14ac:dyDescent="0.25">
      <c r="A11416">
        <v>93197</v>
      </c>
      <c r="B11416" t="s">
        <v>1285</v>
      </c>
      <c r="C11416" t="s">
        <v>151</v>
      </c>
      <c r="D11416" s="254">
        <v>122.77</v>
      </c>
      <c r="E11416"/>
      <c r="F11416"/>
      <c r="G11416"/>
      <c r="H11416"/>
      <c r="I11416" s="489"/>
      <c r="J11416" s="1362"/>
      <c r="K11416" s="1362"/>
      <c r="L11416" s="1362"/>
    </row>
    <row r="11417" spans="1:12" x14ac:dyDescent="0.25">
      <c r="A11417">
        <v>93198</v>
      </c>
      <c r="B11417" t="s">
        <v>1286</v>
      </c>
      <c r="C11417" t="s">
        <v>151</v>
      </c>
      <c r="D11417" s="254">
        <v>44.08</v>
      </c>
      <c r="E11417"/>
      <c r="F11417"/>
      <c r="G11417"/>
      <c r="H11417"/>
      <c r="I11417" s="489"/>
      <c r="J11417" s="1362"/>
      <c r="K11417" s="1362"/>
      <c r="L11417" s="1362"/>
    </row>
    <row r="11418" spans="1:12" x14ac:dyDescent="0.25">
      <c r="A11418">
        <v>93199</v>
      </c>
      <c r="B11418" t="s">
        <v>1287</v>
      </c>
      <c r="C11418" t="s">
        <v>151</v>
      </c>
      <c r="D11418" s="254">
        <v>43.44</v>
      </c>
      <c r="E11418"/>
      <c r="F11418"/>
      <c r="G11418"/>
      <c r="H11418"/>
      <c r="I11418" s="489"/>
      <c r="J11418" s="1362"/>
      <c r="K11418" s="1362"/>
      <c r="L11418" s="1362"/>
    </row>
    <row r="11419" spans="1:12" x14ac:dyDescent="0.25">
      <c r="A11419">
        <v>93200</v>
      </c>
      <c r="B11419" t="s">
        <v>1288</v>
      </c>
      <c r="C11419" t="s">
        <v>151</v>
      </c>
      <c r="D11419" s="254">
        <v>3.35</v>
      </c>
      <c r="E11419"/>
      <c r="F11419"/>
      <c r="G11419"/>
      <c r="H11419"/>
      <c r="I11419" s="489"/>
      <c r="J11419" s="1362"/>
      <c r="K11419" s="1362"/>
      <c r="L11419" s="1362"/>
    </row>
    <row r="11420" spans="1:12" x14ac:dyDescent="0.25">
      <c r="A11420">
        <v>93201</v>
      </c>
      <c r="B11420" t="s">
        <v>1289</v>
      </c>
      <c r="C11420" t="s">
        <v>151</v>
      </c>
      <c r="D11420" s="254">
        <v>7.05</v>
      </c>
      <c r="E11420"/>
      <c r="F11420"/>
      <c r="G11420"/>
      <c r="H11420"/>
      <c r="I11420" s="489"/>
      <c r="J11420" s="1362"/>
      <c r="K11420" s="1362"/>
      <c r="L11420" s="1362"/>
    </row>
    <row r="11421" spans="1:12" x14ac:dyDescent="0.25">
      <c r="A11421">
        <v>93202</v>
      </c>
      <c r="B11421" t="s">
        <v>1290</v>
      </c>
      <c r="C11421" t="s">
        <v>151</v>
      </c>
      <c r="D11421" s="254">
        <v>32.29</v>
      </c>
      <c r="E11421"/>
      <c r="F11421"/>
      <c r="G11421"/>
      <c r="H11421"/>
      <c r="I11421" s="489"/>
      <c r="J11421" s="1362"/>
      <c r="K11421" s="1362"/>
      <c r="L11421" s="1362"/>
    </row>
    <row r="11422" spans="1:12" x14ac:dyDescent="0.25">
      <c r="A11422">
        <v>93203</v>
      </c>
      <c r="B11422" t="s">
        <v>1291</v>
      </c>
      <c r="C11422" t="s">
        <v>151</v>
      </c>
      <c r="D11422" s="254">
        <v>17.5</v>
      </c>
      <c r="E11422"/>
      <c r="F11422"/>
      <c r="G11422"/>
      <c r="H11422"/>
      <c r="I11422" s="489"/>
      <c r="J11422" s="1362"/>
      <c r="K11422" s="1362"/>
      <c r="L11422" s="1362"/>
    </row>
    <row r="11423" spans="1:12" x14ac:dyDescent="0.25">
      <c r="A11423">
        <v>93204</v>
      </c>
      <c r="B11423" t="s">
        <v>1292</v>
      </c>
      <c r="C11423" t="s">
        <v>151</v>
      </c>
      <c r="D11423" s="254">
        <v>77.31</v>
      </c>
      <c r="E11423"/>
      <c r="F11423"/>
      <c r="G11423"/>
      <c r="H11423"/>
      <c r="I11423" s="489"/>
      <c r="J11423" s="1362"/>
      <c r="K11423" s="1362"/>
      <c r="L11423" s="1362"/>
    </row>
    <row r="11424" spans="1:12" x14ac:dyDescent="0.25">
      <c r="A11424">
        <v>93205</v>
      </c>
      <c r="B11424" t="s">
        <v>1293</v>
      </c>
      <c r="C11424" t="s">
        <v>151</v>
      </c>
      <c r="D11424" s="254">
        <v>42.09</v>
      </c>
      <c r="E11424"/>
      <c r="F11424"/>
      <c r="G11424"/>
      <c r="H11424"/>
      <c r="I11424" s="489"/>
      <c r="J11424" s="1362"/>
      <c r="K11424" s="1362"/>
      <c r="L11424" s="1362"/>
    </row>
    <row r="11425" spans="1:12" x14ac:dyDescent="0.25">
      <c r="A11425">
        <v>95952</v>
      </c>
      <c r="B11425" t="s">
        <v>1294</v>
      </c>
      <c r="C11425" t="s">
        <v>1159</v>
      </c>
      <c r="D11425" s="254">
        <v>2454.81</v>
      </c>
      <c r="E11425"/>
      <c r="F11425"/>
      <c r="G11425"/>
      <c r="H11425"/>
      <c r="I11425" s="489"/>
      <c r="J11425" s="1362"/>
      <c r="K11425" s="1362"/>
      <c r="L11425" s="1362"/>
    </row>
    <row r="11426" spans="1:12" x14ac:dyDescent="0.25">
      <c r="A11426">
        <v>95953</v>
      </c>
      <c r="B11426" t="s">
        <v>1295</v>
      </c>
      <c r="C11426" t="s">
        <v>1159</v>
      </c>
      <c r="D11426" s="254">
        <v>4111.5</v>
      </c>
      <c r="E11426"/>
      <c r="F11426"/>
      <c r="G11426"/>
      <c r="H11426"/>
      <c r="I11426" s="489"/>
      <c r="J11426" s="1362"/>
      <c r="K11426" s="1362"/>
      <c r="L11426" s="1362"/>
    </row>
    <row r="11427" spans="1:12" x14ac:dyDescent="0.25">
      <c r="A11427">
        <v>95954</v>
      </c>
      <c r="B11427" t="s">
        <v>1296</v>
      </c>
      <c r="C11427" t="s">
        <v>1159</v>
      </c>
      <c r="D11427" s="254">
        <v>2822.58</v>
      </c>
      <c r="E11427"/>
      <c r="F11427"/>
      <c r="G11427"/>
      <c r="H11427"/>
      <c r="I11427" s="489"/>
      <c r="J11427" s="1362"/>
      <c r="K11427" s="1362"/>
      <c r="L11427" s="1362"/>
    </row>
    <row r="11428" spans="1:12" x14ac:dyDescent="0.25">
      <c r="A11428">
        <v>95955</v>
      </c>
      <c r="B11428" t="s">
        <v>1297</v>
      </c>
      <c r="C11428" t="s">
        <v>1159</v>
      </c>
      <c r="D11428" s="254">
        <v>3653.52</v>
      </c>
      <c r="E11428"/>
      <c r="F11428"/>
      <c r="G11428"/>
      <c r="H11428"/>
      <c r="I11428" s="489"/>
      <c r="J11428" s="1362"/>
      <c r="K11428" s="1362"/>
      <c r="L11428" s="1362"/>
    </row>
    <row r="11429" spans="1:12" x14ac:dyDescent="0.25">
      <c r="A11429">
        <v>95956</v>
      </c>
      <c r="B11429" t="s">
        <v>1298</v>
      </c>
      <c r="C11429" t="s">
        <v>1159</v>
      </c>
      <c r="D11429" s="254">
        <v>2784.08</v>
      </c>
      <c r="E11429"/>
      <c r="F11429"/>
      <c r="G11429"/>
      <c r="H11429"/>
      <c r="I11429" s="489"/>
      <c r="J11429" s="1362"/>
      <c r="K11429" s="1362"/>
      <c r="L11429" s="1362"/>
    </row>
    <row r="11430" spans="1:12" x14ac:dyDescent="0.25">
      <c r="A11430">
        <v>95957</v>
      </c>
      <c r="B11430" t="s">
        <v>1299</v>
      </c>
      <c r="C11430" t="s">
        <v>1159</v>
      </c>
      <c r="D11430" s="254">
        <v>3572.06</v>
      </c>
      <c r="E11430"/>
      <c r="F11430"/>
      <c r="G11430"/>
      <c r="H11430"/>
      <c r="I11430" s="489"/>
      <c r="J11430" s="1362"/>
      <c r="K11430" s="1362"/>
      <c r="L11430" s="1362"/>
    </row>
    <row r="11431" spans="1:12" x14ac:dyDescent="0.25">
      <c r="A11431">
        <v>95969</v>
      </c>
      <c r="B11431" t="s">
        <v>1300</v>
      </c>
      <c r="C11431" t="s">
        <v>1159</v>
      </c>
      <c r="D11431" s="254">
        <v>3619.59</v>
      </c>
      <c r="E11431"/>
      <c r="F11431"/>
      <c r="G11431"/>
      <c r="H11431"/>
      <c r="I11431" s="489"/>
      <c r="J11431" s="1362"/>
      <c r="K11431" s="1362"/>
      <c r="L11431" s="1362"/>
    </row>
    <row r="11432" spans="1:12" x14ac:dyDescent="0.25">
      <c r="A11432">
        <v>97733</v>
      </c>
      <c r="B11432" t="s">
        <v>1301</v>
      </c>
      <c r="C11432" t="s">
        <v>1159</v>
      </c>
      <c r="D11432" s="254">
        <v>3606.72</v>
      </c>
      <c r="E11432"/>
      <c r="F11432"/>
      <c r="G11432"/>
      <c r="H11432"/>
      <c r="I11432" s="489"/>
      <c r="J11432" s="1362"/>
      <c r="K11432" s="1362"/>
      <c r="L11432" s="1362"/>
    </row>
    <row r="11433" spans="1:12" x14ac:dyDescent="0.25">
      <c r="A11433">
        <v>97734</v>
      </c>
      <c r="B11433" t="s">
        <v>1302</v>
      </c>
      <c r="C11433" t="s">
        <v>1159</v>
      </c>
      <c r="D11433" s="254">
        <v>3135.26</v>
      </c>
      <c r="E11433"/>
      <c r="F11433"/>
      <c r="G11433"/>
      <c r="H11433"/>
      <c r="I11433" s="489"/>
      <c r="J11433" s="1362"/>
      <c r="K11433" s="1362"/>
      <c r="L11433" s="1362"/>
    </row>
    <row r="11434" spans="1:12" x14ac:dyDescent="0.25">
      <c r="A11434">
        <v>97735</v>
      </c>
      <c r="B11434" t="s">
        <v>1303</v>
      </c>
      <c r="C11434" t="s">
        <v>1159</v>
      </c>
      <c r="D11434" s="254">
        <v>2586.3200000000002</v>
      </c>
      <c r="E11434"/>
      <c r="F11434"/>
      <c r="G11434"/>
      <c r="H11434"/>
      <c r="I11434" s="489"/>
      <c r="J11434" s="1362"/>
      <c r="K11434" s="1362"/>
      <c r="L11434" s="1362"/>
    </row>
    <row r="11435" spans="1:12" x14ac:dyDescent="0.25">
      <c r="A11435">
        <v>97736</v>
      </c>
      <c r="B11435" t="s">
        <v>1304</v>
      </c>
      <c r="C11435" t="s">
        <v>1159</v>
      </c>
      <c r="D11435" s="254">
        <v>1577.87</v>
      </c>
      <c r="E11435"/>
      <c r="F11435"/>
      <c r="G11435"/>
      <c r="H11435"/>
      <c r="I11435" s="489"/>
      <c r="J11435" s="1362"/>
      <c r="K11435" s="1362"/>
      <c r="L11435" s="1362"/>
    </row>
    <row r="11436" spans="1:12" x14ac:dyDescent="0.25">
      <c r="A11436">
        <v>97737</v>
      </c>
      <c r="B11436" t="s">
        <v>1305</v>
      </c>
      <c r="C11436" t="s">
        <v>1159</v>
      </c>
      <c r="D11436" s="254">
        <v>3466.11</v>
      </c>
      <c r="E11436"/>
      <c r="F11436"/>
      <c r="G11436"/>
      <c r="H11436"/>
      <c r="I11436" s="489"/>
      <c r="J11436" s="1362"/>
      <c r="K11436" s="1362"/>
      <c r="L11436" s="1362"/>
    </row>
    <row r="11437" spans="1:12" x14ac:dyDescent="0.25">
      <c r="A11437">
        <v>97738</v>
      </c>
      <c r="B11437" t="s">
        <v>2661</v>
      </c>
      <c r="C11437" t="s">
        <v>1159</v>
      </c>
      <c r="D11437" s="254">
        <v>6058.35</v>
      </c>
      <c r="E11437"/>
      <c r="F11437"/>
      <c r="G11437"/>
      <c r="H11437"/>
      <c r="I11437" s="489"/>
      <c r="J11437" s="1362"/>
      <c r="K11437" s="1362"/>
      <c r="L11437" s="1362"/>
    </row>
    <row r="11438" spans="1:12" x14ac:dyDescent="0.25">
      <c r="A11438">
        <v>97739</v>
      </c>
      <c r="B11438" t="s">
        <v>1306</v>
      </c>
      <c r="C11438" t="s">
        <v>1159</v>
      </c>
      <c r="D11438" s="254">
        <v>3193.24</v>
      </c>
      <c r="E11438"/>
      <c r="F11438"/>
      <c r="G11438"/>
      <c r="H11438"/>
      <c r="I11438" s="489"/>
      <c r="J11438" s="1362"/>
      <c r="K11438" s="1362"/>
      <c r="L11438" s="1362"/>
    </row>
    <row r="11439" spans="1:12" x14ac:dyDescent="0.25">
      <c r="A11439">
        <v>97740</v>
      </c>
      <c r="B11439" t="s">
        <v>1307</v>
      </c>
      <c r="C11439" t="s">
        <v>1159</v>
      </c>
      <c r="D11439" s="254">
        <v>2274.29</v>
      </c>
      <c r="E11439"/>
      <c r="F11439"/>
      <c r="G11439"/>
      <c r="H11439"/>
      <c r="I11439" s="489"/>
      <c r="J11439" s="1362"/>
      <c r="K11439" s="1362"/>
      <c r="L11439" s="1362"/>
    </row>
    <row r="11440" spans="1:12" x14ac:dyDescent="0.25">
      <c r="A11440">
        <v>98615</v>
      </c>
      <c r="B11440" t="s">
        <v>2961</v>
      </c>
      <c r="C11440" t="s">
        <v>297</v>
      </c>
      <c r="D11440" s="254">
        <v>146.03</v>
      </c>
      <c r="E11440"/>
      <c r="F11440"/>
      <c r="G11440"/>
      <c r="H11440"/>
      <c r="I11440" s="489"/>
      <c r="J11440" s="1362"/>
      <c r="K11440" s="1362"/>
      <c r="L11440" s="1362"/>
    </row>
    <row r="11441" spans="1:12" x14ac:dyDescent="0.25">
      <c r="A11441">
        <v>98616</v>
      </c>
      <c r="B11441" t="s">
        <v>2962</v>
      </c>
      <c r="C11441" t="s">
        <v>297</v>
      </c>
      <c r="D11441" s="254">
        <v>113.61</v>
      </c>
      <c r="E11441"/>
      <c r="F11441"/>
      <c r="G11441"/>
      <c r="H11441"/>
      <c r="I11441" s="489"/>
      <c r="J11441" s="1362"/>
      <c r="K11441" s="1362"/>
      <c r="L11441" s="1362"/>
    </row>
    <row r="11442" spans="1:12" x14ac:dyDescent="0.25">
      <c r="A11442">
        <v>98617</v>
      </c>
      <c r="B11442" t="s">
        <v>2963</v>
      </c>
      <c r="C11442" t="s">
        <v>297</v>
      </c>
      <c r="D11442" s="254">
        <v>104.89</v>
      </c>
      <c r="E11442"/>
      <c r="F11442"/>
      <c r="G11442"/>
      <c r="H11442"/>
      <c r="I11442" s="489"/>
      <c r="J11442" s="1362"/>
      <c r="K11442" s="1362"/>
      <c r="L11442" s="1362"/>
    </row>
    <row r="11443" spans="1:12" x14ac:dyDescent="0.25">
      <c r="A11443">
        <v>98618</v>
      </c>
      <c r="B11443" t="s">
        <v>2964</v>
      </c>
      <c r="C11443" t="s">
        <v>297</v>
      </c>
      <c r="D11443" s="254">
        <v>144.04</v>
      </c>
      <c r="E11443"/>
      <c r="F11443"/>
      <c r="G11443"/>
      <c r="H11443"/>
      <c r="I11443" s="489"/>
      <c r="J11443" s="1362"/>
      <c r="K11443" s="1362"/>
      <c r="L11443" s="1362"/>
    </row>
    <row r="11444" spans="1:12" x14ac:dyDescent="0.25">
      <c r="A11444">
        <v>98619</v>
      </c>
      <c r="B11444" t="s">
        <v>2965</v>
      </c>
      <c r="C11444" t="s">
        <v>297</v>
      </c>
      <c r="D11444" s="254">
        <v>130.83000000000001</v>
      </c>
      <c r="E11444"/>
      <c r="F11444"/>
      <c r="G11444"/>
      <c r="H11444"/>
      <c r="I11444" s="489"/>
      <c r="J11444" s="1362"/>
      <c r="K11444" s="1362"/>
      <c r="L11444" s="1362"/>
    </row>
    <row r="11445" spans="1:12" x14ac:dyDescent="0.25">
      <c r="A11445">
        <v>98620</v>
      </c>
      <c r="B11445" t="s">
        <v>2966</v>
      </c>
      <c r="C11445" t="s">
        <v>297</v>
      </c>
      <c r="D11445" s="254">
        <v>124.18</v>
      </c>
      <c r="E11445"/>
      <c r="F11445"/>
      <c r="G11445"/>
      <c r="H11445"/>
      <c r="I11445" s="489"/>
      <c r="J11445" s="1362"/>
      <c r="K11445" s="1362"/>
      <c r="L11445" s="1362"/>
    </row>
    <row r="11446" spans="1:12" x14ac:dyDescent="0.25">
      <c r="A11446">
        <v>98621</v>
      </c>
      <c r="B11446" t="s">
        <v>2967</v>
      </c>
      <c r="C11446" t="s">
        <v>297</v>
      </c>
      <c r="D11446" s="254">
        <v>163.01</v>
      </c>
      <c r="E11446"/>
      <c r="F11446"/>
      <c r="G11446"/>
      <c r="H11446"/>
      <c r="I11446" s="489"/>
      <c r="J11446" s="1362"/>
      <c r="K11446" s="1362"/>
      <c r="L11446" s="1362"/>
    </row>
    <row r="11447" spans="1:12" x14ac:dyDescent="0.25">
      <c r="A11447">
        <v>98622</v>
      </c>
      <c r="B11447" t="s">
        <v>2968</v>
      </c>
      <c r="C11447" t="s">
        <v>297</v>
      </c>
      <c r="D11447" s="254">
        <v>152.4</v>
      </c>
      <c r="E11447"/>
      <c r="F11447"/>
      <c r="G11447"/>
      <c r="H11447"/>
      <c r="I11447" s="489"/>
      <c r="J11447" s="1362"/>
      <c r="K11447" s="1362"/>
      <c r="L11447" s="1362"/>
    </row>
    <row r="11448" spans="1:12" x14ac:dyDescent="0.25">
      <c r="A11448">
        <v>98623</v>
      </c>
      <c r="B11448" t="s">
        <v>2969</v>
      </c>
      <c r="C11448" t="s">
        <v>297</v>
      </c>
      <c r="D11448" s="254">
        <v>146.99</v>
      </c>
      <c r="E11448"/>
      <c r="F11448"/>
      <c r="G11448"/>
      <c r="H11448"/>
      <c r="I11448" s="489"/>
      <c r="J11448" s="1362"/>
      <c r="K11448" s="1362"/>
      <c r="L11448" s="1362"/>
    </row>
    <row r="11449" spans="1:12" x14ac:dyDescent="0.25">
      <c r="A11449">
        <v>98624</v>
      </c>
      <c r="B11449" t="s">
        <v>2970</v>
      </c>
      <c r="C11449" t="s">
        <v>297</v>
      </c>
      <c r="D11449" s="254">
        <v>183.7</v>
      </c>
      <c r="E11449"/>
      <c r="F11449"/>
      <c r="G11449"/>
      <c r="H11449"/>
      <c r="I11449" s="489"/>
      <c r="J11449" s="1362"/>
      <c r="K11449" s="1362"/>
      <c r="L11449" s="1362"/>
    </row>
    <row r="11450" spans="1:12" x14ac:dyDescent="0.25">
      <c r="A11450">
        <v>98625</v>
      </c>
      <c r="B11450" t="s">
        <v>2971</v>
      </c>
      <c r="C11450" t="s">
        <v>297</v>
      </c>
      <c r="D11450" s="254">
        <v>174.74</v>
      </c>
      <c r="E11450"/>
      <c r="F11450"/>
      <c r="G11450"/>
      <c r="H11450"/>
      <c r="I11450" s="489"/>
      <c r="J11450" s="1362"/>
      <c r="K11450" s="1362"/>
      <c r="L11450" s="1362"/>
    </row>
    <row r="11451" spans="1:12" x14ac:dyDescent="0.25">
      <c r="A11451">
        <v>98626</v>
      </c>
      <c r="B11451" t="s">
        <v>2972</v>
      </c>
      <c r="C11451" t="s">
        <v>297</v>
      </c>
      <c r="D11451" s="254">
        <v>170.12</v>
      </c>
      <c r="E11451"/>
      <c r="F11451"/>
      <c r="G11451"/>
      <c r="H11451"/>
      <c r="I11451" s="489"/>
      <c r="J11451" s="1362"/>
      <c r="K11451" s="1362"/>
      <c r="L11451" s="1362"/>
    </row>
    <row r="11452" spans="1:12" x14ac:dyDescent="0.25">
      <c r="A11452">
        <v>98655</v>
      </c>
      <c r="B11452" t="s">
        <v>2973</v>
      </c>
      <c r="C11452" t="s">
        <v>151</v>
      </c>
      <c r="D11452" s="254">
        <v>703.93</v>
      </c>
      <c r="E11452"/>
      <c r="F11452"/>
      <c r="G11452"/>
      <c r="H11452"/>
      <c r="I11452" s="489"/>
      <c r="J11452" s="1362"/>
      <c r="K11452" s="1362"/>
      <c r="L11452" s="1362"/>
    </row>
    <row r="11453" spans="1:12" x14ac:dyDescent="0.25">
      <c r="A11453">
        <v>98656</v>
      </c>
      <c r="B11453" t="s">
        <v>2974</v>
      </c>
      <c r="C11453" t="s">
        <v>151</v>
      </c>
      <c r="D11453" s="254">
        <v>715.58</v>
      </c>
      <c r="E11453"/>
      <c r="F11453"/>
      <c r="G11453"/>
      <c r="H11453"/>
      <c r="I11453" s="489"/>
      <c r="J11453" s="1362"/>
      <c r="K11453" s="1362"/>
      <c r="L11453" s="1362"/>
    </row>
    <row r="11454" spans="1:12" x14ac:dyDescent="0.25">
      <c r="A11454">
        <v>98657</v>
      </c>
      <c r="B11454" t="s">
        <v>2975</v>
      </c>
      <c r="C11454" t="s">
        <v>151</v>
      </c>
      <c r="D11454" s="254">
        <v>727.26</v>
      </c>
      <c r="E11454"/>
      <c r="F11454"/>
      <c r="G11454"/>
      <c r="H11454"/>
      <c r="I11454" s="489"/>
      <c r="J11454" s="1362"/>
      <c r="K11454" s="1362"/>
      <c r="L11454" s="1362"/>
    </row>
    <row r="11455" spans="1:12" x14ac:dyDescent="0.25">
      <c r="A11455">
        <v>98658</v>
      </c>
      <c r="B11455" t="s">
        <v>2976</v>
      </c>
      <c r="C11455" t="s">
        <v>151</v>
      </c>
      <c r="D11455" s="254">
        <v>738.93</v>
      </c>
      <c r="E11455"/>
      <c r="F11455"/>
      <c r="G11455"/>
      <c r="H11455"/>
      <c r="I11455" s="489"/>
      <c r="J11455" s="1362"/>
      <c r="K11455" s="1362"/>
      <c r="L11455" s="1362"/>
    </row>
    <row r="11456" spans="1:12" x14ac:dyDescent="0.25">
      <c r="A11456">
        <v>98659</v>
      </c>
      <c r="B11456" t="s">
        <v>2977</v>
      </c>
      <c r="C11456" t="s">
        <v>151</v>
      </c>
      <c r="D11456" s="254">
        <v>762.26</v>
      </c>
      <c r="E11456"/>
      <c r="F11456"/>
      <c r="G11456"/>
      <c r="H11456"/>
      <c r="I11456" s="489"/>
      <c r="J11456" s="1362"/>
      <c r="K11456" s="1362"/>
      <c r="L11456" s="1362"/>
    </row>
    <row r="11457" spans="1:12" x14ac:dyDescent="0.25">
      <c r="A11457">
        <v>98746</v>
      </c>
      <c r="B11457" t="s">
        <v>2978</v>
      </c>
      <c r="C11457" t="s">
        <v>151</v>
      </c>
      <c r="D11457" s="254">
        <v>71.09</v>
      </c>
      <c r="E11457"/>
      <c r="F11457"/>
      <c r="G11457"/>
      <c r="H11457"/>
      <c r="I11457" s="489"/>
      <c r="J11457" s="1362"/>
      <c r="K11457" s="1362"/>
      <c r="L11457" s="1362"/>
    </row>
    <row r="11458" spans="1:12" x14ac:dyDescent="0.25">
      <c r="A11458">
        <v>98749</v>
      </c>
      <c r="B11458" t="s">
        <v>2979</v>
      </c>
      <c r="C11458" t="s">
        <v>151</v>
      </c>
      <c r="D11458" s="254">
        <v>85.37</v>
      </c>
      <c r="E11458"/>
      <c r="F11458"/>
      <c r="G11458"/>
      <c r="H11458"/>
      <c r="I11458" s="489"/>
      <c r="J11458" s="1362"/>
      <c r="K11458" s="1362"/>
      <c r="L11458" s="1362"/>
    </row>
    <row r="11459" spans="1:12" x14ac:dyDescent="0.25">
      <c r="A11459">
        <v>98750</v>
      </c>
      <c r="B11459" t="s">
        <v>2980</v>
      </c>
      <c r="C11459" t="s">
        <v>151</v>
      </c>
      <c r="D11459" s="254">
        <v>102.67</v>
      </c>
      <c r="E11459"/>
      <c r="F11459"/>
      <c r="G11459"/>
      <c r="H11459"/>
      <c r="I11459" s="489"/>
      <c r="J11459" s="1362"/>
      <c r="K11459" s="1362"/>
      <c r="L11459" s="1362"/>
    </row>
    <row r="11460" spans="1:12" x14ac:dyDescent="0.25">
      <c r="A11460">
        <v>98751</v>
      </c>
      <c r="B11460" t="s">
        <v>2981</v>
      </c>
      <c r="C11460" t="s">
        <v>151</v>
      </c>
      <c r="D11460" s="254">
        <v>147.86000000000001</v>
      </c>
      <c r="E11460"/>
      <c r="F11460"/>
      <c r="G11460"/>
      <c r="H11460"/>
      <c r="I11460" s="489"/>
      <c r="J11460" s="1362"/>
      <c r="K11460" s="1362"/>
      <c r="L11460" s="1362"/>
    </row>
    <row r="11461" spans="1:12" x14ac:dyDescent="0.25">
      <c r="A11461">
        <v>98752</v>
      </c>
      <c r="B11461" t="s">
        <v>2982</v>
      </c>
      <c r="C11461" t="s">
        <v>151</v>
      </c>
      <c r="D11461" s="254">
        <v>202.32</v>
      </c>
      <c r="E11461"/>
      <c r="F11461"/>
      <c r="G11461"/>
      <c r="H11461"/>
      <c r="I11461" s="489"/>
      <c r="J11461" s="1362"/>
      <c r="K11461" s="1362"/>
      <c r="L11461" s="1362"/>
    </row>
    <row r="11462" spans="1:12" x14ac:dyDescent="0.25">
      <c r="A11462">
        <v>98753</v>
      </c>
      <c r="B11462" t="s">
        <v>2983</v>
      </c>
      <c r="C11462" t="s">
        <v>151</v>
      </c>
      <c r="D11462" s="254">
        <v>270.10000000000002</v>
      </c>
      <c r="E11462"/>
      <c r="F11462"/>
      <c r="G11462"/>
      <c r="H11462"/>
      <c r="I11462" s="489"/>
      <c r="J11462" s="1362"/>
      <c r="K11462" s="1362"/>
      <c r="L11462" s="1362"/>
    </row>
    <row r="11463" spans="1:12" x14ac:dyDescent="0.25">
      <c r="A11463">
        <v>100763</v>
      </c>
      <c r="B11463" t="s">
        <v>4086</v>
      </c>
      <c r="C11463" t="s">
        <v>282</v>
      </c>
      <c r="D11463" s="254">
        <v>21.33</v>
      </c>
      <c r="E11463"/>
      <c r="F11463"/>
      <c r="G11463"/>
      <c r="H11463"/>
      <c r="I11463" s="489"/>
      <c r="J11463" s="1362"/>
      <c r="K11463" s="1362"/>
      <c r="L11463" s="1362"/>
    </row>
    <row r="11464" spans="1:12" x14ac:dyDescent="0.25">
      <c r="A11464">
        <v>100764</v>
      </c>
      <c r="B11464" t="s">
        <v>4087</v>
      </c>
      <c r="C11464" t="s">
        <v>282</v>
      </c>
      <c r="D11464" s="254">
        <v>21.24</v>
      </c>
      <c r="E11464"/>
      <c r="F11464"/>
      <c r="G11464"/>
      <c r="H11464"/>
      <c r="I11464" s="489"/>
      <c r="J11464" s="1362"/>
      <c r="K11464" s="1362"/>
      <c r="L11464" s="1362"/>
    </row>
    <row r="11465" spans="1:12" x14ac:dyDescent="0.25">
      <c r="A11465">
        <v>100765</v>
      </c>
      <c r="B11465" t="s">
        <v>4088</v>
      </c>
      <c r="C11465" t="s">
        <v>282</v>
      </c>
      <c r="D11465" s="254">
        <v>21.03</v>
      </c>
      <c r="E11465"/>
      <c r="F11465"/>
      <c r="G11465"/>
      <c r="H11465"/>
      <c r="I11465" s="489"/>
      <c r="J11465" s="1362"/>
      <c r="K11465" s="1362"/>
      <c r="L11465" s="1362"/>
    </row>
    <row r="11466" spans="1:12" x14ac:dyDescent="0.25">
      <c r="A11466">
        <v>100766</v>
      </c>
      <c r="B11466" t="s">
        <v>6105</v>
      </c>
      <c r="C11466" t="s">
        <v>282</v>
      </c>
      <c r="D11466" s="254">
        <v>21.37</v>
      </c>
      <c r="E11466"/>
      <c r="F11466"/>
      <c r="G11466"/>
      <c r="H11466"/>
      <c r="I11466" s="489"/>
      <c r="J11466" s="1362"/>
      <c r="K11466" s="1362"/>
      <c r="L11466" s="1362"/>
    </row>
    <row r="11467" spans="1:12" x14ac:dyDescent="0.25">
      <c r="A11467">
        <v>100767</v>
      </c>
      <c r="B11467" t="s">
        <v>4089</v>
      </c>
      <c r="C11467" t="s">
        <v>282</v>
      </c>
      <c r="D11467" s="254">
        <v>20.45</v>
      </c>
      <c r="E11467"/>
      <c r="F11467"/>
      <c r="G11467"/>
      <c r="H11467"/>
      <c r="I11467" s="489"/>
      <c r="J11467" s="1362"/>
      <c r="K11467" s="1362"/>
      <c r="L11467" s="1362"/>
    </row>
    <row r="11468" spans="1:12" x14ac:dyDescent="0.25">
      <c r="A11468">
        <v>100768</v>
      </c>
      <c r="B11468" t="s">
        <v>6106</v>
      </c>
      <c r="C11468" t="s">
        <v>282</v>
      </c>
      <c r="D11468" s="254">
        <v>27.37</v>
      </c>
      <c r="E11468"/>
      <c r="F11468"/>
      <c r="G11468"/>
      <c r="H11468"/>
      <c r="I11468" s="489"/>
      <c r="J11468" s="1362"/>
      <c r="K11468" s="1362"/>
      <c r="L11468" s="1362"/>
    </row>
    <row r="11469" spans="1:12" x14ac:dyDescent="0.25">
      <c r="A11469">
        <v>100769</v>
      </c>
      <c r="B11469" t="s">
        <v>4090</v>
      </c>
      <c r="C11469" t="s">
        <v>282</v>
      </c>
      <c r="D11469" s="254">
        <v>25.69</v>
      </c>
      <c r="E11469"/>
      <c r="F11469"/>
      <c r="G11469"/>
      <c r="H11469"/>
      <c r="I11469" s="489"/>
      <c r="J11469" s="1362"/>
      <c r="K11469" s="1362"/>
      <c r="L11469" s="1362"/>
    </row>
    <row r="11470" spans="1:12" x14ac:dyDescent="0.25">
      <c r="A11470">
        <v>100770</v>
      </c>
      <c r="B11470" t="s">
        <v>6107</v>
      </c>
      <c r="C11470" t="s">
        <v>282</v>
      </c>
      <c r="D11470" s="254">
        <v>25.06</v>
      </c>
      <c r="E11470"/>
      <c r="F11470"/>
      <c r="G11470"/>
      <c r="H11470"/>
      <c r="I11470" s="489"/>
      <c r="J11470" s="1362"/>
      <c r="K11470" s="1362"/>
      <c r="L11470" s="1362"/>
    </row>
    <row r="11471" spans="1:12" x14ac:dyDescent="0.25">
      <c r="A11471">
        <v>100771</v>
      </c>
      <c r="B11471" t="s">
        <v>4091</v>
      </c>
      <c r="C11471" t="s">
        <v>282</v>
      </c>
      <c r="D11471" s="254">
        <v>32.340000000000003</v>
      </c>
      <c r="E11471"/>
      <c r="F11471"/>
      <c r="G11471"/>
      <c r="H11471"/>
      <c r="I11471" s="489"/>
      <c r="J11471" s="1362"/>
      <c r="K11471" s="1362"/>
      <c r="L11471" s="1362"/>
    </row>
    <row r="11472" spans="1:12" x14ac:dyDescent="0.25">
      <c r="A11472">
        <v>100772</v>
      </c>
      <c r="B11472" t="s">
        <v>6108</v>
      </c>
      <c r="C11472" t="s">
        <v>282</v>
      </c>
      <c r="D11472" s="254">
        <v>20.57</v>
      </c>
      <c r="E11472"/>
      <c r="F11472"/>
      <c r="G11472"/>
      <c r="H11472"/>
      <c r="I11472" s="489"/>
      <c r="J11472" s="1362"/>
      <c r="K11472" s="1362"/>
      <c r="L11472" s="1362"/>
    </row>
    <row r="11473" spans="1:12" x14ac:dyDescent="0.25">
      <c r="A11473">
        <v>100773</v>
      </c>
      <c r="B11473" t="s">
        <v>4092</v>
      </c>
      <c r="C11473" t="s">
        <v>282</v>
      </c>
      <c r="D11473" s="254">
        <v>24.22</v>
      </c>
      <c r="E11473"/>
      <c r="F11473"/>
      <c r="G11473"/>
      <c r="H11473"/>
      <c r="I11473" s="489"/>
      <c r="J11473" s="1362"/>
      <c r="K11473" s="1362"/>
      <c r="L11473" s="1362"/>
    </row>
    <row r="11474" spans="1:12" x14ac:dyDescent="0.25">
      <c r="A11474">
        <v>100774</v>
      </c>
      <c r="B11474" t="s">
        <v>4093</v>
      </c>
      <c r="C11474" t="s">
        <v>282</v>
      </c>
      <c r="D11474" s="254">
        <v>16.329999999999998</v>
      </c>
      <c r="E11474"/>
      <c r="F11474"/>
      <c r="G11474"/>
      <c r="H11474"/>
      <c r="I11474" s="489"/>
      <c r="J11474" s="1362"/>
      <c r="K11474" s="1362"/>
      <c r="L11474" s="1362"/>
    </row>
    <row r="11475" spans="1:12" x14ac:dyDescent="0.25">
      <c r="A11475">
        <v>100775</v>
      </c>
      <c r="B11475" t="s">
        <v>4094</v>
      </c>
      <c r="C11475" t="s">
        <v>282</v>
      </c>
      <c r="D11475" s="254">
        <v>18.37</v>
      </c>
      <c r="E11475"/>
      <c r="F11475"/>
      <c r="G11475"/>
      <c r="H11475"/>
      <c r="I11475" s="489"/>
      <c r="J11475" s="1362"/>
      <c r="K11475" s="1362"/>
      <c r="L11475" s="1362"/>
    </row>
    <row r="11476" spans="1:12" x14ac:dyDescent="0.25">
      <c r="A11476">
        <v>100776</v>
      </c>
      <c r="B11476" t="s">
        <v>4095</v>
      </c>
      <c r="C11476" t="s">
        <v>282</v>
      </c>
      <c r="D11476" s="254">
        <v>24.38</v>
      </c>
      <c r="E11476"/>
      <c r="F11476"/>
      <c r="G11476"/>
      <c r="H11476"/>
      <c r="I11476" s="489"/>
      <c r="J11476" s="1362"/>
      <c r="K11476" s="1362"/>
      <c r="L11476" s="1362"/>
    </row>
    <row r="11477" spans="1:12" x14ac:dyDescent="0.25">
      <c r="A11477">
        <v>100777</v>
      </c>
      <c r="B11477" t="s">
        <v>4096</v>
      </c>
      <c r="C11477" t="s">
        <v>282</v>
      </c>
      <c r="D11477" s="254">
        <v>18.600000000000001</v>
      </c>
      <c r="E11477"/>
      <c r="F11477"/>
      <c r="G11477"/>
      <c r="H11477"/>
      <c r="I11477" s="489"/>
      <c r="J11477" s="1362"/>
      <c r="K11477" s="1362"/>
      <c r="L11477" s="1362"/>
    </row>
    <row r="11478" spans="1:12" x14ac:dyDescent="0.25">
      <c r="A11478">
        <v>100778</v>
      </c>
      <c r="B11478" t="s">
        <v>4097</v>
      </c>
      <c r="C11478" t="s">
        <v>282</v>
      </c>
      <c r="D11478" s="254">
        <v>14.55</v>
      </c>
      <c r="E11478"/>
      <c r="F11478"/>
      <c r="G11478"/>
      <c r="H11478"/>
      <c r="I11478" s="489"/>
      <c r="J11478" s="1362"/>
      <c r="K11478" s="1362"/>
      <c r="L11478" s="1362"/>
    </row>
    <row r="11479" spans="1:12" x14ac:dyDescent="0.25">
      <c r="A11479">
        <v>103795</v>
      </c>
      <c r="B11479" t="s">
        <v>18575</v>
      </c>
      <c r="C11479" t="s">
        <v>297</v>
      </c>
      <c r="D11479" s="254">
        <v>91.26</v>
      </c>
      <c r="E11479"/>
      <c r="F11479"/>
      <c r="G11479"/>
      <c r="H11479"/>
      <c r="I11479" s="489"/>
      <c r="J11479" s="1362"/>
      <c r="K11479" s="1362"/>
      <c r="L11479" s="1362"/>
    </row>
    <row r="11480" spans="1:12" x14ac:dyDescent="0.25">
      <c r="A11480">
        <v>103796</v>
      </c>
      <c r="B11480" t="s">
        <v>18576</v>
      </c>
      <c r="C11480" t="s">
        <v>297</v>
      </c>
      <c r="D11480" s="254">
        <v>57.09</v>
      </c>
      <c r="E11480"/>
      <c r="F11480"/>
      <c r="G11480"/>
      <c r="H11480"/>
      <c r="I11480" s="489"/>
      <c r="J11480" s="1362"/>
      <c r="K11480" s="1362"/>
      <c r="L11480" s="1362"/>
    </row>
    <row r="11481" spans="1:12" x14ac:dyDescent="0.25">
      <c r="A11481">
        <v>103797</v>
      </c>
      <c r="B11481" t="s">
        <v>18577</v>
      </c>
      <c r="C11481" t="s">
        <v>282</v>
      </c>
      <c r="D11481" s="254">
        <v>18.22</v>
      </c>
      <c r="E11481"/>
      <c r="F11481"/>
      <c r="G11481"/>
      <c r="H11481"/>
      <c r="I11481" s="489"/>
      <c r="J11481" s="1362"/>
      <c r="K11481" s="1362"/>
      <c r="L11481" s="1362"/>
    </row>
    <row r="11482" spans="1:12" x14ac:dyDescent="0.25">
      <c r="A11482">
        <v>103798</v>
      </c>
      <c r="B11482" t="s">
        <v>18578</v>
      </c>
      <c r="C11482" t="s">
        <v>1159</v>
      </c>
      <c r="D11482" s="254">
        <v>633.76</v>
      </c>
      <c r="E11482"/>
      <c r="F11482"/>
      <c r="G11482"/>
      <c r="H11482"/>
      <c r="I11482" s="489"/>
      <c r="J11482" s="1362"/>
      <c r="K11482" s="1362"/>
      <c r="L11482" s="1362"/>
    </row>
    <row r="11483" spans="1:12" x14ac:dyDescent="0.25">
      <c r="A11483">
        <v>103799</v>
      </c>
      <c r="B11483" t="s">
        <v>18579</v>
      </c>
      <c r="C11483" t="s">
        <v>1159</v>
      </c>
      <c r="D11483" s="254">
        <v>437</v>
      </c>
      <c r="E11483"/>
      <c r="F11483"/>
      <c r="G11483"/>
      <c r="H11483"/>
      <c r="I11483" s="489"/>
      <c r="J11483" s="1362"/>
      <c r="K11483" s="1362"/>
      <c r="L11483" s="1362"/>
    </row>
    <row r="11484" spans="1:12" x14ac:dyDescent="0.25">
      <c r="A11484">
        <v>103800</v>
      </c>
      <c r="B11484" t="s">
        <v>18580</v>
      </c>
      <c r="C11484" t="s">
        <v>1159</v>
      </c>
      <c r="D11484" s="254">
        <v>530.55999999999995</v>
      </c>
      <c r="E11484"/>
      <c r="F11484"/>
      <c r="G11484"/>
      <c r="H11484"/>
      <c r="I11484" s="489"/>
      <c r="J11484" s="1362"/>
      <c r="K11484" s="1362"/>
      <c r="L11484" s="1362"/>
    </row>
    <row r="11485" spans="1:12" x14ac:dyDescent="0.25">
      <c r="A11485">
        <v>103801</v>
      </c>
      <c r="B11485" t="s">
        <v>18581</v>
      </c>
      <c r="C11485" t="s">
        <v>1159</v>
      </c>
      <c r="D11485" s="254">
        <v>678.54</v>
      </c>
      <c r="E11485"/>
      <c r="F11485"/>
      <c r="G11485"/>
      <c r="H11485"/>
      <c r="I11485" s="489"/>
      <c r="J11485" s="1362"/>
      <c r="K11485" s="1362"/>
      <c r="L11485" s="1362"/>
    </row>
    <row r="11486" spans="1:12" x14ac:dyDescent="0.25">
      <c r="A11486">
        <v>103925</v>
      </c>
      <c r="B11486" t="s">
        <v>18582</v>
      </c>
      <c r="C11486" t="s">
        <v>1159</v>
      </c>
      <c r="D11486" s="254">
        <v>1769.83</v>
      </c>
      <c r="E11486"/>
      <c r="F11486"/>
      <c r="G11486"/>
      <c r="H11486"/>
      <c r="I11486" s="489"/>
      <c r="J11486" s="1362"/>
      <c r="K11486" s="1362"/>
      <c r="L11486" s="1362"/>
    </row>
    <row r="11487" spans="1:12" x14ac:dyDescent="0.25">
      <c r="A11487">
        <v>103926</v>
      </c>
      <c r="B11487" t="s">
        <v>18583</v>
      </c>
      <c r="C11487" t="s">
        <v>1159</v>
      </c>
      <c r="D11487" s="254">
        <v>1415.97</v>
      </c>
      <c r="E11487"/>
      <c r="F11487"/>
      <c r="G11487"/>
      <c r="H11487"/>
      <c r="I11487" s="489"/>
      <c r="J11487" s="1362"/>
      <c r="K11487" s="1362"/>
      <c r="L11487" s="1362"/>
    </row>
    <row r="11488" spans="1:12" x14ac:dyDescent="0.25">
      <c r="A11488">
        <v>103928</v>
      </c>
      <c r="B11488" t="s">
        <v>18584</v>
      </c>
      <c r="C11488" t="s">
        <v>1159</v>
      </c>
      <c r="D11488" s="254">
        <v>530.55999999999995</v>
      </c>
      <c r="E11488"/>
      <c r="F11488"/>
      <c r="G11488"/>
      <c r="H11488"/>
      <c r="I11488" s="489"/>
      <c r="J11488" s="1362"/>
      <c r="K11488" s="1362"/>
      <c r="L11488" s="1362"/>
    </row>
    <row r="11489" spans="1:12" x14ac:dyDescent="0.25">
      <c r="A11489">
        <v>103929</v>
      </c>
      <c r="B11489" t="s">
        <v>18585</v>
      </c>
      <c r="C11489" t="s">
        <v>1159</v>
      </c>
      <c r="D11489" s="254">
        <v>1249.5</v>
      </c>
      <c r="E11489"/>
      <c r="F11489"/>
      <c r="G11489"/>
      <c r="H11489"/>
      <c r="I11489" s="489"/>
      <c r="J11489" s="1362"/>
      <c r="K11489" s="1362"/>
      <c r="L11489" s="1362"/>
    </row>
    <row r="11490" spans="1:12" x14ac:dyDescent="0.25">
      <c r="A11490">
        <v>103930</v>
      </c>
      <c r="B11490" t="s">
        <v>18586</v>
      </c>
      <c r="C11490" t="s">
        <v>1159</v>
      </c>
      <c r="D11490" s="254">
        <v>783.83</v>
      </c>
      <c r="E11490"/>
      <c r="F11490"/>
      <c r="G11490"/>
      <c r="H11490"/>
      <c r="I11490" s="489"/>
      <c r="J11490" s="1362"/>
      <c r="K11490" s="1362"/>
      <c r="L11490" s="1362"/>
    </row>
    <row r="11491" spans="1:12" x14ac:dyDescent="0.25">
      <c r="A11491">
        <v>103931</v>
      </c>
      <c r="B11491" t="s">
        <v>18587</v>
      </c>
      <c r="C11491" t="s">
        <v>1159</v>
      </c>
      <c r="D11491" s="254">
        <v>586.29</v>
      </c>
      <c r="E11491"/>
      <c r="F11491"/>
      <c r="G11491"/>
      <c r="H11491"/>
      <c r="I11491" s="489"/>
      <c r="J11491" s="1362"/>
      <c r="K11491" s="1362"/>
      <c r="L11491" s="1362"/>
    </row>
    <row r="11492" spans="1:12" x14ac:dyDescent="0.25">
      <c r="A11492">
        <v>103932</v>
      </c>
      <c r="B11492" t="s">
        <v>18588</v>
      </c>
      <c r="C11492" t="s">
        <v>1159</v>
      </c>
      <c r="D11492" s="254">
        <v>557.35</v>
      </c>
      <c r="E11492"/>
      <c r="F11492"/>
      <c r="G11492"/>
      <c r="H11492"/>
      <c r="I11492" s="489"/>
      <c r="J11492" s="1362"/>
      <c r="K11492" s="1362"/>
      <c r="L11492" s="1362"/>
    </row>
    <row r="11493" spans="1:12" x14ac:dyDescent="0.25">
      <c r="A11493">
        <v>103933</v>
      </c>
      <c r="B11493" t="s">
        <v>18589</v>
      </c>
      <c r="C11493" t="s">
        <v>1159</v>
      </c>
      <c r="D11493" s="254">
        <v>1551.87</v>
      </c>
      <c r="E11493"/>
      <c r="F11493"/>
      <c r="G11493"/>
      <c r="H11493"/>
      <c r="I11493" s="489"/>
      <c r="J11493" s="1362"/>
      <c r="K11493" s="1362"/>
      <c r="L11493" s="1362"/>
    </row>
    <row r="11494" spans="1:12" x14ac:dyDescent="0.25">
      <c r="A11494">
        <v>98560</v>
      </c>
      <c r="B11494" t="s">
        <v>2984</v>
      </c>
      <c r="C11494" t="s">
        <v>297</v>
      </c>
      <c r="D11494" s="254">
        <v>53.62</v>
      </c>
      <c r="E11494"/>
      <c r="F11494"/>
      <c r="G11494"/>
      <c r="H11494"/>
      <c r="I11494" s="489"/>
      <c r="J11494" s="1362"/>
      <c r="K11494" s="1362"/>
      <c r="L11494" s="1362"/>
    </row>
    <row r="11495" spans="1:12" x14ac:dyDescent="0.25">
      <c r="A11495">
        <v>98561</v>
      </c>
      <c r="B11495" t="s">
        <v>2985</v>
      </c>
      <c r="C11495" t="s">
        <v>297</v>
      </c>
      <c r="D11495" s="254">
        <v>47.08</v>
      </c>
      <c r="E11495"/>
      <c r="F11495"/>
      <c r="G11495"/>
      <c r="H11495"/>
      <c r="I11495" s="489"/>
      <c r="J11495" s="1362"/>
      <c r="K11495" s="1362"/>
      <c r="L11495" s="1362"/>
    </row>
    <row r="11496" spans="1:12" x14ac:dyDescent="0.25">
      <c r="A11496">
        <v>98562</v>
      </c>
      <c r="B11496" t="s">
        <v>2986</v>
      </c>
      <c r="C11496" t="s">
        <v>297</v>
      </c>
      <c r="D11496" s="254">
        <v>46.99</v>
      </c>
      <c r="E11496"/>
      <c r="F11496"/>
      <c r="G11496"/>
      <c r="H11496"/>
      <c r="I11496" s="489"/>
      <c r="J11496" s="1362"/>
      <c r="K11496" s="1362"/>
      <c r="L11496" s="1362"/>
    </row>
    <row r="11497" spans="1:12" x14ac:dyDescent="0.25">
      <c r="A11497">
        <v>98555</v>
      </c>
      <c r="B11497" t="s">
        <v>3263</v>
      </c>
      <c r="C11497" t="s">
        <v>297</v>
      </c>
      <c r="D11497" s="254">
        <v>28.29</v>
      </c>
      <c r="E11497"/>
      <c r="F11497"/>
      <c r="G11497"/>
      <c r="H11497"/>
      <c r="I11497" s="489"/>
      <c r="J11497" s="1362"/>
      <c r="K11497" s="1362"/>
      <c r="L11497" s="1362"/>
    </row>
    <row r="11498" spans="1:12" x14ac:dyDescent="0.25">
      <c r="A11498">
        <v>98556</v>
      </c>
      <c r="B11498" t="s">
        <v>3264</v>
      </c>
      <c r="C11498" t="s">
        <v>297</v>
      </c>
      <c r="D11498" s="254">
        <v>52.23</v>
      </c>
      <c r="E11498"/>
      <c r="F11498"/>
      <c r="G11498"/>
      <c r="H11498"/>
      <c r="I11498" s="489"/>
      <c r="J11498" s="1362"/>
      <c r="K11498" s="1362"/>
      <c r="L11498" s="1362"/>
    </row>
    <row r="11499" spans="1:12" x14ac:dyDescent="0.25">
      <c r="A11499">
        <v>98558</v>
      </c>
      <c r="B11499" t="s">
        <v>3265</v>
      </c>
      <c r="C11499" t="s">
        <v>138</v>
      </c>
      <c r="D11499" s="254">
        <v>7.91</v>
      </c>
      <c r="E11499"/>
      <c r="F11499"/>
      <c r="G11499"/>
      <c r="H11499"/>
      <c r="I11499" s="489"/>
      <c r="J11499" s="1362"/>
      <c r="K11499" s="1362"/>
      <c r="L11499" s="1362"/>
    </row>
    <row r="11500" spans="1:12" x14ac:dyDescent="0.25">
      <c r="A11500">
        <v>98559</v>
      </c>
      <c r="B11500" t="s">
        <v>2987</v>
      </c>
      <c r="C11500" t="s">
        <v>151</v>
      </c>
      <c r="D11500" s="254">
        <v>4.5999999999999996</v>
      </c>
      <c r="E11500"/>
      <c r="F11500"/>
      <c r="G11500"/>
      <c r="H11500"/>
      <c r="I11500" s="489"/>
      <c r="J11500" s="1362"/>
      <c r="K11500" s="1362"/>
      <c r="L11500" s="1362"/>
    </row>
    <row r="11501" spans="1:12" x14ac:dyDescent="0.25">
      <c r="A11501">
        <v>98546</v>
      </c>
      <c r="B11501" t="s">
        <v>2988</v>
      </c>
      <c r="C11501" t="s">
        <v>297</v>
      </c>
      <c r="D11501" s="254">
        <v>98.76</v>
      </c>
      <c r="E11501"/>
      <c r="F11501"/>
      <c r="G11501"/>
      <c r="H11501"/>
      <c r="I11501" s="489"/>
      <c r="J11501" s="1362"/>
      <c r="K11501" s="1362"/>
      <c r="L11501" s="1362"/>
    </row>
    <row r="11502" spans="1:12" x14ac:dyDescent="0.25">
      <c r="A11502">
        <v>98547</v>
      </c>
      <c r="B11502" t="s">
        <v>2989</v>
      </c>
      <c r="C11502" t="s">
        <v>297</v>
      </c>
      <c r="D11502" s="254">
        <v>184.28</v>
      </c>
      <c r="E11502"/>
      <c r="F11502"/>
      <c r="G11502"/>
      <c r="H11502"/>
      <c r="I11502" s="489"/>
      <c r="J11502" s="1362"/>
      <c r="K11502" s="1362"/>
      <c r="L11502" s="1362"/>
    </row>
    <row r="11503" spans="1:12" x14ac:dyDescent="0.25">
      <c r="A11503">
        <v>98553</v>
      </c>
      <c r="B11503" t="s">
        <v>4342</v>
      </c>
      <c r="C11503" t="s">
        <v>297</v>
      </c>
      <c r="D11503" s="254">
        <v>126.58</v>
      </c>
      <c r="E11503"/>
      <c r="F11503"/>
      <c r="G11503"/>
      <c r="H11503"/>
      <c r="I11503" s="489"/>
      <c r="J11503" s="1362"/>
      <c r="K11503" s="1362"/>
      <c r="L11503" s="1362"/>
    </row>
    <row r="11504" spans="1:12" x14ac:dyDescent="0.25">
      <c r="A11504">
        <v>98554</v>
      </c>
      <c r="B11504" t="s">
        <v>4343</v>
      </c>
      <c r="C11504" t="s">
        <v>297</v>
      </c>
      <c r="D11504" s="254">
        <v>45.74</v>
      </c>
      <c r="E11504"/>
      <c r="F11504"/>
      <c r="G11504"/>
      <c r="H11504"/>
      <c r="I11504" s="489"/>
      <c r="J11504" s="1362"/>
      <c r="K11504" s="1362"/>
      <c r="L11504" s="1362"/>
    </row>
    <row r="11505" spans="1:12" x14ac:dyDescent="0.25">
      <c r="A11505">
        <v>98557</v>
      </c>
      <c r="B11505" t="s">
        <v>2990</v>
      </c>
      <c r="C11505" t="s">
        <v>297</v>
      </c>
      <c r="D11505" s="254">
        <v>40.57</v>
      </c>
      <c r="E11505"/>
      <c r="F11505"/>
      <c r="G11505"/>
      <c r="H11505"/>
      <c r="I11505" s="489"/>
      <c r="J11505" s="1362"/>
      <c r="K11505" s="1362"/>
      <c r="L11505" s="1362"/>
    </row>
    <row r="11506" spans="1:12" x14ac:dyDescent="0.25">
      <c r="A11506">
        <v>98563</v>
      </c>
      <c r="B11506" t="s">
        <v>2991</v>
      </c>
      <c r="C11506" t="s">
        <v>297</v>
      </c>
      <c r="D11506" s="254">
        <v>37.94</v>
      </c>
      <c r="E11506"/>
      <c r="F11506"/>
      <c r="G11506"/>
      <c r="H11506"/>
      <c r="I11506" s="489"/>
      <c r="J11506" s="1362"/>
      <c r="K11506" s="1362"/>
      <c r="L11506" s="1362"/>
    </row>
    <row r="11507" spans="1:12" x14ac:dyDescent="0.25">
      <c r="A11507">
        <v>98564</v>
      </c>
      <c r="B11507" t="s">
        <v>2992</v>
      </c>
      <c r="C11507" t="s">
        <v>297</v>
      </c>
      <c r="D11507" s="254">
        <v>53.42</v>
      </c>
      <c r="E11507"/>
      <c r="F11507"/>
      <c r="G11507"/>
      <c r="H11507"/>
      <c r="I11507" s="489"/>
      <c r="J11507" s="1362"/>
      <c r="K11507" s="1362"/>
      <c r="L11507" s="1362"/>
    </row>
    <row r="11508" spans="1:12" x14ac:dyDescent="0.25">
      <c r="A11508">
        <v>98565</v>
      </c>
      <c r="B11508" t="s">
        <v>2993</v>
      </c>
      <c r="C11508" t="s">
        <v>297</v>
      </c>
      <c r="D11508" s="254">
        <v>54.83</v>
      </c>
      <c r="E11508"/>
      <c r="F11508"/>
      <c r="G11508"/>
      <c r="H11508"/>
      <c r="I11508" s="489"/>
      <c r="J11508" s="1362"/>
      <c r="K11508" s="1362"/>
      <c r="L11508" s="1362"/>
    </row>
    <row r="11509" spans="1:12" x14ac:dyDescent="0.25">
      <c r="A11509">
        <v>98566</v>
      </c>
      <c r="B11509" t="s">
        <v>2994</v>
      </c>
      <c r="C11509" t="s">
        <v>297</v>
      </c>
      <c r="D11509" s="254">
        <v>70.31</v>
      </c>
      <c r="E11509"/>
      <c r="F11509"/>
      <c r="G11509"/>
      <c r="H11509"/>
      <c r="I11509" s="489"/>
      <c r="J11509" s="1362"/>
      <c r="K11509" s="1362"/>
      <c r="L11509" s="1362"/>
    </row>
    <row r="11510" spans="1:12" x14ac:dyDescent="0.25">
      <c r="A11510">
        <v>98567</v>
      </c>
      <c r="B11510" t="s">
        <v>2995</v>
      </c>
      <c r="C11510" t="s">
        <v>297</v>
      </c>
      <c r="D11510" s="254">
        <v>70.88</v>
      </c>
      <c r="E11510"/>
      <c r="F11510"/>
      <c r="G11510"/>
      <c r="H11510"/>
      <c r="I11510" s="489"/>
      <c r="J11510" s="1362"/>
      <c r="K11510" s="1362"/>
      <c r="L11510" s="1362"/>
    </row>
    <row r="11511" spans="1:12" x14ac:dyDescent="0.25">
      <c r="A11511">
        <v>98568</v>
      </c>
      <c r="B11511" t="s">
        <v>2996</v>
      </c>
      <c r="C11511" t="s">
        <v>297</v>
      </c>
      <c r="D11511" s="254">
        <v>86.33</v>
      </c>
      <c r="E11511"/>
      <c r="F11511"/>
      <c r="G11511"/>
      <c r="H11511"/>
      <c r="I11511" s="489"/>
      <c r="J11511" s="1362"/>
      <c r="K11511" s="1362"/>
      <c r="L11511" s="1362"/>
    </row>
    <row r="11512" spans="1:12" x14ac:dyDescent="0.25">
      <c r="A11512">
        <v>98569</v>
      </c>
      <c r="B11512" t="s">
        <v>2997</v>
      </c>
      <c r="C11512" t="s">
        <v>297</v>
      </c>
      <c r="D11512" s="254">
        <v>87.75</v>
      </c>
      <c r="E11512"/>
      <c r="F11512"/>
      <c r="G11512"/>
      <c r="H11512"/>
      <c r="I11512" s="489"/>
      <c r="J11512" s="1362"/>
      <c r="K11512" s="1362"/>
      <c r="L11512" s="1362"/>
    </row>
    <row r="11513" spans="1:12" x14ac:dyDescent="0.25">
      <c r="A11513">
        <v>98570</v>
      </c>
      <c r="B11513" t="s">
        <v>2998</v>
      </c>
      <c r="C11513" t="s">
        <v>297</v>
      </c>
      <c r="D11513" s="254">
        <v>103.25</v>
      </c>
      <c r="E11513"/>
      <c r="F11513"/>
      <c r="G11513"/>
      <c r="H11513"/>
      <c r="I11513" s="489"/>
      <c r="J11513" s="1362"/>
      <c r="K11513" s="1362"/>
      <c r="L11513" s="1362"/>
    </row>
    <row r="11514" spans="1:12" x14ac:dyDescent="0.25">
      <c r="A11514">
        <v>98571</v>
      </c>
      <c r="B11514" t="s">
        <v>2999</v>
      </c>
      <c r="C11514" t="s">
        <v>297</v>
      </c>
      <c r="D11514" s="254">
        <v>44.23</v>
      </c>
      <c r="E11514"/>
      <c r="F11514"/>
      <c r="G11514"/>
      <c r="H11514"/>
      <c r="I11514" s="489"/>
      <c r="J11514" s="1362"/>
      <c r="K11514" s="1362"/>
      <c r="L11514" s="1362"/>
    </row>
    <row r="11515" spans="1:12" x14ac:dyDescent="0.25">
      <c r="A11515">
        <v>98572</v>
      </c>
      <c r="B11515" t="s">
        <v>3000</v>
      </c>
      <c r="C11515" t="s">
        <v>297</v>
      </c>
      <c r="D11515" s="254">
        <v>54.64</v>
      </c>
      <c r="E11515"/>
      <c r="F11515"/>
      <c r="G11515"/>
      <c r="H11515"/>
      <c r="I11515" s="489"/>
      <c r="J11515" s="1362"/>
      <c r="K11515" s="1362"/>
      <c r="L11515" s="1362"/>
    </row>
    <row r="11516" spans="1:12" x14ac:dyDescent="0.25">
      <c r="A11516">
        <v>98573</v>
      </c>
      <c r="B11516" t="s">
        <v>3001</v>
      </c>
      <c r="C11516" t="s">
        <v>297</v>
      </c>
      <c r="D11516" s="254">
        <v>69.64</v>
      </c>
      <c r="E11516"/>
      <c r="F11516"/>
      <c r="G11516"/>
      <c r="H11516"/>
      <c r="I11516" s="489"/>
      <c r="J11516" s="1362"/>
      <c r="K11516" s="1362"/>
      <c r="L11516" s="1362"/>
    </row>
    <row r="11517" spans="1:12" x14ac:dyDescent="0.25">
      <c r="A11517">
        <v>91831</v>
      </c>
      <c r="B11517" t="s">
        <v>1308</v>
      </c>
      <c r="C11517" t="s">
        <v>151</v>
      </c>
      <c r="D11517" s="254">
        <v>9.0399999999999991</v>
      </c>
      <c r="E11517"/>
      <c r="F11517"/>
      <c r="G11517"/>
      <c r="H11517"/>
      <c r="I11517" s="489"/>
      <c r="J11517" s="1362"/>
      <c r="K11517" s="1362"/>
      <c r="L11517" s="1362"/>
    </row>
    <row r="11518" spans="1:12" x14ac:dyDescent="0.25">
      <c r="A11518">
        <v>91833</v>
      </c>
      <c r="B11518" t="s">
        <v>3266</v>
      </c>
      <c r="C11518" t="s">
        <v>151</v>
      </c>
      <c r="D11518" s="254">
        <v>9.6300000000000008</v>
      </c>
      <c r="E11518"/>
      <c r="F11518"/>
      <c r="G11518"/>
      <c r="H11518"/>
      <c r="I11518" s="489"/>
      <c r="J11518" s="1362"/>
      <c r="K11518" s="1362"/>
      <c r="L11518" s="1362"/>
    </row>
    <row r="11519" spans="1:12" x14ac:dyDescent="0.25">
      <c r="A11519">
        <v>91834</v>
      </c>
      <c r="B11519" t="s">
        <v>1309</v>
      </c>
      <c r="C11519" t="s">
        <v>151</v>
      </c>
      <c r="D11519" s="254">
        <v>10.210000000000001</v>
      </c>
      <c r="E11519"/>
      <c r="F11519"/>
      <c r="G11519"/>
      <c r="H11519"/>
      <c r="I11519" s="489"/>
      <c r="J11519" s="1362"/>
      <c r="K11519" s="1362"/>
      <c r="L11519" s="1362"/>
    </row>
    <row r="11520" spans="1:12" x14ac:dyDescent="0.25">
      <c r="A11520">
        <v>91835</v>
      </c>
      <c r="B11520" t="s">
        <v>3267</v>
      </c>
      <c r="C11520" t="s">
        <v>151</v>
      </c>
      <c r="D11520" s="254">
        <v>11.7</v>
      </c>
      <c r="E11520"/>
      <c r="F11520"/>
      <c r="G11520"/>
      <c r="H11520"/>
      <c r="I11520" s="489"/>
      <c r="J11520" s="1362"/>
      <c r="K11520" s="1362"/>
      <c r="L11520" s="1362"/>
    </row>
    <row r="11521" spans="1:12" x14ac:dyDescent="0.25">
      <c r="A11521">
        <v>91836</v>
      </c>
      <c r="B11521" t="s">
        <v>1310</v>
      </c>
      <c r="C11521" t="s">
        <v>151</v>
      </c>
      <c r="D11521" s="254">
        <v>13.5</v>
      </c>
      <c r="E11521"/>
      <c r="F11521"/>
      <c r="G11521"/>
      <c r="H11521"/>
      <c r="I11521" s="489"/>
      <c r="J11521" s="1362"/>
      <c r="K11521" s="1362"/>
      <c r="L11521" s="1362"/>
    </row>
    <row r="11522" spans="1:12" x14ac:dyDescent="0.25">
      <c r="A11522">
        <v>91837</v>
      </c>
      <c r="B11522" t="s">
        <v>3268</v>
      </c>
      <c r="C11522" t="s">
        <v>151</v>
      </c>
      <c r="D11522" s="254">
        <v>16.95</v>
      </c>
      <c r="E11522"/>
      <c r="F11522"/>
      <c r="G11522"/>
      <c r="H11522"/>
      <c r="I11522" s="489"/>
      <c r="J11522" s="1362"/>
      <c r="K11522" s="1362"/>
      <c r="L11522" s="1362"/>
    </row>
    <row r="11523" spans="1:12" x14ac:dyDescent="0.25">
      <c r="A11523">
        <v>91839</v>
      </c>
      <c r="B11523" t="s">
        <v>3269</v>
      </c>
      <c r="C11523" t="s">
        <v>151</v>
      </c>
      <c r="D11523" s="254">
        <v>11.7</v>
      </c>
      <c r="E11523"/>
      <c r="F11523"/>
      <c r="G11523"/>
      <c r="H11523"/>
      <c r="I11523" s="489"/>
      <c r="J11523" s="1362"/>
      <c r="K11523" s="1362"/>
      <c r="L11523" s="1362"/>
    </row>
    <row r="11524" spans="1:12" x14ac:dyDescent="0.25">
      <c r="A11524">
        <v>91840</v>
      </c>
      <c r="B11524" t="s">
        <v>3270</v>
      </c>
      <c r="C11524" t="s">
        <v>151</v>
      </c>
      <c r="D11524" s="254">
        <v>14.72</v>
      </c>
      <c r="E11524"/>
      <c r="F11524"/>
      <c r="G11524"/>
      <c r="H11524"/>
      <c r="I11524" s="489"/>
      <c r="J11524" s="1362"/>
      <c r="K11524" s="1362"/>
      <c r="L11524" s="1362"/>
    </row>
    <row r="11525" spans="1:12" x14ac:dyDescent="0.25">
      <c r="A11525">
        <v>91841</v>
      </c>
      <c r="B11525" t="s">
        <v>3271</v>
      </c>
      <c r="C11525" t="s">
        <v>151</v>
      </c>
      <c r="D11525" s="254">
        <v>14.02</v>
      </c>
      <c r="E11525"/>
      <c r="F11525"/>
      <c r="G11525"/>
      <c r="H11525"/>
      <c r="I11525" s="489"/>
      <c r="J11525" s="1362"/>
      <c r="K11525" s="1362"/>
      <c r="L11525" s="1362"/>
    </row>
    <row r="11526" spans="1:12" x14ac:dyDescent="0.25">
      <c r="A11526">
        <v>91842</v>
      </c>
      <c r="B11526" t="s">
        <v>1311</v>
      </c>
      <c r="C11526" t="s">
        <v>151</v>
      </c>
      <c r="D11526" s="254">
        <v>7.2</v>
      </c>
      <c r="E11526"/>
      <c r="F11526"/>
      <c r="G11526"/>
      <c r="H11526"/>
      <c r="I11526" s="489"/>
      <c r="J11526" s="1362"/>
      <c r="K11526" s="1362"/>
      <c r="L11526" s="1362"/>
    </row>
    <row r="11527" spans="1:12" x14ac:dyDescent="0.25">
      <c r="A11527">
        <v>91843</v>
      </c>
      <c r="B11527" t="s">
        <v>3272</v>
      </c>
      <c r="C11527" t="s">
        <v>151</v>
      </c>
      <c r="D11527" s="254">
        <v>7.79</v>
      </c>
      <c r="E11527"/>
      <c r="F11527"/>
      <c r="G11527"/>
      <c r="H11527"/>
      <c r="I11527" s="489"/>
      <c r="J11527" s="1362"/>
      <c r="K11527" s="1362"/>
      <c r="L11527" s="1362"/>
    </row>
    <row r="11528" spans="1:12" x14ac:dyDescent="0.25">
      <c r="A11528">
        <v>91844</v>
      </c>
      <c r="B11528" t="s">
        <v>1312</v>
      </c>
      <c r="C11528" t="s">
        <v>151</v>
      </c>
      <c r="D11528" s="254">
        <v>8.39</v>
      </c>
      <c r="E11528"/>
      <c r="F11528"/>
      <c r="G11528"/>
      <c r="H11528"/>
      <c r="I11528" s="489"/>
      <c r="J11528" s="1362"/>
      <c r="K11528" s="1362"/>
      <c r="L11528" s="1362"/>
    </row>
    <row r="11529" spans="1:12" x14ac:dyDescent="0.25">
      <c r="A11529">
        <v>91845</v>
      </c>
      <c r="B11529" t="s">
        <v>3273</v>
      </c>
      <c r="C11529" t="s">
        <v>151</v>
      </c>
      <c r="D11529" s="254">
        <v>9.8800000000000008</v>
      </c>
      <c r="E11529"/>
      <c r="F11529"/>
      <c r="G11529"/>
      <c r="H11529"/>
      <c r="I11529" s="489"/>
      <c r="J11529" s="1362"/>
      <c r="K11529" s="1362"/>
      <c r="L11529" s="1362"/>
    </row>
    <row r="11530" spans="1:12" x14ac:dyDescent="0.25">
      <c r="A11530">
        <v>91846</v>
      </c>
      <c r="B11530" t="s">
        <v>1313</v>
      </c>
      <c r="C11530" t="s">
        <v>151</v>
      </c>
      <c r="D11530" s="254">
        <v>11.69</v>
      </c>
      <c r="E11530"/>
      <c r="F11530"/>
      <c r="G11530"/>
      <c r="H11530"/>
      <c r="I11530" s="489"/>
      <c r="J11530" s="1362"/>
      <c r="K11530" s="1362"/>
      <c r="L11530" s="1362"/>
    </row>
    <row r="11531" spans="1:12" x14ac:dyDescent="0.25">
      <c r="A11531">
        <v>91847</v>
      </c>
      <c r="B11531" t="s">
        <v>3274</v>
      </c>
      <c r="C11531" t="s">
        <v>151</v>
      </c>
      <c r="D11531" s="254">
        <v>15.14</v>
      </c>
      <c r="E11531"/>
      <c r="F11531"/>
      <c r="G11531"/>
      <c r="H11531"/>
      <c r="I11531" s="489"/>
      <c r="J11531" s="1362"/>
      <c r="K11531" s="1362"/>
      <c r="L11531" s="1362"/>
    </row>
    <row r="11532" spans="1:12" x14ac:dyDescent="0.25">
      <c r="A11532">
        <v>91849</v>
      </c>
      <c r="B11532" t="s">
        <v>3275</v>
      </c>
      <c r="C11532" t="s">
        <v>151</v>
      </c>
      <c r="D11532" s="254">
        <v>9.89</v>
      </c>
      <c r="E11532"/>
      <c r="F11532"/>
      <c r="G11532"/>
      <c r="H11532"/>
      <c r="I11532" s="489"/>
      <c r="J11532" s="1362"/>
      <c r="K11532" s="1362"/>
      <c r="L11532" s="1362"/>
    </row>
    <row r="11533" spans="1:12" x14ac:dyDescent="0.25">
      <c r="A11533">
        <v>91850</v>
      </c>
      <c r="B11533" t="s">
        <v>3276</v>
      </c>
      <c r="C11533" t="s">
        <v>151</v>
      </c>
      <c r="D11533" s="254">
        <v>12.98</v>
      </c>
      <c r="E11533"/>
      <c r="F11533"/>
      <c r="G11533"/>
      <c r="H11533"/>
      <c r="I11533" s="489"/>
      <c r="J11533" s="1362"/>
      <c r="K11533" s="1362"/>
      <c r="L11533" s="1362"/>
    </row>
    <row r="11534" spans="1:12" x14ac:dyDescent="0.25">
      <c r="A11534">
        <v>91851</v>
      </c>
      <c r="B11534" t="s">
        <v>3277</v>
      </c>
      <c r="C11534" t="s">
        <v>151</v>
      </c>
      <c r="D11534" s="254">
        <v>12.28</v>
      </c>
      <c r="E11534"/>
      <c r="F11534"/>
      <c r="G11534"/>
      <c r="H11534"/>
      <c r="I11534" s="489"/>
      <c r="J11534" s="1362"/>
      <c r="K11534" s="1362"/>
      <c r="L11534" s="1362"/>
    </row>
    <row r="11535" spans="1:12" x14ac:dyDescent="0.25">
      <c r="A11535">
        <v>91852</v>
      </c>
      <c r="B11535" t="s">
        <v>1314</v>
      </c>
      <c r="C11535" t="s">
        <v>151</v>
      </c>
      <c r="D11535" s="254">
        <v>10.59</v>
      </c>
      <c r="E11535"/>
      <c r="F11535"/>
      <c r="G11535"/>
      <c r="H11535"/>
      <c r="I11535" s="489"/>
      <c r="J11535" s="1362"/>
      <c r="K11535" s="1362"/>
      <c r="L11535" s="1362"/>
    </row>
    <row r="11536" spans="1:12" x14ac:dyDescent="0.25">
      <c r="A11536">
        <v>91853</v>
      </c>
      <c r="B11536" t="s">
        <v>3278</v>
      </c>
      <c r="C11536" t="s">
        <v>151</v>
      </c>
      <c r="D11536" s="254">
        <v>11.12</v>
      </c>
      <c r="E11536"/>
      <c r="F11536"/>
      <c r="G11536"/>
      <c r="H11536"/>
      <c r="I11536" s="489"/>
      <c r="J11536" s="1362"/>
      <c r="K11536" s="1362"/>
      <c r="L11536" s="1362"/>
    </row>
    <row r="11537" spans="1:12" x14ac:dyDescent="0.25">
      <c r="A11537">
        <v>91854</v>
      </c>
      <c r="B11537" t="s">
        <v>1315</v>
      </c>
      <c r="C11537" t="s">
        <v>151</v>
      </c>
      <c r="D11537" s="254">
        <v>11.75</v>
      </c>
      <c r="E11537"/>
      <c r="F11537"/>
      <c r="G11537"/>
      <c r="H11537"/>
      <c r="I11537" s="489"/>
      <c r="J11537" s="1362"/>
      <c r="K11537" s="1362"/>
      <c r="L11537" s="1362"/>
    </row>
    <row r="11538" spans="1:12" x14ac:dyDescent="0.25">
      <c r="A11538">
        <v>91855</v>
      </c>
      <c r="B11538" t="s">
        <v>3279</v>
      </c>
      <c r="C11538" t="s">
        <v>151</v>
      </c>
      <c r="D11538" s="254">
        <v>13.12</v>
      </c>
      <c r="E11538"/>
      <c r="F11538"/>
      <c r="G11538"/>
      <c r="H11538"/>
      <c r="I11538" s="489"/>
      <c r="J11538" s="1362"/>
      <c r="K11538" s="1362"/>
      <c r="L11538" s="1362"/>
    </row>
    <row r="11539" spans="1:12" x14ac:dyDescent="0.25">
      <c r="A11539">
        <v>91856</v>
      </c>
      <c r="B11539" t="s">
        <v>1316</v>
      </c>
      <c r="C11539" t="s">
        <v>151</v>
      </c>
      <c r="D11539" s="254">
        <v>14.88</v>
      </c>
      <c r="E11539"/>
      <c r="F11539"/>
      <c r="G11539"/>
      <c r="H11539"/>
      <c r="I11539" s="489"/>
      <c r="J11539" s="1362"/>
      <c r="K11539" s="1362"/>
      <c r="L11539" s="1362"/>
    </row>
    <row r="11540" spans="1:12" x14ac:dyDescent="0.25">
      <c r="A11540">
        <v>91857</v>
      </c>
      <c r="B11540" t="s">
        <v>3280</v>
      </c>
      <c r="C11540" t="s">
        <v>151</v>
      </c>
      <c r="D11540" s="254">
        <v>18.07</v>
      </c>
      <c r="E11540"/>
      <c r="F11540"/>
      <c r="G11540"/>
      <c r="H11540"/>
      <c r="I11540" s="489"/>
      <c r="J11540" s="1362"/>
      <c r="K11540" s="1362"/>
      <c r="L11540" s="1362"/>
    </row>
    <row r="11541" spans="1:12" x14ac:dyDescent="0.25">
      <c r="A11541">
        <v>91859</v>
      </c>
      <c r="B11541" t="s">
        <v>3281</v>
      </c>
      <c r="C11541" t="s">
        <v>151</v>
      </c>
      <c r="D11541" s="254">
        <v>13.22</v>
      </c>
      <c r="E11541"/>
      <c r="F11541"/>
      <c r="G11541"/>
      <c r="H11541"/>
      <c r="I11541" s="489"/>
      <c r="J11541" s="1362"/>
      <c r="K11541" s="1362"/>
      <c r="L11541" s="1362"/>
    </row>
    <row r="11542" spans="1:12" x14ac:dyDescent="0.25">
      <c r="A11542">
        <v>91860</v>
      </c>
      <c r="B11542" t="s">
        <v>3282</v>
      </c>
      <c r="C11542" t="s">
        <v>151</v>
      </c>
      <c r="D11542" s="254">
        <v>16.2</v>
      </c>
      <c r="E11542"/>
      <c r="F11542"/>
      <c r="G11542"/>
      <c r="H11542"/>
      <c r="I11542" s="489"/>
      <c r="J11542" s="1362"/>
      <c r="K11542" s="1362"/>
      <c r="L11542" s="1362"/>
    </row>
    <row r="11543" spans="1:12" x14ac:dyDescent="0.25">
      <c r="A11543">
        <v>91861</v>
      </c>
      <c r="B11543" t="s">
        <v>3283</v>
      </c>
      <c r="C11543" t="s">
        <v>151</v>
      </c>
      <c r="D11543" s="254">
        <v>15.55</v>
      </c>
      <c r="E11543"/>
      <c r="F11543"/>
      <c r="G11543"/>
      <c r="H11543"/>
      <c r="I11543" s="489"/>
      <c r="J11543" s="1362"/>
      <c r="K11543" s="1362"/>
      <c r="L11543" s="1362"/>
    </row>
    <row r="11544" spans="1:12" x14ac:dyDescent="0.25">
      <c r="A11544">
        <v>91862</v>
      </c>
      <c r="B11544" t="s">
        <v>1317</v>
      </c>
      <c r="C11544" t="s">
        <v>151</v>
      </c>
      <c r="D11544" s="254">
        <v>11.06</v>
      </c>
      <c r="E11544"/>
      <c r="F11544"/>
      <c r="G11544"/>
      <c r="H11544"/>
      <c r="I11544" s="489"/>
      <c r="J11544" s="1362"/>
      <c r="K11544" s="1362"/>
      <c r="L11544" s="1362"/>
    </row>
    <row r="11545" spans="1:12" x14ac:dyDescent="0.25">
      <c r="A11545">
        <v>91863</v>
      </c>
      <c r="B11545" t="s">
        <v>1318</v>
      </c>
      <c r="C11545" t="s">
        <v>151</v>
      </c>
      <c r="D11545" s="254">
        <v>13.12</v>
      </c>
      <c r="E11545"/>
      <c r="F11545"/>
      <c r="G11545"/>
      <c r="H11545"/>
      <c r="I11545" s="489"/>
      <c r="J11545" s="1362"/>
      <c r="K11545" s="1362"/>
      <c r="L11545" s="1362"/>
    </row>
    <row r="11546" spans="1:12" x14ac:dyDescent="0.25">
      <c r="A11546">
        <v>91864</v>
      </c>
      <c r="B11546" t="s">
        <v>1319</v>
      </c>
      <c r="C11546" t="s">
        <v>151</v>
      </c>
      <c r="D11546" s="254">
        <v>17.46</v>
      </c>
      <c r="E11546"/>
      <c r="F11546"/>
      <c r="G11546"/>
      <c r="H11546"/>
      <c r="I11546" s="489"/>
      <c r="J11546" s="1362"/>
      <c r="K11546" s="1362"/>
      <c r="L11546" s="1362"/>
    </row>
    <row r="11547" spans="1:12" x14ac:dyDescent="0.25">
      <c r="A11547">
        <v>91865</v>
      </c>
      <c r="B11547" t="s">
        <v>1320</v>
      </c>
      <c r="C11547" t="s">
        <v>151</v>
      </c>
      <c r="D11547" s="254">
        <v>21.8</v>
      </c>
      <c r="E11547"/>
      <c r="F11547"/>
      <c r="G11547"/>
      <c r="H11547"/>
      <c r="I11547" s="489"/>
      <c r="J11547" s="1362"/>
      <c r="K11547" s="1362"/>
      <c r="L11547" s="1362"/>
    </row>
    <row r="11548" spans="1:12" x14ac:dyDescent="0.25">
      <c r="A11548">
        <v>91866</v>
      </c>
      <c r="B11548" t="s">
        <v>1321</v>
      </c>
      <c r="C11548" t="s">
        <v>151</v>
      </c>
      <c r="D11548" s="254">
        <v>9.42</v>
      </c>
      <c r="E11548"/>
      <c r="F11548"/>
      <c r="G11548"/>
      <c r="H11548"/>
      <c r="I11548" s="489"/>
      <c r="J11548" s="1362"/>
      <c r="K11548" s="1362"/>
      <c r="L11548" s="1362"/>
    </row>
    <row r="11549" spans="1:12" x14ac:dyDescent="0.25">
      <c r="A11549">
        <v>91867</v>
      </c>
      <c r="B11549" t="s">
        <v>1322</v>
      </c>
      <c r="C11549" t="s">
        <v>151</v>
      </c>
      <c r="D11549" s="254">
        <v>11.5</v>
      </c>
      <c r="E11549"/>
      <c r="F11549"/>
      <c r="G11549"/>
      <c r="H11549"/>
      <c r="I11549" s="489"/>
      <c r="J11549" s="1362"/>
      <c r="K11549" s="1362"/>
      <c r="L11549" s="1362"/>
    </row>
    <row r="11550" spans="1:12" x14ac:dyDescent="0.25">
      <c r="A11550">
        <v>91868</v>
      </c>
      <c r="B11550" t="s">
        <v>1323</v>
      </c>
      <c r="C11550" t="s">
        <v>151</v>
      </c>
      <c r="D11550" s="254">
        <v>15.83</v>
      </c>
      <c r="E11550"/>
      <c r="F11550"/>
      <c r="G11550"/>
      <c r="H11550"/>
      <c r="I11550" s="489"/>
      <c r="J11550" s="1362"/>
      <c r="K11550" s="1362"/>
      <c r="L11550" s="1362"/>
    </row>
    <row r="11551" spans="1:12" x14ac:dyDescent="0.25">
      <c r="A11551">
        <v>91869</v>
      </c>
      <c r="B11551" t="s">
        <v>1324</v>
      </c>
      <c r="C11551" t="s">
        <v>151</v>
      </c>
      <c r="D11551" s="254">
        <v>20.190000000000001</v>
      </c>
      <c r="E11551"/>
      <c r="F11551"/>
      <c r="G11551"/>
      <c r="H11551"/>
      <c r="I11551" s="489"/>
      <c r="J11551" s="1362"/>
      <c r="K11551" s="1362"/>
      <c r="L11551" s="1362"/>
    </row>
    <row r="11552" spans="1:12" x14ac:dyDescent="0.25">
      <c r="A11552">
        <v>91870</v>
      </c>
      <c r="B11552" t="s">
        <v>1325</v>
      </c>
      <c r="C11552" t="s">
        <v>151</v>
      </c>
      <c r="D11552" s="254">
        <v>13.64</v>
      </c>
      <c r="E11552"/>
      <c r="F11552"/>
      <c r="G11552"/>
      <c r="H11552"/>
      <c r="I11552" s="489"/>
      <c r="J11552" s="1362"/>
      <c r="K11552" s="1362"/>
      <c r="L11552" s="1362"/>
    </row>
    <row r="11553" spans="1:12" x14ac:dyDescent="0.25">
      <c r="A11553">
        <v>91871</v>
      </c>
      <c r="B11553" t="s">
        <v>1326</v>
      </c>
      <c r="C11553" t="s">
        <v>151</v>
      </c>
      <c r="D11553" s="254">
        <v>15.77</v>
      </c>
      <c r="E11553"/>
      <c r="F11553"/>
      <c r="G11553"/>
      <c r="H11553"/>
      <c r="I11553" s="489"/>
      <c r="J11553" s="1362"/>
      <c r="K11553" s="1362"/>
      <c r="L11553" s="1362"/>
    </row>
    <row r="11554" spans="1:12" x14ac:dyDescent="0.25">
      <c r="A11554">
        <v>91872</v>
      </c>
      <c r="B11554" t="s">
        <v>1327</v>
      </c>
      <c r="C11554" t="s">
        <v>151</v>
      </c>
      <c r="D11554" s="254">
        <v>20.100000000000001</v>
      </c>
      <c r="E11554"/>
      <c r="F11554"/>
      <c r="G11554"/>
      <c r="H11554"/>
      <c r="I11554" s="489"/>
      <c r="J11554" s="1362"/>
      <c r="K11554" s="1362"/>
      <c r="L11554" s="1362"/>
    </row>
    <row r="11555" spans="1:12" x14ac:dyDescent="0.25">
      <c r="A11555">
        <v>91873</v>
      </c>
      <c r="B11555" t="s">
        <v>1328</v>
      </c>
      <c r="C11555" t="s">
        <v>151</v>
      </c>
      <c r="D11555" s="254">
        <v>24.38</v>
      </c>
      <c r="E11555"/>
      <c r="F11555"/>
      <c r="G11555"/>
      <c r="H11555"/>
      <c r="I11555" s="489"/>
      <c r="J11555" s="1362"/>
      <c r="K11555" s="1362"/>
      <c r="L11555" s="1362"/>
    </row>
    <row r="11556" spans="1:12" x14ac:dyDescent="0.25">
      <c r="A11556">
        <v>93008</v>
      </c>
      <c r="B11556" t="s">
        <v>7381</v>
      </c>
      <c r="C11556" t="s">
        <v>151</v>
      </c>
      <c r="D11556" s="254">
        <v>19.420000000000002</v>
      </c>
      <c r="E11556"/>
      <c r="F11556"/>
      <c r="G11556"/>
      <c r="H11556"/>
      <c r="I11556" s="489"/>
      <c r="J11556" s="1362"/>
      <c r="K11556" s="1362"/>
      <c r="L11556" s="1362"/>
    </row>
    <row r="11557" spans="1:12" x14ac:dyDescent="0.25">
      <c r="A11557">
        <v>93009</v>
      </c>
      <c r="B11557" t="s">
        <v>7382</v>
      </c>
      <c r="C11557" t="s">
        <v>151</v>
      </c>
      <c r="D11557" s="254">
        <v>28.29</v>
      </c>
      <c r="E11557"/>
      <c r="F11557"/>
      <c r="G11557"/>
      <c r="H11557"/>
      <c r="I11557" s="489"/>
      <c r="J11557" s="1362"/>
      <c r="K11557" s="1362"/>
      <c r="L11557" s="1362"/>
    </row>
    <row r="11558" spans="1:12" x14ac:dyDescent="0.25">
      <c r="A11558">
        <v>93010</v>
      </c>
      <c r="B11558" t="s">
        <v>7383</v>
      </c>
      <c r="C11558" t="s">
        <v>151</v>
      </c>
      <c r="D11558" s="254">
        <v>39.130000000000003</v>
      </c>
      <c r="E11558"/>
      <c r="F11558"/>
      <c r="G11558"/>
      <c r="H11558"/>
      <c r="I11558" s="489"/>
      <c r="J11558" s="1362"/>
      <c r="K11558" s="1362"/>
      <c r="L11558" s="1362"/>
    </row>
    <row r="11559" spans="1:12" x14ac:dyDescent="0.25">
      <c r="A11559">
        <v>93011</v>
      </c>
      <c r="B11559" t="s">
        <v>7384</v>
      </c>
      <c r="C11559" t="s">
        <v>151</v>
      </c>
      <c r="D11559" s="254">
        <v>47.65</v>
      </c>
      <c r="E11559"/>
      <c r="F11559"/>
      <c r="G11559"/>
      <c r="H11559"/>
      <c r="I11559" s="489"/>
      <c r="J11559" s="1362"/>
      <c r="K11559" s="1362"/>
      <c r="L11559" s="1362"/>
    </row>
    <row r="11560" spans="1:12" x14ac:dyDescent="0.25">
      <c r="A11560">
        <v>93012</v>
      </c>
      <c r="B11560" t="s">
        <v>7385</v>
      </c>
      <c r="C11560" t="s">
        <v>151</v>
      </c>
      <c r="D11560" s="254">
        <v>71.510000000000005</v>
      </c>
      <c r="E11560"/>
      <c r="F11560"/>
      <c r="G11560"/>
      <c r="H11560"/>
      <c r="I11560" s="489"/>
      <c r="J11560" s="1362"/>
      <c r="K11560" s="1362"/>
      <c r="L11560" s="1362"/>
    </row>
    <row r="11561" spans="1:12" x14ac:dyDescent="0.25">
      <c r="A11561">
        <v>95726</v>
      </c>
      <c r="B11561" t="s">
        <v>18590</v>
      </c>
      <c r="C11561" t="s">
        <v>151</v>
      </c>
      <c r="D11561" s="254">
        <v>7.28</v>
      </c>
      <c r="E11561"/>
      <c r="F11561"/>
      <c r="G11561"/>
      <c r="H11561"/>
      <c r="I11561" s="489"/>
      <c r="J11561" s="1362"/>
      <c r="K11561" s="1362"/>
      <c r="L11561" s="1362"/>
    </row>
    <row r="11562" spans="1:12" x14ac:dyDescent="0.25">
      <c r="A11562">
        <v>95727</v>
      </c>
      <c r="B11562" t="s">
        <v>18591</v>
      </c>
      <c r="C11562" t="s">
        <v>151</v>
      </c>
      <c r="D11562" s="254">
        <v>8.41</v>
      </c>
      <c r="E11562"/>
      <c r="F11562"/>
      <c r="G11562"/>
      <c r="H11562"/>
      <c r="I11562" s="489"/>
      <c r="J11562" s="1362"/>
      <c r="K11562" s="1362"/>
      <c r="L11562" s="1362"/>
    </row>
    <row r="11563" spans="1:12" x14ac:dyDescent="0.25">
      <c r="A11563">
        <v>95728</v>
      </c>
      <c r="B11563" t="s">
        <v>18592</v>
      </c>
      <c r="C11563" t="s">
        <v>151</v>
      </c>
      <c r="D11563" s="254">
        <v>10.78</v>
      </c>
      <c r="E11563"/>
      <c r="F11563"/>
      <c r="G11563"/>
      <c r="H11563"/>
      <c r="I11563" s="489"/>
      <c r="J11563" s="1362"/>
      <c r="K11563" s="1362"/>
      <c r="L11563" s="1362"/>
    </row>
    <row r="11564" spans="1:12" x14ac:dyDescent="0.25">
      <c r="A11564">
        <v>95729</v>
      </c>
      <c r="B11564" t="s">
        <v>18593</v>
      </c>
      <c r="C11564" t="s">
        <v>151</v>
      </c>
      <c r="D11564" s="254">
        <v>10</v>
      </c>
      <c r="E11564"/>
      <c r="F11564"/>
      <c r="G11564"/>
      <c r="H11564"/>
      <c r="I11564" s="489"/>
      <c r="J11564" s="1362"/>
      <c r="K11564" s="1362"/>
      <c r="L11564" s="1362"/>
    </row>
    <row r="11565" spans="1:12" x14ac:dyDescent="0.25">
      <c r="A11565">
        <v>95730</v>
      </c>
      <c r="B11565" t="s">
        <v>18594</v>
      </c>
      <c r="C11565" t="s">
        <v>151</v>
      </c>
      <c r="D11565" s="254">
        <v>11.13</v>
      </c>
      <c r="E11565"/>
      <c r="F11565"/>
      <c r="G11565"/>
      <c r="H11565"/>
      <c r="I11565" s="489"/>
      <c r="J11565" s="1362"/>
      <c r="K11565" s="1362"/>
      <c r="L11565" s="1362"/>
    </row>
    <row r="11566" spans="1:12" x14ac:dyDescent="0.25">
      <c r="A11566">
        <v>95731</v>
      </c>
      <c r="B11566" t="s">
        <v>18595</v>
      </c>
      <c r="C11566" t="s">
        <v>151</v>
      </c>
      <c r="D11566" s="254">
        <v>13.5</v>
      </c>
      <c r="E11566"/>
      <c r="F11566"/>
      <c r="G11566"/>
      <c r="H11566"/>
      <c r="I11566" s="489"/>
      <c r="J11566" s="1362"/>
      <c r="K11566" s="1362"/>
      <c r="L11566" s="1362"/>
    </row>
    <row r="11567" spans="1:12" x14ac:dyDescent="0.25">
      <c r="A11567">
        <v>97667</v>
      </c>
      <c r="B11567" t="s">
        <v>7386</v>
      </c>
      <c r="C11567" t="s">
        <v>151</v>
      </c>
      <c r="D11567" s="254">
        <v>9.5500000000000007</v>
      </c>
      <c r="E11567"/>
      <c r="F11567"/>
      <c r="G11567"/>
      <c r="H11567"/>
      <c r="I11567" s="489"/>
      <c r="J11567" s="1362"/>
      <c r="K11567" s="1362"/>
      <c r="L11567" s="1362"/>
    </row>
    <row r="11568" spans="1:12" x14ac:dyDescent="0.25">
      <c r="A11568">
        <v>97668</v>
      </c>
      <c r="B11568" t="s">
        <v>7387</v>
      </c>
      <c r="C11568" t="s">
        <v>151</v>
      </c>
      <c r="D11568" s="254">
        <v>13.59</v>
      </c>
      <c r="E11568"/>
      <c r="F11568"/>
      <c r="G11568"/>
      <c r="H11568"/>
      <c r="I11568" s="489"/>
      <c r="J11568" s="1362"/>
      <c r="K11568" s="1362"/>
      <c r="L11568" s="1362"/>
    </row>
    <row r="11569" spans="1:12" x14ac:dyDescent="0.25">
      <c r="A11569">
        <v>97669</v>
      </c>
      <c r="B11569" t="s">
        <v>7388</v>
      </c>
      <c r="C11569" t="s">
        <v>151</v>
      </c>
      <c r="D11569" s="254">
        <v>20.23</v>
      </c>
      <c r="E11569"/>
      <c r="F11569"/>
      <c r="G11569"/>
      <c r="H11569"/>
      <c r="I11569" s="489"/>
      <c r="J11569" s="1362"/>
      <c r="K11569" s="1362"/>
      <c r="L11569" s="1362"/>
    </row>
    <row r="11570" spans="1:12" x14ac:dyDescent="0.25">
      <c r="A11570">
        <v>97670</v>
      </c>
      <c r="B11570" t="s">
        <v>7389</v>
      </c>
      <c r="C11570" t="s">
        <v>151</v>
      </c>
      <c r="D11570" s="254">
        <v>25.75</v>
      </c>
      <c r="E11570"/>
      <c r="F11570"/>
      <c r="G11570"/>
      <c r="H11570"/>
      <c r="I11570" s="489"/>
      <c r="J11570" s="1362"/>
      <c r="K11570" s="1362"/>
      <c r="L11570" s="1362"/>
    </row>
    <row r="11571" spans="1:12" x14ac:dyDescent="0.25">
      <c r="A11571">
        <v>91874</v>
      </c>
      <c r="B11571" t="s">
        <v>1329</v>
      </c>
      <c r="C11571" t="s">
        <v>138</v>
      </c>
      <c r="D11571" s="254">
        <v>6.09</v>
      </c>
      <c r="E11571"/>
      <c r="F11571"/>
      <c r="G11571"/>
      <c r="H11571"/>
      <c r="I11571" s="489"/>
      <c r="J11571" s="1362"/>
      <c r="K11571" s="1362"/>
      <c r="L11571" s="1362"/>
    </row>
    <row r="11572" spans="1:12" x14ac:dyDescent="0.25">
      <c r="A11572">
        <v>91875</v>
      </c>
      <c r="B11572" t="s">
        <v>1330</v>
      </c>
      <c r="C11572" t="s">
        <v>138</v>
      </c>
      <c r="D11572" s="254">
        <v>8.01</v>
      </c>
      <c r="E11572"/>
      <c r="F11572"/>
      <c r="G11572"/>
      <c r="H11572"/>
      <c r="I11572" s="489"/>
      <c r="J11572" s="1362"/>
      <c r="K11572" s="1362"/>
      <c r="L11572" s="1362"/>
    </row>
    <row r="11573" spans="1:12" x14ac:dyDescent="0.25">
      <c r="A11573">
        <v>91876</v>
      </c>
      <c r="B11573" t="s">
        <v>1331</v>
      </c>
      <c r="C11573" t="s">
        <v>138</v>
      </c>
      <c r="D11573" s="254">
        <v>10.53</v>
      </c>
      <c r="E11573"/>
      <c r="F11573"/>
      <c r="G11573"/>
      <c r="H11573"/>
      <c r="I11573" s="489"/>
      <c r="J11573" s="1362"/>
      <c r="K11573" s="1362"/>
      <c r="L11573" s="1362"/>
    </row>
    <row r="11574" spans="1:12" x14ac:dyDescent="0.25">
      <c r="A11574">
        <v>91877</v>
      </c>
      <c r="B11574" t="s">
        <v>1332</v>
      </c>
      <c r="C11574" t="s">
        <v>138</v>
      </c>
      <c r="D11574" s="254">
        <v>13.81</v>
      </c>
      <c r="E11574"/>
      <c r="F11574"/>
      <c r="G11574"/>
      <c r="H11574"/>
      <c r="I11574" s="489"/>
      <c r="J11574" s="1362"/>
      <c r="K11574" s="1362"/>
      <c r="L11574" s="1362"/>
    </row>
    <row r="11575" spans="1:12" x14ac:dyDescent="0.25">
      <c r="A11575">
        <v>91878</v>
      </c>
      <c r="B11575" t="s">
        <v>1333</v>
      </c>
      <c r="C11575" t="s">
        <v>138</v>
      </c>
      <c r="D11575" s="254">
        <v>7.93</v>
      </c>
      <c r="E11575"/>
      <c r="F11575"/>
      <c r="G11575"/>
      <c r="H11575"/>
      <c r="I11575" s="489"/>
      <c r="J11575" s="1362"/>
      <c r="K11575" s="1362"/>
      <c r="L11575" s="1362"/>
    </row>
    <row r="11576" spans="1:12" x14ac:dyDescent="0.25">
      <c r="A11576">
        <v>91879</v>
      </c>
      <c r="B11576" t="s">
        <v>1334</v>
      </c>
      <c r="C11576" t="s">
        <v>138</v>
      </c>
      <c r="D11576" s="254">
        <v>9.7899999999999991</v>
      </c>
      <c r="E11576"/>
      <c r="F11576"/>
      <c r="G11576"/>
      <c r="H11576"/>
      <c r="I11576" s="489"/>
      <c r="J11576" s="1362"/>
      <c r="K11576" s="1362"/>
      <c r="L11576" s="1362"/>
    </row>
    <row r="11577" spans="1:12" x14ac:dyDescent="0.25">
      <c r="A11577">
        <v>91880</v>
      </c>
      <c r="B11577" t="s">
        <v>1335</v>
      </c>
      <c r="C11577" t="s">
        <v>138</v>
      </c>
      <c r="D11577" s="254">
        <v>12.36</v>
      </c>
      <c r="E11577"/>
      <c r="F11577"/>
      <c r="G11577"/>
      <c r="H11577"/>
      <c r="I11577" s="489"/>
      <c r="J11577" s="1362"/>
      <c r="K11577" s="1362"/>
      <c r="L11577" s="1362"/>
    </row>
    <row r="11578" spans="1:12" x14ac:dyDescent="0.25">
      <c r="A11578">
        <v>91881</v>
      </c>
      <c r="B11578" t="s">
        <v>1336</v>
      </c>
      <c r="C11578" t="s">
        <v>138</v>
      </c>
      <c r="D11578" s="254">
        <v>15.65</v>
      </c>
      <c r="E11578"/>
      <c r="F11578"/>
      <c r="G11578"/>
      <c r="H11578"/>
      <c r="I11578" s="489"/>
      <c r="J11578" s="1362"/>
      <c r="K11578" s="1362"/>
      <c r="L11578" s="1362"/>
    </row>
    <row r="11579" spans="1:12" x14ac:dyDescent="0.25">
      <c r="A11579">
        <v>91882</v>
      </c>
      <c r="B11579" t="s">
        <v>1337</v>
      </c>
      <c r="C11579" t="s">
        <v>138</v>
      </c>
      <c r="D11579" s="254">
        <v>9.9</v>
      </c>
      <c r="E11579"/>
      <c r="F11579"/>
      <c r="G11579"/>
      <c r="H11579"/>
      <c r="I11579" s="489"/>
      <c r="J11579" s="1362"/>
      <c r="K11579" s="1362"/>
      <c r="L11579" s="1362"/>
    </row>
    <row r="11580" spans="1:12" x14ac:dyDescent="0.25">
      <c r="A11580">
        <v>91884</v>
      </c>
      <c r="B11580" t="s">
        <v>1338</v>
      </c>
      <c r="C11580" t="s">
        <v>138</v>
      </c>
      <c r="D11580" s="254">
        <v>11.32</v>
      </c>
      <c r="E11580"/>
      <c r="F11580"/>
      <c r="G11580"/>
      <c r="H11580"/>
      <c r="I11580" s="489"/>
      <c r="J11580" s="1362"/>
      <c r="K11580" s="1362"/>
      <c r="L11580" s="1362"/>
    </row>
    <row r="11581" spans="1:12" x14ac:dyDescent="0.25">
      <c r="A11581">
        <v>91885</v>
      </c>
      <c r="B11581" t="s">
        <v>1339</v>
      </c>
      <c r="C11581" t="s">
        <v>138</v>
      </c>
      <c r="D11581" s="254">
        <v>13.25</v>
      </c>
      <c r="E11581"/>
      <c r="F11581"/>
      <c r="G11581"/>
      <c r="H11581"/>
      <c r="I11581" s="489"/>
      <c r="J11581" s="1362"/>
      <c r="K11581" s="1362"/>
      <c r="L11581" s="1362"/>
    </row>
    <row r="11582" spans="1:12" x14ac:dyDescent="0.25">
      <c r="A11582">
        <v>91886</v>
      </c>
      <c r="B11582" t="s">
        <v>1340</v>
      </c>
      <c r="C11582" t="s">
        <v>138</v>
      </c>
      <c r="D11582" s="254">
        <v>15.85</v>
      </c>
      <c r="E11582"/>
      <c r="F11582"/>
      <c r="G11582"/>
      <c r="H11582"/>
      <c r="I11582" s="489"/>
      <c r="J11582" s="1362"/>
      <c r="K11582" s="1362"/>
      <c r="L11582" s="1362"/>
    </row>
    <row r="11583" spans="1:12" x14ac:dyDescent="0.25">
      <c r="A11583">
        <v>91887</v>
      </c>
      <c r="B11583" t="s">
        <v>1341</v>
      </c>
      <c r="C11583" t="s">
        <v>138</v>
      </c>
      <c r="D11583" s="254">
        <v>10.71</v>
      </c>
      <c r="E11583"/>
      <c r="F11583"/>
      <c r="G11583"/>
      <c r="H11583"/>
      <c r="I11583" s="489"/>
      <c r="J11583" s="1362"/>
      <c r="K11583" s="1362"/>
      <c r="L11583" s="1362"/>
    </row>
    <row r="11584" spans="1:12" x14ac:dyDescent="0.25">
      <c r="A11584">
        <v>91889</v>
      </c>
      <c r="B11584" t="s">
        <v>1342</v>
      </c>
      <c r="C11584" t="s">
        <v>138</v>
      </c>
      <c r="D11584" s="254">
        <v>10.41</v>
      </c>
      <c r="E11584"/>
      <c r="F11584"/>
      <c r="G11584"/>
      <c r="H11584"/>
      <c r="I11584" s="489"/>
      <c r="J11584" s="1362"/>
      <c r="K11584" s="1362"/>
      <c r="L11584" s="1362"/>
    </row>
    <row r="11585" spans="1:12" x14ac:dyDescent="0.25">
      <c r="A11585">
        <v>91890</v>
      </c>
      <c r="B11585" t="s">
        <v>1343</v>
      </c>
      <c r="C11585" t="s">
        <v>138</v>
      </c>
      <c r="D11585" s="254">
        <v>12.97</v>
      </c>
      <c r="E11585"/>
      <c r="F11585"/>
      <c r="G11585"/>
      <c r="H11585"/>
      <c r="I11585" s="489"/>
      <c r="J11585" s="1362"/>
      <c r="K11585" s="1362"/>
      <c r="L11585" s="1362"/>
    </row>
    <row r="11586" spans="1:12" x14ac:dyDescent="0.25">
      <c r="A11586">
        <v>91892</v>
      </c>
      <c r="B11586" t="s">
        <v>1344</v>
      </c>
      <c r="C11586" t="s">
        <v>138</v>
      </c>
      <c r="D11586" s="254">
        <v>14.97</v>
      </c>
      <c r="E11586"/>
      <c r="F11586"/>
      <c r="G11586"/>
      <c r="H11586"/>
      <c r="I11586" s="489"/>
      <c r="J11586" s="1362"/>
      <c r="K11586" s="1362"/>
      <c r="L11586" s="1362"/>
    </row>
    <row r="11587" spans="1:12" x14ac:dyDescent="0.25">
      <c r="A11587">
        <v>91893</v>
      </c>
      <c r="B11587" t="s">
        <v>1345</v>
      </c>
      <c r="C11587" t="s">
        <v>138</v>
      </c>
      <c r="D11587" s="254">
        <v>17.52</v>
      </c>
      <c r="E11587"/>
      <c r="F11587"/>
      <c r="G11587"/>
      <c r="H11587"/>
      <c r="I11587" s="489"/>
      <c r="J11587" s="1362"/>
      <c r="K11587" s="1362"/>
      <c r="L11587" s="1362"/>
    </row>
    <row r="11588" spans="1:12" x14ac:dyDescent="0.25">
      <c r="A11588">
        <v>91895</v>
      </c>
      <c r="B11588" t="s">
        <v>3284</v>
      </c>
      <c r="C11588" t="s">
        <v>138</v>
      </c>
      <c r="D11588" s="254">
        <v>19.559999999999999</v>
      </c>
      <c r="E11588"/>
      <c r="F11588"/>
      <c r="G11588"/>
      <c r="H11588"/>
      <c r="I11588" s="489"/>
      <c r="J11588" s="1362"/>
      <c r="K11588" s="1362"/>
      <c r="L11588" s="1362"/>
    </row>
    <row r="11589" spans="1:12" x14ac:dyDescent="0.25">
      <c r="A11589">
        <v>91896</v>
      </c>
      <c r="B11589" t="s">
        <v>1346</v>
      </c>
      <c r="C11589" t="s">
        <v>138</v>
      </c>
      <c r="D11589" s="254">
        <v>21.57</v>
      </c>
      <c r="E11589"/>
      <c r="F11589"/>
      <c r="G11589"/>
      <c r="H11589"/>
      <c r="I11589" s="489"/>
      <c r="J11589" s="1362"/>
      <c r="K11589" s="1362"/>
      <c r="L11589" s="1362"/>
    </row>
    <row r="11590" spans="1:12" x14ac:dyDescent="0.25">
      <c r="A11590">
        <v>91898</v>
      </c>
      <c r="B11590" t="s">
        <v>1347</v>
      </c>
      <c r="C11590" t="s">
        <v>138</v>
      </c>
      <c r="D11590" s="254">
        <v>23.75</v>
      </c>
      <c r="E11590"/>
      <c r="F11590"/>
      <c r="G11590"/>
      <c r="H11590"/>
      <c r="I11590" s="489"/>
      <c r="J11590" s="1362"/>
      <c r="K11590" s="1362"/>
      <c r="L11590" s="1362"/>
    </row>
    <row r="11591" spans="1:12" x14ac:dyDescent="0.25">
      <c r="A11591">
        <v>91899</v>
      </c>
      <c r="B11591" t="s">
        <v>1348</v>
      </c>
      <c r="C11591" t="s">
        <v>138</v>
      </c>
      <c r="D11591" s="254">
        <v>13.37</v>
      </c>
      <c r="E11591"/>
      <c r="F11591"/>
      <c r="G11591"/>
      <c r="H11591"/>
      <c r="I11591" s="489"/>
      <c r="J11591" s="1362"/>
      <c r="K11591" s="1362"/>
      <c r="L11591" s="1362"/>
    </row>
    <row r="11592" spans="1:12" x14ac:dyDescent="0.25">
      <c r="A11592">
        <v>91901</v>
      </c>
      <c r="B11592" t="s">
        <v>1349</v>
      </c>
      <c r="C11592" t="s">
        <v>138</v>
      </c>
      <c r="D11592" s="254">
        <v>13.07</v>
      </c>
      <c r="E11592"/>
      <c r="F11592"/>
      <c r="G11592"/>
      <c r="H11592"/>
      <c r="I11592" s="489"/>
      <c r="J11592" s="1362"/>
      <c r="K11592" s="1362"/>
      <c r="L11592" s="1362"/>
    </row>
    <row r="11593" spans="1:12" x14ac:dyDescent="0.25">
      <c r="A11593">
        <v>91902</v>
      </c>
      <c r="B11593" t="s">
        <v>1350</v>
      </c>
      <c r="C11593" t="s">
        <v>138</v>
      </c>
      <c r="D11593" s="254">
        <v>15.64</v>
      </c>
      <c r="E11593"/>
      <c r="F11593"/>
      <c r="G11593"/>
      <c r="H11593"/>
      <c r="I11593" s="489"/>
      <c r="J11593" s="1362"/>
      <c r="K11593" s="1362"/>
      <c r="L11593" s="1362"/>
    </row>
    <row r="11594" spans="1:12" x14ac:dyDescent="0.25">
      <c r="A11594">
        <v>91904</v>
      </c>
      <c r="B11594" t="s">
        <v>1351</v>
      </c>
      <c r="C11594" t="s">
        <v>138</v>
      </c>
      <c r="D11594" s="254">
        <v>17.64</v>
      </c>
      <c r="E11594"/>
      <c r="F11594"/>
      <c r="G11594"/>
      <c r="H11594"/>
      <c r="I11594" s="489"/>
      <c r="J11594" s="1362"/>
      <c r="K11594" s="1362"/>
      <c r="L11594" s="1362"/>
    </row>
    <row r="11595" spans="1:12" x14ac:dyDescent="0.25">
      <c r="A11595">
        <v>91905</v>
      </c>
      <c r="B11595" t="s">
        <v>1352</v>
      </c>
      <c r="C11595" t="s">
        <v>138</v>
      </c>
      <c r="D11595" s="254">
        <v>20.190000000000001</v>
      </c>
      <c r="E11595"/>
      <c r="F11595"/>
      <c r="G11595"/>
      <c r="H11595"/>
      <c r="I11595" s="489"/>
      <c r="J11595" s="1362"/>
      <c r="K11595" s="1362"/>
      <c r="L11595" s="1362"/>
    </row>
    <row r="11596" spans="1:12" x14ac:dyDescent="0.25">
      <c r="A11596">
        <v>91907</v>
      </c>
      <c r="B11596" t="s">
        <v>3285</v>
      </c>
      <c r="C11596" t="s">
        <v>138</v>
      </c>
      <c r="D11596" s="254">
        <v>22.23</v>
      </c>
      <c r="E11596"/>
      <c r="F11596"/>
      <c r="G11596"/>
      <c r="H11596"/>
      <c r="I11596" s="489"/>
      <c r="J11596" s="1362"/>
      <c r="K11596" s="1362"/>
      <c r="L11596" s="1362"/>
    </row>
    <row r="11597" spans="1:12" x14ac:dyDescent="0.25">
      <c r="A11597">
        <v>91908</v>
      </c>
      <c r="B11597" t="s">
        <v>1353</v>
      </c>
      <c r="C11597" t="s">
        <v>138</v>
      </c>
      <c r="D11597" s="254">
        <v>24.3</v>
      </c>
      <c r="E11597"/>
      <c r="F11597"/>
      <c r="G11597"/>
      <c r="H11597"/>
      <c r="I11597" s="489"/>
      <c r="J11597" s="1362"/>
      <c r="K11597" s="1362"/>
      <c r="L11597" s="1362"/>
    </row>
    <row r="11598" spans="1:12" x14ac:dyDescent="0.25">
      <c r="A11598">
        <v>91910</v>
      </c>
      <c r="B11598" t="s">
        <v>1354</v>
      </c>
      <c r="C11598" t="s">
        <v>138</v>
      </c>
      <c r="D11598" s="254">
        <v>26.48</v>
      </c>
      <c r="E11598"/>
      <c r="F11598"/>
      <c r="G11598"/>
      <c r="H11598"/>
      <c r="I11598" s="489"/>
      <c r="J11598" s="1362"/>
      <c r="K11598" s="1362"/>
      <c r="L11598" s="1362"/>
    </row>
    <row r="11599" spans="1:12" x14ac:dyDescent="0.25">
      <c r="A11599">
        <v>91911</v>
      </c>
      <c r="B11599" t="s">
        <v>1355</v>
      </c>
      <c r="C11599" t="s">
        <v>138</v>
      </c>
      <c r="D11599" s="254">
        <v>16.43</v>
      </c>
      <c r="E11599"/>
      <c r="F11599"/>
      <c r="G11599"/>
      <c r="H11599"/>
      <c r="I11599" s="489"/>
      <c r="J11599" s="1362"/>
      <c r="K11599" s="1362"/>
      <c r="L11599" s="1362"/>
    </row>
    <row r="11600" spans="1:12" x14ac:dyDescent="0.25">
      <c r="A11600">
        <v>91913</v>
      </c>
      <c r="B11600" t="s">
        <v>1356</v>
      </c>
      <c r="C11600" t="s">
        <v>138</v>
      </c>
      <c r="D11600" s="254">
        <v>16.13</v>
      </c>
      <c r="E11600"/>
      <c r="F11600"/>
      <c r="G11600"/>
      <c r="H11600"/>
      <c r="I11600" s="489"/>
      <c r="J11600" s="1362"/>
      <c r="K11600" s="1362"/>
      <c r="L11600" s="1362"/>
    </row>
    <row r="11601" spans="1:12" x14ac:dyDescent="0.25">
      <c r="A11601">
        <v>91914</v>
      </c>
      <c r="B11601" t="s">
        <v>1357</v>
      </c>
      <c r="C11601" t="s">
        <v>138</v>
      </c>
      <c r="D11601" s="254">
        <v>17.98</v>
      </c>
      <c r="E11601"/>
      <c r="F11601"/>
      <c r="G11601"/>
      <c r="H11601"/>
      <c r="I11601" s="489"/>
      <c r="J11601" s="1362"/>
      <c r="K11601" s="1362"/>
      <c r="L11601" s="1362"/>
    </row>
    <row r="11602" spans="1:12" x14ac:dyDescent="0.25">
      <c r="A11602">
        <v>91916</v>
      </c>
      <c r="B11602" t="s">
        <v>1358</v>
      </c>
      <c r="C11602" t="s">
        <v>138</v>
      </c>
      <c r="D11602" s="254">
        <v>19.98</v>
      </c>
      <c r="E11602"/>
      <c r="F11602"/>
      <c r="G11602"/>
      <c r="H11602"/>
      <c r="I11602" s="489"/>
      <c r="J11602" s="1362"/>
      <c r="K11602" s="1362"/>
      <c r="L11602" s="1362"/>
    </row>
    <row r="11603" spans="1:12" x14ac:dyDescent="0.25">
      <c r="A11603">
        <v>91917</v>
      </c>
      <c r="B11603" t="s">
        <v>1359</v>
      </c>
      <c r="C11603" t="s">
        <v>138</v>
      </c>
      <c r="D11603" s="254">
        <v>21.58</v>
      </c>
      <c r="E11603"/>
      <c r="F11603"/>
      <c r="G11603"/>
      <c r="H11603"/>
      <c r="I11603" s="489"/>
      <c r="J11603" s="1362"/>
      <c r="K11603" s="1362"/>
      <c r="L11603" s="1362"/>
    </row>
    <row r="11604" spans="1:12" x14ac:dyDescent="0.25">
      <c r="A11604">
        <v>91919</v>
      </c>
      <c r="B11604" t="s">
        <v>3286</v>
      </c>
      <c r="C11604" t="s">
        <v>138</v>
      </c>
      <c r="D11604" s="254">
        <v>23.62</v>
      </c>
      <c r="E11604"/>
      <c r="F11604"/>
      <c r="G11604"/>
      <c r="H11604"/>
      <c r="I11604" s="489"/>
      <c r="J11604" s="1362"/>
      <c r="K11604" s="1362"/>
      <c r="L11604" s="1362"/>
    </row>
    <row r="11605" spans="1:12" x14ac:dyDescent="0.25">
      <c r="A11605">
        <v>91920</v>
      </c>
      <c r="B11605" t="s">
        <v>1360</v>
      </c>
      <c r="C11605" t="s">
        <v>138</v>
      </c>
      <c r="D11605" s="254">
        <v>24.62</v>
      </c>
      <c r="E11605"/>
      <c r="F11605"/>
      <c r="G11605"/>
      <c r="H11605"/>
      <c r="I11605" s="489"/>
      <c r="J11605" s="1362"/>
      <c r="K11605" s="1362"/>
      <c r="L11605" s="1362"/>
    </row>
    <row r="11606" spans="1:12" x14ac:dyDescent="0.25">
      <c r="A11606">
        <v>91922</v>
      </c>
      <c r="B11606" t="s">
        <v>1361</v>
      </c>
      <c r="C11606" t="s">
        <v>138</v>
      </c>
      <c r="D11606" s="254">
        <v>26.8</v>
      </c>
      <c r="E11606"/>
      <c r="F11606"/>
      <c r="G11606"/>
      <c r="H11606"/>
      <c r="I11606" s="489"/>
      <c r="J11606" s="1362"/>
      <c r="K11606" s="1362"/>
      <c r="L11606" s="1362"/>
    </row>
    <row r="11607" spans="1:12" x14ac:dyDescent="0.25">
      <c r="A11607">
        <v>93013</v>
      </c>
      <c r="B11607" t="s">
        <v>7390</v>
      </c>
      <c r="C11607" t="s">
        <v>138</v>
      </c>
      <c r="D11607" s="254">
        <v>17.86</v>
      </c>
      <c r="E11607"/>
      <c r="F11607"/>
      <c r="G11607"/>
      <c r="H11607"/>
      <c r="I11607" s="489"/>
      <c r="J11607" s="1362"/>
      <c r="K11607" s="1362"/>
      <c r="L11607" s="1362"/>
    </row>
    <row r="11608" spans="1:12" x14ac:dyDescent="0.25">
      <c r="A11608">
        <v>93014</v>
      </c>
      <c r="B11608" t="s">
        <v>7391</v>
      </c>
      <c r="C11608" t="s">
        <v>138</v>
      </c>
      <c r="D11608" s="254">
        <v>21.63</v>
      </c>
      <c r="E11608"/>
      <c r="F11608"/>
      <c r="G11608"/>
      <c r="H11608"/>
      <c r="I11608" s="489"/>
      <c r="J11608" s="1362"/>
      <c r="K11608" s="1362"/>
      <c r="L11608" s="1362"/>
    </row>
    <row r="11609" spans="1:12" x14ac:dyDescent="0.25">
      <c r="A11609">
        <v>93015</v>
      </c>
      <c r="B11609" t="s">
        <v>7392</v>
      </c>
      <c r="C11609" t="s">
        <v>138</v>
      </c>
      <c r="D11609" s="254">
        <v>31.26</v>
      </c>
      <c r="E11609"/>
      <c r="F11609"/>
      <c r="G11609"/>
      <c r="H11609"/>
      <c r="I11609" s="489"/>
      <c r="J11609" s="1362"/>
      <c r="K11609" s="1362"/>
      <c r="L11609" s="1362"/>
    </row>
    <row r="11610" spans="1:12" x14ac:dyDescent="0.25">
      <c r="A11610">
        <v>93016</v>
      </c>
      <c r="B11610" t="s">
        <v>7393</v>
      </c>
      <c r="C11610" t="s">
        <v>138</v>
      </c>
      <c r="D11610" s="254">
        <v>37.39</v>
      </c>
      <c r="E11610"/>
      <c r="F11610"/>
      <c r="G11610"/>
      <c r="H11610"/>
      <c r="I11610" s="489"/>
      <c r="J11610" s="1362"/>
      <c r="K11610" s="1362"/>
      <c r="L11610" s="1362"/>
    </row>
    <row r="11611" spans="1:12" x14ac:dyDescent="0.25">
      <c r="A11611">
        <v>93017</v>
      </c>
      <c r="B11611" t="s">
        <v>7394</v>
      </c>
      <c r="C11611" t="s">
        <v>138</v>
      </c>
      <c r="D11611" s="254">
        <v>54.59</v>
      </c>
      <c r="E11611"/>
      <c r="F11611"/>
      <c r="G11611"/>
      <c r="H11611"/>
      <c r="I11611" s="489"/>
      <c r="J11611" s="1362"/>
      <c r="K11611" s="1362"/>
      <c r="L11611" s="1362"/>
    </row>
    <row r="11612" spans="1:12" x14ac:dyDescent="0.25">
      <c r="A11612">
        <v>93018</v>
      </c>
      <c r="B11612" t="s">
        <v>7395</v>
      </c>
      <c r="C11612" t="s">
        <v>138</v>
      </c>
      <c r="D11612" s="254">
        <v>27.18</v>
      </c>
      <c r="E11612"/>
      <c r="F11612"/>
      <c r="G11612"/>
      <c r="H11612"/>
      <c r="I11612" s="489"/>
      <c r="J11612" s="1362"/>
      <c r="K11612" s="1362"/>
      <c r="L11612" s="1362"/>
    </row>
    <row r="11613" spans="1:12" x14ac:dyDescent="0.25">
      <c r="A11613">
        <v>93020</v>
      </c>
      <c r="B11613" t="s">
        <v>7396</v>
      </c>
      <c r="C11613" t="s">
        <v>138</v>
      </c>
      <c r="D11613" s="254">
        <v>34.020000000000003</v>
      </c>
      <c r="E11613"/>
      <c r="F11613"/>
      <c r="G11613"/>
      <c r="H11613"/>
      <c r="I11613" s="489"/>
      <c r="J11613" s="1362"/>
      <c r="K11613" s="1362"/>
      <c r="L11613" s="1362"/>
    </row>
    <row r="11614" spans="1:12" x14ac:dyDescent="0.25">
      <c r="A11614">
        <v>93022</v>
      </c>
      <c r="B11614" t="s">
        <v>7397</v>
      </c>
      <c r="C11614" t="s">
        <v>138</v>
      </c>
      <c r="D11614" s="254">
        <v>53.46</v>
      </c>
      <c r="E11614"/>
      <c r="F11614"/>
      <c r="G11614"/>
      <c r="H11614"/>
      <c r="I11614" s="489"/>
      <c r="J11614" s="1362"/>
      <c r="K11614" s="1362"/>
      <c r="L11614" s="1362"/>
    </row>
    <row r="11615" spans="1:12" x14ac:dyDescent="0.25">
      <c r="A11615">
        <v>93024</v>
      </c>
      <c r="B11615" t="s">
        <v>7398</v>
      </c>
      <c r="C11615" t="s">
        <v>138</v>
      </c>
      <c r="D11615" s="254">
        <v>56.7</v>
      </c>
      <c r="E11615"/>
      <c r="F11615"/>
      <c r="G11615"/>
      <c r="H11615"/>
      <c r="I11615" s="489"/>
      <c r="J11615" s="1362"/>
      <c r="K11615" s="1362"/>
      <c r="L11615" s="1362"/>
    </row>
    <row r="11616" spans="1:12" x14ac:dyDescent="0.25">
      <c r="A11616">
        <v>93026</v>
      </c>
      <c r="B11616" t="s">
        <v>7399</v>
      </c>
      <c r="C11616" t="s">
        <v>138</v>
      </c>
      <c r="D11616" s="254">
        <v>89.05</v>
      </c>
      <c r="E11616"/>
      <c r="F11616"/>
      <c r="G11616"/>
      <c r="H11616"/>
      <c r="I11616" s="489"/>
      <c r="J11616" s="1362"/>
      <c r="K11616" s="1362"/>
      <c r="L11616" s="1362"/>
    </row>
    <row r="11617" spans="1:12" x14ac:dyDescent="0.25">
      <c r="A11617">
        <v>97559</v>
      </c>
      <c r="B11617" t="s">
        <v>3287</v>
      </c>
      <c r="C11617" t="s">
        <v>138</v>
      </c>
      <c r="D11617" s="254">
        <v>12.74</v>
      </c>
      <c r="E11617"/>
      <c r="F11617"/>
      <c r="G11617"/>
      <c r="H11617"/>
      <c r="I11617" s="489"/>
      <c r="J11617" s="1362"/>
      <c r="K11617" s="1362"/>
      <c r="L11617" s="1362"/>
    </row>
    <row r="11618" spans="1:12" x14ac:dyDescent="0.25">
      <c r="A11618">
        <v>97562</v>
      </c>
      <c r="B11618" t="s">
        <v>3288</v>
      </c>
      <c r="C11618" t="s">
        <v>138</v>
      </c>
      <c r="D11618" s="254">
        <v>15.41</v>
      </c>
      <c r="E11618"/>
      <c r="F11618"/>
      <c r="G11618"/>
      <c r="H11618"/>
      <c r="I11618" s="489"/>
      <c r="J11618" s="1362"/>
      <c r="K11618" s="1362"/>
      <c r="L11618" s="1362"/>
    </row>
    <row r="11619" spans="1:12" x14ac:dyDescent="0.25">
      <c r="A11619">
        <v>97564</v>
      </c>
      <c r="B11619" t="s">
        <v>3289</v>
      </c>
      <c r="C11619" t="s">
        <v>138</v>
      </c>
      <c r="D11619" s="254">
        <v>17.75</v>
      </c>
      <c r="E11619"/>
      <c r="F11619"/>
      <c r="G11619"/>
      <c r="H11619"/>
      <c r="I11619" s="489"/>
      <c r="J11619" s="1362"/>
      <c r="K11619" s="1362"/>
      <c r="L11619" s="1362"/>
    </row>
    <row r="11620" spans="1:12" x14ac:dyDescent="0.25">
      <c r="A11620">
        <v>91924</v>
      </c>
      <c r="B11620" t="s">
        <v>1362</v>
      </c>
      <c r="C11620" t="s">
        <v>151</v>
      </c>
      <c r="D11620" s="254">
        <v>3.12</v>
      </c>
      <c r="E11620"/>
      <c r="F11620"/>
      <c r="G11620"/>
      <c r="H11620"/>
      <c r="I11620" s="489"/>
      <c r="J11620" s="1362"/>
      <c r="K11620" s="1362"/>
      <c r="L11620" s="1362"/>
    </row>
    <row r="11621" spans="1:12" x14ac:dyDescent="0.25">
      <c r="A11621">
        <v>91925</v>
      </c>
      <c r="B11621" t="s">
        <v>1363</v>
      </c>
      <c r="C11621" t="s">
        <v>151</v>
      </c>
      <c r="D11621" s="254">
        <v>3.66</v>
      </c>
      <c r="E11621"/>
      <c r="F11621"/>
      <c r="G11621"/>
      <c r="H11621"/>
      <c r="I11621" s="489"/>
      <c r="J11621" s="1362"/>
      <c r="K11621" s="1362"/>
      <c r="L11621" s="1362"/>
    </row>
    <row r="11622" spans="1:12" x14ac:dyDescent="0.25">
      <c r="A11622">
        <v>91926</v>
      </c>
      <c r="B11622" t="s">
        <v>1364</v>
      </c>
      <c r="C11622" t="s">
        <v>151</v>
      </c>
      <c r="D11622" s="254">
        <v>4.43</v>
      </c>
      <c r="E11622"/>
      <c r="F11622"/>
      <c r="G11622"/>
      <c r="H11622"/>
      <c r="I11622" s="489"/>
      <c r="J11622" s="1362"/>
      <c r="K11622" s="1362"/>
      <c r="L11622" s="1362"/>
    </row>
    <row r="11623" spans="1:12" x14ac:dyDescent="0.25">
      <c r="A11623">
        <v>91927</v>
      </c>
      <c r="B11623" t="s">
        <v>1365</v>
      </c>
      <c r="C11623" t="s">
        <v>151</v>
      </c>
      <c r="D11623" s="254">
        <v>4.9000000000000004</v>
      </c>
      <c r="E11623"/>
      <c r="F11623"/>
      <c r="G11623"/>
      <c r="H11623"/>
      <c r="I11623" s="489"/>
      <c r="J11623" s="1362"/>
      <c r="K11623" s="1362"/>
      <c r="L11623" s="1362"/>
    </row>
    <row r="11624" spans="1:12" x14ac:dyDescent="0.25">
      <c r="A11624">
        <v>91928</v>
      </c>
      <c r="B11624" t="s">
        <v>1366</v>
      </c>
      <c r="C11624" t="s">
        <v>151</v>
      </c>
      <c r="D11624" s="254">
        <v>6.71</v>
      </c>
      <c r="E11624"/>
      <c r="F11624"/>
      <c r="G11624"/>
      <c r="H11624"/>
      <c r="I11624" s="489"/>
      <c r="J11624" s="1362"/>
      <c r="K11624" s="1362"/>
      <c r="L11624" s="1362"/>
    </row>
    <row r="11625" spans="1:12" x14ac:dyDescent="0.25">
      <c r="A11625">
        <v>91929</v>
      </c>
      <c r="B11625" t="s">
        <v>1367</v>
      </c>
      <c r="C11625" t="s">
        <v>151</v>
      </c>
      <c r="D11625" s="254">
        <v>7.11</v>
      </c>
      <c r="E11625"/>
      <c r="F11625"/>
      <c r="G11625"/>
      <c r="H11625"/>
      <c r="I11625" s="489"/>
      <c r="J11625" s="1362"/>
      <c r="K11625" s="1362"/>
      <c r="L11625" s="1362"/>
    </row>
    <row r="11626" spans="1:12" x14ac:dyDescent="0.25">
      <c r="A11626">
        <v>91930</v>
      </c>
      <c r="B11626" t="s">
        <v>1368</v>
      </c>
      <c r="C11626" t="s">
        <v>151</v>
      </c>
      <c r="D11626" s="254">
        <v>9.2899999999999991</v>
      </c>
      <c r="E11626"/>
      <c r="F11626"/>
      <c r="G11626"/>
      <c r="H11626"/>
      <c r="I11626" s="489"/>
      <c r="J11626" s="1362"/>
      <c r="K11626" s="1362"/>
      <c r="L11626" s="1362"/>
    </row>
    <row r="11627" spans="1:12" x14ac:dyDescent="0.25">
      <c r="A11627">
        <v>91931</v>
      </c>
      <c r="B11627" t="s">
        <v>1369</v>
      </c>
      <c r="C11627" t="s">
        <v>151</v>
      </c>
      <c r="D11627" s="254">
        <v>9.9499999999999993</v>
      </c>
      <c r="E11627"/>
      <c r="F11627"/>
      <c r="G11627"/>
      <c r="H11627"/>
      <c r="I11627" s="489"/>
      <c r="J11627" s="1362"/>
      <c r="K11627" s="1362"/>
      <c r="L11627" s="1362"/>
    </row>
    <row r="11628" spans="1:12" x14ac:dyDescent="0.25">
      <c r="A11628">
        <v>91932</v>
      </c>
      <c r="B11628" t="s">
        <v>1370</v>
      </c>
      <c r="C11628" t="s">
        <v>151</v>
      </c>
      <c r="D11628" s="254">
        <v>16.29</v>
      </c>
      <c r="E11628"/>
      <c r="F11628"/>
      <c r="G11628"/>
      <c r="H11628"/>
      <c r="I11628" s="489"/>
      <c r="J11628" s="1362"/>
      <c r="K11628" s="1362"/>
      <c r="L11628" s="1362"/>
    </row>
    <row r="11629" spans="1:12" x14ac:dyDescent="0.25">
      <c r="A11629">
        <v>91933</v>
      </c>
      <c r="B11629" t="s">
        <v>1371</v>
      </c>
      <c r="C11629" t="s">
        <v>151</v>
      </c>
      <c r="D11629" s="254">
        <v>15.76</v>
      </c>
      <c r="E11629"/>
      <c r="F11629"/>
      <c r="G11629"/>
      <c r="H11629"/>
      <c r="I11629" s="489"/>
      <c r="J11629" s="1362"/>
      <c r="K11629" s="1362"/>
      <c r="L11629" s="1362"/>
    </row>
    <row r="11630" spans="1:12" x14ac:dyDescent="0.25">
      <c r="A11630">
        <v>91934</v>
      </c>
      <c r="B11630" t="s">
        <v>1372</v>
      </c>
      <c r="C11630" t="s">
        <v>151</v>
      </c>
      <c r="D11630" s="254">
        <v>23.59</v>
      </c>
      <c r="E11630"/>
      <c r="F11630"/>
      <c r="G11630"/>
      <c r="H11630"/>
      <c r="I11630" s="489"/>
      <c r="J11630" s="1362"/>
      <c r="K11630" s="1362"/>
      <c r="L11630" s="1362"/>
    </row>
    <row r="11631" spans="1:12" x14ac:dyDescent="0.25">
      <c r="A11631">
        <v>91935</v>
      </c>
      <c r="B11631" t="s">
        <v>1373</v>
      </c>
      <c r="C11631" t="s">
        <v>151</v>
      </c>
      <c r="D11631" s="254">
        <v>24.6</v>
      </c>
      <c r="E11631"/>
      <c r="F11631"/>
      <c r="G11631"/>
      <c r="H11631"/>
      <c r="I11631" s="489"/>
      <c r="J11631" s="1362"/>
      <c r="K11631" s="1362"/>
      <c r="L11631" s="1362"/>
    </row>
    <row r="11632" spans="1:12" x14ac:dyDescent="0.25">
      <c r="A11632">
        <v>92979</v>
      </c>
      <c r="B11632" t="s">
        <v>1374</v>
      </c>
      <c r="C11632" t="s">
        <v>151</v>
      </c>
      <c r="D11632" s="254">
        <v>10.42</v>
      </c>
      <c r="E11632"/>
      <c r="F11632"/>
      <c r="G11632"/>
      <c r="H11632"/>
      <c r="I11632" s="489"/>
      <c r="J11632" s="1362"/>
      <c r="K11632" s="1362"/>
      <c r="L11632" s="1362"/>
    </row>
    <row r="11633" spans="1:12" x14ac:dyDescent="0.25">
      <c r="A11633">
        <v>92980</v>
      </c>
      <c r="B11633" t="s">
        <v>1375</v>
      </c>
      <c r="C11633" t="s">
        <v>151</v>
      </c>
      <c r="D11633" s="254">
        <v>9.9600000000000009</v>
      </c>
      <c r="E11633"/>
      <c r="F11633"/>
      <c r="G11633"/>
      <c r="H11633"/>
      <c r="I11633" s="489"/>
      <c r="J11633" s="1362"/>
      <c r="K11633" s="1362"/>
      <c r="L11633" s="1362"/>
    </row>
    <row r="11634" spans="1:12" x14ac:dyDescent="0.25">
      <c r="A11634">
        <v>92981</v>
      </c>
      <c r="B11634" t="s">
        <v>1376</v>
      </c>
      <c r="C11634" t="s">
        <v>151</v>
      </c>
      <c r="D11634" s="254">
        <v>14.89</v>
      </c>
      <c r="E11634"/>
      <c r="F11634"/>
      <c r="G11634"/>
      <c r="H11634"/>
      <c r="I11634" s="489"/>
      <c r="J11634" s="1362"/>
      <c r="K11634" s="1362"/>
      <c r="L11634" s="1362"/>
    </row>
    <row r="11635" spans="1:12" x14ac:dyDescent="0.25">
      <c r="A11635">
        <v>92982</v>
      </c>
      <c r="B11635" t="s">
        <v>1377</v>
      </c>
      <c r="C11635" t="s">
        <v>151</v>
      </c>
      <c r="D11635" s="254">
        <v>15.77</v>
      </c>
      <c r="E11635"/>
      <c r="F11635"/>
      <c r="G11635"/>
      <c r="H11635"/>
      <c r="I11635" s="489"/>
      <c r="J11635" s="1362"/>
      <c r="K11635" s="1362"/>
      <c r="L11635" s="1362"/>
    </row>
    <row r="11636" spans="1:12" x14ac:dyDescent="0.25">
      <c r="A11636">
        <v>92984</v>
      </c>
      <c r="B11636" t="s">
        <v>7400</v>
      </c>
      <c r="C11636" t="s">
        <v>151</v>
      </c>
      <c r="D11636" s="254">
        <v>26.74</v>
      </c>
      <c r="E11636"/>
      <c r="F11636"/>
      <c r="G11636"/>
      <c r="H11636"/>
      <c r="I11636" s="489"/>
      <c r="J11636" s="1362"/>
      <c r="K11636" s="1362"/>
      <c r="L11636" s="1362"/>
    </row>
    <row r="11637" spans="1:12" x14ac:dyDescent="0.25">
      <c r="A11637">
        <v>92986</v>
      </c>
      <c r="B11637" t="s">
        <v>7401</v>
      </c>
      <c r="C11637" t="s">
        <v>151</v>
      </c>
      <c r="D11637" s="254">
        <v>36.74</v>
      </c>
      <c r="E11637"/>
      <c r="F11637"/>
      <c r="G11637"/>
      <c r="H11637"/>
      <c r="I11637" s="489"/>
      <c r="J11637" s="1362"/>
      <c r="K11637" s="1362"/>
      <c r="L11637" s="1362"/>
    </row>
    <row r="11638" spans="1:12" x14ac:dyDescent="0.25">
      <c r="A11638">
        <v>92988</v>
      </c>
      <c r="B11638" t="s">
        <v>7402</v>
      </c>
      <c r="C11638" t="s">
        <v>151</v>
      </c>
      <c r="D11638" s="254">
        <v>53.04</v>
      </c>
      <c r="E11638"/>
      <c r="F11638"/>
      <c r="G11638"/>
      <c r="H11638"/>
      <c r="I11638" s="489"/>
      <c r="J11638" s="1362"/>
      <c r="K11638" s="1362"/>
      <c r="L11638" s="1362"/>
    </row>
    <row r="11639" spans="1:12" x14ac:dyDescent="0.25">
      <c r="A11639">
        <v>92990</v>
      </c>
      <c r="B11639" t="s">
        <v>7403</v>
      </c>
      <c r="C11639" t="s">
        <v>151</v>
      </c>
      <c r="D11639" s="254">
        <v>73.209999999999994</v>
      </c>
      <c r="E11639"/>
      <c r="F11639"/>
      <c r="G11639"/>
      <c r="H11639"/>
      <c r="I11639" s="489"/>
      <c r="J11639" s="1362"/>
      <c r="K11639" s="1362"/>
      <c r="L11639" s="1362"/>
    </row>
    <row r="11640" spans="1:12" x14ac:dyDescent="0.25">
      <c r="A11640">
        <v>92992</v>
      </c>
      <c r="B11640" t="s">
        <v>7404</v>
      </c>
      <c r="C11640" t="s">
        <v>151</v>
      </c>
      <c r="D11640" s="254">
        <v>94.54</v>
      </c>
      <c r="E11640"/>
      <c r="F11640"/>
      <c r="G11640"/>
      <c r="H11640"/>
      <c r="I11640" s="489"/>
      <c r="J11640" s="1362"/>
      <c r="K11640" s="1362"/>
      <c r="L11640" s="1362"/>
    </row>
    <row r="11641" spans="1:12" x14ac:dyDescent="0.25">
      <c r="A11641">
        <v>92994</v>
      </c>
      <c r="B11641" t="s">
        <v>7405</v>
      </c>
      <c r="C11641" t="s">
        <v>151</v>
      </c>
      <c r="D11641" s="254">
        <v>122.63</v>
      </c>
      <c r="E11641"/>
      <c r="F11641"/>
      <c r="G11641"/>
      <c r="H11641"/>
      <c r="I11641" s="489"/>
      <c r="J11641" s="1362"/>
      <c r="K11641" s="1362"/>
      <c r="L11641" s="1362"/>
    </row>
    <row r="11642" spans="1:12" x14ac:dyDescent="0.25">
      <c r="A11642">
        <v>92996</v>
      </c>
      <c r="B11642" t="s">
        <v>7406</v>
      </c>
      <c r="C11642" t="s">
        <v>151</v>
      </c>
      <c r="D11642" s="254">
        <v>148.31</v>
      </c>
      <c r="E11642"/>
      <c r="F11642"/>
      <c r="G11642"/>
      <c r="H11642"/>
      <c r="I11642" s="489"/>
      <c r="J11642" s="1362"/>
      <c r="K11642" s="1362"/>
      <c r="L11642" s="1362"/>
    </row>
    <row r="11643" spans="1:12" x14ac:dyDescent="0.25">
      <c r="A11643">
        <v>92998</v>
      </c>
      <c r="B11643" t="s">
        <v>7407</v>
      </c>
      <c r="C11643" t="s">
        <v>151</v>
      </c>
      <c r="D11643" s="254">
        <v>181.64</v>
      </c>
      <c r="E11643"/>
      <c r="F11643"/>
      <c r="G11643"/>
      <c r="H11643"/>
      <c r="I11643" s="489"/>
      <c r="J11643" s="1362"/>
      <c r="K11643" s="1362"/>
      <c r="L11643" s="1362"/>
    </row>
    <row r="11644" spans="1:12" x14ac:dyDescent="0.25">
      <c r="A11644">
        <v>93000</v>
      </c>
      <c r="B11644" t="s">
        <v>7408</v>
      </c>
      <c r="C11644" t="s">
        <v>151</v>
      </c>
      <c r="D11644" s="254">
        <v>240.24</v>
      </c>
      <c r="E11644"/>
      <c r="F11644"/>
      <c r="G11644"/>
      <c r="H11644"/>
      <c r="I11644" s="489"/>
      <c r="J11644" s="1362"/>
      <c r="K11644" s="1362"/>
      <c r="L11644" s="1362"/>
    </row>
    <row r="11645" spans="1:12" x14ac:dyDescent="0.25">
      <c r="A11645">
        <v>93002</v>
      </c>
      <c r="B11645" t="s">
        <v>7409</v>
      </c>
      <c r="C11645" t="s">
        <v>151</v>
      </c>
      <c r="D11645" s="254">
        <v>310.3</v>
      </c>
      <c r="E11645"/>
      <c r="F11645"/>
      <c r="G11645"/>
      <c r="H11645"/>
      <c r="I11645" s="489"/>
      <c r="J11645" s="1362"/>
      <c r="K11645" s="1362"/>
      <c r="L11645" s="1362"/>
    </row>
    <row r="11646" spans="1:12" x14ac:dyDescent="0.25">
      <c r="A11646">
        <v>101884</v>
      </c>
      <c r="B11646" t="s">
        <v>5295</v>
      </c>
      <c r="C11646" t="s">
        <v>151</v>
      </c>
      <c r="D11646" s="254">
        <v>10.09</v>
      </c>
      <c r="E11646"/>
      <c r="F11646"/>
      <c r="G11646"/>
      <c r="H11646"/>
      <c r="I11646" s="489"/>
      <c r="J11646" s="1362"/>
      <c r="K11646" s="1362"/>
      <c r="L11646" s="1362"/>
    </row>
    <row r="11647" spans="1:12" x14ac:dyDescent="0.25">
      <c r="A11647">
        <v>101885</v>
      </c>
      <c r="B11647" t="s">
        <v>5296</v>
      </c>
      <c r="C11647" t="s">
        <v>151</v>
      </c>
      <c r="D11647" s="254">
        <v>9.6300000000000008</v>
      </c>
      <c r="E11647"/>
      <c r="F11647"/>
      <c r="G11647"/>
      <c r="H11647"/>
      <c r="I11647" s="489"/>
      <c r="J11647" s="1362"/>
      <c r="K11647" s="1362"/>
      <c r="L11647" s="1362"/>
    </row>
    <row r="11648" spans="1:12" x14ac:dyDescent="0.25">
      <c r="A11648">
        <v>101886</v>
      </c>
      <c r="B11648" t="s">
        <v>5297</v>
      </c>
      <c r="C11648" t="s">
        <v>151</v>
      </c>
      <c r="D11648" s="254">
        <v>14.51</v>
      </c>
      <c r="E11648"/>
      <c r="F11648"/>
      <c r="G11648"/>
      <c r="H11648"/>
      <c r="I11648" s="489"/>
      <c r="J11648" s="1362"/>
      <c r="K11648" s="1362"/>
      <c r="L11648" s="1362"/>
    </row>
    <row r="11649" spans="1:12" x14ac:dyDescent="0.25">
      <c r="A11649">
        <v>101887</v>
      </c>
      <c r="B11649" t="s">
        <v>5298</v>
      </c>
      <c r="C11649" t="s">
        <v>151</v>
      </c>
      <c r="D11649" s="254">
        <v>15.39</v>
      </c>
      <c r="E11649"/>
      <c r="F11649"/>
      <c r="G11649"/>
      <c r="H11649"/>
      <c r="I11649" s="489"/>
      <c r="J11649" s="1362"/>
      <c r="K11649" s="1362"/>
      <c r="L11649" s="1362"/>
    </row>
    <row r="11650" spans="1:12" x14ac:dyDescent="0.25">
      <c r="A11650">
        <v>101888</v>
      </c>
      <c r="B11650" t="s">
        <v>5299</v>
      </c>
      <c r="C11650" t="s">
        <v>151</v>
      </c>
      <c r="D11650" s="254">
        <v>22.76</v>
      </c>
      <c r="E11650"/>
      <c r="F11650"/>
      <c r="G11650"/>
      <c r="H11650"/>
      <c r="I11650" s="489"/>
      <c r="J11650" s="1362"/>
      <c r="K11650" s="1362"/>
      <c r="L11650" s="1362"/>
    </row>
    <row r="11651" spans="1:12" x14ac:dyDescent="0.25">
      <c r="A11651">
        <v>101889</v>
      </c>
      <c r="B11651" t="s">
        <v>5300</v>
      </c>
      <c r="C11651" t="s">
        <v>151</v>
      </c>
      <c r="D11651" s="254">
        <v>23.91</v>
      </c>
      <c r="E11651"/>
      <c r="F11651"/>
      <c r="G11651"/>
      <c r="H11651"/>
      <c r="I11651" s="489"/>
      <c r="J11651" s="1362"/>
      <c r="K11651" s="1362"/>
      <c r="L11651" s="1362"/>
    </row>
    <row r="11652" spans="1:12" x14ac:dyDescent="0.25">
      <c r="A11652">
        <v>91936</v>
      </c>
      <c r="B11652" t="s">
        <v>1378</v>
      </c>
      <c r="C11652" t="s">
        <v>138</v>
      </c>
      <c r="D11652" s="254">
        <v>15.34</v>
      </c>
      <c r="E11652"/>
      <c r="F11652"/>
      <c r="G11652"/>
      <c r="H11652"/>
      <c r="I11652" s="489"/>
      <c r="J11652" s="1362"/>
      <c r="K11652" s="1362"/>
      <c r="L11652" s="1362"/>
    </row>
    <row r="11653" spans="1:12" x14ac:dyDescent="0.25">
      <c r="A11653">
        <v>91937</v>
      </c>
      <c r="B11653" t="s">
        <v>1379</v>
      </c>
      <c r="C11653" t="s">
        <v>138</v>
      </c>
      <c r="D11653" s="254">
        <v>13.41</v>
      </c>
      <c r="E11653"/>
      <c r="F11653"/>
      <c r="G11653"/>
      <c r="H11653"/>
      <c r="I11653" s="489"/>
      <c r="J11653" s="1362"/>
      <c r="K11653" s="1362"/>
      <c r="L11653" s="1362"/>
    </row>
    <row r="11654" spans="1:12" x14ac:dyDescent="0.25">
      <c r="A11654">
        <v>91939</v>
      </c>
      <c r="B11654" t="s">
        <v>1380</v>
      </c>
      <c r="C11654" t="s">
        <v>138</v>
      </c>
      <c r="D11654" s="254">
        <v>36.020000000000003</v>
      </c>
      <c r="E11654"/>
      <c r="F11654"/>
      <c r="G11654"/>
      <c r="H11654"/>
      <c r="I11654" s="489"/>
      <c r="J11654" s="1362"/>
      <c r="K11654" s="1362"/>
      <c r="L11654" s="1362"/>
    </row>
    <row r="11655" spans="1:12" x14ac:dyDescent="0.25">
      <c r="A11655">
        <v>91940</v>
      </c>
      <c r="B11655" t="s">
        <v>1381</v>
      </c>
      <c r="C11655" t="s">
        <v>138</v>
      </c>
      <c r="D11655" s="254">
        <v>18.73</v>
      </c>
      <c r="E11655"/>
      <c r="F11655"/>
      <c r="G11655"/>
      <c r="H11655"/>
      <c r="I11655" s="489"/>
      <c r="J11655" s="1362"/>
      <c r="K11655" s="1362"/>
      <c r="L11655" s="1362"/>
    </row>
    <row r="11656" spans="1:12" x14ac:dyDescent="0.25">
      <c r="A11656">
        <v>91941</v>
      </c>
      <c r="B11656" t="s">
        <v>1382</v>
      </c>
      <c r="C11656" t="s">
        <v>138</v>
      </c>
      <c r="D11656" s="254">
        <v>12.25</v>
      </c>
      <c r="E11656"/>
      <c r="F11656"/>
      <c r="G11656"/>
      <c r="H11656"/>
      <c r="I11656" s="489"/>
      <c r="J11656" s="1362"/>
      <c r="K11656" s="1362"/>
      <c r="L11656" s="1362"/>
    </row>
    <row r="11657" spans="1:12" x14ac:dyDescent="0.25">
      <c r="A11657">
        <v>91942</v>
      </c>
      <c r="B11657" t="s">
        <v>1383</v>
      </c>
      <c r="C11657" t="s">
        <v>138</v>
      </c>
      <c r="D11657" s="254">
        <v>43.51</v>
      </c>
      <c r="E11657"/>
      <c r="F11657"/>
      <c r="G11657"/>
      <c r="H11657"/>
      <c r="I11657" s="489"/>
      <c r="J11657" s="1362"/>
      <c r="K11657" s="1362"/>
      <c r="L11657" s="1362"/>
    </row>
    <row r="11658" spans="1:12" x14ac:dyDescent="0.25">
      <c r="A11658">
        <v>91943</v>
      </c>
      <c r="B11658" t="s">
        <v>1384</v>
      </c>
      <c r="C11658" t="s">
        <v>138</v>
      </c>
      <c r="D11658" s="254">
        <v>23.63</v>
      </c>
      <c r="E11658"/>
      <c r="F11658"/>
      <c r="G11658"/>
      <c r="H11658"/>
      <c r="I11658" s="489"/>
      <c r="J11658" s="1362"/>
      <c r="K11658" s="1362"/>
      <c r="L11658" s="1362"/>
    </row>
    <row r="11659" spans="1:12" x14ac:dyDescent="0.25">
      <c r="A11659">
        <v>91944</v>
      </c>
      <c r="B11659" t="s">
        <v>1385</v>
      </c>
      <c r="C11659" t="s">
        <v>138</v>
      </c>
      <c r="D11659" s="254">
        <v>16.190000000000001</v>
      </c>
      <c r="E11659"/>
      <c r="F11659"/>
      <c r="G11659"/>
      <c r="H11659"/>
      <c r="I11659" s="489"/>
      <c r="J11659" s="1362"/>
      <c r="K11659" s="1362"/>
      <c r="L11659" s="1362"/>
    </row>
    <row r="11660" spans="1:12" x14ac:dyDescent="0.25">
      <c r="A11660">
        <v>92865</v>
      </c>
      <c r="B11660" t="s">
        <v>1386</v>
      </c>
      <c r="C11660" t="s">
        <v>138</v>
      </c>
      <c r="D11660" s="254">
        <v>12.89</v>
      </c>
      <c r="E11660"/>
      <c r="F11660"/>
      <c r="G11660"/>
      <c r="H11660"/>
      <c r="I11660" s="489"/>
      <c r="J11660" s="1362"/>
      <c r="K11660" s="1362"/>
      <c r="L11660" s="1362"/>
    </row>
    <row r="11661" spans="1:12" x14ac:dyDescent="0.25">
      <c r="A11661">
        <v>92866</v>
      </c>
      <c r="B11661" t="s">
        <v>1387</v>
      </c>
      <c r="C11661" t="s">
        <v>138</v>
      </c>
      <c r="D11661" s="254">
        <v>10.82</v>
      </c>
      <c r="E11661"/>
      <c r="F11661"/>
      <c r="G11661"/>
      <c r="H11661"/>
      <c r="I11661" s="489"/>
      <c r="J11661" s="1362"/>
      <c r="K11661" s="1362"/>
      <c r="L11661" s="1362"/>
    </row>
    <row r="11662" spans="1:12" x14ac:dyDescent="0.25">
      <c r="A11662">
        <v>92867</v>
      </c>
      <c r="B11662" t="s">
        <v>1388</v>
      </c>
      <c r="C11662" t="s">
        <v>138</v>
      </c>
      <c r="D11662" s="254">
        <v>35.4</v>
      </c>
      <c r="E11662"/>
      <c r="F11662"/>
      <c r="G11662"/>
      <c r="H11662"/>
      <c r="I11662" s="489"/>
      <c r="J11662" s="1362"/>
      <c r="K11662" s="1362"/>
      <c r="L11662" s="1362"/>
    </row>
    <row r="11663" spans="1:12" x14ac:dyDescent="0.25">
      <c r="A11663">
        <v>92868</v>
      </c>
      <c r="B11663" t="s">
        <v>1389</v>
      </c>
      <c r="C11663" t="s">
        <v>138</v>
      </c>
      <c r="D11663" s="254">
        <v>18.11</v>
      </c>
      <c r="E11663"/>
      <c r="F11663"/>
      <c r="G11663"/>
      <c r="H11663"/>
      <c r="I11663" s="489"/>
      <c r="J11663" s="1362"/>
      <c r="K11663" s="1362"/>
      <c r="L11663" s="1362"/>
    </row>
    <row r="11664" spans="1:12" x14ac:dyDescent="0.25">
      <c r="A11664">
        <v>92869</v>
      </c>
      <c r="B11664" t="s">
        <v>1390</v>
      </c>
      <c r="C11664" t="s">
        <v>138</v>
      </c>
      <c r="D11664" s="254">
        <v>11.63</v>
      </c>
      <c r="E11664"/>
      <c r="F11664"/>
      <c r="G11664"/>
      <c r="H11664"/>
      <c r="I11664" s="489"/>
      <c r="J11664" s="1362"/>
      <c r="K11664" s="1362"/>
      <c r="L11664" s="1362"/>
    </row>
    <row r="11665" spans="1:12" x14ac:dyDescent="0.25">
      <c r="A11665">
        <v>92870</v>
      </c>
      <c r="B11665" t="s">
        <v>1391</v>
      </c>
      <c r="C11665" t="s">
        <v>138</v>
      </c>
      <c r="D11665" s="254">
        <v>42.51</v>
      </c>
      <c r="E11665"/>
      <c r="F11665"/>
      <c r="G11665"/>
      <c r="H11665"/>
      <c r="I11665" s="489"/>
      <c r="J11665" s="1362"/>
      <c r="K11665" s="1362"/>
      <c r="L11665" s="1362"/>
    </row>
    <row r="11666" spans="1:12" x14ac:dyDescent="0.25">
      <c r="A11666">
        <v>92871</v>
      </c>
      <c r="B11666" t="s">
        <v>1392</v>
      </c>
      <c r="C11666" t="s">
        <v>138</v>
      </c>
      <c r="D11666" s="254">
        <v>22.63</v>
      </c>
      <c r="E11666"/>
      <c r="F11666"/>
      <c r="G11666"/>
      <c r="H11666"/>
      <c r="I11666" s="489"/>
      <c r="J11666" s="1362"/>
      <c r="K11666" s="1362"/>
      <c r="L11666" s="1362"/>
    </row>
    <row r="11667" spans="1:12" x14ac:dyDescent="0.25">
      <c r="A11667">
        <v>92872</v>
      </c>
      <c r="B11667" t="s">
        <v>1393</v>
      </c>
      <c r="C11667" t="s">
        <v>138</v>
      </c>
      <c r="D11667" s="254">
        <v>15.19</v>
      </c>
      <c r="E11667"/>
      <c r="F11667"/>
      <c r="G11667"/>
      <c r="H11667"/>
      <c r="I11667" s="489"/>
      <c r="J11667" s="1362"/>
      <c r="K11667" s="1362"/>
      <c r="L11667" s="1362"/>
    </row>
    <row r="11668" spans="1:12" x14ac:dyDescent="0.25">
      <c r="A11668">
        <v>95777</v>
      </c>
      <c r="B11668" t="s">
        <v>1394</v>
      </c>
      <c r="C11668" t="s">
        <v>138</v>
      </c>
      <c r="D11668" s="254">
        <v>36.15</v>
      </c>
      <c r="E11668"/>
      <c r="F11668"/>
      <c r="G11668"/>
      <c r="H11668"/>
      <c r="I11668" s="489"/>
      <c r="J11668" s="1362"/>
      <c r="K11668" s="1362"/>
      <c r="L11668" s="1362"/>
    </row>
    <row r="11669" spans="1:12" x14ac:dyDescent="0.25">
      <c r="A11669">
        <v>95778</v>
      </c>
      <c r="B11669" t="s">
        <v>1395</v>
      </c>
      <c r="C11669" t="s">
        <v>138</v>
      </c>
      <c r="D11669" s="254">
        <v>36.979999999999997</v>
      </c>
      <c r="E11669"/>
      <c r="F11669"/>
      <c r="G11669"/>
      <c r="H11669"/>
      <c r="I11669" s="489"/>
      <c r="J11669" s="1362"/>
      <c r="K11669" s="1362"/>
      <c r="L11669" s="1362"/>
    </row>
    <row r="11670" spans="1:12" x14ac:dyDescent="0.25">
      <c r="A11670">
        <v>95779</v>
      </c>
      <c r="B11670" t="s">
        <v>1396</v>
      </c>
      <c r="C11670" t="s">
        <v>138</v>
      </c>
      <c r="D11670" s="254">
        <v>34.17</v>
      </c>
      <c r="E11670"/>
      <c r="F11670"/>
      <c r="G11670"/>
      <c r="H11670"/>
      <c r="I11670" s="489"/>
      <c r="J11670" s="1362"/>
      <c r="K11670" s="1362"/>
      <c r="L11670" s="1362"/>
    </row>
    <row r="11671" spans="1:12" x14ac:dyDescent="0.25">
      <c r="A11671">
        <v>95780</v>
      </c>
      <c r="B11671" t="s">
        <v>1397</v>
      </c>
      <c r="C11671" t="s">
        <v>138</v>
      </c>
      <c r="D11671" s="254">
        <v>40.92</v>
      </c>
      <c r="E11671"/>
      <c r="F11671"/>
      <c r="G11671"/>
      <c r="H11671"/>
      <c r="I11671" s="489"/>
      <c r="J11671" s="1362"/>
      <c r="K11671" s="1362"/>
      <c r="L11671" s="1362"/>
    </row>
    <row r="11672" spans="1:12" x14ac:dyDescent="0.25">
      <c r="A11672">
        <v>95781</v>
      </c>
      <c r="B11672" t="s">
        <v>1398</v>
      </c>
      <c r="C11672" t="s">
        <v>138</v>
      </c>
      <c r="D11672" s="254">
        <v>41.54</v>
      </c>
      <c r="E11672"/>
      <c r="F11672"/>
      <c r="G11672"/>
      <c r="H11672"/>
      <c r="I11672" s="489"/>
      <c r="J11672" s="1362"/>
      <c r="K11672" s="1362"/>
      <c r="L11672" s="1362"/>
    </row>
    <row r="11673" spans="1:12" x14ac:dyDescent="0.25">
      <c r="A11673">
        <v>95782</v>
      </c>
      <c r="B11673" t="s">
        <v>1399</v>
      </c>
      <c r="C11673" t="s">
        <v>138</v>
      </c>
      <c r="D11673" s="254">
        <v>43.17</v>
      </c>
      <c r="E11673"/>
      <c r="F11673"/>
      <c r="G11673"/>
      <c r="H11673"/>
      <c r="I11673" s="489"/>
      <c r="J11673" s="1362"/>
      <c r="K11673" s="1362"/>
      <c r="L11673" s="1362"/>
    </row>
    <row r="11674" spans="1:12" x14ac:dyDescent="0.25">
      <c r="A11674">
        <v>95785</v>
      </c>
      <c r="B11674" t="s">
        <v>1400</v>
      </c>
      <c r="C11674" t="s">
        <v>138</v>
      </c>
      <c r="D11674" s="254">
        <v>48.94</v>
      </c>
      <c r="E11674"/>
      <c r="F11674"/>
      <c r="G11674"/>
      <c r="H11674"/>
      <c r="I11674" s="489"/>
      <c r="J11674" s="1362"/>
      <c r="K11674" s="1362"/>
      <c r="L11674" s="1362"/>
    </row>
    <row r="11675" spans="1:12" x14ac:dyDescent="0.25">
      <c r="A11675">
        <v>95787</v>
      </c>
      <c r="B11675" t="s">
        <v>1401</v>
      </c>
      <c r="C11675" t="s">
        <v>138</v>
      </c>
      <c r="D11675" s="254">
        <v>36.71</v>
      </c>
      <c r="E11675"/>
      <c r="F11675"/>
      <c r="G11675"/>
      <c r="H11675"/>
      <c r="I11675" s="489"/>
      <c r="J11675" s="1362"/>
      <c r="K11675" s="1362"/>
      <c r="L11675" s="1362"/>
    </row>
    <row r="11676" spans="1:12" x14ac:dyDescent="0.25">
      <c r="A11676">
        <v>95789</v>
      </c>
      <c r="B11676" t="s">
        <v>1402</v>
      </c>
      <c r="C11676" t="s">
        <v>138</v>
      </c>
      <c r="D11676" s="254">
        <v>45.1</v>
      </c>
      <c r="E11676"/>
      <c r="F11676"/>
      <c r="G11676"/>
      <c r="H11676"/>
      <c r="I11676" s="489"/>
      <c r="J11676" s="1362"/>
      <c r="K11676" s="1362"/>
      <c r="L11676" s="1362"/>
    </row>
    <row r="11677" spans="1:12" x14ac:dyDescent="0.25">
      <c r="A11677">
        <v>95791</v>
      </c>
      <c r="B11677" t="s">
        <v>1403</v>
      </c>
      <c r="C11677" t="s">
        <v>138</v>
      </c>
      <c r="D11677" s="254">
        <v>57.61</v>
      </c>
      <c r="E11677"/>
      <c r="F11677"/>
      <c r="G11677"/>
      <c r="H11677"/>
      <c r="I11677" s="489"/>
      <c r="J11677" s="1362"/>
      <c r="K11677" s="1362"/>
      <c r="L11677" s="1362"/>
    </row>
    <row r="11678" spans="1:12" x14ac:dyDescent="0.25">
      <c r="A11678">
        <v>95795</v>
      </c>
      <c r="B11678" t="s">
        <v>1404</v>
      </c>
      <c r="C11678" t="s">
        <v>138</v>
      </c>
      <c r="D11678" s="254">
        <v>42.41</v>
      </c>
      <c r="E11678"/>
      <c r="F11678"/>
      <c r="G11678"/>
      <c r="H11678"/>
      <c r="I11678" s="489"/>
      <c r="J11678" s="1362"/>
      <c r="K11678" s="1362"/>
      <c r="L11678" s="1362"/>
    </row>
    <row r="11679" spans="1:12" x14ac:dyDescent="0.25">
      <c r="A11679">
        <v>95796</v>
      </c>
      <c r="B11679" t="s">
        <v>1405</v>
      </c>
      <c r="C11679" t="s">
        <v>138</v>
      </c>
      <c r="D11679" s="254">
        <v>53.1</v>
      </c>
      <c r="E11679"/>
      <c r="F11679"/>
      <c r="G11679"/>
      <c r="H11679"/>
      <c r="I11679" s="489"/>
      <c r="J11679" s="1362"/>
      <c r="K11679" s="1362"/>
      <c r="L11679" s="1362"/>
    </row>
    <row r="11680" spans="1:12" x14ac:dyDescent="0.25">
      <c r="A11680">
        <v>95797</v>
      </c>
      <c r="B11680" t="s">
        <v>1406</v>
      </c>
      <c r="C11680" t="s">
        <v>138</v>
      </c>
      <c r="D11680" s="254">
        <v>67.05</v>
      </c>
      <c r="E11680"/>
      <c r="F11680"/>
      <c r="G11680"/>
      <c r="H11680"/>
      <c r="I11680" s="489"/>
      <c r="J11680" s="1362"/>
      <c r="K11680" s="1362"/>
      <c r="L11680" s="1362"/>
    </row>
    <row r="11681" spans="1:12" x14ac:dyDescent="0.25">
      <c r="A11681">
        <v>95801</v>
      </c>
      <c r="B11681" t="s">
        <v>1407</v>
      </c>
      <c r="C11681" t="s">
        <v>138</v>
      </c>
      <c r="D11681" s="254">
        <v>50.77</v>
      </c>
      <c r="E11681"/>
      <c r="F11681"/>
      <c r="G11681"/>
      <c r="H11681"/>
      <c r="I11681" s="489"/>
      <c r="J11681" s="1362"/>
      <c r="K11681" s="1362"/>
      <c r="L11681" s="1362"/>
    </row>
    <row r="11682" spans="1:12" x14ac:dyDescent="0.25">
      <c r="A11682">
        <v>95802</v>
      </c>
      <c r="B11682" t="s">
        <v>1408</v>
      </c>
      <c r="C11682" t="s">
        <v>138</v>
      </c>
      <c r="D11682" s="254">
        <v>56.58</v>
      </c>
      <c r="E11682"/>
      <c r="F11682"/>
      <c r="G11682"/>
      <c r="H11682"/>
      <c r="I11682" s="489"/>
      <c r="J11682" s="1362"/>
      <c r="K11682" s="1362"/>
      <c r="L11682" s="1362"/>
    </row>
    <row r="11683" spans="1:12" x14ac:dyDescent="0.25">
      <c r="A11683">
        <v>95803</v>
      </c>
      <c r="B11683" t="s">
        <v>1409</v>
      </c>
      <c r="C11683" t="s">
        <v>138</v>
      </c>
      <c r="D11683" s="254">
        <v>74.400000000000006</v>
      </c>
      <c r="E11683"/>
      <c r="F11683"/>
      <c r="G11683"/>
      <c r="H11683"/>
      <c r="I11683" s="489"/>
      <c r="J11683" s="1362"/>
      <c r="K11683" s="1362"/>
      <c r="L11683" s="1362"/>
    </row>
    <row r="11684" spans="1:12" x14ac:dyDescent="0.25">
      <c r="A11684">
        <v>95804</v>
      </c>
      <c r="B11684" t="s">
        <v>1410</v>
      </c>
      <c r="C11684" t="s">
        <v>138</v>
      </c>
      <c r="D11684" s="254">
        <v>28.63</v>
      </c>
      <c r="E11684"/>
      <c r="F11684"/>
      <c r="G11684"/>
      <c r="H11684"/>
      <c r="I11684" s="489"/>
      <c r="J11684" s="1362"/>
      <c r="K11684" s="1362"/>
      <c r="L11684" s="1362"/>
    </row>
    <row r="11685" spans="1:12" x14ac:dyDescent="0.25">
      <c r="A11685">
        <v>95805</v>
      </c>
      <c r="B11685" t="s">
        <v>1411</v>
      </c>
      <c r="C11685" t="s">
        <v>138</v>
      </c>
      <c r="D11685" s="254">
        <v>28.93</v>
      </c>
      <c r="E11685"/>
      <c r="F11685"/>
      <c r="G11685"/>
      <c r="H11685"/>
      <c r="I11685" s="489"/>
      <c r="J11685" s="1362"/>
      <c r="K11685" s="1362"/>
      <c r="L11685" s="1362"/>
    </row>
    <row r="11686" spans="1:12" x14ac:dyDescent="0.25">
      <c r="A11686">
        <v>95806</v>
      </c>
      <c r="B11686" t="s">
        <v>1412</v>
      </c>
      <c r="C11686" t="s">
        <v>138</v>
      </c>
      <c r="D11686" s="254">
        <v>29.81</v>
      </c>
      <c r="E11686"/>
      <c r="F11686"/>
      <c r="G11686"/>
      <c r="H11686"/>
      <c r="I11686" s="489"/>
      <c r="J11686" s="1362"/>
      <c r="K11686" s="1362"/>
      <c r="L11686" s="1362"/>
    </row>
    <row r="11687" spans="1:12" x14ac:dyDescent="0.25">
      <c r="A11687">
        <v>95807</v>
      </c>
      <c r="B11687" t="s">
        <v>1413</v>
      </c>
      <c r="C11687" t="s">
        <v>138</v>
      </c>
      <c r="D11687" s="254">
        <v>33.090000000000003</v>
      </c>
      <c r="E11687"/>
      <c r="F11687"/>
      <c r="G11687"/>
      <c r="H11687"/>
      <c r="I11687" s="489"/>
      <c r="J11687" s="1362"/>
      <c r="K11687" s="1362"/>
      <c r="L11687" s="1362"/>
    </row>
    <row r="11688" spans="1:12" x14ac:dyDescent="0.25">
      <c r="A11688">
        <v>95808</v>
      </c>
      <c r="B11688" t="s">
        <v>1414</v>
      </c>
      <c r="C11688" t="s">
        <v>138</v>
      </c>
      <c r="D11688" s="254">
        <v>33.979999999999997</v>
      </c>
      <c r="E11688"/>
      <c r="F11688"/>
      <c r="G11688"/>
      <c r="H11688"/>
      <c r="I11688" s="489"/>
      <c r="J11688" s="1362"/>
      <c r="K11688" s="1362"/>
      <c r="L11688" s="1362"/>
    </row>
    <row r="11689" spans="1:12" x14ac:dyDescent="0.25">
      <c r="A11689">
        <v>95809</v>
      </c>
      <c r="B11689" t="s">
        <v>1415</v>
      </c>
      <c r="C11689" t="s">
        <v>138</v>
      </c>
      <c r="D11689" s="254">
        <v>37.090000000000003</v>
      </c>
      <c r="E11689"/>
      <c r="F11689"/>
      <c r="G11689"/>
      <c r="H11689"/>
      <c r="I11689" s="489"/>
      <c r="J11689" s="1362"/>
      <c r="K11689" s="1362"/>
      <c r="L11689" s="1362"/>
    </row>
    <row r="11690" spans="1:12" x14ac:dyDescent="0.25">
      <c r="A11690">
        <v>95810</v>
      </c>
      <c r="B11690" t="s">
        <v>1416</v>
      </c>
      <c r="C11690" t="s">
        <v>138</v>
      </c>
      <c r="D11690" s="254">
        <v>16.350000000000001</v>
      </c>
      <c r="E11690"/>
      <c r="F11690"/>
      <c r="G11690"/>
      <c r="H11690"/>
      <c r="I11690" s="489"/>
      <c r="J11690" s="1362"/>
      <c r="K11690" s="1362"/>
      <c r="L11690" s="1362"/>
    </row>
    <row r="11691" spans="1:12" x14ac:dyDescent="0.25">
      <c r="A11691">
        <v>95811</v>
      </c>
      <c r="B11691" t="s">
        <v>1417</v>
      </c>
      <c r="C11691" t="s">
        <v>138</v>
      </c>
      <c r="D11691" s="254">
        <v>17.25</v>
      </c>
      <c r="E11691"/>
      <c r="F11691"/>
      <c r="G11691"/>
      <c r="H11691"/>
      <c r="I11691" s="489"/>
      <c r="J11691" s="1362"/>
      <c r="K11691" s="1362"/>
      <c r="L11691" s="1362"/>
    </row>
    <row r="11692" spans="1:12" x14ac:dyDescent="0.25">
      <c r="A11692">
        <v>95812</v>
      </c>
      <c r="B11692" t="s">
        <v>1418</v>
      </c>
      <c r="C11692" t="s">
        <v>138</v>
      </c>
      <c r="D11692" s="254">
        <v>20.350000000000001</v>
      </c>
      <c r="E11692"/>
      <c r="F11692"/>
      <c r="G11692"/>
      <c r="H11692"/>
      <c r="I11692" s="489"/>
      <c r="J11692" s="1362"/>
      <c r="K11692" s="1362"/>
      <c r="L11692" s="1362"/>
    </row>
    <row r="11693" spans="1:12" x14ac:dyDescent="0.25">
      <c r="A11693">
        <v>95813</v>
      </c>
      <c r="B11693" t="s">
        <v>1419</v>
      </c>
      <c r="C11693" t="s">
        <v>138</v>
      </c>
      <c r="D11693" s="254">
        <v>20.09</v>
      </c>
      <c r="E11693"/>
      <c r="F11693"/>
      <c r="G11693"/>
      <c r="H11693"/>
      <c r="I11693" s="489"/>
      <c r="J11693" s="1362"/>
      <c r="K11693" s="1362"/>
      <c r="L11693" s="1362"/>
    </row>
    <row r="11694" spans="1:12" x14ac:dyDescent="0.25">
      <c r="A11694">
        <v>95814</v>
      </c>
      <c r="B11694" t="s">
        <v>1420</v>
      </c>
      <c r="C11694" t="s">
        <v>138</v>
      </c>
      <c r="D11694" s="254">
        <v>21.43</v>
      </c>
      <c r="E11694"/>
      <c r="F11694"/>
      <c r="G11694"/>
      <c r="H11694"/>
      <c r="I11694" s="489"/>
      <c r="J11694" s="1362"/>
      <c r="K11694" s="1362"/>
      <c r="L11694" s="1362"/>
    </row>
    <row r="11695" spans="1:12" x14ac:dyDescent="0.25">
      <c r="A11695">
        <v>95815</v>
      </c>
      <c r="B11695" t="s">
        <v>1421</v>
      </c>
      <c r="C11695" t="s">
        <v>138</v>
      </c>
      <c r="D11695" s="254">
        <v>27.26</v>
      </c>
      <c r="E11695"/>
      <c r="F11695"/>
      <c r="G11695"/>
      <c r="H11695"/>
      <c r="I11695" s="489"/>
      <c r="J11695" s="1362"/>
      <c r="K11695" s="1362"/>
      <c r="L11695" s="1362"/>
    </row>
    <row r="11696" spans="1:12" x14ac:dyDescent="0.25">
      <c r="A11696">
        <v>95816</v>
      </c>
      <c r="B11696" t="s">
        <v>1422</v>
      </c>
      <c r="C11696" t="s">
        <v>138</v>
      </c>
      <c r="D11696" s="254">
        <v>40.81</v>
      </c>
      <c r="E11696"/>
      <c r="F11696"/>
      <c r="G11696"/>
      <c r="H11696"/>
      <c r="I11696" s="489"/>
      <c r="J11696" s="1362"/>
      <c r="K11696" s="1362"/>
      <c r="L11696" s="1362"/>
    </row>
    <row r="11697" spans="1:12" x14ac:dyDescent="0.25">
      <c r="A11697">
        <v>95817</v>
      </c>
      <c r="B11697" t="s">
        <v>1423</v>
      </c>
      <c r="C11697" t="s">
        <v>138</v>
      </c>
      <c r="D11697" s="254">
        <v>42.15</v>
      </c>
      <c r="E11697"/>
      <c r="F11697"/>
      <c r="G11697"/>
      <c r="H11697"/>
      <c r="I11697" s="489"/>
      <c r="J11697" s="1362"/>
      <c r="K11697" s="1362"/>
      <c r="L11697" s="1362"/>
    </row>
    <row r="11698" spans="1:12" x14ac:dyDescent="0.25">
      <c r="A11698">
        <v>95818</v>
      </c>
      <c r="B11698" t="s">
        <v>1424</v>
      </c>
      <c r="C11698" t="s">
        <v>138</v>
      </c>
      <c r="D11698" s="254">
        <v>49.99</v>
      </c>
      <c r="E11698"/>
      <c r="F11698"/>
      <c r="G11698"/>
      <c r="H11698"/>
      <c r="I11698" s="489"/>
      <c r="J11698" s="1362"/>
      <c r="K11698" s="1362"/>
      <c r="L11698" s="1362"/>
    </row>
    <row r="11699" spans="1:12" x14ac:dyDescent="0.25">
      <c r="A11699">
        <v>97881</v>
      </c>
      <c r="B11699" t="s">
        <v>5825</v>
      </c>
      <c r="C11699" t="s">
        <v>138</v>
      </c>
      <c r="D11699" s="254">
        <v>128.72999999999999</v>
      </c>
      <c r="E11699"/>
      <c r="F11699"/>
      <c r="G11699"/>
      <c r="H11699"/>
      <c r="I11699" s="489"/>
      <c r="J11699" s="1362"/>
      <c r="K11699" s="1362"/>
      <c r="L11699" s="1362"/>
    </row>
    <row r="11700" spans="1:12" x14ac:dyDescent="0.25">
      <c r="A11700">
        <v>97882</v>
      </c>
      <c r="B11700" t="s">
        <v>5826</v>
      </c>
      <c r="C11700" t="s">
        <v>138</v>
      </c>
      <c r="D11700" s="254">
        <v>202.18</v>
      </c>
      <c r="E11700"/>
      <c r="F11700"/>
      <c r="G11700"/>
      <c r="H11700"/>
      <c r="I11700" s="489"/>
      <c r="J11700" s="1362"/>
      <c r="K11700" s="1362"/>
      <c r="L11700" s="1362"/>
    </row>
    <row r="11701" spans="1:12" x14ac:dyDescent="0.25">
      <c r="A11701">
        <v>97883</v>
      </c>
      <c r="B11701" t="s">
        <v>5827</v>
      </c>
      <c r="C11701" t="s">
        <v>138</v>
      </c>
      <c r="D11701" s="254">
        <v>390.58</v>
      </c>
      <c r="E11701"/>
      <c r="F11701"/>
      <c r="G11701"/>
      <c r="H11701"/>
      <c r="I11701" s="489"/>
      <c r="J11701" s="1362"/>
      <c r="K11701" s="1362"/>
      <c r="L11701" s="1362"/>
    </row>
    <row r="11702" spans="1:12" x14ac:dyDescent="0.25">
      <c r="A11702">
        <v>97884</v>
      </c>
      <c r="B11702" t="s">
        <v>5828</v>
      </c>
      <c r="C11702" t="s">
        <v>138</v>
      </c>
      <c r="D11702" s="254">
        <v>763.01</v>
      </c>
      <c r="E11702"/>
      <c r="F11702"/>
      <c r="G11702"/>
      <c r="H11702"/>
      <c r="I11702" s="489"/>
      <c r="J11702" s="1362"/>
      <c r="K11702" s="1362"/>
      <c r="L11702" s="1362"/>
    </row>
    <row r="11703" spans="1:12" x14ac:dyDescent="0.25">
      <c r="A11703">
        <v>97885</v>
      </c>
      <c r="B11703" t="s">
        <v>5829</v>
      </c>
      <c r="C11703" t="s">
        <v>138</v>
      </c>
      <c r="D11703" s="254">
        <v>1172.1400000000001</v>
      </c>
      <c r="E11703"/>
      <c r="F11703"/>
      <c r="G11703"/>
      <c r="H11703"/>
      <c r="I11703" s="489"/>
      <c r="J11703" s="1362"/>
      <c r="K11703" s="1362"/>
      <c r="L11703" s="1362"/>
    </row>
    <row r="11704" spans="1:12" x14ac:dyDescent="0.25">
      <c r="A11704">
        <v>97886</v>
      </c>
      <c r="B11704" t="s">
        <v>5830</v>
      </c>
      <c r="C11704" t="s">
        <v>138</v>
      </c>
      <c r="D11704" s="254">
        <v>185.8</v>
      </c>
      <c r="E11704"/>
      <c r="F11704"/>
      <c r="G11704"/>
      <c r="H11704"/>
      <c r="I11704" s="489"/>
      <c r="J11704" s="1362"/>
      <c r="K11704" s="1362"/>
      <c r="L11704" s="1362"/>
    </row>
    <row r="11705" spans="1:12" x14ac:dyDescent="0.25">
      <c r="A11705">
        <v>97887</v>
      </c>
      <c r="B11705" t="s">
        <v>5831</v>
      </c>
      <c r="C11705" t="s">
        <v>138</v>
      </c>
      <c r="D11705" s="254">
        <v>293.62</v>
      </c>
      <c r="E11705"/>
      <c r="F11705"/>
      <c r="G11705"/>
      <c r="H11705"/>
      <c r="I11705" s="489"/>
      <c r="J11705" s="1362"/>
      <c r="K11705" s="1362"/>
      <c r="L11705" s="1362"/>
    </row>
    <row r="11706" spans="1:12" x14ac:dyDescent="0.25">
      <c r="A11706">
        <v>97888</v>
      </c>
      <c r="B11706" t="s">
        <v>5832</v>
      </c>
      <c r="C11706" t="s">
        <v>138</v>
      </c>
      <c r="D11706" s="254">
        <v>570.51</v>
      </c>
      <c r="E11706"/>
      <c r="F11706"/>
      <c r="G11706"/>
      <c r="H11706"/>
      <c r="I11706" s="489"/>
      <c r="J11706" s="1362"/>
      <c r="K11706" s="1362"/>
      <c r="L11706" s="1362"/>
    </row>
    <row r="11707" spans="1:12" x14ac:dyDescent="0.25">
      <c r="A11707">
        <v>97889</v>
      </c>
      <c r="B11707" t="s">
        <v>5833</v>
      </c>
      <c r="C11707" t="s">
        <v>138</v>
      </c>
      <c r="D11707" s="254">
        <v>770.29</v>
      </c>
      <c r="E11707"/>
      <c r="F11707"/>
      <c r="G11707"/>
      <c r="H11707"/>
      <c r="I11707" s="489"/>
      <c r="J11707" s="1362"/>
      <c r="K11707" s="1362"/>
      <c r="L11707" s="1362"/>
    </row>
    <row r="11708" spans="1:12" x14ac:dyDescent="0.25">
      <c r="A11708">
        <v>97890</v>
      </c>
      <c r="B11708" t="s">
        <v>5834</v>
      </c>
      <c r="C11708" t="s">
        <v>138</v>
      </c>
      <c r="D11708" s="254">
        <v>876.64</v>
      </c>
      <c r="E11708"/>
      <c r="F11708"/>
      <c r="G11708"/>
      <c r="H11708"/>
      <c r="I11708" s="489"/>
      <c r="J11708" s="1362"/>
      <c r="K11708" s="1362"/>
      <c r="L11708" s="1362"/>
    </row>
    <row r="11709" spans="1:12" x14ac:dyDescent="0.25">
      <c r="A11709">
        <v>97891</v>
      </c>
      <c r="B11709" t="s">
        <v>5835</v>
      </c>
      <c r="C11709" t="s">
        <v>138</v>
      </c>
      <c r="D11709" s="254">
        <v>210.97</v>
      </c>
      <c r="E11709"/>
      <c r="F11709"/>
      <c r="G11709"/>
      <c r="H11709"/>
      <c r="I11709" s="489"/>
      <c r="J11709" s="1362"/>
      <c r="K11709" s="1362"/>
      <c r="L11709" s="1362"/>
    </row>
    <row r="11710" spans="1:12" x14ac:dyDescent="0.25">
      <c r="A11710">
        <v>97892</v>
      </c>
      <c r="B11710" t="s">
        <v>5836</v>
      </c>
      <c r="C11710" t="s">
        <v>138</v>
      </c>
      <c r="D11710" s="254">
        <v>395.79</v>
      </c>
      <c r="E11710"/>
      <c r="F11710"/>
      <c r="G11710"/>
      <c r="H11710"/>
      <c r="I11710" s="489"/>
      <c r="J11710" s="1362"/>
      <c r="K11710" s="1362"/>
      <c r="L11710" s="1362"/>
    </row>
    <row r="11711" spans="1:12" x14ac:dyDescent="0.25">
      <c r="A11711">
        <v>97893</v>
      </c>
      <c r="B11711" t="s">
        <v>5837</v>
      </c>
      <c r="C11711" t="s">
        <v>138</v>
      </c>
      <c r="D11711" s="254">
        <v>547.47</v>
      </c>
      <c r="E11711"/>
      <c r="F11711"/>
      <c r="G11711"/>
      <c r="H11711"/>
      <c r="I11711" s="489"/>
      <c r="J11711" s="1362"/>
      <c r="K11711" s="1362"/>
      <c r="L11711" s="1362"/>
    </row>
    <row r="11712" spans="1:12" x14ac:dyDescent="0.25">
      <c r="A11712">
        <v>97894</v>
      </c>
      <c r="B11712" t="s">
        <v>5838</v>
      </c>
      <c r="C11712" t="s">
        <v>138</v>
      </c>
      <c r="D11712" s="254">
        <v>606.63</v>
      </c>
      <c r="E11712"/>
      <c r="F11712"/>
      <c r="G11712"/>
      <c r="H11712"/>
      <c r="I11712" s="489"/>
      <c r="J11712" s="1362"/>
      <c r="K11712" s="1362"/>
      <c r="L11712" s="1362"/>
    </row>
    <row r="11713" spans="1:12" x14ac:dyDescent="0.25">
      <c r="A11713">
        <v>93653</v>
      </c>
      <c r="B11713" t="s">
        <v>5301</v>
      </c>
      <c r="C11713" t="s">
        <v>138</v>
      </c>
      <c r="D11713" s="254">
        <v>11.69</v>
      </c>
      <c r="E11713"/>
      <c r="F11713"/>
      <c r="G11713"/>
      <c r="H11713"/>
      <c r="I11713" s="489"/>
      <c r="J11713" s="1362"/>
      <c r="K11713" s="1362"/>
      <c r="L11713" s="1362"/>
    </row>
    <row r="11714" spans="1:12" x14ac:dyDescent="0.25">
      <c r="A11714">
        <v>93654</v>
      </c>
      <c r="B11714" t="s">
        <v>5302</v>
      </c>
      <c r="C11714" t="s">
        <v>138</v>
      </c>
      <c r="D11714" s="254">
        <v>12.48</v>
      </c>
      <c r="E11714"/>
      <c r="F11714"/>
      <c r="G11714"/>
      <c r="H11714"/>
      <c r="I11714" s="489"/>
      <c r="J11714" s="1362"/>
      <c r="K11714" s="1362"/>
      <c r="L11714" s="1362"/>
    </row>
    <row r="11715" spans="1:12" x14ac:dyDescent="0.25">
      <c r="A11715">
        <v>93655</v>
      </c>
      <c r="B11715" t="s">
        <v>5303</v>
      </c>
      <c r="C11715" t="s">
        <v>138</v>
      </c>
      <c r="D11715" s="254">
        <v>13.95</v>
      </c>
      <c r="E11715"/>
      <c r="F11715"/>
      <c r="G11715"/>
      <c r="H11715"/>
      <c r="I11715" s="489"/>
      <c r="J11715" s="1362"/>
      <c r="K11715" s="1362"/>
      <c r="L11715" s="1362"/>
    </row>
    <row r="11716" spans="1:12" x14ac:dyDescent="0.25">
      <c r="A11716">
        <v>93656</v>
      </c>
      <c r="B11716" t="s">
        <v>5304</v>
      </c>
      <c r="C11716" t="s">
        <v>138</v>
      </c>
      <c r="D11716" s="254">
        <v>13.95</v>
      </c>
      <c r="E11716"/>
      <c r="F11716"/>
      <c r="G11716"/>
      <c r="H11716"/>
      <c r="I11716" s="489"/>
      <c r="J11716" s="1362"/>
      <c r="K11716" s="1362"/>
      <c r="L11716" s="1362"/>
    </row>
    <row r="11717" spans="1:12" x14ac:dyDescent="0.25">
      <c r="A11717">
        <v>93657</v>
      </c>
      <c r="B11717" t="s">
        <v>5305</v>
      </c>
      <c r="C11717" t="s">
        <v>138</v>
      </c>
      <c r="D11717" s="254">
        <v>15.78</v>
      </c>
      <c r="E11717"/>
      <c r="F11717"/>
      <c r="G11717"/>
      <c r="H11717"/>
      <c r="I11717" s="489"/>
      <c r="J11717" s="1362"/>
      <c r="K11717" s="1362"/>
      <c r="L11717" s="1362"/>
    </row>
    <row r="11718" spans="1:12" x14ac:dyDescent="0.25">
      <c r="A11718">
        <v>93658</v>
      </c>
      <c r="B11718" t="s">
        <v>5306</v>
      </c>
      <c r="C11718" t="s">
        <v>138</v>
      </c>
      <c r="D11718" s="254">
        <v>22.8</v>
      </c>
      <c r="E11718"/>
      <c r="F11718"/>
      <c r="G11718"/>
      <c r="H11718"/>
      <c r="I11718" s="489"/>
      <c r="J11718" s="1362"/>
      <c r="K11718" s="1362"/>
      <c r="L11718" s="1362"/>
    </row>
    <row r="11719" spans="1:12" x14ac:dyDescent="0.25">
      <c r="A11719">
        <v>93659</v>
      </c>
      <c r="B11719" t="s">
        <v>5307</v>
      </c>
      <c r="C11719" t="s">
        <v>138</v>
      </c>
      <c r="D11719" s="254">
        <v>26.53</v>
      </c>
      <c r="E11719"/>
      <c r="F11719"/>
      <c r="G11719"/>
      <c r="H11719"/>
      <c r="I11719" s="489"/>
      <c r="J11719" s="1362"/>
      <c r="K11719" s="1362"/>
      <c r="L11719" s="1362"/>
    </row>
    <row r="11720" spans="1:12" x14ac:dyDescent="0.25">
      <c r="A11720">
        <v>93660</v>
      </c>
      <c r="B11720" t="s">
        <v>5308</v>
      </c>
      <c r="C11720" t="s">
        <v>138</v>
      </c>
      <c r="D11720" s="254">
        <v>55.08</v>
      </c>
      <c r="E11720"/>
      <c r="F11720"/>
      <c r="G11720"/>
      <c r="H11720"/>
      <c r="I11720" s="489"/>
      <c r="J11720" s="1362"/>
      <c r="K11720" s="1362"/>
      <c r="L11720" s="1362"/>
    </row>
    <row r="11721" spans="1:12" x14ac:dyDescent="0.25">
      <c r="A11721">
        <v>93661</v>
      </c>
      <c r="B11721" t="s">
        <v>5309</v>
      </c>
      <c r="C11721" t="s">
        <v>138</v>
      </c>
      <c r="D11721" s="254">
        <v>56.66</v>
      </c>
      <c r="E11721"/>
      <c r="F11721"/>
      <c r="G11721"/>
      <c r="H11721"/>
      <c r="I11721" s="489"/>
      <c r="J11721" s="1362"/>
      <c r="K11721" s="1362"/>
      <c r="L11721" s="1362"/>
    </row>
    <row r="11722" spans="1:12" x14ac:dyDescent="0.25">
      <c r="A11722">
        <v>93662</v>
      </c>
      <c r="B11722" t="s">
        <v>5310</v>
      </c>
      <c r="C11722" t="s">
        <v>138</v>
      </c>
      <c r="D11722" s="254">
        <v>59.61</v>
      </c>
      <c r="E11722"/>
      <c r="F11722"/>
      <c r="G11722"/>
      <c r="H11722"/>
      <c r="I11722" s="489"/>
      <c r="J11722" s="1362"/>
      <c r="K11722" s="1362"/>
      <c r="L11722" s="1362"/>
    </row>
    <row r="11723" spans="1:12" x14ac:dyDescent="0.25">
      <c r="A11723">
        <v>93663</v>
      </c>
      <c r="B11723" t="s">
        <v>5311</v>
      </c>
      <c r="C11723" t="s">
        <v>138</v>
      </c>
      <c r="D11723" s="254">
        <v>59.61</v>
      </c>
      <c r="E11723"/>
      <c r="F11723"/>
      <c r="G11723"/>
      <c r="H11723"/>
      <c r="I11723" s="489"/>
      <c r="J11723" s="1362"/>
      <c r="K11723" s="1362"/>
      <c r="L11723" s="1362"/>
    </row>
    <row r="11724" spans="1:12" x14ac:dyDescent="0.25">
      <c r="A11724">
        <v>93664</v>
      </c>
      <c r="B11724" t="s">
        <v>5312</v>
      </c>
      <c r="C11724" t="s">
        <v>138</v>
      </c>
      <c r="D11724" s="254">
        <v>63.27</v>
      </c>
      <c r="E11724"/>
      <c r="F11724"/>
      <c r="G11724"/>
      <c r="H11724"/>
      <c r="I11724" s="489"/>
      <c r="J11724" s="1362"/>
      <c r="K11724" s="1362"/>
      <c r="L11724" s="1362"/>
    </row>
    <row r="11725" spans="1:12" x14ac:dyDescent="0.25">
      <c r="A11725">
        <v>93665</v>
      </c>
      <c r="B11725" t="s">
        <v>5313</v>
      </c>
      <c r="C11725" t="s">
        <v>138</v>
      </c>
      <c r="D11725" s="254">
        <v>68.38</v>
      </c>
      <c r="E11725"/>
      <c r="F11725"/>
      <c r="G11725"/>
      <c r="H11725"/>
      <c r="I11725" s="489"/>
      <c r="J11725" s="1362"/>
      <c r="K11725" s="1362"/>
      <c r="L11725" s="1362"/>
    </row>
    <row r="11726" spans="1:12" x14ac:dyDescent="0.25">
      <c r="A11726">
        <v>93666</v>
      </c>
      <c r="B11726" t="s">
        <v>5314</v>
      </c>
      <c r="C11726" t="s">
        <v>138</v>
      </c>
      <c r="D11726" s="254">
        <v>75.84</v>
      </c>
      <c r="E11726"/>
      <c r="F11726"/>
      <c r="G11726"/>
      <c r="H11726"/>
      <c r="I11726" s="489"/>
      <c r="J11726" s="1362"/>
      <c r="K11726" s="1362"/>
      <c r="L11726" s="1362"/>
    </row>
    <row r="11727" spans="1:12" x14ac:dyDescent="0.25">
      <c r="A11727">
        <v>93667</v>
      </c>
      <c r="B11727" t="s">
        <v>5315</v>
      </c>
      <c r="C11727" t="s">
        <v>138</v>
      </c>
      <c r="D11727" s="254">
        <v>69.25</v>
      </c>
      <c r="E11727"/>
      <c r="F11727"/>
      <c r="G11727"/>
      <c r="H11727"/>
      <c r="I11727" s="489"/>
      <c r="J11727" s="1362"/>
      <c r="K11727" s="1362"/>
      <c r="L11727" s="1362"/>
    </row>
    <row r="11728" spans="1:12" x14ac:dyDescent="0.25">
      <c r="A11728">
        <v>93668</v>
      </c>
      <c r="B11728" t="s">
        <v>5316</v>
      </c>
      <c r="C11728" t="s">
        <v>138</v>
      </c>
      <c r="D11728" s="254">
        <v>71.62</v>
      </c>
      <c r="E11728"/>
      <c r="F11728"/>
      <c r="G11728"/>
      <c r="H11728"/>
      <c r="I11728" s="489"/>
      <c r="J11728" s="1362"/>
      <c r="K11728" s="1362"/>
      <c r="L11728" s="1362"/>
    </row>
    <row r="11729" spans="1:12" x14ac:dyDescent="0.25">
      <c r="A11729">
        <v>93669</v>
      </c>
      <c r="B11729" t="s">
        <v>5317</v>
      </c>
      <c r="C11729" t="s">
        <v>138</v>
      </c>
      <c r="D11729" s="254">
        <v>76.05</v>
      </c>
      <c r="E11729"/>
      <c r="F11729"/>
      <c r="G11729"/>
      <c r="H11729"/>
      <c r="I11729" s="489"/>
      <c r="J11729" s="1362"/>
      <c r="K11729" s="1362"/>
      <c r="L11729" s="1362"/>
    </row>
    <row r="11730" spans="1:12" x14ac:dyDescent="0.25">
      <c r="A11730">
        <v>93670</v>
      </c>
      <c r="B11730" t="s">
        <v>5318</v>
      </c>
      <c r="C11730" t="s">
        <v>138</v>
      </c>
      <c r="D11730" s="254">
        <v>76.05</v>
      </c>
      <c r="E11730"/>
      <c r="F11730"/>
      <c r="G11730"/>
      <c r="H11730"/>
      <c r="I11730" s="489"/>
      <c r="J11730" s="1362"/>
      <c r="K11730" s="1362"/>
      <c r="L11730" s="1362"/>
    </row>
    <row r="11731" spans="1:12" x14ac:dyDescent="0.25">
      <c r="A11731">
        <v>93671</v>
      </c>
      <c r="B11731" t="s">
        <v>5319</v>
      </c>
      <c r="C11731" t="s">
        <v>138</v>
      </c>
      <c r="D11731" s="254">
        <v>81.55</v>
      </c>
      <c r="E11731"/>
      <c r="F11731"/>
      <c r="G11731"/>
      <c r="H11731"/>
      <c r="I11731" s="489"/>
      <c r="J11731" s="1362"/>
      <c r="K11731" s="1362"/>
      <c r="L11731" s="1362"/>
    </row>
    <row r="11732" spans="1:12" x14ac:dyDescent="0.25">
      <c r="A11732">
        <v>93672</v>
      </c>
      <c r="B11732" t="s">
        <v>5320</v>
      </c>
      <c r="C11732" t="s">
        <v>138</v>
      </c>
      <c r="D11732" s="254">
        <v>90.31</v>
      </c>
      <c r="E11732"/>
      <c r="F11732"/>
      <c r="G11732"/>
      <c r="H11732"/>
      <c r="I11732" s="489"/>
      <c r="J11732" s="1362"/>
      <c r="K11732" s="1362"/>
      <c r="L11732" s="1362"/>
    </row>
    <row r="11733" spans="1:12" x14ac:dyDescent="0.25">
      <c r="A11733">
        <v>93673</v>
      </c>
      <c r="B11733" t="s">
        <v>5321</v>
      </c>
      <c r="C11733" t="s">
        <v>138</v>
      </c>
      <c r="D11733" s="254">
        <v>101.51</v>
      </c>
      <c r="E11733"/>
      <c r="F11733"/>
      <c r="G11733"/>
      <c r="H11733"/>
      <c r="I11733" s="489"/>
      <c r="J11733" s="1362"/>
      <c r="K11733" s="1362"/>
      <c r="L11733" s="1362"/>
    </row>
    <row r="11734" spans="1:12" x14ac:dyDescent="0.25">
      <c r="A11734">
        <v>97359</v>
      </c>
      <c r="B11734" t="s">
        <v>5322</v>
      </c>
      <c r="C11734" t="s">
        <v>138</v>
      </c>
      <c r="D11734" s="254">
        <v>4529.8</v>
      </c>
      <c r="E11734"/>
      <c r="F11734"/>
      <c r="G11734"/>
      <c r="H11734"/>
      <c r="I11734" s="489"/>
      <c r="J11734" s="1362"/>
      <c r="K11734" s="1362"/>
      <c r="L11734" s="1362"/>
    </row>
    <row r="11735" spans="1:12" x14ac:dyDescent="0.25">
      <c r="A11735">
        <v>97360</v>
      </c>
      <c r="B11735" t="s">
        <v>5323</v>
      </c>
      <c r="C11735" t="s">
        <v>138</v>
      </c>
      <c r="D11735" s="254">
        <v>8728.44</v>
      </c>
      <c r="E11735"/>
      <c r="F11735"/>
      <c r="G11735"/>
      <c r="H11735"/>
      <c r="I11735" s="489"/>
      <c r="J11735" s="1362"/>
      <c r="K11735" s="1362"/>
      <c r="L11735" s="1362"/>
    </row>
    <row r="11736" spans="1:12" x14ac:dyDescent="0.25">
      <c r="A11736">
        <v>97361</v>
      </c>
      <c r="B11736" t="s">
        <v>5324</v>
      </c>
      <c r="C11736" t="s">
        <v>138</v>
      </c>
      <c r="D11736" s="254">
        <v>11637.92</v>
      </c>
      <c r="E11736"/>
      <c r="F11736"/>
      <c r="G11736"/>
      <c r="H11736"/>
      <c r="I11736" s="489"/>
      <c r="J11736" s="1362"/>
      <c r="K11736" s="1362"/>
      <c r="L11736" s="1362"/>
    </row>
    <row r="11737" spans="1:12" x14ac:dyDescent="0.25">
      <c r="A11737">
        <v>97362</v>
      </c>
      <c r="B11737" t="s">
        <v>5325</v>
      </c>
      <c r="C11737" t="s">
        <v>138</v>
      </c>
      <c r="D11737" s="254">
        <v>2068.62</v>
      </c>
      <c r="E11737"/>
      <c r="F11737"/>
      <c r="G11737"/>
      <c r="H11737"/>
      <c r="I11737" s="489"/>
      <c r="J11737" s="1362"/>
      <c r="K11737" s="1362"/>
      <c r="L11737" s="1362"/>
    </row>
    <row r="11738" spans="1:12" x14ac:dyDescent="0.25">
      <c r="A11738">
        <v>101875</v>
      </c>
      <c r="B11738" t="s">
        <v>5326</v>
      </c>
      <c r="C11738" t="s">
        <v>138</v>
      </c>
      <c r="D11738" s="254">
        <v>446.94</v>
      </c>
      <c r="E11738"/>
      <c r="F11738"/>
      <c r="G11738"/>
      <c r="H11738"/>
      <c r="I11738" s="489"/>
      <c r="J11738" s="1362"/>
      <c r="K11738" s="1362"/>
      <c r="L11738" s="1362"/>
    </row>
    <row r="11739" spans="1:12" x14ac:dyDescent="0.25">
      <c r="A11739">
        <v>101876</v>
      </c>
      <c r="B11739" t="s">
        <v>5327</v>
      </c>
      <c r="C11739" t="s">
        <v>138</v>
      </c>
      <c r="D11739" s="254">
        <v>101.52</v>
      </c>
      <c r="E11739"/>
      <c r="F11739"/>
      <c r="G11739"/>
      <c r="H11739"/>
      <c r="I11739" s="489"/>
      <c r="J11739" s="1362"/>
      <c r="K11739" s="1362"/>
      <c r="L11739" s="1362"/>
    </row>
    <row r="11740" spans="1:12" x14ac:dyDescent="0.25">
      <c r="A11740">
        <v>101877</v>
      </c>
      <c r="B11740" t="s">
        <v>5328</v>
      </c>
      <c r="C11740" t="s">
        <v>138</v>
      </c>
      <c r="D11740" s="254">
        <v>70.09</v>
      </c>
      <c r="E11740"/>
      <c r="F11740"/>
      <c r="G11740"/>
      <c r="H11740"/>
      <c r="I11740" s="489"/>
      <c r="J11740" s="1362"/>
      <c r="K11740" s="1362"/>
      <c r="L11740" s="1362"/>
    </row>
    <row r="11741" spans="1:12" x14ac:dyDescent="0.25">
      <c r="A11741">
        <v>101878</v>
      </c>
      <c r="B11741" t="s">
        <v>5329</v>
      </c>
      <c r="C11741" t="s">
        <v>138</v>
      </c>
      <c r="D11741" s="254">
        <v>626.22</v>
      </c>
      <c r="E11741"/>
      <c r="F11741"/>
      <c r="G11741"/>
      <c r="H11741"/>
      <c r="I11741" s="489"/>
      <c r="J11741" s="1362"/>
      <c r="K11741" s="1362"/>
      <c r="L11741" s="1362"/>
    </row>
    <row r="11742" spans="1:12" x14ac:dyDescent="0.25">
      <c r="A11742">
        <v>101879</v>
      </c>
      <c r="B11742" t="s">
        <v>5330</v>
      </c>
      <c r="C11742" t="s">
        <v>138</v>
      </c>
      <c r="D11742" s="254">
        <v>645.16999999999996</v>
      </c>
      <c r="E11742"/>
      <c r="F11742"/>
      <c r="G11742"/>
      <c r="H11742"/>
      <c r="I11742" s="489"/>
      <c r="J11742" s="1362"/>
      <c r="K11742" s="1362"/>
      <c r="L11742" s="1362"/>
    </row>
    <row r="11743" spans="1:12" x14ac:dyDescent="0.25">
      <c r="A11743">
        <v>101880</v>
      </c>
      <c r="B11743" t="s">
        <v>5331</v>
      </c>
      <c r="C11743" t="s">
        <v>138</v>
      </c>
      <c r="D11743" s="254">
        <v>743.09</v>
      </c>
      <c r="E11743"/>
      <c r="F11743"/>
      <c r="G11743"/>
      <c r="H11743"/>
      <c r="I11743" s="489"/>
      <c r="J11743" s="1362"/>
      <c r="K11743" s="1362"/>
      <c r="L11743" s="1362"/>
    </row>
    <row r="11744" spans="1:12" x14ac:dyDescent="0.25">
      <c r="A11744">
        <v>101881</v>
      </c>
      <c r="B11744" t="s">
        <v>5332</v>
      </c>
      <c r="C11744" t="s">
        <v>138</v>
      </c>
      <c r="D11744" s="254">
        <v>1065.3599999999999</v>
      </c>
      <c r="E11744"/>
      <c r="F11744"/>
      <c r="G11744"/>
      <c r="H11744"/>
      <c r="I11744" s="489"/>
      <c r="J11744" s="1362"/>
      <c r="K11744" s="1362"/>
      <c r="L11744" s="1362"/>
    </row>
    <row r="11745" spans="1:12" x14ac:dyDescent="0.25">
      <c r="A11745">
        <v>101882</v>
      </c>
      <c r="B11745" t="s">
        <v>5333</v>
      </c>
      <c r="C11745" t="s">
        <v>138</v>
      </c>
      <c r="D11745" s="254">
        <v>1509.42</v>
      </c>
      <c r="E11745"/>
      <c r="F11745"/>
      <c r="G11745"/>
      <c r="H11745"/>
      <c r="I11745" s="489"/>
      <c r="J11745" s="1362"/>
      <c r="K11745" s="1362"/>
      <c r="L11745" s="1362"/>
    </row>
    <row r="11746" spans="1:12" x14ac:dyDescent="0.25">
      <c r="A11746">
        <v>101883</v>
      </c>
      <c r="B11746" t="s">
        <v>5334</v>
      </c>
      <c r="C11746" t="s">
        <v>138</v>
      </c>
      <c r="D11746" s="254">
        <v>615.29</v>
      </c>
      <c r="E11746"/>
      <c r="F11746"/>
      <c r="G11746"/>
      <c r="H11746"/>
      <c r="I11746" s="489"/>
      <c r="J11746" s="1362"/>
      <c r="K11746" s="1362"/>
      <c r="L11746" s="1362"/>
    </row>
    <row r="11747" spans="1:12" x14ac:dyDescent="0.25">
      <c r="A11747">
        <v>101890</v>
      </c>
      <c r="B11747" t="s">
        <v>5335</v>
      </c>
      <c r="C11747" t="s">
        <v>138</v>
      </c>
      <c r="D11747" s="254">
        <v>16.46</v>
      </c>
      <c r="E11747"/>
      <c r="F11747"/>
      <c r="G11747"/>
      <c r="H11747"/>
      <c r="I11747" s="489"/>
      <c r="J11747" s="1362"/>
      <c r="K11747" s="1362"/>
      <c r="L11747" s="1362"/>
    </row>
    <row r="11748" spans="1:12" x14ac:dyDescent="0.25">
      <c r="A11748">
        <v>101891</v>
      </c>
      <c r="B11748" t="s">
        <v>5336</v>
      </c>
      <c r="C11748" t="s">
        <v>138</v>
      </c>
      <c r="D11748" s="254">
        <v>28.66</v>
      </c>
      <c r="E11748"/>
      <c r="F11748"/>
      <c r="G11748"/>
      <c r="H11748"/>
      <c r="I11748" s="489"/>
      <c r="J11748" s="1362"/>
      <c r="K11748" s="1362"/>
      <c r="L11748" s="1362"/>
    </row>
    <row r="11749" spans="1:12" x14ac:dyDescent="0.25">
      <c r="A11749">
        <v>101892</v>
      </c>
      <c r="B11749" t="s">
        <v>5337</v>
      </c>
      <c r="C11749" t="s">
        <v>138</v>
      </c>
      <c r="D11749" s="254">
        <v>70.13</v>
      </c>
      <c r="E11749"/>
      <c r="F11749"/>
      <c r="G11749"/>
      <c r="H11749"/>
      <c r="I11749" s="489"/>
      <c r="J11749" s="1362"/>
      <c r="K11749" s="1362"/>
      <c r="L11749" s="1362"/>
    </row>
    <row r="11750" spans="1:12" x14ac:dyDescent="0.25">
      <c r="A11750">
        <v>101893</v>
      </c>
      <c r="B11750" t="s">
        <v>5338</v>
      </c>
      <c r="C11750" t="s">
        <v>138</v>
      </c>
      <c r="D11750" s="254">
        <v>90.24</v>
      </c>
      <c r="E11750"/>
      <c r="F11750"/>
      <c r="G11750"/>
      <c r="H11750"/>
      <c r="I11750" s="489"/>
      <c r="J11750" s="1362"/>
      <c r="K11750" s="1362"/>
      <c r="L11750" s="1362"/>
    </row>
    <row r="11751" spans="1:12" x14ac:dyDescent="0.25">
      <c r="A11751">
        <v>101894</v>
      </c>
      <c r="B11751" t="s">
        <v>5339</v>
      </c>
      <c r="C11751" t="s">
        <v>138</v>
      </c>
      <c r="D11751" s="254">
        <v>161.82</v>
      </c>
      <c r="E11751"/>
      <c r="F11751"/>
      <c r="G11751"/>
      <c r="H11751"/>
      <c r="I11751" s="489"/>
      <c r="J11751" s="1362"/>
      <c r="K11751" s="1362"/>
      <c r="L11751" s="1362"/>
    </row>
    <row r="11752" spans="1:12" x14ac:dyDescent="0.25">
      <c r="A11752">
        <v>101895</v>
      </c>
      <c r="B11752" t="s">
        <v>5340</v>
      </c>
      <c r="C11752" t="s">
        <v>138</v>
      </c>
      <c r="D11752" s="254">
        <v>425.15</v>
      </c>
      <c r="E11752"/>
      <c r="F11752"/>
      <c r="G11752"/>
      <c r="H11752"/>
      <c r="I11752" s="489"/>
      <c r="J11752" s="1362"/>
      <c r="K11752" s="1362"/>
      <c r="L11752" s="1362"/>
    </row>
    <row r="11753" spans="1:12" x14ac:dyDescent="0.25">
      <c r="A11753">
        <v>101896</v>
      </c>
      <c r="B11753" t="s">
        <v>5341</v>
      </c>
      <c r="C11753" t="s">
        <v>138</v>
      </c>
      <c r="D11753" s="254">
        <v>626.20000000000005</v>
      </c>
      <c r="E11753"/>
      <c r="F11753"/>
      <c r="G11753"/>
      <c r="H11753"/>
      <c r="I11753" s="489"/>
      <c r="J11753" s="1362"/>
      <c r="K11753" s="1362"/>
      <c r="L11753" s="1362"/>
    </row>
    <row r="11754" spans="1:12" x14ac:dyDescent="0.25">
      <c r="A11754">
        <v>101897</v>
      </c>
      <c r="B11754" t="s">
        <v>5342</v>
      </c>
      <c r="C11754" t="s">
        <v>138</v>
      </c>
      <c r="D11754" s="254">
        <v>985.47</v>
      </c>
      <c r="E11754"/>
      <c r="F11754"/>
      <c r="G11754"/>
      <c r="H11754"/>
      <c r="I11754" s="489"/>
      <c r="J11754" s="1362"/>
      <c r="K11754" s="1362"/>
      <c r="L11754" s="1362"/>
    </row>
    <row r="11755" spans="1:12" x14ac:dyDescent="0.25">
      <c r="A11755">
        <v>101898</v>
      </c>
      <c r="B11755" t="s">
        <v>5343</v>
      </c>
      <c r="C11755" t="s">
        <v>138</v>
      </c>
      <c r="D11755" s="254">
        <v>1309.58</v>
      </c>
      <c r="E11755"/>
      <c r="F11755"/>
      <c r="G11755"/>
      <c r="H11755"/>
      <c r="I11755" s="489"/>
      <c r="J11755" s="1362"/>
      <c r="K11755" s="1362"/>
      <c r="L11755" s="1362"/>
    </row>
    <row r="11756" spans="1:12" x14ac:dyDescent="0.25">
      <c r="A11756">
        <v>101899</v>
      </c>
      <c r="B11756" t="s">
        <v>5344</v>
      </c>
      <c r="C11756" t="s">
        <v>138</v>
      </c>
      <c r="D11756" s="254">
        <v>2080.52</v>
      </c>
      <c r="E11756"/>
      <c r="F11756"/>
      <c r="G11756"/>
      <c r="H11756"/>
      <c r="I11756" s="489"/>
      <c r="J11756" s="1362"/>
      <c r="K11756" s="1362"/>
      <c r="L11756" s="1362"/>
    </row>
    <row r="11757" spans="1:12" x14ac:dyDescent="0.25">
      <c r="A11757">
        <v>101900</v>
      </c>
      <c r="B11757" t="s">
        <v>5345</v>
      </c>
      <c r="C11757" t="s">
        <v>138</v>
      </c>
      <c r="D11757" s="254">
        <v>4313.49</v>
      </c>
      <c r="E11757"/>
      <c r="F11757"/>
      <c r="G11757"/>
      <c r="H11757"/>
      <c r="I11757" s="489"/>
      <c r="J11757" s="1362"/>
      <c r="K11757" s="1362"/>
      <c r="L11757" s="1362"/>
    </row>
    <row r="11758" spans="1:12" x14ac:dyDescent="0.25">
      <c r="A11758">
        <v>101901</v>
      </c>
      <c r="B11758" t="s">
        <v>5346</v>
      </c>
      <c r="C11758" t="s">
        <v>138</v>
      </c>
      <c r="D11758" s="254">
        <v>154.01</v>
      </c>
      <c r="E11758"/>
      <c r="F11758"/>
      <c r="G11758"/>
      <c r="H11758"/>
      <c r="I11758" s="489"/>
      <c r="J11758" s="1362"/>
      <c r="K11758" s="1362"/>
      <c r="L11758" s="1362"/>
    </row>
    <row r="11759" spans="1:12" x14ac:dyDescent="0.25">
      <c r="A11759">
        <v>101902</v>
      </c>
      <c r="B11759" t="s">
        <v>5347</v>
      </c>
      <c r="C11759" t="s">
        <v>138</v>
      </c>
      <c r="D11759" s="254">
        <v>190.56</v>
      </c>
      <c r="E11759"/>
      <c r="F11759"/>
      <c r="G11759"/>
      <c r="H11759"/>
      <c r="I11759" s="489"/>
      <c r="J11759" s="1362"/>
      <c r="K11759" s="1362"/>
      <c r="L11759" s="1362"/>
    </row>
    <row r="11760" spans="1:12" x14ac:dyDescent="0.25">
      <c r="A11760">
        <v>101903</v>
      </c>
      <c r="B11760" t="s">
        <v>5348</v>
      </c>
      <c r="C11760" t="s">
        <v>138</v>
      </c>
      <c r="D11760" s="254">
        <v>397.54</v>
      </c>
      <c r="E11760"/>
      <c r="F11760"/>
      <c r="G11760"/>
      <c r="H11760"/>
      <c r="I11760" s="489"/>
      <c r="J11760" s="1362"/>
      <c r="K11760" s="1362"/>
      <c r="L11760" s="1362"/>
    </row>
    <row r="11761" spans="1:12" x14ac:dyDescent="0.25">
      <c r="A11761">
        <v>101904</v>
      </c>
      <c r="B11761" t="s">
        <v>5349</v>
      </c>
      <c r="C11761" t="s">
        <v>138</v>
      </c>
      <c r="D11761" s="254">
        <v>1453.33</v>
      </c>
      <c r="E11761"/>
      <c r="F11761"/>
      <c r="G11761"/>
      <c r="H11761"/>
      <c r="I11761" s="489"/>
      <c r="J11761" s="1362"/>
      <c r="K11761" s="1362"/>
      <c r="L11761" s="1362"/>
    </row>
    <row r="11762" spans="1:12" x14ac:dyDescent="0.25">
      <c r="A11762">
        <v>101938</v>
      </c>
      <c r="B11762" t="s">
        <v>5350</v>
      </c>
      <c r="C11762" t="s">
        <v>138</v>
      </c>
      <c r="D11762" s="254">
        <v>135.82</v>
      </c>
      <c r="E11762"/>
      <c r="F11762"/>
      <c r="G11762"/>
      <c r="H11762"/>
      <c r="I11762" s="489"/>
      <c r="J11762" s="1362"/>
      <c r="K11762" s="1362"/>
      <c r="L11762" s="1362"/>
    </row>
    <row r="11763" spans="1:12" x14ac:dyDescent="0.25">
      <c r="A11763">
        <v>101946</v>
      </c>
      <c r="B11763" t="s">
        <v>5351</v>
      </c>
      <c r="C11763" t="s">
        <v>138</v>
      </c>
      <c r="D11763" s="254">
        <v>202.33</v>
      </c>
      <c r="E11763"/>
      <c r="F11763"/>
      <c r="G11763"/>
      <c r="H11763"/>
      <c r="I11763" s="489"/>
      <c r="J11763" s="1362"/>
      <c r="K11763" s="1362"/>
      <c r="L11763" s="1362"/>
    </row>
    <row r="11764" spans="1:12" x14ac:dyDescent="0.25">
      <c r="A11764">
        <v>91945</v>
      </c>
      <c r="B11764" t="s">
        <v>1425</v>
      </c>
      <c r="C11764" t="s">
        <v>138</v>
      </c>
      <c r="D11764" s="254">
        <v>11.2</v>
      </c>
      <c r="E11764"/>
      <c r="F11764"/>
      <c r="G11764"/>
      <c r="H11764"/>
      <c r="I11764" s="489"/>
      <c r="J11764" s="1362"/>
      <c r="K11764" s="1362"/>
      <c r="L11764" s="1362"/>
    </row>
    <row r="11765" spans="1:12" x14ac:dyDescent="0.25">
      <c r="A11765">
        <v>91946</v>
      </c>
      <c r="B11765" t="s">
        <v>1426</v>
      </c>
      <c r="C11765" t="s">
        <v>138</v>
      </c>
      <c r="D11765" s="254">
        <v>9.1</v>
      </c>
      <c r="E11765"/>
      <c r="F11765"/>
      <c r="G11765"/>
      <c r="H11765"/>
      <c r="I11765" s="489"/>
      <c r="J11765" s="1362"/>
      <c r="K11765" s="1362"/>
      <c r="L11765" s="1362"/>
    </row>
    <row r="11766" spans="1:12" x14ac:dyDescent="0.25">
      <c r="A11766">
        <v>91947</v>
      </c>
      <c r="B11766" t="s">
        <v>1427</v>
      </c>
      <c r="C11766" t="s">
        <v>138</v>
      </c>
      <c r="D11766" s="254">
        <v>7.8</v>
      </c>
      <c r="E11766"/>
      <c r="F11766"/>
      <c r="G11766"/>
      <c r="H11766"/>
      <c r="I11766" s="489"/>
      <c r="J11766" s="1362"/>
      <c r="K11766" s="1362"/>
      <c r="L11766" s="1362"/>
    </row>
    <row r="11767" spans="1:12" x14ac:dyDescent="0.25">
      <c r="A11767">
        <v>91949</v>
      </c>
      <c r="B11767" t="s">
        <v>1428</v>
      </c>
      <c r="C11767" t="s">
        <v>138</v>
      </c>
      <c r="D11767" s="254">
        <v>16.57</v>
      </c>
      <c r="E11767"/>
      <c r="F11767"/>
      <c r="G11767"/>
      <c r="H11767"/>
      <c r="I11767" s="489"/>
      <c r="J11767" s="1362"/>
      <c r="K11767" s="1362"/>
      <c r="L11767" s="1362"/>
    </row>
    <row r="11768" spans="1:12" x14ac:dyDescent="0.25">
      <c r="A11768">
        <v>91950</v>
      </c>
      <c r="B11768" t="s">
        <v>1429</v>
      </c>
      <c r="C11768" t="s">
        <v>138</v>
      </c>
      <c r="D11768" s="254">
        <v>14.04</v>
      </c>
      <c r="E11768"/>
      <c r="F11768"/>
      <c r="G11768"/>
      <c r="H11768"/>
      <c r="I11768" s="489"/>
      <c r="J11768" s="1362"/>
      <c r="K11768" s="1362"/>
      <c r="L11768" s="1362"/>
    </row>
    <row r="11769" spans="1:12" x14ac:dyDescent="0.25">
      <c r="A11769">
        <v>91951</v>
      </c>
      <c r="B11769" t="s">
        <v>1430</v>
      </c>
      <c r="C11769" t="s">
        <v>138</v>
      </c>
      <c r="D11769" s="254">
        <v>12.52</v>
      </c>
      <c r="E11769"/>
      <c r="F11769"/>
      <c r="G11769"/>
      <c r="H11769"/>
      <c r="I11769" s="489"/>
      <c r="J11769" s="1362"/>
      <c r="K11769" s="1362"/>
      <c r="L11769" s="1362"/>
    </row>
    <row r="11770" spans="1:12" x14ac:dyDescent="0.25">
      <c r="A11770">
        <v>91952</v>
      </c>
      <c r="B11770" t="s">
        <v>1431</v>
      </c>
      <c r="C11770" t="s">
        <v>138</v>
      </c>
      <c r="D11770" s="254">
        <v>21.47</v>
      </c>
      <c r="E11770"/>
      <c r="F11770"/>
      <c r="G11770"/>
      <c r="H11770"/>
      <c r="I11770" s="489"/>
      <c r="J11770" s="1362"/>
      <c r="K11770" s="1362"/>
      <c r="L11770" s="1362"/>
    </row>
    <row r="11771" spans="1:12" x14ac:dyDescent="0.25">
      <c r="A11771">
        <v>91953</v>
      </c>
      <c r="B11771" t="s">
        <v>1432</v>
      </c>
      <c r="C11771" t="s">
        <v>138</v>
      </c>
      <c r="D11771" s="254">
        <v>30.57</v>
      </c>
      <c r="E11771"/>
      <c r="F11771"/>
      <c r="G11771"/>
      <c r="H11771"/>
      <c r="I11771" s="489"/>
      <c r="J11771" s="1362"/>
      <c r="K11771" s="1362"/>
      <c r="L11771" s="1362"/>
    </row>
    <row r="11772" spans="1:12" x14ac:dyDescent="0.25">
      <c r="A11772">
        <v>91954</v>
      </c>
      <c r="B11772" t="s">
        <v>1433</v>
      </c>
      <c r="C11772" t="s">
        <v>138</v>
      </c>
      <c r="D11772" s="254">
        <v>28.91</v>
      </c>
      <c r="E11772"/>
      <c r="F11772"/>
      <c r="G11772"/>
      <c r="H11772"/>
      <c r="I11772" s="489"/>
      <c r="J11772" s="1362"/>
      <c r="K11772" s="1362"/>
      <c r="L11772" s="1362"/>
    </row>
    <row r="11773" spans="1:12" x14ac:dyDescent="0.25">
      <c r="A11773">
        <v>91955</v>
      </c>
      <c r="B11773" t="s">
        <v>1434</v>
      </c>
      <c r="C11773" t="s">
        <v>138</v>
      </c>
      <c r="D11773" s="254">
        <v>38.01</v>
      </c>
      <c r="E11773"/>
      <c r="F11773"/>
      <c r="G11773"/>
      <c r="H11773"/>
      <c r="I11773" s="489"/>
      <c r="J11773" s="1362"/>
      <c r="K11773" s="1362"/>
      <c r="L11773" s="1362"/>
    </row>
    <row r="11774" spans="1:12" x14ac:dyDescent="0.25">
      <c r="A11774">
        <v>91956</v>
      </c>
      <c r="B11774" t="s">
        <v>1435</v>
      </c>
      <c r="C11774" t="s">
        <v>138</v>
      </c>
      <c r="D11774" s="254">
        <v>46.52</v>
      </c>
      <c r="E11774"/>
      <c r="F11774"/>
      <c r="G11774"/>
      <c r="H11774"/>
      <c r="I11774" s="489"/>
      <c r="J11774" s="1362"/>
      <c r="K11774" s="1362"/>
      <c r="L11774" s="1362"/>
    </row>
    <row r="11775" spans="1:12" x14ac:dyDescent="0.25">
      <c r="A11775">
        <v>91957</v>
      </c>
      <c r="B11775" t="s">
        <v>1436</v>
      </c>
      <c r="C11775" t="s">
        <v>138</v>
      </c>
      <c r="D11775" s="254">
        <v>55.62</v>
      </c>
      <c r="E11775"/>
      <c r="F11775"/>
      <c r="G11775"/>
      <c r="H11775"/>
      <c r="I11775" s="489"/>
      <c r="J11775" s="1362"/>
      <c r="K11775" s="1362"/>
      <c r="L11775" s="1362"/>
    </row>
    <row r="11776" spans="1:12" x14ac:dyDescent="0.25">
      <c r="A11776">
        <v>91958</v>
      </c>
      <c r="B11776" t="s">
        <v>1437</v>
      </c>
      <c r="C11776" t="s">
        <v>138</v>
      </c>
      <c r="D11776" s="254">
        <v>39.14</v>
      </c>
      <c r="E11776"/>
      <c r="F11776"/>
      <c r="G11776"/>
      <c r="H11776"/>
      <c r="I11776" s="489"/>
      <c r="J11776" s="1362"/>
      <c r="K11776" s="1362"/>
      <c r="L11776" s="1362"/>
    </row>
    <row r="11777" spans="1:12" x14ac:dyDescent="0.25">
      <c r="A11777">
        <v>91959</v>
      </c>
      <c r="B11777" t="s">
        <v>1438</v>
      </c>
      <c r="C11777" t="s">
        <v>138</v>
      </c>
      <c r="D11777" s="254">
        <v>48.24</v>
      </c>
      <c r="E11777"/>
      <c r="F11777"/>
      <c r="G11777"/>
      <c r="H11777"/>
      <c r="I11777" s="489"/>
      <c r="J11777" s="1362"/>
      <c r="K11777" s="1362"/>
      <c r="L11777" s="1362"/>
    </row>
    <row r="11778" spans="1:12" x14ac:dyDescent="0.25">
      <c r="A11778">
        <v>91960</v>
      </c>
      <c r="B11778" t="s">
        <v>1439</v>
      </c>
      <c r="C11778" t="s">
        <v>138</v>
      </c>
      <c r="D11778" s="254">
        <v>53.96</v>
      </c>
      <c r="E11778"/>
      <c r="F11778"/>
      <c r="G11778"/>
      <c r="H11778"/>
      <c r="I11778" s="489"/>
      <c r="J11778" s="1362"/>
      <c r="K11778" s="1362"/>
      <c r="L11778" s="1362"/>
    </row>
    <row r="11779" spans="1:12" x14ac:dyDescent="0.25">
      <c r="A11779">
        <v>91961</v>
      </c>
      <c r="B11779" t="s">
        <v>1440</v>
      </c>
      <c r="C11779" t="s">
        <v>138</v>
      </c>
      <c r="D11779" s="254">
        <v>63.06</v>
      </c>
      <c r="E11779"/>
      <c r="F11779"/>
      <c r="G11779"/>
      <c r="H11779"/>
      <c r="I11779" s="489"/>
      <c r="J11779" s="1362"/>
      <c r="K11779" s="1362"/>
      <c r="L11779" s="1362"/>
    </row>
    <row r="11780" spans="1:12" x14ac:dyDescent="0.25">
      <c r="A11780">
        <v>91962</v>
      </c>
      <c r="B11780" t="s">
        <v>1441</v>
      </c>
      <c r="C11780" t="s">
        <v>138</v>
      </c>
      <c r="D11780" s="254">
        <v>71.62</v>
      </c>
      <c r="E11780"/>
      <c r="F11780"/>
      <c r="G11780"/>
      <c r="H11780"/>
      <c r="I11780" s="489"/>
      <c r="J11780" s="1362"/>
      <c r="K11780" s="1362"/>
      <c r="L11780" s="1362"/>
    </row>
    <row r="11781" spans="1:12" x14ac:dyDescent="0.25">
      <c r="A11781">
        <v>91963</v>
      </c>
      <c r="B11781" t="s">
        <v>1442</v>
      </c>
      <c r="C11781" t="s">
        <v>138</v>
      </c>
      <c r="D11781" s="254">
        <v>80.72</v>
      </c>
      <c r="E11781"/>
      <c r="F11781"/>
      <c r="G11781"/>
      <c r="H11781"/>
      <c r="I11781" s="489"/>
      <c r="J11781" s="1362"/>
      <c r="K11781" s="1362"/>
      <c r="L11781" s="1362"/>
    </row>
    <row r="11782" spans="1:12" x14ac:dyDescent="0.25">
      <c r="A11782">
        <v>91964</v>
      </c>
      <c r="B11782" t="s">
        <v>1443</v>
      </c>
      <c r="C11782" t="s">
        <v>138</v>
      </c>
      <c r="D11782" s="254">
        <v>64.180000000000007</v>
      </c>
      <c r="E11782"/>
      <c r="F11782"/>
      <c r="G11782"/>
      <c r="H11782"/>
      <c r="I11782" s="489"/>
      <c r="J11782" s="1362"/>
      <c r="K11782" s="1362"/>
      <c r="L11782" s="1362"/>
    </row>
    <row r="11783" spans="1:12" x14ac:dyDescent="0.25">
      <c r="A11783">
        <v>91965</v>
      </c>
      <c r="B11783" t="s">
        <v>1444</v>
      </c>
      <c r="C11783" t="s">
        <v>138</v>
      </c>
      <c r="D11783" s="254">
        <v>73.28</v>
      </c>
      <c r="E11783"/>
      <c r="F11783"/>
      <c r="G11783"/>
      <c r="H11783"/>
      <c r="I11783" s="489"/>
      <c r="J11783" s="1362"/>
      <c r="K11783" s="1362"/>
      <c r="L11783" s="1362"/>
    </row>
    <row r="11784" spans="1:12" x14ac:dyDescent="0.25">
      <c r="A11784">
        <v>91966</v>
      </c>
      <c r="B11784" t="s">
        <v>1445</v>
      </c>
      <c r="C11784" t="s">
        <v>138</v>
      </c>
      <c r="D11784" s="254">
        <v>56.8</v>
      </c>
      <c r="E11784"/>
      <c r="F11784"/>
      <c r="G11784"/>
      <c r="H11784"/>
      <c r="I11784" s="489"/>
      <c r="J11784" s="1362"/>
      <c r="K11784" s="1362"/>
      <c r="L11784" s="1362"/>
    </row>
    <row r="11785" spans="1:12" x14ac:dyDescent="0.25">
      <c r="A11785">
        <v>91967</v>
      </c>
      <c r="B11785" t="s">
        <v>1446</v>
      </c>
      <c r="C11785" t="s">
        <v>138</v>
      </c>
      <c r="D11785" s="254">
        <v>65.900000000000006</v>
      </c>
      <c r="E11785"/>
      <c r="F11785"/>
      <c r="G11785"/>
      <c r="H11785"/>
      <c r="I11785" s="489"/>
      <c r="J11785" s="1362"/>
      <c r="K11785" s="1362"/>
      <c r="L11785" s="1362"/>
    </row>
    <row r="11786" spans="1:12" x14ac:dyDescent="0.25">
      <c r="A11786">
        <v>91968</v>
      </c>
      <c r="B11786" t="s">
        <v>1447</v>
      </c>
      <c r="C11786" t="s">
        <v>138</v>
      </c>
      <c r="D11786" s="254">
        <v>79.010000000000005</v>
      </c>
      <c r="E11786"/>
      <c r="F11786"/>
      <c r="G11786"/>
      <c r="H11786"/>
      <c r="I11786" s="489"/>
      <c r="J11786" s="1362"/>
      <c r="K11786" s="1362"/>
      <c r="L11786" s="1362"/>
    </row>
    <row r="11787" spans="1:12" x14ac:dyDescent="0.25">
      <c r="A11787">
        <v>91969</v>
      </c>
      <c r="B11787" t="s">
        <v>1448</v>
      </c>
      <c r="C11787" t="s">
        <v>138</v>
      </c>
      <c r="D11787" s="254">
        <v>88.11</v>
      </c>
      <c r="E11787"/>
      <c r="F11787"/>
      <c r="G11787"/>
      <c r="H11787"/>
      <c r="I11787" s="489"/>
      <c r="J11787" s="1362"/>
      <c r="K11787" s="1362"/>
      <c r="L11787" s="1362"/>
    </row>
    <row r="11788" spans="1:12" x14ac:dyDescent="0.25">
      <c r="A11788">
        <v>91970</v>
      </c>
      <c r="B11788" t="s">
        <v>1449</v>
      </c>
      <c r="C11788" t="s">
        <v>138</v>
      </c>
      <c r="D11788" s="254">
        <v>82.29</v>
      </c>
      <c r="E11788"/>
      <c r="F11788"/>
      <c r="G11788"/>
      <c r="H11788"/>
      <c r="I11788" s="489"/>
      <c r="J11788" s="1362"/>
      <c r="K11788" s="1362"/>
      <c r="L11788" s="1362"/>
    </row>
    <row r="11789" spans="1:12" x14ac:dyDescent="0.25">
      <c r="A11789">
        <v>91971</v>
      </c>
      <c r="B11789" t="s">
        <v>1450</v>
      </c>
      <c r="C11789" t="s">
        <v>138</v>
      </c>
      <c r="D11789" s="254">
        <v>96.33</v>
      </c>
      <c r="E11789"/>
      <c r="F11789"/>
      <c r="G11789"/>
      <c r="H11789"/>
      <c r="I11789" s="489"/>
      <c r="J11789" s="1362"/>
      <c r="K11789" s="1362"/>
      <c r="L11789" s="1362"/>
    </row>
    <row r="11790" spans="1:12" x14ac:dyDescent="0.25">
      <c r="A11790">
        <v>91972</v>
      </c>
      <c r="B11790" t="s">
        <v>1451</v>
      </c>
      <c r="C11790" t="s">
        <v>138</v>
      </c>
      <c r="D11790" s="254">
        <v>89.74</v>
      </c>
      <c r="E11790"/>
      <c r="F11790"/>
      <c r="G11790"/>
      <c r="H11790"/>
      <c r="I11790" s="489"/>
      <c r="J11790" s="1362"/>
      <c r="K11790" s="1362"/>
      <c r="L11790" s="1362"/>
    </row>
    <row r="11791" spans="1:12" x14ac:dyDescent="0.25">
      <c r="A11791">
        <v>91973</v>
      </c>
      <c r="B11791" t="s">
        <v>1452</v>
      </c>
      <c r="C11791" t="s">
        <v>138</v>
      </c>
      <c r="D11791" s="254">
        <v>103.78</v>
      </c>
      <c r="E11791"/>
      <c r="F11791"/>
      <c r="G11791"/>
      <c r="H11791"/>
      <c r="I11791" s="489"/>
      <c r="J11791" s="1362"/>
      <c r="K11791" s="1362"/>
      <c r="L11791" s="1362"/>
    </row>
    <row r="11792" spans="1:12" x14ac:dyDescent="0.25">
      <c r="A11792">
        <v>91974</v>
      </c>
      <c r="B11792" t="s">
        <v>1453</v>
      </c>
      <c r="C11792" t="s">
        <v>138</v>
      </c>
      <c r="D11792" s="254">
        <v>74.849999999999994</v>
      </c>
      <c r="E11792"/>
      <c r="F11792"/>
      <c r="G11792"/>
      <c r="H11792"/>
      <c r="I11792" s="489"/>
      <c r="J11792" s="1362"/>
      <c r="K11792" s="1362"/>
      <c r="L11792" s="1362"/>
    </row>
    <row r="11793" spans="1:12" x14ac:dyDescent="0.25">
      <c r="A11793">
        <v>91975</v>
      </c>
      <c r="B11793" t="s">
        <v>1454</v>
      </c>
      <c r="C11793" t="s">
        <v>138</v>
      </c>
      <c r="D11793" s="254">
        <v>88.89</v>
      </c>
      <c r="E11793"/>
      <c r="F11793"/>
      <c r="G11793"/>
      <c r="H11793"/>
      <c r="I11793" s="489"/>
      <c r="J11793" s="1362"/>
      <c r="K11793" s="1362"/>
      <c r="L11793" s="1362"/>
    </row>
    <row r="11794" spans="1:12" x14ac:dyDescent="0.25">
      <c r="A11794">
        <v>91976</v>
      </c>
      <c r="B11794" t="s">
        <v>1455</v>
      </c>
      <c r="C11794" t="s">
        <v>138</v>
      </c>
      <c r="D11794" s="254">
        <v>110.3</v>
      </c>
      <c r="E11794"/>
      <c r="F11794"/>
      <c r="G11794"/>
      <c r="H11794"/>
      <c r="I11794" s="489"/>
      <c r="J11794" s="1362"/>
      <c r="K11794" s="1362"/>
      <c r="L11794" s="1362"/>
    </row>
    <row r="11795" spans="1:12" x14ac:dyDescent="0.25">
      <c r="A11795">
        <v>91977</v>
      </c>
      <c r="B11795" t="s">
        <v>1456</v>
      </c>
      <c r="C11795" t="s">
        <v>138</v>
      </c>
      <c r="D11795" s="254">
        <v>124.34</v>
      </c>
      <c r="E11795"/>
      <c r="F11795"/>
      <c r="G11795"/>
      <c r="H11795"/>
      <c r="I11795" s="489"/>
      <c r="J11795" s="1362"/>
      <c r="K11795" s="1362"/>
      <c r="L11795" s="1362"/>
    </row>
    <row r="11796" spans="1:12" x14ac:dyDescent="0.25">
      <c r="A11796">
        <v>91978</v>
      </c>
      <c r="B11796" t="s">
        <v>1457</v>
      </c>
      <c r="C11796" t="s">
        <v>138</v>
      </c>
      <c r="D11796" s="254">
        <v>44.64</v>
      </c>
      <c r="E11796"/>
      <c r="F11796"/>
      <c r="G11796"/>
      <c r="H11796"/>
      <c r="I11796" s="489"/>
      <c r="J11796" s="1362"/>
      <c r="K11796" s="1362"/>
      <c r="L11796" s="1362"/>
    </row>
    <row r="11797" spans="1:12" x14ac:dyDescent="0.25">
      <c r="A11797">
        <v>91979</v>
      </c>
      <c r="B11797" t="s">
        <v>1458</v>
      </c>
      <c r="C11797" t="s">
        <v>138</v>
      </c>
      <c r="D11797" s="254">
        <v>53.74</v>
      </c>
      <c r="E11797"/>
      <c r="F11797"/>
      <c r="G11797"/>
      <c r="H11797"/>
      <c r="I11797" s="489"/>
      <c r="J11797" s="1362"/>
      <c r="K11797" s="1362"/>
      <c r="L11797" s="1362"/>
    </row>
    <row r="11798" spans="1:12" x14ac:dyDescent="0.25">
      <c r="A11798">
        <v>91980</v>
      </c>
      <c r="B11798" t="s">
        <v>1459</v>
      </c>
      <c r="C11798" t="s">
        <v>138</v>
      </c>
      <c r="D11798" s="254">
        <v>43.38</v>
      </c>
      <c r="E11798"/>
      <c r="F11798"/>
      <c r="G11798"/>
      <c r="H11798"/>
      <c r="I11798" s="489"/>
      <c r="J11798" s="1362"/>
      <c r="K11798" s="1362"/>
      <c r="L11798" s="1362"/>
    </row>
    <row r="11799" spans="1:12" x14ac:dyDescent="0.25">
      <c r="A11799">
        <v>91981</v>
      </c>
      <c r="B11799" t="s">
        <v>1460</v>
      </c>
      <c r="C11799" t="s">
        <v>138</v>
      </c>
      <c r="D11799" s="254">
        <v>52.48</v>
      </c>
      <c r="E11799"/>
      <c r="F11799"/>
      <c r="G11799"/>
      <c r="H11799"/>
      <c r="I11799" s="489"/>
      <c r="J11799" s="1362"/>
      <c r="K11799" s="1362"/>
      <c r="L11799" s="1362"/>
    </row>
    <row r="11800" spans="1:12" x14ac:dyDescent="0.25">
      <c r="A11800">
        <v>91982</v>
      </c>
      <c r="B11800" t="s">
        <v>1461</v>
      </c>
      <c r="C11800" t="s">
        <v>138</v>
      </c>
      <c r="D11800" s="254">
        <v>94.19</v>
      </c>
      <c r="E11800"/>
      <c r="F11800"/>
      <c r="G11800"/>
      <c r="H11800"/>
      <c r="I11800" s="489"/>
      <c r="J11800" s="1362"/>
      <c r="K11800" s="1362"/>
      <c r="L11800" s="1362"/>
    </row>
    <row r="11801" spans="1:12" x14ac:dyDescent="0.25">
      <c r="A11801">
        <v>91983</v>
      </c>
      <c r="B11801" t="s">
        <v>1462</v>
      </c>
      <c r="C11801" t="s">
        <v>138</v>
      </c>
      <c r="D11801" s="254">
        <v>103.29</v>
      </c>
      <c r="E11801"/>
      <c r="F11801"/>
      <c r="G11801"/>
      <c r="H11801"/>
      <c r="I11801" s="489"/>
      <c r="J11801" s="1362"/>
      <c r="K11801" s="1362"/>
      <c r="L11801" s="1362"/>
    </row>
    <row r="11802" spans="1:12" x14ac:dyDescent="0.25">
      <c r="A11802">
        <v>91984</v>
      </c>
      <c r="B11802" t="s">
        <v>1463</v>
      </c>
      <c r="C11802" t="s">
        <v>138</v>
      </c>
      <c r="D11802" s="254">
        <v>20.3</v>
      </c>
      <c r="E11802"/>
      <c r="F11802"/>
      <c r="G11802"/>
      <c r="H11802"/>
      <c r="I11802" s="489"/>
      <c r="J11802" s="1362"/>
      <c r="K11802" s="1362"/>
      <c r="L11802" s="1362"/>
    </row>
    <row r="11803" spans="1:12" x14ac:dyDescent="0.25">
      <c r="A11803">
        <v>91985</v>
      </c>
      <c r="B11803" t="s">
        <v>1464</v>
      </c>
      <c r="C11803" t="s">
        <v>138</v>
      </c>
      <c r="D11803" s="254">
        <v>29.4</v>
      </c>
      <c r="E11803"/>
      <c r="F11803"/>
      <c r="G11803"/>
      <c r="H11803"/>
      <c r="I11803" s="489"/>
      <c r="J11803" s="1362"/>
      <c r="K11803" s="1362"/>
      <c r="L11803" s="1362"/>
    </row>
    <row r="11804" spans="1:12" x14ac:dyDescent="0.25">
      <c r="A11804">
        <v>91986</v>
      </c>
      <c r="B11804" t="s">
        <v>1465</v>
      </c>
      <c r="C11804" t="s">
        <v>138</v>
      </c>
      <c r="D11804" s="254">
        <v>41.54</v>
      </c>
      <c r="E11804"/>
      <c r="F11804"/>
      <c r="G11804"/>
      <c r="H11804"/>
      <c r="I11804" s="489"/>
      <c r="J11804" s="1362"/>
      <c r="K11804" s="1362"/>
      <c r="L11804" s="1362"/>
    </row>
    <row r="11805" spans="1:12" x14ac:dyDescent="0.25">
      <c r="A11805">
        <v>91987</v>
      </c>
      <c r="B11805" t="s">
        <v>1466</v>
      </c>
      <c r="C11805" t="s">
        <v>138</v>
      </c>
      <c r="D11805" s="254">
        <v>50.64</v>
      </c>
      <c r="E11805"/>
      <c r="F11805"/>
      <c r="G11805"/>
      <c r="H11805"/>
      <c r="I11805" s="489"/>
      <c r="J11805" s="1362"/>
      <c r="K11805" s="1362"/>
      <c r="L11805" s="1362"/>
    </row>
    <row r="11806" spans="1:12" x14ac:dyDescent="0.25">
      <c r="A11806">
        <v>91988</v>
      </c>
      <c r="B11806" t="s">
        <v>1467</v>
      </c>
      <c r="C11806" t="s">
        <v>138</v>
      </c>
      <c r="D11806" s="254">
        <v>24.53</v>
      </c>
      <c r="E11806"/>
      <c r="F11806"/>
      <c r="G11806"/>
      <c r="H11806"/>
      <c r="I11806" s="489"/>
      <c r="J11806" s="1362"/>
      <c r="K11806" s="1362"/>
      <c r="L11806" s="1362"/>
    </row>
    <row r="11807" spans="1:12" x14ac:dyDescent="0.25">
      <c r="A11807">
        <v>91989</v>
      </c>
      <c r="B11807" t="s">
        <v>1468</v>
      </c>
      <c r="C11807" t="s">
        <v>138</v>
      </c>
      <c r="D11807" s="254">
        <v>33.630000000000003</v>
      </c>
      <c r="E11807"/>
      <c r="F11807"/>
      <c r="G11807"/>
      <c r="H11807"/>
      <c r="I11807" s="489"/>
      <c r="J11807" s="1362"/>
      <c r="K11807" s="1362"/>
      <c r="L11807" s="1362"/>
    </row>
    <row r="11808" spans="1:12" x14ac:dyDescent="0.25">
      <c r="A11808">
        <v>91990</v>
      </c>
      <c r="B11808" t="s">
        <v>1469</v>
      </c>
      <c r="C11808" t="s">
        <v>138</v>
      </c>
      <c r="D11808" s="254">
        <v>39.69</v>
      </c>
      <c r="E11808"/>
      <c r="F11808"/>
      <c r="G11808"/>
      <c r="H11808"/>
      <c r="I11808" s="489"/>
      <c r="J11808" s="1362"/>
      <c r="K11808" s="1362"/>
      <c r="L11808" s="1362"/>
    </row>
    <row r="11809" spans="1:12" x14ac:dyDescent="0.25">
      <c r="A11809">
        <v>91991</v>
      </c>
      <c r="B11809" t="s">
        <v>1470</v>
      </c>
      <c r="C11809" t="s">
        <v>138</v>
      </c>
      <c r="D11809" s="254">
        <v>41.97</v>
      </c>
      <c r="E11809"/>
      <c r="F11809"/>
      <c r="G11809"/>
      <c r="H11809"/>
      <c r="I11809" s="489"/>
      <c r="J11809" s="1362"/>
      <c r="K11809" s="1362"/>
      <c r="L11809" s="1362"/>
    </row>
    <row r="11810" spans="1:12" x14ac:dyDescent="0.25">
      <c r="A11810">
        <v>91992</v>
      </c>
      <c r="B11810" t="s">
        <v>1471</v>
      </c>
      <c r="C11810" t="s">
        <v>138</v>
      </c>
      <c r="D11810" s="254">
        <v>48.79</v>
      </c>
      <c r="E11810"/>
      <c r="F11810"/>
      <c r="G11810"/>
      <c r="H11810"/>
      <c r="I11810" s="489"/>
      <c r="J11810" s="1362"/>
      <c r="K11810" s="1362"/>
      <c r="L11810" s="1362"/>
    </row>
    <row r="11811" spans="1:12" x14ac:dyDescent="0.25">
      <c r="A11811">
        <v>91993</v>
      </c>
      <c r="B11811" t="s">
        <v>1472</v>
      </c>
      <c r="C11811" t="s">
        <v>138</v>
      </c>
      <c r="D11811" s="254">
        <v>51.07</v>
      </c>
      <c r="E11811"/>
      <c r="F11811"/>
      <c r="G11811"/>
      <c r="H11811"/>
      <c r="I11811" s="489"/>
      <c r="J11811" s="1362"/>
      <c r="K11811" s="1362"/>
      <c r="L11811" s="1362"/>
    </row>
    <row r="11812" spans="1:12" x14ac:dyDescent="0.25">
      <c r="A11812">
        <v>91994</v>
      </c>
      <c r="B11812" t="s">
        <v>1473</v>
      </c>
      <c r="C11812" t="s">
        <v>138</v>
      </c>
      <c r="D11812" s="254">
        <v>27.73</v>
      </c>
      <c r="E11812"/>
      <c r="F11812"/>
      <c r="G11812"/>
      <c r="H11812"/>
      <c r="I11812" s="489"/>
      <c r="J11812" s="1362"/>
      <c r="K11812" s="1362"/>
      <c r="L11812" s="1362"/>
    </row>
    <row r="11813" spans="1:12" x14ac:dyDescent="0.25">
      <c r="A11813">
        <v>91995</v>
      </c>
      <c r="B11813" t="s">
        <v>1474</v>
      </c>
      <c r="C11813" t="s">
        <v>138</v>
      </c>
      <c r="D11813" s="254">
        <v>30.01</v>
      </c>
      <c r="E11813"/>
      <c r="F11813"/>
      <c r="G11813"/>
      <c r="H11813"/>
      <c r="I11813" s="489"/>
      <c r="J11813" s="1362"/>
      <c r="K11813" s="1362"/>
      <c r="L11813" s="1362"/>
    </row>
    <row r="11814" spans="1:12" x14ac:dyDescent="0.25">
      <c r="A11814">
        <v>91996</v>
      </c>
      <c r="B11814" t="s">
        <v>1475</v>
      </c>
      <c r="C11814" t="s">
        <v>138</v>
      </c>
      <c r="D11814" s="254">
        <v>36.83</v>
      </c>
      <c r="E11814"/>
      <c r="F11814"/>
      <c r="G11814"/>
      <c r="H11814"/>
      <c r="I11814" s="489"/>
      <c r="J11814" s="1362"/>
      <c r="K11814" s="1362"/>
      <c r="L11814" s="1362"/>
    </row>
    <row r="11815" spans="1:12" x14ac:dyDescent="0.25">
      <c r="A11815">
        <v>91997</v>
      </c>
      <c r="B11815" t="s">
        <v>1476</v>
      </c>
      <c r="C11815" t="s">
        <v>138</v>
      </c>
      <c r="D11815" s="254">
        <v>39.11</v>
      </c>
      <c r="E11815"/>
      <c r="F11815"/>
      <c r="G11815"/>
      <c r="H11815"/>
      <c r="I11815" s="489"/>
      <c r="J11815" s="1362"/>
      <c r="K11815" s="1362"/>
      <c r="L11815" s="1362"/>
    </row>
    <row r="11816" spans="1:12" x14ac:dyDescent="0.25">
      <c r="A11816">
        <v>91998</v>
      </c>
      <c r="B11816" t="s">
        <v>1477</v>
      </c>
      <c r="C11816" t="s">
        <v>138</v>
      </c>
      <c r="D11816" s="254">
        <v>23.09</v>
      </c>
      <c r="E11816"/>
      <c r="F11816"/>
      <c r="G11816"/>
      <c r="H11816"/>
      <c r="I11816" s="489"/>
      <c r="J11816" s="1362"/>
      <c r="K11816" s="1362"/>
      <c r="L11816" s="1362"/>
    </row>
    <row r="11817" spans="1:12" x14ac:dyDescent="0.25">
      <c r="A11817">
        <v>91999</v>
      </c>
      <c r="B11817" t="s">
        <v>1478</v>
      </c>
      <c r="C11817" t="s">
        <v>138</v>
      </c>
      <c r="D11817" s="254">
        <v>25.37</v>
      </c>
      <c r="E11817"/>
      <c r="F11817"/>
      <c r="G11817"/>
      <c r="H11817"/>
      <c r="I11817" s="489"/>
      <c r="J11817" s="1362"/>
      <c r="K11817" s="1362"/>
      <c r="L11817" s="1362"/>
    </row>
    <row r="11818" spans="1:12" x14ac:dyDescent="0.25">
      <c r="A11818">
        <v>92000</v>
      </c>
      <c r="B11818" t="s">
        <v>1479</v>
      </c>
      <c r="C11818" t="s">
        <v>138</v>
      </c>
      <c r="D11818" s="254">
        <v>32.19</v>
      </c>
      <c r="E11818"/>
      <c r="F11818"/>
      <c r="G11818"/>
      <c r="H11818"/>
      <c r="I11818" s="489"/>
      <c r="J11818" s="1362"/>
      <c r="K11818" s="1362"/>
      <c r="L11818" s="1362"/>
    </row>
    <row r="11819" spans="1:12" x14ac:dyDescent="0.25">
      <c r="A11819">
        <v>92001</v>
      </c>
      <c r="B11819" t="s">
        <v>1480</v>
      </c>
      <c r="C11819" t="s">
        <v>138</v>
      </c>
      <c r="D11819" s="254">
        <v>34.47</v>
      </c>
      <c r="E11819"/>
      <c r="F11819"/>
      <c r="G11819"/>
      <c r="H11819"/>
      <c r="I11819" s="489"/>
      <c r="J11819" s="1362"/>
      <c r="K11819" s="1362"/>
      <c r="L11819" s="1362"/>
    </row>
    <row r="11820" spans="1:12" x14ac:dyDescent="0.25">
      <c r="A11820">
        <v>92002</v>
      </c>
      <c r="B11820" t="s">
        <v>1481</v>
      </c>
      <c r="C11820" t="s">
        <v>138</v>
      </c>
      <c r="D11820" s="254">
        <v>51.6</v>
      </c>
      <c r="E11820"/>
      <c r="F11820"/>
      <c r="G11820"/>
      <c r="H11820"/>
      <c r="I11820" s="489"/>
      <c r="J11820" s="1362"/>
      <c r="K11820" s="1362"/>
      <c r="L11820" s="1362"/>
    </row>
    <row r="11821" spans="1:12" x14ac:dyDescent="0.25">
      <c r="A11821">
        <v>92003</v>
      </c>
      <c r="B11821" t="s">
        <v>1482</v>
      </c>
      <c r="C11821" t="s">
        <v>138</v>
      </c>
      <c r="D11821" s="254">
        <v>56.16</v>
      </c>
      <c r="E11821"/>
      <c r="F11821"/>
      <c r="G11821"/>
      <c r="H11821"/>
      <c r="I11821" s="489"/>
      <c r="J11821" s="1362"/>
      <c r="K11821" s="1362"/>
      <c r="L11821" s="1362"/>
    </row>
    <row r="11822" spans="1:12" x14ac:dyDescent="0.25">
      <c r="A11822">
        <v>92004</v>
      </c>
      <c r="B11822" t="s">
        <v>1483</v>
      </c>
      <c r="C11822" t="s">
        <v>138</v>
      </c>
      <c r="D11822" s="254">
        <v>60.7</v>
      </c>
      <c r="E11822"/>
      <c r="F11822"/>
      <c r="G11822"/>
      <c r="H11822"/>
      <c r="I11822" s="489"/>
      <c r="J11822" s="1362"/>
      <c r="K11822" s="1362"/>
      <c r="L11822" s="1362"/>
    </row>
    <row r="11823" spans="1:12" x14ac:dyDescent="0.25">
      <c r="A11823">
        <v>92005</v>
      </c>
      <c r="B11823" t="s">
        <v>1484</v>
      </c>
      <c r="C11823" t="s">
        <v>138</v>
      </c>
      <c r="D11823" s="254">
        <v>65.260000000000005</v>
      </c>
      <c r="E11823"/>
      <c r="F11823"/>
      <c r="G11823"/>
      <c r="H11823"/>
      <c r="I11823" s="489"/>
      <c r="J11823" s="1362"/>
      <c r="K11823" s="1362"/>
      <c r="L11823" s="1362"/>
    </row>
    <row r="11824" spans="1:12" x14ac:dyDescent="0.25">
      <c r="A11824">
        <v>92006</v>
      </c>
      <c r="B11824" t="s">
        <v>1485</v>
      </c>
      <c r="C11824" t="s">
        <v>138</v>
      </c>
      <c r="D11824" s="254">
        <v>42.33</v>
      </c>
      <c r="E11824"/>
      <c r="F11824"/>
      <c r="G11824"/>
      <c r="H11824"/>
      <c r="I11824" s="489"/>
      <c r="J11824" s="1362"/>
      <c r="K11824" s="1362"/>
      <c r="L11824" s="1362"/>
    </row>
    <row r="11825" spans="1:12" x14ac:dyDescent="0.25">
      <c r="A11825">
        <v>92007</v>
      </c>
      <c r="B11825" t="s">
        <v>1486</v>
      </c>
      <c r="C11825" t="s">
        <v>138</v>
      </c>
      <c r="D11825" s="254">
        <v>46.89</v>
      </c>
      <c r="E11825"/>
      <c r="F11825"/>
      <c r="G11825"/>
      <c r="H11825"/>
      <c r="I11825" s="489"/>
      <c r="J11825" s="1362"/>
      <c r="K11825" s="1362"/>
      <c r="L11825" s="1362"/>
    </row>
    <row r="11826" spans="1:12" x14ac:dyDescent="0.25">
      <c r="A11826">
        <v>92008</v>
      </c>
      <c r="B11826" t="s">
        <v>1487</v>
      </c>
      <c r="C11826" t="s">
        <v>138</v>
      </c>
      <c r="D11826" s="254">
        <v>51.43</v>
      </c>
      <c r="E11826"/>
      <c r="F11826"/>
      <c r="G11826"/>
      <c r="H11826"/>
      <c r="I11826" s="489"/>
      <c r="J11826" s="1362"/>
      <c r="K11826" s="1362"/>
      <c r="L11826" s="1362"/>
    </row>
    <row r="11827" spans="1:12" x14ac:dyDescent="0.25">
      <c r="A11827">
        <v>92009</v>
      </c>
      <c r="B11827" t="s">
        <v>1488</v>
      </c>
      <c r="C11827" t="s">
        <v>138</v>
      </c>
      <c r="D11827" s="254">
        <v>55.99</v>
      </c>
      <c r="E11827"/>
      <c r="F11827"/>
      <c r="G11827"/>
      <c r="H11827"/>
      <c r="I11827" s="489"/>
      <c r="J11827" s="1362"/>
      <c r="K11827" s="1362"/>
      <c r="L11827" s="1362"/>
    </row>
    <row r="11828" spans="1:12" x14ac:dyDescent="0.25">
      <c r="A11828">
        <v>92010</v>
      </c>
      <c r="B11828" t="s">
        <v>1489</v>
      </c>
      <c r="C11828" t="s">
        <v>138</v>
      </c>
      <c r="D11828" s="254">
        <v>75.47</v>
      </c>
      <c r="E11828"/>
      <c r="F11828"/>
      <c r="G11828"/>
      <c r="H11828"/>
      <c r="I11828" s="489"/>
      <c r="J11828" s="1362"/>
      <c r="K11828" s="1362"/>
      <c r="L11828" s="1362"/>
    </row>
    <row r="11829" spans="1:12" x14ac:dyDescent="0.25">
      <c r="A11829">
        <v>92011</v>
      </c>
      <c r="B11829" t="s">
        <v>1490</v>
      </c>
      <c r="C11829" t="s">
        <v>138</v>
      </c>
      <c r="D11829" s="254">
        <v>82.31</v>
      </c>
      <c r="E11829"/>
      <c r="F11829"/>
      <c r="G11829"/>
      <c r="H11829"/>
      <c r="I11829" s="489"/>
      <c r="J11829" s="1362"/>
      <c r="K11829" s="1362"/>
      <c r="L11829" s="1362"/>
    </row>
    <row r="11830" spans="1:12" x14ac:dyDescent="0.25">
      <c r="A11830">
        <v>92012</v>
      </c>
      <c r="B11830" t="s">
        <v>1491</v>
      </c>
      <c r="C11830" t="s">
        <v>138</v>
      </c>
      <c r="D11830" s="254">
        <v>84.57</v>
      </c>
      <c r="E11830"/>
      <c r="F11830"/>
      <c r="G11830"/>
      <c r="H11830"/>
      <c r="I11830" s="489"/>
      <c r="J11830" s="1362"/>
      <c r="K11830" s="1362"/>
      <c r="L11830" s="1362"/>
    </row>
    <row r="11831" spans="1:12" x14ac:dyDescent="0.25">
      <c r="A11831">
        <v>92013</v>
      </c>
      <c r="B11831" t="s">
        <v>1492</v>
      </c>
      <c r="C11831" t="s">
        <v>138</v>
      </c>
      <c r="D11831" s="254">
        <v>91.41</v>
      </c>
      <c r="E11831"/>
      <c r="F11831"/>
      <c r="G11831"/>
      <c r="H11831"/>
      <c r="I11831" s="489"/>
      <c r="J11831" s="1362"/>
      <c r="K11831" s="1362"/>
      <c r="L11831" s="1362"/>
    </row>
    <row r="11832" spans="1:12" x14ac:dyDescent="0.25">
      <c r="A11832">
        <v>92014</v>
      </c>
      <c r="B11832" t="s">
        <v>1493</v>
      </c>
      <c r="C11832" t="s">
        <v>138</v>
      </c>
      <c r="D11832" s="254">
        <v>61.55</v>
      </c>
      <c r="E11832"/>
      <c r="F11832"/>
      <c r="G11832"/>
      <c r="H11832"/>
      <c r="I11832" s="489"/>
      <c r="J11832" s="1362"/>
      <c r="K11832" s="1362"/>
      <c r="L11832" s="1362"/>
    </row>
    <row r="11833" spans="1:12" x14ac:dyDescent="0.25">
      <c r="A11833">
        <v>92015</v>
      </c>
      <c r="B11833" t="s">
        <v>1494</v>
      </c>
      <c r="C11833" t="s">
        <v>138</v>
      </c>
      <c r="D11833" s="254">
        <v>68.39</v>
      </c>
      <c r="E11833"/>
      <c r="F11833"/>
      <c r="G11833"/>
      <c r="H11833"/>
      <c r="I11833" s="489"/>
      <c r="J11833" s="1362"/>
      <c r="K11833" s="1362"/>
      <c r="L11833" s="1362"/>
    </row>
    <row r="11834" spans="1:12" x14ac:dyDescent="0.25">
      <c r="A11834">
        <v>92016</v>
      </c>
      <c r="B11834" t="s">
        <v>1495</v>
      </c>
      <c r="C11834" t="s">
        <v>138</v>
      </c>
      <c r="D11834" s="254">
        <v>70.650000000000006</v>
      </c>
      <c r="E11834"/>
      <c r="F11834"/>
      <c r="G11834"/>
      <c r="H11834"/>
      <c r="I11834" s="489"/>
      <c r="J11834" s="1362"/>
      <c r="K11834" s="1362"/>
      <c r="L11834" s="1362"/>
    </row>
    <row r="11835" spans="1:12" x14ac:dyDescent="0.25">
      <c r="A11835">
        <v>92017</v>
      </c>
      <c r="B11835" t="s">
        <v>1496</v>
      </c>
      <c r="C11835" t="s">
        <v>138</v>
      </c>
      <c r="D11835" s="254">
        <v>77.489999999999995</v>
      </c>
      <c r="E11835"/>
      <c r="F11835"/>
      <c r="G11835"/>
      <c r="H11835"/>
      <c r="I11835" s="489"/>
      <c r="J11835" s="1362"/>
      <c r="K11835" s="1362"/>
      <c r="L11835" s="1362"/>
    </row>
    <row r="11836" spans="1:12" x14ac:dyDescent="0.25">
      <c r="A11836">
        <v>92018</v>
      </c>
      <c r="B11836" t="s">
        <v>1497</v>
      </c>
      <c r="C11836" t="s">
        <v>138</v>
      </c>
      <c r="D11836" s="254">
        <v>81.41</v>
      </c>
      <c r="E11836"/>
      <c r="F11836"/>
      <c r="G11836"/>
      <c r="H11836"/>
      <c r="I11836" s="489"/>
      <c r="J11836" s="1362"/>
      <c r="K11836" s="1362"/>
      <c r="L11836" s="1362"/>
    </row>
    <row r="11837" spans="1:12" x14ac:dyDescent="0.25">
      <c r="A11837">
        <v>92019</v>
      </c>
      <c r="B11837" t="s">
        <v>1498</v>
      </c>
      <c r="C11837" t="s">
        <v>138</v>
      </c>
      <c r="D11837" s="254">
        <v>95.45</v>
      </c>
      <c r="E11837"/>
      <c r="F11837"/>
      <c r="G11837"/>
      <c r="H11837"/>
      <c r="I11837" s="489"/>
      <c r="J11837" s="1362"/>
      <c r="K11837" s="1362"/>
      <c r="L11837" s="1362"/>
    </row>
    <row r="11838" spans="1:12" x14ac:dyDescent="0.25">
      <c r="A11838">
        <v>92020</v>
      </c>
      <c r="B11838" t="s">
        <v>1499</v>
      </c>
      <c r="C11838" t="s">
        <v>138</v>
      </c>
      <c r="D11838" s="254">
        <v>120.19</v>
      </c>
      <c r="E11838"/>
      <c r="F11838"/>
      <c r="G11838"/>
      <c r="H11838"/>
      <c r="I11838" s="489"/>
      <c r="J11838" s="1362"/>
      <c r="K11838" s="1362"/>
      <c r="L11838" s="1362"/>
    </row>
    <row r="11839" spans="1:12" x14ac:dyDescent="0.25">
      <c r="A11839">
        <v>92021</v>
      </c>
      <c r="B11839" t="s">
        <v>1500</v>
      </c>
      <c r="C11839" t="s">
        <v>138</v>
      </c>
      <c r="D11839" s="254">
        <v>134.22999999999999</v>
      </c>
      <c r="E11839"/>
      <c r="F11839"/>
      <c r="G11839"/>
      <c r="H11839"/>
      <c r="I11839" s="489"/>
      <c r="J11839" s="1362"/>
      <c r="K11839" s="1362"/>
      <c r="L11839" s="1362"/>
    </row>
    <row r="11840" spans="1:12" x14ac:dyDescent="0.25">
      <c r="A11840">
        <v>92022</v>
      </c>
      <c r="B11840" t="s">
        <v>1501</v>
      </c>
      <c r="C11840" t="s">
        <v>138</v>
      </c>
      <c r="D11840" s="254">
        <v>45.34</v>
      </c>
      <c r="E11840"/>
      <c r="F11840"/>
      <c r="G11840"/>
      <c r="H11840"/>
      <c r="I11840" s="489"/>
      <c r="J11840" s="1362"/>
      <c r="K11840" s="1362"/>
      <c r="L11840" s="1362"/>
    </row>
    <row r="11841" spans="1:12" x14ac:dyDescent="0.25">
      <c r="A11841">
        <v>92023</v>
      </c>
      <c r="B11841" t="s">
        <v>1502</v>
      </c>
      <c r="C11841" t="s">
        <v>138</v>
      </c>
      <c r="D11841" s="254">
        <v>54.44</v>
      </c>
      <c r="E11841"/>
      <c r="F11841"/>
      <c r="G11841"/>
      <c r="H11841"/>
      <c r="I11841" s="489"/>
      <c r="J11841" s="1362"/>
      <c r="K11841" s="1362"/>
      <c r="L11841" s="1362"/>
    </row>
    <row r="11842" spans="1:12" x14ac:dyDescent="0.25">
      <c r="A11842">
        <v>92024</v>
      </c>
      <c r="B11842" t="s">
        <v>1503</v>
      </c>
      <c r="C11842" t="s">
        <v>138</v>
      </c>
      <c r="D11842" s="254">
        <v>69.260000000000005</v>
      </c>
      <c r="E11842"/>
      <c r="F11842"/>
      <c r="G11842"/>
      <c r="H11842"/>
      <c r="I11842" s="489"/>
      <c r="J11842" s="1362"/>
      <c r="K11842" s="1362"/>
      <c r="L11842" s="1362"/>
    </row>
    <row r="11843" spans="1:12" x14ac:dyDescent="0.25">
      <c r="A11843">
        <v>92025</v>
      </c>
      <c r="B11843" t="s">
        <v>1504</v>
      </c>
      <c r="C11843" t="s">
        <v>138</v>
      </c>
      <c r="D11843" s="254">
        <v>78.36</v>
      </c>
      <c r="E11843"/>
      <c r="F11843"/>
      <c r="G11843"/>
      <c r="H11843"/>
      <c r="I11843" s="489"/>
      <c r="J11843" s="1362"/>
      <c r="K11843" s="1362"/>
      <c r="L11843" s="1362"/>
    </row>
    <row r="11844" spans="1:12" x14ac:dyDescent="0.25">
      <c r="A11844">
        <v>92026</v>
      </c>
      <c r="B11844" t="s">
        <v>1505</v>
      </c>
      <c r="C11844" t="s">
        <v>138</v>
      </c>
      <c r="D11844" s="254">
        <v>63</v>
      </c>
      <c r="E11844"/>
      <c r="F11844"/>
      <c r="G11844"/>
      <c r="H11844"/>
      <c r="I11844" s="489"/>
      <c r="J11844" s="1362"/>
      <c r="K11844" s="1362"/>
      <c r="L11844" s="1362"/>
    </row>
    <row r="11845" spans="1:12" x14ac:dyDescent="0.25">
      <c r="A11845">
        <v>92027</v>
      </c>
      <c r="B11845" t="s">
        <v>1506</v>
      </c>
      <c r="C11845" t="s">
        <v>138</v>
      </c>
      <c r="D11845" s="254">
        <v>72.099999999999994</v>
      </c>
      <c r="E11845"/>
      <c r="F11845"/>
      <c r="G11845"/>
      <c r="H11845"/>
      <c r="I11845" s="489"/>
      <c r="J11845" s="1362"/>
      <c r="K11845" s="1362"/>
      <c r="L11845" s="1362"/>
    </row>
    <row r="11846" spans="1:12" x14ac:dyDescent="0.25">
      <c r="A11846">
        <v>92028</v>
      </c>
      <c r="B11846" t="s">
        <v>1507</v>
      </c>
      <c r="C11846" t="s">
        <v>138</v>
      </c>
      <c r="D11846" s="254">
        <v>52.78</v>
      </c>
      <c r="E11846"/>
      <c r="F11846"/>
      <c r="G11846"/>
      <c r="H11846"/>
      <c r="I11846" s="489"/>
      <c r="J11846" s="1362"/>
      <c r="K11846" s="1362"/>
      <c r="L11846" s="1362"/>
    </row>
    <row r="11847" spans="1:12" x14ac:dyDescent="0.25">
      <c r="A11847">
        <v>92029</v>
      </c>
      <c r="B11847" t="s">
        <v>1508</v>
      </c>
      <c r="C11847" t="s">
        <v>138</v>
      </c>
      <c r="D11847" s="254">
        <v>61.88</v>
      </c>
      <c r="E11847"/>
      <c r="F11847"/>
      <c r="G11847"/>
      <c r="H11847"/>
      <c r="I11847" s="489"/>
      <c r="J11847" s="1362"/>
      <c r="K11847" s="1362"/>
      <c r="L11847" s="1362"/>
    </row>
    <row r="11848" spans="1:12" x14ac:dyDescent="0.25">
      <c r="A11848">
        <v>92030</v>
      </c>
      <c r="B11848" t="s">
        <v>1509</v>
      </c>
      <c r="C11848" t="s">
        <v>138</v>
      </c>
      <c r="D11848" s="254">
        <v>76.650000000000006</v>
      </c>
      <c r="E11848"/>
      <c r="F11848"/>
      <c r="G11848"/>
      <c r="H11848"/>
      <c r="I11848" s="489"/>
      <c r="J11848" s="1362"/>
      <c r="K11848" s="1362"/>
      <c r="L11848" s="1362"/>
    </row>
    <row r="11849" spans="1:12" x14ac:dyDescent="0.25">
      <c r="A11849">
        <v>92031</v>
      </c>
      <c r="B11849" t="s">
        <v>1510</v>
      </c>
      <c r="C11849" t="s">
        <v>138</v>
      </c>
      <c r="D11849" s="254">
        <v>85.75</v>
      </c>
      <c r="E11849"/>
      <c r="F11849"/>
      <c r="G11849"/>
      <c r="H11849"/>
      <c r="I11849" s="489"/>
      <c r="J11849" s="1362"/>
      <c r="K11849" s="1362"/>
      <c r="L11849" s="1362"/>
    </row>
    <row r="11850" spans="1:12" x14ac:dyDescent="0.25">
      <c r="A11850">
        <v>92032</v>
      </c>
      <c r="B11850" t="s">
        <v>1511</v>
      </c>
      <c r="C11850" t="s">
        <v>138</v>
      </c>
      <c r="D11850" s="254">
        <v>77.83</v>
      </c>
      <c r="E11850"/>
      <c r="F11850"/>
      <c r="G11850"/>
      <c r="H11850"/>
      <c r="I11850" s="489"/>
      <c r="J11850" s="1362"/>
      <c r="K11850" s="1362"/>
      <c r="L11850" s="1362"/>
    </row>
    <row r="11851" spans="1:12" x14ac:dyDescent="0.25">
      <c r="A11851">
        <v>92033</v>
      </c>
      <c r="B11851" t="s">
        <v>1512</v>
      </c>
      <c r="C11851" t="s">
        <v>138</v>
      </c>
      <c r="D11851" s="254">
        <v>86.93</v>
      </c>
      <c r="E11851"/>
      <c r="F11851"/>
      <c r="G11851"/>
      <c r="H11851"/>
      <c r="I11851" s="489"/>
      <c r="J11851" s="1362"/>
      <c r="K11851" s="1362"/>
      <c r="L11851" s="1362"/>
    </row>
    <row r="11852" spans="1:12" x14ac:dyDescent="0.25">
      <c r="A11852">
        <v>92034</v>
      </c>
      <c r="B11852" t="s">
        <v>1513</v>
      </c>
      <c r="C11852" t="s">
        <v>138</v>
      </c>
      <c r="D11852" s="254">
        <v>70.44</v>
      </c>
      <c r="E11852"/>
      <c r="F11852"/>
      <c r="G11852"/>
      <c r="H11852"/>
      <c r="I11852" s="489"/>
      <c r="J11852" s="1362"/>
      <c r="K11852" s="1362"/>
      <c r="L11852" s="1362"/>
    </row>
    <row r="11853" spans="1:12" x14ac:dyDescent="0.25">
      <c r="A11853">
        <v>92035</v>
      </c>
      <c r="B11853" t="s">
        <v>1514</v>
      </c>
      <c r="C11853" t="s">
        <v>138</v>
      </c>
      <c r="D11853" s="254">
        <v>79.540000000000006</v>
      </c>
      <c r="E11853"/>
      <c r="F11853"/>
      <c r="G11853"/>
      <c r="H11853"/>
      <c r="I11853" s="489"/>
      <c r="J11853" s="1362"/>
      <c r="K11853" s="1362"/>
      <c r="L11853" s="1362"/>
    </row>
    <row r="11854" spans="1:12" x14ac:dyDescent="0.25">
      <c r="A11854">
        <v>97583</v>
      </c>
      <c r="B11854" t="s">
        <v>4098</v>
      </c>
      <c r="C11854" t="s">
        <v>138</v>
      </c>
      <c r="D11854" s="254">
        <v>94.78</v>
      </c>
      <c r="E11854"/>
      <c r="F11854"/>
      <c r="G11854"/>
      <c r="H11854"/>
      <c r="I11854" s="489"/>
      <c r="J11854" s="1362"/>
      <c r="K11854" s="1362"/>
      <c r="L11854" s="1362"/>
    </row>
    <row r="11855" spans="1:12" x14ac:dyDescent="0.25">
      <c r="A11855">
        <v>97584</v>
      </c>
      <c r="B11855" t="s">
        <v>4099</v>
      </c>
      <c r="C11855" t="s">
        <v>138</v>
      </c>
      <c r="D11855" s="254">
        <v>131.59</v>
      </c>
      <c r="E11855"/>
      <c r="F11855"/>
      <c r="G11855"/>
      <c r="H11855"/>
      <c r="I11855" s="489"/>
      <c r="J11855" s="1362"/>
      <c r="K11855" s="1362"/>
      <c r="L11855" s="1362"/>
    </row>
    <row r="11856" spans="1:12" x14ac:dyDescent="0.25">
      <c r="A11856">
        <v>97585</v>
      </c>
      <c r="B11856" t="s">
        <v>4100</v>
      </c>
      <c r="C11856" t="s">
        <v>138</v>
      </c>
      <c r="D11856" s="254">
        <v>127.02</v>
      </c>
      <c r="E11856"/>
      <c r="F11856"/>
      <c r="G11856"/>
      <c r="H11856"/>
      <c r="I11856" s="489"/>
      <c r="J11856" s="1362"/>
      <c r="K11856" s="1362"/>
      <c r="L11856" s="1362"/>
    </row>
    <row r="11857" spans="1:12" x14ac:dyDescent="0.25">
      <c r="A11857">
        <v>97586</v>
      </c>
      <c r="B11857" t="s">
        <v>4101</v>
      </c>
      <c r="C11857" t="s">
        <v>138</v>
      </c>
      <c r="D11857" s="254">
        <v>171.48</v>
      </c>
      <c r="E11857"/>
      <c r="F11857"/>
      <c r="G11857"/>
      <c r="H11857"/>
      <c r="I11857" s="489"/>
      <c r="J11857" s="1362"/>
      <c r="K11857" s="1362"/>
      <c r="L11857" s="1362"/>
    </row>
    <row r="11858" spans="1:12" x14ac:dyDescent="0.25">
      <c r="A11858">
        <v>97587</v>
      </c>
      <c r="B11858" t="s">
        <v>4102</v>
      </c>
      <c r="C11858" t="s">
        <v>138</v>
      </c>
      <c r="D11858" s="254">
        <v>310.17</v>
      </c>
      <c r="E11858"/>
      <c r="F11858"/>
      <c r="G11858"/>
      <c r="H11858"/>
      <c r="I11858" s="489"/>
      <c r="J11858" s="1362"/>
      <c r="K11858" s="1362"/>
      <c r="L11858" s="1362"/>
    </row>
    <row r="11859" spans="1:12" x14ac:dyDescent="0.25">
      <c r="A11859">
        <v>97589</v>
      </c>
      <c r="B11859" t="s">
        <v>4103</v>
      </c>
      <c r="C11859" t="s">
        <v>138</v>
      </c>
      <c r="D11859" s="254">
        <v>43.54</v>
      </c>
      <c r="E11859"/>
      <c r="F11859"/>
      <c r="G11859"/>
      <c r="H11859"/>
      <c r="I11859" s="489"/>
      <c r="J11859" s="1362"/>
      <c r="K11859" s="1362"/>
      <c r="L11859" s="1362"/>
    </row>
    <row r="11860" spans="1:12" x14ac:dyDescent="0.25">
      <c r="A11860">
        <v>97590</v>
      </c>
      <c r="B11860" t="s">
        <v>4104</v>
      </c>
      <c r="C11860" t="s">
        <v>138</v>
      </c>
      <c r="D11860" s="254">
        <v>104.96</v>
      </c>
      <c r="E11860"/>
      <c r="F11860"/>
      <c r="G11860"/>
      <c r="H11860"/>
      <c r="I11860" s="489"/>
      <c r="J11860" s="1362"/>
      <c r="K11860" s="1362"/>
      <c r="L11860" s="1362"/>
    </row>
    <row r="11861" spans="1:12" x14ac:dyDescent="0.25">
      <c r="A11861">
        <v>97591</v>
      </c>
      <c r="B11861" t="s">
        <v>4105</v>
      </c>
      <c r="C11861" t="s">
        <v>138</v>
      </c>
      <c r="D11861" s="254">
        <v>134.04</v>
      </c>
      <c r="E11861"/>
      <c r="F11861"/>
      <c r="G11861"/>
      <c r="H11861"/>
      <c r="I11861" s="489"/>
      <c r="J11861" s="1362"/>
      <c r="K11861" s="1362"/>
      <c r="L11861" s="1362"/>
    </row>
    <row r="11862" spans="1:12" x14ac:dyDescent="0.25">
      <c r="A11862">
        <v>97593</v>
      </c>
      <c r="B11862" t="s">
        <v>4106</v>
      </c>
      <c r="C11862" t="s">
        <v>138</v>
      </c>
      <c r="D11862" s="254">
        <v>151.47999999999999</v>
      </c>
      <c r="E11862"/>
      <c r="F11862"/>
      <c r="G11862"/>
      <c r="H11862"/>
      <c r="I11862" s="489"/>
      <c r="J11862" s="1362"/>
      <c r="K11862" s="1362"/>
      <c r="L11862" s="1362"/>
    </row>
    <row r="11863" spans="1:12" x14ac:dyDescent="0.25">
      <c r="A11863">
        <v>97594</v>
      </c>
      <c r="B11863" t="s">
        <v>4107</v>
      </c>
      <c r="C11863" t="s">
        <v>138</v>
      </c>
      <c r="D11863" s="254">
        <v>133.94</v>
      </c>
      <c r="E11863"/>
      <c r="F11863"/>
      <c r="G11863"/>
      <c r="H11863"/>
      <c r="I11863" s="489"/>
      <c r="J11863" s="1362"/>
      <c r="K11863" s="1362"/>
      <c r="L11863" s="1362"/>
    </row>
    <row r="11864" spans="1:12" x14ac:dyDescent="0.25">
      <c r="A11864">
        <v>97595</v>
      </c>
      <c r="B11864" t="s">
        <v>4108</v>
      </c>
      <c r="C11864" t="s">
        <v>138</v>
      </c>
      <c r="D11864" s="254">
        <v>113.82</v>
      </c>
      <c r="E11864"/>
      <c r="F11864"/>
      <c r="G11864"/>
      <c r="H11864"/>
      <c r="I11864" s="489"/>
      <c r="J11864" s="1362"/>
      <c r="K11864" s="1362"/>
      <c r="L11864" s="1362"/>
    </row>
    <row r="11865" spans="1:12" x14ac:dyDescent="0.25">
      <c r="A11865">
        <v>97596</v>
      </c>
      <c r="B11865" t="s">
        <v>4109</v>
      </c>
      <c r="C11865" t="s">
        <v>138</v>
      </c>
      <c r="D11865" s="254">
        <v>80.64</v>
      </c>
      <c r="E11865"/>
      <c r="F11865"/>
      <c r="G11865"/>
      <c r="H11865"/>
      <c r="I11865" s="489"/>
      <c r="J11865" s="1362"/>
      <c r="K11865" s="1362"/>
      <c r="L11865" s="1362"/>
    </row>
    <row r="11866" spans="1:12" x14ac:dyDescent="0.25">
      <c r="A11866">
        <v>97597</v>
      </c>
      <c r="B11866" t="s">
        <v>4110</v>
      </c>
      <c r="C11866" t="s">
        <v>138</v>
      </c>
      <c r="D11866" s="254">
        <v>78.42</v>
      </c>
      <c r="E11866"/>
      <c r="F11866"/>
      <c r="G11866"/>
      <c r="H11866"/>
      <c r="I11866" s="489"/>
      <c r="J11866" s="1362"/>
      <c r="K11866" s="1362"/>
      <c r="L11866" s="1362"/>
    </row>
    <row r="11867" spans="1:12" x14ac:dyDescent="0.25">
      <c r="A11867">
        <v>97598</v>
      </c>
      <c r="B11867" t="s">
        <v>4111</v>
      </c>
      <c r="C11867" t="s">
        <v>138</v>
      </c>
      <c r="D11867" s="254">
        <v>74.180000000000007</v>
      </c>
      <c r="E11867"/>
      <c r="F11867"/>
      <c r="G11867"/>
      <c r="H11867"/>
      <c r="I11867" s="489"/>
      <c r="J11867" s="1362"/>
      <c r="K11867" s="1362"/>
      <c r="L11867" s="1362"/>
    </row>
    <row r="11868" spans="1:12" x14ac:dyDescent="0.25">
      <c r="A11868">
        <v>97599</v>
      </c>
      <c r="B11868" t="s">
        <v>4112</v>
      </c>
      <c r="C11868" t="s">
        <v>138</v>
      </c>
      <c r="D11868" s="254">
        <v>29.23</v>
      </c>
      <c r="E11868"/>
      <c r="F11868"/>
      <c r="G11868"/>
      <c r="H11868"/>
      <c r="I11868" s="489"/>
      <c r="J11868" s="1362"/>
      <c r="K11868" s="1362"/>
      <c r="L11868" s="1362"/>
    </row>
    <row r="11869" spans="1:12" x14ac:dyDescent="0.25">
      <c r="A11869">
        <v>97609</v>
      </c>
      <c r="B11869" t="s">
        <v>4113</v>
      </c>
      <c r="C11869" t="s">
        <v>138</v>
      </c>
      <c r="D11869" s="254">
        <v>18.86</v>
      </c>
      <c r="E11869"/>
      <c r="F11869"/>
      <c r="G11869"/>
      <c r="H11869"/>
      <c r="I11869" s="489"/>
      <c r="J11869" s="1362"/>
      <c r="K11869" s="1362"/>
      <c r="L11869" s="1362"/>
    </row>
    <row r="11870" spans="1:12" x14ac:dyDescent="0.25">
      <c r="A11870">
        <v>97610</v>
      </c>
      <c r="B11870" t="s">
        <v>4114</v>
      </c>
      <c r="C11870" t="s">
        <v>138</v>
      </c>
      <c r="D11870" s="254">
        <v>19.940000000000001</v>
      </c>
      <c r="E11870"/>
      <c r="F11870"/>
      <c r="G11870"/>
      <c r="H11870"/>
      <c r="I11870" s="489"/>
      <c r="J11870" s="1362"/>
      <c r="K11870" s="1362"/>
      <c r="L11870" s="1362"/>
    </row>
    <row r="11871" spans="1:12" x14ac:dyDescent="0.25">
      <c r="A11871">
        <v>97611</v>
      </c>
      <c r="B11871" t="s">
        <v>4115</v>
      </c>
      <c r="C11871" t="s">
        <v>138</v>
      </c>
      <c r="D11871" s="254">
        <v>22.48</v>
      </c>
      <c r="E11871"/>
      <c r="F11871"/>
      <c r="G11871"/>
      <c r="H11871"/>
      <c r="I11871" s="489"/>
      <c r="J11871" s="1362"/>
      <c r="K11871" s="1362"/>
      <c r="L11871" s="1362"/>
    </row>
    <row r="11872" spans="1:12" x14ac:dyDescent="0.25">
      <c r="A11872">
        <v>97612</v>
      </c>
      <c r="B11872" t="s">
        <v>4116</v>
      </c>
      <c r="C11872" t="s">
        <v>138</v>
      </c>
      <c r="D11872" s="254">
        <v>24.01</v>
      </c>
      <c r="E11872"/>
      <c r="F11872"/>
      <c r="G11872"/>
      <c r="H11872"/>
      <c r="I11872" s="489"/>
      <c r="J11872" s="1362"/>
      <c r="K11872" s="1362"/>
      <c r="L11872" s="1362"/>
    </row>
    <row r="11873" spans="1:12" x14ac:dyDescent="0.25">
      <c r="A11873">
        <v>97613</v>
      </c>
      <c r="B11873" t="s">
        <v>4117</v>
      </c>
      <c r="C11873" t="s">
        <v>138</v>
      </c>
      <c r="D11873" s="254">
        <v>29.06</v>
      </c>
      <c r="E11873"/>
      <c r="F11873"/>
      <c r="G11873"/>
      <c r="H11873"/>
      <c r="I11873" s="489"/>
      <c r="J11873" s="1362"/>
      <c r="K11873" s="1362"/>
      <c r="L11873" s="1362"/>
    </row>
    <row r="11874" spans="1:12" x14ac:dyDescent="0.25">
      <c r="A11874">
        <v>97614</v>
      </c>
      <c r="B11874" t="s">
        <v>4118</v>
      </c>
      <c r="C11874" t="s">
        <v>138</v>
      </c>
      <c r="D11874" s="254">
        <v>47.29</v>
      </c>
      <c r="E11874"/>
      <c r="F11874"/>
      <c r="G11874"/>
      <c r="H11874"/>
      <c r="I11874" s="489"/>
      <c r="J11874" s="1362"/>
      <c r="K11874" s="1362"/>
      <c r="L11874" s="1362"/>
    </row>
    <row r="11875" spans="1:12" x14ac:dyDescent="0.25">
      <c r="A11875">
        <v>97615</v>
      </c>
      <c r="B11875" t="s">
        <v>18596</v>
      </c>
      <c r="C11875" t="s">
        <v>138</v>
      </c>
      <c r="D11875" s="254">
        <v>57.75</v>
      </c>
      <c r="E11875"/>
      <c r="F11875"/>
      <c r="G11875"/>
      <c r="H11875"/>
      <c r="I11875" s="489"/>
      <c r="J11875" s="1362"/>
      <c r="K11875" s="1362"/>
      <c r="L11875" s="1362"/>
    </row>
    <row r="11876" spans="1:12" x14ac:dyDescent="0.25">
      <c r="A11876">
        <v>97616</v>
      </c>
      <c r="B11876" t="s">
        <v>18597</v>
      </c>
      <c r="C11876" t="s">
        <v>138</v>
      </c>
      <c r="D11876" s="254">
        <v>66.069999999999993</v>
      </c>
      <c r="E11876"/>
      <c r="F11876"/>
      <c r="G11876"/>
      <c r="H11876"/>
      <c r="I11876" s="489"/>
      <c r="J11876" s="1362"/>
      <c r="K11876" s="1362"/>
      <c r="L11876" s="1362"/>
    </row>
    <row r="11877" spans="1:12" x14ac:dyDescent="0.25">
      <c r="A11877">
        <v>97617</v>
      </c>
      <c r="B11877" t="s">
        <v>18598</v>
      </c>
      <c r="C11877" t="s">
        <v>138</v>
      </c>
      <c r="D11877" s="254">
        <v>65.83</v>
      </c>
      <c r="E11877"/>
      <c r="F11877"/>
      <c r="G11877"/>
      <c r="H11877"/>
      <c r="I11877" s="489"/>
      <c r="J11877" s="1362"/>
      <c r="K11877" s="1362"/>
      <c r="L11877" s="1362"/>
    </row>
    <row r="11878" spans="1:12" x14ac:dyDescent="0.25">
      <c r="A11878">
        <v>97618</v>
      </c>
      <c r="B11878" t="s">
        <v>18599</v>
      </c>
      <c r="C11878" t="s">
        <v>138</v>
      </c>
      <c r="D11878" s="254">
        <v>59.89</v>
      </c>
      <c r="E11878"/>
      <c r="F11878"/>
      <c r="G11878"/>
      <c r="H11878"/>
      <c r="I11878" s="489"/>
      <c r="J11878" s="1362"/>
      <c r="K11878" s="1362"/>
      <c r="L11878" s="1362"/>
    </row>
    <row r="11879" spans="1:12" x14ac:dyDescent="0.25">
      <c r="A11879">
        <v>100902</v>
      </c>
      <c r="B11879" t="s">
        <v>18600</v>
      </c>
      <c r="C11879" t="s">
        <v>138</v>
      </c>
      <c r="D11879" s="254">
        <v>30.47</v>
      </c>
      <c r="E11879"/>
      <c r="F11879"/>
      <c r="G11879"/>
      <c r="H11879"/>
      <c r="I11879" s="489"/>
      <c r="J11879" s="1362"/>
      <c r="K11879" s="1362"/>
      <c r="L11879" s="1362"/>
    </row>
    <row r="11880" spans="1:12" x14ac:dyDescent="0.25">
      <c r="A11880">
        <v>100903</v>
      </c>
      <c r="B11880" t="s">
        <v>18601</v>
      </c>
      <c r="C11880" t="s">
        <v>138</v>
      </c>
      <c r="D11880" s="254">
        <v>35.26</v>
      </c>
      <c r="E11880"/>
      <c r="F11880"/>
      <c r="G11880"/>
      <c r="H11880"/>
      <c r="I11880" s="489"/>
      <c r="J11880" s="1362"/>
      <c r="K11880" s="1362"/>
      <c r="L11880" s="1362"/>
    </row>
    <row r="11881" spans="1:12" x14ac:dyDescent="0.25">
      <c r="A11881">
        <v>100904</v>
      </c>
      <c r="B11881" t="s">
        <v>4119</v>
      </c>
      <c r="C11881" t="s">
        <v>138</v>
      </c>
      <c r="D11881" s="254">
        <v>94.78</v>
      </c>
      <c r="E11881"/>
      <c r="F11881"/>
      <c r="G11881"/>
      <c r="H11881"/>
      <c r="I11881" s="489"/>
      <c r="J11881" s="1362"/>
      <c r="K11881" s="1362"/>
      <c r="L11881" s="1362"/>
    </row>
    <row r="11882" spans="1:12" x14ac:dyDescent="0.25">
      <c r="A11882">
        <v>100905</v>
      </c>
      <c r="B11882" t="s">
        <v>4120</v>
      </c>
      <c r="C11882" t="s">
        <v>138</v>
      </c>
      <c r="D11882" s="254">
        <v>254.05</v>
      </c>
      <c r="E11882"/>
      <c r="F11882"/>
      <c r="G11882"/>
      <c r="H11882"/>
      <c r="I11882" s="489"/>
      <c r="J11882" s="1362"/>
      <c r="K11882" s="1362"/>
      <c r="L11882" s="1362"/>
    </row>
    <row r="11883" spans="1:12" x14ac:dyDescent="0.25">
      <c r="A11883">
        <v>100906</v>
      </c>
      <c r="B11883" t="s">
        <v>4121</v>
      </c>
      <c r="C11883" t="s">
        <v>138</v>
      </c>
      <c r="D11883" s="254">
        <v>342.97</v>
      </c>
      <c r="E11883"/>
      <c r="F11883"/>
      <c r="G11883"/>
      <c r="H11883"/>
      <c r="I11883" s="489"/>
      <c r="J11883" s="1362"/>
      <c r="K11883" s="1362"/>
      <c r="L11883" s="1362"/>
    </row>
    <row r="11884" spans="1:12" x14ac:dyDescent="0.25">
      <c r="A11884">
        <v>100919</v>
      </c>
      <c r="B11884" t="s">
        <v>4122</v>
      </c>
      <c r="C11884" t="s">
        <v>138</v>
      </c>
      <c r="D11884" s="254">
        <v>53.25</v>
      </c>
      <c r="E11884"/>
      <c r="F11884"/>
      <c r="G11884"/>
      <c r="H11884"/>
      <c r="I11884" s="489"/>
      <c r="J11884" s="1362"/>
      <c r="K11884" s="1362"/>
      <c r="L11884" s="1362"/>
    </row>
    <row r="11885" spans="1:12" x14ac:dyDescent="0.25">
      <c r="A11885">
        <v>100920</v>
      </c>
      <c r="B11885" t="s">
        <v>4123</v>
      </c>
      <c r="C11885" t="s">
        <v>138</v>
      </c>
      <c r="D11885" s="254">
        <v>86.89</v>
      </c>
      <c r="E11885"/>
      <c r="F11885"/>
      <c r="G11885"/>
      <c r="H11885"/>
      <c r="I11885" s="489"/>
      <c r="J11885" s="1362"/>
      <c r="K11885" s="1362"/>
      <c r="L11885" s="1362"/>
    </row>
    <row r="11886" spans="1:12" x14ac:dyDescent="0.25">
      <c r="A11886">
        <v>100921</v>
      </c>
      <c r="B11886" t="s">
        <v>4124</v>
      </c>
      <c r="C11886" t="s">
        <v>138</v>
      </c>
      <c r="D11886" s="254">
        <v>76.010000000000005</v>
      </c>
      <c r="E11886"/>
      <c r="F11886"/>
      <c r="G11886"/>
      <c r="H11886"/>
      <c r="I11886" s="489"/>
      <c r="J11886" s="1362"/>
      <c r="K11886" s="1362"/>
      <c r="L11886" s="1362"/>
    </row>
    <row r="11887" spans="1:12" x14ac:dyDescent="0.25">
      <c r="A11887">
        <v>100922</v>
      </c>
      <c r="B11887" t="s">
        <v>4125</v>
      </c>
      <c r="C11887" t="s">
        <v>138</v>
      </c>
      <c r="D11887" s="254">
        <v>54.42</v>
      </c>
      <c r="E11887"/>
      <c r="F11887"/>
      <c r="G11887"/>
      <c r="H11887"/>
      <c r="I11887" s="489"/>
      <c r="J11887" s="1362"/>
      <c r="K11887" s="1362"/>
      <c r="L11887" s="1362"/>
    </row>
    <row r="11888" spans="1:12" x14ac:dyDescent="0.25">
      <c r="A11888">
        <v>100923</v>
      </c>
      <c r="B11888" t="s">
        <v>4126</v>
      </c>
      <c r="C11888" t="s">
        <v>138</v>
      </c>
      <c r="D11888" s="254">
        <v>62.35</v>
      </c>
      <c r="E11888"/>
      <c r="F11888"/>
      <c r="G11888"/>
      <c r="H11888"/>
      <c r="I11888" s="489"/>
      <c r="J11888" s="1362"/>
      <c r="K11888" s="1362"/>
      <c r="L11888" s="1362"/>
    </row>
    <row r="11889" spans="1:12" x14ac:dyDescent="0.25">
      <c r="A11889">
        <v>103782</v>
      </c>
      <c r="B11889" t="s">
        <v>13596</v>
      </c>
      <c r="C11889" t="s">
        <v>138</v>
      </c>
      <c r="D11889" s="254">
        <v>42.44</v>
      </c>
      <c r="E11889"/>
      <c r="F11889"/>
      <c r="G11889"/>
      <c r="H11889"/>
      <c r="I11889" s="489"/>
      <c r="J11889" s="1362"/>
      <c r="K11889" s="1362"/>
      <c r="L11889" s="1362"/>
    </row>
    <row r="11890" spans="1:12" x14ac:dyDescent="0.25">
      <c r="A11890">
        <v>101489</v>
      </c>
      <c r="B11890" t="s">
        <v>18602</v>
      </c>
      <c r="C11890" t="s">
        <v>138</v>
      </c>
      <c r="D11890" s="254">
        <v>1543.83</v>
      </c>
      <c r="E11890"/>
      <c r="F11890"/>
      <c r="G11890"/>
      <c r="H11890"/>
      <c r="I11890" s="489"/>
      <c r="J11890" s="1362"/>
      <c r="K11890" s="1362"/>
      <c r="L11890" s="1362"/>
    </row>
    <row r="11891" spans="1:12" x14ac:dyDescent="0.25">
      <c r="A11891">
        <v>101490</v>
      </c>
      <c r="B11891" t="s">
        <v>18603</v>
      </c>
      <c r="C11891" t="s">
        <v>138</v>
      </c>
      <c r="D11891" s="254">
        <v>1641.07</v>
      </c>
      <c r="E11891"/>
      <c r="F11891"/>
      <c r="G11891"/>
      <c r="H11891"/>
      <c r="I11891" s="489"/>
      <c r="J11891" s="1362"/>
      <c r="K11891" s="1362"/>
      <c r="L11891" s="1362"/>
    </row>
    <row r="11892" spans="1:12" x14ac:dyDescent="0.25">
      <c r="A11892">
        <v>101491</v>
      </c>
      <c r="B11892" t="s">
        <v>18604</v>
      </c>
      <c r="C11892" t="s">
        <v>138</v>
      </c>
      <c r="D11892" s="254">
        <v>1664.61</v>
      </c>
      <c r="E11892"/>
      <c r="F11892"/>
      <c r="G11892"/>
      <c r="H11892"/>
      <c r="I11892" s="489"/>
      <c r="J11892" s="1362"/>
      <c r="K11892" s="1362"/>
      <c r="L11892" s="1362"/>
    </row>
    <row r="11893" spans="1:12" x14ac:dyDescent="0.25">
      <c r="A11893">
        <v>101492</v>
      </c>
      <c r="B11893" t="s">
        <v>18605</v>
      </c>
      <c r="C11893" t="s">
        <v>138</v>
      </c>
      <c r="D11893" s="254">
        <v>1809.32</v>
      </c>
      <c r="E11893"/>
      <c r="F11893"/>
      <c r="G11893"/>
      <c r="H11893"/>
      <c r="I11893" s="489"/>
      <c r="J11893" s="1362"/>
      <c r="K11893" s="1362"/>
      <c r="L11893" s="1362"/>
    </row>
    <row r="11894" spans="1:12" x14ac:dyDescent="0.25">
      <c r="A11894">
        <v>101493</v>
      </c>
      <c r="B11894" t="s">
        <v>18606</v>
      </c>
      <c r="C11894" t="s">
        <v>138</v>
      </c>
      <c r="D11894" s="254">
        <v>1522.67</v>
      </c>
      <c r="E11894"/>
      <c r="F11894"/>
      <c r="G11894"/>
      <c r="H11894"/>
      <c r="I11894" s="489"/>
      <c r="J11894" s="1362"/>
      <c r="K11894" s="1362"/>
      <c r="L11894" s="1362"/>
    </row>
    <row r="11895" spans="1:12" x14ac:dyDescent="0.25">
      <c r="A11895">
        <v>101494</v>
      </c>
      <c r="B11895" t="s">
        <v>18607</v>
      </c>
      <c r="C11895" t="s">
        <v>138</v>
      </c>
      <c r="D11895" s="254">
        <v>1619.91</v>
      </c>
      <c r="E11895"/>
      <c r="F11895"/>
      <c r="G11895"/>
      <c r="H11895"/>
      <c r="I11895" s="489"/>
      <c r="J11895" s="1362"/>
      <c r="K11895" s="1362"/>
      <c r="L11895" s="1362"/>
    </row>
    <row r="11896" spans="1:12" x14ac:dyDescent="0.25">
      <c r="A11896">
        <v>101495</v>
      </c>
      <c r="B11896" t="s">
        <v>18608</v>
      </c>
      <c r="C11896" t="s">
        <v>138</v>
      </c>
      <c r="D11896" s="254">
        <v>1643.45</v>
      </c>
      <c r="E11896"/>
      <c r="F11896"/>
      <c r="G11896"/>
      <c r="H11896"/>
      <c r="I11896" s="489"/>
      <c r="J11896" s="1362"/>
      <c r="K11896" s="1362"/>
      <c r="L11896" s="1362"/>
    </row>
    <row r="11897" spans="1:12" x14ac:dyDescent="0.25">
      <c r="A11897">
        <v>101496</v>
      </c>
      <c r="B11897" t="s">
        <v>18609</v>
      </c>
      <c r="C11897" t="s">
        <v>138</v>
      </c>
      <c r="D11897" s="254">
        <v>1788.16</v>
      </c>
      <c r="E11897"/>
      <c r="F11897"/>
      <c r="G11897"/>
      <c r="H11897"/>
      <c r="I11897" s="489"/>
      <c r="J11897" s="1362"/>
      <c r="K11897" s="1362"/>
      <c r="L11897" s="1362"/>
    </row>
    <row r="11898" spans="1:12" x14ac:dyDescent="0.25">
      <c r="A11898">
        <v>101497</v>
      </c>
      <c r="B11898" t="s">
        <v>18610</v>
      </c>
      <c r="C11898" t="s">
        <v>138</v>
      </c>
      <c r="D11898" s="254">
        <v>1825.87</v>
      </c>
      <c r="E11898"/>
      <c r="F11898"/>
      <c r="G11898"/>
      <c r="H11898"/>
      <c r="I11898" s="489"/>
      <c r="J11898" s="1362"/>
      <c r="K11898" s="1362"/>
      <c r="L11898" s="1362"/>
    </row>
    <row r="11899" spans="1:12" x14ac:dyDescent="0.25">
      <c r="A11899">
        <v>101498</v>
      </c>
      <c r="B11899" t="s">
        <v>18611</v>
      </c>
      <c r="C11899" t="s">
        <v>138</v>
      </c>
      <c r="D11899" s="254">
        <v>1973.06</v>
      </c>
      <c r="E11899"/>
      <c r="F11899"/>
      <c r="G11899"/>
      <c r="H11899"/>
      <c r="I11899" s="489"/>
      <c r="J11899" s="1362"/>
      <c r="K11899" s="1362"/>
      <c r="L11899" s="1362"/>
    </row>
    <row r="11900" spans="1:12" x14ac:dyDescent="0.25">
      <c r="A11900">
        <v>101499</v>
      </c>
      <c r="B11900" t="s">
        <v>18612</v>
      </c>
      <c r="C11900" t="s">
        <v>138</v>
      </c>
      <c r="D11900" s="254">
        <v>2008.69</v>
      </c>
      <c r="E11900"/>
      <c r="F11900"/>
      <c r="G11900"/>
      <c r="H11900"/>
      <c r="I11900" s="489"/>
      <c r="J11900" s="1362"/>
      <c r="K11900" s="1362"/>
      <c r="L11900" s="1362"/>
    </row>
    <row r="11901" spans="1:12" x14ac:dyDescent="0.25">
      <c r="A11901">
        <v>101500</v>
      </c>
      <c r="B11901" t="s">
        <v>18613</v>
      </c>
      <c r="C11901" t="s">
        <v>138</v>
      </c>
      <c r="D11901" s="254">
        <v>2209.9</v>
      </c>
      <c r="E11901"/>
      <c r="F11901"/>
      <c r="G11901"/>
      <c r="H11901"/>
      <c r="I11901" s="489"/>
      <c r="J11901" s="1362"/>
      <c r="K11901" s="1362"/>
      <c r="L11901" s="1362"/>
    </row>
    <row r="11902" spans="1:12" x14ac:dyDescent="0.25">
      <c r="A11902">
        <v>101501</v>
      </c>
      <c r="B11902" t="s">
        <v>18614</v>
      </c>
      <c r="C11902" t="s">
        <v>138</v>
      </c>
      <c r="D11902" s="254">
        <v>1813.24</v>
      </c>
      <c r="E11902"/>
      <c r="F11902"/>
      <c r="G11902"/>
      <c r="H11902"/>
      <c r="I11902" s="489"/>
      <c r="J11902" s="1362"/>
      <c r="K11902" s="1362"/>
      <c r="L11902" s="1362"/>
    </row>
    <row r="11903" spans="1:12" x14ac:dyDescent="0.25">
      <c r="A11903">
        <v>101502</v>
      </c>
      <c r="B11903" t="s">
        <v>18615</v>
      </c>
      <c r="C11903" t="s">
        <v>138</v>
      </c>
      <c r="D11903" s="254">
        <v>1960.43</v>
      </c>
      <c r="E11903"/>
      <c r="F11903"/>
      <c r="G11903"/>
      <c r="H11903"/>
      <c r="I11903" s="489"/>
      <c r="J11903" s="1362"/>
      <c r="K11903" s="1362"/>
      <c r="L11903" s="1362"/>
    </row>
    <row r="11904" spans="1:12" x14ac:dyDescent="0.25">
      <c r="A11904">
        <v>101503</v>
      </c>
      <c r="B11904" t="s">
        <v>18616</v>
      </c>
      <c r="C11904" t="s">
        <v>138</v>
      </c>
      <c r="D11904" s="254">
        <v>1996.06</v>
      </c>
      <c r="E11904"/>
      <c r="F11904"/>
      <c r="G11904"/>
      <c r="H11904"/>
      <c r="I11904" s="489"/>
      <c r="J11904" s="1362"/>
      <c r="K11904" s="1362"/>
      <c r="L11904" s="1362"/>
    </row>
    <row r="11905" spans="1:12" x14ac:dyDescent="0.25">
      <c r="A11905">
        <v>101504</v>
      </c>
      <c r="B11905" t="s">
        <v>18617</v>
      </c>
      <c r="C11905" t="s">
        <v>138</v>
      </c>
      <c r="D11905" s="254">
        <v>2197.27</v>
      </c>
      <c r="E11905"/>
      <c r="F11905"/>
      <c r="G11905"/>
      <c r="H11905"/>
      <c r="I11905" s="489"/>
      <c r="J11905" s="1362"/>
      <c r="K11905" s="1362"/>
      <c r="L11905" s="1362"/>
    </row>
    <row r="11906" spans="1:12" x14ac:dyDescent="0.25">
      <c r="A11906">
        <v>101505</v>
      </c>
      <c r="B11906" t="s">
        <v>18618</v>
      </c>
      <c r="C11906" t="s">
        <v>138</v>
      </c>
      <c r="D11906" s="254">
        <v>1939.01</v>
      </c>
      <c r="E11906"/>
      <c r="F11906"/>
      <c r="G11906"/>
      <c r="H11906"/>
      <c r="I11906" s="489"/>
      <c r="J11906" s="1362"/>
      <c r="K11906" s="1362"/>
      <c r="L11906" s="1362"/>
    </row>
    <row r="11907" spans="1:12" x14ac:dyDescent="0.25">
      <c r="A11907">
        <v>101506</v>
      </c>
      <c r="B11907" t="s">
        <v>18619</v>
      </c>
      <c r="C11907" t="s">
        <v>138</v>
      </c>
      <c r="D11907" s="254">
        <v>2135.2600000000002</v>
      </c>
      <c r="E11907"/>
      <c r="F11907"/>
      <c r="G11907"/>
      <c r="H11907"/>
      <c r="I11907" s="489"/>
      <c r="J11907" s="1362"/>
      <c r="K11907" s="1362"/>
      <c r="L11907" s="1362"/>
    </row>
    <row r="11908" spans="1:12" x14ac:dyDescent="0.25">
      <c r="A11908">
        <v>101507</v>
      </c>
      <c r="B11908" t="s">
        <v>18620</v>
      </c>
      <c r="C11908" t="s">
        <v>138</v>
      </c>
      <c r="D11908" s="254">
        <v>2182.7600000000002</v>
      </c>
      <c r="E11908"/>
      <c r="F11908"/>
      <c r="G11908"/>
      <c r="H11908"/>
      <c r="I11908" s="489"/>
      <c r="J11908" s="1362"/>
      <c r="K11908" s="1362"/>
      <c r="L11908" s="1362"/>
    </row>
    <row r="11909" spans="1:12" x14ac:dyDescent="0.25">
      <c r="A11909">
        <v>101508</v>
      </c>
      <c r="B11909" t="s">
        <v>18621</v>
      </c>
      <c r="C11909" t="s">
        <v>138</v>
      </c>
      <c r="D11909" s="254">
        <v>2439.4699999999998</v>
      </c>
      <c r="E11909"/>
      <c r="F11909"/>
      <c r="G11909"/>
      <c r="H11909"/>
      <c r="I11909" s="489"/>
      <c r="J11909" s="1362"/>
      <c r="K11909" s="1362"/>
      <c r="L11909" s="1362"/>
    </row>
    <row r="11910" spans="1:12" x14ac:dyDescent="0.25">
      <c r="A11910">
        <v>101509</v>
      </c>
      <c r="B11910" t="s">
        <v>4773</v>
      </c>
      <c r="C11910" t="s">
        <v>138</v>
      </c>
      <c r="D11910" s="254">
        <v>1985.35</v>
      </c>
      <c r="E11910"/>
      <c r="F11910"/>
      <c r="G11910"/>
      <c r="H11910"/>
      <c r="I11910" s="489"/>
      <c r="J11910" s="1362"/>
      <c r="K11910" s="1362"/>
      <c r="L11910" s="1362"/>
    </row>
    <row r="11911" spans="1:12" x14ac:dyDescent="0.25">
      <c r="A11911">
        <v>101510</v>
      </c>
      <c r="B11911" t="s">
        <v>4774</v>
      </c>
      <c r="C11911" t="s">
        <v>138</v>
      </c>
      <c r="D11911" s="254">
        <v>2181.6</v>
      </c>
      <c r="E11911"/>
      <c r="F11911"/>
      <c r="G11911"/>
      <c r="H11911"/>
      <c r="I11911" s="489"/>
      <c r="J11911" s="1362"/>
      <c r="K11911" s="1362"/>
      <c r="L11911" s="1362"/>
    </row>
    <row r="11912" spans="1:12" x14ac:dyDescent="0.25">
      <c r="A11912">
        <v>101511</v>
      </c>
      <c r="B11912" t="s">
        <v>4775</v>
      </c>
      <c r="C11912" t="s">
        <v>138</v>
      </c>
      <c r="D11912" s="254">
        <v>2229.1</v>
      </c>
      <c r="E11912"/>
      <c r="F11912"/>
      <c r="G11912"/>
      <c r="H11912"/>
      <c r="I11912" s="489"/>
      <c r="J11912" s="1362"/>
      <c r="K11912" s="1362"/>
      <c r="L11912" s="1362"/>
    </row>
    <row r="11913" spans="1:12" x14ac:dyDescent="0.25">
      <c r="A11913">
        <v>101512</v>
      </c>
      <c r="B11913" t="s">
        <v>4776</v>
      </c>
      <c r="C11913" t="s">
        <v>138</v>
      </c>
      <c r="D11913" s="254">
        <v>2485.81</v>
      </c>
      <c r="E11913"/>
      <c r="F11913"/>
      <c r="G11913"/>
      <c r="H11913"/>
      <c r="I11913" s="489"/>
      <c r="J11913" s="1362"/>
      <c r="K11913" s="1362"/>
      <c r="L11913" s="1362"/>
    </row>
    <row r="11914" spans="1:12" x14ac:dyDescent="0.25">
      <c r="A11914">
        <v>101513</v>
      </c>
      <c r="B11914" t="s">
        <v>18622</v>
      </c>
      <c r="C11914" t="s">
        <v>138</v>
      </c>
      <c r="D11914" s="254">
        <v>835.51</v>
      </c>
      <c r="E11914"/>
      <c r="F11914"/>
      <c r="G11914"/>
      <c r="H11914"/>
      <c r="I11914" s="489"/>
      <c r="J11914" s="1362"/>
      <c r="K11914" s="1362"/>
      <c r="L11914" s="1362"/>
    </row>
    <row r="11915" spans="1:12" x14ac:dyDescent="0.25">
      <c r="A11915">
        <v>101514</v>
      </c>
      <c r="B11915" t="s">
        <v>18623</v>
      </c>
      <c r="C11915" t="s">
        <v>138</v>
      </c>
      <c r="D11915" s="254">
        <v>952.2</v>
      </c>
      <c r="E11915"/>
      <c r="F11915"/>
      <c r="G11915"/>
      <c r="H11915"/>
      <c r="I11915" s="489"/>
      <c r="J11915" s="1362"/>
      <c r="K11915" s="1362"/>
      <c r="L11915" s="1362"/>
    </row>
    <row r="11916" spans="1:12" x14ac:dyDescent="0.25">
      <c r="A11916">
        <v>101515</v>
      </c>
      <c r="B11916" t="s">
        <v>18624</v>
      </c>
      <c r="C11916" t="s">
        <v>138</v>
      </c>
      <c r="D11916" s="254">
        <v>980.44</v>
      </c>
      <c r="E11916"/>
      <c r="F11916"/>
      <c r="G11916"/>
      <c r="H11916"/>
      <c r="I11916" s="489"/>
      <c r="J11916" s="1362"/>
      <c r="K11916" s="1362"/>
      <c r="L11916" s="1362"/>
    </row>
    <row r="11917" spans="1:12" x14ac:dyDescent="0.25">
      <c r="A11917">
        <v>101516</v>
      </c>
      <c r="B11917" t="s">
        <v>18625</v>
      </c>
      <c r="C11917" t="s">
        <v>138</v>
      </c>
      <c r="D11917" s="254">
        <v>1112.44</v>
      </c>
      <c r="E11917"/>
      <c r="F11917"/>
      <c r="G11917"/>
      <c r="H11917"/>
      <c r="I11917" s="489"/>
      <c r="J11917" s="1362"/>
      <c r="K11917" s="1362"/>
      <c r="L11917" s="1362"/>
    </row>
    <row r="11918" spans="1:12" x14ac:dyDescent="0.25">
      <c r="A11918">
        <v>101517</v>
      </c>
      <c r="B11918" t="s">
        <v>18626</v>
      </c>
      <c r="C11918" t="s">
        <v>138</v>
      </c>
      <c r="D11918" s="254">
        <v>814.35</v>
      </c>
      <c r="E11918"/>
      <c r="F11918"/>
      <c r="G11918"/>
      <c r="H11918"/>
      <c r="I11918" s="489"/>
      <c r="J11918" s="1362"/>
      <c r="K11918" s="1362"/>
      <c r="L11918" s="1362"/>
    </row>
    <row r="11919" spans="1:12" x14ac:dyDescent="0.25">
      <c r="A11919">
        <v>101518</v>
      </c>
      <c r="B11919" t="s">
        <v>18627</v>
      </c>
      <c r="C11919" t="s">
        <v>138</v>
      </c>
      <c r="D11919" s="254">
        <v>931.04</v>
      </c>
      <c r="E11919"/>
      <c r="F11919"/>
      <c r="G11919"/>
      <c r="H11919"/>
      <c r="I11919" s="489"/>
      <c r="J11919" s="1362"/>
      <c r="K11919" s="1362"/>
      <c r="L11919" s="1362"/>
    </row>
    <row r="11920" spans="1:12" x14ac:dyDescent="0.25">
      <c r="A11920">
        <v>101519</v>
      </c>
      <c r="B11920" t="s">
        <v>18628</v>
      </c>
      <c r="C11920" t="s">
        <v>138</v>
      </c>
      <c r="D11920" s="254">
        <v>959.28</v>
      </c>
      <c r="E11920"/>
      <c r="F11920"/>
      <c r="G11920"/>
      <c r="H11920"/>
      <c r="I11920" s="489"/>
      <c r="J11920" s="1362"/>
      <c r="K11920" s="1362"/>
      <c r="L11920" s="1362"/>
    </row>
    <row r="11921" spans="1:12" x14ac:dyDescent="0.25">
      <c r="A11921">
        <v>101520</v>
      </c>
      <c r="B11921" t="s">
        <v>18629</v>
      </c>
      <c r="C11921" t="s">
        <v>138</v>
      </c>
      <c r="D11921" s="254">
        <v>1091.28</v>
      </c>
      <c r="E11921"/>
      <c r="F11921"/>
      <c r="G11921"/>
      <c r="H11921"/>
      <c r="I11921" s="489"/>
      <c r="J11921" s="1362"/>
      <c r="K11921" s="1362"/>
      <c r="L11921" s="1362"/>
    </row>
    <row r="11922" spans="1:12" x14ac:dyDescent="0.25">
      <c r="A11922">
        <v>101521</v>
      </c>
      <c r="B11922" t="s">
        <v>18630</v>
      </c>
      <c r="C11922" t="s">
        <v>138</v>
      </c>
      <c r="D11922" s="254">
        <v>1132.52</v>
      </c>
      <c r="E11922"/>
      <c r="F11922"/>
      <c r="G11922"/>
      <c r="H11922"/>
      <c r="I11922" s="489"/>
      <c r="J11922" s="1362"/>
      <c r="K11922" s="1362"/>
      <c r="L11922" s="1362"/>
    </row>
    <row r="11923" spans="1:12" x14ac:dyDescent="0.25">
      <c r="A11923">
        <v>101522</v>
      </c>
      <c r="B11923" t="s">
        <v>18631</v>
      </c>
      <c r="C11923" t="s">
        <v>138</v>
      </c>
      <c r="D11923" s="254">
        <v>1307.56</v>
      </c>
      <c r="E11923"/>
      <c r="F11923"/>
      <c r="G11923"/>
      <c r="H11923"/>
      <c r="I11923" s="489"/>
      <c r="J11923" s="1362"/>
      <c r="K11923" s="1362"/>
      <c r="L11923" s="1362"/>
    </row>
    <row r="11924" spans="1:12" x14ac:dyDescent="0.25">
      <c r="A11924">
        <v>101523</v>
      </c>
      <c r="B11924" t="s">
        <v>18632</v>
      </c>
      <c r="C11924" t="s">
        <v>138</v>
      </c>
      <c r="D11924" s="254">
        <v>1349.93</v>
      </c>
      <c r="E11924"/>
      <c r="F11924"/>
      <c r="G11924"/>
      <c r="H11924"/>
      <c r="I11924" s="489"/>
      <c r="J11924" s="1362"/>
      <c r="K11924" s="1362"/>
      <c r="L11924" s="1362"/>
    </row>
    <row r="11925" spans="1:12" x14ac:dyDescent="0.25">
      <c r="A11925">
        <v>101524</v>
      </c>
      <c r="B11925" t="s">
        <v>18633</v>
      </c>
      <c r="C11925" t="s">
        <v>138</v>
      </c>
      <c r="D11925" s="254">
        <v>1547.93</v>
      </c>
      <c r="E11925"/>
      <c r="F11925"/>
      <c r="G11925"/>
      <c r="H11925"/>
      <c r="I11925" s="489"/>
      <c r="J11925" s="1362"/>
      <c r="K11925" s="1362"/>
      <c r="L11925" s="1362"/>
    </row>
    <row r="11926" spans="1:12" x14ac:dyDescent="0.25">
      <c r="A11926">
        <v>101525</v>
      </c>
      <c r="B11926" t="s">
        <v>18634</v>
      </c>
      <c r="C11926" t="s">
        <v>138</v>
      </c>
      <c r="D11926" s="254">
        <v>1119.8800000000001</v>
      </c>
      <c r="E11926"/>
      <c r="F11926"/>
      <c r="G11926"/>
      <c r="H11926"/>
      <c r="I11926" s="489"/>
      <c r="J11926" s="1362"/>
      <c r="K11926" s="1362"/>
      <c r="L11926" s="1362"/>
    </row>
    <row r="11927" spans="1:12" x14ac:dyDescent="0.25">
      <c r="A11927">
        <v>101526</v>
      </c>
      <c r="B11927" t="s">
        <v>18635</v>
      </c>
      <c r="C11927" t="s">
        <v>138</v>
      </c>
      <c r="D11927" s="254">
        <v>1294.92</v>
      </c>
      <c r="E11927"/>
      <c r="F11927"/>
      <c r="G11927"/>
      <c r="H11927"/>
      <c r="I11927" s="489"/>
      <c r="J11927" s="1362"/>
      <c r="K11927" s="1362"/>
      <c r="L11927" s="1362"/>
    </row>
    <row r="11928" spans="1:12" x14ac:dyDescent="0.25">
      <c r="A11928">
        <v>101527</v>
      </c>
      <c r="B11928" t="s">
        <v>18636</v>
      </c>
      <c r="C11928" t="s">
        <v>138</v>
      </c>
      <c r="D11928" s="254">
        <v>1337.29</v>
      </c>
      <c r="E11928"/>
      <c r="F11928"/>
      <c r="G11928"/>
      <c r="H11928"/>
      <c r="I11928" s="489"/>
      <c r="J11928" s="1362"/>
      <c r="K11928" s="1362"/>
      <c r="L11928" s="1362"/>
    </row>
    <row r="11929" spans="1:12" x14ac:dyDescent="0.25">
      <c r="A11929">
        <v>101528</v>
      </c>
      <c r="B11929" t="s">
        <v>18637</v>
      </c>
      <c r="C11929" t="s">
        <v>138</v>
      </c>
      <c r="D11929" s="254">
        <v>1535.29</v>
      </c>
      <c r="E11929"/>
      <c r="F11929"/>
      <c r="G11929"/>
      <c r="H11929"/>
      <c r="I11929" s="489"/>
      <c r="J11929" s="1362"/>
      <c r="K11929" s="1362"/>
      <c r="L11929" s="1362"/>
    </row>
    <row r="11930" spans="1:12" x14ac:dyDescent="0.25">
      <c r="A11930">
        <v>101529</v>
      </c>
      <c r="B11930" t="s">
        <v>18638</v>
      </c>
      <c r="C11930" t="s">
        <v>138</v>
      </c>
      <c r="D11930" s="254">
        <v>1262.21</v>
      </c>
      <c r="E11930"/>
      <c r="F11930"/>
      <c r="G11930"/>
      <c r="H11930"/>
      <c r="I11930" s="489"/>
      <c r="J11930" s="1362"/>
      <c r="K11930" s="1362"/>
      <c r="L11930" s="1362"/>
    </row>
    <row r="11931" spans="1:12" x14ac:dyDescent="0.25">
      <c r="A11931">
        <v>101530</v>
      </c>
      <c r="B11931" t="s">
        <v>18639</v>
      </c>
      <c r="C11931" t="s">
        <v>138</v>
      </c>
      <c r="D11931" s="254">
        <v>1495.59</v>
      </c>
      <c r="E11931"/>
      <c r="F11931"/>
      <c r="G11931"/>
      <c r="H11931"/>
      <c r="I11931" s="489"/>
      <c r="J11931" s="1362"/>
      <c r="K11931" s="1362"/>
      <c r="L11931" s="1362"/>
    </row>
    <row r="11932" spans="1:12" x14ac:dyDescent="0.25">
      <c r="A11932">
        <v>101531</v>
      </c>
      <c r="B11932" t="s">
        <v>18640</v>
      </c>
      <c r="C11932" t="s">
        <v>138</v>
      </c>
      <c r="D11932" s="254">
        <v>1552.08</v>
      </c>
      <c r="E11932"/>
      <c r="F11932"/>
      <c r="G11932"/>
      <c r="H11932"/>
      <c r="I11932" s="489"/>
      <c r="J11932" s="1362"/>
      <c r="K11932" s="1362"/>
      <c r="L11932" s="1362"/>
    </row>
    <row r="11933" spans="1:12" x14ac:dyDescent="0.25">
      <c r="A11933">
        <v>101532</v>
      </c>
      <c r="B11933" t="s">
        <v>18641</v>
      </c>
      <c r="C11933" t="s">
        <v>138</v>
      </c>
      <c r="D11933" s="254">
        <v>1816.08</v>
      </c>
      <c r="E11933"/>
      <c r="F11933"/>
      <c r="G11933"/>
      <c r="H11933"/>
      <c r="I11933" s="489"/>
      <c r="J11933" s="1362"/>
      <c r="K11933" s="1362"/>
      <c r="L11933" s="1362"/>
    </row>
    <row r="11934" spans="1:12" x14ac:dyDescent="0.25">
      <c r="A11934">
        <v>101533</v>
      </c>
      <c r="B11934" t="s">
        <v>4777</v>
      </c>
      <c r="C11934" t="s">
        <v>138</v>
      </c>
      <c r="D11934" s="254">
        <v>1308.54</v>
      </c>
      <c r="E11934"/>
      <c r="F11934"/>
      <c r="G11934"/>
      <c r="H11934"/>
      <c r="I11934" s="489"/>
      <c r="J11934" s="1362"/>
      <c r="K11934" s="1362"/>
      <c r="L11934" s="1362"/>
    </row>
    <row r="11935" spans="1:12" x14ac:dyDescent="0.25">
      <c r="A11935">
        <v>101534</v>
      </c>
      <c r="B11935" t="s">
        <v>4778</v>
      </c>
      <c r="C11935" t="s">
        <v>138</v>
      </c>
      <c r="D11935" s="254">
        <v>1541.92</v>
      </c>
      <c r="E11935"/>
      <c r="F11935"/>
      <c r="G11935"/>
      <c r="H11935"/>
      <c r="I11935" s="489"/>
      <c r="J11935" s="1362"/>
      <c r="K11935" s="1362"/>
      <c r="L11935" s="1362"/>
    </row>
    <row r="11936" spans="1:12" x14ac:dyDescent="0.25">
      <c r="A11936">
        <v>101535</v>
      </c>
      <c r="B11936" t="s">
        <v>4779</v>
      </c>
      <c r="C11936" t="s">
        <v>138</v>
      </c>
      <c r="D11936" s="254">
        <v>1598.41</v>
      </c>
      <c r="E11936"/>
      <c r="F11936"/>
      <c r="G11936"/>
      <c r="H11936"/>
      <c r="I11936" s="489"/>
      <c r="J11936" s="1362"/>
      <c r="K11936" s="1362"/>
      <c r="L11936" s="1362"/>
    </row>
    <row r="11937" spans="1:12" x14ac:dyDescent="0.25">
      <c r="A11937">
        <v>101536</v>
      </c>
      <c r="B11937" t="s">
        <v>4780</v>
      </c>
      <c r="C11937" t="s">
        <v>138</v>
      </c>
      <c r="D11937" s="254">
        <v>1862.41</v>
      </c>
      <c r="E11937"/>
      <c r="F11937"/>
      <c r="G11937"/>
      <c r="H11937"/>
      <c r="I11937" s="489"/>
      <c r="J11937" s="1362"/>
      <c r="K11937" s="1362"/>
      <c r="L11937" s="1362"/>
    </row>
    <row r="11938" spans="1:12" x14ac:dyDescent="0.25">
      <c r="A11938">
        <v>101537</v>
      </c>
      <c r="B11938" t="s">
        <v>4781</v>
      </c>
      <c r="C11938" t="s">
        <v>138</v>
      </c>
      <c r="D11938" s="254">
        <v>143.33000000000001</v>
      </c>
      <c r="E11938"/>
      <c r="F11938"/>
      <c r="G11938"/>
      <c r="H11938"/>
      <c r="I11938" s="489"/>
      <c r="J11938" s="1362"/>
      <c r="K11938" s="1362"/>
      <c r="L11938" s="1362"/>
    </row>
    <row r="11939" spans="1:12" x14ac:dyDescent="0.25">
      <c r="A11939">
        <v>101538</v>
      </c>
      <c r="B11939" t="s">
        <v>4782</v>
      </c>
      <c r="C11939" t="s">
        <v>138</v>
      </c>
      <c r="D11939" s="254">
        <v>74.27</v>
      </c>
      <c r="E11939"/>
      <c r="F11939"/>
      <c r="G11939"/>
      <c r="H11939"/>
      <c r="I11939" s="489"/>
      <c r="J11939" s="1362"/>
      <c r="K11939" s="1362"/>
      <c r="L11939" s="1362"/>
    </row>
    <row r="11940" spans="1:12" x14ac:dyDescent="0.25">
      <c r="A11940">
        <v>101539</v>
      </c>
      <c r="B11940" t="s">
        <v>4783</v>
      </c>
      <c r="C11940" t="s">
        <v>138</v>
      </c>
      <c r="D11940" s="254">
        <v>120.02</v>
      </c>
      <c r="E11940"/>
      <c r="F11940"/>
      <c r="G11940"/>
      <c r="H11940"/>
      <c r="I11940" s="489"/>
      <c r="J11940" s="1362"/>
      <c r="K11940" s="1362"/>
      <c r="L11940" s="1362"/>
    </row>
    <row r="11941" spans="1:12" x14ac:dyDescent="0.25">
      <c r="A11941">
        <v>101540</v>
      </c>
      <c r="B11941" t="s">
        <v>4784</v>
      </c>
      <c r="C11941" t="s">
        <v>138</v>
      </c>
      <c r="D11941" s="254">
        <v>205.39</v>
      </c>
      <c r="E11941"/>
      <c r="F11941"/>
      <c r="G11941"/>
      <c r="H11941"/>
      <c r="I11941" s="489"/>
      <c r="J11941" s="1362"/>
      <c r="K11941" s="1362"/>
      <c r="L11941" s="1362"/>
    </row>
    <row r="11942" spans="1:12" x14ac:dyDescent="0.25">
      <c r="A11942">
        <v>101541</v>
      </c>
      <c r="B11942" t="s">
        <v>4785</v>
      </c>
      <c r="C11942" t="s">
        <v>138</v>
      </c>
      <c r="D11942" s="254">
        <v>267.17</v>
      </c>
      <c r="E11942"/>
      <c r="F11942"/>
      <c r="G11942"/>
      <c r="H11942"/>
      <c r="I11942" s="489"/>
      <c r="J11942" s="1362"/>
      <c r="K11942" s="1362"/>
      <c r="L11942" s="1362"/>
    </row>
    <row r="11943" spans="1:12" x14ac:dyDescent="0.25">
      <c r="A11943">
        <v>101542</v>
      </c>
      <c r="B11943" t="s">
        <v>4786</v>
      </c>
      <c r="C11943" t="s">
        <v>138</v>
      </c>
      <c r="D11943" s="254">
        <v>55.14</v>
      </c>
      <c r="E11943"/>
      <c r="F11943"/>
      <c r="G11943"/>
      <c r="H11943"/>
      <c r="I11943" s="489"/>
      <c r="J11943" s="1362"/>
      <c r="K11943" s="1362"/>
      <c r="L11943" s="1362"/>
    </row>
    <row r="11944" spans="1:12" x14ac:dyDescent="0.25">
      <c r="A11944">
        <v>101543</v>
      </c>
      <c r="B11944" t="s">
        <v>4787</v>
      </c>
      <c r="C11944" t="s">
        <v>138</v>
      </c>
      <c r="D11944" s="254">
        <v>96.47</v>
      </c>
      <c r="E11944"/>
      <c r="F11944"/>
      <c r="G11944"/>
      <c r="H11944"/>
      <c r="I11944" s="489"/>
      <c r="J11944" s="1362"/>
      <c r="K11944" s="1362"/>
      <c r="L11944" s="1362"/>
    </row>
    <row r="11945" spans="1:12" x14ac:dyDescent="0.25">
      <c r="A11945">
        <v>101544</v>
      </c>
      <c r="B11945" t="s">
        <v>4788</v>
      </c>
      <c r="C11945" t="s">
        <v>138</v>
      </c>
      <c r="D11945" s="254">
        <v>155.71</v>
      </c>
      <c r="E11945"/>
      <c r="F11945"/>
      <c r="G11945"/>
      <c r="H11945"/>
      <c r="I11945" s="489"/>
      <c r="J11945" s="1362"/>
      <c r="K11945" s="1362"/>
      <c r="L11945" s="1362"/>
    </row>
    <row r="11946" spans="1:12" x14ac:dyDescent="0.25">
      <c r="A11946">
        <v>101545</v>
      </c>
      <c r="B11946" t="s">
        <v>4789</v>
      </c>
      <c r="C11946" t="s">
        <v>138</v>
      </c>
      <c r="D11946" s="254">
        <v>228.38</v>
      </c>
      <c r="E11946"/>
      <c r="F11946"/>
      <c r="G11946"/>
      <c r="H11946"/>
      <c r="I11946" s="489"/>
      <c r="J11946" s="1362"/>
      <c r="K11946" s="1362"/>
      <c r="L11946" s="1362"/>
    </row>
    <row r="11947" spans="1:12" x14ac:dyDescent="0.25">
      <c r="A11947">
        <v>101546</v>
      </c>
      <c r="B11947" t="s">
        <v>4790</v>
      </c>
      <c r="C11947" t="s">
        <v>138</v>
      </c>
      <c r="D11947" s="254">
        <v>31.91</v>
      </c>
      <c r="E11947"/>
      <c r="F11947"/>
      <c r="G11947"/>
      <c r="H11947"/>
      <c r="I11947" s="489"/>
      <c r="J11947" s="1362"/>
      <c r="K11947" s="1362"/>
      <c r="L11947" s="1362"/>
    </row>
    <row r="11948" spans="1:12" x14ac:dyDescent="0.25">
      <c r="A11948">
        <v>101547</v>
      </c>
      <c r="B11948" t="s">
        <v>4791</v>
      </c>
      <c r="C11948" t="s">
        <v>138</v>
      </c>
      <c r="D11948" s="254">
        <v>98.76</v>
      </c>
      <c r="E11948"/>
      <c r="F11948"/>
      <c r="G11948"/>
      <c r="H11948"/>
      <c r="I11948" s="489"/>
      <c r="J11948" s="1362"/>
      <c r="K11948" s="1362"/>
      <c r="L11948" s="1362"/>
    </row>
    <row r="11949" spans="1:12" x14ac:dyDescent="0.25">
      <c r="A11949">
        <v>101548</v>
      </c>
      <c r="B11949" t="s">
        <v>4792</v>
      </c>
      <c r="C11949" t="s">
        <v>138</v>
      </c>
      <c r="D11949" s="254">
        <v>8.33</v>
      </c>
      <c r="E11949"/>
      <c r="F11949"/>
      <c r="G11949"/>
      <c r="H11949"/>
      <c r="I11949" s="489"/>
      <c r="J11949" s="1362"/>
      <c r="K11949" s="1362"/>
      <c r="L11949" s="1362"/>
    </row>
    <row r="11950" spans="1:12" x14ac:dyDescent="0.25">
      <c r="A11950">
        <v>101549</v>
      </c>
      <c r="B11950" t="s">
        <v>4793</v>
      </c>
      <c r="C11950" t="s">
        <v>138</v>
      </c>
      <c r="D11950" s="254">
        <v>20.63</v>
      </c>
      <c r="E11950"/>
      <c r="F11950"/>
      <c r="G11950"/>
      <c r="H11950"/>
      <c r="I11950" s="489"/>
      <c r="J11950" s="1362"/>
      <c r="K11950" s="1362"/>
      <c r="L11950" s="1362"/>
    </row>
    <row r="11951" spans="1:12" x14ac:dyDescent="0.25">
      <c r="A11951">
        <v>101553</v>
      </c>
      <c r="B11951" t="s">
        <v>4794</v>
      </c>
      <c r="C11951" t="s">
        <v>138</v>
      </c>
      <c r="D11951" s="254">
        <v>26.56</v>
      </c>
      <c r="E11951"/>
      <c r="F11951"/>
      <c r="G11951"/>
      <c r="H11951"/>
      <c r="I11951" s="489"/>
      <c r="J11951" s="1362"/>
      <c r="K11951" s="1362"/>
      <c r="L11951" s="1362"/>
    </row>
    <row r="11952" spans="1:12" x14ac:dyDescent="0.25">
      <c r="A11952">
        <v>101554</v>
      </c>
      <c r="B11952" t="s">
        <v>4795</v>
      </c>
      <c r="C11952" t="s">
        <v>138</v>
      </c>
      <c r="D11952" s="254">
        <v>18.47</v>
      </c>
      <c r="E11952"/>
      <c r="F11952"/>
      <c r="G11952"/>
      <c r="H11952"/>
      <c r="I11952" s="489"/>
      <c r="J11952" s="1362"/>
      <c r="K11952" s="1362"/>
      <c r="L11952" s="1362"/>
    </row>
    <row r="11953" spans="1:12" x14ac:dyDescent="0.25">
      <c r="A11953">
        <v>101555</v>
      </c>
      <c r="B11953" t="s">
        <v>4796</v>
      </c>
      <c r="C11953" t="s">
        <v>138</v>
      </c>
      <c r="D11953" s="254">
        <v>11.09</v>
      </c>
      <c r="E11953"/>
      <c r="F11953"/>
      <c r="G11953"/>
      <c r="H11953"/>
      <c r="I11953" s="489"/>
      <c r="J11953" s="1362"/>
      <c r="K11953" s="1362"/>
      <c r="L11953" s="1362"/>
    </row>
    <row r="11954" spans="1:12" x14ac:dyDescent="0.25">
      <c r="A11954">
        <v>101556</v>
      </c>
      <c r="B11954" t="s">
        <v>4797</v>
      </c>
      <c r="C11954" t="s">
        <v>138</v>
      </c>
      <c r="D11954" s="254">
        <v>9.92</v>
      </c>
      <c r="E11954"/>
      <c r="F11954"/>
      <c r="G11954"/>
      <c r="H11954"/>
      <c r="I11954" s="489"/>
      <c r="J11954" s="1362"/>
      <c r="K11954" s="1362"/>
      <c r="L11954" s="1362"/>
    </row>
    <row r="11955" spans="1:12" x14ac:dyDescent="0.25">
      <c r="A11955">
        <v>101560</v>
      </c>
      <c r="B11955" t="s">
        <v>4798</v>
      </c>
      <c r="C11955" t="s">
        <v>151</v>
      </c>
      <c r="D11955" s="254">
        <v>9.57</v>
      </c>
      <c r="E11955"/>
      <c r="F11955"/>
      <c r="G11955"/>
      <c r="H11955"/>
      <c r="I11955" s="489"/>
      <c r="J11955" s="1362"/>
      <c r="K11955" s="1362"/>
      <c r="L11955" s="1362"/>
    </row>
    <row r="11956" spans="1:12" x14ac:dyDescent="0.25">
      <c r="A11956">
        <v>101561</v>
      </c>
      <c r="B11956" t="s">
        <v>4799</v>
      </c>
      <c r="C11956" t="s">
        <v>151</v>
      </c>
      <c r="D11956" s="254">
        <v>15.19</v>
      </c>
      <c r="E11956"/>
      <c r="F11956"/>
      <c r="G11956"/>
      <c r="H11956"/>
      <c r="I11956" s="489"/>
      <c r="J11956" s="1362"/>
      <c r="K11956" s="1362"/>
      <c r="L11956" s="1362"/>
    </row>
    <row r="11957" spans="1:12" x14ac:dyDescent="0.25">
      <c r="A11957">
        <v>101562</v>
      </c>
      <c r="B11957" t="s">
        <v>4800</v>
      </c>
      <c r="C11957" t="s">
        <v>151</v>
      </c>
      <c r="D11957" s="254">
        <v>23.51</v>
      </c>
      <c r="E11957"/>
      <c r="F11957"/>
      <c r="G11957"/>
      <c r="H11957"/>
      <c r="I11957" s="489"/>
      <c r="J11957" s="1362"/>
      <c r="K11957" s="1362"/>
      <c r="L11957" s="1362"/>
    </row>
    <row r="11958" spans="1:12" x14ac:dyDescent="0.25">
      <c r="A11958">
        <v>101563</v>
      </c>
      <c r="B11958" t="s">
        <v>4801</v>
      </c>
      <c r="C11958" t="s">
        <v>151</v>
      </c>
      <c r="D11958" s="254">
        <v>33.18</v>
      </c>
      <c r="E11958"/>
      <c r="F11958"/>
      <c r="G11958"/>
      <c r="H11958"/>
      <c r="I11958" s="489"/>
      <c r="J11958" s="1362"/>
      <c r="K11958" s="1362"/>
      <c r="L11958" s="1362"/>
    </row>
    <row r="11959" spans="1:12" x14ac:dyDescent="0.25">
      <c r="A11959">
        <v>101564</v>
      </c>
      <c r="B11959" t="s">
        <v>4802</v>
      </c>
      <c r="C11959" t="s">
        <v>151</v>
      </c>
      <c r="D11959" s="254">
        <v>49.01</v>
      </c>
      <c r="E11959"/>
      <c r="F11959"/>
      <c r="G11959"/>
      <c r="H11959"/>
      <c r="I11959" s="489"/>
      <c r="J11959" s="1362"/>
      <c r="K11959" s="1362"/>
      <c r="L11959" s="1362"/>
    </row>
    <row r="11960" spans="1:12" x14ac:dyDescent="0.25">
      <c r="A11960">
        <v>101565</v>
      </c>
      <c r="B11960" t="s">
        <v>4803</v>
      </c>
      <c r="C11960" t="s">
        <v>151</v>
      </c>
      <c r="D11960" s="254">
        <v>68.540000000000006</v>
      </c>
      <c r="E11960"/>
      <c r="F11960"/>
      <c r="G11960"/>
      <c r="H11960"/>
      <c r="I11960" s="489"/>
      <c r="J11960" s="1362"/>
      <c r="K11960" s="1362"/>
      <c r="L11960" s="1362"/>
    </row>
    <row r="11961" spans="1:12" x14ac:dyDescent="0.25">
      <c r="A11961">
        <v>101567</v>
      </c>
      <c r="B11961" t="s">
        <v>4804</v>
      </c>
      <c r="C11961" t="s">
        <v>151</v>
      </c>
      <c r="D11961" s="254">
        <v>88.96</v>
      </c>
      <c r="E11961"/>
      <c r="F11961"/>
      <c r="G11961"/>
      <c r="H11961"/>
      <c r="I11961" s="489"/>
      <c r="J11961" s="1362"/>
      <c r="K11961" s="1362"/>
      <c r="L11961" s="1362"/>
    </row>
    <row r="11962" spans="1:12" x14ac:dyDescent="0.25">
      <c r="A11962">
        <v>101568</v>
      </c>
      <c r="B11962" t="s">
        <v>4805</v>
      </c>
      <c r="C11962" t="s">
        <v>151</v>
      </c>
      <c r="D11962" s="254">
        <v>116.3</v>
      </c>
      <c r="E11962"/>
      <c r="F11962"/>
      <c r="G11962"/>
      <c r="H11962"/>
      <c r="I11962" s="489"/>
      <c r="J11962" s="1362"/>
      <c r="K11962" s="1362"/>
      <c r="L11962" s="1362"/>
    </row>
    <row r="11963" spans="1:12" x14ac:dyDescent="0.25">
      <c r="A11963">
        <v>101626</v>
      </c>
      <c r="B11963" t="s">
        <v>4806</v>
      </c>
      <c r="C11963" t="s">
        <v>138</v>
      </c>
      <c r="D11963" s="254">
        <v>183.63</v>
      </c>
      <c r="E11963"/>
      <c r="F11963"/>
      <c r="G11963"/>
      <c r="H11963"/>
      <c r="I11963" s="489"/>
      <c r="J11963" s="1362"/>
      <c r="K11963" s="1362"/>
      <c r="L11963" s="1362"/>
    </row>
    <row r="11964" spans="1:12" x14ac:dyDescent="0.25">
      <c r="A11964">
        <v>101627</v>
      </c>
      <c r="B11964" t="s">
        <v>4807</v>
      </c>
      <c r="C11964" t="s">
        <v>138</v>
      </c>
      <c r="D11964" s="254">
        <v>284.29000000000002</v>
      </c>
      <c r="E11964"/>
      <c r="F11964"/>
      <c r="G11964"/>
      <c r="H11964"/>
      <c r="I11964" s="489"/>
      <c r="J11964" s="1362"/>
      <c r="K11964" s="1362"/>
      <c r="L11964" s="1362"/>
    </row>
    <row r="11965" spans="1:12" x14ac:dyDescent="0.25">
      <c r="A11965">
        <v>101628</v>
      </c>
      <c r="B11965" t="s">
        <v>4808</v>
      </c>
      <c r="C11965" t="s">
        <v>138</v>
      </c>
      <c r="D11965" s="254">
        <v>137.06</v>
      </c>
      <c r="E11965"/>
      <c r="F11965"/>
      <c r="G11965"/>
      <c r="H11965"/>
      <c r="I11965" s="489"/>
      <c r="J11965" s="1362"/>
      <c r="K11965" s="1362"/>
      <c r="L11965" s="1362"/>
    </row>
    <row r="11966" spans="1:12" x14ac:dyDescent="0.25">
      <c r="A11966">
        <v>101629</v>
      </c>
      <c r="B11966" t="s">
        <v>4809</v>
      </c>
      <c r="C11966" t="s">
        <v>138</v>
      </c>
      <c r="D11966" s="254">
        <v>161.04</v>
      </c>
      <c r="E11966"/>
      <c r="F11966"/>
      <c r="G11966"/>
      <c r="H11966"/>
      <c r="I11966" s="489"/>
      <c r="J11966" s="1362"/>
      <c r="K11966" s="1362"/>
      <c r="L11966" s="1362"/>
    </row>
    <row r="11967" spans="1:12" x14ac:dyDescent="0.25">
      <c r="A11967">
        <v>101630</v>
      </c>
      <c r="B11967" t="s">
        <v>4810</v>
      </c>
      <c r="C11967" t="s">
        <v>138</v>
      </c>
      <c r="D11967" s="254">
        <v>84.24</v>
      </c>
      <c r="E11967"/>
      <c r="F11967"/>
      <c r="G11967"/>
      <c r="H11967"/>
      <c r="I11967" s="489"/>
      <c r="J11967" s="1362"/>
      <c r="K11967" s="1362"/>
      <c r="L11967" s="1362"/>
    </row>
    <row r="11968" spans="1:12" x14ac:dyDescent="0.25">
      <c r="A11968">
        <v>101631</v>
      </c>
      <c r="B11968" t="s">
        <v>4811</v>
      </c>
      <c r="C11968" t="s">
        <v>138</v>
      </c>
      <c r="D11968" s="254">
        <v>27.55</v>
      </c>
      <c r="E11968"/>
      <c r="F11968"/>
      <c r="G11968"/>
      <c r="H11968"/>
      <c r="I11968" s="489"/>
      <c r="J11968" s="1362"/>
      <c r="K11968" s="1362"/>
      <c r="L11968" s="1362"/>
    </row>
    <row r="11969" spans="1:12" x14ac:dyDescent="0.25">
      <c r="A11969">
        <v>101632</v>
      </c>
      <c r="B11969" t="s">
        <v>4812</v>
      </c>
      <c r="C11969" t="s">
        <v>138</v>
      </c>
      <c r="D11969" s="254">
        <v>40.53</v>
      </c>
      <c r="E11969"/>
      <c r="F11969"/>
      <c r="G11969"/>
      <c r="H11969"/>
      <c r="I11969" s="489"/>
      <c r="J11969" s="1362"/>
      <c r="K11969" s="1362"/>
      <c r="L11969" s="1362"/>
    </row>
    <row r="11970" spans="1:12" x14ac:dyDescent="0.25">
      <c r="A11970">
        <v>101633</v>
      </c>
      <c r="B11970" t="s">
        <v>4813</v>
      </c>
      <c r="C11970" t="s">
        <v>138</v>
      </c>
      <c r="D11970" s="254">
        <v>108.21</v>
      </c>
      <c r="E11970"/>
      <c r="F11970"/>
      <c r="G11970"/>
      <c r="H11970"/>
      <c r="I11970" s="489"/>
      <c r="J11970" s="1362"/>
      <c r="K11970" s="1362"/>
      <c r="L11970" s="1362"/>
    </row>
    <row r="11971" spans="1:12" x14ac:dyDescent="0.25">
      <c r="A11971">
        <v>101636</v>
      </c>
      <c r="B11971" t="s">
        <v>4814</v>
      </c>
      <c r="C11971" t="s">
        <v>138</v>
      </c>
      <c r="D11971" s="254">
        <v>165.12</v>
      </c>
      <c r="E11971"/>
      <c r="F11971"/>
      <c r="G11971"/>
      <c r="H11971"/>
      <c r="I11971" s="489"/>
      <c r="J11971" s="1362"/>
      <c r="K11971" s="1362"/>
      <c r="L11971" s="1362"/>
    </row>
    <row r="11972" spans="1:12" x14ac:dyDescent="0.25">
      <c r="A11972">
        <v>101637</v>
      </c>
      <c r="B11972" t="s">
        <v>4815</v>
      </c>
      <c r="C11972" t="s">
        <v>138</v>
      </c>
      <c r="D11972" s="254">
        <v>160.13999999999999</v>
      </c>
      <c r="E11972"/>
      <c r="F11972"/>
      <c r="G11972"/>
      <c r="H11972"/>
      <c r="I11972" s="489"/>
      <c r="J11972" s="1362"/>
      <c r="K11972" s="1362"/>
      <c r="L11972" s="1362"/>
    </row>
    <row r="11973" spans="1:12" x14ac:dyDescent="0.25">
      <c r="A11973">
        <v>101640</v>
      </c>
      <c r="B11973" t="s">
        <v>4816</v>
      </c>
      <c r="C11973" t="s">
        <v>138</v>
      </c>
      <c r="D11973" s="254">
        <v>71.38</v>
      </c>
      <c r="E11973"/>
      <c r="F11973"/>
      <c r="G11973"/>
      <c r="H11973"/>
      <c r="I11973" s="489"/>
      <c r="J11973" s="1362"/>
      <c r="K11973" s="1362"/>
      <c r="L11973" s="1362"/>
    </row>
    <row r="11974" spans="1:12" x14ac:dyDescent="0.25">
      <c r="A11974">
        <v>101641</v>
      </c>
      <c r="B11974" t="s">
        <v>4817</v>
      </c>
      <c r="C11974" t="s">
        <v>138</v>
      </c>
      <c r="D11974" s="254">
        <v>37.32</v>
      </c>
      <c r="E11974"/>
      <c r="F11974"/>
      <c r="G11974"/>
      <c r="H11974"/>
      <c r="I11974" s="489"/>
      <c r="J11974" s="1362"/>
      <c r="K11974" s="1362"/>
      <c r="L11974" s="1362"/>
    </row>
    <row r="11975" spans="1:12" x14ac:dyDescent="0.25">
      <c r="A11975">
        <v>101642</v>
      </c>
      <c r="B11975" t="s">
        <v>4818</v>
      </c>
      <c r="C11975" t="s">
        <v>138</v>
      </c>
      <c r="D11975" s="254">
        <v>19.09</v>
      </c>
      <c r="E11975"/>
      <c r="F11975"/>
      <c r="G11975"/>
      <c r="H11975"/>
      <c r="I11975" s="489"/>
      <c r="J11975" s="1362"/>
      <c r="K11975" s="1362"/>
      <c r="L11975" s="1362"/>
    </row>
    <row r="11976" spans="1:12" x14ac:dyDescent="0.25">
      <c r="A11976">
        <v>101643</v>
      </c>
      <c r="B11976" t="s">
        <v>4819</v>
      </c>
      <c r="C11976" t="s">
        <v>138</v>
      </c>
      <c r="D11976" s="254">
        <v>32.67</v>
      </c>
      <c r="E11976"/>
      <c r="F11976"/>
      <c r="G11976"/>
      <c r="H11976"/>
      <c r="I11976" s="489"/>
      <c r="J11976" s="1362"/>
      <c r="K11976" s="1362"/>
      <c r="L11976" s="1362"/>
    </row>
    <row r="11977" spans="1:12" x14ac:dyDescent="0.25">
      <c r="A11977">
        <v>101644</v>
      </c>
      <c r="B11977" t="s">
        <v>4820</v>
      </c>
      <c r="C11977" t="s">
        <v>138</v>
      </c>
      <c r="D11977" s="254">
        <v>43.95</v>
      </c>
      <c r="E11977"/>
      <c r="F11977"/>
      <c r="G11977"/>
      <c r="H11977"/>
      <c r="I11977" s="489"/>
      <c r="J11977" s="1362"/>
      <c r="K11977" s="1362"/>
      <c r="L11977" s="1362"/>
    </row>
    <row r="11978" spans="1:12" x14ac:dyDescent="0.25">
      <c r="A11978">
        <v>101645</v>
      </c>
      <c r="B11978" t="s">
        <v>4821</v>
      </c>
      <c r="C11978" t="s">
        <v>138</v>
      </c>
      <c r="D11978" s="254">
        <v>21.19</v>
      </c>
      <c r="E11978"/>
      <c r="F11978"/>
      <c r="G11978"/>
      <c r="H11978"/>
      <c r="I11978" s="489"/>
      <c r="J11978" s="1362"/>
      <c r="K11978" s="1362"/>
      <c r="L11978" s="1362"/>
    </row>
    <row r="11979" spans="1:12" x14ac:dyDescent="0.25">
      <c r="A11979">
        <v>101646</v>
      </c>
      <c r="B11979" t="s">
        <v>4822</v>
      </c>
      <c r="C11979" t="s">
        <v>138</v>
      </c>
      <c r="D11979" s="254">
        <v>27.9</v>
      </c>
      <c r="E11979"/>
      <c r="F11979"/>
      <c r="G11979"/>
      <c r="H11979"/>
      <c r="I11979" s="489"/>
      <c r="J11979" s="1362"/>
      <c r="K11979" s="1362"/>
      <c r="L11979" s="1362"/>
    </row>
    <row r="11980" spans="1:12" x14ac:dyDescent="0.25">
      <c r="A11980">
        <v>101647</v>
      </c>
      <c r="B11980" t="s">
        <v>4823</v>
      </c>
      <c r="C11980" t="s">
        <v>138</v>
      </c>
      <c r="D11980" s="254">
        <v>50.64</v>
      </c>
      <c r="E11980"/>
      <c r="F11980"/>
      <c r="G11980"/>
      <c r="H11980"/>
      <c r="I11980" s="489"/>
      <c r="J11980" s="1362"/>
      <c r="K11980" s="1362"/>
      <c r="L11980" s="1362"/>
    </row>
    <row r="11981" spans="1:12" x14ac:dyDescent="0.25">
      <c r="A11981">
        <v>101648</v>
      </c>
      <c r="B11981" t="s">
        <v>4824</v>
      </c>
      <c r="C11981" t="s">
        <v>138</v>
      </c>
      <c r="D11981" s="254">
        <v>39.33</v>
      </c>
      <c r="E11981"/>
      <c r="F11981"/>
      <c r="G11981"/>
      <c r="H11981"/>
      <c r="I11981" s="489"/>
      <c r="J11981" s="1362"/>
      <c r="K11981" s="1362"/>
      <c r="L11981" s="1362"/>
    </row>
    <row r="11982" spans="1:12" x14ac:dyDescent="0.25">
      <c r="A11982">
        <v>101649</v>
      </c>
      <c r="B11982" t="s">
        <v>4825</v>
      </c>
      <c r="C11982" t="s">
        <v>138</v>
      </c>
      <c r="D11982" s="254">
        <v>45.21</v>
      </c>
      <c r="E11982"/>
      <c r="F11982"/>
      <c r="G11982"/>
      <c r="H11982"/>
      <c r="I11982" s="489"/>
      <c r="J11982" s="1362"/>
      <c r="K11982" s="1362"/>
      <c r="L11982" s="1362"/>
    </row>
    <row r="11983" spans="1:12" x14ac:dyDescent="0.25">
      <c r="A11983">
        <v>101650</v>
      </c>
      <c r="B11983" t="s">
        <v>4826</v>
      </c>
      <c r="C11983" t="s">
        <v>138</v>
      </c>
      <c r="D11983" s="254">
        <v>52.42</v>
      </c>
      <c r="E11983"/>
      <c r="F11983"/>
      <c r="G11983"/>
      <c r="H11983"/>
      <c r="I11983" s="489"/>
      <c r="J11983" s="1362"/>
      <c r="K11983" s="1362"/>
      <c r="L11983" s="1362"/>
    </row>
    <row r="11984" spans="1:12" x14ac:dyDescent="0.25">
      <c r="A11984">
        <v>101651</v>
      </c>
      <c r="B11984" t="s">
        <v>4827</v>
      </c>
      <c r="C11984" t="s">
        <v>138</v>
      </c>
      <c r="D11984" s="254">
        <v>70.31</v>
      </c>
      <c r="E11984"/>
      <c r="F11984"/>
      <c r="G11984"/>
      <c r="H11984"/>
      <c r="I11984" s="489"/>
      <c r="J11984" s="1362"/>
      <c r="K11984" s="1362"/>
      <c r="L11984" s="1362"/>
    </row>
    <row r="11985" spans="1:12" x14ac:dyDescent="0.25">
      <c r="A11985">
        <v>101652</v>
      </c>
      <c r="B11985" t="s">
        <v>4828</v>
      </c>
      <c r="C11985" t="s">
        <v>138</v>
      </c>
      <c r="D11985" s="254">
        <v>551.19000000000005</v>
      </c>
      <c r="E11985"/>
      <c r="F11985"/>
      <c r="G11985"/>
      <c r="H11985"/>
      <c r="I11985" s="489"/>
      <c r="J11985" s="1362"/>
      <c r="K11985" s="1362"/>
      <c r="L11985" s="1362"/>
    </row>
    <row r="11986" spans="1:12" x14ac:dyDescent="0.25">
      <c r="A11986">
        <v>101653</v>
      </c>
      <c r="B11986" t="s">
        <v>4829</v>
      </c>
      <c r="C11986" t="s">
        <v>138</v>
      </c>
      <c r="D11986" s="254">
        <v>309.5</v>
      </c>
      <c r="E11986"/>
      <c r="F11986"/>
      <c r="G11986"/>
      <c r="H11986"/>
      <c r="I11986" s="489"/>
      <c r="J11986" s="1362"/>
      <c r="K11986" s="1362"/>
      <c r="L11986" s="1362"/>
    </row>
    <row r="11987" spans="1:12" x14ac:dyDescent="0.25">
      <c r="A11987">
        <v>101654</v>
      </c>
      <c r="B11987" t="s">
        <v>4830</v>
      </c>
      <c r="C11987" t="s">
        <v>138</v>
      </c>
      <c r="D11987" s="254">
        <v>294.14</v>
      </c>
      <c r="E11987"/>
      <c r="F11987"/>
      <c r="G11987"/>
      <c r="H11987"/>
      <c r="I11987" s="489"/>
      <c r="J11987" s="1362"/>
      <c r="K11987" s="1362"/>
      <c r="L11987" s="1362"/>
    </row>
    <row r="11988" spans="1:12" x14ac:dyDescent="0.25">
      <c r="A11988">
        <v>101655</v>
      </c>
      <c r="B11988" t="s">
        <v>4831</v>
      </c>
      <c r="C11988" t="s">
        <v>138</v>
      </c>
      <c r="D11988" s="254">
        <v>473.63</v>
      </c>
      <c r="E11988"/>
      <c r="F11988"/>
      <c r="G11988"/>
      <c r="H11988"/>
      <c r="I11988" s="489"/>
      <c r="J11988" s="1362"/>
      <c r="K11988" s="1362"/>
      <c r="L11988" s="1362"/>
    </row>
    <row r="11989" spans="1:12" x14ac:dyDescent="0.25">
      <c r="A11989">
        <v>101656</v>
      </c>
      <c r="B11989" t="s">
        <v>4832</v>
      </c>
      <c r="C11989" t="s">
        <v>138</v>
      </c>
      <c r="D11989" s="254">
        <v>515.54</v>
      </c>
      <c r="E11989"/>
      <c r="F11989"/>
      <c r="G11989"/>
      <c r="H11989"/>
      <c r="I11989" s="489"/>
      <c r="J11989" s="1362"/>
      <c r="K11989" s="1362"/>
      <c r="L11989" s="1362"/>
    </row>
    <row r="11990" spans="1:12" x14ac:dyDescent="0.25">
      <c r="A11990">
        <v>101657</v>
      </c>
      <c r="B11990" t="s">
        <v>4833</v>
      </c>
      <c r="C11990" t="s">
        <v>138</v>
      </c>
      <c r="D11990" s="254">
        <v>604.80999999999995</v>
      </c>
      <c r="E11990"/>
      <c r="F11990"/>
      <c r="G11990"/>
      <c r="H11990"/>
      <c r="I11990" s="489"/>
      <c r="J11990" s="1362"/>
      <c r="K11990" s="1362"/>
      <c r="L11990" s="1362"/>
    </row>
    <row r="11991" spans="1:12" x14ac:dyDescent="0.25">
      <c r="A11991">
        <v>101658</v>
      </c>
      <c r="B11991" t="s">
        <v>4834</v>
      </c>
      <c r="C11991" t="s">
        <v>138</v>
      </c>
      <c r="D11991" s="254">
        <v>788.37</v>
      </c>
      <c r="E11991"/>
      <c r="F11991"/>
      <c r="G11991"/>
      <c r="H11991"/>
      <c r="I11991" s="489"/>
      <c r="J11991" s="1362"/>
      <c r="K11991" s="1362"/>
      <c r="L11991" s="1362"/>
    </row>
    <row r="11992" spans="1:12" x14ac:dyDescent="0.25">
      <c r="A11992">
        <v>101659</v>
      </c>
      <c r="B11992" t="s">
        <v>4835</v>
      </c>
      <c r="C11992" t="s">
        <v>138</v>
      </c>
      <c r="D11992" s="254">
        <v>902.53</v>
      </c>
      <c r="E11992"/>
      <c r="F11992"/>
      <c r="G11992"/>
      <c r="H11992"/>
      <c r="I11992" s="489"/>
      <c r="J11992" s="1362"/>
      <c r="K11992" s="1362"/>
      <c r="L11992" s="1362"/>
    </row>
    <row r="11993" spans="1:12" x14ac:dyDescent="0.25">
      <c r="A11993">
        <v>101660</v>
      </c>
      <c r="B11993" t="s">
        <v>4836</v>
      </c>
      <c r="C11993" t="s">
        <v>138</v>
      </c>
      <c r="D11993" s="254">
        <v>1441.47</v>
      </c>
      <c r="E11993"/>
      <c r="F11993"/>
      <c r="G11993"/>
      <c r="H11993"/>
      <c r="I11993" s="489"/>
      <c r="J11993" s="1362"/>
      <c r="K11993" s="1362"/>
      <c r="L11993" s="1362"/>
    </row>
    <row r="11994" spans="1:12" x14ac:dyDescent="0.25">
      <c r="A11994">
        <v>101661</v>
      </c>
      <c r="B11994" t="s">
        <v>4837</v>
      </c>
      <c r="C11994" t="s">
        <v>138</v>
      </c>
      <c r="D11994" s="254">
        <v>133.25</v>
      </c>
      <c r="E11994"/>
      <c r="F11994"/>
      <c r="G11994"/>
      <c r="H11994"/>
      <c r="I11994" s="489"/>
      <c r="J11994" s="1362"/>
      <c r="K11994" s="1362"/>
      <c r="L11994" s="1362"/>
    </row>
    <row r="11995" spans="1:12" x14ac:dyDescent="0.25">
      <c r="A11995">
        <v>101662</v>
      </c>
      <c r="B11995" t="s">
        <v>4838</v>
      </c>
      <c r="C11995" t="s">
        <v>138</v>
      </c>
      <c r="D11995" s="254">
        <v>744.94</v>
      </c>
      <c r="E11995"/>
      <c r="F11995"/>
      <c r="G11995"/>
      <c r="H11995"/>
      <c r="I11995" s="489"/>
      <c r="J11995" s="1362"/>
      <c r="K11995" s="1362"/>
      <c r="L11995" s="1362"/>
    </row>
    <row r="11996" spans="1:12" x14ac:dyDescent="0.25">
      <c r="A11996">
        <v>101663</v>
      </c>
      <c r="B11996" t="s">
        <v>4839</v>
      </c>
      <c r="C11996" t="s">
        <v>138</v>
      </c>
      <c r="D11996" s="254">
        <v>35.619999999999997</v>
      </c>
      <c r="E11996"/>
      <c r="F11996"/>
      <c r="G11996"/>
      <c r="H11996"/>
      <c r="I11996" s="489"/>
      <c r="J11996" s="1362"/>
      <c r="K11996" s="1362"/>
      <c r="L11996" s="1362"/>
    </row>
    <row r="11997" spans="1:12" x14ac:dyDescent="0.25">
      <c r="A11997">
        <v>101664</v>
      </c>
      <c r="B11997" t="s">
        <v>4840</v>
      </c>
      <c r="C11997" t="s">
        <v>138</v>
      </c>
      <c r="D11997" s="254">
        <v>37.409999999999997</v>
      </c>
      <c r="E11997"/>
      <c r="F11997"/>
      <c r="G11997"/>
      <c r="H11997"/>
      <c r="I11997" s="489"/>
      <c r="J11997" s="1362"/>
      <c r="K11997" s="1362"/>
      <c r="L11997" s="1362"/>
    </row>
    <row r="11998" spans="1:12" x14ac:dyDescent="0.25">
      <c r="A11998">
        <v>101665</v>
      </c>
      <c r="B11998" t="s">
        <v>4841</v>
      </c>
      <c r="C11998" t="s">
        <v>138</v>
      </c>
      <c r="D11998" s="254">
        <v>45.11</v>
      </c>
      <c r="E11998"/>
      <c r="F11998"/>
      <c r="G11998"/>
      <c r="H11998"/>
      <c r="I11998" s="489"/>
      <c r="J11998" s="1362"/>
      <c r="K11998" s="1362"/>
      <c r="L11998" s="1362"/>
    </row>
    <row r="11999" spans="1:12" x14ac:dyDescent="0.25">
      <c r="A11999">
        <v>101666</v>
      </c>
      <c r="B11999" t="s">
        <v>4842</v>
      </c>
      <c r="C11999" t="s">
        <v>138</v>
      </c>
      <c r="D11999" s="254">
        <v>398.33</v>
      </c>
      <c r="E11999"/>
      <c r="F11999"/>
      <c r="G11999"/>
      <c r="H11999"/>
      <c r="I11999" s="489"/>
      <c r="J11999" s="1362"/>
      <c r="K11999" s="1362"/>
      <c r="L11999" s="1362"/>
    </row>
    <row r="12000" spans="1:12" x14ac:dyDescent="0.25">
      <c r="A12000">
        <v>102085</v>
      </c>
      <c r="B12000" t="s">
        <v>5352</v>
      </c>
      <c r="C12000" t="s">
        <v>138</v>
      </c>
      <c r="D12000" s="254">
        <v>218.85</v>
      </c>
      <c r="E12000"/>
      <c r="F12000"/>
      <c r="G12000"/>
      <c r="H12000"/>
      <c r="I12000" s="489"/>
      <c r="J12000" s="1362"/>
      <c r="K12000" s="1362"/>
      <c r="L12000" s="1362"/>
    </row>
    <row r="12001" spans="1:12" x14ac:dyDescent="0.25">
      <c r="A12001">
        <v>100578</v>
      </c>
      <c r="B12001" t="s">
        <v>3620</v>
      </c>
      <c r="C12001" t="s">
        <v>138</v>
      </c>
      <c r="D12001" s="254">
        <v>512.63</v>
      </c>
      <c r="E12001"/>
      <c r="F12001"/>
      <c r="G12001"/>
      <c r="H12001"/>
      <c r="I12001" s="489"/>
      <c r="J12001" s="1362"/>
      <c r="K12001" s="1362"/>
      <c r="L12001" s="1362"/>
    </row>
    <row r="12002" spans="1:12" x14ac:dyDescent="0.25">
      <c r="A12002">
        <v>100579</v>
      </c>
      <c r="B12002" t="s">
        <v>3621</v>
      </c>
      <c r="C12002" t="s">
        <v>138</v>
      </c>
      <c r="D12002" s="254">
        <v>561.20000000000005</v>
      </c>
      <c r="E12002"/>
      <c r="F12002"/>
      <c r="G12002"/>
      <c r="H12002"/>
      <c r="I12002" s="489"/>
      <c r="J12002" s="1362"/>
      <c r="K12002" s="1362"/>
      <c r="L12002" s="1362"/>
    </row>
    <row r="12003" spans="1:12" x14ac:dyDescent="0.25">
      <c r="A12003">
        <v>100580</v>
      </c>
      <c r="B12003" t="s">
        <v>3622</v>
      </c>
      <c r="C12003" t="s">
        <v>138</v>
      </c>
      <c r="D12003" s="254">
        <v>622.83000000000004</v>
      </c>
      <c r="E12003"/>
      <c r="F12003"/>
      <c r="G12003"/>
      <c r="H12003"/>
      <c r="I12003" s="489"/>
      <c r="J12003" s="1362"/>
      <c r="K12003" s="1362"/>
      <c r="L12003" s="1362"/>
    </row>
    <row r="12004" spans="1:12" x14ac:dyDescent="0.25">
      <c r="A12004">
        <v>100581</v>
      </c>
      <c r="B12004" t="s">
        <v>3623</v>
      </c>
      <c r="C12004" t="s">
        <v>138</v>
      </c>
      <c r="D12004" s="254">
        <v>585.23</v>
      </c>
      <c r="E12004"/>
      <c r="F12004"/>
      <c r="G12004"/>
      <c r="H12004"/>
      <c r="I12004" s="489"/>
      <c r="J12004" s="1362"/>
      <c r="K12004" s="1362"/>
      <c r="L12004" s="1362"/>
    </row>
    <row r="12005" spans="1:12" x14ac:dyDescent="0.25">
      <c r="A12005">
        <v>100582</v>
      </c>
      <c r="B12005" t="s">
        <v>3624</v>
      </c>
      <c r="C12005" t="s">
        <v>138</v>
      </c>
      <c r="D12005" s="254">
        <v>696.41</v>
      </c>
      <c r="E12005"/>
      <c r="F12005"/>
      <c r="G12005"/>
      <c r="H12005"/>
      <c r="I12005" s="489"/>
      <c r="J12005" s="1362"/>
      <c r="K12005" s="1362"/>
      <c r="L12005" s="1362"/>
    </row>
    <row r="12006" spans="1:12" x14ac:dyDescent="0.25">
      <c r="A12006">
        <v>100583</v>
      </c>
      <c r="B12006" t="s">
        <v>3625</v>
      </c>
      <c r="C12006" t="s">
        <v>138</v>
      </c>
      <c r="D12006" s="254">
        <v>611.27</v>
      </c>
      <c r="E12006"/>
      <c r="F12006"/>
      <c r="G12006"/>
      <c r="H12006"/>
      <c r="I12006" s="489"/>
      <c r="J12006" s="1362"/>
      <c r="K12006" s="1362"/>
      <c r="L12006" s="1362"/>
    </row>
    <row r="12007" spans="1:12" x14ac:dyDescent="0.25">
      <c r="A12007">
        <v>100584</v>
      </c>
      <c r="B12007" t="s">
        <v>3626</v>
      </c>
      <c r="C12007" t="s">
        <v>138</v>
      </c>
      <c r="D12007" s="254">
        <v>678.06</v>
      </c>
      <c r="E12007"/>
      <c r="F12007"/>
      <c r="G12007"/>
      <c r="H12007"/>
      <c r="I12007" s="489"/>
      <c r="J12007" s="1362"/>
      <c r="K12007" s="1362"/>
      <c r="L12007" s="1362"/>
    </row>
    <row r="12008" spans="1:12" x14ac:dyDescent="0.25">
      <c r="A12008">
        <v>100585</v>
      </c>
      <c r="B12008" t="s">
        <v>3627</v>
      </c>
      <c r="C12008" t="s">
        <v>138</v>
      </c>
      <c r="D12008" s="254">
        <v>661.64</v>
      </c>
      <c r="E12008"/>
      <c r="F12008"/>
      <c r="G12008"/>
      <c r="H12008"/>
      <c r="I12008" s="489"/>
      <c r="J12008" s="1362"/>
      <c r="K12008" s="1362"/>
      <c r="L12008" s="1362"/>
    </row>
    <row r="12009" spans="1:12" x14ac:dyDescent="0.25">
      <c r="A12009">
        <v>100586</v>
      </c>
      <c r="B12009" t="s">
        <v>3628</v>
      </c>
      <c r="C12009" t="s">
        <v>138</v>
      </c>
      <c r="D12009" s="254">
        <v>768.02</v>
      </c>
      <c r="E12009"/>
      <c r="F12009"/>
      <c r="G12009"/>
      <c r="H12009"/>
      <c r="I12009" s="489"/>
      <c r="J12009" s="1362"/>
      <c r="K12009" s="1362"/>
      <c r="L12009" s="1362"/>
    </row>
    <row r="12010" spans="1:12" x14ac:dyDescent="0.25">
      <c r="A12010">
        <v>100587</v>
      </c>
      <c r="B12010" t="s">
        <v>3629</v>
      </c>
      <c r="C12010" t="s">
        <v>138</v>
      </c>
      <c r="D12010" s="254">
        <v>714.13</v>
      </c>
      <c r="E12010"/>
      <c r="F12010"/>
      <c r="G12010"/>
      <c r="H12010"/>
      <c r="I12010" s="489"/>
      <c r="J12010" s="1362"/>
      <c r="K12010" s="1362"/>
      <c r="L12010" s="1362"/>
    </row>
    <row r="12011" spans="1:12" x14ac:dyDescent="0.25">
      <c r="A12011">
        <v>100588</v>
      </c>
      <c r="B12011" t="s">
        <v>3630</v>
      </c>
      <c r="C12011" t="s">
        <v>138</v>
      </c>
      <c r="D12011" s="254">
        <v>796.81</v>
      </c>
      <c r="E12011"/>
      <c r="F12011"/>
      <c r="G12011"/>
      <c r="H12011"/>
      <c r="I12011" s="489"/>
      <c r="J12011" s="1362"/>
      <c r="K12011" s="1362"/>
      <c r="L12011" s="1362"/>
    </row>
    <row r="12012" spans="1:12" x14ac:dyDescent="0.25">
      <c r="A12012">
        <v>100589</v>
      </c>
      <c r="B12012" t="s">
        <v>3631</v>
      </c>
      <c r="C12012" t="s">
        <v>138</v>
      </c>
      <c r="D12012" s="254">
        <v>797.9</v>
      </c>
      <c r="E12012"/>
      <c r="F12012"/>
      <c r="G12012"/>
      <c r="H12012"/>
      <c r="I12012" s="489"/>
      <c r="J12012" s="1362"/>
      <c r="K12012" s="1362"/>
      <c r="L12012" s="1362"/>
    </row>
    <row r="12013" spans="1:12" x14ac:dyDescent="0.25">
      <c r="A12013">
        <v>100590</v>
      </c>
      <c r="B12013" t="s">
        <v>3632</v>
      </c>
      <c r="C12013" t="s">
        <v>138</v>
      </c>
      <c r="D12013" s="254">
        <v>879.76</v>
      </c>
      <c r="E12013"/>
      <c r="F12013"/>
      <c r="G12013"/>
      <c r="H12013"/>
      <c r="I12013" s="489"/>
      <c r="J12013" s="1362"/>
      <c r="K12013" s="1362"/>
      <c r="L12013" s="1362"/>
    </row>
    <row r="12014" spans="1:12" x14ac:dyDescent="0.25">
      <c r="A12014">
        <v>100591</v>
      </c>
      <c r="B12014" t="s">
        <v>3633</v>
      </c>
      <c r="C12014" t="s">
        <v>138</v>
      </c>
      <c r="D12014" s="254">
        <v>788.21</v>
      </c>
      <c r="E12014"/>
      <c r="F12014"/>
      <c r="G12014"/>
      <c r="H12014"/>
      <c r="I12014" s="489"/>
      <c r="J12014" s="1362"/>
      <c r="K12014" s="1362"/>
      <c r="L12014" s="1362"/>
    </row>
    <row r="12015" spans="1:12" x14ac:dyDescent="0.25">
      <c r="A12015">
        <v>100592</v>
      </c>
      <c r="B12015" t="s">
        <v>3634</v>
      </c>
      <c r="C12015" t="s">
        <v>138</v>
      </c>
      <c r="D12015" s="254">
        <v>856.02</v>
      </c>
      <c r="E12015"/>
      <c r="F12015"/>
      <c r="G12015"/>
      <c r="H12015"/>
      <c r="I12015" s="489"/>
      <c r="J12015" s="1362"/>
      <c r="K12015" s="1362"/>
      <c r="L12015" s="1362"/>
    </row>
    <row r="12016" spans="1:12" x14ac:dyDescent="0.25">
      <c r="A12016">
        <v>100593</v>
      </c>
      <c r="B12016" t="s">
        <v>3635</v>
      </c>
      <c r="C12016" t="s">
        <v>138</v>
      </c>
      <c r="D12016" s="254">
        <v>844.4</v>
      </c>
      <c r="E12016"/>
      <c r="F12016"/>
      <c r="G12016"/>
      <c r="H12016"/>
      <c r="I12016" s="489"/>
      <c r="J12016" s="1362"/>
      <c r="K12016" s="1362"/>
      <c r="L12016" s="1362"/>
    </row>
    <row r="12017" spans="1:12" x14ac:dyDescent="0.25">
      <c r="A12017">
        <v>100594</v>
      </c>
      <c r="B12017" t="s">
        <v>3636</v>
      </c>
      <c r="C12017" t="s">
        <v>138</v>
      </c>
      <c r="D12017" s="254">
        <v>959.24</v>
      </c>
      <c r="E12017"/>
      <c r="F12017"/>
      <c r="G12017"/>
      <c r="H12017"/>
      <c r="I12017" s="489"/>
      <c r="J12017" s="1362"/>
      <c r="K12017" s="1362"/>
      <c r="L12017" s="1362"/>
    </row>
    <row r="12018" spans="1:12" x14ac:dyDescent="0.25">
      <c r="A12018">
        <v>100595</v>
      </c>
      <c r="B12018" t="s">
        <v>3637</v>
      </c>
      <c r="C12018" t="s">
        <v>138</v>
      </c>
      <c r="D12018" s="254">
        <v>1013.02</v>
      </c>
      <c r="E12018"/>
      <c r="F12018"/>
      <c r="G12018"/>
      <c r="H12018"/>
      <c r="I12018" s="489"/>
      <c r="J12018" s="1362"/>
      <c r="K12018" s="1362"/>
      <c r="L12018" s="1362"/>
    </row>
    <row r="12019" spans="1:12" x14ac:dyDescent="0.25">
      <c r="A12019">
        <v>100596</v>
      </c>
      <c r="B12019" t="s">
        <v>3638</v>
      </c>
      <c r="C12019" t="s">
        <v>138</v>
      </c>
      <c r="D12019" s="254">
        <v>1167.8399999999999</v>
      </c>
      <c r="E12019"/>
      <c r="F12019"/>
      <c r="G12019"/>
      <c r="H12019"/>
      <c r="I12019" s="489"/>
      <c r="J12019" s="1362"/>
      <c r="K12019" s="1362"/>
      <c r="L12019" s="1362"/>
    </row>
    <row r="12020" spans="1:12" x14ac:dyDescent="0.25">
      <c r="A12020">
        <v>100597</v>
      </c>
      <c r="B12020" t="s">
        <v>3639</v>
      </c>
      <c r="C12020" t="s">
        <v>138</v>
      </c>
      <c r="D12020" s="254">
        <v>1178.1300000000001</v>
      </c>
      <c r="E12020"/>
      <c r="F12020"/>
      <c r="G12020"/>
      <c r="H12020"/>
      <c r="I12020" s="489"/>
      <c r="J12020" s="1362"/>
      <c r="K12020" s="1362"/>
      <c r="L12020" s="1362"/>
    </row>
    <row r="12021" spans="1:12" x14ac:dyDescent="0.25">
      <c r="A12021">
        <v>100598</v>
      </c>
      <c r="B12021" t="s">
        <v>3640</v>
      </c>
      <c r="C12021" t="s">
        <v>138</v>
      </c>
      <c r="D12021" s="254">
        <v>1305.76</v>
      </c>
      <c r="E12021"/>
      <c r="F12021"/>
      <c r="G12021"/>
      <c r="H12021"/>
      <c r="I12021" s="489"/>
      <c r="J12021" s="1362"/>
      <c r="K12021" s="1362"/>
      <c r="L12021" s="1362"/>
    </row>
    <row r="12022" spans="1:12" x14ac:dyDescent="0.25">
      <c r="A12022">
        <v>100599</v>
      </c>
      <c r="B12022" t="s">
        <v>3641</v>
      </c>
      <c r="C12022" t="s">
        <v>138</v>
      </c>
      <c r="D12022" s="254">
        <v>528.72</v>
      </c>
      <c r="E12022"/>
      <c r="F12022"/>
      <c r="G12022"/>
      <c r="H12022"/>
      <c r="I12022" s="489"/>
      <c r="J12022" s="1362"/>
      <c r="K12022" s="1362"/>
      <c r="L12022" s="1362"/>
    </row>
    <row r="12023" spans="1:12" x14ac:dyDescent="0.25">
      <c r="A12023">
        <v>100600</v>
      </c>
      <c r="B12023" t="s">
        <v>3642</v>
      </c>
      <c r="C12023" t="s">
        <v>138</v>
      </c>
      <c r="D12023" s="254">
        <v>639.38</v>
      </c>
      <c r="E12023"/>
      <c r="F12023"/>
      <c r="G12023"/>
      <c r="H12023"/>
      <c r="I12023" s="489"/>
      <c r="J12023" s="1362"/>
      <c r="K12023" s="1362"/>
      <c r="L12023" s="1362"/>
    </row>
    <row r="12024" spans="1:12" x14ac:dyDescent="0.25">
      <c r="A12024">
        <v>100601</v>
      </c>
      <c r="B12024" t="s">
        <v>3643</v>
      </c>
      <c r="C12024" t="s">
        <v>138</v>
      </c>
      <c r="D12024" s="254">
        <v>825.17</v>
      </c>
      <c r="E12024"/>
      <c r="F12024"/>
      <c r="G12024"/>
      <c r="H12024"/>
      <c r="I12024" s="489"/>
      <c r="J12024" s="1362"/>
      <c r="K12024" s="1362"/>
      <c r="L12024" s="1362"/>
    </row>
    <row r="12025" spans="1:12" x14ac:dyDescent="0.25">
      <c r="A12025">
        <v>100602</v>
      </c>
      <c r="B12025" t="s">
        <v>3644</v>
      </c>
      <c r="C12025" t="s">
        <v>138</v>
      </c>
      <c r="D12025" s="254">
        <v>1056.94</v>
      </c>
      <c r="E12025"/>
      <c r="F12025"/>
      <c r="G12025"/>
      <c r="H12025"/>
      <c r="I12025" s="489"/>
      <c r="J12025" s="1362"/>
      <c r="K12025" s="1362"/>
      <c r="L12025" s="1362"/>
    </row>
    <row r="12026" spans="1:12" x14ac:dyDescent="0.25">
      <c r="A12026">
        <v>100603</v>
      </c>
      <c r="B12026" t="s">
        <v>3645</v>
      </c>
      <c r="C12026" t="s">
        <v>138</v>
      </c>
      <c r="D12026" s="254">
        <v>1653.53</v>
      </c>
      <c r="E12026"/>
      <c r="F12026"/>
      <c r="G12026"/>
      <c r="H12026"/>
      <c r="I12026" s="489"/>
      <c r="J12026" s="1362"/>
      <c r="K12026" s="1362"/>
      <c r="L12026" s="1362"/>
    </row>
    <row r="12027" spans="1:12" x14ac:dyDescent="0.25">
      <c r="A12027">
        <v>100604</v>
      </c>
      <c r="B12027" t="s">
        <v>3646</v>
      </c>
      <c r="C12027" t="s">
        <v>138</v>
      </c>
      <c r="D12027" s="254">
        <v>676.69</v>
      </c>
      <c r="E12027"/>
      <c r="F12027"/>
      <c r="G12027"/>
      <c r="H12027"/>
      <c r="I12027" s="489"/>
      <c r="J12027" s="1362"/>
      <c r="K12027" s="1362"/>
      <c r="L12027" s="1362"/>
    </row>
    <row r="12028" spans="1:12" x14ac:dyDescent="0.25">
      <c r="A12028">
        <v>100605</v>
      </c>
      <c r="B12028" t="s">
        <v>3647</v>
      </c>
      <c r="C12028" t="s">
        <v>138</v>
      </c>
      <c r="D12028" s="254">
        <v>1105.5999999999999</v>
      </c>
      <c r="E12028"/>
      <c r="F12028"/>
      <c r="G12028"/>
      <c r="H12028"/>
      <c r="I12028" s="489"/>
      <c r="J12028" s="1362"/>
      <c r="K12028" s="1362"/>
      <c r="L12028" s="1362"/>
    </row>
    <row r="12029" spans="1:12" x14ac:dyDescent="0.25">
      <c r="A12029">
        <v>100606</v>
      </c>
      <c r="B12029" t="s">
        <v>3648</v>
      </c>
      <c r="C12029" t="s">
        <v>138</v>
      </c>
      <c r="D12029" s="254">
        <v>1716.92</v>
      </c>
      <c r="E12029"/>
      <c r="F12029"/>
      <c r="G12029"/>
      <c r="H12029"/>
      <c r="I12029" s="489"/>
      <c r="J12029" s="1362"/>
      <c r="K12029" s="1362"/>
      <c r="L12029" s="1362"/>
    </row>
    <row r="12030" spans="1:12" x14ac:dyDescent="0.25">
      <c r="A12030">
        <v>100607</v>
      </c>
      <c r="B12030" t="s">
        <v>3649</v>
      </c>
      <c r="C12030" t="s">
        <v>138</v>
      </c>
      <c r="D12030" s="254">
        <v>694.34</v>
      </c>
      <c r="E12030"/>
      <c r="F12030"/>
      <c r="G12030"/>
      <c r="H12030"/>
      <c r="I12030" s="489"/>
      <c r="J12030" s="1362"/>
      <c r="K12030" s="1362"/>
      <c r="L12030" s="1362"/>
    </row>
    <row r="12031" spans="1:12" x14ac:dyDescent="0.25">
      <c r="A12031">
        <v>100608</v>
      </c>
      <c r="B12031" t="s">
        <v>3650</v>
      </c>
      <c r="C12031" t="s">
        <v>138</v>
      </c>
      <c r="D12031" s="254">
        <v>1129.58</v>
      </c>
      <c r="E12031"/>
      <c r="F12031"/>
      <c r="G12031"/>
      <c r="H12031"/>
      <c r="I12031" s="489"/>
      <c r="J12031" s="1362"/>
      <c r="K12031" s="1362"/>
      <c r="L12031" s="1362"/>
    </row>
    <row r="12032" spans="1:12" x14ac:dyDescent="0.25">
      <c r="A12032">
        <v>100609</v>
      </c>
      <c r="B12032" t="s">
        <v>3651</v>
      </c>
      <c r="C12032" t="s">
        <v>138</v>
      </c>
      <c r="D12032" s="254">
        <v>1751.04</v>
      </c>
      <c r="E12032"/>
      <c r="F12032"/>
      <c r="G12032"/>
      <c r="H12032"/>
      <c r="I12032" s="489"/>
      <c r="J12032" s="1362"/>
      <c r="K12032" s="1362"/>
      <c r="L12032" s="1362"/>
    </row>
    <row r="12033" spans="1:12" x14ac:dyDescent="0.25">
      <c r="A12033">
        <v>100610</v>
      </c>
      <c r="B12033" t="s">
        <v>3652</v>
      </c>
      <c r="C12033" t="s">
        <v>138</v>
      </c>
      <c r="D12033" s="254">
        <v>711.88</v>
      </c>
      <c r="E12033"/>
      <c r="F12033"/>
      <c r="G12033"/>
      <c r="H12033"/>
      <c r="I12033" s="489"/>
      <c r="J12033" s="1362"/>
      <c r="K12033" s="1362"/>
      <c r="L12033" s="1362"/>
    </row>
    <row r="12034" spans="1:12" x14ac:dyDescent="0.25">
      <c r="A12034">
        <v>100611</v>
      </c>
      <c r="B12034" t="s">
        <v>3653</v>
      </c>
      <c r="C12034" t="s">
        <v>138</v>
      </c>
      <c r="D12034" s="254">
        <v>907.71</v>
      </c>
      <c r="E12034"/>
      <c r="F12034"/>
      <c r="G12034"/>
      <c r="H12034"/>
      <c r="I12034" s="489"/>
      <c r="J12034" s="1362"/>
      <c r="K12034" s="1362"/>
      <c r="L12034" s="1362"/>
    </row>
    <row r="12035" spans="1:12" x14ac:dyDescent="0.25">
      <c r="A12035">
        <v>100612</v>
      </c>
      <c r="B12035" t="s">
        <v>3654</v>
      </c>
      <c r="C12035" t="s">
        <v>138</v>
      </c>
      <c r="D12035" s="254">
        <v>1153.04</v>
      </c>
      <c r="E12035"/>
      <c r="F12035"/>
      <c r="G12035"/>
      <c r="H12035"/>
      <c r="I12035" s="489"/>
      <c r="J12035" s="1362"/>
      <c r="K12035" s="1362"/>
      <c r="L12035" s="1362"/>
    </row>
    <row r="12036" spans="1:12" x14ac:dyDescent="0.25">
      <c r="A12036">
        <v>100613</v>
      </c>
      <c r="B12036" t="s">
        <v>3655</v>
      </c>
      <c r="C12036" t="s">
        <v>138</v>
      </c>
      <c r="D12036" s="254">
        <v>1784.36</v>
      </c>
      <c r="E12036"/>
      <c r="F12036"/>
      <c r="G12036"/>
      <c r="H12036"/>
      <c r="I12036" s="489"/>
      <c r="J12036" s="1362"/>
      <c r="K12036" s="1362"/>
      <c r="L12036" s="1362"/>
    </row>
    <row r="12037" spans="1:12" x14ac:dyDescent="0.25">
      <c r="A12037">
        <v>100614</v>
      </c>
      <c r="B12037" t="s">
        <v>3656</v>
      </c>
      <c r="C12037" t="s">
        <v>138</v>
      </c>
      <c r="D12037" s="254">
        <v>948.13</v>
      </c>
      <c r="E12037"/>
      <c r="F12037"/>
      <c r="G12037"/>
      <c r="H12037"/>
      <c r="I12037" s="489"/>
      <c r="J12037" s="1362"/>
      <c r="K12037" s="1362"/>
      <c r="L12037" s="1362"/>
    </row>
    <row r="12038" spans="1:12" x14ac:dyDescent="0.25">
      <c r="A12038">
        <v>100615</v>
      </c>
      <c r="B12038" t="s">
        <v>3657</v>
      </c>
      <c r="C12038" t="s">
        <v>138</v>
      </c>
      <c r="D12038" s="254">
        <v>1199.5899999999999</v>
      </c>
      <c r="E12038"/>
      <c r="F12038"/>
      <c r="G12038"/>
      <c r="H12038"/>
      <c r="I12038" s="489"/>
      <c r="J12038" s="1362"/>
      <c r="K12038" s="1362"/>
      <c r="L12038" s="1362"/>
    </row>
    <row r="12039" spans="1:12" x14ac:dyDescent="0.25">
      <c r="A12039">
        <v>100616</v>
      </c>
      <c r="B12039" t="s">
        <v>3658</v>
      </c>
      <c r="C12039" t="s">
        <v>138</v>
      </c>
      <c r="D12039" s="254">
        <v>1854.68</v>
      </c>
      <c r="E12039"/>
      <c r="F12039"/>
      <c r="G12039"/>
      <c r="H12039"/>
      <c r="I12039" s="489"/>
      <c r="J12039" s="1362"/>
      <c r="K12039" s="1362"/>
      <c r="L12039" s="1362"/>
    </row>
    <row r="12040" spans="1:12" x14ac:dyDescent="0.25">
      <c r="A12040">
        <v>100617</v>
      </c>
      <c r="B12040" t="s">
        <v>3659</v>
      </c>
      <c r="C12040" t="s">
        <v>138</v>
      </c>
      <c r="D12040" s="254">
        <v>1245.95</v>
      </c>
      <c r="E12040"/>
      <c r="F12040"/>
      <c r="G12040"/>
      <c r="H12040"/>
      <c r="I12040" s="489"/>
      <c r="J12040" s="1362"/>
      <c r="K12040" s="1362"/>
      <c r="L12040" s="1362"/>
    </row>
    <row r="12041" spans="1:12" x14ac:dyDescent="0.25">
      <c r="A12041">
        <v>100618</v>
      </c>
      <c r="B12041" t="s">
        <v>3660</v>
      </c>
      <c r="C12041" t="s">
        <v>138</v>
      </c>
      <c r="D12041" s="254">
        <v>1930.25</v>
      </c>
      <c r="E12041"/>
      <c r="F12041"/>
      <c r="G12041"/>
      <c r="H12041"/>
      <c r="I12041" s="489"/>
      <c r="J12041" s="1362"/>
      <c r="K12041" s="1362"/>
      <c r="L12041" s="1362"/>
    </row>
    <row r="12042" spans="1:12" x14ac:dyDescent="0.25">
      <c r="A12042">
        <v>100619</v>
      </c>
      <c r="B12042" t="s">
        <v>3661</v>
      </c>
      <c r="C12042" t="s">
        <v>138</v>
      </c>
      <c r="D12042" s="254">
        <v>718.69</v>
      </c>
      <c r="E12042"/>
      <c r="F12042"/>
      <c r="G12042"/>
      <c r="H12042"/>
      <c r="I12042" s="489"/>
      <c r="J12042" s="1362"/>
      <c r="K12042" s="1362"/>
      <c r="L12042" s="1362"/>
    </row>
    <row r="12043" spans="1:12" x14ac:dyDescent="0.25">
      <c r="A12043">
        <v>100620</v>
      </c>
      <c r="B12043" t="s">
        <v>3662</v>
      </c>
      <c r="C12043" t="s">
        <v>138</v>
      </c>
      <c r="D12043" s="254">
        <v>4481.37</v>
      </c>
      <c r="E12043"/>
      <c r="F12043"/>
      <c r="G12043"/>
      <c r="H12043"/>
      <c r="I12043" s="489"/>
      <c r="J12043" s="1362"/>
      <c r="K12043" s="1362"/>
      <c r="L12043" s="1362"/>
    </row>
    <row r="12044" spans="1:12" x14ac:dyDescent="0.25">
      <c r="A12044">
        <v>100621</v>
      </c>
      <c r="B12044" t="s">
        <v>3663</v>
      </c>
      <c r="C12044" t="s">
        <v>138</v>
      </c>
      <c r="D12044" s="254">
        <v>5020</v>
      </c>
      <c r="E12044"/>
      <c r="F12044"/>
      <c r="G12044"/>
      <c r="H12044"/>
      <c r="I12044" s="489"/>
      <c r="J12044" s="1362"/>
      <c r="K12044" s="1362"/>
      <c r="L12044" s="1362"/>
    </row>
    <row r="12045" spans="1:12" x14ac:dyDescent="0.25">
      <c r="A12045">
        <v>100622</v>
      </c>
      <c r="B12045" t="s">
        <v>3664</v>
      </c>
      <c r="C12045" t="s">
        <v>138</v>
      </c>
      <c r="D12045" s="254">
        <v>2877.44</v>
      </c>
      <c r="E12045"/>
      <c r="F12045"/>
      <c r="G12045"/>
      <c r="H12045"/>
      <c r="I12045" s="489"/>
      <c r="J12045" s="1362"/>
      <c r="K12045" s="1362"/>
      <c r="L12045" s="1362"/>
    </row>
    <row r="12046" spans="1:12" x14ac:dyDescent="0.25">
      <c r="A12046">
        <v>100623</v>
      </c>
      <c r="B12046" t="s">
        <v>3665</v>
      </c>
      <c r="C12046" t="s">
        <v>138</v>
      </c>
      <c r="D12046" s="254">
        <v>3090.79</v>
      </c>
      <c r="E12046"/>
      <c r="F12046"/>
      <c r="G12046"/>
      <c r="H12046"/>
      <c r="I12046" s="489"/>
      <c r="J12046" s="1362"/>
      <c r="K12046" s="1362"/>
      <c r="L12046" s="1362"/>
    </row>
    <row r="12047" spans="1:12" x14ac:dyDescent="0.25">
      <c r="A12047">
        <v>97600</v>
      </c>
      <c r="B12047" t="s">
        <v>4127</v>
      </c>
      <c r="C12047" t="s">
        <v>138</v>
      </c>
      <c r="D12047" s="254">
        <v>296.17</v>
      </c>
      <c r="E12047"/>
      <c r="F12047"/>
      <c r="G12047"/>
      <c r="H12047"/>
      <c r="I12047" s="489"/>
      <c r="J12047" s="1362"/>
      <c r="K12047" s="1362"/>
      <c r="L12047" s="1362"/>
    </row>
    <row r="12048" spans="1:12" x14ac:dyDescent="0.25">
      <c r="A12048">
        <v>97601</v>
      </c>
      <c r="B12048" t="s">
        <v>4128</v>
      </c>
      <c r="C12048" t="s">
        <v>138</v>
      </c>
      <c r="D12048" s="254">
        <v>309.75</v>
      </c>
      <c r="E12048"/>
      <c r="F12048"/>
      <c r="G12048"/>
      <c r="H12048"/>
      <c r="I12048" s="489"/>
      <c r="J12048" s="1362"/>
      <c r="K12048" s="1362"/>
      <c r="L12048" s="1362"/>
    </row>
    <row r="12049" spans="1:12" x14ac:dyDescent="0.25">
      <c r="A12049">
        <v>97605</v>
      </c>
      <c r="B12049" t="s">
        <v>4129</v>
      </c>
      <c r="C12049" t="s">
        <v>138</v>
      </c>
      <c r="D12049" s="254">
        <v>102.13</v>
      </c>
      <c r="E12049"/>
      <c r="F12049"/>
      <c r="G12049"/>
      <c r="H12049"/>
      <c r="I12049" s="489"/>
      <c r="J12049" s="1362"/>
      <c r="K12049" s="1362"/>
      <c r="L12049" s="1362"/>
    </row>
    <row r="12050" spans="1:12" x14ac:dyDescent="0.25">
      <c r="A12050">
        <v>97606</v>
      </c>
      <c r="B12050" t="s">
        <v>4130</v>
      </c>
      <c r="C12050" t="s">
        <v>138</v>
      </c>
      <c r="D12050" s="254">
        <v>105.75</v>
      </c>
      <c r="E12050"/>
      <c r="F12050"/>
      <c r="G12050"/>
      <c r="H12050"/>
      <c r="I12050" s="489"/>
      <c r="J12050" s="1362"/>
      <c r="K12050" s="1362"/>
      <c r="L12050" s="1362"/>
    </row>
    <row r="12051" spans="1:12" x14ac:dyDescent="0.25">
      <c r="A12051">
        <v>97607</v>
      </c>
      <c r="B12051" t="s">
        <v>4131</v>
      </c>
      <c r="C12051" t="s">
        <v>138</v>
      </c>
      <c r="D12051" s="254">
        <v>123.11</v>
      </c>
      <c r="E12051"/>
      <c r="F12051"/>
      <c r="G12051"/>
      <c r="H12051"/>
      <c r="I12051" s="489"/>
      <c r="J12051" s="1362"/>
      <c r="K12051" s="1362"/>
      <c r="L12051" s="1362"/>
    </row>
    <row r="12052" spans="1:12" x14ac:dyDescent="0.25">
      <c r="A12052">
        <v>97608</v>
      </c>
      <c r="B12052" t="s">
        <v>4132</v>
      </c>
      <c r="C12052" t="s">
        <v>138</v>
      </c>
      <c r="D12052" s="254">
        <v>126.73</v>
      </c>
      <c r="E12052"/>
      <c r="F12052"/>
      <c r="G12052"/>
      <c r="H12052"/>
      <c r="I12052" s="489"/>
      <c r="J12052" s="1362"/>
      <c r="K12052" s="1362"/>
      <c r="L12052" s="1362"/>
    </row>
    <row r="12053" spans="1:12" x14ac:dyDescent="0.25">
      <c r="A12053">
        <v>102102</v>
      </c>
      <c r="B12053" t="s">
        <v>5839</v>
      </c>
      <c r="C12053" t="s">
        <v>138</v>
      </c>
      <c r="D12053" s="254">
        <v>9988.5300000000007</v>
      </c>
      <c r="E12053"/>
      <c r="F12053"/>
      <c r="G12053"/>
      <c r="H12053"/>
      <c r="I12053" s="489"/>
      <c r="J12053" s="1362"/>
      <c r="K12053" s="1362"/>
      <c r="L12053" s="1362"/>
    </row>
    <row r="12054" spans="1:12" x14ac:dyDescent="0.25">
      <c r="A12054">
        <v>102103</v>
      </c>
      <c r="B12054" t="s">
        <v>5840</v>
      </c>
      <c r="C12054" t="s">
        <v>138</v>
      </c>
      <c r="D12054" s="254">
        <v>11102.01</v>
      </c>
      <c r="E12054"/>
      <c r="F12054"/>
      <c r="G12054"/>
      <c r="H12054"/>
      <c r="I12054" s="489"/>
      <c r="J12054" s="1362"/>
      <c r="K12054" s="1362"/>
      <c r="L12054" s="1362"/>
    </row>
    <row r="12055" spans="1:12" x14ac:dyDescent="0.25">
      <c r="A12055">
        <v>102104</v>
      </c>
      <c r="B12055" t="s">
        <v>5841</v>
      </c>
      <c r="C12055" t="s">
        <v>138</v>
      </c>
      <c r="D12055" s="254">
        <v>14203.39</v>
      </c>
      <c r="E12055"/>
      <c r="F12055"/>
      <c r="G12055"/>
      <c r="H12055"/>
      <c r="I12055" s="489"/>
      <c r="J12055" s="1362"/>
      <c r="K12055" s="1362"/>
      <c r="L12055" s="1362"/>
    </row>
    <row r="12056" spans="1:12" x14ac:dyDescent="0.25">
      <c r="A12056">
        <v>102105</v>
      </c>
      <c r="B12056" t="s">
        <v>5842</v>
      </c>
      <c r="C12056" t="s">
        <v>138</v>
      </c>
      <c r="D12056" s="254">
        <v>17425.63</v>
      </c>
      <c r="E12056"/>
      <c r="F12056"/>
      <c r="G12056"/>
      <c r="H12056"/>
      <c r="I12056" s="489"/>
      <c r="J12056" s="1362"/>
      <c r="K12056" s="1362"/>
      <c r="L12056" s="1362"/>
    </row>
    <row r="12057" spans="1:12" x14ac:dyDescent="0.25">
      <c r="A12057">
        <v>102106</v>
      </c>
      <c r="B12057" t="s">
        <v>5843</v>
      </c>
      <c r="C12057" t="s">
        <v>138</v>
      </c>
      <c r="D12057" s="254">
        <v>21819.55</v>
      </c>
      <c r="E12057"/>
      <c r="F12057"/>
      <c r="G12057"/>
      <c r="H12057"/>
      <c r="I12057" s="489"/>
      <c r="J12057" s="1362"/>
      <c r="K12057" s="1362"/>
      <c r="L12057" s="1362"/>
    </row>
    <row r="12058" spans="1:12" x14ac:dyDescent="0.25">
      <c r="A12058">
        <v>102107</v>
      </c>
      <c r="B12058" t="s">
        <v>5844</v>
      </c>
      <c r="C12058" t="s">
        <v>138</v>
      </c>
      <c r="D12058" s="254">
        <v>30392.080000000002</v>
      </c>
      <c r="E12058"/>
      <c r="F12058"/>
      <c r="G12058"/>
      <c r="H12058"/>
      <c r="I12058" s="489"/>
      <c r="J12058" s="1362"/>
      <c r="K12058" s="1362"/>
      <c r="L12058" s="1362"/>
    </row>
    <row r="12059" spans="1:12" x14ac:dyDescent="0.25">
      <c r="A12059">
        <v>102108</v>
      </c>
      <c r="B12059" t="s">
        <v>5845</v>
      </c>
      <c r="C12059" t="s">
        <v>138</v>
      </c>
      <c r="D12059" s="254">
        <v>35369.410000000003</v>
      </c>
      <c r="E12059"/>
      <c r="F12059"/>
      <c r="G12059"/>
      <c r="H12059"/>
      <c r="I12059" s="489"/>
      <c r="J12059" s="1362"/>
      <c r="K12059" s="1362"/>
      <c r="L12059" s="1362"/>
    </row>
    <row r="12060" spans="1:12" x14ac:dyDescent="0.25">
      <c r="A12060">
        <v>102109</v>
      </c>
      <c r="B12060" t="s">
        <v>5846</v>
      </c>
      <c r="C12060" t="s">
        <v>138</v>
      </c>
      <c r="D12060" s="254">
        <v>97.23</v>
      </c>
      <c r="E12060"/>
      <c r="F12060"/>
      <c r="G12060"/>
      <c r="H12060"/>
      <c r="I12060" s="489"/>
      <c r="J12060" s="1362"/>
      <c r="K12060" s="1362"/>
      <c r="L12060" s="1362"/>
    </row>
    <row r="12061" spans="1:12" x14ac:dyDescent="0.25">
      <c r="A12061">
        <v>102110</v>
      </c>
      <c r="B12061" t="s">
        <v>5847</v>
      </c>
      <c r="C12061" t="s">
        <v>138</v>
      </c>
      <c r="D12061" s="254">
        <v>329.25</v>
      </c>
      <c r="E12061"/>
      <c r="F12061"/>
      <c r="G12061"/>
      <c r="H12061"/>
      <c r="I12061" s="489"/>
      <c r="J12061" s="1362"/>
      <c r="K12061" s="1362"/>
      <c r="L12061" s="1362"/>
    </row>
    <row r="12062" spans="1:12" x14ac:dyDescent="0.25">
      <c r="A12062">
        <v>103654</v>
      </c>
      <c r="B12062" t="s">
        <v>13520</v>
      </c>
      <c r="C12062" t="s">
        <v>138</v>
      </c>
      <c r="D12062" s="254">
        <v>57164.28</v>
      </c>
      <c r="E12062"/>
      <c r="F12062"/>
      <c r="G12062"/>
      <c r="H12062"/>
      <c r="I12062" s="489"/>
      <c r="J12062" s="1362"/>
      <c r="K12062" s="1362"/>
      <c r="L12062" s="1362"/>
    </row>
    <row r="12063" spans="1:12" x14ac:dyDescent="0.25">
      <c r="A12063">
        <v>103655</v>
      </c>
      <c r="B12063" t="s">
        <v>13521</v>
      </c>
      <c r="C12063" t="s">
        <v>138</v>
      </c>
      <c r="D12063" s="254">
        <v>78272.2</v>
      </c>
      <c r="E12063"/>
      <c r="F12063"/>
      <c r="G12063"/>
      <c r="H12063"/>
      <c r="I12063" s="489"/>
      <c r="J12063" s="1362"/>
      <c r="K12063" s="1362"/>
      <c r="L12063" s="1362"/>
    </row>
    <row r="12064" spans="1:12" x14ac:dyDescent="0.25">
      <c r="A12064">
        <v>103656</v>
      </c>
      <c r="B12064" t="s">
        <v>13522</v>
      </c>
      <c r="C12064" t="s">
        <v>138</v>
      </c>
      <c r="D12064" s="254">
        <v>109382.6</v>
      </c>
      <c r="E12064"/>
      <c r="F12064"/>
      <c r="G12064"/>
      <c r="H12064"/>
      <c r="I12064" s="489"/>
      <c r="J12064" s="1362"/>
      <c r="K12064" s="1362"/>
      <c r="L12064" s="1362"/>
    </row>
    <row r="12065" spans="1:12" x14ac:dyDescent="0.25">
      <c r="A12065">
        <v>93128</v>
      </c>
      <c r="B12065" t="s">
        <v>1515</v>
      </c>
      <c r="C12065" t="s">
        <v>138</v>
      </c>
      <c r="D12065" s="254">
        <v>174.92</v>
      </c>
      <c r="E12065"/>
      <c r="F12065"/>
      <c r="G12065"/>
      <c r="H12065"/>
      <c r="I12065" s="489"/>
      <c r="J12065" s="1362"/>
      <c r="K12065" s="1362"/>
      <c r="L12065" s="1362"/>
    </row>
    <row r="12066" spans="1:12" x14ac:dyDescent="0.25">
      <c r="A12066">
        <v>93137</v>
      </c>
      <c r="B12066" t="s">
        <v>1516</v>
      </c>
      <c r="C12066" t="s">
        <v>138</v>
      </c>
      <c r="D12066" s="254">
        <v>205.7</v>
      </c>
      <c r="E12066"/>
      <c r="F12066"/>
      <c r="G12066"/>
      <c r="H12066"/>
      <c r="I12066" s="489"/>
      <c r="J12066" s="1362"/>
      <c r="K12066" s="1362"/>
      <c r="L12066" s="1362"/>
    </row>
    <row r="12067" spans="1:12" x14ac:dyDescent="0.25">
      <c r="A12067">
        <v>93138</v>
      </c>
      <c r="B12067" t="s">
        <v>1517</v>
      </c>
      <c r="C12067" t="s">
        <v>138</v>
      </c>
      <c r="D12067" s="254">
        <v>195.47</v>
      </c>
      <c r="E12067"/>
      <c r="F12067"/>
      <c r="G12067"/>
      <c r="H12067"/>
      <c r="I12067" s="489"/>
      <c r="J12067" s="1362"/>
      <c r="K12067" s="1362"/>
      <c r="L12067" s="1362"/>
    </row>
    <row r="12068" spans="1:12" x14ac:dyDescent="0.25">
      <c r="A12068">
        <v>93139</v>
      </c>
      <c r="B12068" t="s">
        <v>1518</v>
      </c>
      <c r="C12068" t="s">
        <v>138</v>
      </c>
      <c r="D12068" s="254">
        <v>246.73</v>
      </c>
      <c r="E12068"/>
      <c r="F12068"/>
      <c r="G12068"/>
      <c r="H12068"/>
      <c r="I12068" s="489"/>
      <c r="J12068" s="1362"/>
      <c r="K12068" s="1362"/>
      <c r="L12068" s="1362"/>
    </row>
    <row r="12069" spans="1:12" x14ac:dyDescent="0.25">
      <c r="A12069">
        <v>93140</v>
      </c>
      <c r="B12069" t="s">
        <v>1519</v>
      </c>
      <c r="C12069" t="s">
        <v>138</v>
      </c>
      <c r="D12069" s="254">
        <v>232.73</v>
      </c>
      <c r="E12069"/>
      <c r="F12069"/>
      <c r="G12069"/>
      <c r="H12069"/>
      <c r="I12069" s="489"/>
      <c r="J12069" s="1362"/>
      <c r="K12069" s="1362"/>
      <c r="L12069" s="1362"/>
    </row>
    <row r="12070" spans="1:12" x14ac:dyDescent="0.25">
      <c r="A12070">
        <v>93141</v>
      </c>
      <c r="B12070" t="s">
        <v>1520</v>
      </c>
      <c r="C12070" t="s">
        <v>138</v>
      </c>
      <c r="D12070" s="254">
        <v>210.79</v>
      </c>
      <c r="E12070"/>
      <c r="F12070"/>
      <c r="G12070"/>
      <c r="H12070"/>
      <c r="I12070" s="489"/>
      <c r="J12070" s="1362"/>
      <c r="K12070" s="1362"/>
      <c r="L12070" s="1362"/>
    </row>
    <row r="12071" spans="1:12" x14ac:dyDescent="0.25">
      <c r="A12071">
        <v>93142</v>
      </c>
      <c r="B12071" t="s">
        <v>1521</v>
      </c>
      <c r="C12071" t="s">
        <v>138</v>
      </c>
      <c r="D12071" s="254">
        <v>234.66</v>
      </c>
      <c r="E12071"/>
      <c r="F12071"/>
      <c r="G12071"/>
      <c r="H12071"/>
      <c r="I12071" s="489"/>
      <c r="J12071" s="1362"/>
      <c r="K12071" s="1362"/>
      <c r="L12071" s="1362"/>
    </row>
    <row r="12072" spans="1:12" x14ac:dyDescent="0.25">
      <c r="A12072">
        <v>93143</v>
      </c>
      <c r="B12072" t="s">
        <v>1522</v>
      </c>
      <c r="C12072" t="s">
        <v>138</v>
      </c>
      <c r="D12072" s="254">
        <v>213.07</v>
      </c>
      <c r="E12072"/>
      <c r="F12072"/>
      <c r="G12072"/>
      <c r="H12072"/>
      <c r="I12072" s="489"/>
      <c r="J12072" s="1362"/>
      <c r="K12072" s="1362"/>
      <c r="L12072" s="1362"/>
    </row>
    <row r="12073" spans="1:12" x14ac:dyDescent="0.25">
      <c r="A12073">
        <v>93144</v>
      </c>
      <c r="B12073" t="s">
        <v>1523</v>
      </c>
      <c r="C12073" t="s">
        <v>138</v>
      </c>
      <c r="D12073" s="254">
        <v>264.52999999999997</v>
      </c>
      <c r="E12073"/>
      <c r="F12073"/>
      <c r="G12073"/>
      <c r="H12073"/>
      <c r="I12073" s="489"/>
      <c r="J12073" s="1362"/>
      <c r="K12073" s="1362"/>
      <c r="L12073" s="1362"/>
    </row>
    <row r="12074" spans="1:12" x14ac:dyDescent="0.25">
      <c r="A12074">
        <v>93145</v>
      </c>
      <c r="B12074" t="s">
        <v>1524</v>
      </c>
      <c r="C12074" t="s">
        <v>138</v>
      </c>
      <c r="D12074" s="254">
        <v>254.6</v>
      </c>
      <c r="E12074"/>
      <c r="F12074"/>
      <c r="G12074"/>
      <c r="H12074"/>
      <c r="I12074" s="489"/>
      <c r="J12074" s="1362"/>
      <c r="K12074" s="1362"/>
      <c r="L12074" s="1362"/>
    </row>
    <row r="12075" spans="1:12" x14ac:dyDescent="0.25">
      <c r="A12075">
        <v>93146</v>
      </c>
      <c r="B12075" t="s">
        <v>1525</v>
      </c>
      <c r="C12075" t="s">
        <v>138</v>
      </c>
      <c r="D12075" s="254">
        <v>275.14999999999998</v>
      </c>
      <c r="E12075"/>
      <c r="F12075"/>
      <c r="G12075"/>
      <c r="H12075"/>
      <c r="I12075" s="489"/>
      <c r="J12075" s="1362"/>
      <c r="K12075" s="1362"/>
      <c r="L12075" s="1362"/>
    </row>
    <row r="12076" spans="1:12" x14ac:dyDescent="0.25">
      <c r="A12076">
        <v>93147</v>
      </c>
      <c r="B12076" t="s">
        <v>1526</v>
      </c>
      <c r="C12076" t="s">
        <v>138</v>
      </c>
      <c r="D12076" s="254">
        <v>312.45999999999998</v>
      </c>
      <c r="E12076"/>
      <c r="F12076"/>
      <c r="G12076"/>
      <c r="H12076"/>
      <c r="I12076" s="489"/>
      <c r="J12076" s="1362"/>
      <c r="K12076" s="1362"/>
      <c r="L12076" s="1362"/>
    </row>
    <row r="12077" spans="1:12" x14ac:dyDescent="0.25">
      <c r="A12077">
        <v>96971</v>
      </c>
      <c r="B12077" t="s">
        <v>1527</v>
      </c>
      <c r="C12077" t="s">
        <v>151</v>
      </c>
      <c r="D12077" s="254">
        <v>37.81</v>
      </c>
      <c r="E12077"/>
      <c r="F12077"/>
      <c r="G12077"/>
      <c r="H12077"/>
      <c r="I12077" s="489"/>
      <c r="J12077" s="1362"/>
      <c r="K12077" s="1362"/>
      <c r="L12077" s="1362"/>
    </row>
    <row r="12078" spans="1:12" x14ac:dyDescent="0.25">
      <c r="A12078">
        <v>96972</v>
      </c>
      <c r="B12078" t="s">
        <v>1528</v>
      </c>
      <c r="C12078" t="s">
        <v>151</v>
      </c>
      <c r="D12078" s="254">
        <v>50.9</v>
      </c>
      <c r="E12078"/>
      <c r="F12078"/>
      <c r="G12078"/>
      <c r="H12078"/>
      <c r="I12078" s="489"/>
      <c r="J12078" s="1362"/>
      <c r="K12078" s="1362"/>
      <c r="L12078" s="1362"/>
    </row>
    <row r="12079" spans="1:12" x14ac:dyDescent="0.25">
      <c r="A12079">
        <v>96973</v>
      </c>
      <c r="B12079" t="s">
        <v>1529</v>
      </c>
      <c r="C12079" t="s">
        <v>151</v>
      </c>
      <c r="D12079" s="254">
        <v>66.91</v>
      </c>
      <c r="E12079"/>
      <c r="F12079"/>
      <c r="G12079"/>
      <c r="H12079"/>
      <c r="I12079" s="489"/>
      <c r="J12079" s="1362"/>
      <c r="K12079" s="1362"/>
      <c r="L12079" s="1362"/>
    </row>
    <row r="12080" spans="1:12" x14ac:dyDescent="0.25">
      <c r="A12080">
        <v>96974</v>
      </c>
      <c r="B12080" t="s">
        <v>1530</v>
      </c>
      <c r="C12080" t="s">
        <v>151</v>
      </c>
      <c r="D12080" s="254">
        <v>86.95</v>
      </c>
      <c r="E12080"/>
      <c r="F12080"/>
      <c r="G12080"/>
      <c r="H12080"/>
      <c r="I12080" s="489"/>
      <c r="J12080" s="1362"/>
      <c r="K12080" s="1362"/>
      <c r="L12080" s="1362"/>
    </row>
    <row r="12081" spans="1:12" x14ac:dyDescent="0.25">
      <c r="A12081">
        <v>96975</v>
      </c>
      <c r="B12081" t="s">
        <v>1531</v>
      </c>
      <c r="C12081" t="s">
        <v>151</v>
      </c>
      <c r="D12081" s="254">
        <v>107.91</v>
      </c>
      <c r="E12081"/>
      <c r="F12081"/>
      <c r="G12081"/>
      <c r="H12081"/>
      <c r="I12081" s="489"/>
      <c r="J12081" s="1362"/>
      <c r="K12081" s="1362"/>
      <c r="L12081" s="1362"/>
    </row>
    <row r="12082" spans="1:12" x14ac:dyDescent="0.25">
      <c r="A12082">
        <v>96976</v>
      </c>
      <c r="B12082" t="s">
        <v>1532</v>
      </c>
      <c r="C12082" t="s">
        <v>151</v>
      </c>
      <c r="D12082" s="254">
        <v>141.88999999999999</v>
      </c>
      <c r="E12082"/>
      <c r="F12082"/>
      <c r="G12082"/>
      <c r="H12082"/>
      <c r="I12082" s="489"/>
      <c r="J12082" s="1362"/>
      <c r="K12082" s="1362"/>
      <c r="L12082" s="1362"/>
    </row>
    <row r="12083" spans="1:12" x14ac:dyDescent="0.25">
      <c r="A12083">
        <v>96977</v>
      </c>
      <c r="B12083" t="s">
        <v>1533</v>
      </c>
      <c r="C12083" t="s">
        <v>151</v>
      </c>
      <c r="D12083" s="254">
        <v>56.52</v>
      </c>
      <c r="E12083"/>
      <c r="F12083"/>
      <c r="G12083"/>
      <c r="H12083"/>
      <c r="I12083" s="489"/>
      <c r="J12083" s="1362"/>
      <c r="K12083" s="1362"/>
      <c r="L12083" s="1362"/>
    </row>
    <row r="12084" spans="1:12" x14ac:dyDescent="0.25">
      <c r="A12084">
        <v>96978</v>
      </c>
      <c r="B12084" t="s">
        <v>1534</v>
      </c>
      <c r="C12084" t="s">
        <v>151</v>
      </c>
      <c r="D12084" s="254">
        <v>74.430000000000007</v>
      </c>
      <c r="E12084"/>
      <c r="F12084"/>
      <c r="G12084"/>
      <c r="H12084"/>
      <c r="I12084" s="489"/>
      <c r="J12084" s="1362"/>
      <c r="K12084" s="1362"/>
      <c r="L12084" s="1362"/>
    </row>
    <row r="12085" spans="1:12" x14ac:dyDescent="0.25">
      <c r="A12085">
        <v>96979</v>
      </c>
      <c r="B12085" t="s">
        <v>1535</v>
      </c>
      <c r="C12085" t="s">
        <v>151</v>
      </c>
      <c r="D12085" s="254">
        <v>106.33</v>
      </c>
      <c r="E12085"/>
      <c r="F12085"/>
      <c r="G12085"/>
      <c r="H12085"/>
      <c r="I12085" s="489"/>
      <c r="J12085" s="1362"/>
      <c r="K12085" s="1362"/>
      <c r="L12085" s="1362"/>
    </row>
    <row r="12086" spans="1:12" x14ac:dyDescent="0.25">
      <c r="A12086">
        <v>96984</v>
      </c>
      <c r="B12086" t="s">
        <v>1537</v>
      </c>
      <c r="C12086" t="s">
        <v>138</v>
      </c>
      <c r="D12086" s="254">
        <v>71.42</v>
      </c>
      <c r="E12086"/>
      <c r="F12086"/>
      <c r="G12086"/>
      <c r="H12086"/>
      <c r="I12086" s="489"/>
      <c r="J12086" s="1362"/>
      <c r="K12086" s="1362"/>
      <c r="L12086" s="1362"/>
    </row>
    <row r="12087" spans="1:12" x14ac:dyDescent="0.25">
      <c r="A12087">
        <v>96985</v>
      </c>
      <c r="B12087" t="s">
        <v>1538</v>
      </c>
      <c r="C12087" t="s">
        <v>138</v>
      </c>
      <c r="D12087" s="254">
        <v>81.72</v>
      </c>
      <c r="E12087"/>
      <c r="F12087"/>
      <c r="G12087"/>
      <c r="H12087"/>
      <c r="I12087" s="489"/>
      <c r="J12087" s="1362"/>
      <c r="K12087" s="1362"/>
      <c r="L12087" s="1362"/>
    </row>
    <row r="12088" spans="1:12" x14ac:dyDescent="0.25">
      <c r="A12088">
        <v>96986</v>
      </c>
      <c r="B12088" t="s">
        <v>1539</v>
      </c>
      <c r="C12088" t="s">
        <v>138</v>
      </c>
      <c r="D12088" s="254">
        <v>122.27</v>
      </c>
      <c r="E12088"/>
      <c r="F12088"/>
      <c r="G12088"/>
      <c r="H12088"/>
      <c r="I12088" s="489"/>
      <c r="J12088" s="1362"/>
      <c r="K12088" s="1362"/>
      <c r="L12088" s="1362"/>
    </row>
    <row r="12089" spans="1:12" x14ac:dyDescent="0.25">
      <c r="A12089">
        <v>96987</v>
      </c>
      <c r="B12089" t="s">
        <v>1540</v>
      </c>
      <c r="C12089" t="s">
        <v>138</v>
      </c>
      <c r="D12089" s="254">
        <v>126.33</v>
      </c>
      <c r="E12089"/>
      <c r="F12089"/>
      <c r="G12089"/>
      <c r="H12089"/>
      <c r="I12089" s="489"/>
      <c r="J12089" s="1362"/>
      <c r="K12089" s="1362"/>
      <c r="L12089" s="1362"/>
    </row>
    <row r="12090" spans="1:12" x14ac:dyDescent="0.25">
      <c r="A12090">
        <v>96988</v>
      </c>
      <c r="B12090" t="s">
        <v>1541</v>
      </c>
      <c r="C12090" t="s">
        <v>138</v>
      </c>
      <c r="D12090" s="254">
        <v>170.63</v>
      </c>
      <c r="E12090"/>
      <c r="F12090"/>
      <c r="G12090"/>
      <c r="H12090"/>
      <c r="I12090" s="489"/>
      <c r="J12090" s="1362"/>
      <c r="K12090" s="1362"/>
      <c r="L12090" s="1362"/>
    </row>
    <row r="12091" spans="1:12" x14ac:dyDescent="0.25">
      <c r="A12091">
        <v>96989</v>
      </c>
      <c r="B12091" t="s">
        <v>1542</v>
      </c>
      <c r="C12091" t="s">
        <v>138</v>
      </c>
      <c r="D12091" s="254">
        <v>142.72</v>
      </c>
      <c r="E12091"/>
      <c r="F12091"/>
      <c r="G12091"/>
      <c r="H12091"/>
      <c r="I12091" s="489"/>
      <c r="J12091" s="1362"/>
      <c r="K12091" s="1362"/>
      <c r="L12091" s="1362"/>
    </row>
    <row r="12092" spans="1:12" x14ac:dyDescent="0.25">
      <c r="A12092">
        <v>98463</v>
      </c>
      <c r="B12092" t="s">
        <v>1536</v>
      </c>
      <c r="C12092" t="s">
        <v>138</v>
      </c>
      <c r="D12092" s="254">
        <v>28.77</v>
      </c>
      <c r="E12092"/>
      <c r="F12092"/>
      <c r="G12092"/>
      <c r="H12092"/>
      <c r="I12092" s="489"/>
      <c r="J12092" s="1362"/>
      <c r="K12092" s="1362"/>
      <c r="L12092" s="1362"/>
    </row>
    <row r="12093" spans="1:12" x14ac:dyDescent="0.25">
      <c r="A12093">
        <v>103490</v>
      </c>
      <c r="B12093" t="s">
        <v>7410</v>
      </c>
      <c r="C12093" t="s">
        <v>1159</v>
      </c>
      <c r="D12093" s="254">
        <v>3329.42</v>
      </c>
      <c r="E12093"/>
      <c r="F12093"/>
      <c r="G12093"/>
      <c r="H12093"/>
      <c r="I12093" s="489"/>
      <c r="J12093" s="1362"/>
      <c r="K12093" s="1362"/>
      <c r="L12093" s="1362"/>
    </row>
    <row r="12094" spans="1:12" x14ac:dyDescent="0.25">
      <c r="A12094">
        <v>103491</v>
      </c>
      <c r="B12094" t="s">
        <v>7411</v>
      </c>
      <c r="C12094" t="s">
        <v>1159</v>
      </c>
      <c r="D12094" s="254">
        <v>927.96</v>
      </c>
      <c r="E12094"/>
      <c r="F12094"/>
      <c r="G12094"/>
      <c r="H12094"/>
      <c r="I12094" s="489"/>
      <c r="J12094" s="1362"/>
      <c r="K12094" s="1362"/>
      <c r="L12094" s="1362"/>
    </row>
    <row r="12095" spans="1:12" x14ac:dyDescent="0.25">
      <c r="A12095">
        <v>96765</v>
      </c>
      <c r="B12095" t="s">
        <v>5353</v>
      </c>
      <c r="C12095" t="s">
        <v>138</v>
      </c>
      <c r="D12095" s="254">
        <v>1121.07</v>
      </c>
      <c r="E12095"/>
      <c r="F12095"/>
      <c r="G12095"/>
      <c r="H12095"/>
      <c r="I12095" s="489"/>
      <c r="J12095" s="1362"/>
      <c r="K12095" s="1362"/>
      <c r="L12095" s="1362"/>
    </row>
    <row r="12096" spans="1:12" x14ac:dyDescent="0.25">
      <c r="A12096">
        <v>101905</v>
      </c>
      <c r="B12096" t="s">
        <v>5354</v>
      </c>
      <c r="C12096" t="s">
        <v>138</v>
      </c>
      <c r="D12096" s="254">
        <v>191.91</v>
      </c>
      <c r="E12096"/>
      <c r="F12096"/>
      <c r="G12096"/>
      <c r="H12096"/>
      <c r="I12096" s="489"/>
      <c r="J12096" s="1362"/>
      <c r="K12096" s="1362"/>
      <c r="L12096" s="1362"/>
    </row>
    <row r="12097" spans="1:12" x14ac:dyDescent="0.25">
      <c r="A12097">
        <v>101906</v>
      </c>
      <c r="B12097" t="s">
        <v>5355</v>
      </c>
      <c r="C12097" t="s">
        <v>138</v>
      </c>
      <c r="D12097" s="254">
        <v>551.62</v>
      </c>
      <c r="E12097"/>
      <c r="F12097"/>
      <c r="G12097"/>
      <c r="H12097"/>
      <c r="I12097" s="489"/>
      <c r="J12097" s="1362"/>
      <c r="K12097" s="1362"/>
      <c r="L12097" s="1362"/>
    </row>
    <row r="12098" spans="1:12" x14ac:dyDescent="0.25">
      <c r="A12098">
        <v>101907</v>
      </c>
      <c r="B12098" t="s">
        <v>5356</v>
      </c>
      <c r="C12098" t="s">
        <v>138</v>
      </c>
      <c r="D12098" s="254">
        <v>595.45000000000005</v>
      </c>
      <c r="E12098"/>
      <c r="F12098"/>
      <c r="G12098"/>
      <c r="H12098"/>
      <c r="I12098" s="489"/>
      <c r="J12098" s="1362"/>
      <c r="K12098" s="1362"/>
      <c r="L12098" s="1362"/>
    </row>
    <row r="12099" spans="1:12" x14ac:dyDescent="0.25">
      <c r="A12099">
        <v>101908</v>
      </c>
      <c r="B12099" t="s">
        <v>5357</v>
      </c>
      <c r="C12099" t="s">
        <v>138</v>
      </c>
      <c r="D12099" s="254">
        <v>186.43</v>
      </c>
      <c r="E12099"/>
      <c r="F12099"/>
      <c r="G12099"/>
      <c r="H12099"/>
      <c r="I12099" s="489"/>
      <c r="J12099" s="1362"/>
      <c r="K12099" s="1362"/>
      <c r="L12099" s="1362"/>
    </row>
    <row r="12100" spans="1:12" x14ac:dyDescent="0.25">
      <c r="A12100">
        <v>101909</v>
      </c>
      <c r="B12100" t="s">
        <v>5358</v>
      </c>
      <c r="C12100" t="s">
        <v>138</v>
      </c>
      <c r="D12100" s="254">
        <v>215.65</v>
      </c>
      <c r="E12100"/>
      <c r="F12100"/>
      <c r="G12100"/>
      <c r="H12100"/>
      <c r="I12100" s="489"/>
      <c r="J12100" s="1362"/>
      <c r="K12100" s="1362"/>
      <c r="L12100" s="1362"/>
    </row>
    <row r="12101" spans="1:12" x14ac:dyDescent="0.25">
      <c r="A12101">
        <v>101910</v>
      </c>
      <c r="B12101" t="s">
        <v>5359</v>
      </c>
      <c r="C12101" t="s">
        <v>138</v>
      </c>
      <c r="D12101" s="254">
        <v>252.16</v>
      </c>
      <c r="E12101"/>
      <c r="F12101"/>
      <c r="G12101"/>
      <c r="H12101"/>
      <c r="I12101" s="489"/>
      <c r="J12101" s="1362"/>
      <c r="K12101" s="1362"/>
      <c r="L12101" s="1362"/>
    </row>
    <row r="12102" spans="1:12" x14ac:dyDescent="0.25">
      <c r="A12102">
        <v>101911</v>
      </c>
      <c r="B12102" t="s">
        <v>5360</v>
      </c>
      <c r="C12102" t="s">
        <v>138</v>
      </c>
      <c r="D12102" s="254">
        <v>288.68</v>
      </c>
      <c r="E12102"/>
      <c r="F12102"/>
      <c r="G12102"/>
      <c r="H12102"/>
      <c r="I12102" s="489"/>
      <c r="J12102" s="1362"/>
      <c r="K12102" s="1362"/>
      <c r="L12102" s="1362"/>
    </row>
    <row r="12103" spans="1:12" x14ac:dyDescent="0.25">
      <c r="A12103">
        <v>101912</v>
      </c>
      <c r="B12103" t="s">
        <v>5361</v>
      </c>
      <c r="C12103" t="s">
        <v>138</v>
      </c>
      <c r="D12103" s="254">
        <v>1411.04</v>
      </c>
      <c r="E12103"/>
      <c r="F12103"/>
      <c r="G12103"/>
      <c r="H12103"/>
      <c r="I12103" s="489"/>
      <c r="J12103" s="1362"/>
      <c r="K12103" s="1362"/>
      <c r="L12103" s="1362"/>
    </row>
    <row r="12104" spans="1:12" x14ac:dyDescent="0.25">
      <c r="A12104">
        <v>101913</v>
      </c>
      <c r="B12104" t="s">
        <v>5362</v>
      </c>
      <c r="C12104" t="s">
        <v>138</v>
      </c>
      <c r="D12104" s="254">
        <v>539.46</v>
      </c>
      <c r="E12104"/>
      <c r="F12104"/>
      <c r="G12104"/>
      <c r="H12104"/>
      <c r="I12104" s="489"/>
      <c r="J12104" s="1362"/>
      <c r="K12104" s="1362"/>
      <c r="L12104" s="1362"/>
    </row>
    <row r="12105" spans="1:12" x14ac:dyDescent="0.25">
      <c r="A12105">
        <v>101914</v>
      </c>
      <c r="B12105" t="s">
        <v>5363</v>
      </c>
      <c r="C12105" t="s">
        <v>138</v>
      </c>
      <c r="D12105" s="254">
        <v>450.91</v>
      </c>
      <c r="E12105"/>
      <c r="F12105"/>
      <c r="G12105"/>
      <c r="H12105"/>
      <c r="I12105" s="489"/>
      <c r="J12105" s="1362"/>
      <c r="K12105" s="1362"/>
      <c r="L12105" s="1362"/>
    </row>
    <row r="12106" spans="1:12" x14ac:dyDescent="0.25">
      <c r="A12106">
        <v>101915</v>
      </c>
      <c r="B12106" t="s">
        <v>5364</v>
      </c>
      <c r="C12106" t="s">
        <v>138</v>
      </c>
      <c r="D12106" s="254">
        <v>257.33999999999997</v>
      </c>
      <c r="E12106"/>
      <c r="F12106"/>
      <c r="G12106"/>
      <c r="H12106"/>
      <c r="I12106" s="489"/>
      <c r="J12106" s="1362"/>
      <c r="K12106" s="1362"/>
      <c r="L12106" s="1362"/>
    </row>
    <row r="12107" spans="1:12" x14ac:dyDescent="0.25">
      <c r="A12107">
        <v>101916</v>
      </c>
      <c r="B12107" t="s">
        <v>5365</v>
      </c>
      <c r="C12107" t="s">
        <v>138</v>
      </c>
      <c r="D12107" s="254">
        <v>3396.04</v>
      </c>
      <c r="E12107"/>
      <c r="F12107"/>
      <c r="G12107"/>
      <c r="H12107"/>
      <c r="I12107" s="489"/>
      <c r="J12107" s="1362"/>
      <c r="K12107" s="1362"/>
      <c r="L12107" s="1362"/>
    </row>
    <row r="12108" spans="1:12" x14ac:dyDescent="0.25">
      <c r="A12108">
        <v>101917</v>
      </c>
      <c r="B12108" t="s">
        <v>5366</v>
      </c>
      <c r="C12108" t="s">
        <v>138</v>
      </c>
      <c r="D12108" s="254">
        <v>152.03</v>
      </c>
      <c r="E12108"/>
      <c r="F12108"/>
      <c r="G12108"/>
      <c r="H12108"/>
      <c r="I12108" s="489"/>
      <c r="J12108" s="1362"/>
      <c r="K12108" s="1362"/>
      <c r="L12108" s="1362"/>
    </row>
    <row r="12109" spans="1:12" x14ac:dyDescent="0.25">
      <c r="A12109">
        <v>98261</v>
      </c>
      <c r="B12109" t="s">
        <v>3666</v>
      </c>
      <c r="C12109" t="s">
        <v>151</v>
      </c>
      <c r="D12109" s="254">
        <v>4.7</v>
      </c>
      <c r="E12109"/>
      <c r="F12109"/>
      <c r="G12109"/>
      <c r="H12109"/>
      <c r="I12109" s="489"/>
      <c r="J12109" s="1362"/>
      <c r="K12109" s="1362"/>
      <c r="L12109" s="1362"/>
    </row>
    <row r="12110" spans="1:12" x14ac:dyDescent="0.25">
      <c r="A12110">
        <v>98262</v>
      </c>
      <c r="B12110" t="s">
        <v>3667</v>
      </c>
      <c r="C12110" t="s">
        <v>151</v>
      </c>
      <c r="D12110" s="254">
        <v>5.65</v>
      </c>
      <c r="E12110"/>
      <c r="F12110"/>
      <c r="G12110"/>
      <c r="H12110"/>
      <c r="I12110" s="489"/>
      <c r="J12110" s="1362"/>
      <c r="K12110" s="1362"/>
      <c r="L12110" s="1362"/>
    </row>
    <row r="12111" spans="1:12" x14ac:dyDescent="0.25">
      <c r="A12111">
        <v>98263</v>
      </c>
      <c r="B12111" t="s">
        <v>3668</v>
      </c>
      <c r="C12111" t="s">
        <v>151</v>
      </c>
      <c r="D12111" s="254">
        <v>5.92</v>
      </c>
      <c r="E12111"/>
      <c r="F12111"/>
      <c r="G12111"/>
      <c r="H12111"/>
      <c r="I12111" s="489"/>
      <c r="J12111" s="1362"/>
      <c r="K12111" s="1362"/>
      <c r="L12111" s="1362"/>
    </row>
    <row r="12112" spans="1:12" x14ac:dyDescent="0.25">
      <c r="A12112">
        <v>98264</v>
      </c>
      <c r="B12112" t="s">
        <v>3669</v>
      </c>
      <c r="C12112" t="s">
        <v>151</v>
      </c>
      <c r="D12112" s="254">
        <v>6.91</v>
      </c>
      <c r="E12112"/>
      <c r="F12112"/>
      <c r="G12112"/>
      <c r="H12112"/>
      <c r="I12112" s="489"/>
      <c r="J12112" s="1362"/>
      <c r="K12112" s="1362"/>
      <c r="L12112" s="1362"/>
    </row>
    <row r="12113" spans="1:12" x14ac:dyDescent="0.25">
      <c r="A12113">
        <v>98265</v>
      </c>
      <c r="B12113" t="s">
        <v>3670</v>
      </c>
      <c r="C12113" t="s">
        <v>151</v>
      </c>
      <c r="D12113" s="254">
        <v>7.58</v>
      </c>
      <c r="E12113"/>
      <c r="F12113"/>
      <c r="G12113"/>
      <c r="H12113"/>
      <c r="I12113" s="489"/>
      <c r="J12113" s="1362"/>
      <c r="K12113" s="1362"/>
      <c r="L12113" s="1362"/>
    </row>
    <row r="12114" spans="1:12" x14ac:dyDescent="0.25">
      <c r="A12114">
        <v>98266</v>
      </c>
      <c r="B12114" t="s">
        <v>3671</v>
      </c>
      <c r="C12114" t="s">
        <v>151</v>
      </c>
      <c r="D12114" s="254">
        <v>8.48</v>
      </c>
      <c r="E12114"/>
      <c r="F12114"/>
      <c r="G12114"/>
      <c r="H12114"/>
      <c r="I12114" s="489"/>
      <c r="J12114" s="1362"/>
      <c r="K12114" s="1362"/>
      <c r="L12114" s="1362"/>
    </row>
    <row r="12115" spans="1:12" x14ac:dyDescent="0.25">
      <c r="A12115">
        <v>98267</v>
      </c>
      <c r="B12115" t="s">
        <v>3672</v>
      </c>
      <c r="C12115" t="s">
        <v>151</v>
      </c>
      <c r="D12115" s="254">
        <v>13.11</v>
      </c>
      <c r="E12115"/>
      <c r="F12115"/>
      <c r="G12115"/>
      <c r="H12115"/>
      <c r="I12115" s="489"/>
      <c r="J12115" s="1362"/>
      <c r="K12115" s="1362"/>
      <c r="L12115" s="1362"/>
    </row>
    <row r="12116" spans="1:12" x14ac:dyDescent="0.25">
      <c r="A12116">
        <v>98268</v>
      </c>
      <c r="B12116" t="s">
        <v>3673</v>
      </c>
      <c r="C12116" t="s">
        <v>151</v>
      </c>
      <c r="D12116" s="254">
        <v>20.440000000000001</v>
      </c>
      <c r="E12116"/>
      <c r="F12116"/>
      <c r="G12116"/>
      <c r="H12116"/>
      <c r="I12116" s="489"/>
      <c r="J12116" s="1362"/>
      <c r="K12116" s="1362"/>
      <c r="L12116" s="1362"/>
    </row>
    <row r="12117" spans="1:12" x14ac:dyDescent="0.25">
      <c r="A12117">
        <v>98269</v>
      </c>
      <c r="B12117" t="s">
        <v>3674</v>
      </c>
      <c r="C12117" t="s">
        <v>151</v>
      </c>
      <c r="D12117" s="254">
        <v>27.51</v>
      </c>
      <c r="E12117"/>
      <c r="F12117"/>
      <c r="G12117"/>
      <c r="H12117"/>
      <c r="I12117" s="489"/>
      <c r="J12117" s="1362"/>
      <c r="K12117" s="1362"/>
      <c r="L12117" s="1362"/>
    </row>
    <row r="12118" spans="1:12" x14ac:dyDescent="0.25">
      <c r="A12118">
        <v>98270</v>
      </c>
      <c r="B12118" t="s">
        <v>3675</v>
      </c>
      <c r="C12118" t="s">
        <v>151</v>
      </c>
      <c r="D12118" s="254">
        <v>40.81</v>
      </c>
      <c r="E12118"/>
      <c r="F12118"/>
      <c r="G12118"/>
      <c r="H12118"/>
      <c r="I12118" s="489"/>
      <c r="J12118" s="1362"/>
      <c r="K12118" s="1362"/>
      <c r="L12118" s="1362"/>
    </row>
    <row r="12119" spans="1:12" x14ac:dyDescent="0.25">
      <c r="A12119">
        <v>98271</v>
      </c>
      <c r="B12119" t="s">
        <v>3676</v>
      </c>
      <c r="C12119" t="s">
        <v>151</v>
      </c>
      <c r="D12119" s="254">
        <v>56.78</v>
      </c>
      <c r="E12119"/>
      <c r="F12119"/>
      <c r="G12119"/>
      <c r="H12119"/>
      <c r="I12119" s="489"/>
      <c r="J12119" s="1362"/>
      <c r="K12119" s="1362"/>
      <c r="L12119" s="1362"/>
    </row>
    <row r="12120" spans="1:12" x14ac:dyDescent="0.25">
      <c r="A12120">
        <v>98272</v>
      </c>
      <c r="B12120" t="s">
        <v>3677</v>
      </c>
      <c r="C12120" t="s">
        <v>151</v>
      </c>
      <c r="D12120" s="254">
        <v>128.32</v>
      </c>
      <c r="E12120"/>
      <c r="F12120"/>
      <c r="G12120"/>
      <c r="H12120"/>
      <c r="I12120" s="489"/>
      <c r="J12120" s="1362"/>
      <c r="K12120" s="1362"/>
      <c r="L12120" s="1362"/>
    </row>
    <row r="12121" spans="1:12" x14ac:dyDescent="0.25">
      <c r="A12121">
        <v>98273</v>
      </c>
      <c r="B12121" t="s">
        <v>3678</v>
      </c>
      <c r="C12121" t="s">
        <v>151</v>
      </c>
      <c r="D12121" s="254">
        <v>3.08</v>
      </c>
      <c r="E12121"/>
      <c r="F12121"/>
      <c r="G12121"/>
      <c r="H12121"/>
      <c r="I12121" s="489"/>
      <c r="J12121" s="1362"/>
      <c r="K12121" s="1362"/>
      <c r="L12121" s="1362"/>
    </row>
    <row r="12122" spans="1:12" x14ac:dyDescent="0.25">
      <c r="A12122">
        <v>98274</v>
      </c>
      <c r="B12122" t="s">
        <v>3679</v>
      </c>
      <c r="C12122" t="s">
        <v>151</v>
      </c>
      <c r="D12122" s="254">
        <v>3.75</v>
      </c>
      <c r="E12122"/>
      <c r="F12122"/>
      <c r="G12122"/>
      <c r="H12122"/>
      <c r="I12122" s="489"/>
      <c r="J12122" s="1362"/>
      <c r="K12122" s="1362"/>
      <c r="L12122" s="1362"/>
    </row>
    <row r="12123" spans="1:12" x14ac:dyDescent="0.25">
      <c r="A12123">
        <v>98275</v>
      </c>
      <c r="B12123" t="s">
        <v>3680</v>
      </c>
      <c r="C12123" t="s">
        <v>151</v>
      </c>
      <c r="D12123" s="254">
        <v>4.6500000000000004</v>
      </c>
      <c r="E12123"/>
      <c r="F12123"/>
      <c r="G12123"/>
      <c r="H12123"/>
      <c r="I12123" s="489"/>
      <c r="J12123" s="1362"/>
      <c r="K12123" s="1362"/>
      <c r="L12123" s="1362"/>
    </row>
    <row r="12124" spans="1:12" x14ac:dyDescent="0.25">
      <c r="A12124">
        <v>98276</v>
      </c>
      <c r="B12124" t="s">
        <v>3681</v>
      </c>
      <c r="C12124" t="s">
        <v>151</v>
      </c>
      <c r="D12124" s="254">
        <v>9.2799999999999994</v>
      </c>
      <c r="E12124"/>
      <c r="F12124"/>
      <c r="G12124"/>
      <c r="H12124"/>
      <c r="I12124" s="489"/>
      <c r="J12124" s="1362"/>
      <c r="K12124" s="1362"/>
      <c r="L12124" s="1362"/>
    </row>
    <row r="12125" spans="1:12" x14ac:dyDescent="0.25">
      <c r="A12125">
        <v>98277</v>
      </c>
      <c r="B12125" t="s">
        <v>3682</v>
      </c>
      <c r="C12125" t="s">
        <v>151</v>
      </c>
      <c r="D12125" s="254">
        <v>16.62</v>
      </c>
      <c r="E12125"/>
      <c r="F12125"/>
      <c r="G12125"/>
      <c r="H12125"/>
      <c r="I12125" s="489"/>
      <c r="J12125" s="1362"/>
      <c r="K12125" s="1362"/>
      <c r="L12125" s="1362"/>
    </row>
    <row r="12126" spans="1:12" x14ac:dyDescent="0.25">
      <c r="A12126">
        <v>98278</v>
      </c>
      <c r="B12126" t="s">
        <v>3683</v>
      </c>
      <c r="C12126" t="s">
        <v>151</v>
      </c>
      <c r="D12126" s="254">
        <v>23.69</v>
      </c>
      <c r="E12126"/>
      <c r="F12126"/>
      <c r="G12126"/>
      <c r="H12126"/>
      <c r="I12126" s="489"/>
      <c r="J12126" s="1362"/>
      <c r="K12126" s="1362"/>
      <c r="L12126" s="1362"/>
    </row>
    <row r="12127" spans="1:12" x14ac:dyDescent="0.25">
      <c r="A12127">
        <v>98279</v>
      </c>
      <c r="B12127" t="s">
        <v>3684</v>
      </c>
      <c r="C12127" t="s">
        <v>151</v>
      </c>
      <c r="D12127" s="254">
        <v>36.97</v>
      </c>
      <c r="E12127"/>
      <c r="F12127"/>
      <c r="G12127"/>
      <c r="H12127"/>
      <c r="I12127" s="489"/>
      <c r="J12127" s="1362"/>
      <c r="K12127" s="1362"/>
      <c r="L12127" s="1362"/>
    </row>
    <row r="12128" spans="1:12" x14ac:dyDescent="0.25">
      <c r="A12128">
        <v>98280</v>
      </c>
      <c r="B12128" t="s">
        <v>3685</v>
      </c>
      <c r="C12128" t="s">
        <v>151</v>
      </c>
      <c r="D12128" s="254">
        <v>9.6300000000000008</v>
      </c>
      <c r="E12128"/>
      <c r="F12128"/>
      <c r="G12128"/>
      <c r="H12128"/>
      <c r="I12128" s="489"/>
      <c r="J12128" s="1362"/>
      <c r="K12128" s="1362"/>
      <c r="L12128" s="1362"/>
    </row>
    <row r="12129" spans="1:12" x14ac:dyDescent="0.25">
      <c r="A12129">
        <v>98281</v>
      </c>
      <c r="B12129" t="s">
        <v>3686</v>
      </c>
      <c r="C12129" t="s">
        <v>151</v>
      </c>
      <c r="D12129" s="254">
        <v>10.58</v>
      </c>
      <c r="E12129"/>
      <c r="F12129"/>
      <c r="G12129"/>
      <c r="H12129"/>
      <c r="I12129" s="489"/>
      <c r="J12129" s="1362"/>
      <c r="K12129" s="1362"/>
      <c r="L12129" s="1362"/>
    </row>
    <row r="12130" spans="1:12" x14ac:dyDescent="0.25">
      <c r="A12130">
        <v>98282</v>
      </c>
      <c r="B12130" t="s">
        <v>3687</v>
      </c>
      <c r="C12130" t="s">
        <v>151</v>
      </c>
      <c r="D12130" s="254">
        <v>10.84</v>
      </c>
      <c r="E12130"/>
      <c r="F12130"/>
      <c r="G12130"/>
      <c r="H12130"/>
      <c r="I12130" s="489"/>
      <c r="J12130" s="1362"/>
      <c r="K12130" s="1362"/>
      <c r="L12130" s="1362"/>
    </row>
    <row r="12131" spans="1:12" x14ac:dyDescent="0.25">
      <c r="A12131">
        <v>98283</v>
      </c>
      <c r="B12131" t="s">
        <v>3688</v>
      </c>
      <c r="C12131" t="s">
        <v>151</v>
      </c>
      <c r="D12131" s="254">
        <v>11.83</v>
      </c>
      <c r="E12131"/>
      <c r="F12131"/>
      <c r="G12131"/>
      <c r="H12131"/>
      <c r="I12131" s="489"/>
      <c r="J12131" s="1362"/>
      <c r="K12131" s="1362"/>
      <c r="L12131" s="1362"/>
    </row>
    <row r="12132" spans="1:12" x14ac:dyDescent="0.25">
      <c r="A12132">
        <v>98284</v>
      </c>
      <c r="B12132" t="s">
        <v>3689</v>
      </c>
      <c r="C12132" t="s">
        <v>151</v>
      </c>
      <c r="D12132" s="254">
        <v>12.5</v>
      </c>
      <c r="E12132"/>
      <c r="F12132"/>
      <c r="G12132"/>
      <c r="H12132"/>
      <c r="I12132" s="489"/>
      <c r="J12132" s="1362"/>
      <c r="K12132" s="1362"/>
      <c r="L12132" s="1362"/>
    </row>
    <row r="12133" spans="1:12" x14ac:dyDescent="0.25">
      <c r="A12133">
        <v>98285</v>
      </c>
      <c r="B12133" t="s">
        <v>3690</v>
      </c>
      <c r="C12133" t="s">
        <v>151</v>
      </c>
      <c r="D12133" s="254">
        <v>13.4</v>
      </c>
      <c r="E12133"/>
      <c r="F12133"/>
      <c r="G12133"/>
      <c r="H12133"/>
      <c r="I12133" s="489"/>
      <c r="J12133" s="1362"/>
      <c r="K12133" s="1362"/>
      <c r="L12133" s="1362"/>
    </row>
    <row r="12134" spans="1:12" x14ac:dyDescent="0.25">
      <c r="A12134">
        <v>98286</v>
      </c>
      <c r="B12134" t="s">
        <v>3691</v>
      </c>
      <c r="C12134" t="s">
        <v>151</v>
      </c>
      <c r="D12134" s="254">
        <v>18.04</v>
      </c>
      <c r="E12134"/>
      <c r="F12134"/>
      <c r="G12134"/>
      <c r="H12134"/>
      <c r="I12134" s="489"/>
      <c r="J12134" s="1362"/>
      <c r="K12134" s="1362"/>
      <c r="L12134" s="1362"/>
    </row>
    <row r="12135" spans="1:12" x14ac:dyDescent="0.25">
      <c r="A12135">
        <v>98287</v>
      </c>
      <c r="B12135" t="s">
        <v>3692</v>
      </c>
      <c r="C12135" t="s">
        <v>151</v>
      </c>
      <c r="D12135" s="254">
        <v>1.75</v>
      </c>
      <c r="E12135"/>
      <c r="F12135"/>
      <c r="G12135"/>
      <c r="H12135"/>
      <c r="I12135" s="489"/>
      <c r="J12135" s="1362"/>
      <c r="K12135" s="1362"/>
      <c r="L12135" s="1362"/>
    </row>
    <row r="12136" spans="1:12" x14ac:dyDescent="0.25">
      <c r="A12136">
        <v>98288</v>
      </c>
      <c r="B12136" t="s">
        <v>3693</v>
      </c>
      <c r="C12136" t="s">
        <v>151</v>
      </c>
      <c r="D12136" s="254">
        <v>2.7</v>
      </c>
      <c r="E12136"/>
      <c r="F12136"/>
      <c r="G12136"/>
      <c r="H12136"/>
      <c r="I12136" s="489"/>
      <c r="J12136" s="1362"/>
      <c r="K12136" s="1362"/>
      <c r="L12136" s="1362"/>
    </row>
    <row r="12137" spans="1:12" x14ac:dyDescent="0.25">
      <c r="A12137">
        <v>98289</v>
      </c>
      <c r="B12137" t="s">
        <v>3694</v>
      </c>
      <c r="C12137" t="s">
        <v>151</v>
      </c>
      <c r="D12137" s="254">
        <v>2.95</v>
      </c>
      <c r="E12137"/>
      <c r="F12137"/>
      <c r="G12137"/>
      <c r="H12137"/>
      <c r="I12137" s="489"/>
      <c r="J12137" s="1362"/>
      <c r="K12137" s="1362"/>
      <c r="L12137" s="1362"/>
    </row>
    <row r="12138" spans="1:12" x14ac:dyDescent="0.25">
      <c r="A12138">
        <v>98290</v>
      </c>
      <c r="B12138" t="s">
        <v>3695</v>
      </c>
      <c r="C12138" t="s">
        <v>151</v>
      </c>
      <c r="D12138" s="254">
        <v>3.95</v>
      </c>
      <c r="E12138"/>
      <c r="F12138"/>
      <c r="G12138"/>
      <c r="H12138"/>
      <c r="I12138" s="489"/>
      <c r="J12138" s="1362"/>
      <c r="K12138" s="1362"/>
      <c r="L12138" s="1362"/>
    </row>
    <row r="12139" spans="1:12" x14ac:dyDescent="0.25">
      <c r="A12139">
        <v>98291</v>
      </c>
      <c r="B12139" t="s">
        <v>3696</v>
      </c>
      <c r="C12139" t="s">
        <v>151</v>
      </c>
      <c r="D12139" s="254">
        <v>4.63</v>
      </c>
      <c r="E12139"/>
      <c r="F12139"/>
      <c r="G12139"/>
      <c r="H12139"/>
      <c r="I12139" s="489"/>
      <c r="J12139" s="1362"/>
      <c r="K12139" s="1362"/>
      <c r="L12139" s="1362"/>
    </row>
    <row r="12140" spans="1:12" x14ac:dyDescent="0.25">
      <c r="A12140">
        <v>98292</v>
      </c>
      <c r="B12140" t="s">
        <v>3697</v>
      </c>
      <c r="C12140" t="s">
        <v>151</v>
      </c>
      <c r="D12140" s="254">
        <v>5.53</v>
      </c>
      <c r="E12140"/>
      <c r="F12140"/>
      <c r="G12140"/>
      <c r="H12140"/>
      <c r="I12140" s="489"/>
      <c r="J12140" s="1362"/>
      <c r="K12140" s="1362"/>
      <c r="L12140" s="1362"/>
    </row>
    <row r="12141" spans="1:12" x14ac:dyDescent="0.25">
      <c r="A12141">
        <v>98293</v>
      </c>
      <c r="B12141" t="s">
        <v>3698</v>
      </c>
      <c r="C12141" t="s">
        <v>151</v>
      </c>
      <c r="D12141" s="254">
        <v>10.16</v>
      </c>
      <c r="E12141"/>
      <c r="F12141"/>
      <c r="G12141"/>
      <c r="H12141"/>
      <c r="I12141" s="489"/>
      <c r="J12141" s="1362"/>
      <c r="K12141" s="1362"/>
      <c r="L12141" s="1362"/>
    </row>
    <row r="12142" spans="1:12" x14ac:dyDescent="0.25">
      <c r="A12142">
        <v>98400</v>
      </c>
      <c r="B12142" t="s">
        <v>3699</v>
      </c>
      <c r="C12142" t="s">
        <v>151</v>
      </c>
      <c r="D12142" s="254">
        <v>15.8</v>
      </c>
      <c r="E12142"/>
      <c r="F12142"/>
      <c r="G12142"/>
      <c r="H12142"/>
      <c r="I12142" s="489"/>
      <c r="J12142" s="1362"/>
      <c r="K12142" s="1362"/>
      <c r="L12142" s="1362"/>
    </row>
    <row r="12143" spans="1:12" x14ac:dyDescent="0.25">
      <c r="A12143">
        <v>98401</v>
      </c>
      <c r="B12143" t="s">
        <v>3700</v>
      </c>
      <c r="C12143" t="s">
        <v>151</v>
      </c>
      <c r="D12143" s="254">
        <v>24.16</v>
      </c>
      <c r="E12143"/>
      <c r="F12143"/>
      <c r="G12143"/>
      <c r="H12143"/>
      <c r="I12143" s="489"/>
      <c r="J12143" s="1362"/>
      <c r="K12143" s="1362"/>
      <c r="L12143" s="1362"/>
    </row>
    <row r="12144" spans="1:12" x14ac:dyDescent="0.25">
      <c r="A12144">
        <v>98402</v>
      </c>
      <c r="B12144" t="s">
        <v>3701</v>
      </c>
      <c r="C12144" t="s">
        <v>151</v>
      </c>
      <c r="D12144" s="254">
        <v>28.09</v>
      </c>
      <c r="E12144"/>
      <c r="F12144"/>
      <c r="G12144"/>
      <c r="H12144"/>
      <c r="I12144" s="489"/>
      <c r="J12144" s="1362"/>
      <c r="K12144" s="1362"/>
      <c r="L12144" s="1362"/>
    </row>
    <row r="12145" spans="1:12" x14ac:dyDescent="0.25">
      <c r="A12145">
        <v>100556</v>
      </c>
      <c r="B12145" t="s">
        <v>3702</v>
      </c>
      <c r="C12145" t="s">
        <v>138</v>
      </c>
      <c r="D12145" s="254">
        <v>47.65</v>
      </c>
      <c r="E12145"/>
      <c r="F12145"/>
      <c r="G12145"/>
      <c r="H12145"/>
      <c r="I12145" s="489"/>
      <c r="J12145" s="1362"/>
      <c r="K12145" s="1362"/>
      <c r="L12145" s="1362"/>
    </row>
    <row r="12146" spans="1:12" x14ac:dyDescent="0.25">
      <c r="A12146">
        <v>100557</v>
      </c>
      <c r="B12146" t="s">
        <v>3703</v>
      </c>
      <c r="C12146" t="s">
        <v>138</v>
      </c>
      <c r="D12146" s="254">
        <v>545.29999999999995</v>
      </c>
      <c r="E12146"/>
      <c r="F12146"/>
      <c r="G12146"/>
      <c r="H12146"/>
      <c r="I12146" s="489"/>
      <c r="J12146" s="1362"/>
      <c r="K12146" s="1362"/>
      <c r="L12146" s="1362"/>
    </row>
    <row r="12147" spans="1:12" x14ac:dyDescent="0.25">
      <c r="A12147">
        <v>100560</v>
      </c>
      <c r="B12147" t="s">
        <v>3704</v>
      </c>
      <c r="C12147" t="s">
        <v>138</v>
      </c>
      <c r="D12147" s="254">
        <v>128.68</v>
      </c>
      <c r="E12147"/>
      <c r="F12147"/>
      <c r="G12147"/>
      <c r="H12147"/>
      <c r="I12147" s="489"/>
      <c r="J12147" s="1362"/>
      <c r="K12147" s="1362"/>
      <c r="L12147" s="1362"/>
    </row>
    <row r="12148" spans="1:12" x14ac:dyDescent="0.25">
      <c r="A12148">
        <v>100561</v>
      </c>
      <c r="B12148" t="s">
        <v>3705</v>
      </c>
      <c r="C12148" t="s">
        <v>138</v>
      </c>
      <c r="D12148" s="254">
        <v>225.66</v>
      </c>
      <c r="E12148"/>
      <c r="F12148"/>
      <c r="G12148"/>
      <c r="H12148"/>
      <c r="I12148" s="489"/>
      <c r="J12148" s="1362"/>
      <c r="K12148" s="1362"/>
      <c r="L12148" s="1362"/>
    </row>
    <row r="12149" spans="1:12" x14ac:dyDescent="0.25">
      <c r="A12149">
        <v>100562</v>
      </c>
      <c r="B12149" t="s">
        <v>3706</v>
      </c>
      <c r="C12149" t="s">
        <v>138</v>
      </c>
      <c r="D12149" s="254">
        <v>342.74</v>
      </c>
      <c r="E12149"/>
      <c r="F12149"/>
      <c r="G12149"/>
      <c r="H12149"/>
      <c r="I12149" s="489"/>
      <c r="J12149" s="1362"/>
      <c r="K12149" s="1362"/>
      <c r="L12149" s="1362"/>
    </row>
    <row r="12150" spans="1:12" x14ac:dyDescent="0.25">
      <c r="A12150">
        <v>100563</v>
      </c>
      <c r="B12150" t="s">
        <v>3707</v>
      </c>
      <c r="C12150" t="s">
        <v>138</v>
      </c>
      <c r="D12150" s="254">
        <v>488.43</v>
      </c>
      <c r="E12150"/>
      <c r="F12150"/>
      <c r="G12150"/>
      <c r="H12150"/>
      <c r="I12150" s="489"/>
      <c r="J12150" s="1362"/>
      <c r="K12150" s="1362"/>
      <c r="L12150" s="1362"/>
    </row>
    <row r="12151" spans="1:12" x14ac:dyDescent="0.25">
      <c r="A12151">
        <v>101795</v>
      </c>
      <c r="B12151" t="s">
        <v>5848</v>
      </c>
      <c r="C12151" t="s">
        <v>138</v>
      </c>
      <c r="D12151" s="254">
        <v>610.12</v>
      </c>
      <c r="E12151"/>
      <c r="F12151"/>
      <c r="G12151"/>
      <c r="H12151"/>
      <c r="I12151" s="489"/>
      <c r="J12151" s="1362"/>
      <c r="K12151" s="1362"/>
      <c r="L12151" s="1362"/>
    </row>
    <row r="12152" spans="1:12" x14ac:dyDescent="0.25">
      <c r="A12152">
        <v>101798</v>
      </c>
      <c r="B12152" t="s">
        <v>5849</v>
      </c>
      <c r="C12152" t="s">
        <v>138</v>
      </c>
      <c r="D12152" s="254">
        <v>384.71</v>
      </c>
      <c r="E12152"/>
      <c r="F12152"/>
      <c r="G12152"/>
      <c r="H12152"/>
      <c r="I12152" s="489"/>
      <c r="J12152" s="1362"/>
      <c r="K12152" s="1362"/>
      <c r="L12152" s="1362"/>
    </row>
    <row r="12153" spans="1:12" x14ac:dyDescent="0.25">
      <c r="A12153">
        <v>101799</v>
      </c>
      <c r="B12153" t="s">
        <v>5850</v>
      </c>
      <c r="C12153" t="s">
        <v>138</v>
      </c>
      <c r="D12153" s="254">
        <v>931.82</v>
      </c>
      <c r="E12153"/>
      <c r="F12153"/>
      <c r="G12153"/>
      <c r="H12153"/>
      <c r="I12153" s="489"/>
      <c r="J12153" s="1362"/>
      <c r="K12153" s="1362"/>
      <c r="L12153" s="1362"/>
    </row>
    <row r="12154" spans="1:12" x14ac:dyDescent="0.25">
      <c r="A12154">
        <v>98397</v>
      </c>
      <c r="B12154" t="s">
        <v>2662</v>
      </c>
      <c r="C12154" t="s">
        <v>297</v>
      </c>
      <c r="D12154" s="254">
        <v>13.56</v>
      </c>
      <c r="E12154"/>
      <c r="F12154"/>
      <c r="G12154"/>
      <c r="H12154"/>
      <c r="I12154" s="489"/>
      <c r="J12154" s="1362"/>
      <c r="K12154" s="1362"/>
      <c r="L12154" s="1362"/>
    </row>
    <row r="12155" spans="1:12" x14ac:dyDescent="0.25">
      <c r="A12155">
        <v>103244</v>
      </c>
      <c r="B12155" t="s">
        <v>7412</v>
      </c>
      <c r="C12155" t="s">
        <v>138</v>
      </c>
      <c r="D12155" s="254">
        <v>2338</v>
      </c>
      <c r="E12155"/>
      <c r="F12155"/>
      <c r="G12155"/>
      <c r="H12155"/>
      <c r="I12155" s="489"/>
      <c r="J12155" s="1362"/>
      <c r="K12155" s="1362"/>
      <c r="L12155" s="1362"/>
    </row>
    <row r="12156" spans="1:12" x14ac:dyDescent="0.25">
      <c r="A12156">
        <v>103245</v>
      </c>
      <c r="B12156" t="s">
        <v>7413</v>
      </c>
      <c r="C12156" t="s">
        <v>138</v>
      </c>
      <c r="D12156" s="254">
        <v>1853.52</v>
      </c>
      <c r="E12156"/>
      <c r="F12156"/>
      <c r="G12156"/>
      <c r="H12156"/>
      <c r="I12156" s="489"/>
      <c r="J12156" s="1362"/>
      <c r="K12156" s="1362"/>
      <c r="L12156" s="1362"/>
    </row>
    <row r="12157" spans="1:12" x14ac:dyDescent="0.25">
      <c r="A12157">
        <v>103246</v>
      </c>
      <c r="B12157" t="s">
        <v>7414</v>
      </c>
      <c r="C12157" t="s">
        <v>138</v>
      </c>
      <c r="D12157" s="254">
        <v>2017.36</v>
      </c>
      <c r="E12157"/>
      <c r="F12157"/>
      <c r="G12157"/>
      <c r="H12157"/>
      <c r="I12157" s="489"/>
      <c r="J12157" s="1362"/>
      <c r="K12157" s="1362"/>
      <c r="L12157" s="1362"/>
    </row>
    <row r="12158" spans="1:12" x14ac:dyDescent="0.25">
      <c r="A12158">
        <v>103247</v>
      </c>
      <c r="B12158" t="s">
        <v>7415</v>
      </c>
      <c r="C12158" t="s">
        <v>138</v>
      </c>
      <c r="D12158" s="254">
        <v>2589.9899999999998</v>
      </c>
      <c r="E12158"/>
      <c r="F12158"/>
      <c r="G12158"/>
      <c r="H12158"/>
      <c r="I12158" s="489"/>
      <c r="J12158" s="1362"/>
      <c r="K12158" s="1362"/>
      <c r="L12158" s="1362"/>
    </row>
    <row r="12159" spans="1:12" x14ac:dyDescent="0.25">
      <c r="A12159">
        <v>103248</v>
      </c>
      <c r="B12159" t="s">
        <v>7416</v>
      </c>
      <c r="C12159" t="s">
        <v>138</v>
      </c>
      <c r="D12159" s="254">
        <v>2124.64</v>
      </c>
      <c r="E12159"/>
      <c r="F12159"/>
      <c r="G12159"/>
      <c r="H12159"/>
      <c r="I12159" s="489"/>
      <c r="J12159" s="1362"/>
      <c r="K12159" s="1362"/>
      <c r="L12159" s="1362"/>
    </row>
    <row r="12160" spans="1:12" x14ac:dyDescent="0.25">
      <c r="A12160">
        <v>103249</v>
      </c>
      <c r="B12160" t="s">
        <v>7417</v>
      </c>
      <c r="C12160" t="s">
        <v>138</v>
      </c>
      <c r="D12160" s="254">
        <v>2279.27</v>
      </c>
      <c r="E12160"/>
      <c r="F12160"/>
      <c r="G12160"/>
      <c r="H12160"/>
      <c r="I12160" s="489"/>
      <c r="J12160" s="1362"/>
      <c r="K12160" s="1362"/>
      <c r="L12160" s="1362"/>
    </row>
    <row r="12161" spans="1:12" x14ac:dyDescent="0.25">
      <c r="A12161">
        <v>103250</v>
      </c>
      <c r="B12161" t="s">
        <v>7418</v>
      </c>
      <c r="C12161" t="s">
        <v>138</v>
      </c>
      <c r="D12161" s="254">
        <v>3743.05</v>
      </c>
      <c r="E12161"/>
      <c r="F12161"/>
      <c r="G12161"/>
      <c r="H12161"/>
      <c r="I12161" s="489"/>
      <c r="J12161" s="1362"/>
      <c r="K12161" s="1362"/>
      <c r="L12161" s="1362"/>
    </row>
    <row r="12162" spans="1:12" x14ac:dyDescent="0.25">
      <c r="A12162">
        <v>103251</v>
      </c>
      <c r="B12162" t="s">
        <v>7419</v>
      </c>
      <c r="C12162" t="s">
        <v>138</v>
      </c>
      <c r="D12162" s="254">
        <v>2965.84</v>
      </c>
      <c r="E12162"/>
      <c r="F12162"/>
      <c r="G12162"/>
      <c r="H12162"/>
      <c r="I12162" s="489"/>
      <c r="J12162" s="1362"/>
      <c r="K12162" s="1362"/>
      <c r="L12162" s="1362"/>
    </row>
    <row r="12163" spans="1:12" x14ac:dyDescent="0.25">
      <c r="A12163">
        <v>103252</v>
      </c>
      <c r="B12163" t="s">
        <v>7420</v>
      </c>
      <c r="C12163" t="s">
        <v>138</v>
      </c>
      <c r="D12163" s="254">
        <v>3279.27</v>
      </c>
      <c r="E12163"/>
      <c r="F12163"/>
      <c r="G12163"/>
      <c r="H12163"/>
      <c r="I12163" s="489"/>
      <c r="J12163" s="1362"/>
      <c r="K12163" s="1362"/>
      <c r="L12163" s="1362"/>
    </row>
    <row r="12164" spans="1:12" x14ac:dyDescent="0.25">
      <c r="A12164">
        <v>103253</v>
      </c>
      <c r="B12164" t="s">
        <v>7421</v>
      </c>
      <c r="C12164" t="s">
        <v>138</v>
      </c>
      <c r="D12164" s="254">
        <v>5086.45</v>
      </c>
      <c r="E12164"/>
      <c r="F12164"/>
      <c r="G12164"/>
      <c r="H12164"/>
      <c r="I12164" s="489"/>
      <c r="J12164" s="1362"/>
      <c r="K12164" s="1362"/>
      <c r="L12164" s="1362"/>
    </row>
    <row r="12165" spans="1:12" x14ac:dyDescent="0.25">
      <c r="A12165">
        <v>103254</v>
      </c>
      <c r="B12165" t="s">
        <v>7422</v>
      </c>
      <c r="C12165" t="s">
        <v>138</v>
      </c>
      <c r="D12165" s="254">
        <v>3815.8</v>
      </c>
      <c r="E12165"/>
      <c r="F12165"/>
      <c r="G12165"/>
      <c r="H12165"/>
      <c r="I12165" s="489"/>
      <c r="J12165" s="1362"/>
      <c r="K12165" s="1362"/>
      <c r="L12165" s="1362"/>
    </row>
    <row r="12166" spans="1:12" x14ac:dyDescent="0.25">
      <c r="A12166">
        <v>103255</v>
      </c>
      <c r="B12166" t="s">
        <v>7423</v>
      </c>
      <c r="C12166" t="s">
        <v>138</v>
      </c>
      <c r="D12166" s="254">
        <v>4264.12</v>
      </c>
      <c r="E12166"/>
      <c r="F12166"/>
      <c r="G12166"/>
      <c r="H12166"/>
      <c r="I12166" s="489"/>
      <c r="J12166" s="1362"/>
      <c r="K12166" s="1362"/>
      <c r="L12166" s="1362"/>
    </row>
    <row r="12167" spans="1:12" x14ac:dyDescent="0.25">
      <c r="A12167">
        <v>103256</v>
      </c>
      <c r="B12167" t="s">
        <v>7424</v>
      </c>
      <c r="C12167" t="s">
        <v>138</v>
      </c>
      <c r="D12167" s="254">
        <v>9418.5300000000007</v>
      </c>
      <c r="E12167"/>
      <c r="F12167"/>
      <c r="G12167"/>
      <c r="H12167"/>
      <c r="I12167" s="489"/>
      <c r="J12167" s="1362"/>
      <c r="K12167" s="1362"/>
      <c r="L12167" s="1362"/>
    </row>
    <row r="12168" spans="1:12" x14ac:dyDescent="0.25">
      <c r="A12168">
        <v>103257</v>
      </c>
      <c r="B12168" t="s">
        <v>7425</v>
      </c>
      <c r="C12168" t="s">
        <v>138</v>
      </c>
      <c r="D12168" s="254">
        <v>5403.08</v>
      </c>
      <c r="E12168"/>
      <c r="F12168"/>
      <c r="G12168"/>
      <c r="H12168"/>
      <c r="I12168" s="489"/>
      <c r="J12168" s="1362"/>
      <c r="K12168" s="1362"/>
      <c r="L12168" s="1362"/>
    </row>
    <row r="12169" spans="1:12" x14ac:dyDescent="0.25">
      <c r="A12169">
        <v>103258</v>
      </c>
      <c r="B12169" t="s">
        <v>7426</v>
      </c>
      <c r="C12169" t="s">
        <v>138</v>
      </c>
      <c r="D12169" s="254">
        <v>10523.27</v>
      </c>
      <c r="E12169"/>
      <c r="F12169"/>
      <c r="G12169"/>
      <c r="H12169"/>
      <c r="I12169" s="489"/>
      <c r="J12169" s="1362"/>
      <c r="K12169" s="1362"/>
      <c r="L12169" s="1362"/>
    </row>
    <row r="12170" spans="1:12" x14ac:dyDescent="0.25">
      <c r="A12170">
        <v>103259</v>
      </c>
      <c r="B12170" t="s">
        <v>7427</v>
      </c>
      <c r="C12170" t="s">
        <v>138</v>
      </c>
      <c r="D12170" s="254">
        <v>5698.85</v>
      </c>
      <c r="E12170"/>
      <c r="F12170"/>
      <c r="G12170"/>
      <c r="H12170"/>
      <c r="I12170" s="489"/>
      <c r="J12170" s="1362"/>
      <c r="K12170" s="1362"/>
      <c r="L12170" s="1362"/>
    </row>
    <row r="12171" spans="1:12" x14ac:dyDescent="0.25">
      <c r="A12171">
        <v>103260</v>
      </c>
      <c r="B12171" t="s">
        <v>7428</v>
      </c>
      <c r="C12171" t="s">
        <v>138</v>
      </c>
      <c r="D12171" s="254">
        <v>5852.38</v>
      </c>
      <c r="E12171"/>
      <c r="F12171"/>
      <c r="G12171"/>
      <c r="H12171"/>
      <c r="I12171" s="489"/>
      <c r="J12171" s="1362"/>
      <c r="K12171" s="1362"/>
      <c r="L12171" s="1362"/>
    </row>
    <row r="12172" spans="1:12" x14ac:dyDescent="0.25">
      <c r="A12172">
        <v>103261</v>
      </c>
      <c r="B12172" t="s">
        <v>7429</v>
      </c>
      <c r="C12172" t="s">
        <v>138</v>
      </c>
      <c r="D12172" s="254">
        <v>11866.26</v>
      </c>
      <c r="E12172"/>
      <c r="F12172"/>
      <c r="G12172"/>
      <c r="H12172"/>
      <c r="I12172" s="489"/>
      <c r="J12172" s="1362"/>
      <c r="K12172" s="1362"/>
      <c r="L12172" s="1362"/>
    </row>
    <row r="12173" spans="1:12" x14ac:dyDescent="0.25">
      <c r="A12173">
        <v>103262</v>
      </c>
      <c r="B12173" t="s">
        <v>7430</v>
      </c>
      <c r="C12173" t="s">
        <v>138</v>
      </c>
      <c r="D12173" s="254">
        <v>7470.57</v>
      </c>
      <c r="E12173"/>
      <c r="F12173"/>
      <c r="G12173"/>
      <c r="H12173"/>
      <c r="I12173" s="489"/>
      <c r="J12173" s="1362"/>
      <c r="K12173" s="1362"/>
      <c r="L12173" s="1362"/>
    </row>
    <row r="12174" spans="1:12" x14ac:dyDescent="0.25">
      <c r="A12174">
        <v>103263</v>
      </c>
      <c r="B12174" t="s">
        <v>7431</v>
      </c>
      <c r="C12174" t="s">
        <v>138</v>
      </c>
      <c r="D12174" s="254">
        <v>16395.8</v>
      </c>
      <c r="E12174"/>
      <c r="F12174"/>
      <c r="G12174"/>
      <c r="H12174"/>
      <c r="I12174" s="489"/>
      <c r="J12174" s="1362"/>
      <c r="K12174" s="1362"/>
      <c r="L12174" s="1362"/>
    </row>
    <row r="12175" spans="1:12" x14ac:dyDescent="0.25">
      <c r="A12175">
        <v>103264</v>
      </c>
      <c r="B12175" t="s">
        <v>7432</v>
      </c>
      <c r="C12175" t="s">
        <v>138</v>
      </c>
      <c r="D12175" s="254">
        <v>9198.7900000000009</v>
      </c>
      <c r="E12175"/>
      <c r="F12175"/>
      <c r="G12175"/>
      <c r="H12175"/>
      <c r="I12175" s="489"/>
      <c r="J12175" s="1362"/>
      <c r="K12175" s="1362"/>
      <c r="L12175" s="1362"/>
    </row>
    <row r="12176" spans="1:12" x14ac:dyDescent="0.25">
      <c r="A12176">
        <v>103265</v>
      </c>
      <c r="B12176" t="s">
        <v>7433</v>
      </c>
      <c r="C12176" t="s">
        <v>138</v>
      </c>
      <c r="D12176" s="254">
        <v>19764.580000000002</v>
      </c>
      <c r="E12176"/>
      <c r="F12176"/>
      <c r="G12176"/>
      <c r="H12176"/>
      <c r="I12176" s="489"/>
      <c r="J12176" s="1362"/>
      <c r="K12176" s="1362"/>
      <c r="L12176" s="1362"/>
    </row>
    <row r="12177" spans="1:12" x14ac:dyDescent="0.25">
      <c r="A12177">
        <v>103266</v>
      </c>
      <c r="B12177" t="s">
        <v>7434</v>
      </c>
      <c r="C12177" t="s">
        <v>138</v>
      </c>
      <c r="D12177" s="254">
        <v>10272.33</v>
      </c>
      <c r="E12177"/>
      <c r="F12177"/>
      <c r="G12177"/>
      <c r="H12177"/>
      <c r="I12177" s="489"/>
      <c r="J12177" s="1362"/>
      <c r="K12177" s="1362"/>
      <c r="L12177" s="1362"/>
    </row>
    <row r="12178" spans="1:12" x14ac:dyDescent="0.25">
      <c r="A12178">
        <v>103267</v>
      </c>
      <c r="B12178" t="s">
        <v>7435</v>
      </c>
      <c r="C12178" t="s">
        <v>138</v>
      </c>
      <c r="D12178" s="254">
        <v>5908.02</v>
      </c>
      <c r="E12178"/>
      <c r="F12178"/>
      <c r="G12178"/>
      <c r="H12178"/>
      <c r="I12178" s="489"/>
      <c r="J12178" s="1362"/>
      <c r="K12178" s="1362"/>
      <c r="L12178" s="1362"/>
    </row>
    <row r="12179" spans="1:12" x14ac:dyDescent="0.25">
      <c r="A12179">
        <v>103268</v>
      </c>
      <c r="B12179" t="s">
        <v>7436</v>
      </c>
      <c r="C12179" t="s">
        <v>138</v>
      </c>
      <c r="D12179" s="254">
        <v>7001.52</v>
      </c>
      <c r="E12179"/>
      <c r="F12179"/>
      <c r="G12179"/>
      <c r="H12179"/>
      <c r="I12179" s="489"/>
      <c r="J12179" s="1362"/>
      <c r="K12179" s="1362"/>
      <c r="L12179" s="1362"/>
    </row>
    <row r="12180" spans="1:12" x14ac:dyDescent="0.25">
      <c r="A12180">
        <v>103269</v>
      </c>
      <c r="B12180" t="s">
        <v>7437</v>
      </c>
      <c r="C12180" t="s">
        <v>138</v>
      </c>
      <c r="D12180" s="254">
        <v>7248.56</v>
      </c>
      <c r="E12180"/>
      <c r="F12180"/>
      <c r="G12180"/>
      <c r="H12180"/>
      <c r="I12180" s="489"/>
      <c r="J12180" s="1362"/>
      <c r="K12180" s="1362"/>
      <c r="L12180" s="1362"/>
    </row>
    <row r="12181" spans="1:12" x14ac:dyDescent="0.25">
      <c r="A12181">
        <v>103270</v>
      </c>
      <c r="B12181" t="s">
        <v>7438</v>
      </c>
      <c r="C12181" t="s">
        <v>138</v>
      </c>
      <c r="D12181" s="254">
        <v>7521.74</v>
      </c>
      <c r="E12181"/>
      <c r="F12181"/>
      <c r="G12181"/>
      <c r="H12181"/>
      <c r="I12181" s="489"/>
      <c r="J12181" s="1362"/>
      <c r="K12181" s="1362"/>
      <c r="L12181" s="1362"/>
    </row>
    <row r="12182" spans="1:12" x14ac:dyDescent="0.25">
      <c r="A12182">
        <v>103271</v>
      </c>
      <c r="B12182" t="s">
        <v>7439</v>
      </c>
      <c r="C12182" t="s">
        <v>138</v>
      </c>
      <c r="D12182" s="254">
        <v>10635.06</v>
      </c>
      <c r="E12182"/>
      <c r="F12182"/>
      <c r="G12182"/>
      <c r="H12182"/>
      <c r="I12182" s="489"/>
      <c r="J12182" s="1362"/>
      <c r="K12182" s="1362"/>
      <c r="L12182" s="1362"/>
    </row>
    <row r="12183" spans="1:12" x14ac:dyDescent="0.25">
      <c r="A12183">
        <v>103272</v>
      </c>
      <c r="B12183" t="s">
        <v>7440</v>
      </c>
      <c r="C12183" t="s">
        <v>138</v>
      </c>
      <c r="D12183" s="254">
        <v>10982.45</v>
      </c>
      <c r="E12183"/>
      <c r="F12183"/>
      <c r="G12183"/>
      <c r="H12183"/>
      <c r="I12183" s="489"/>
      <c r="J12183" s="1362"/>
      <c r="K12183" s="1362"/>
      <c r="L12183" s="1362"/>
    </row>
    <row r="12184" spans="1:12" x14ac:dyDescent="0.25">
      <c r="A12184">
        <v>103273</v>
      </c>
      <c r="B12184" t="s">
        <v>7441</v>
      </c>
      <c r="C12184" t="s">
        <v>138</v>
      </c>
      <c r="D12184" s="254">
        <v>11239.06</v>
      </c>
      <c r="E12184"/>
      <c r="F12184"/>
      <c r="G12184"/>
      <c r="H12184"/>
      <c r="I12184" s="489"/>
      <c r="J12184" s="1362"/>
      <c r="K12184" s="1362"/>
      <c r="L12184" s="1362"/>
    </row>
    <row r="12185" spans="1:12" x14ac:dyDescent="0.25">
      <c r="A12185">
        <v>103274</v>
      </c>
      <c r="B12185" t="s">
        <v>7442</v>
      </c>
      <c r="C12185" t="s">
        <v>138</v>
      </c>
      <c r="D12185" s="254">
        <v>12872.86</v>
      </c>
      <c r="E12185"/>
      <c r="F12185"/>
      <c r="G12185"/>
      <c r="H12185"/>
      <c r="I12185" s="489"/>
      <c r="J12185" s="1362"/>
      <c r="K12185" s="1362"/>
      <c r="L12185" s="1362"/>
    </row>
    <row r="12186" spans="1:12" x14ac:dyDescent="0.25">
      <c r="A12186">
        <v>103275</v>
      </c>
      <c r="B12186" t="s">
        <v>7443</v>
      </c>
      <c r="C12186" t="s">
        <v>138</v>
      </c>
      <c r="D12186" s="254">
        <v>12806.16</v>
      </c>
      <c r="E12186"/>
      <c r="F12186"/>
      <c r="G12186"/>
      <c r="H12186"/>
      <c r="I12186" s="489"/>
      <c r="J12186" s="1362"/>
      <c r="K12186" s="1362"/>
      <c r="L12186" s="1362"/>
    </row>
    <row r="12187" spans="1:12" x14ac:dyDescent="0.25">
      <c r="A12187">
        <v>103276</v>
      </c>
      <c r="B12187" t="s">
        <v>7444</v>
      </c>
      <c r="C12187" t="s">
        <v>138</v>
      </c>
      <c r="D12187" s="254">
        <v>13438.06</v>
      </c>
      <c r="E12187"/>
      <c r="F12187"/>
      <c r="G12187"/>
      <c r="H12187"/>
      <c r="I12187" s="489"/>
      <c r="J12187" s="1362"/>
      <c r="K12187" s="1362"/>
      <c r="L12187" s="1362"/>
    </row>
    <row r="12188" spans="1:12" x14ac:dyDescent="0.25">
      <c r="A12188">
        <v>103277</v>
      </c>
      <c r="B12188" t="s">
        <v>7445</v>
      </c>
      <c r="C12188" t="s">
        <v>138</v>
      </c>
      <c r="D12188" s="254">
        <v>24772.959999999999</v>
      </c>
      <c r="E12188"/>
      <c r="F12188"/>
      <c r="G12188"/>
      <c r="H12188"/>
      <c r="I12188" s="489"/>
      <c r="J12188" s="1362"/>
      <c r="K12188" s="1362"/>
      <c r="L12188" s="1362"/>
    </row>
    <row r="12189" spans="1:12" x14ac:dyDescent="0.25">
      <c r="A12189">
        <v>103278</v>
      </c>
      <c r="B12189" t="s">
        <v>7446</v>
      </c>
      <c r="C12189" t="s">
        <v>138</v>
      </c>
      <c r="D12189" s="254">
        <v>31716.7</v>
      </c>
      <c r="E12189"/>
      <c r="F12189"/>
      <c r="G12189"/>
      <c r="H12189"/>
      <c r="I12189" s="489"/>
      <c r="J12189" s="1362"/>
      <c r="K12189" s="1362"/>
      <c r="L12189" s="1362"/>
    </row>
    <row r="12190" spans="1:12" x14ac:dyDescent="0.25">
      <c r="A12190">
        <v>103288</v>
      </c>
      <c r="B12190" t="s">
        <v>7447</v>
      </c>
      <c r="C12190" t="s">
        <v>138</v>
      </c>
      <c r="D12190" s="254">
        <v>19.3</v>
      </c>
      <c r="E12190"/>
      <c r="F12190"/>
      <c r="G12190"/>
      <c r="H12190"/>
      <c r="I12190" s="489"/>
      <c r="J12190" s="1362"/>
      <c r="K12190" s="1362"/>
      <c r="L12190" s="1362"/>
    </row>
    <row r="12191" spans="1:12" x14ac:dyDescent="0.25">
      <c r="A12191">
        <v>103289</v>
      </c>
      <c r="B12191" t="s">
        <v>7448</v>
      </c>
      <c r="C12191" t="s">
        <v>151</v>
      </c>
      <c r="D12191" s="254">
        <v>32.880000000000003</v>
      </c>
      <c r="E12191"/>
      <c r="F12191"/>
      <c r="G12191"/>
      <c r="H12191"/>
      <c r="I12191" s="489"/>
      <c r="J12191" s="1362"/>
      <c r="K12191" s="1362"/>
      <c r="L12191" s="1362"/>
    </row>
    <row r="12192" spans="1:12" x14ac:dyDescent="0.25">
      <c r="A12192">
        <v>103290</v>
      </c>
      <c r="B12192" t="s">
        <v>7449</v>
      </c>
      <c r="C12192" t="s">
        <v>151</v>
      </c>
      <c r="D12192" s="254">
        <v>54.12</v>
      </c>
      <c r="E12192"/>
      <c r="F12192"/>
      <c r="G12192"/>
      <c r="H12192"/>
      <c r="I12192" s="489"/>
      <c r="J12192" s="1362"/>
      <c r="K12192" s="1362"/>
      <c r="L12192" s="1362"/>
    </row>
    <row r="12193" spans="1:12" x14ac:dyDescent="0.25">
      <c r="A12193">
        <v>103291</v>
      </c>
      <c r="B12193" t="s">
        <v>7450</v>
      </c>
      <c r="C12193" t="s">
        <v>151</v>
      </c>
      <c r="D12193" s="254">
        <v>66.540000000000006</v>
      </c>
      <c r="E12193"/>
      <c r="F12193"/>
      <c r="G12193"/>
      <c r="H12193"/>
      <c r="I12193" s="489"/>
      <c r="J12193" s="1362"/>
      <c r="K12193" s="1362"/>
      <c r="L12193" s="1362"/>
    </row>
    <row r="12194" spans="1:12" x14ac:dyDescent="0.25">
      <c r="A12194">
        <v>103292</v>
      </c>
      <c r="B12194" t="s">
        <v>7451</v>
      </c>
      <c r="C12194" t="s">
        <v>151</v>
      </c>
      <c r="D12194" s="254">
        <v>80.19</v>
      </c>
      <c r="E12194"/>
      <c r="F12194"/>
      <c r="G12194"/>
      <c r="H12194"/>
      <c r="I12194" s="489"/>
      <c r="J12194" s="1362"/>
      <c r="K12194" s="1362"/>
      <c r="L12194" s="1362"/>
    </row>
    <row r="12195" spans="1:12" x14ac:dyDescent="0.25">
      <c r="A12195">
        <v>101936</v>
      </c>
      <c r="B12195" t="s">
        <v>5367</v>
      </c>
      <c r="C12195" t="s">
        <v>138</v>
      </c>
      <c r="D12195" s="254">
        <v>8067.23</v>
      </c>
      <c r="E12195"/>
      <c r="F12195"/>
      <c r="G12195"/>
      <c r="H12195"/>
      <c r="I12195" s="489"/>
      <c r="J12195" s="1362"/>
      <c r="K12195" s="1362"/>
      <c r="L12195" s="1362"/>
    </row>
    <row r="12196" spans="1:12" x14ac:dyDescent="0.25">
      <c r="A12196">
        <v>101937</v>
      </c>
      <c r="B12196" t="s">
        <v>5368</v>
      </c>
      <c r="C12196" t="s">
        <v>138</v>
      </c>
      <c r="D12196" s="254">
        <v>14763.9</v>
      </c>
      <c r="E12196"/>
      <c r="F12196"/>
      <c r="G12196"/>
      <c r="H12196"/>
      <c r="I12196" s="489"/>
      <c r="J12196" s="1362"/>
      <c r="K12196" s="1362"/>
      <c r="L12196" s="1362"/>
    </row>
    <row r="12197" spans="1:12" x14ac:dyDescent="0.25">
      <c r="A12197">
        <v>98294</v>
      </c>
      <c r="B12197" t="s">
        <v>3708</v>
      </c>
      <c r="C12197" t="s">
        <v>151</v>
      </c>
      <c r="D12197" s="254">
        <v>7.51</v>
      </c>
      <c r="E12197"/>
      <c r="F12197"/>
      <c r="G12197"/>
      <c r="H12197"/>
      <c r="I12197" s="489"/>
      <c r="J12197" s="1362"/>
      <c r="K12197" s="1362"/>
      <c r="L12197" s="1362"/>
    </row>
    <row r="12198" spans="1:12" x14ac:dyDescent="0.25">
      <c r="A12198">
        <v>98295</v>
      </c>
      <c r="B12198" t="s">
        <v>3709</v>
      </c>
      <c r="C12198" t="s">
        <v>151</v>
      </c>
      <c r="D12198" s="254">
        <v>6.61</v>
      </c>
      <c r="E12198"/>
      <c r="F12198"/>
      <c r="G12198"/>
      <c r="H12198"/>
      <c r="I12198" s="489"/>
      <c r="J12198" s="1362"/>
      <c r="K12198" s="1362"/>
      <c r="L12198" s="1362"/>
    </row>
    <row r="12199" spans="1:12" x14ac:dyDescent="0.25">
      <c r="A12199">
        <v>98296</v>
      </c>
      <c r="B12199" t="s">
        <v>3710</v>
      </c>
      <c r="C12199" t="s">
        <v>151</v>
      </c>
      <c r="D12199" s="254">
        <v>10.97</v>
      </c>
      <c r="E12199"/>
      <c r="F12199"/>
      <c r="G12199"/>
      <c r="H12199"/>
      <c r="I12199" s="489"/>
      <c r="J12199" s="1362"/>
      <c r="K12199" s="1362"/>
      <c r="L12199" s="1362"/>
    </row>
    <row r="12200" spans="1:12" x14ac:dyDescent="0.25">
      <c r="A12200">
        <v>98297</v>
      </c>
      <c r="B12200" t="s">
        <v>3711</v>
      </c>
      <c r="C12200" t="s">
        <v>151</v>
      </c>
      <c r="D12200" s="254">
        <v>9.5500000000000007</v>
      </c>
      <c r="E12200"/>
      <c r="F12200"/>
      <c r="G12200"/>
      <c r="H12200"/>
      <c r="I12200" s="489"/>
      <c r="J12200" s="1362"/>
      <c r="K12200" s="1362"/>
      <c r="L12200" s="1362"/>
    </row>
    <row r="12201" spans="1:12" x14ac:dyDescent="0.25">
      <c r="A12201">
        <v>98298</v>
      </c>
      <c r="B12201" t="s">
        <v>18642</v>
      </c>
      <c r="C12201" t="s">
        <v>151</v>
      </c>
      <c r="D12201" s="254">
        <v>26.51</v>
      </c>
      <c r="E12201"/>
      <c r="F12201"/>
      <c r="G12201"/>
      <c r="H12201"/>
      <c r="I12201" s="489"/>
      <c r="J12201" s="1362"/>
      <c r="K12201" s="1362"/>
      <c r="L12201" s="1362"/>
    </row>
    <row r="12202" spans="1:12" x14ac:dyDescent="0.25">
      <c r="A12202">
        <v>98299</v>
      </c>
      <c r="B12202" t="s">
        <v>18643</v>
      </c>
      <c r="C12202" t="s">
        <v>151</v>
      </c>
      <c r="D12202" s="254">
        <v>24.76</v>
      </c>
      <c r="E12202"/>
      <c r="F12202"/>
      <c r="G12202"/>
      <c r="H12202"/>
      <c r="I12202" s="489"/>
      <c r="J12202" s="1362"/>
      <c r="K12202" s="1362"/>
      <c r="L12202" s="1362"/>
    </row>
    <row r="12203" spans="1:12" x14ac:dyDescent="0.25">
      <c r="A12203">
        <v>98301</v>
      </c>
      <c r="B12203" t="s">
        <v>3712</v>
      </c>
      <c r="C12203" t="s">
        <v>138</v>
      </c>
      <c r="D12203" s="254">
        <v>806.04</v>
      </c>
      <c r="E12203"/>
      <c r="F12203"/>
      <c r="G12203"/>
      <c r="H12203"/>
      <c r="I12203" s="489"/>
      <c r="J12203" s="1362"/>
      <c r="K12203" s="1362"/>
      <c r="L12203" s="1362"/>
    </row>
    <row r="12204" spans="1:12" x14ac:dyDescent="0.25">
      <c r="A12204">
        <v>98302</v>
      </c>
      <c r="B12204" t="s">
        <v>3713</v>
      </c>
      <c r="C12204" t="s">
        <v>138</v>
      </c>
      <c r="D12204" s="254">
        <v>1497.39</v>
      </c>
      <c r="E12204"/>
      <c r="F12204"/>
      <c r="G12204"/>
      <c r="H12204"/>
      <c r="I12204" s="489"/>
      <c r="J12204" s="1362"/>
      <c r="K12204" s="1362"/>
      <c r="L12204" s="1362"/>
    </row>
    <row r="12205" spans="1:12" x14ac:dyDescent="0.25">
      <c r="A12205">
        <v>98304</v>
      </c>
      <c r="B12205" t="s">
        <v>3714</v>
      </c>
      <c r="C12205" t="s">
        <v>138</v>
      </c>
      <c r="D12205" s="254">
        <v>4671.8999999999996</v>
      </c>
      <c r="E12205"/>
      <c r="F12205"/>
      <c r="G12205"/>
      <c r="H12205"/>
      <c r="I12205" s="489"/>
      <c r="J12205" s="1362"/>
      <c r="K12205" s="1362"/>
      <c r="L12205" s="1362"/>
    </row>
    <row r="12206" spans="1:12" x14ac:dyDescent="0.25">
      <c r="A12206">
        <v>98305</v>
      </c>
      <c r="B12206" t="s">
        <v>18644</v>
      </c>
      <c r="C12206" t="s">
        <v>138</v>
      </c>
      <c r="D12206" s="254">
        <v>3417.88</v>
      </c>
      <c r="E12206"/>
      <c r="F12206"/>
      <c r="G12206"/>
      <c r="H12206"/>
      <c r="I12206" s="489"/>
      <c r="J12206" s="1362"/>
      <c r="K12206" s="1362"/>
      <c r="L12206" s="1362"/>
    </row>
    <row r="12207" spans="1:12" x14ac:dyDescent="0.25">
      <c r="A12207">
        <v>98306</v>
      </c>
      <c r="B12207" t="s">
        <v>18645</v>
      </c>
      <c r="C12207" t="s">
        <v>138</v>
      </c>
      <c r="D12207" s="254">
        <v>79.8</v>
      </c>
      <c r="E12207"/>
      <c r="F12207"/>
      <c r="G12207"/>
      <c r="H12207"/>
      <c r="I12207" s="489"/>
      <c r="J12207" s="1362"/>
      <c r="K12207" s="1362"/>
      <c r="L12207" s="1362"/>
    </row>
    <row r="12208" spans="1:12" x14ac:dyDescent="0.25">
      <c r="A12208">
        <v>98307</v>
      </c>
      <c r="B12208" t="s">
        <v>3715</v>
      </c>
      <c r="C12208" t="s">
        <v>138</v>
      </c>
      <c r="D12208" s="254">
        <v>50.44</v>
      </c>
      <c r="E12208"/>
      <c r="F12208"/>
      <c r="G12208"/>
      <c r="H12208"/>
      <c r="I12208" s="489"/>
      <c r="J12208" s="1362"/>
      <c r="K12208" s="1362"/>
      <c r="L12208" s="1362"/>
    </row>
    <row r="12209" spans="1:12" x14ac:dyDescent="0.25">
      <c r="A12209">
        <v>98308</v>
      </c>
      <c r="B12209" t="s">
        <v>3716</v>
      </c>
      <c r="C12209" t="s">
        <v>138</v>
      </c>
      <c r="D12209" s="254">
        <v>34.26</v>
      </c>
      <c r="E12209"/>
      <c r="F12209"/>
      <c r="G12209"/>
      <c r="H12209"/>
      <c r="I12209" s="489"/>
      <c r="J12209" s="1362"/>
      <c r="K12209" s="1362"/>
      <c r="L12209" s="1362"/>
    </row>
    <row r="12210" spans="1:12" x14ac:dyDescent="0.25">
      <c r="A12210">
        <v>98593</v>
      </c>
      <c r="B12210" t="s">
        <v>3717</v>
      </c>
      <c r="C12210" t="s">
        <v>138</v>
      </c>
      <c r="D12210" s="254">
        <v>3262.22</v>
      </c>
      <c r="E12210"/>
      <c r="F12210"/>
      <c r="G12210"/>
      <c r="H12210"/>
      <c r="I12210" s="489"/>
      <c r="J12210" s="1362"/>
      <c r="K12210" s="1362"/>
      <c r="L12210" s="1362"/>
    </row>
    <row r="12211" spans="1:12" x14ac:dyDescent="0.25">
      <c r="A12211">
        <v>100555</v>
      </c>
      <c r="B12211" t="s">
        <v>18646</v>
      </c>
      <c r="C12211" t="s">
        <v>138</v>
      </c>
      <c r="D12211" s="254">
        <v>1712.86</v>
      </c>
      <c r="E12211"/>
      <c r="F12211"/>
      <c r="G12211"/>
      <c r="H12211"/>
      <c r="I12211" s="489"/>
      <c r="J12211" s="1362"/>
      <c r="K12211" s="1362"/>
      <c r="L12211" s="1362"/>
    </row>
    <row r="12212" spans="1:12" x14ac:dyDescent="0.25">
      <c r="A12212">
        <v>89355</v>
      </c>
      <c r="B12212" t="s">
        <v>18647</v>
      </c>
      <c r="C12212" t="s">
        <v>151</v>
      </c>
      <c r="D12212" s="254">
        <v>21.02</v>
      </c>
      <c r="E12212"/>
      <c r="F12212"/>
      <c r="G12212"/>
      <c r="H12212"/>
      <c r="I12212" s="489"/>
      <c r="J12212" s="1362"/>
      <c r="K12212" s="1362"/>
      <c r="L12212" s="1362"/>
    </row>
    <row r="12213" spans="1:12" x14ac:dyDescent="0.25">
      <c r="A12213">
        <v>89356</v>
      </c>
      <c r="B12213" t="s">
        <v>18648</v>
      </c>
      <c r="C12213" t="s">
        <v>151</v>
      </c>
      <c r="D12213" s="254">
        <v>24.83</v>
      </c>
      <c r="E12213"/>
      <c r="F12213"/>
      <c r="G12213"/>
      <c r="H12213"/>
      <c r="I12213" s="489"/>
      <c r="J12213" s="1362"/>
      <c r="K12213" s="1362"/>
      <c r="L12213" s="1362"/>
    </row>
    <row r="12214" spans="1:12" x14ac:dyDescent="0.25">
      <c r="A12214">
        <v>89357</v>
      </c>
      <c r="B12214" t="s">
        <v>18649</v>
      </c>
      <c r="C12214" t="s">
        <v>151</v>
      </c>
      <c r="D12214" s="254">
        <v>34.81</v>
      </c>
      <c r="E12214"/>
      <c r="F12214"/>
      <c r="G12214"/>
      <c r="H12214"/>
      <c r="I12214" s="489"/>
      <c r="J12214" s="1362"/>
      <c r="K12214" s="1362"/>
      <c r="L12214" s="1362"/>
    </row>
    <row r="12215" spans="1:12" x14ac:dyDescent="0.25">
      <c r="A12215">
        <v>89401</v>
      </c>
      <c r="B12215" t="s">
        <v>18650</v>
      </c>
      <c r="C12215" t="s">
        <v>151</v>
      </c>
      <c r="D12215" s="254">
        <v>11</v>
      </c>
      <c r="E12215"/>
      <c r="F12215"/>
      <c r="G12215"/>
      <c r="H12215"/>
      <c r="I12215" s="489"/>
      <c r="J12215" s="1362"/>
      <c r="K12215" s="1362"/>
      <c r="L12215" s="1362"/>
    </row>
    <row r="12216" spans="1:12" x14ac:dyDescent="0.25">
      <c r="A12216">
        <v>89402</v>
      </c>
      <c r="B12216" t="s">
        <v>18651</v>
      </c>
      <c r="C12216" t="s">
        <v>151</v>
      </c>
      <c r="D12216" s="254">
        <v>13.23</v>
      </c>
      <c r="E12216"/>
      <c r="F12216"/>
      <c r="G12216"/>
      <c r="H12216"/>
      <c r="I12216" s="489"/>
      <c r="J12216" s="1362"/>
      <c r="K12216" s="1362"/>
      <c r="L12216" s="1362"/>
    </row>
    <row r="12217" spans="1:12" x14ac:dyDescent="0.25">
      <c r="A12217">
        <v>89403</v>
      </c>
      <c r="B12217" t="s">
        <v>18652</v>
      </c>
      <c r="C12217" t="s">
        <v>151</v>
      </c>
      <c r="D12217" s="254">
        <v>20.96</v>
      </c>
      <c r="E12217"/>
      <c r="F12217"/>
      <c r="G12217"/>
      <c r="H12217"/>
      <c r="I12217" s="489"/>
      <c r="J12217" s="1362"/>
      <c r="K12217" s="1362"/>
      <c r="L12217" s="1362"/>
    </row>
    <row r="12218" spans="1:12" x14ac:dyDescent="0.25">
      <c r="A12218">
        <v>89446</v>
      </c>
      <c r="B12218" t="s">
        <v>18653</v>
      </c>
      <c r="C12218" t="s">
        <v>151</v>
      </c>
      <c r="D12218" s="254">
        <v>5.94</v>
      </c>
      <c r="E12218"/>
      <c r="F12218"/>
      <c r="G12218"/>
      <c r="H12218"/>
      <c r="I12218" s="489"/>
      <c r="J12218" s="1362"/>
      <c r="K12218" s="1362"/>
      <c r="L12218" s="1362"/>
    </row>
    <row r="12219" spans="1:12" x14ac:dyDescent="0.25">
      <c r="A12219">
        <v>89447</v>
      </c>
      <c r="B12219" t="s">
        <v>18654</v>
      </c>
      <c r="C12219" t="s">
        <v>151</v>
      </c>
      <c r="D12219" s="254">
        <v>12.29</v>
      </c>
      <c r="E12219"/>
      <c r="F12219"/>
      <c r="G12219"/>
      <c r="H12219"/>
      <c r="I12219" s="489"/>
      <c r="J12219" s="1362"/>
      <c r="K12219" s="1362"/>
      <c r="L12219" s="1362"/>
    </row>
    <row r="12220" spans="1:12" x14ac:dyDescent="0.25">
      <c r="A12220">
        <v>89448</v>
      </c>
      <c r="B12220" t="s">
        <v>18655</v>
      </c>
      <c r="C12220" t="s">
        <v>151</v>
      </c>
      <c r="D12220" s="254">
        <v>17.57</v>
      </c>
      <c r="E12220"/>
      <c r="F12220"/>
      <c r="G12220"/>
      <c r="H12220"/>
      <c r="I12220" s="489"/>
      <c r="J12220" s="1362"/>
      <c r="K12220" s="1362"/>
      <c r="L12220" s="1362"/>
    </row>
    <row r="12221" spans="1:12" x14ac:dyDescent="0.25">
      <c r="A12221">
        <v>89449</v>
      </c>
      <c r="B12221" t="s">
        <v>18656</v>
      </c>
      <c r="C12221" t="s">
        <v>151</v>
      </c>
      <c r="D12221" s="254">
        <v>20.23</v>
      </c>
      <c r="E12221"/>
      <c r="F12221"/>
      <c r="G12221"/>
      <c r="H12221"/>
      <c r="I12221" s="489"/>
      <c r="J12221" s="1362"/>
      <c r="K12221" s="1362"/>
      <c r="L12221" s="1362"/>
    </row>
    <row r="12222" spans="1:12" x14ac:dyDescent="0.25">
      <c r="A12222">
        <v>89450</v>
      </c>
      <c r="B12222" t="s">
        <v>18657</v>
      </c>
      <c r="C12222" t="s">
        <v>151</v>
      </c>
      <c r="D12222" s="254">
        <v>33.24</v>
      </c>
      <c r="E12222"/>
      <c r="F12222"/>
      <c r="G12222"/>
      <c r="H12222"/>
      <c r="I12222" s="489"/>
      <c r="J12222" s="1362"/>
      <c r="K12222" s="1362"/>
      <c r="L12222" s="1362"/>
    </row>
    <row r="12223" spans="1:12" x14ac:dyDescent="0.25">
      <c r="A12223">
        <v>89451</v>
      </c>
      <c r="B12223" t="s">
        <v>18658</v>
      </c>
      <c r="C12223" t="s">
        <v>151</v>
      </c>
      <c r="D12223" s="254">
        <v>54.77</v>
      </c>
      <c r="E12223"/>
      <c r="F12223"/>
      <c r="G12223"/>
      <c r="H12223"/>
      <c r="I12223" s="489"/>
      <c r="J12223" s="1362"/>
      <c r="K12223" s="1362"/>
      <c r="L12223" s="1362"/>
    </row>
    <row r="12224" spans="1:12" x14ac:dyDescent="0.25">
      <c r="A12224">
        <v>89452</v>
      </c>
      <c r="B12224" t="s">
        <v>18659</v>
      </c>
      <c r="C12224" t="s">
        <v>151</v>
      </c>
      <c r="D12224" s="254">
        <v>68.09</v>
      </c>
      <c r="E12224"/>
      <c r="F12224"/>
      <c r="G12224"/>
      <c r="H12224"/>
      <c r="I12224" s="489"/>
      <c r="J12224" s="1362"/>
      <c r="K12224" s="1362"/>
      <c r="L12224" s="1362"/>
    </row>
    <row r="12225" spans="1:12" x14ac:dyDescent="0.25">
      <c r="A12225">
        <v>89508</v>
      </c>
      <c r="B12225" t="s">
        <v>18660</v>
      </c>
      <c r="C12225" t="s">
        <v>151</v>
      </c>
      <c r="D12225" s="254">
        <v>21.83</v>
      </c>
      <c r="E12225"/>
      <c r="F12225"/>
      <c r="G12225"/>
      <c r="H12225"/>
      <c r="I12225" s="489"/>
      <c r="J12225" s="1362"/>
      <c r="K12225" s="1362"/>
      <c r="L12225" s="1362"/>
    </row>
    <row r="12226" spans="1:12" x14ac:dyDescent="0.25">
      <c r="A12226">
        <v>89509</v>
      </c>
      <c r="B12226" t="s">
        <v>18661</v>
      </c>
      <c r="C12226" t="s">
        <v>151</v>
      </c>
      <c r="D12226" s="254">
        <v>29.98</v>
      </c>
      <c r="E12226"/>
      <c r="F12226"/>
      <c r="G12226"/>
      <c r="H12226"/>
      <c r="I12226" s="489"/>
      <c r="J12226" s="1362"/>
      <c r="K12226" s="1362"/>
      <c r="L12226" s="1362"/>
    </row>
    <row r="12227" spans="1:12" x14ac:dyDescent="0.25">
      <c r="A12227">
        <v>89511</v>
      </c>
      <c r="B12227" t="s">
        <v>18662</v>
      </c>
      <c r="C12227" t="s">
        <v>151</v>
      </c>
      <c r="D12227" s="254">
        <v>44.21</v>
      </c>
      <c r="E12227"/>
      <c r="F12227"/>
      <c r="G12227"/>
      <c r="H12227"/>
      <c r="I12227" s="489"/>
      <c r="J12227" s="1362"/>
      <c r="K12227" s="1362"/>
      <c r="L12227" s="1362"/>
    </row>
    <row r="12228" spans="1:12" x14ac:dyDescent="0.25">
      <c r="A12228">
        <v>89512</v>
      </c>
      <c r="B12228" t="s">
        <v>18663</v>
      </c>
      <c r="C12228" t="s">
        <v>151</v>
      </c>
      <c r="D12228" s="254">
        <v>70.23</v>
      </c>
      <c r="E12228"/>
      <c r="F12228"/>
      <c r="G12228"/>
      <c r="H12228"/>
      <c r="I12228" s="489"/>
      <c r="J12228" s="1362"/>
      <c r="K12228" s="1362"/>
      <c r="L12228" s="1362"/>
    </row>
    <row r="12229" spans="1:12" x14ac:dyDescent="0.25">
      <c r="A12229">
        <v>89576</v>
      </c>
      <c r="B12229" t="s">
        <v>18664</v>
      </c>
      <c r="C12229" t="s">
        <v>151</v>
      </c>
      <c r="D12229" s="254">
        <v>26.31</v>
      </c>
      <c r="E12229"/>
      <c r="F12229"/>
      <c r="G12229"/>
      <c r="H12229"/>
      <c r="I12229" s="489"/>
      <c r="J12229" s="1362"/>
      <c r="K12229" s="1362"/>
      <c r="L12229" s="1362"/>
    </row>
    <row r="12230" spans="1:12" x14ac:dyDescent="0.25">
      <c r="A12230">
        <v>89578</v>
      </c>
      <c r="B12230" t="s">
        <v>18665</v>
      </c>
      <c r="C12230" t="s">
        <v>151</v>
      </c>
      <c r="D12230" s="254">
        <v>45.51</v>
      </c>
      <c r="E12230"/>
      <c r="F12230"/>
      <c r="G12230"/>
      <c r="H12230"/>
      <c r="I12230" s="489"/>
      <c r="J12230" s="1362"/>
      <c r="K12230" s="1362"/>
      <c r="L12230" s="1362"/>
    </row>
    <row r="12231" spans="1:12" x14ac:dyDescent="0.25">
      <c r="A12231">
        <v>89580</v>
      </c>
      <c r="B12231" t="s">
        <v>18666</v>
      </c>
      <c r="C12231" t="s">
        <v>151</v>
      </c>
      <c r="D12231" s="254">
        <v>90.46</v>
      </c>
      <c r="E12231"/>
      <c r="F12231"/>
      <c r="G12231"/>
      <c r="H12231"/>
      <c r="I12231" s="489"/>
      <c r="J12231" s="1362"/>
      <c r="K12231" s="1362"/>
      <c r="L12231" s="1362"/>
    </row>
    <row r="12232" spans="1:12" x14ac:dyDescent="0.25">
      <c r="A12232">
        <v>89633</v>
      </c>
      <c r="B12232" t="s">
        <v>18667</v>
      </c>
      <c r="C12232" t="s">
        <v>151</v>
      </c>
      <c r="D12232" s="254">
        <v>30.01</v>
      </c>
      <c r="E12232"/>
      <c r="F12232"/>
      <c r="G12232"/>
      <c r="H12232"/>
      <c r="I12232" s="489"/>
      <c r="J12232" s="1362"/>
      <c r="K12232" s="1362"/>
      <c r="L12232" s="1362"/>
    </row>
    <row r="12233" spans="1:12" x14ac:dyDescent="0.25">
      <c r="A12233">
        <v>89634</v>
      </c>
      <c r="B12233" t="s">
        <v>18668</v>
      </c>
      <c r="C12233" t="s">
        <v>151</v>
      </c>
      <c r="D12233" s="254">
        <v>45.97</v>
      </c>
      <c r="E12233"/>
      <c r="F12233"/>
      <c r="G12233"/>
      <c r="H12233"/>
      <c r="I12233" s="489"/>
      <c r="J12233" s="1362"/>
      <c r="K12233" s="1362"/>
      <c r="L12233" s="1362"/>
    </row>
    <row r="12234" spans="1:12" x14ac:dyDescent="0.25">
      <c r="A12234">
        <v>89635</v>
      </c>
      <c r="B12234" t="s">
        <v>18669</v>
      </c>
      <c r="C12234" t="s">
        <v>151</v>
      </c>
      <c r="D12234" s="254">
        <v>66.09</v>
      </c>
      <c r="E12234"/>
      <c r="F12234"/>
      <c r="G12234"/>
      <c r="H12234"/>
      <c r="I12234" s="489"/>
      <c r="J12234" s="1362"/>
      <c r="K12234" s="1362"/>
      <c r="L12234" s="1362"/>
    </row>
    <row r="12235" spans="1:12" x14ac:dyDescent="0.25">
      <c r="A12235">
        <v>89636</v>
      </c>
      <c r="B12235" t="s">
        <v>18670</v>
      </c>
      <c r="C12235" t="s">
        <v>151</v>
      </c>
      <c r="D12235" s="254">
        <v>80.540000000000006</v>
      </c>
      <c r="E12235"/>
      <c r="F12235"/>
      <c r="G12235"/>
      <c r="H12235"/>
      <c r="I12235" s="489"/>
      <c r="J12235" s="1362"/>
      <c r="K12235" s="1362"/>
      <c r="L12235" s="1362"/>
    </row>
    <row r="12236" spans="1:12" x14ac:dyDescent="0.25">
      <c r="A12236">
        <v>89711</v>
      </c>
      <c r="B12236" t="s">
        <v>18671</v>
      </c>
      <c r="C12236" t="s">
        <v>151</v>
      </c>
      <c r="D12236" s="254">
        <v>21.25</v>
      </c>
      <c r="E12236"/>
      <c r="F12236"/>
      <c r="G12236"/>
      <c r="H12236"/>
      <c r="I12236" s="489"/>
      <c r="J12236" s="1362"/>
      <c r="K12236" s="1362"/>
      <c r="L12236" s="1362"/>
    </row>
    <row r="12237" spans="1:12" x14ac:dyDescent="0.25">
      <c r="A12237">
        <v>89712</v>
      </c>
      <c r="B12237" t="s">
        <v>18672</v>
      </c>
      <c r="C12237" t="s">
        <v>151</v>
      </c>
      <c r="D12237" s="254">
        <v>26.78</v>
      </c>
      <c r="E12237"/>
      <c r="F12237"/>
      <c r="G12237"/>
      <c r="H12237"/>
      <c r="I12237" s="489"/>
      <c r="J12237" s="1362"/>
      <c r="K12237" s="1362"/>
      <c r="L12237" s="1362"/>
    </row>
    <row r="12238" spans="1:12" x14ac:dyDescent="0.25">
      <c r="A12238">
        <v>89713</v>
      </c>
      <c r="B12238" t="s">
        <v>18673</v>
      </c>
      <c r="C12238" t="s">
        <v>151</v>
      </c>
      <c r="D12238" s="254">
        <v>34.630000000000003</v>
      </c>
      <c r="E12238"/>
      <c r="F12238"/>
      <c r="G12238"/>
      <c r="H12238"/>
      <c r="I12238" s="489"/>
      <c r="J12238" s="1362"/>
      <c r="K12238" s="1362"/>
      <c r="L12238" s="1362"/>
    </row>
    <row r="12239" spans="1:12" x14ac:dyDescent="0.25">
      <c r="A12239">
        <v>89714</v>
      </c>
      <c r="B12239" t="s">
        <v>18674</v>
      </c>
      <c r="C12239" t="s">
        <v>151</v>
      </c>
      <c r="D12239" s="254">
        <v>39.799999999999997</v>
      </c>
      <c r="E12239"/>
      <c r="F12239"/>
      <c r="G12239"/>
      <c r="H12239"/>
      <c r="I12239" s="489"/>
      <c r="J12239" s="1362"/>
      <c r="K12239" s="1362"/>
      <c r="L12239" s="1362"/>
    </row>
    <row r="12240" spans="1:12" x14ac:dyDescent="0.25">
      <c r="A12240">
        <v>89716</v>
      </c>
      <c r="B12240" t="s">
        <v>18675</v>
      </c>
      <c r="C12240" t="s">
        <v>151</v>
      </c>
      <c r="D12240" s="254">
        <v>35.44</v>
      </c>
      <c r="E12240"/>
      <c r="F12240"/>
      <c r="G12240"/>
      <c r="H12240"/>
      <c r="I12240" s="489"/>
      <c r="J12240" s="1362"/>
      <c r="K12240" s="1362"/>
      <c r="L12240" s="1362"/>
    </row>
    <row r="12241" spans="1:12" x14ac:dyDescent="0.25">
      <c r="A12241">
        <v>89717</v>
      </c>
      <c r="B12241" t="s">
        <v>18676</v>
      </c>
      <c r="C12241" t="s">
        <v>151</v>
      </c>
      <c r="D12241" s="254">
        <v>53.66</v>
      </c>
      <c r="E12241"/>
      <c r="F12241"/>
      <c r="G12241"/>
      <c r="H12241"/>
      <c r="I12241" s="489"/>
      <c r="J12241" s="1362"/>
      <c r="K12241" s="1362"/>
      <c r="L12241" s="1362"/>
    </row>
    <row r="12242" spans="1:12" x14ac:dyDescent="0.25">
      <c r="A12242">
        <v>89770</v>
      </c>
      <c r="B12242" t="s">
        <v>18677</v>
      </c>
      <c r="C12242" t="s">
        <v>151</v>
      </c>
      <c r="D12242" s="254">
        <v>56.7</v>
      </c>
      <c r="E12242"/>
      <c r="F12242"/>
      <c r="G12242"/>
      <c r="H12242"/>
      <c r="I12242" s="489"/>
      <c r="J12242" s="1362"/>
      <c r="K12242" s="1362"/>
      <c r="L12242" s="1362"/>
    </row>
    <row r="12243" spans="1:12" x14ac:dyDescent="0.25">
      <c r="A12243">
        <v>89771</v>
      </c>
      <c r="B12243" t="s">
        <v>18678</v>
      </c>
      <c r="C12243" t="s">
        <v>151</v>
      </c>
      <c r="D12243" s="254">
        <v>77.459999999999994</v>
      </c>
      <c r="E12243"/>
      <c r="F12243"/>
      <c r="G12243"/>
      <c r="H12243"/>
      <c r="I12243" s="489"/>
      <c r="J12243" s="1362"/>
      <c r="K12243" s="1362"/>
      <c r="L12243" s="1362"/>
    </row>
    <row r="12244" spans="1:12" x14ac:dyDescent="0.25">
      <c r="A12244">
        <v>89773</v>
      </c>
      <c r="B12244" t="s">
        <v>18679</v>
      </c>
      <c r="C12244" t="s">
        <v>151</v>
      </c>
      <c r="D12244" s="254">
        <v>180.34</v>
      </c>
      <c r="E12244"/>
      <c r="F12244"/>
      <c r="G12244"/>
      <c r="H12244"/>
      <c r="I12244" s="489"/>
      <c r="J12244" s="1362"/>
      <c r="K12244" s="1362"/>
      <c r="L12244" s="1362"/>
    </row>
    <row r="12245" spans="1:12" x14ac:dyDescent="0.25">
      <c r="A12245">
        <v>89775</v>
      </c>
      <c r="B12245" t="s">
        <v>18680</v>
      </c>
      <c r="C12245" t="s">
        <v>151</v>
      </c>
      <c r="D12245" s="254">
        <v>284.81</v>
      </c>
      <c r="E12245"/>
      <c r="F12245"/>
      <c r="G12245"/>
      <c r="H12245"/>
      <c r="I12245" s="489"/>
      <c r="J12245" s="1362"/>
      <c r="K12245" s="1362"/>
      <c r="L12245" s="1362"/>
    </row>
    <row r="12246" spans="1:12" x14ac:dyDescent="0.25">
      <c r="A12246">
        <v>89798</v>
      </c>
      <c r="B12246" t="s">
        <v>18681</v>
      </c>
      <c r="C12246" t="s">
        <v>151</v>
      </c>
      <c r="D12246" s="254">
        <v>12.44</v>
      </c>
      <c r="E12246"/>
      <c r="F12246"/>
      <c r="G12246"/>
      <c r="H12246"/>
      <c r="I12246" s="489"/>
      <c r="J12246" s="1362"/>
      <c r="K12246" s="1362"/>
      <c r="L12246" s="1362"/>
    </row>
    <row r="12247" spans="1:12" x14ac:dyDescent="0.25">
      <c r="A12247">
        <v>89799</v>
      </c>
      <c r="B12247" t="s">
        <v>18682</v>
      </c>
      <c r="C12247" t="s">
        <v>151</v>
      </c>
      <c r="D12247" s="254">
        <v>22.72</v>
      </c>
      <c r="E12247"/>
      <c r="F12247"/>
      <c r="G12247"/>
      <c r="H12247"/>
      <c r="I12247" s="489"/>
      <c r="J12247" s="1362"/>
      <c r="K12247" s="1362"/>
      <c r="L12247" s="1362"/>
    </row>
    <row r="12248" spans="1:12" x14ac:dyDescent="0.25">
      <c r="A12248">
        <v>89800</v>
      </c>
      <c r="B12248" t="s">
        <v>18683</v>
      </c>
      <c r="C12248" t="s">
        <v>151</v>
      </c>
      <c r="D12248" s="254">
        <v>30.38</v>
      </c>
      <c r="E12248"/>
      <c r="F12248"/>
      <c r="G12248"/>
      <c r="H12248"/>
      <c r="I12248" s="489"/>
      <c r="J12248" s="1362"/>
      <c r="K12248" s="1362"/>
      <c r="L12248" s="1362"/>
    </row>
    <row r="12249" spans="1:12" x14ac:dyDescent="0.25">
      <c r="A12249">
        <v>89848</v>
      </c>
      <c r="B12249" t="s">
        <v>18684</v>
      </c>
      <c r="C12249" t="s">
        <v>151</v>
      </c>
      <c r="D12249" s="254">
        <v>29.15</v>
      </c>
      <c r="E12249"/>
      <c r="F12249"/>
      <c r="G12249"/>
      <c r="H12249"/>
      <c r="I12249" s="489"/>
      <c r="J12249" s="1362"/>
      <c r="K12249" s="1362"/>
      <c r="L12249" s="1362"/>
    </row>
    <row r="12250" spans="1:12" x14ac:dyDescent="0.25">
      <c r="A12250">
        <v>89849</v>
      </c>
      <c r="B12250" t="s">
        <v>18685</v>
      </c>
      <c r="C12250" t="s">
        <v>151</v>
      </c>
      <c r="D12250" s="254">
        <v>58.92</v>
      </c>
      <c r="E12250"/>
      <c r="F12250"/>
      <c r="G12250"/>
      <c r="H12250"/>
      <c r="I12250" s="489"/>
      <c r="J12250" s="1362"/>
      <c r="K12250" s="1362"/>
      <c r="L12250" s="1362"/>
    </row>
    <row r="12251" spans="1:12" x14ac:dyDescent="0.25">
      <c r="A12251">
        <v>89865</v>
      </c>
      <c r="B12251" t="s">
        <v>18686</v>
      </c>
      <c r="C12251" t="s">
        <v>151</v>
      </c>
      <c r="D12251" s="254">
        <v>18.22</v>
      </c>
      <c r="E12251"/>
      <c r="F12251"/>
      <c r="G12251"/>
      <c r="H12251"/>
      <c r="I12251" s="489"/>
      <c r="J12251" s="1362"/>
      <c r="K12251" s="1362"/>
      <c r="L12251" s="1362"/>
    </row>
    <row r="12252" spans="1:12" x14ac:dyDescent="0.25">
      <c r="A12252">
        <v>91784</v>
      </c>
      <c r="B12252" t="s">
        <v>1543</v>
      </c>
      <c r="C12252" t="s">
        <v>151</v>
      </c>
      <c r="D12252" s="254">
        <v>49.5</v>
      </c>
      <c r="E12252"/>
      <c r="F12252"/>
      <c r="G12252"/>
      <c r="H12252"/>
      <c r="I12252" s="489"/>
      <c r="J12252" s="1362"/>
      <c r="K12252" s="1362"/>
      <c r="L12252" s="1362"/>
    </row>
    <row r="12253" spans="1:12" x14ac:dyDescent="0.25">
      <c r="A12253">
        <v>91785</v>
      </c>
      <c r="B12253" t="s">
        <v>1544</v>
      </c>
      <c r="C12253" t="s">
        <v>151</v>
      </c>
      <c r="D12253" s="254">
        <v>48.94</v>
      </c>
      <c r="E12253"/>
      <c r="F12253"/>
      <c r="G12253"/>
      <c r="H12253"/>
      <c r="I12253" s="489"/>
      <c r="J12253" s="1362"/>
      <c r="K12253" s="1362"/>
      <c r="L12253" s="1362"/>
    </row>
    <row r="12254" spans="1:12" x14ac:dyDescent="0.25">
      <c r="A12254">
        <v>91786</v>
      </c>
      <c r="B12254" t="s">
        <v>1545</v>
      </c>
      <c r="C12254" t="s">
        <v>151</v>
      </c>
      <c r="D12254" s="254">
        <v>35.11</v>
      </c>
      <c r="E12254"/>
      <c r="F12254"/>
      <c r="G12254"/>
      <c r="H12254"/>
      <c r="I12254" s="489"/>
      <c r="J12254" s="1362"/>
      <c r="K12254" s="1362"/>
      <c r="L12254" s="1362"/>
    </row>
    <row r="12255" spans="1:12" x14ac:dyDescent="0.25">
      <c r="A12255">
        <v>91787</v>
      </c>
      <c r="B12255" t="s">
        <v>1546</v>
      </c>
      <c r="C12255" t="s">
        <v>151</v>
      </c>
      <c r="D12255" s="254">
        <v>38.11</v>
      </c>
      <c r="E12255"/>
      <c r="F12255"/>
      <c r="G12255"/>
      <c r="H12255"/>
      <c r="I12255" s="489"/>
      <c r="J12255" s="1362"/>
      <c r="K12255" s="1362"/>
      <c r="L12255" s="1362"/>
    </row>
    <row r="12256" spans="1:12" x14ac:dyDescent="0.25">
      <c r="A12256">
        <v>91788</v>
      </c>
      <c r="B12256" t="s">
        <v>1547</v>
      </c>
      <c r="C12256" t="s">
        <v>151</v>
      </c>
      <c r="D12256" s="254">
        <v>48.55</v>
      </c>
      <c r="E12256"/>
      <c r="F12256"/>
      <c r="G12256"/>
      <c r="H12256"/>
      <c r="I12256" s="489"/>
      <c r="J12256" s="1362"/>
      <c r="K12256" s="1362"/>
      <c r="L12256" s="1362"/>
    </row>
    <row r="12257" spans="1:12" x14ac:dyDescent="0.25">
      <c r="A12257">
        <v>91789</v>
      </c>
      <c r="B12257" t="s">
        <v>1548</v>
      </c>
      <c r="C12257" t="s">
        <v>151</v>
      </c>
      <c r="D12257" s="254">
        <v>52.69</v>
      </c>
      <c r="E12257"/>
      <c r="F12257"/>
      <c r="G12257"/>
      <c r="H12257"/>
      <c r="I12257" s="489"/>
      <c r="J12257" s="1362"/>
      <c r="K12257" s="1362"/>
      <c r="L12257" s="1362"/>
    </row>
    <row r="12258" spans="1:12" x14ac:dyDescent="0.25">
      <c r="A12258">
        <v>91790</v>
      </c>
      <c r="B12258" t="s">
        <v>1549</v>
      </c>
      <c r="C12258" t="s">
        <v>151</v>
      </c>
      <c r="D12258" s="254">
        <v>77.180000000000007</v>
      </c>
      <c r="E12258"/>
      <c r="F12258"/>
      <c r="G12258"/>
      <c r="H12258"/>
      <c r="I12258" s="489"/>
      <c r="J12258" s="1362"/>
      <c r="K12258" s="1362"/>
      <c r="L12258" s="1362"/>
    </row>
    <row r="12259" spans="1:12" x14ac:dyDescent="0.25">
      <c r="A12259">
        <v>91791</v>
      </c>
      <c r="B12259" t="s">
        <v>1550</v>
      </c>
      <c r="C12259" t="s">
        <v>151</v>
      </c>
      <c r="D12259" s="254">
        <v>97.64</v>
      </c>
      <c r="E12259"/>
      <c r="F12259"/>
      <c r="G12259"/>
      <c r="H12259"/>
      <c r="I12259" s="489"/>
      <c r="J12259" s="1362"/>
      <c r="K12259" s="1362"/>
      <c r="L12259" s="1362"/>
    </row>
    <row r="12260" spans="1:12" x14ac:dyDescent="0.25">
      <c r="A12260">
        <v>91792</v>
      </c>
      <c r="B12260" t="s">
        <v>1551</v>
      </c>
      <c r="C12260" t="s">
        <v>151</v>
      </c>
      <c r="D12260" s="254">
        <v>67.47</v>
      </c>
      <c r="E12260"/>
      <c r="F12260"/>
      <c r="G12260"/>
      <c r="H12260"/>
      <c r="I12260" s="489"/>
      <c r="J12260" s="1362"/>
      <c r="K12260" s="1362"/>
      <c r="L12260" s="1362"/>
    </row>
    <row r="12261" spans="1:12" x14ac:dyDescent="0.25">
      <c r="A12261">
        <v>91793</v>
      </c>
      <c r="B12261" t="s">
        <v>1552</v>
      </c>
      <c r="C12261" t="s">
        <v>151</v>
      </c>
      <c r="D12261" s="254">
        <v>98.18</v>
      </c>
      <c r="E12261"/>
      <c r="F12261"/>
      <c r="G12261"/>
      <c r="H12261"/>
      <c r="I12261" s="489"/>
      <c r="J12261" s="1362"/>
      <c r="K12261" s="1362"/>
      <c r="L12261" s="1362"/>
    </row>
    <row r="12262" spans="1:12" x14ac:dyDescent="0.25">
      <c r="A12262">
        <v>91794</v>
      </c>
      <c r="B12262" t="s">
        <v>1553</v>
      </c>
      <c r="C12262" t="s">
        <v>151</v>
      </c>
      <c r="D12262" s="254">
        <v>45.55</v>
      </c>
      <c r="E12262"/>
      <c r="F12262"/>
      <c r="G12262"/>
      <c r="H12262"/>
      <c r="I12262" s="489"/>
      <c r="J12262" s="1362"/>
      <c r="K12262" s="1362"/>
      <c r="L12262" s="1362"/>
    </row>
    <row r="12263" spans="1:12" x14ac:dyDescent="0.25">
      <c r="A12263">
        <v>91795</v>
      </c>
      <c r="B12263" t="s">
        <v>1554</v>
      </c>
      <c r="C12263" t="s">
        <v>151</v>
      </c>
      <c r="D12263" s="254">
        <v>74.23</v>
      </c>
      <c r="E12263"/>
      <c r="F12263"/>
      <c r="G12263"/>
      <c r="H12263"/>
      <c r="I12263" s="489"/>
      <c r="J12263" s="1362"/>
      <c r="K12263" s="1362"/>
      <c r="L12263" s="1362"/>
    </row>
    <row r="12264" spans="1:12" x14ac:dyDescent="0.25">
      <c r="A12264">
        <v>91796</v>
      </c>
      <c r="B12264" t="s">
        <v>1555</v>
      </c>
      <c r="C12264" t="s">
        <v>151</v>
      </c>
      <c r="D12264" s="254">
        <v>76.42</v>
      </c>
      <c r="E12264"/>
      <c r="F12264"/>
      <c r="G12264"/>
      <c r="H12264"/>
      <c r="I12264" s="489"/>
      <c r="J12264" s="1362"/>
      <c r="K12264" s="1362"/>
      <c r="L12264" s="1362"/>
    </row>
    <row r="12265" spans="1:12" x14ac:dyDescent="0.25">
      <c r="A12265">
        <v>92275</v>
      </c>
      <c r="B12265" t="s">
        <v>18687</v>
      </c>
      <c r="C12265" t="s">
        <v>151</v>
      </c>
      <c r="D12265" s="254">
        <v>53.78</v>
      </c>
      <c r="E12265"/>
      <c r="F12265"/>
      <c r="G12265"/>
      <c r="H12265"/>
      <c r="I12265" s="489"/>
      <c r="J12265" s="1362"/>
      <c r="K12265" s="1362"/>
      <c r="L12265" s="1362"/>
    </row>
    <row r="12266" spans="1:12" x14ac:dyDescent="0.25">
      <c r="A12266">
        <v>92276</v>
      </c>
      <c r="B12266" t="s">
        <v>18688</v>
      </c>
      <c r="C12266" t="s">
        <v>151</v>
      </c>
      <c r="D12266" s="254">
        <v>68.3</v>
      </c>
      <c r="E12266"/>
      <c r="F12266"/>
      <c r="G12266"/>
      <c r="H12266"/>
      <c r="I12266" s="489"/>
      <c r="J12266" s="1362"/>
      <c r="K12266" s="1362"/>
      <c r="L12266" s="1362"/>
    </row>
    <row r="12267" spans="1:12" x14ac:dyDescent="0.25">
      <c r="A12267">
        <v>92277</v>
      </c>
      <c r="B12267" t="s">
        <v>18689</v>
      </c>
      <c r="C12267" t="s">
        <v>151</v>
      </c>
      <c r="D12267" s="254">
        <v>98.64</v>
      </c>
      <c r="E12267"/>
      <c r="F12267"/>
      <c r="G12267"/>
      <c r="H12267"/>
      <c r="I12267" s="489"/>
      <c r="J12267" s="1362"/>
      <c r="K12267" s="1362"/>
      <c r="L12267" s="1362"/>
    </row>
    <row r="12268" spans="1:12" x14ac:dyDescent="0.25">
      <c r="A12268">
        <v>92278</v>
      </c>
      <c r="B12268" t="s">
        <v>18690</v>
      </c>
      <c r="C12268" t="s">
        <v>151</v>
      </c>
      <c r="D12268" s="254">
        <v>132.69999999999999</v>
      </c>
      <c r="E12268"/>
      <c r="F12268"/>
      <c r="G12268"/>
      <c r="H12268"/>
      <c r="I12268" s="489"/>
      <c r="J12268" s="1362"/>
      <c r="K12268" s="1362"/>
      <c r="L12268" s="1362"/>
    </row>
    <row r="12269" spans="1:12" x14ac:dyDescent="0.25">
      <c r="A12269">
        <v>92279</v>
      </c>
      <c r="B12269" t="s">
        <v>18691</v>
      </c>
      <c r="C12269" t="s">
        <v>151</v>
      </c>
      <c r="D12269" s="254">
        <v>191.74</v>
      </c>
      <c r="E12269"/>
      <c r="F12269"/>
      <c r="G12269"/>
      <c r="H12269"/>
      <c r="I12269" s="489"/>
      <c r="J12269" s="1362"/>
      <c r="K12269" s="1362"/>
      <c r="L12269" s="1362"/>
    </row>
    <row r="12270" spans="1:12" x14ac:dyDescent="0.25">
      <c r="A12270">
        <v>92280</v>
      </c>
      <c r="B12270" t="s">
        <v>18692</v>
      </c>
      <c r="C12270" t="s">
        <v>151</v>
      </c>
      <c r="D12270" s="254">
        <v>269.07</v>
      </c>
      <c r="E12270"/>
      <c r="F12270"/>
      <c r="G12270"/>
      <c r="H12270"/>
      <c r="I12270" s="489"/>
      <c r="J12270" s="1362"/>
      <c r="K12270" s="1362"/>
      <c r="L12270" s="1362"/>
    </row>
    <row r="12271" spans="1:12" x14ac:dyDescent="0.25">
      <c r="A12271">
        <v>92281</v>
      </c>
      <c r="B12271" t="s">
        <v>18693</v>
      </c>
      <c r="C12271" t="s">
        <v>151</v>
      </c>
      <c r="D12271" s="254">
        <v>151.84</v>
      </c>
      <c r="E12271"/>
      <c r="F12271"/>
      <c r="G12271"/>
      <c r="H12271"/>
      <c r="I12271" s="489"/>
      <c r="J12271" s="1362"/>
      <c r="K12271" s="1362"/>
      <c r="L12271" s="1362"/>
    </row>
    <row r="12272" spans="1:12" x14ac:dyDescent="0.25">
      <c r="A12272">
        <v>92282</v>
      </c>
      <c r="B12272" t="s">
        <v>18694</v>
      </c>
      <c r="C12272" t="s">
        <v>151</v>
      </c>
      <c r="D12272" s="254">
        <v>170.36</v>
      </c>
      <c r="E12272"/>
      <c r="F12272"/>
      <c r="G12272"/>
      <c r="H12272"/>
      <c r="I12272" s="489"/>
      <c r="J12272" s="1362"/>
      <c r="K12272" s="1362"/>
      <c r="L12272" s="1362"/>
    </row>
    <row r="12273" spans="1:12" x14ac:dyDescent="0.25">
      <c r="A12273">
        <v>92283</v>
      </c>
      <c r="B12273" t="s">
        <v>18695</v>
      </c>
      <c r="C12273" t="s">
        <v>151</v>
      </c>
      <c r="D12273" s="254">
        <v>227.67</v>
      </c>
      <c r="E12273"/>
      <c r="F12273"/>
      <c r="G12273"/>
      <c r="H12273"/>
      <c r="I12273" s="489"/>
      <c r="J12273" s="1362"/>
      <c r="K12273" s="1362"/>
      <c r="L12273" s="1362"/>
    </row>
    <row r="12274" spans="1:12" x14ac:dyDescent="0.25">
      <c r="A12274">
        <v>92284</v>
      </c>
      <c r="B12274" t="s">
        <v>18696</v>
      </c>
      <c r="C12274" t="s">
        <v>151</v>
      </c>
      <c r="D12274" s="254">
        <v>279.81</v>
      </c>
      <c r="E12274"/>
      <c r="F12274"/>
      <c r="G12274"/>
      <c r="H12274"/>
      <c r="I12274" s="489"/>
      <c r="J12274" s="1362"/>
      <c r="K12274" s="1362"/>
      <c r="L12274" s="1362"/>
    </row>
    <row r="12275" spans="1:12" x14ac:dyDescent="0.25">
      <c r="A12275">
        <v>92285</v>
      </c>
      <c r="B12275" t="s">
        <v>18697</v>
      </c>
      <c r="C12275" t="s">
        <v>151</v>
      </c>
      <c r="D12275" s="254">
        <v>367.59</v>
      </c>
      <c r="E12275"/>
      <c r="F12275"/>
      <c r="G12275"/>
      <c r="H12275"/>
      <c r="I12275" s="489"/>
      <c r="J12275" s="1362"/>
      <c r="K12275" s="1362"/>
      <c r="L12275" s="1362"/>
    </row>
    <row r="12276" spans="1:12" x14ac:dyDescent="0.25">
      <c r="A12276">
        <v>92286</v>
      </c>
      <c r="B12276" t="s">
        <v>18698</v>
      </c>
      <c r="C12276" t="s">
        <v>151</v>
      </c>
      <c r="D12276" s="254">
        <v>447.4</v>
      </c>
      <c r="E12276"/>
      <c r="F12276"/>
      <c r="G12276"/>
      <c r="H12276"/>
      <c r="I12276" s="489"/>
      <c r="J12276" s="1362"/>
      <c r="K12276" s="1362"/>
      <c r="L12276" s="1362"/>
    </row>
    <row r="12277" spans="1:12" x14ac:dyDescent="0.25">
      <c r="A12277">
        <v>92305</v>
      </c>
      <c r="B12277" t="s">
        <v>18699</v>
      </c>
      <c r="C12277" t="s">
        <v>151</v>
      </c>
      <c r="D12277" s="254">
        <v>36.979999999999997</v>
      </c>
      <c r="E12277"/>
      <c r="F12277"/>
      <c r="G12277"/>
      <c r="H12277"/>
      <c r="I12277" s="489"/>
      <c r="J12277" s="1362"/>
      <c r="K12277" s="1362"/>
      <c r="L12277" s="1362"/>
    </row>
    <row r="12278" spans="1:12" x14ac:dyDescent="0.25">
      <c r="A12278">
        <v>92306</v>
      </c>
      <c r="B12278" t="s">
        <v>18700</v>
      </c>
      <c r="C12278" t="s">
        <v>151</v>
      </c>
      <c r="D12278" s="254">
        <v>59.64</v>
      </c>
      <c r="E12278"/>
      <c r="F12278"/>
      <c r="G12278"/>
      <c r="H12278"/>
      <c r="I12278" s="489"/>
      <c r="J12278" s="1362"/>
      <c r="K12278" s="1362"/>
      <c r="L12278" s="1362"/>
    </row>
    <row r="12279" spans="1:12" x14ac:dyDescent="0.25">
      <c r="A12279">
        <v>92307</v>
      </c>
      <c r="B12279" t="s">
        <v>18701</v>
      </c>
      <c r="C12279" t="s">
        <v>151</v>
      </c>
      <c r="D12279" s="254">
        <v>74.430000000000007</v>
      </c>
      <c r="E12279"/>
      <c r="F12279"/>
      <c r="G12279"/>
      <c r="H12279"/>
      <c r="I12279" s="489"/>
      <c r="J12279" s="1362"/>
      <c r="K12279" s="1362"/>
      <c r="L12279" s="1362"/>
    </row>
    <row r="12280" spans="1:12" x14ac:dyDescent="0.25">
      <c r="A12280">
        <v>92308</v>
      </c>
      <c r="B12280" t="s">
        <v>18702</v>
      </c>
      <c r="C12280" t="s">
        <v>151</v>
      </c>
      <c r="D12280" s="254">
        <v>60.62</v>
      </c>
      <c r="E12280"/>
      <c r="F12280"/>
      <c r="G12280"/>
      <c r="H12280"/>
      <c r="I12280" s="489"/>
      <c r="J12280" s="1362"/>
      <c r="K12280" s="1362"/>
      <c r="L12280" s="1362"/>
    </row>
    <row r="12281" spans="1:12" x14ac:dyDescent="0.25">
      <c r="A12281">
        <v>92309</v>
      </c>
      <c r="B12281" t="s">
        <v>18703</v>
      </c>
      <c r="C12281" t="s">
        <v>151</v>
      </c>
      <c r="D12281" s="254">
        <v>160.61000000000001</v>
      </c>
      <c r="E12281"/>
      <c r="F12281"/>
      <c r="G12281"/>
      <c r="H12281"/>
      <c r="I12281" s="489"/>
      <c r="J12281" s="1362"/>
      <c r="K12281" s="1362"/>
      <c r="L12281" s="1362"/>
    </row>
    <row r="12282" spans="1:12" x14ac:dyDescent="0.25">
      <c r="A12282">
        <v>92310</v>
      </c>
      <c r="B12282" t="s">
        <v>18704</v>
      </c>
      <c r="C12282" t="s">
        <v>151</v>
      </c>
      <c r="D12282" s="254">
        <v>179.41</v>
      </c>
      <c r="E12282"/>
      <c r="F12282"/>
      <c r="G12282"/>
      <c r="H12282"/>
      <c r="I12282" s="489"/>
      <c r="J12282" s="1362"/>
      <c r="K12282" s="1362"/>
      <c r="L12282" s="1362"/>
    </row>
    <row r="12283" spans="1:12" x14ac:dyDescent="0.25">
      <c r="A12283">
        <v>92320</v>
      </c>
      <c r="B12283" t="s">
        <v>18705</v>
      </c>
      <c r="C12283" t="s">
        <v>151</v>
      </c>
      <c r="D12283" s="254">
        <v>49.01</v>
      </c>
      <c r="E12283"/>
      <c r="F12283"/>
      <c r="G12283"/>
      <c r="H12283"/>
      <c r="I12283" s="489"/>
      <c r="J12283" s="1362"/>
      <c r="K12283" s="1362"/>
      <c r="L12283" s="1362"/>
    </row>
    <row r="12284" spans="1:12" x14ac:dyDescent="0.25">
      <c r="A12284">
        <v>92321</v>
      </c>
      <c r="B12284" t="s">
        <v>18706</v>
      </c>
      <c r="C12284" t="s">
        <v>151</v>
      </c>
      <c r="D12284" s="254">
        <v>80.349999999999994</v>
      </c>
      <c r="E12284"/>
      <c r="F12284"/>
      <c r="G12284"/>
      <c r="H12284"/>
      <c r="I12284" s="489"/>
      <c r="J12284" s="1362"/>
      <c r="K12284" s="1362"/>
      <c r="L12284" s="1362"/>
    </row>
    <row r="12285" spans="1:12" x14ac:dyDescent="0.25">
      <c r="A12285">
        <v>92322</v>
      </c>
      <c r="B12285" t="s">
        <v>18707</v>
      </c>
      <c r="C12285" t="s">
        <v>151</v>
      </c>
      <c r="D12285" s="254">
        <v>102.59</v>
      </c>
      <c r="E12285"/>
      <c r="F12285"/>
      <c r="G12285"/>
      <c r="H12285"/>
      <c r="I12285" s="489"/>
      <c r="J12285" s="1362"/>
      <c r="K12285" s="1362"/>
      <c r="L12285" s="1362"/>
    </row>
    <row r="12286" spans="1:12" x14ac:dyDescent="0.25">
      <c r="A12286">
        <v>92323</v>
      </c>
      <c r="B12286" t="s">
        <v>18708</v>
      </c>
      <c r="C12286" t="s">
        <v>151</v>
      </c>
      <c r="D12286" s="254">
        <v>69.75</v>
      </c>
      <c r="E12286"/>
      <c r="F12286"/>
      <c r="G12286"/>
      <c r="H12286"/>
      <c r="I12286" s="489"/>
      <c r="J12286" s="1362"/>
      <c r="K12286" s="1362"/>
      <c r="L12286" s="1362"/>
    </row>
    <row r="12287" spans="1:12" x14ac:dyDescent="0.25">
      <c r="A12287">
        <v>92324</v>
      </c>
      <c r="B12287" t="s">
        <v>18709</v>
      </c>
      <c r="C12287" t="s">
        <v>151</v>
      </c>
      <c r="D12287" s="254">
        <v>178.44</v>
      </c>
      <c r="E12287"/>
      <c r="F12287"/>
      <c r="G12287"/>
      <c r="H12287"/>
      <c r="I12287" s="489"/>
      <c r="J12287" s="1362"/>
      <c r="K12287" s="1362"/>
      <c r="L12287" s="1362"/>
    </row>
    <row r="12288" spans="1:12" x14ac:dyDescent="0.25">
      <c r="A12288">
        <v>92325</v>
      </c>
      <c r="B12288" t="s">
        <v>18710</v>
      </c>
      <c r="C12288" t="s">
        <v>151</v>
      </c>
      <c r="D12288" s="254">
        <v>204.69</v>
      </c>
      <c r="E12288"/>
      <c r="F12288"/>
      <c r="G12288"/>
      <c r="H12288"/>
      <c r="I12288" s="489"/>
      <c r="J12288" s="1362"/>
      <c r="K12288" s="1362"/>
      <c r="L12288" s="1362"/>
    </row>
    <row r="12289" spans="1:12" x14ac:dyDescent="0.25">
      <c r="A12289">
        <v>92335</v>
      </c>
      <c r="B12289" t="s">
        <v>5369</v>
      </c>
      <c r="C12289" t="s">
        <v>151</v>
      </c>
      <c r="D12289" s="254">
        <v>92.67</v>
      </c>
      <c r="E12289"/>
      <c r="F12289"/>
      <c r="G12289"/>
      <c r="H12289"/>
      <c r="I12289" s="489"/>
      <c r="J12289" s="1362"/>
      <c r="K12289" s="1362"/>
      <c r="L12289" s="1362"/>
    </row>
    <row r="12290" spans="1:12" x14ac:dyDescent="0.25">
      <c r="A12290">
        <v>92336</v>
      </c>
      <c r="B12290" t="s">
        <v>5370</v>
      </c>
      <c r="C12290" t="s">
        <v>151</v>
      </c>
      <c r="D12290" s="254">
        <v>113.8</v>
      </c>
      <c r="E12290"/>
      <c r="F12290"/>
      <c r="G12290"/>
      <c r="H12290"/>
      <c r="I12290" s="489"/>
      <c r="J12290" s="1362"/>
      <c r="K12290" s="1362"/>
      <c r="L12290" s="1362"/>
    </row>
    <row r="12291" spans="1:12" x14ac:dyDescent="0.25">
      <c r="A12291">
        <v>92337</v>
      </c>
      <c r="B12291" t="s">
        <v>5371</v>
      </c>
      <c r="C12291" t="s">
        <v>151</v>
      </c>
      <c r="D12291" s="254">
        <v>149.72</v>
      </c>
      <c r="E12291"/>
      <c r="F12291"/>
      <c r="G12291"/>
      <c r="H12291"/>
      <c r="I12291" s="489"/>
      <c r="J12291" s="1362"/>
      <c r="K12291" s="1362"/>
      <c r="L12291" s="1362"/>
    </row>
    <row r="12292" spans="1:12" x14ac:dyDescent="0.25">
      <c r="A12292">
        <v>92338</v>
      </c>
      <c r="B12292" t="s">
        <v>5372</v>
      </c>
      <c r="C12292" t="s">
        <v>151</v>
      </c>
      <c r="D12292" s="254">
        <v>185.06</v>
      </c>
      <c r="E12292"/>
      <c r="F12292"/>
      <c r="G12292"/>
      <c r="H12292"/>
      <c r="I12292" s="489"/>
      <c r="J12292" s="1362"/>
      <c r="K12292" s="1362"/>
      <c r="L12292" s="1362"/>
    </row>
    <row r="12293" spans="1:12" x14ac:dyDescent="0.25">
      <c r="A12293">
        <v>92339</v>
      </c>
      <c r="B12293" t="s">
        <v>5373</v>
      </c>
      <c r="C12293" t="s">
        <v>151</v>
      </c>
      <c r="D12293" s="254">
        <v>284.05</v>
      </c>
      <c r="E12293"/>
      <c r="F12293"/>
      <c r="G12293"/>
      <c r="H12293"/>
      <c r="I12293" s="489"/>
      <c r="J12293" s="1362"/>
      <c r="K12293" s="1362"/>
      <c r="L12293" s="1362"/>
    </row>
    <row r="12294" spans="1:12" x14ac:dyDescent="0.25">
      <c r="A12294">
        <v>92341</v>
      </c>
      <c r="B12294" t="s">
        <v>5374</v>
      </c>
      <c r="C12294" t="s">
        <v>151</v>
      </c>
      <c r="D12294" s="254">
        <v>103.7</v>
      </c>
      <c r="E12294"/>
      <c r="F12294"/>
      <c r="G12294"/>
      <c r="H12294"/>
      <c r="I12294" s="489"/>
      <c r="J12294" s="1362"/>
      <c r="K12294" s="1362"/>
      <c r="L12294" s="1362"/>
    </row>
    <row r="12295" spans="1:12" x14ac:dyDescent="0.25">
      <c r="A12295">
        <v>92342</v>
      </c>
      <c r="B12295" t="s">
        <v>5375</v>
      </c>
      <c r="C12295" t="s">
        <v>151</v>
      </c>
      <c r="D12295" s="254">
        <v>124.91</v>
      </c>
      <c r="E12295"/>
      <c r="F12295"/>
      <c r="G12295"/>
      <c r="H12295"/>
      <c r="I12295" s="489"/>
      <c r="J12295" s="1362"/>
      <c r="K12295" s="1362"/>
      <c r="L12295" s="1362"/>
    </row>
    <row r="12296" spans="1:12" x14ac:dyDescent="0.25">
      <c r="A12296">
        <v>92343</v>
      </c>
      <c r="B12296" t="s">
        <v>5376</v>
      </c>
      <c r="C12296" t="s">
        <v>151</v>
      </c>
      <c r="D12296" s="254">
        <v>160.94</v>
      </c>
      <c r="E12296"/>
      <c r="F12296"/>
      <c r="G12296"/>
      <c r="H12296"/>
      <c r="I12296" s="489"/>
      <c r="J12296" s="1362"/>
      <c r="K12296" s="1362"/>
      <c r="L12296" s="1362"/>
    </row>
    <row r="12297" spans="1:12" x14ac:dyDescent="0.25">
      <c r="A12297">
        <v>92359</v>
      </c>
      <c r="B12297" t="s">
        <v>5377</v>
      </c>
      <c r="C12297" t="s">
        <v>151</v>
      </c>
      <c r="D12297" s="254">
        <v>90.1</v>
      </c>
      <c r="E12297"/>
      <c r="F12297"/>
      <c r="G12297"/>
      <c r="H12297"/>
      <c r="I12297" s="489"/>
      <c r="J12297" s="1362"/>
      <c r="K12297" s="1362"/>
      <c r="L12297" s="1362"/>
    </row>
    <row r="12298" spans="1:12" x14ac:dyDescent="0.25">
      <c r="A12298">
        <v>92360</v>
      </c>
      <c r="B12298" t="s">
        <v>5378</v>
      </c>
      <c r="C12298" t="s">
        <v>151</v>
      </c>
      <c r="D12298" s="254">
        <v>120.5</v>
      </c>
      <c r="E12298"/>
      <c r="F12298"/>
      <c r="G12298"/>
      <c r="H12298"/>
      <c r="I12298" s="489"/>
      <c r="J12298" s="1362"/>
      <c r="K12298" s="1362"/>
      <c r="L12298" s="1362"/>
    </row>
    <row r="12299" spans="1:12" x14ac:dyDescent="0.25">
      <c r="A12299">
        <v>92361</v>
      </c>
      <c r="B12299" t="s">
        <v>5379</v>
      </c>
      <c r="C12299" t="s">
        <v>151</v>
      </c>
      <c r="D12299" s="254">
        <v>162.34</v>
      </c>
      <c r="E12299"/>
      <c r="F12299"/>
      <c r="G12299"/>
      <c r="H12299"/>
      <c r="I12299" s="489"/>
      <c r="J12299" s="1362"/>
      <c r="K12299" s="1362"/>
      <c r="L12299" s="1362"/>
    </row>
    <row r="12300" spans="1:12" x14ac:dyDescent="0.25">
      <c r="A12300">
        <v>92362</v>
      </c>
      <c r="B12300" t="s">
        <v>5380</v>
      </c>
      <c r="C12300" t="s">
        <v>151</v>
      </c>
      <c r="D12300" s="254">
        <v>260.42</v>
      </c>
      <c r="E12300"/>
      <c r="F12300"/>
      <c r="G12300"/>
      <c r="H12300"/>
      <c r="I12300" s="489"/>
      <c r="J12300" s="1362"/>
      <c r="K12300" s="1362"/>
      <c r="L12300" s="1362"/>
    </row>
    <row r="12301" spans="1:12" x14ac:dyDescent="0.25">
      <c r="A12301">
        <v>92364</v>
      </c>
      <c r="B12301" t="s">
        <v>5381</v>
      </c>
      <c r="C12301" t="s">
        <v>151</v>
      </c>
      <c r="D12301" s="254">
        <v>56.33</v>
      </c>
      <c r="E12301"/>
      <c r="F12301"/>
      <c r="G12301"/>
      <c r="H12301"/>
      <c r="I12301" s="489"/>
      <c r="J12301" s="1362"/>
      <c r="K12301" s="1362"/>
      <c r="L12301" s="1362"/>
    </row>
    <row r="12302" spans="1:12" x14ac:dyDescent="0.25">
      <c r="A12302">
        <v>92365</v>
      </c>
      <c r="B12302" t="s">
        <v>5382</v>
      </c>
      <c r="C12302" t="s">
        <v>151</v>
      </c>
      <c r="D12302" s="254">
        <v>64.78</v>
      </c>
      <c r="E12302"/>
      <c r="F12302"/>
      <c r="G12302"/>
      <c r="H12302"/>
      <c r="I12302" s="489"/>
      <c r="J12302" s="1362"/>
      <c r="K12302" s="1362"/>
      <c r="L12302" s="1362"/>
    </row>
    <row r="12303" spans="1:12" x14ac:dyDescent="0.25">
      <c r="A12303">
        <v>92366</v>
      </c>
      <c r="B12303" t="s">
        <v>5383</v>
      </c>
      <c r="C12303" t="s">
        <v>151</v>
      </c>
      <c r="D12303" s="254">
        <v>90.06</v>
      </c>
      <c r="E12303"/>
      <c r="F12303"/>
      <c r="G12303"/>
      <c r="H12303"/>
      <c r="I12303" s="489"/>
      <c r="J12303" s="1362"/>
      <c r="K12303" s="1362"/>
      <c r="L12303" s="1362"/>
    </row>
    <row r="12304" spans="1:12" x14ac:dyDescent="0.25">
      <c r="A12304">
        <v>92367</v>
      </c>
      <c r="B12304" t="s">
        <v>5384</v>
      </c>
      <c r="C12304" t="s">
        <v>151</v>
      </c>
      <c r="D12304" s="254">
        <v>110.64</v>
      </c>
      <c r="E12304"/>
      <c r="F12304"/>
      <c r="G12304"/>
      <c r="H12304"/>
      <c r="I12304" s="489"/>
      <c r="J12304" s="1362"/>
      <c r="K12304" s="1362"/>
      <c r="L12304" s="1362"/>
    </row>
    <row r="12305" spans="1:12" x14ac:dyDescent="0.25">
      <c r="A12305">
        <v>92368</v>
      </c>
      <c r="B12305" t="s">
        <v>5385</v>
      </c>
      <c r="C12305" t="s">
        <v>151</v>
      </c>
      <c r="D12305" s="254">
        <v>146.09</v>
      </c>
      <c r="E12305"/>
      <c r="F12305"/>
      <c r="G12305"/>
      <c r="H12305"/>
      <c r="I12305" s="489"/>
      <c r="J12305" s="1362"/>
      <c r="K12305" s="1362"/>
      <c r="L12305" s="1362"/>
    </row>
    <row r="12306" spans="1:12" x14ac:dyDescent="0.25">
      <c r="A12306">
        <v>92645</v>
      </c>
      <c r="B12306" t="s">
        <v>5386</v>
      </c>
      <c r="C12306" t="s">
        <v>151</v>
      </c>
      <c r="D12306" s="254">
        <v>94.19</v>
      </c>
      <c r="E12306"/>
      <c r="F12306"/>
      <c r="G12306"/>
      <c r="H12306"/>
      <c r="I12306" s="489"/>
      <c r="J12306" s="1362"/>
      <c r="K12306" s="1362"/>
      <c r="L12306" s="1362"/>
    </row>
    <row r="12307" spans="1:12" x14ac:dyDescent="0.25">
      <c r="A12307">
        <v>92646</v>
      </c>
      <c r="B12307" t="s">
        <v>5387</v>
      </c>
      <c r="C12307" t="s">
        <v>151</v>
      </c>
      <c r="D12307" s="254">
        <v>124.59</v>
      </c>
      <c r="E12307"/>
      <c r="F12307"/>
      <c r="G12307"/>
      <c r="H12307"/>
      <c r="I12307" s="489"/>
      <c r="J12307" s="1362"/>
      <c r="K12307" s="1362"/>
      <c r="L12307" s="1362"/>
    </row>
    <row r="12308" spans="1:12" x14ac:dyDescent="0.25">
      <c r="A12308">
        <v>92648</v>
      </c>
      <c r="B12308" t="s">
        <v>5388</v>
      </c>
      <c r="C12308" t="s">
        <v>151</v>
      </c>
      <c r="D12308" s="254">
        <v>136.25</v>
      </c>
      <c r="E12308"/>
      <c r="F12308"/>
      <c r="G12308"/>
      <c r="H12308"/>
      <c r="I12308" s="489"/>
      <c r="J12308" s="1362"/>
      <c r="K12308" s="1362"/>
      <c r="L12308" s="1362"/>
    </row>
    <row r="12309" spans="1:12" x14ac:dyDescent="0.25">
      <c r="A12309">
        <v>92649</v>
      </c>
      <c r="B12309" t="s">
        <v>5389</v>
      </c>
      <c r="C12309" t="s">
        <v>151</v>
      </c>
      <c r="D12309" s="254">
        <v>166.43</v>
      </c>
      <c r="E12309"/>
      <c r="F12309"/>
      <c r="G12309"/>
      <c r="H12309"/>
      <c r="I12309" s="489"/>
      <c r="J12309" s="1362"/>
      <c r="K12309" s="1362"/>
      <c r="L12309" s="1362"/>
    </row>
    <row r="12310" spans="1:12" x14ac:dyDescent="0.25">
      <c r="A12310">
        <v>92650</v>
      </c>
      <c r="B12310" t="s">
        <v>5390</v>
      </c>
      <c r="C12310" t="s">
        <v>151</v>
      </c>
      <c r="D12310" s="254">
        <v>264.52</v>
      </c>
      <c r="E12310"/>
      <c r="F12310"/>
      <c r="G12310"/>
      <c r="H12310"/>
      <c r="I12310" s="489"/>
      <c r="J12310" s="1362"/>
      <c r="K12310" s="1362"/>
      <c r="L12310" s="1362"/>
    </row>
    <row r="12311" spans="1:12" x14ac:dyDescent="0.25">
      <c r="A12311">
        <v>92652</v>
      </c>
      <c r="B12311" t="s">
        <v>5391</v>
      </c>
      <c r="C12311" t="s">
        <v>151</v>
      </c>
      <c r="D12311" s="254">
        <v>61.36</v>
      </c>
      <c r="E12311"/>
      <c r="F12311"/>
      <c r="G12311"/>
      <c r="H12311"/>
      <c r="I12311" s="489"/>
      <c r="J12311" s="1362"/>
      <c r="K12311" s="1362"/>
      <c r="L12311" s="1362"/>
    </row>
    <row r="12312" spans="1:12" x14ac:dyDescent="0.25">
      <c r="A12312">
        <v>92653</v>
      </c>
      <c r="B12312" t="s">
        <v>5392</v>
      </c>
      <c r="C12312" t="s">
        <v>151</v>
      </c>
      <c r="D12312" s="254">
        <v>69.87</v>
      </c>
      <c r="E12312"/>
      <c r="F12312"/>
      <c r="G12312"/>
      <c r="H12312"/>
      <c r="I12312" s="489"/>
      <c r="J12312" s="1362"/>
      <c r="K12312" s="1362"/>
      <c r="L12312" s="1362"/>
    </row>
    <row r="12313" spans="1:12" x14ac:dyDescent="0.25">
      <c r="A12313">
        <v>92654</v>
      </c>
      <c r="B12313" t="s">
        <v>5393</v>
      </c>
      <c r="C12313" t="s">
        <v>151</v>
      </c>
      <c r="D12313" s="254">
        <v>95.15</v>
      </c>
      <c r="E12313"/>
      <c r="F12313"/>
      <c r="G12313"/>
      <c r="H12313"/>
      <c r="I12313" s="489"/>
      <c r="J12313" s="1362"/>
      <c r="K12313" s="1362"/>
      <c r="L12313" s="1362"/>
    </row>
    <row r="12314" spans="1:12" x14ac:dyDescent="0.25">
      <c r="A12314">
        <v>92655</v>
      </c>
      <c r="B12314" t="s">
        <v>5394</v>
      </c>
      <c r="C12314" t="s">
        <v>151</v>
      </c>
      <c r="D12314" s="254">
        <v>115.82</v>
      </c>
      <c r="E12314"/>
      <c r="F12314"/>
      <c r="G12314"/>
      <c r="H12314"/>
      <c r="I12314" s="489"/>
      <c r="J12314" s="1362"/>
      <c r="K12314" s="1362"/>
      <c r="L12314" s="1362"/>
    </row>
    <row r="12315" spans="1:12" x14ac:dyDescent="0.25">
      <c r="A12315">
        <v>92656</v>
      </c>
      <c r="B12315" t="s">
        <v>5395</v>
      </c>
      <c r="C12315" t="s">
        <v>151</v>
      </c>
      <c r="D12315" s="254">
        <v>151.28</v>
      </c>
      <c r="E12315"/>
      <c r="F12315"/>
      <c r="G12315"/>
      <c r="H12315"/>
      <c r="I12315" s="489"/>
      <c r="J12315" s="1362"/>
      <c r="K12315" s="1362"/>
      <c r="L12315" s="1362"/>
    </row>
    <row r="12316" spans="1:12" x14ac:dyDescent="0.25">
      <c r="A12316">
        <v>92687</v>
      </c>
      <c r="B12316" t="s">
        <v>5396</v>
      </c>
      <c r="C12316" t="s">
        <v>151</v>
      </c>
      <c r="D12316" s="254">
        <v>28.87</v>
      </c>
      <c r="E12316"/>
      <c r="F12316"/>
      <c r="G12316"/>
      <c r="H12316"/>
      <c r="I12316" s="489"/>
      <c r="J12316" s="1362"/>
      <c r="K12316" s="1362"/>
      <c r="L12316" s="1362"/>
    </row>
    <row r="12317" spans="1:12" x14ac:dyDescent="0.25">
      <c r="A12317">
        <v>92688</v>
      </c>
      <c r="B12317" t="s">
        <v>5397</v>
      </c>
      <c r="C12317" t="s">
        <v>151</v>
      </c>
      <c r="D12317" s="254">
        <v>40.57</v>
      </c>
      <c r="E12317"/>
      <c r="F12317"/>
      <c r="G12317"/>
      <c r="H12317"/>
      <c r="I12317" s="489"/>
      <c r="J12317" s="1362"/>
      <c r="K12317" s="1362"/>
      <c r="L12317" s="1362"/>
    </row>
    <row r="12318" spans="1:12" x14ac:dyDescent="0.25">
      <c r="A12318">
        <v>92689</v>
      </c>
      <c r="B12318" t="s">
        <v>5398</v>
      </c>
      <c r="C12318" t="s">
        <v>151</v>
      </c>
      <c r="D12318" s="254">
        <v>65.34</v>
      </c>
      <c r="E12318"/>
      <c r="F12318"/>
      <c r="G12318"/>
      <c r="H12318"/>
      <c r="I12318" s="489"/>
      <c r="J12318" s="1362"/>
      <c r="K12318" s="1362"/>
      <c r="L12318" s="1362"/>
    </row>
    <row r="12319" spans="1:12" x14ac:dyDescent="0.25">
      <c r="A12319">
        <v>92690</v>
      </c>
      <c r="B12319" t="s">
        <v>5399</v>
      </c>
      <c r="C12319" t="s">
        <v>151</v>
      </c>
      <c r="D12319" s="254">
        <v>92.44</v>
      </c>
      <c r="E12319"/>
      <c r="F12319"/>
      <c r="G12319"/>
      <c r="H12319"/>
      <c r="I12319" s="489"/>
      <c r="J12319" s="1362"/>
      <c r="K12319" s="1362"/>
      <c r="L12319" s="1362"/>
    </row>
    <row r="12320" spans="1:12" x14ac:dyDescent="0.25">
      <c r="A12320">
        <v>92691</v>
      </c>
      <c r="B12320" t="s">
        <v>5400</v>
      </c>
      <c r="C12320" t="s">
        <v>151</v>
      </c>
      <c r="D12320" s="254">
        <v>117.24</v>
      </c>
      <c r="E12320"/>
      <c r="F12320"/>
      <c r="G12320"/>
      <c r="H12320"/>
      <c r="I12320" s="489"/>
      <c r="J12320" s="1362"/>
      <c r="K12320" s="1362"/>
      <c r="L12320" s="1362"/>
    </row>
    <row r="12321" spans="1:12" x14ac:dyDescent="0.25">
      <c r="A12321">
        <v>94462</v>
      </c>
      <c r="B12321" t="s">
        <v>1556</v>
      </c>
      <c r="C12321" t="s">
        <v>151</v>
      </c>
      <c r="D12321" s="254">
        <v>102.85</v>
      </c>
      <c r="E12321"/>
      <c r="F12321"/>
      <c r="G12321"/>
      <c r="H12321"/>
      <c r="I12321" s="489"/>
      <c r="J12321" s="1362"/>
      <c r="K12321" s="1362"/>
      <c r="L12321" s="1362"/>
    </row>
    <row r="12322" spans="1:12" x14ac:dyDescent="0.25">
      <c r="A12322">
        <v>94463</v>
      </c>
      <c r="B12322" t="s">
        <v>1557</v>
      </c>
      <c r="C12322" t="s">
        <v>151</v>
      </c>
      <c r="D12322" s="254">
        <v>120.39</v>
      </c>
      <c r="E12322"/>
      <c r="F12322"/>
      <c r="G12322"/>
      <c r="H12322"/>
      <c r="I12322" s="489"/>
      <c r="J12322" s="1362"/>
      <c r="K12322" s="1362"/>
      <c r="L12322" s="1362"/>
    </row>
    <row r="12323" spans="1:12" x14ac:dyDescent="0.25">
      <c r="A12323">
        <v>94464</v>
      </c>
      <c r="B12323" t="s">
        <v>1558</v>
      </c>
      <c r="C12323" t="s">
        <v>151</v>
      </c>
      <c r="D12323" s="254">
        <v>169.4</v>
      </c>
      <c r="E12323"/>
      <c r="F12323"/>
      <c r="G12323"/>
      <c r="H12323"/>
      <c r="I12323" s="489"/>
      <c r="J12323" s="1362"/>
      <c r="K12323" s="1362"/>
      <c r="L12323" s="1362"/>
    </row>
    <row r="12324" spans="1:12" x14ac:dyDescent="0.25">
      <c r="A12324">
        <v>94602</v>
      </c>
      <c r="B12324" t="s">
        <v>3002</v>
      </c>
      <c r="C12324" t="s">
        <v>151</v>
      </c>
      <c r="D12324" s="254">
        <v>208.51</v>
      </c>
      <c r="E12324"/>
      <c r="F12324"/>
      <c r="G12324"/>
      <c r="H12324"/>
      <c r="I12324" s="489"/>
      <c r="J12324" s="1362"/>
      <c r="K12324" s="1362"/>
      <c r="L12324" s="1362"/>
    </row>
    <row r="12325" spans="1:12" x14ac:dyDescent="0.25">
      <c r="A12325">
        <v>94603</v>
      </c>
      <c r="B12325" t="s">
        <v>3003</v>
      </c>
      <c r="C12325" t="s">
        <v>151</v>
      </c>
      <c r="D12325" s="254">
        <v>279.27999999999997</v>
      </c>
      <c r="E12325"/>
      <c r="F12325"/>
      <c r="G12325"/>
      <c r="H12325"/>
      <c r="I12325" s="489"/>
      <c r="J12325" s="1362"/>
      <c r="K12325" s="1362"/>
      <c r="L12325" s="1362"/>
    </row>
    <row r="12326" spans="1:12" x14ac:dyDescent="0.25">
      <c r="A12326">
        <v>94604</v>
      </c>
      <c r="B12326" t="s">
        <v>3004</v>
      </c>
      <c r="C12326" t="s">
        <v>151</v>
      </c>
      <c r="D12326" s="254">
        <v>380.87</v>
      </c>
      <c r="E12326"/>
      <c r="F12326"/>
      <c r="G12326"/>
      <c r="H12326"/>
      <c r="I12326" s="489"/>
      <c r="J12326" s="1362"/>
      <c r="K12326" s="1362"/>
      <c r="L12326" s="1362"/>
    </row>
    <row r="12327" spans="1:12" x14ac:dyDescent="0.25">
      <c r="A12327">
        <v>94605</v>
      </c>
      <c r="B12327" t="s">
        <v>3005</v>
      </c>
      <c r="C12327" t="s">
        <v>151</v>
      </c>
      <c r="D12327" s="254">
        <v>543.30999999999995</v>
      </c>
      <c r="E12327"/>
      <c r="F12327"/>
      <c r="G12327"/>
      <c r="H12327"/>
      <c r="I12327" s="489"/>
      <c r="J12327" s="1362"/>
      <c r="K12327" s="1362"/>
      <c r="L12327" s="1362"/>
    </row>
    <row r="12328" spans="1:12" x14ac:dyDescent="0.25">
      <c r="A12328">
        <v>94648</v>
      </c>
      <c r="B12328" t="s">
        <v>1559</v>
      </c>
      <c r="C12328" t="s">
        <v>151</v>
      </c>
      <c r="D12328" s="254">
        <v>11.8</v>
      </c>
      <c r="E12328"/>
      <c r="F12328"/>
      <c r="G12328"/>
      <c r="H12328"/>
      <c r="I12328" s="489"/>
      <c r="J12328" s="1362"/>
      <c r="K12328" s="1362"/>
      <c r="L12328" s="1362"/>
    </row>
    <row r="12329" spans="1:12" x14ac:dyDescent="0.25">
      <c r="A12329">
        <v>94649</v>
      </c>
      <c r="B12329" t="s">
        <v>1560</v>
      </c>
      <c r="C12329" t="s">
        <v>151</v>
      </c>
      <c r="D12329" s="254">
        <v>17.899999999999999</v>
      </c>
      <c r="E12329"/>
      <c r="F12329"/>
      <c r="G12329"/>
      <c r="H12329"/>
      <c r="I12329" s="489"/>
      <c r="J12329" s="1362"/>
      <c r="K12329" s="1362"/>
      <c r="L12329" s="1362"/>
    </row>
    <row r="12330" spans="1:12" x14ac:dyDescent="0.25">
      <c r="A12330">
        <v>94650</v>
      </c>
      <c r="B12330" t="s">
        <v>1561</v>
      </c>
      <c r="C12330" t="s">
        <v>151</v>
      </c>
      <c r="D12330" s="254">
        <v>25.59</v>
      </c>
      <c r="E12330"/>
      <c r="F12330"/>
      <c r="G12330"/>
      <c r="H12330"/>
      <c r="I12330" s="489"/>
      <c r="J12330" s="1362"/>
      <c r="K12330" s="1362"/>
      <c r="L12330" s="1362"/>
    </row>
    <row r="12331" spans="1:12" x14ac:dyDescent="0.25">
      <c r="A12331">
        <v>94651</v>
      </c>
      <c r="B12331" t="s">
        <v>1562</v>
      </c>
      <c r="C12331" t="s">
        <v>151</v>
      </c>
      <c r="D12331" s="254">
        <v>27.89</v>
      </c>
      <c r="E12331"/>
      <c r="F12331"/>
      <c r="G12331"/>
      <c r="H12331"/>
      <c r="I12331" s="489"/>
      <c r="J12331" s="1362"/>
      <c r="K12331" s="1362"/>
      <c r="L12331" s="1362"/>
    </row>
    <row r="12332" spans="1:12" x14ac:dyDescent="0.25">
      <c r="A12332">
        <v>94652</v>
      </c>
      <c r="B12332" t="s">
        <v>1563</v>
      </c>
      <c r="C12332" t="s">
        <v>151</v>
      </c>
      <c r="D12332" s="254">
        <v>45.37</v>
      </c>
      <c r="E12332"/>
      <c r="F12332"/>
      <c r="G12332"/>
      <c r="H12332"/>
      <c r="I12332" s="489"/>
      <c r="J12332" s="1362"/>
      <c r="K12332" s="1362"/>
      <c r="L12332" s="1362"/>
    </row>
    <row r="12333" spans="1:12" x14ac:dyDescent="0.25">
      <c r="A12333">
        <v>94653</v>
      </c>
      <c r="B12333" t="s">
        <v>1564</v>
      </c>
      <c r="C12333" t="s">
        <v>151</v>
      </c>
      <c r="D12333" s="254">
        <v>65.239999999999995</v>
      </c>
      <c r="E12333"/>
      <c r="F12333"/>
      <c r="G12333"/>
      <c r="H12333"/>
      <c r="I12333" s="489"/>
      <c r="J12333" s="1362"/>
      <c r="K12333" s="1362"/>
      <c r="L12333" s="1362"/>
    </row>
    <row r="12334" spans="1:12" x14ac:dyDescent="0.25">
      <c r="A12334">
        <v>94654</v>
      </c>
      <c r="B12334" t="s">
        <v>1565</v>
      </c>
      <c r="C12334" t="s">
        <v>151</v>
      </c>
      <c r="D12334" s="254">
        <v>86.51</v>
      </c>
      <c r="E12334"/>
      <c r="F12334"/>
      <c r="G12334"/>
      <c r="H12334"/>
      <c r="I12334" s="489"/>
      <c r="J12334" s="1362"/>
      <c r="K12334" s="1362"/>
      <c r="L12334" s="1362"/>
    </row>
    <row r="12335" spans="1:12" x14ac:dyDescent="0.25">
      <c r="A12335">
        <v>94655</v>
      </c>
      <c r="B12335" t="s">
        <v>1566</v>
      </c>
      <c r="C12335" t="s">
        <v>151</v>
      </c>
      <c r="D12335" s="254">
        <v>121.89</v>
      </c>
      <c r="E12335"/>
      <c r="F12335"/>
      <c r="G12335"/>
      <c r="H12335"/>
      <c r="I12335" s="489"/>
      <c r="J12335" s="1362"/>
      <c r="K12335" s="1362"/>
      <c r="L12335" s="1362"/>
    </row>
    <row r="12336" spans="1:12" x14ac:dyDescent="0.25">
      <c r="A12336">
        <v>94716</v>
      </c>
      <c r="B12336" t="s">
        <v>1567</v>
      </c>
      <c r="C12336" t="s">
        <v>151</v>
      </c>
      <c r="D12336" s="254">
        <v>33.72</v>
      </c>
      <c r="E12336"/>
      <c r="F12336"/>
      <c r="G12336"/>
      <c r="H12336"/>
      <c r="I12336" s="489"/>
      <c r="J12336" s="1362"/>
      <c r="K12336" s="1362"/>
      <c r="L12336" s="1362"/>
    </row>
    <row r="12337" spans="1:12" x14ac:dyDescent="0.25">
      <c r="A12337">
        <v>94717</v>
      </c>
      <c r="B12337" t="s">
        <v>1568</v>
      </c>
      <c r="C12337" t="s">
        <v>151</v>
      </c>
      <c r="D12337" s="254">
        <v>50.24</v>
      </c>
      <c r="E12337"/>
      <c r="F12337"/>
      <c r="G12337"/>
      <c r="H12337"/>
      <c r="I12337" s="489"/>
      <c r="J12337" s="1362"/>
      <c r="K12337" s="1362"/>
      <c r="L12337" s="1362"/>
    </row>
    <row r="12338" spans="1:12" x14ac:dyDescent="0.25">
      <c r="A12338">
        <v>94718</v>
      </c>
      <c r="B12338" t="s">
        <v>1569</v>
      </c>
      <c r="C12338" t="s">
        <v>151</v>
      </c>
      <c r="D12338" s="254">
        <v>62</v>
      </c>
      <c r="E12338"/>
      <c r="F12338"/>
      <c r="G12338"/>
      <c r="H12338"/>
      <c r="I12338" s="489"/>
      <c r="J12338" s="1362"/>
      <c r="K12338" s="1362"/>
      <c r="L12338" s="1362"/>
    </row>
    <row r="12339" spans="1:12" x14ac:dyDescent="0.25">
      <c r="A12339">
        <v>94719</v>
      </c>
      <c r="B12339" t="s">
        <v>1570</v>
      </c>
      <c r="C12339" t="s">
        <v>151</v>
      </c>
      <c r="D12339" s="254">
        <v>81.83</v>
      </c>
      <c r="E12339"/>
      <c r="F12339"/>
      <c r="G12339"/>
      <c r="H12339"/>
      <c r="I12339" s="489"/>
      <c r="J12339" s="1362"/>
      <c r="K12339" s="1362"/>
      <c r="L12339" s="1362"/>
    </row>
    <row r="12340" spans="1:12" x14ac:dyDescent="0.25">
      <c r="A12340">
        <v>94720</v>
      </c>
      <c r="B12340" t="s">
        <v>1571</v>
      </c>
      <c r="C12340" t="s">
        <v>151</v>
      </c>
      <c r="D12340" s="254">
        <v>123.09</v>
      </c>
      <c r="E12340"/>
      <c r="F12340"/>
      <c r="G12340"/>
      <c r="H12340"/>
      <c r="I12340" s="489"/>
      <c r="J12340" s="1362"/>
      <c r="K12340" s="1362"/>
      <c r="L12340" s="1362"/>
    </row>
    <row r="12341" spans="1:12" x14ac:dyDescent="0.25">
      <c r="A12341">
        <v>94721</v>
      </c>
      <c r="B12341" t="s">
        <v>1572</v>
      </c>
      <c r="C12341" t="s">
        <v>151</v>
      </c>
      <c r="D12341" s="254">
        <v>181.17</v>
      </c>
      <c r="E12341"/>
      <c r="F12341"/>
      <c r="G12341"/>
      <c r="H12341"/>
      <c r="I12341" s="489"/>
      <c r="J12341" s="1362"/>
      <c r="K12341" s="1362"/>
      <c r="L12341" s="1362"/>
    </row>
    <row r="12342" spans="1:12" x14ac:dyDescent="0.25">
      <c r="A12342">
        <v>94722</v>
      </c>
      <c r="B12342" t="s">
        <v>1573</v>
      </c>
      <c r="C12342" t="s">
        <v>151</v>
      </c>
      <c r="D12342" s="254">
        <v>314.8</v>
      </c>
      <c r="E12342"/>
      <c r="F12342"/>
      <c r="G12342"/>
      <c r="H12342"/>
      <c r="I12342" s="489"/>
      <c r="J12342" s="1362"/>
      <c r="K12342" s="1362"/>
      <c r="L12342" s="1362"/>
    </row>
    <row r="12343" spans="1:12" x14ac:dyDescent="0.25">
      <c r="A12343">
        <v>95697</v>
      </c>
      <c r="B12343" t="s">
        <v>5401</v>
      </c>
      <c r="C12343" t="s">
        <v>151</v>
      </c>
      <c r="D12343" s="254">
        <v>132.16</v>
      </c>
      <c r="E12343"/>
      <c r="F12343"/>
      <c r="G12343"/>
      <c r="H12343"/>
      <c r="I12343" s="489"/>
      <c r="J12343" s="1362"/>
      <c r="K12343" s="1362"/>
      <c r="L12343" s="1362"/>
    </row>
    <row r="12344" spans="1:12" x14ac:dyDescent="0.25">
      <c r="A12344">
        <v>96635</v>
      </c>
      <c r="B12344" t="s">
        <v>18711</v>
      </c>
      <c r="C12344" t="s">
        <v>151</v>
      </c>
      <c r="D12344" s="254">
        <v>40.75</v>
      </c>
      <c r="E12344"/>
      <c r="F12344"/>
      <c r="G12344"/>
      <c r="H12344"/>
      <c r="I12344" s="489"/>
      <c r="J12344" s="1362"/>
      <c r="K12344" s="1362"/>
      <c r="L12344" s="1362"/>
    </row>
    <row r="12345" spans="1:12" x14ac:dyDescent="0.25">
      <c r="A12345">
        <v>96636</v>
      </c>
      <c r="B12345" t="s">
        <v>18712</v>
      </c>
      <c r="C12345" t="s">
        <v>151</v>
      </c>
      <c r="D12345" s="254">
        <v>41.58</v>
      </c>
      <c r="E12345"/>
      <c r="F12345"/>
      <c r="G12345"/>
      <c r="H12345"/>
      <c r="I12345" s="489"/>
      <c r="J12345" s="1362"/>
      <c r="K12345" s="1362"/>
      <c r="L12345" s="1362"/>
    </row>
    <row r="12346" spans="1:12" x14ac:dyDescent="0.25">
      <c r="A12346">
        <v>96644</v>
      </c>
      <c r="B12346" t="s">
        <v>18713</v>
      </c>
      <c r="C12346" t="s">
        <v>151</v>
      </c>
      <c r="D12346" s="254">
        <v>21.51</v>
      </c>
      <c r="E12346"/>
      <c r="F12346"/>
      <c r="G12346"/>
      <c r="H12346"/>
      <c r="I12346" s="489"/>
      <c r="J12346" s="1362"/>
      <c r="K12346" s="1362"/>
      <c r="L12346" s="1362"/>
    </row>
    <row r="12347" spans="1:12" x14ac:dyDescent="0.25">
      <c r="A12347">
        <v>96645</v>
      </c>
      <c r="B12347" t="s">
        <v>18714</v>
      </c>
      <c r="C12347" t="s">
        <v>151</v>
      </c>
      <c r="D12347" s="254">
        <v>24.61</v>
      </c>
      <c r="E12347"/>
      <c r="F12347"/>
      <c r="G12347"/>
      <c r="H12347"/>
      <c r="I12347" s="489"/>
      <c r="J12347" s="1362"/>
      <c r="K12347" s="1362"/>
      <c r="L12347" s="1362"/>
    </row>
    <row r="12348" spans="1:12" x14ac:dyDescent="0.25">
      <c r="A12348">
        <v>96646</v>
      </c>
      <c r="B12348" t="s">
        <v>18715</v>
      </c>
      <c r="C12348" t="s">
        <v>151</v>
      </c>
      <c r="D12348" s="254">
        <v>33.36</v>
      </c>
      <c r="E12348"/>
      <c r="F12348"/>
      <c r="G12348"/>
      <c r="H12348"/>
      <c r="I12348" s="489"/>
      <c r="J12348" s="1362"/>
      <c r="K12348" s="1362"/>
      <c r="L12348" s="1362"/>
    </row>
    <row r="12349" spans="1:12" x14ac:dyDescent="0.25">
      <c r="A12349">
        <v>96647</v>
      </c>
      <c r="B12349" t="s">
        <v>18716</v>
      </c>
      <c r="C12349" t="s">
        <v>151</v>
      </c>
      <c r="D12349" s="254">
        <v>21.78</v>
      </c>
      <c r="E12349"/>
      <c r="F12349"/>
      <c r="G12349"/>
      <c r="H12349"/>
      <c r="I12349" s="489"/>
      <c r="J12349" s="1362"/>
      <c r="K12349" s="1362"/>
      <c r="L12349" s="1362"/>
    </row>
    <row r="12350" spans="1:12" x14ac:dyDescent="0.25">
      <c r="A12350">
        <v>96648</v>
      </c>
      <c r="B12350" t="s">
        <v>18717</v>
      </c>
      <c r="C12350" t="s">
        <v>151</v>
      </c>
      <c r="D12350" s="254">
        <v>30.7</v>
      </c>
      <c r="E12350"/>
      <c r="F12350"/>
      <c r="G12350"/>
      <c r="H12350"/>
      <c r="I12350" s="489"/>
      <c r="J12350" s="1362"/>
      <c r="K12350" s="1362"/>
      <c r="L12350" s="1362"/>
    </row>
    <row r="12351" spans="1:12" x14ac:dyDescent="0.25">
      <c r="A12351">
        <v>96649</v>
      </c>
      <c r="B12351" t="s">
        <v>18718</v>
      </c>
      <c r="C12351" t="s">
        <v>151</v>
      </c>
      <c r="D12351" s="254">
        <v>39.340000000000003</v>
      </c>
      <c r="E12351"/>
      <c r="F12351"/>
      <c r="G12351"/>
      <c r="H12351"/>
      <c r="I12351" s="489"/>
      <c r="J12351" s="1362"/>
      <c r="K12351" s="1362"/>
      <c r="L12351" s="1362"/>
    </row>
    <row r="12352" spans="1:12" x14ac:dyDescent="0.25">
      <c r="A12352">
        <v>96668</v>
      </c>
      <c r="B12352" t="s">
        <v>18719</v>
      </c>
      <c r="C12352" t="s">
        <v>151</v>
      </c>
      <c r="D12352" s="254">
        <v>16.39</v>
      </c>
      <c r="E12352"/>
      <c r="F12352"/>
      <c r="G12352"/>
      <c r="H12352"/>
      <c r="I12352" s="489"/>
      <c r="J12352" s="1362"/>
      <c r="K12352" s="1362"/>
      <c r="L12352" s="1362"/>
    </row>
    <row r="12353" spans="1:12" x14ac:dyDescent="0.25">
      <c r="A12353">
        <v>96669</v>
      </c>
      <c r="B12353" t="s">
        <v>18720</v>
      </c>
      <c r="C12353" t="s">
        <v>151</v>
      </c>
      <c r="D12353" s="254">
        <v>21.89</v>
      </c>
      <c r="E12353"/>
      <c r="F12353"/>
      <c r="G12353"/>
      <c r="H12353"/>
      <c r="I12353" s="489"/>
      <c r="J12353" s="1362"/>
      <c r="K12353" s="1362"/>
      <c r="L12353" s="1362"/>
    </row>
    <row r="12354" spans="1:12" x14ac:dyDescent="0.25">
      <c r="A12354">
        <v>96670</v>
      </c>
      <c r="B12354" t="s">
        <v>18721</v>
      </c>
      <c r="C12354" t="s">
        <v>151</v>
      </c>
      <c r="D12354" s="254">
        <v>31.39</v>
      </c>
      <c r="E12354"/>
      <c r="F12354"/>
      <c r="G12354"/>
      <c r="H12354"/>
      <c r="I12354" s="489"/>
      <c r="J12354" s="1362"/>
      <c r="K12354" s="1362"/>
      <c r="L12354" s="1362"/>
    </row>
    <row r="12355" spans="1:12" x14ac:dyDescent="0.25">
      <c r="A12355">
        <v>96671</v>
      </c>
      <c r="B12355" t="s">
        <v>18722</v>
      </c>
      <c r="C12355" t="s">
        <v>151</v>
      </c>
      <c r="D12355" s="254">
        <v>40.72</v>
      </c>
      <c r="E12355"/>
      <c r="F12355"/>
      <c r="G12355"/>
      <c r="H12355"/>
      <c r="I12355" s="489"/>
      <c r="J12355" s="1362"/>
      <c r="K12355" s="1362"/>
      <c r="L12355" s="1362"/>
    </row>
    <row r="12356" spans="1:12" x14ac:dyDescent="0.25">
      <c r="A12356">
        <v>96672</v>
      </c>
      <c r="B12356" t="s">
        <v>18723</v>
      </c>
      <c r="C12356" t="s">
        <v>151</v>
      </c>
      <c r="D12356" s="254">
        <v>57.32</v>
      </c>
      <c r="E12356"/>
      <c r="F12356"/>
      <c r="G12356"/>
      <c r="H12356"/>
      <c r="I12356" s="489"/>
      <c r="J12356" s="1362"/>
      <c r="K12356" s="1362"/>
      <c r="L12356" s="1362"/>
    </row>
    <row r="12357" spans="1:12" x14ac:dyDescent="0.25">
      <c r="A12357">
        <v>96673</v>
      </c>
      <c r="B12357" t="s">
        <v>18724</v>
      </c>
      <c r="C12357" t="s">
        <v>151</v>
      </c>
      <c r="D12357" s="254">
        <v>90.14</v>
      </c>
      <c r="E12357"/>
      <c r="F12357"/>
      <c r="G12357"/>
      <c r="H12357"/>
      <c r="I12357" s="489"/>
      <c r="J12357" s="1362"/>
      <c r="K12357" s="1362"/>
      <c r="L12357" s="1362"/>
    </row>
    <row r="12358" spans="1:12" x14ac:dyDescent="0.25">
      <c r="A12358">
        <v>96674</v>
      </c>
      <c r="B12358" t="s">
        <v>18725</v>
      </c>
      <c r="C12358" t="s">
        <v>151</v>
      </c>
      <c r="D12358" s="254">
        <v>123.58</v>
      </c>
      <c r="E12358"/>
      <c r="F12358"/>
      <c r="G12358"/>
      <c r="H12358"/>
      <c r="I12358" s="489"/>
      <c r="J12358" s="1362"/>
      <c r="K12358" s="1362"/>
      <c r="L12358" s="1362"/>
    </row>
    <row r="12359" spans="1:12" x14ac:dyDescent="0.25">
      <c r="A12359">
        <v>96675</v>
      </c>
      <c r="B12359" t="s">
        <v>18726</v>
      </c>
      <c r="C12359" t="s">
        <v>151</v>
      </c>
      <c r="D12359" s="254">
        <v>209.86</v>
      </c>
      <c r="E12359"/>
      <c r="F12359"/>
      <c r="G12359"/>
      <c r="H12359"/>
      <c r="I12359" s="489"/>
      <c r="J12359" s="1362"/>
      <c r="K12359" s="1362"/>
      <c r="L12359" s="1362"/>
    </row>
    <row r="12360" spans="1:12" x14ac:dyDescent="0.25">
      <c r="A12360">
        <v>96676</v>
      </c>
      <c r="B12360" t="s">
        <v>18727</v>
      </c>
      <c r="C12360" t="s">
        <v>151</v>
      </c>
      <c r="D12360" s="254">
        <v>19.440000000000001</v>
      </c>
      <c r="E12360"/>
      <c r="F12360"/>
      <c r="G12360"/>
      <c r="H12360"/>
      <c r="I12360" s="489"/>
      <c r="J12360" s="1362"/>
      <c r="K12360" s="1362"/>
      <c r="L12360" s="1362"/>
    </row>
    <row r="12361" spans="1:12" x14ac:dyDescent="0.25">
      <c r="A12361">
        <v>96677</v>
      </c>
      <c r="B12361" t="s">
        <v>18728</v>
      </c>
      <c r="C12361" t="s">
        <v>151</v>
      </c>
      <c r="D12361" s="254">
        <v>29.39</v>
      </c>
      <c r="E12361"/>
      <c r="F12361"/>
      <c r="G12361"/>
      <c r="H12361"/>
      <c r="I12361" s="489"/>
      <c r="J12361" s="1362"/>
      <c r="K12361" s="1362"/>
      <c r="L12361" s="1362"/>
    </row>
    <row r="12362" spans="1:12" x14ac:dyDescent="0.25">
      <c r="A12362">
        <v>96678</v>
      </c>
      <c r="B12362" t="s">
        <v>18729</v>
      </c>
      <c r="C12362" t="s">
        <v>151</v>
      </c>
      <c r="D12362" s="254">
        <v>39.200000000000003</v>
      </c>
      <c r="E12362"/>
      <c r="F12362"/>
      <c r="G12362"/>
      <c r="H12362"/>
      <c r="I12362" s="489"/>
      <c r="J12362" s="1362"/>
      <c r="K12362" s="1362"/>
      <c r="L12362" s="1362"/>
    </row>
    <row r="12363" spans="1:12" x14ac:dyDescent="0.25">
      <c r="A12363">
        <v>96679</v>
      </c>
      <c r="B12363" t="s">
        <v>18730</v>
      </c>
      <c r="C12363" t="s">
        <v>151</v>
      </c>
      <c r="D12363" s="254">
        <v>54.58</v>
      </c>
      <c r="E12363"/>
      <c r="F12363"/>
      <c r="G12363"/>
      <c r="H12363"/>
      <c r="I12363" s="489"/>
      <c r="J12363" s="1362"/>
      <c r="K12363" s="1362"/>
      <c r="L12363" s="1362"/>
    </row>
    <row r="12364" spans="1:12" x14ac:dyDescent="0.25">
      <c r="A12364">
        <v>96680</v>
      </c>
      <c r="B12364" t="s">
        <v>18731</v>
      </c>
      <c r="C12364" t="s">
        <v>151</v>
      </c>
      <c r="D12364" s="254">
        <v>71.209999999999994</v>
      </c>
      <c r="E12364"/>
      <c r="F12364"/>
      <c r="G12364"/>
      <c r="H12364"/>
      <c r="I12364" s="489"/>
      <c r="J12364" s="1362"/>
      <c r="K12364" s="1362"/>
      <c r="L12364" s="1362"/>
    </row>
    <row r="12365" spans="1:12" x14ac:dyDescent="0.25">
      <c r="A12365">
        <v>96681</v>
      </c>
      <c r="B12365" t="s">
        <v>18732</v>
      </c>
      <c r="C12365" t="s">
        <v>151</v>
      </c>
      <c r="D12365" s="254">
        <v>126.01</v>
      </c>
      <c r="E12365"/>
      <c r="F12365"/>
      <c r="G12365"/>
      <c r="H12365"/>
      <c r="I12365" s="489"/>
      <c r="J12365" s="1362"/>
      <c r="K12365" s="1362"/>
      <c r="L12365" s="1362"/>
    </row>
    <row r="12366" spans="1:12" x14ac:dyDescent="0.25">
      <c r="A12366">
        <v>96682</v>
      </c>
      <c r="B12366" t="s">
        <v>18733</v>
      </c>
      <c r="C12366" t="s">
        <v>151</v>
      </c>
      <c r="D12366" s="254">
        <v>181.3</v>
      </c>
      <c r="E12366"/>
      <c r="F12366"/>
      <c r="G12366"/>
      <c r="H12366"/>
      <c r="I12366" s="489"/>
      <c r="J12366" s="1362"/>
      <c r="K12366" s="1362"/>
      <c r="L12366" s="1362"/>
    </row>
    <row r="12367" spans="1:12" x14ac:dyDescent="0.25">
      <c r="A12367">
        <v>96683</v>
      </c>
      <c r="B12367" t="s">
        <v>18734</v>
      </c>
      <c r="C12367" t="s">
        <v>151</v>
      </c>
      <c r="D12367" s="254">
        <v>243.11</v>
      </c>
      <c r="E12367"/>
      <c r="F12367"/>
      <c r="G12367"/>
      <c r="H12367"/>
      <c r="I12367" s="489"/>
      <c r="J12367" s="1362"/>
      <c r="K12367" s="1362"/>
      <c r="L12367" s="1362"/>
    </row>
    <row r="12368" spans="1:12" x14ac:dyDescent="0.25">
      <c r="A12368">
        <v>96718</v>
      </c>
      <c r="B12368" t="s">
        <v>1574</v>
      </c>
      <c r="C12368" t="s">
        <v>151</v>
      </c>
      <c r="D12368" s="254">
        <v>9.2799999999999994</v>
      </c>
      <c r="E12368"/>
      <c r="F12368"/>
      <c r="G12368"/>
      <c r="H12368"/>
      <c r="I12368" s="489"/>
      <c r="J12368" s="1362"/>
      <c r="K12368" s="1362"/>
      <c r="L12368" s="1362"/>
    </row>
    <row r="12369" spans="1:12" x14ac:dyDescent="0.25">
      <c r="A12369">
        <v>96719</v>
      </c>
      <c r="B12369" t="s">
        <v>1575</v>
      </c>
      <c r="C12369" t="s">
        <v>151</v>
      </c>
      <c r="D12369" s="254">
        <v>18.91</v>
      </c>
      <c r="E12369"/>
      <c r="F12369"/>
      <c r="G12369"/>
      <c r="H12369"/>
      <c r="I12369" s="489"/>
      <c r="J12369" s="1362"/>
      <c r="K12369" s="1362"/>
      <c r="L12369" s="1362"/>
    </row>
    <row r="12370" spans="1:12" x14ac:dyDescent="0.25">
      <c r="A12370">
        <v>96720</v>
      </c>
      <c r="B12370" t="s">
        <v>1576</v>
      </c>
      <c r="C12370" t="s">
        <v>151</v>
      </c>
      <c r="D12370" s="254">
        <v>22.97</v>
      </c>
      <c r="E12370"/>
      <c r="F12370"/>
      <c r="G12370"/>
      <c r="H12370"/>
      <c r="I12370" s="489"/>
      <c r="J12370" s="1362"/>
      <c r="K12370" s="1362"/>
      <c r="L12370" s="1362"/>
    </row>
    <row r="12371" spans="1:12" x14ac:dyDescent="0.25">
      <c r="A12371">
        <v>96721</v>
      </c>
      <c r="B12371" t="s">
        <v>1577</v>
      </c>
      <c r="C12371" t="s">
        <v>151</v>
      </c>
      <c r="D12371" s="254">
        <v>30.84</v>
      </c>
      <c r="E12371"/>
      <c r="F12371"/>
      <c r="G12371"/>
      <c r="H12371"/>
      <c r="I12371" s="489"/>
      <c r="J12371" s="1362"/>
      <c r="K12371" s="1362"/>
      <c r="L12371" s="1362"/>
    </row>
    <row r="12372" spans="1:12" x14ac:dyDescent="0.25">
      <c r="A12372">
        <v>96722</v>
      </c>
      <c r="B12372" t="s">
        <v>1578</v>
      </c>
      <c r="C12372" t="s">
        <v>151</v>
      </c>
      <c r="D12372" s="254">
        <v>42.11</v>
      </c>
      <c r="E12372"/>
      <c r="F12372"/>
      <c r="G12372"/>
      <c r="H12372"/>
      <c r="I12372" s="489"/>
      <c r="J12372" s="1362"/>
      <c r="K12372" s="1362"/>
      <c r="L12372" s="1362"/>
    </row>
    <row r="12373" spans="1:12" x14ac:dyDescent="0.25">
      <c r="A12373">
        <v>96723</v>
      </c>
      <c r="B12373" t="s">
        <v>1579</v>
      </c>
      <c r="C12373" t="s">
        <v>151</v>
      </c>
      <c r="D12373" s="254">
        <v>55.89</v>
      </c>
      <c r="E12373"/>
      <c r="F12373"/>
      <c r="G12373"/>
      <c r="H12373"/>
      <c r="I12373" s="489"/>
      <c r="J12373" s="1362"/>
      <c r="K12373" s="1362"/>
      <c r="L12373" s="1362"/>
    </row>
    <row r="12374" spans="1:12" x14ac:dyDescent="0.25">
      <c r="A12374">
        <v>96724</v>
      </c>
      <c r="B12374" t="s">
        <v>1580</v>
      </c>
      <c r="C12374" t="s">
        <v>151</v>
      </c>
      <c r="D12374" s="254">
        <v>91.26</v>
      </c>
      <c r="E12374"/>
      <c r="F12374"/>
      <c r="G12374"/>
      <c r="H12374"/>
      <c r="I12374" s="489"/>
      <c r="J12374" s="1362"/>
      <c r="K12374" s="1362"/>
      <c r="L12374" s="1362"/>
    </row>
    <row r="12375" spans="1:12" x14ac:dyDescent="0.25">
      <c r="A12375">
        <v>96725</v>
      </c>
      <c r="B12375" t="s">
        <v>1581</v>
      </c>
      <c r="C12375" t="s">
        <v>151</v>
      </c>
      <c r="D12375" s="254">
        <v>119.97</v>
      </c>
      <c r="E12375"/>
      <c r="F12375"/>
      <c r="G12375"/>
      <c r="H12375"/>
      <c r="I12375" s="489"/>
      <c r="J12375" s="1362"/>
      <c r="K12375" s="1362"/>
      <c r="L12375" s="1362"/>
    </row>
    <row r="12376" spans="1:12" x14ac:dyDescent="0.25">
      <c r="A12376">
        <v>96726</v>
      </c>
      <c r="B12376" t="s">
        <v>1582</v>
      </c>
      <c r="C12376" t="s">
        <v>151</v>
      </c>
      <c r="D12376" s="254">
        <v>195.61</v>
      </c>
      <c r="E12376"/>
      <c r="F12376"/>
      <c r="G12376"/>
      <c r="H12376"/>
      <c r="I12376" s="489"/>
      <c r="J12376" s="1362"/>
      <c r="K12376" s="1362"/>
      <c r="L12376" s="1362"/>
    </row>
    <row r="12377" spans="1:12" x14ac:dyDescent="0.25">
      <c r="A12377">
        <v>96727</v>
      </c>
      <c r="B12377" t="s">
        <v>1583</v>
      </c>
      <c r="C12377" t="s">
        <v>151</v>
      </c>
      <c r="D12377" s="254">
        <v>16.34</v>
      </c>
      <c r="E12377"/>
      <c r="F12377"/>
      <c r="G12377"/>
      <c r="H12377"/>
      <c r="I12377" s="489"/>
      <c r="J12377" s="1362"/>
      <c r="K12377" s="1362"/>
      <c r="L12377" s="1362"/>
    </row>
    <row r="12378" spans="1:12" x14ac:dyDescent="0.25">
      <c r="A12378">
        <v>96728</v>
      </c>
      <c r="B12378" t="s">
        <v>1584</v>
      </c>
      <c r="C12378" t="s">
        <v>151</v>
      </c>
      <c r="D12378" s="254">
        <v>19.53</v>
      </c>
      <c r="E12378"/>
      <c r="F12378"/>
      <c r="G12378"/>
      <c r="H12378"/>
      <c r="I12378" s="489"/>
      <c r="J12378" s="1362"/>
      <c r="K12378" s="1362"/>
      <c r="L12378" s="1362"/>
    </row>
    <row r="12379" spans="1:12" x14ac:dyDescent="0.25">
      <c r="A12379">
        <v>96729</v>
      </c>
      <c r="B12379" t="s">
        <v>1585</v>
      </c>
      <c r="C12379" t="s">
        <v>151</v>
      </c>
      <c r="D12379" s="254">
        <v>29.54</v>
      </c>
      <c r="E12379"/>
      <c r="F12379"/>
      <c r="G12379"/>
      <c r="H12379"/>
      <c r="I12379" s="489"/>
      <c r="J12379" s="1362"/>
      <c r="K12379" s="1362"/>
      <c r="L12379" s="1362"/>
    </row>
    <row r="12380" spans="1:12" x14ac:dyDescent="0.25">
      <c r="A12380">
        <v>96730</v>
      </c>
      <c r="B12380" t="s">
        <v>1586</v>
      </c>
      <c r="C12380" t="s">
        <v>151</v>
      </c>
      <c r="D12380" s="254">
        <v>37.26</v>
      </c>
      <c r="E12380"/>
      <c r="F12380"/>
      <c r="G12380"/>
      <c r="H12380"/>
      <c r="I12380" s="489"/>
      <c r="J12380" s="1362"/>
      <c r="K12380" s="1362"/>
      <c r="L12380" s="1362"/>
    </row>
    <row r="12381" spans="1:12" x14ac:dyDescent="0.25">
      <c r="A12381">
        <v>96731</v>
      </c>
      <c r="B12381" t="s">
        <v>1587</v>
      </c>
      <c r="C12381" t="s">
        <v>151</v>
      </c>
      <c r="D12381" s="254">
        <v>54.53</v>
      </c>
      <c r="E12381"/>
      <c r="F12381"/>
      <c r="G12381"/>
      <c r="H12381"/>
      <c r="I12381" s="489"/>
      <c r="J12381" s="1362"/>
      <c r="K12381" s="1362"/>
      <c r="L12381" s="1362"/>
    </row>
    <row r="12382" spans="1:12" x14ac:dyDescent="0.25">
      <c r="A12382">
        <v>96732</v>
      </c>
      <c r="B12382" t="s">
        <v>1588</v>
      </c>
      <c r="C12382" t="s">
        <v>151</v>
      </c>
      <c r="D12382" s="254">
        <v>67.59</v>
      </c>
      <c r="E12382"/>
      <c r="F12382"/>
      <c r="G12382"/>
      <c r="H12382"/>
      <c r="I12382" s="489"/>
      <c r="J12382" s="1362"/>
      <c r="K12382" s="1362"/>
      <c r="L12382" s="1362"/>
    </row>
    <row r="12383" spans="1:12" x14ac:dyDescent="0.25">
      <c r="A12383">
        <v>96733</v>
      </c>
      <c r="B12383" t="s">
        <v>1589</v>
      </c>
      <c r="C12383" t="s">
        <v>151</v>
      </c>
      <c r="D12383" s="254">
        <v>124.03</v>
      </c>
      <c r="E12383"/>
      <c r="F12383"/>
      <c r="G12383"/>
      <c r="H12383"/>
      <c r="I12383" s="489"/>
      <c r="J12383" s="1362"/>
      <c r="K12383" s="1362"/>
      <c r="L12383" s="1362"/>
    </row>
    <row r="12384" spans="1:12" x14ac:dyDescent="0.25">
      <c r="A12384">
        <v>96734</v>
      </c>
      <c r="B12384" t="s">
        <v>1590</v>
      </c>
      <c r="C12384" t="s">
        <v>151</v>
      </c>
      <c r="D12384" s="254">
        <v>172.13</v>
      </c>
      <c r="E12384"/>
      <c r="F12384"/>
      <c r="G12384"/>
      <c r="H12384"/>
      <c r="I12384" s="489"/>
      <c r="J12384" s="1362"/>
      <c r="K12384" s="1362"/>
      <c r="L12384" s="1362"/>
    </row>
    <row r="12385" spans="1:12" x14ac:dyDescent="0.25">
      <c r="A12385">
        <v>96735</v>
      </c>
      <c r="B12385" t="s">
        <v>1591</v>
      </c>
      <c r="C12385" t="s">
        <v>151</v>
      </c>
      <c r="D12385" s="254">
        <v>224.58</v>
      </c>
      <c r="E12385"/>
      <c r="F12385"/>
      <c r="G12385"/>
      <c r="H12385"/>
      <c r="I12385" s="489"/>
      <c r="J12385" s="1362"/>
      <c r="K12385" s="1362"/>
      <c r="L12385" s="1362"/>
    </row>
    <row r="12386" spans="1:12" x14ac:dyDescent="0.25">
      <c r="A12386">
        <v>96794</v>
      </c>
      <c r="B12386" t="s">
        <v>1592</v>
      </c>
      <c r="C12386" t="s">
        <v>151</v>
      </c>
      <c r="D12386" s="254">
        <v>9.8000000000000007</v>
      </c>
      <c r="E12386"/>
      <c r="F12386"/>
      <c r="G12386"/>
      <c r="H12386"/>
      <c r="I12386" s="489"/>
      <c r="J12386" s="1362"/>
      <c r="K12386" s="1362"/>
      <c r="L12386" s="1362"/>
    </row>
    <row r="12387" spans="1:12" x14ac:dyDescent="0.25">
      <c r="A12387">
        <v>96795</v>
      </c>
      <c r="B12387" t="s">
        <v>1593</v>
      </c>
      <c r="C12387" t="s">
        <v>151</v>
      </c>
      <c r="D12387" s="254">
        <v>12.44</v>
      </c>
      <c r="E12387"/>
      <c r="F12387"/>
      <c r="G12387"/>
      <c r="H12387"/>
      <c r="I12387" s="489"/>
      <c r="J12387" s="1362"/>
      <c r="K12387" s="1362"/>
      <c r="L12387" s="1362"/>
    </row>
    <row r="12388" spans="1:12" x14ac:dyDescent="0.25">
      <c r="A12388">
        <v>96796</v>
      </c>
      <c r="B12388" t="s">
        <v>1594</v>
      </c>
      <c r="C12388" t="s">
        <v>151</v>
      </c>
      <c r="D12388" s="254">
        <v>17.350000000000001</v>
      </c>
      <c r="E12388"/>
      <c r="F12388"/>
      <c r="G12388"/>
      <c r="H12388"/>
      <c r="I12388" s="489"/>
      <c r="J12388" s="1362"/>
      <c r="K12388" s="1362"/>
      <c r="L12388" s="1362"/>
    </row>
    <row r="12389" spans="1:12" x14ac:dyDescent="0.25">
      <c r="A12389">
        <v>96797</v>
      </c>
      <c r="B12389" t="s">
        <v>1595</v>
      </c>
      <c r="C12389" t="s">
        <v>151</v>
      </c>
      <c r="D12389" s="254">
        <v>26.11</v>
      </c>
      <c r="E12389"/>
      <c r="F12389"/>
      <c r="G12389"/>
      <c r="H12389"/>
      <c r="I12389" s="489"/>
      <c r="J12389" s="1362"/>
      <c r="K12389" s="1362"/>
      <c r="L12389" s="1362"/>
    </row>
    <row r="12390" spans="1:12" x14ac:dyDescent="0.25">
      <c r="A12390">
        <v>96798</v>
      </c>
      <c r="B12390" t="s">
        <v>1596</v>
      </c>
      <c r="C12390" t="s">
        <v>151</v>
      </c>
      <c r="D12390" s="254">
        <v>9.9600000000000009</v>
      </c>
      <c r="E12390"/>
      <c r="F12390"/>
      <c r="G12390"/>
      <c r="H12390"/>
      <c r="I12390" s="489"/>
      <c r="J12390" s="1362"/>
      <c r="K12390" s="1362"/>
      <c r="L12390" s="1362"/>
    </row>
    <row r="12391" spans="1:12" x14ac:dyDescent="0.25">
      <c r="A12391">
        <v>96799</v>
      </c>
      <c r="B12391" t="s">
        <v>1597</v>
      </c>
      <c r="C12391" t="s">
        <v>151</v>
      </c>
      <c r="D12391" s="254">
        <v>13.36</v>
      </c>
      <c r="E12391"/>
      <c r="F12391"/>
      <c r="G12391"/>
      <c r="H12391"/>
      <c r="I12391" s="489"/>
      <c r="J12391" s="1362"/>
      <c r="K12391" s="1362"/>
      <c r="L12391" s="1362"/>
    </row>
    <row r="12392" spans="1:12" x14ac:dyDescent="0.25">
      <c r="A12392">
        <v>96800</v>
      </c>
      <c r="B12392" t="s">
        <v>1598</v>
      </c>
      <c r="C12392" t="s">
        <v>151</v>
      </c>
      <c r="D12392" s="254">
        <v>19.239999999999998</v>
      </c>
      <c r="E12392"/>
      <c r="F12392"/>
      <c r="G12392"/>
      <c r="H12392"/>
      <c r="I12392" s="489"/>
      <c r="J12392" s="1362"/>
      <c r="K12392" s="1362"/>
      <c r="L12392" s="1362"/>
    </row>
    <row r="12393" spans="1:12" x14ac:dyDescent="0.25">
      <c r="A12393">
        <v>96801</v>
      </c>
      <c r="B12393" t="s">
        <v>1599</v>
      </c>
      <c r="C12393" t="s">
        <v>151</v>
      </c>
      <c r="D12393" s="254">
        <v>29.36</v>
      </c>
      <c r="E12393"/>
      <c r="F12393"/>
      <c r="G12393"/>
      <c r="H12393"/>
      <c r="I12393" s="489"/>
      <c r="J12393" s="1362"/>
      <c r="K12393" s="1362"/>
      <c r="L12393" s="1362"/>
    </row>
    <row r="12394" spans="1:12" x14ac:dyDescent="0.25">
      <c r="A12394">
        <v>97327</v>
      </c>
      <c r="B12394" t="s">
        <v>3146</v>
      </c>
      <c r="C12394" t="s">
        <v>151</v>
      </c>
      <c r="D12394" s="254">
        <v>28.66</v>
      </c>
      <c r="E12394"/>
      <c r="F12394"/>
      <c r="G12394"/>
      <c r="H12394"/>
      <c r="I12394" s="489"/>
      <c r="J12394" s="1362"/>
      <c r="K12394" s="1362"/>
      <c r="L12394" s="1362"/>
    </row>
    <row r="12395" spans="1:12" x14ac:dyDescent="0.25">
      <c r="A12395">
        <v>97328</v>
      </c>
      <c r="B12395" t="s">
        <v>3006</v>
      </c>
      <c r="C12395" t="s">
        <v>151</v>
      </c>
      <c r="D12395" s="254">
        <v>49.84</v>
      </c>
      <c r="E12395"/>
      <c r="F12395"/>
      <c r="G12395"/>
      <c r="H12395"/>
      <c r="I12395" s="489"/>
      <c r="J12395" s="1362"/>
      <c r="K12395" s="1362"/>
      <c r="L12395" s="1362"/>
    </row>
    <row r="12396" spans="1:12" x14ac:dyDescent="0.25">
      <c r="A12396">
        <v>97329</v>
      </c>
      <c r="B12396" t="s">
        <v>3007</v>
      </c>
      <c r="C12396" t="s">
        <v>151</v>
      </c>
      <c r="D12396" s="254">
        <v>62.17</v>
      </c>
      <c r="E12396"/>
      <c r="F12396"/>
      <c r="G12396"/>
      <c r="H12396"/>
      <c r="I12396" s="489"/>
      <c r="J12396" s="1362"/>
      <c r="K12396" s="1362"/>
      <c r="L12396" s="1362"/>
    </row>
    <row r="12397" spans="1:12" x14ac:dyDescent="0.25">
      <c r="A12397">
        <v>97330</v>
      </c>
      <c r="B12397" t="s">
        <v>3008</v>
      </c>
      <c r="C12397" t="s">
        <v>151</v>
      </c>
      <c r="D12397" s="254">
        <v>75.760000000000005</v>
      </c>
      <c r="E12397"/>
      <c r="F12397"/>
      <c r="G12397"/>
      <c r="H12397"/>
      <c r="I12397" s="489"/>
      <c r="J12397" s="1362"/>
      <c r="K12397" s="1362"/>
      <c r="L12397" s="1362"/>
    </row>
    <row r="12398" spans="1:12" x14ac:dyDescent="0.25">
      <c r="A12398">
        <v>97331</v>
      </c>
      <c r="B12398" t="s">
        <v>3009</v>
      </c>
      <c r="C12398" t="s">
        <v>151</v>
      </c>
      <c r="D12398" s="254">
        <v>29.02</v>
      </c>
      <c r="E12398"/>
      <c r="F12398"/>
      <c r="G12398"/>
      <c r="H12398"/>
      <c r="I12398" s="489"/>
      <c r="J12398" s="1362"/>
      <c r="K12398" s="1362"/>
      <c r="L12398" s="1362"/>
    </row>
    <row r="12399" spans="1:12" x14ac:dyDescent="0.25">
      <c r="A12399">
        <v>97332</v>
      </c>
      <c r="B12399" t="s">
        <v>3010</v>
      </c>
      <c r="C12399" t="s">
        <v>151</v>
      </c>
      <c r="D12399" s="254">
        <v>50.26</v>
      </c>
      <c r="E12399"/>
      <c r="F12399"/>
      <c r="G12399"/>
      <c r="H12399"/>
      <c r="I12399" s="489"/>
      <c r="J12399" s="1362"/>
      <c r="K12399" s="1362"/>
      <c r="L12399" s="1362"/>
    </row>
    <row r="12400" spans="1:12" x14ac:dyDescent="0.25">
      <c r="A12400">
        <v>97333</v>
      </c>
      <c r="B12400" t="s">
        <v>3011</v>
      </c>
      <c r="C12400" t="s">
        <v>151</v>
      </c>
      <c r="D12400" s="254">
        <v>62.68</v>
      </c>
      <c r="E12400"/>
      <c r="F12400"/>
      <c r="G12400"/>
      <c r="H12400"/>
      <c r="I12400" s="489"/>
      <c r="J12400" s="1362"/>
      <c r="K12400" s="1362"/>
      <c r="L12400" s="1362"/>
    </row>
    <row r="12401" spans="1:12" x14ac:dyDescent="0.25">
      <c r="A12401">
        <v>97334</v>
      </c>
      <c r="B12401" t="s">
        <v>3147</v>
      </c>
      <c r="C12401" t="s">
        <v>151</v>
      </c>
      <c r="D12401" s="254">
        <v>76.33</v>
      </c>
      <c r="E12401"/>
      <c r="F12401"/>
      <c r="G12401"/>
      <c r="H12401"/>
      <c r="I12401" s="489"/>
      <c r="J12401" s="1362"/>
      <c r="K12401" s="1362"/>
      <c r="L12401" s="1362"/>
    </row>
    <row r="12402" spans="1:12" x14ac:dyDescent="0.25">
      <c r="A12402">
        <v>97335</v>
      </c>
      <c r="B12402" t="s">
        <v>18735</v>
      </c>
      <c r="C12402" t="s">
        <v>151</v>
      </c>
      <c r="D12402" s="254">
        <v>77.3</v>
      </c>
      <c r="E12402"/>
      <c r="F12402"/>
      <c r="G12402"/>
      <c r="H12402"/>
      <c r="I12402" s="489"/>
      <c r="J12402" s="1362"/>
      <c r="K12402" s="1362"/>
      <c r="L12402" s="1362"/>
    </row>
    <row r="12403" spans="1:12" x14ac:dyDescent="0.25">
      <c r="A12403">
        <v>97336</v>
      </c>
      <c r="B12403" t="s">
        <v>18736</v>
      </c>
      <c r="C12403" t="s">
        <v>151</v>
      </c>
      <c r="D12403" s="254">
        <v>98.37</v>
      </c>
      <c r="E12403"/>
      <c r="F12403"/>
      <c r="G12403"/>
      <c r="H12403"/>
      <c r="I12403" s="489"/>
      <c r="J12403" s="1362"/>
      <c r="K12403" s="1362"/>
      <c r="L12403" s="1362"/>
    </row>
    <row r="12404" spans="1:12" x14ac:dyDescent="0.25">
      <c r="A12404">
        <v>97337</v>
      </c>
      <c r="B12404" t="s">
        <v>18737</v>
      </c>
      <c r="C12404" t="s">
        <v>151</v>
      </c>
      <c r="D12404" s="254">
        <v>147.85</v>
      </c>
      <c r="E12404"/>
      <c r="F12404"/>
      <c r="G12404"/>
      <c r="H12404"/>
      <c r="I12404" s="489"/>
      <c r="J12404" s="1362"/>
      <c r="K12404" s="1362"/>
      <c r="L12404" s="1362"/>
    </row>
    <row r="12405" spans="1:12" x14ac:dyDescent="0.25">
      <c r="A12405">
        <v>97338</v>
      </c>
      <c r="B12405" t="s">
        <v>18738</v>
      </c>
      <c r="C12405" t="s">
        <v>151</v>
      </c>
      <c r="D12405" s="254">
        <v>177.91</v>
      </c>
      <c r="E12405"/>
      <c r="F12405"/>
      <c r="G12405"/>
      <c r="H12405"/>
      <c r="I12405" s="489"/>
      <c r="J12405" s="1362"/>
      <c r="K12405" s="1362"/>
      <c r="L12405" s="1362"/>
    </row>
    <row r="12406" spans="1:12" x14ac:dyDescent="0.25">
      <c r="A12406">
        <v>97339</v>
      </c>
      <c r="B12406" t="s">
        <v>18739</v>
      </c>
      <c r="C12406" t="s">
        <v>151</v>
      </c>
      <c r="D12406" s="254">
        <v>191.74</v>
      </c>
      <c r="E12406"/>
      <c r="F12406"/>
      <c r="G12406"/>
      <c r="H12406"/>
      <c r="I12406" s="489"/>
      <c r="J12406" s="1362"/>
      <c r="K12406" s="1362"/>
      <c r="L12406" s="1362"/>
    </row>
    <row r="12407" spans="1:12" x14ac:dyDescent="0.25">
      <c r="A12407">
        <v>97340</v>
      </c>
      <c r="B12407" t="s">
        <v>18740</v>
      </c>
      <c r="C12407" t="s">
        <v>151</v>
      </c>
      <c r="D12407" s="254">
        <v>193.06</v>
      </c>
      <c r="E12407"/>
      <c r="F12407"/>
      <c r="G12407"/>
      <c r="H12407"/>
      <c r="I12407" s="489"/>
      <c r="J12407" s="1362"/>
      <c r="K12407" s="1362"/>
      <c r="L12407" s="1362"/>
    </row>
    <row r="12408" spans="1:12" x14ac:dyDescent="0.25">
      <c r="A12408">
        <v>97347</v>
      </c>
      <c r="B12408" t="s">
        <v>3012</v>
      </c>
      <c r="C12408" t="s">
        <v>151</v>
      </c>
      <c r="D12408" s="254">
        <v>93.08</v>
      </c>
      <c r="E12408"/>
      <c r="F12408"/>
      <c r="G12408"/>
      <c r="H12408"/>
      <c r="I12408" s="489"/>
      <c r="J12408" s="1362"/>
      <c r="K12408" s="1362"/>
      <c r="L12408" s="1362"/>
    </row>
    <row r="12409" spans="1:12" x14ac:dyDescent="0.25">
      <c r="A12409">
        <v>97348</v>
      </c>
      <c r="B12409" t="s">
        <v>3013</v>
      </c>
      <c r="C12409" t="s">
        <v>151</v>
      </c>
      <c r="D12409" s="254">
        <v>128.5</v>
      </c>
      <c r="E12409"/>
      <c r="F12409"/>
      <c r="G12409"/>
      <c r="H12409"/>
      <c r="I12409" s="489"/>
      <c r="J12409" s="1362"/>
      <c r="K12409" s="1362"/>
      <c r="L12409" s="1362"/>
    </row>
    <row r="12410" spans="1:12" x14ac:dyDescent="0.25">
      <c r="A12410">
        <v>97349</v>
      </c>
      <c r="B12410" t="s">
        <v>3014</v>
      </c>
      <c r="C12410" t="s">
        <v>151</v>
      </c>
      <c r="D12410" s="254">
        <v>185.09</v>
      </c>
      <c r="E12410"/>
      <c r="F12410"/>
      <c r="G12410"/>
      <c r="H12410"/>
      <c r="I12410" s="489"/>
      <c r="J12410" s="1362"/>
      <c r="K12410" s="1362"/>
      <c r="L12410" s="1362"/>
    </row>
    <row r="12411" spans="1:12" x14ac:dyDescent="0.25">
      <c r="A12411">
        <v>97350</v>
      </c>
      <c r="B12411" t="s">
        <v>3015</v>
      </c>
      <c r="C12411" t="s">
        <v>151</v>
      </c>
      <c r="D12411" s="254">
        <v>224.69</v>
      </c>
      <c r="E12411"/>
      <c r="F12411"/>
      <c r="G12411"/>
      <c r="H12411"/>
      <c r="I12411" s="489"/>
      <c r="J12411" s="1362"/>
      <c r="K12411" s="1362"/>
      <c r="L12411" s="1362"/>
    </row>
    <row r="12412" spans="1:12" x14ac:dyDescent="0.25">
      <c r="A12412">
        <v>97351</v>
      </c>
      <c r="B12412" t="s">
        <v>3016</v>
      </c>
      <c r="C12412" t="s">
        <v>151</v>
      </c>
      <c r="D12412" s="254">
        <v>310.57</v>
      </c>
      <c r="E12412"/>
      <c r="F12412"/>
      <c r="G12412"/>
      <c r="H12412"/>
      <c r="I12412" s="489"/>
      <c r="J12412" s="1362"/>
      <c r="K12412" s="1362"/>
      <c r="L12412" s="1362"/>
    </row>
    <row r="12413" spans="1:12" x14ac:dyDescent="0.25">
      <c r="A12413">
        <v>97352</v>
      </c>
      <c r="B12413" t="s">
        <v>3017</v>
      </c>
      <c r="C12413" t="s">
        <v>151</v>
      </c>
      <c r="D12413" s="254">
        <v>402.4</v>
      </c>
      <c r="E12413"/>
      <c r="F12413"/>
      <c r="G12413"/>
      <c r="H12413"/>
      <c r="I12413" s="489"/>
      <c r="J12413" s="1362"/>
      <c r="K12413" s="1362"/>
      <c r="L12413" s="1362"/>
    </row>
    <row r="12414" spans="1:12" x14ac:dyDescent="0.25">
      <c r="A12414">
        <v>97353</v>
      </c>
      <c r="B12414" t="s">
        <v>3018</v>
      </c>
      <c r="C12414" t="s">
        <v>151</v>
      </c>
      <c r="D12414" s="254">
        <v>62.09</v>
      </c>
      <c r="E12414"/>
      <c r="F12414"/>
      <c r="G12414"/>
      <c r="H12414"/>
      <c r="I12414" s="489"/>
      <c r="J12414" s="1362"/>
      <c r="K12414" s="1362"/>
      <c r="L12414" s="1362"/>
    </row>
    <row r="12415" spans="1:12" x14ac:dyDescent="0.25">
      <c r="A12415">
        <v>97354</v>
      </c>
      <c r="B12415" t="s">
        <v>3019</v>
      </c>
      <c r="C12415" t="s">
        <v>151</v>
      </c>
      <c r="D12415" s="254">
        <v>98.12</v>
      </c>
      <c r="E12415"/>
      <c r="F12415"/>
      <c r="G12415"/>
      <c r="H12415"/>
      <c r="I12415" s="489"/>
      <c r="J12415" s="1362"/>
      <c r="K12415" s="1362"/>
      <c r="L12415" s="1362"/>
    </row>
    <row r="12416" spans="1:12" x14ac:dyDescent="0.25">
      <c r="A12416">
        <v>97355</v>
      </c>
      <c r="B12416" t="s">
        <v>3020</v>
      </c>
      <c r="C12416" t="s">
        <v>151</v>
      </c>
      <c r="D12416" s="254">
        <v>133.88999999999999</v>
      </c>
      <c r="E12416"/>
      <c r="F12416"/>
      <c r="G12416"/>
      <c r="H12416"/>
      <c r="I12416" s="489"/>
      <c r="J12416" s="1362"/>
      <c r="K12416" s="1362"/>
      <c r="L12416" s="1362"/>
    </row>
    <row r="12417" spans="1:12" x14ac:dyDescent="0.25">
      <c r="A12417">
        <v>97356</v>
      </c>
      <c r="B12417" t="s">
        <v>3021</v>
      </c>
      <c r="C12417" t="s">
        <v>151</v>
      </c>
      <c r="D12417" s="254">
        <v>73.150000000000006</v>
      </c>
      <c r="E12417"/>
      <c r="F12417"/>
      <c r="G12417"/>
      <c r="H12417"/>
      <c r="I12417" s="489"/>
      <c r="J12417" s="1362"/>
      <c r="K12417" s="1362"/>
      <c r="L12417" s="1362"/>
    </row>
    <row r="12418" spans="1:12" x14ac:dyDescent="0.25">
      <c r="A12418">
        <v>97357</v>
      </c>
      <c r="B12418" t="s">
        <v>3022</v>
      </c>
      <c r="C12418" t="s">
        <v>151</v>
      </c>
      <c r="D12418" s="254">
        <v>117.12</v>
      </c>
      <c r="E12418"/>
      <c r="F12418"/>
      <c r="G12418"/>
      <c r="H12418"/>
      <c r="I12418" s="489"/>
      <c r="J12418" s="1362"/>
      <c r="K12418" s="1362"/>
      <c r="L12418" s="1362"/>
    </row>
    <row r="12419" spans="1:12" x14ac:dyDescent="0.25">
      <c r="A12419">
        <v>97358</v>
      </c>
      <c r="B12419" t="s">
        <v>3023</v>
      </c>
      <c r="C12419" t="s">
        <v>151</v>
      </c>
      <c r="D12419" s="254">
        <v>159.80000000000001</v>
      </c>
      <c r="E12419"/>
      <c r="F12419"/>
      <c r="G12419"/>
      <c r="H12419"/>
      <c r="I12419" s="489"/>
      <c r="J12419" s="1362"/>
      <c r="K12419" s="1362"/>
      <c r="L12419" s="1362"/>
    </row>
    <row r="12420" spans="1:12" x14ac:dyDescent="0.25">
      <c r="A12420">
        <v>97498</v>
      </c>
      <c r="B12420" t="s">
        <v>5402</v>
      </c>
      <c r="C12420" t="s">
        <v>151</v>
      </c>
      <c r="D12420" s="254">
        <v>45.8</v>
      </c>
      <c r="E12420"/>
      <c r="F12420"/>
      <c r="G12420"/>
      <c r="H12420"/>
      <c r="I12420" s="489"/>
      <c r="J12420" s="1362"/>
      <c r="K12420" s="1362"/>
      <c r="L12420" s="1362"/>
    </row>
    <row r="12421" spans="1:12" x14ac:dyDescent="0.25">
      <c r="A12421">
        <v>97535</v>
      </c>
      <c r="B12421" t="s">
        <v>5403</v>
      </c>
      <c r="C12421" t="s">
        <v>151</v>
      </c>
      <c r="D12421" s="254">
        <v>50.83</v>
      </c>
      <c r="E12421"/>
      <c r="F12421"/>
      <c r="G12421"/>
      <c r="H12421"/>
      <c r="I12421" s="489"/>
      <c r="J12421" s="1362"/>
      <c r="K12421" s="1362"/>
      <c r="L12421" s="1362"/>
    </row>
    <row r="12422" spans="1:12" x14ac:dyDescent="0.25">
      <c r="A12422">
        <v>97536</v>
      </c>
      <c r="B12422" t="s">
        <v>5404</v>
      </c>
      <c r="C12422" t="s">
        <v>151</v>
      </c>
      <c r="D12422" s="254">
        <v>62.41</v>
      </c>
      <c r="E12422"/>
      <c r="F12422"/>
      <c r="G12422"/>
      <c r="H12422"/>
      <c r="I12422" s="489"/>
      <c r="J12422" s="1362"/>
      <c r="K12422" s="1362"/>
      <c r="L12422" s="1362"/>
    </row>
    <row r="12423" spans="1:12" x14ac:dyDescent="0.25">
      <c r="A12423">
        <v>100788</v>
      </c>
      <c r="B12423" t="s">
        <v>4133</v>
      </c>
      <c r="C12423" t="s">
        <v>138</v>
      </c>
      <c r="D12423" s="254">
        <v>681.32</v>
      </c>
      <c r="E12423"/>
      <c r="F12423"/>
      <c r="G12423"/>
      <c r="H12423"/>
      <c r="I12423" s="489"/>
      <c r="J12423" s="1362"/>
      <c r="K12423" s="1362"/>
      <c r="L12423" s="1362"/>
    </row>
    <row r="12424" spans="1:12" x14ac:dyDescent="0.25">
      <c r="A12424">
        <v>100791</v>
      </c>
      <c r="B12424" t="s">
        <v>4134</v>
      </c>
      <c r="C12424" t="s">
        <v>151</v>
      </c>
      <c r="D12424" s="254">
        <v>20.56</v>
      </c>
      <c r="E12424"/>
      <c r="F12424"/>
      <c r="G12424"/>
      <c r="H12424"/>
      <c r="I12424" s="489"/>
      <c r="J12424" s="1362"/>
      <c r="K12424" s="1362"/>
      <c r="L12424" s="1362"/>
    </row>
    <row r="12425" spans="1:12" x14ac:dyDescent="0.25">
      <c r="A12425">
        <v>100792</v>
      </c>
      <c r="B12425" t="s">
        <v>4135</v>
      </c>
      <c r="C12425" t="s">
        <v>151</v>
      </c>
      <c r="D12425" s="254">
        <v>29.94</v>
      </c>
      <c r="E12425"/>
      <c r="F12425"/>
      <c r="G12425"/>
      <c r="H12425"/>
      <c r="I12425" s="489"/>
      <c r="J12425" s="1362"/>
      <c r="K12425" s="1362"/>
      <c r="L12425" s="1362"/>
    </row>
    <row r="12426" spans="1:12" x14ac:dyDescent="0.25">
      <c r="A12426">
        <v>100793</v>
      </c>
      <c r="B12426" t="s">
        <v>4136</v>
      </c>
      <c r="C12426" t="s">
        <v>151</v>
      </c>
      <c r="D12426" s="254">
        <v>39.6</v>
      </c>
      <c r="E12426"/>
      <c r="F12426"/>
      <c r="G12426"/>
      <c r="H12426"/>
      <c r="I12426" s="489"/>
      <c r="J12426" s="1362"/>
      <c r="K12426" s="1362"/>
      <c r="L12426" s="1362"/>
    </row>
    <row r="12427" spans="1:12" x14ac:dyDescent="0.25">
      <c r="A12427">
        <v>100794</v>
      </c>
      <c r="B12427" t="s">
        <v>4137</v>
      </c>
      <c r="C12427" t="s">
        <v>151</v>
      </c>
      <c r="D12427" s="254">
        <v>53.3</v>
      </c>
      <c r="E12427"/>
      <c r="F12427"/>
      <c r="G12427"/>
      <c r="H12427"/>
      <c r="I12427" s="489"/>
      <c r="J12427" s="1362"/>
      <c r="K12427" s="1362"/>
      <c r="L12427" s="1362"/>
    </row>
    <row r="12428" spans="1:12" x14ac:dyDescent="0.25">
      <c r="A12428">
        <v>100799</v>
      </c>
      <c r="B12428" t="s">
        <v>6047</v>
      </c>
      <c r="C12428" t="s">
        <v>151</v>
      </c>
      <c r="D12428" s="254">
        <v>21.08</v>
      </c>
      <c r="E12428"/>
      <c r="F12428"/>
      <c r="G12428"/>
      <c r="H12428"/>
      <c r="I12428" s="489"/>
      <c r="J12428" s="1362"/>
      <c r="K12428" s="1362"/>
      <c r="L12428" s="1362"/>
    </row>
    <row r="12429" spans="1:12" x14ac:dyDescent="0.25">
      <c r="A12429">
        <v>100800</v>
      </c>
      <c r="B12429" t="s">
        <v>6048</v>
      </c>
      <c r="C12429" t="s">
        <v>151</v>
      </c>
      <c r="D12429" s="254">
        <v>30.46</v>
      </c>
      <c r="E12429"/>
      <c r="F12429"/>
      <c r="G12429"/>
      <c r="H12429"/>
      <c r="I12429" s="489"/>
      <c r="J12429" s="1362"/>
      <c r="K12429" s="1362"/>
      <c r="L12429" s="1362"/>
    </row>
    <row r="12430" spans="1:12" x14ac:dyDescent="0.25">
      <c r="A12430">
        <v>100801</v>
      </c>
      <c r="B12430" t="s">
        <v>6049</v>
      </c>
      <c r="C12430" t="s">
        <v>151</v>
      </c>
      <c r="D12430" s="254">
        <v>40.130000000000003</v>
      </c>
      <c r="E12430"/>
      <c r="F12430"/>
      <c r="G12430"/>
      <c r="H12430"/>
      <c r="I12430" s="489"/>
      <c r="J12430" s="1362"/>
      <c r="K12430" s="1362"/>
      <c r="L12430" s="1362"/>
    </row>
    <row r="12431" spans="1:12" x14ac:dyDescent="0.25">
      <c r="A12431">
        <v>100802</v>
      </c>
      <c r="B12431" t="s">
        <v>6050</v>
      </c>
      <c r="C12431" t="s">
        <v>151</v>
      </c>
      <c r="D12431" s="254">
        <v>53.83</v>
      </c>
      <c r="E12431"/>
      <c r="F12431"/>
      <c r="G12431"/>
      <c r="H12431"/>
      <c r="I12431" s="489"/>
      <c r="J12431" s="1362"/>
      <c r="K12431" s="1362"/>
      <c r="L12431" s="1362"/>
    </row>
    <row r="12432" spans="1:12" x14ac:dyDescent="0.25">
      <c r="A12432">
        <v>100803</v>
      </c>
      <c r="B12432" t="s">
        <v>4138</v>
      </c>
      <c r="C12432" t="s">
        <v>151</v>
      </c>
      <c r="D12432" s="254">
        <v>19.489999999999998</v>
      </c>
      <c r="E12432"/>
      <c r="F12432"/>
      <c r="G12432"/>
      <c r="H12432"/>
      <c r="I12432" s="489"/>
      <c r="J12432" s="1362"/>
      <c r="K12432" s="1362"/>
      <c r="L12432" s="1362"/>
    </row>
    <row r="12433" spans="1:12" x14ac:dyDescent="0.25">
      <c r="A12433">
        <v>100804</v>
      </c>
      <c r="B12433" t="s">
        <v>4139</v>
      </c>
      <c r="C12433" t="s">
        <v>151</v>
      </c>
      <c r="D12433" s="254">
        <v>28.67</v>
      </c>
      <c r="E12433"/>
      <c r="F12433"/>
      <c r="G12433"/>
      <c r="H12433"/>
      <c r="I12433" s="489"/>
      <c r="J12433" s="1362"/>
      <c r="K12433" s="1362"/>
      <c r="L12433" s="1362"/>
    </row>
    <row r="12434" spans="1:12" x14ac:dyDescent="0.25">
      <c r="A12434">
        <v>100805</v>
      </c>
      <c r="B12434" t="s">
        <v>4140</v>
      </c>
      <c r="C12434" t="s">
        <v>151</v>
      </c>
      <c r="D12434" s="254">
        <v>38.08</v>
      </c>
      <c r="E12434"/>
      <c r="F12434"/>
      <c r="G12434"/>
      <c r="H12434"/>
      <c r="I12434" s="489"/>
      <c r="J12434" s="1362"/>
      <c r="K12434" s="1362"/>
      <c r="L12434" s="1362"/>
    </row>
    <row r="12435" spans="1:12" x14ac:dyDescent="0.25">
      <c r="A12435">
        <v>100806</v>
      </c>
      <c r="B12435" t="s">
        <v>4141</v>
      </c>
      <c r="C12435" t="s">
        <v>151</v>
      </c>
      <c r="D12435" s="254">
        <v>51.43</v>
      </c>
      <c r="E12435"/>
      <c r="F12435"/>
      <c r="G12435"/>
      <c r="H12435"/>
      <c r="I12435" s="489"/>
      <c r="J12435" s="1362"/>
      <c r="K12435" s="1362"/>
      <c r="L12435" s="1362"/>
    </row>
    <row r="12436" spans="1:12" x14ac:dyDescent="0.25">
      <c r="A12436">
        <v>100807</v>
      </c>
      <c r="B12436" t="s">
        <v>6051</v>
      </c>
      <c r="C12436" t="s">
        <v>151</v>
      </c>
      <c r="D12436" s="254">
        <v>27.2</v>
      </c>
      <c r="E12436"/>
      <c r="F12436"/>
      <c r="G12436"/>
      <c r="H12436"/>
      <c r="I12436" s="489"/>
      <c r="J12436" s="1362"/>
      <c r="K12436" s="1362"/>
      <c r="L12436" s="1362"/>
    </row>
    <row r="12437" spans="1:12" x14ac:dyDescent="0.25">
      <c r="A12437">
        <v>100808</v>
      </c>
      <c r="B12437" t="s">
        <v>6052</v>
      </c>
      <c r="C12437" t="s">
        <v>151</v>
      </c>
      <c r="D12437" s="254">
        <v>37.72</v>
      </c>
      <c r="E12437"/>
      <c r="F12437"/>
      <c r="G12437"/>
      <c r="H12437"/>
      <c r="I12437" s="489"/>
      <c r="J12437" s="1362"/>
      <c r="K12437" s="1362"/>
      <c r="L12437" s="1362"/>
    </row>
    <row r="12438" spans="1:12" x14ac:dyDescent="0.25">
      <c r="A12438">
        <v>100809</v>
      </c>
      <c r="B12438" t="s">
        <v>6053</v>
      </c>
      <c r="C12438" t="s">
        <v>151</v>
      </c>
      <c r="D12438" s="254">
        <v>48.81</v>
      </c>
      <c r="E12438"/>
      <c r="F12438"/>
      <c r="G12438"/>
      <c r="H12438"/>
      <c r="I12438" s="489"/>
      <c r="J12438" s="1362"/>
      <c r="K12438" s="1362"/>
      <c r="L12438" s="1362"/>
    </row>
    <row r="12439" spans="1:12" x14ac:dyDescent="0.25">
      <c r="A12439">
        <v>100810</v>
      </c>
      <c r="B12439" t="s">
        <v>6054</v>
      </c>
      <c r="C12439" t="s">
        <v>151</v>
      </c>
      <c r="D12439" s="254">
        <v>64.510000000000005</v>
      </c>
      <c r="E12439"/>
      <c r="F12439"/>
      <c r="G12439"/>
      <c r="H12439"/>
      <c r="I12439" s="489"/>
      <c r="J12439" s="1362"/>
      <c r="K12439" s="1362"/>
      <c r="L12439" s="1362"/>
    </row>
    <row r="12440" spans="1:12" x14ac:dyDescent="0.25">
      <c r="A12440">
        <v>101918</v>
      </c>
      <c r="B12440" t="s">
        <v>5405</v>
      </c>
      <c r="C12440" t="s">
        <v>151</v>
      </c>
      <c r="D12440" s="254">
        <v>213.75</v>
      </c>
      <c r="E12440"/>
      <c r="F12440"/>
      <c r="G12440"/>
      <c r="H12440"/>
      <c r="I12440" s="489"/>
      <c r="J12440" s="1362"/>
      <c r="K12440" s="1362"/>
      <c r="L12440" s="1362"/>
    </row>
    <row r="12441" spans="1:12" x14ac:dyDescent="0.25">
      <c r="A12441">
        <v>101919</v>
      </c>
      <c r="B12441" t="s">
        <v>5406</v>
      </c>
      <c r="C12441" t="s">
        <v>138</v>
      </c>
      <c r="D12441" s="254">
        <v>428.75</v>
      </c>
      <c r="E12441"/>
      <c r="F12441"/>
      <c r="G12441"/>
      <c r="H12441"/>
      <c r="I12441" s="489"/>
      <c r="J12441" s="1362"/>
      <c r="K12441" s="1362"/>
      <c r="L12441" s="1362"/>
    </row>
    <row r="12442" spans="1:12" x14ac:dyDescent="0.25">
      <c r="A12442">
        <v>101920</v>
      </c>
      <c r="B12442" t="s">
        <v>5407</v>
      </c>
      <c r="C12442" t="s">
        <v>138</v>
      </c>
      <c r="D12442" s="254">
        <v>204.33</v>
      </c>
      <c r="E12442"/>
      <c r="F12442"/>
      <c r="G12442"/>
      <c r="H12442"/>
      <c r="I12442" s="489"/>
      <c r="J12442" s="1362"/>
      <c r="K12442" s="1362"/>
      <c r="L12442" s="1362"/>
    </row>
    <row r="12443" spans="1:12" x14ac:dyDescent="0.25">
      <c r="A12443">
        <v>101921</v>
      </c>
      <c r="B12443" t="s">
        <v>5408</v>
      </c>
      <c r="C12443" t="s">
        <v>138</v>
      </c>
      <c r="D12443" s="254">
        <v>233.23</v>
      </c>
      <c r="E12443"/>
      <c r="F12443"/>
      <c r="G12443"/>
      <c r="H12443"/>
      <c r="I12443" s="489"/>
      <c r="J12443" s="1362"/>
      <c r="K12443" s="1362"/>
      <c r="L12443" s="1362"/>
    </row>
    <row r="12444" spans="1:12" x14ac:dyDescent="0.25">
      <c r="A12444">
        <v>101922</v>
      </c>
      <c r="B12444" t="s">
        <v>5409</v>
      </c>
      <c r="C12444" t="s">
        <v>138</v>
      </c>
      <c r="D12444" s="254">
        <v>233.23</v>
      </c>
      <c r="E12444"/>
      <c r="F12444"/>
      <c r="G12444"/>
      <c r="H12444"/>
      <c r="I12444" s="489"/>
      <c r="J12444" s="1362"/>
      <c r="K12444" s="1362"/>
      <c r="L12444" s="1362"/>
    </row>
    <row r="12445" spans="1:12" x14ac:dyDescent="0.25">
      <c r="A12445">
        <v>101923</v>
      </c>
      <c r="B12445" t="s">
        <v>5410</v>
      </c>
      <c r="C12445" t="s">
        <v>138</v>
      </c>
      <c r="D12445" s="254">
        <v>233.23</v>
      </c>
      <c r="E12445"/>
      <c r="F12445"/>
      <c r="G12445"/>
      <c r="H12445"/>
      <c r="I12445" s="489"/>
      <c r="J12445" s="1362"/>
      <c r="K12445" s="1362"/>
      <c r="L12445" s="1362"/>
    </row>
    <row r="12446" spans="1:12" x14ac:dyDescent="0.25">
      <c r="A12446">
        <v>101924</v>
      </c>
      <c r="B12446" t="s">
        <v>5411</v>
      </c>
      <c r="C12446" t="s">
        <v>138</v>
      </c>
      <c r="D12446" s="254">
        <v>192.24</v>
      </c>
      <c r="E12446"/>
      <c r="F12446"/>
      <c r="G12446"/>
      <c r="H12446"/>
      <c r="I12446" s="489"/>
      <c r="J12446" s="1362"/>
      <c r="K12446" s="1362"/>
      <c r="L12446" s="1362"/>
    </row>
    <row r="12447" spans="1:12" x14ac:dyDescent="0.25">
      <c r="A12447">
        <v>101925</v>
      </c>
      <c r="B12447" t="s">
        <v>5412</v>
      </c>
      <c r="C12447" t="s">
        <v>138</v>
      </c>
      <c r="D12447" s="254">
        <v>321.64</v>
      </c>
      <c r="E12447"/>
      <c r="F12447"/>
      <c r="G12447"/>
      <c r="H12447"/>
      <c r="I12447" s="489"/>
      <c r="J12447" s="1362"/>
      <c r="K12447" s="1362"/>
      <c r="L12447" s="1362"/>
    </row>
    <row r="12448" spans="1:12" x14ac:dyDescent="0.25">
      <c r="A12448">
        <v>101926</v>
      </c>
      <c r="B12448" t="s">
        <v>5413</v>
      </c>
      <c r="C12448" t="s">
        <v>138</v>
      </c>
      <c r="D12448" s="254">
        <v>414.65</v>
      </c>
      <c r="E12448"/>
      <c r="F12448"/>
      <c r="G12448"/>
      <c r="H12448"/>
      <c r="I12448" s="489"/>
      <c r="J12448" s="1362"/>
      <c r="K12448" s="1362"/>
      <c r="L12448" s="1362"/>
    </row>
    <row r="12449" spans="1:12" x14ac:dyDescent="0.25">
      <c r="A12449">
        <v>101927</v>
      </c>
      <c r="B12449" t="s">
        <v>5414</v>
      </c>
      <c r="C12449" t="s">
        <v>151</v>
      </c>
      <c r="D12449" s="254">
        <v>198.06</v>
      </c>
      <c r="E12449"/>
      <c r="F12449"/>
      <c r="G12449"/>
      <c r="H12449"/>
      <c r="I12449" s="489"/>
      <c r="J12449" s="1362"/>
      <c r="K12449" s="1362"/>
      <c r="L12449" s="1362"/>
    </row>
    <row r="12450" spans="1:12" x14ac:dyDescent="0.25">
      <c r="A12450">
        <v>101928</v>
      </c>
      <c r="B12450" t="s">
        <v>5415</v>
      </c>
      <c r="C12450" t="s">
        <v>138</v>
      </c>
      <c r="D12450" s="254">
        <v>434.76</v>
      </c>
      <c r="E12450"/>
      <c r="F12450"/>
      <c r="G12450"/>
      <c r="H12450"/>
      <c r="I12450" s="489"/>
      <c r="J12450" s="1362"/>
      <c r="K12450" s="1362"/>
      <c r="L12450" s="1362"/>
    </row>
    <row r="12451" spans="1:12" x14ac:dyDescent="0.25">
      <c r="A12451">
        <v>101929</v>
      </c>
      <c r="B12451" t="s">
        <v>5416</v>
      </c>
      <c r="C12451" t="s">
        <v>138</v>
      </c>
      <c r="D12451" s="254">
        <v>210.34</v>
      </c>
      <c r="E12451"/>
      <c r="F12451"/>
      <c r="G12451"/>
      <c r="H12451"/>
      <c r="I12451" s="489"/>
      <c r="J12451" s="1362"/>
      <c r="K12451" s="1362"/>
      <c r="L12451" s="1362"/>
    </row>
    <row r="12452" spans="1:12" x14ac:dyDescent="0.25">
      <c r="A12452">
        <v>101930</v>
      </c>
      <c r="B12452" t="s">
        <v>5417</v>
      </c>
      <c r="C12452" t="s">
        <v>138</v>
      </c>
      <c r="D12452" s="254">
        <v>239.24</v>
      </c>
      <c r="E12452"/>
      <c r="F12452"/>
      <c r="G12452"/>
      <c r="H12452"/>
      <c r="I12452" s="489"/>
      <c r="J12452" s="1362"/>
      <c r="K12452" s="1362"/>
      <c r="L12452" s="1362"/>
    </row>
    <row r="12453" spans="1:12" x14ac:dyDescent="0.25">
      <c r="A12453">
        <v>101931</v>
      </c>
      <c r="B12453" t="s">
        <v>5418</v>
      </c>
      <c r="C12453" t="s">
        <v>138</v>
      </c>
      <c r="D12453" s="254">
        <v>239.24</v>
      </c>
      <c r="E12453"/>
      <c r="F12453"/>
      <c r="G12453"/>
      <c r="H12453"/>
      <c r="I12453" s="489"/>
      <c r="J12453" s="1362"/>
      <c r="K12453" s="1362"/>
      <c r="L12453" s="1362"/>
    </row>
    <row r="12454" spans="1:12" x14ac:dyDescent="0.25">
      <c r="A12454">
        <v>101932</v>
      </c>
      <c r="B12454" t="s">
        <v>5419</v>
      </c>
      <c r="C12454" t="s">
        <v>138</v>
      </c>
      <c r="D12454" s="254">
        <v>239.24</v>
      </c>
      <c r="E12454"/>
      <c r="F12454"/>
      <c r="G12454"/>
      <c r="H12454"/>
      <c r="I12454" s="489"/>
      <c r="J12454" s="1362"/>
      <c r="K12454" s="1362"/>
      <c r="L12454" s="1362"/>
    </row>
    <row r="12455" spans="1:12" x14ac:dyDescent="0.25">
      <c r="A12455">
        <v>101933</v>
      </c>
      <c r="B12455" t="s">
        <v>5420</v>
      </c>
      <c r="C12455" t="s">
        <v>138</v>
      </c>
      <c r="D12455" s="254">
        <v>198.25</v>
      </c>
      <c r="E12455"/>
      <c r="F12455"/>
      <c r="G12455"/>
      <c r="H12455"/>
      <c r="I12455" s="489"/>
      <c r="J12455" s="1362"/>
      <c r="K12455" s="1362"/>
      <c r="L12455" s="1362"/>
    </row>
    <row r="12456" spans="1:12" x14ac:dyDescent="0.25">
      <c r="A12456">
        <v>101934</v>
      </c>
      <c r="B12456" t="s">
        <v>5421</v>
      </c>
      <c r="C12456" t="s">
        <v>138</v>
      </c>
      <c r="D12456" s="254">
        <v>330.66</v>
      </c>
      <c r="E12456"/>
      <c r="F12456"/>
      <c r="G12456"/>
      <c r="H12456"/>
      <c r="I12456" s="489"/>
      <c r="J12456" s="1362"/>
      <c r="K12456" s="1362"/>
      <c r="L12456" s="1362"/>
    </row>
    <row r="12457" spans="1:12" x14ac:dyDescent="0.25">
      <c r="A12457">
        <v>101935</v>
      </c>
      <c r="B12457" t="s">
        <v>5422</v>
      </c>
      <c r="C12457" t="s">
        <v>138</v>
      </c>
      <c r="D12457" s="254">
        <v>426.67</v>
      </c>
      <c r="E12457"/>
      <c r="F12457"/>
      <c r="G12457"/>
      <c r="H12457"/>
      <c r="I12457" s="489"/>
      <c r="J12457" s="1362"/>
      <c r="K12457" s="1362"/>
      <c r="L12457" s="1362"/>
    </row>
    <row r="12458" spans="1:12" x14ac:dyDescent="0.25">
      <c r="A12458">
        <v>103802</v>
      </c>
      <c r="B12458" t="s">
        <v>18741</v>
      </c>
      <c r="C12458" t="s">
        <v>151</v>
      </c>
      <c r="D12458" s="254">
        <v>39.28</v>
      </c>
      <c r="E12458"/>
      <c r="F12458"/>
      <c r="G12458"/>
      <c r="H12458"/>
      <c r="I12458" s="489"/>
      <c r="J12458" s="1362"/>
      <c r="K12458" s="1362"/>
      <c r="L12458" s="1362"/>
    </row>
    <row r="12459" spans="1:12" x14ac:dyDescent="0.25">
      <c r="A12459">
        <v>103803</v>
      </c>
      <c r="B12459" t="s">
        <v>18742</v>
      </c>
      <c r="C12459" t="s">
        <v>151</v>
      </c>
      <c r="D12459" s="254">
        <v>67.540000000000006</v>
      </c>
      <c r="E12459"/>
      <c r="F12459"/>
      <c r="G12459"/>
      <c r="H12459"/>
      <c r="I12459" s="489"/>
      <c r="J12459" s="1362"/>
      <c r="K12459" s="1362"/>
      <c r="L12459" s="1362"/>
    </row>
    <row r="12460" spans="1:12" x14ac:dyDescent="0.25">
      <c r="A12460">
        <v>103804</v>
      </c>
      <c r="B12460" t="s">
        <v>18743</v>
      </c>
      <c r="C12460" t="s">
        <v>151</v>
      </c>
      <c r="D12460" s="254">
        <v>81.400000000000006</v>
      </c>
      <c r="E12460"/>
      <c r="F12460"/>
      <c r="G12460"/>
      <c r="H12460"/>
      <c r="I12460" s="489"/>
      <c r="J12460" s="1362"/>
      <c r="K12460" s="1362"/>
      <c r="L12460" s="1362"/>
    </row>
    <row r="12461" spans="1:12" x14ac:dyDescent="0.25">
      <c r="A12461">
        <v>103835</v>
      </c>
      <c r="B12461" t="s">
        <v>18744</v>
      </c>
      <c r="C12461" t="s">
        <v>151</v>
      </c>
      <c r="D12461" s="254">
        <v>61.45</v>
      </c>
      <c r="E12461"/>
      <c r="F12461"/>
      <c r="G12461"/>
      <c r="H12461"/>
      <c r="I12461" s="489"/>
      <c r="J12461" s="1362"/>
      <c r="K12461" s="1362"/>
      <c r="L12461" s="1362"/>
    </row>
    <row r="12462" spans="1:12" x14ac:dyDescent="0.25">
      <c r="A12462">
        <v>103836</v>
      </c>
      <c r="B12462" t="s">
        <v>18745</v>
      </c>
      <c r="C12462" t="s">
        <v>151</v>
      </c>
      <c r="D12462" s="254">
        <v>95.13</v>
      </c>
      <c r="E12462"/>
      <c r="F12462"/>
      <c r="G12462"/>
      <c r="H12462"/>
      <c r="I12462" s="489"/>
      <c r="J12462" s="1362"/>
      <c r="K12462" s="1362"/>
      <c r="L12462" s="1362"/>
    </row>
    <row r="12463" spans="1:12" x14ac:dyDescent="0.25">
      <c r="A12463">
        <v>103837</v>
      </c>
      <c r="B12463" t="s">
        <v>18746</v>
      </c>
      <c r="C12463" t="s">
        <v>151</v>
      </c>
      <c r="D12463" s="254">
        <v>119.86</v>
      </c>
      <c r="E12463"/>
      <c r="F12463"/>
      <c r="G12463"/>
      <c r="H12463"/>
      <c r="I12463" s="489"/>
      <c r="J12463" s="1362"/>
      <c r="K12463" s="1362"/>
      <c r="L12463" s="1362"/>
    </row>
    <row r="12464" spans="1:12" x14ac:dyDescent="0.25">
      <c r="A12464">
        <v>103868</v>
      </c>
      <c r="B12464" t="s">
        <v>18747</v>
      </c>
      <c r="C12464" t="s">
        <v>151</v>
      </c>
      <c r="D12464" s="254">
        <v>49.66</v>
      </c>
      <c r="E12464"/>
      <c r="F12464"/>
      <c r="G12464"/>
      <c r="H12464"/>
      <c r="I12464" s="489"/>
      <c r="J12464" s="1362"/>
      <c r="K12464" s="1362"/>
      <c r="L12464" s="1362"/>
    </row>
    <row r="12465" spans="1:12" x14ac:dyDescent="0.25">
      <c r="A12465">
        <v>103869</v>
      </c>
      <c r="B12465" t="s">
        <v>18748</v>
      </c>
      <c r="C12465" t="s">
        <v>151</v>
      </c>
      <c r="D12465" s="254">
        <v>74.81</v>
      </c>
      <c r="E12465"/>
      <c r="F12465"/>
      <c r="G12465"/>
      <c r="H12465"/>
      <c r="I12465" s="489"/>
      <c r="J12465" s="1362"/>
      <c r="K12465" s="1362"/>
      <c r="L12465" s="1362"/>
    </row>
    <row r="12466" spans="1:12" x14ac:dyDescent="0.25">
      <c r="A12466">
        <v>103870</v>
      </c>
      <c r="B12466" t="s">
        <v>18749</v>
      </c>
      <c r="C12466" t="s">
        <v>151</v>
      </c>
      <c r="D12466" s="254">
        <v>91.72</v>
      </c>
      <c r="E12466"/>
      <c r="F12466"/>
      <c r="G12466"/>
      <c r="H12466"/>
      <c r="I12466" s="489"/>
      <c r="J12466" s="1362"/>
      <c r="K12466" s="1362"/>
      <c r="L12466" s="1362"/>
    </row>
    <row r="12467" spans="1:12" x14ac:dyDescent="0.25">
      <c r="A12467">
        <v>103871</v>
      </c>
      <c r="B12467" t="s">
        <v>18750</v>
      </c>
      <c r="C12467" t="s">
        <v>151</v>
      </c>
      <c r="D12467" s="254">
        <v>70.290000000000006</v>
      </c>
      <c r="E12467"/>
      <c r="F12467"/>
      <c r="G12467"/>
      <c r="H12467"/>
      <c r="I12467" s="489"/>
      <c r="J12467" s="1362"/>
      <c r="K12467" s="1362"/>
      <c r="L12467" s="1362"/>
    </row>
    <row r="12468" spans="1:12" x14ac:dyDescent="0.25">
      <c r="A12468">
        <v>103872</v>
      </c>
      <c r="B12468" t="s">
        <v>18751</v>
      </c>
      <c r="C12468" t="s">
        <v>151</v>
      </c>
      <c r="D12468" s="254">
        <v>172.77</v>
      </c>
      <c r="E12468"/>
      <c r="F12468"/>
      <c r="G12468"/>
      <c r="H12468"/>
      <c r="I12468" s="489"/>
      <c r="J12468" s="1362"/>
      <c r="K12468" s="1362"/>
      <c r="L12468" s="1362"/>
    </row>
    <row r="12469" spans="1:12" x14ac:dyDescent="0.25">
      <c r="A12469">
        <v>103873</v>
      </c>
      <c r="B12469" t="s">
        <v>18752</v>
      </c>
      <c r="C12469" t="s">
        <v>151</v>
      </c>
      <c r="D12469" s="254">
        <v>193.7</v>
      </c>
      <c r="E12469"/>
      <c r="F12469"/>
      <c r="G12469"/>
      <c r="H12469"/>
      <c r="I12469" s="489"/>
      <c r="J12469" s="1362"/>
      <c r="K12469" s="1362"/>
      <c r="L12469" s="1362"/>
    </row>
    <row r="12470" spans="1:12" x14ac:dyDescent="0.25">
      <c r="A12470">
        <v>103978</v>
      </c>
      <c r="B12470" t="s">
        <v>18753</v>
      </c>
      <c r="C12470" t="s">
        <v>151</v>
      </c>
      <c r="D12470" s="254">
        <v>27.78</v>
      </c>
      <c r="E12470"/>
      <c r="F12470"/>
      <c r="G12470"/>
      <c r="H12470"/>
      <c r="I12470" s="489"/>
      <c r="J12470" s="1362"/>
      <c r="K12470" s="1362"/>
      <c r="L12470" s="1362"/>
    </row>
    <row r="12471" spans="1:12" x14ac:dyDescent="0.25">
      <c r="A12471">
        <v>103979</v>
      </c>
      <c r="B12471" t="s">
        <v>18754</v>
      </c>
      <c r="C12471" t="s">
        <v>151</v>
      </c>
      <c r="D12471" s="254">
        <v>32.409999999999997</v>
      </c>
      <c r="E12471"/>
      <c r="F12471"/>
      <c r="G12471"/>
      <c r="H12471"/>
      <c r="I12471" s="489"/>
      <c r="J12471" s="1362"/>
      <c r="K12471" s="1362"/>
      <c r="L12471" s="1362"/>
    </row>
    <row r="12472" spans="1:12" x14ac:dyDescent="0.25">
      <c r="A12472">
        <v>104021</v>
      </c>
      <c r="B12472" t="s">
        <v>18755</v>
      </c>
      <c r="C12472" t="s">
        <v>151</v>
      </c>
      <c r="D12472" s="254">
        <v>88.03</v>
      </c>
      <c r="E12472"/>
      <c r="F12472"/>
      <c r="G12472"/>
      <c r="H12472"/>
      <c r="I12472" s="489"/>
      <c r="J12472" s="1362"/>
      <c r="K12472" s="1362"/>
      <c r="L12472" s="1362"/>
    </row>
    <row r="12473" spans="1:12" x14ac:dyDescent="0.25">
      <c r="A12473">
        <v>104166</v>
      </c>
      <c r="B12473" t="s">
        <v>18756</v>
      </c>
      <c r="C12473" t="s">
        <v>151</v>
      </c>
      <c r="D12473" s="254">
        <v>95.41</v>
      </c>
      <c r="E12473"/>
      <c r="F12473"/>
      <c r="G12473"/>
      <c r="H12473"/>
      <c r="I12473" s="489"/>
      <c r="J12473" s="1362"/>
      <c r="K12473" s="1362"/>
      <c r="L12473" s="1362"/>
    </row>
    <row r="12474" spans="1:12" x14ac:dyDescent="0.25">
      <c r="A12474">
        <v>104194</v>
      </c>
      <c r="B12474" t="s">
        <v>18757</v>
      </c>
      <c r="C12474" t="s">
        <v>151</v>
      </c>
      <c r="D12474" s="254">
        <v>21.08</v>
      </c>
      <c r="E12474"/>
      <c r="F12474"/>
      <c r="G12474"/>
      <c r="H12474"/>
      <c r="I12474" s="489"/>
      <c r="J12474" s="1362"/>
      <c r="K12474" s="1362"/>
      <c r="L12474" s="1362"/>
    </row>
    <row r="12475" spans="1:12" x14ac:dyDescent="0.25">
      <c r="A12475">
        <v>104195</v>
      </c>
      <c r="B12475" t="s">
        <v>18758</v>
      </c>
      <c r="C12475" t="s">
        <v>151</v>
      </c>
      <c r="D12475" s="254">
        <v>21.42</v>
      </c>
      <c r="E12475"/>
      <c r="F12475"/>
      <c r="G12475"/>
      <c r="H12475"/>
      <c r="I12475" s="489"/>
      <c r="J12475" s="1362"/>
      <c r="K12475" s="1362"/>
      <c r="L12475" s="1362"/>
    </row>
    <row r="12476" spans="1:12" x14ac:dyDescent="0.25">
      <c r="A12476">
        <v>104315</v>
      </c>
      <c r="B12476" t="s">
        <v>18759</v>
      </c>
      <c r="C12476" t="s">
        <v>151</v>
      </c>
      <c r="D12476" s="254">
        <v>16.46</v>
      </c>
      <c r="E12476"/>
      <c r="F12476"/>
      <c r="G12476"/>
      <c r="H12476"/>
      <c r="I12476" s="489"/>
      <c r="J12476" s="1362"/>
      <c r="K12476" s="1362"/>
      <c r="L12476" s="1362"/>
    </row>
    <row r="12477" spans="1:12" x14ac:dyDescent="0.25">
      <c r="A12477">
        <v>104316</v>
      </c>
      <c r="B12477" t="s">
        <v>18760</v>
      </c>
      <c r="C12477" t="s">
        <v>151</v>
      </c>
      <c r="D12477" s="254">
        <v>25.3</v>
      </c>
      <c r="E12477"/>
      <c r="F12477"/>
      <c r="G12477"/>
      <c r="H12477"/>
      <c r="I12477" s="489"/>
      <c r="J12477" s="1362"/>
      <c r="K12477" s="1362"/>
      <c r="L12477" s="1362"/>
    </row>
    <row r="12478" spans="1:12" x14ac:dyDescent="0.25">
      <c r="A12478">
        <v>89358</v>
      </c>
      <c r="B12478" t="s">
        <v>18761</v>
      </c>
      <c r="C12478" t="s">
        <v>138</v>
      </c>
      <c r="D12478" s="254">
        <v>8.35</v>
      </c>
      <c r="E12478"/>
      <c r="F12478"/>
      <c r="G12478"/>
      <c r="H12478"/>
      <c r="I12478" s="489"/>
      <c r="J12478" s="1362"/>
      <c r="K12478" s="1362"/>
      <c r="L12478" s="1362"/>
    </row>
    <row r="12479" spans="1:12" x14ac:dyDescent="0.25">
      <c r="A12479">
        <v>89359</v>
      </c>
      <c r="B12479" t="s">
        <v>18762</v>
      </c>
      <c r="C12479" t="s">
        <v>138</v>
      </c>
      <c r="D12479" s="254">
        <v>8.8000000000000007</v>
      </c>
      <c r="E12479"/>
      <c r="F12479"/>
      <c r="G12479"/>
      <c r="H12479"/>
      <c r="I12479" s="489"/>
      <c r="J12479" s="1362"/>
      <c r="K12479" s="1362"/>
      <c r="L12479" s="1362"/>
    </row>
    <row r="12480" spans="1:12" x14ac:dyDescent="0.25">
      <c r="A12480">
        <v>89360</v>
      </c>
      <c r="B12480" t="s">
        <v>18763</v>
      </c>
      <c r="C12480" t="s">
        <v>138</v>
      </c>
      <c r="D12480" s="254">
        <v>10.69</v>
      </c>
      <c r="E12480"/>
      <c r="F12480"/>
      <c r="G12480"/>
      <c r="H12480"/>
      <c r="I12480" s="489"/>
      <c r="J12480" s="1362"/>
      <c r="K12480" s="1362"/>
      <c r="L12480" s="1362"/>
    </row>
    <row r="12481" spans="1:12" x14ac:dyDescent="0.25">
      <c r="A12481">
        <v>89361</v>
      </c>
      <c r="B12481" t="s">
        <v>18764</v>
      </c>
      <c r="C12481" t="s">
        <v>138</v>
      </c>
      <c r="D12481" s="254">
        <v>9.9499999999999993</v>
      </c>
      <c r="E12481"/>
      <c r="F12481"/>
      <c r="G12481"/>
      <c r="H12481"/>
      <c r="I12481" s="489"/>
      <c r="J12481" s="1362"/>
      <c r="K12481" s="1362"/>
      <c r="L12481" s="1362"/>
    </row>
    <row r="12482" spans="1:12" x14ac:dyDescent="0.25">
      <c r="A12482">
        <v>89362</v>
      </c>
      <c r="B12482" t="s">
        <v>18765</v>
      </c>
      <c r="C12482" t="s">
        <v>138</v>
      </c>
      <c r="D12482" s="254">
        <v>10.039999999999999</v>
      </c>
      <c r="E12482"/>
      <c r="F12482"/>
      <c r="G12482"/>
      <c r="H12482"/>
      <c r="I12482" s="489"/>
      <c r="J12482" s="1362"/>
      <c r="K12482" s="1362"/>
      <c r="L12482" s="1362"/>
    </row>
    <row r="12483" spans="1:12" x14ac:dyDescent="0.25">
      <c r="A12483">
        <v>89363</v>
      </c>
      <c r="B12483" t="s">
        <v>18766</v>
      </c>
      <c r="C12483" t="s">
        <v>138</v>
      </c>
      <c r="D12483" s="254">
        <v>11</v>
      </c>
      <c r="E12483"/>
      <c r="F12483"/>
      <c r="G12483"/>
      <c r="H12483"/>
      <c r="I12483" s="489"/>
      <c r="J12483" s="1362"/>
      <c r="K12483" s="1362"/>
      <c r="L12483" s="1362"/>
    </row>
    <row r="12484" spans="1:12" x14ac:dyDescent="0.25">
      <c r="A12484">
        <v>89364</v>
      </c>
      <c r="B12484" t="s">
        <v>18767</v>
      </c>
      <c r="C12484" t="s">
        <v>138</v>
      </c>
      <c r="D12484" s="254">
        <v>13</v>
      </c>
      <c r="E12484"/>
      <c r="F12484"/>
      <c r="G12484"/>
      <c r="H12484"/>
      <c r="I12484" s="489"/>
      <c r="J12484" s="1362"/>
      <c r="K12484" s="1362"/>
      <c r="L12484" s="1362"/>
    </row>
    <row r="12485" spans="1:12" x14ac:dyDescent="0.25">
      <c r="A12485">
        <v>89365</v>
      </c>
      <c r="B12485" t="s">
        <v>18768</v>
      </c>
      <c r="C12485" t="s">
        <v>138</v>
      </c>
      <c r="D12485" s="254">
        <v>12.11</v>
      </c>
      <c r="E12485"/>
      <c r="F12485"/>
      <c r="G12485"/>
      <c r="H12485"/>
      <c r="I12485" s="489"/>
      <c r="J12485" s="1362"/>
      <c r="K12485" s="1362"/>
      <c r="L12485" s="1362"/>
    </row>
    <row r="12486" spans="1:12" x14ac:dyDescent="0.25">
      <c r="A12486">
        <v>89366</v>
      </c>
      <c r="B12486" t="s">
        <v>18769</v>
      </c>
      <c r="C12486" t="s">
        <v>138</v>
      </c>
      <c r="D12486" s="254">
        <v>17.579999999999998</v>
      </c>
      <c r="E12486"/>
      <c r="F12486"/>
      <c r="G12486"/>
      <c r="H12486"/>
      <c r="I12486" s="489"/>
      <c r="J12486" s="1362"/>
      <c r="K12486" s="1362"/>
      <c r="L12486" s="1362"/>
    </row>
    <row r="12487" spans="1:12" x14ac:dyDescent="0.25">
      <c r="A12487">
        <v>89367</v>
      </c>
      <c r="B12487" t="s">
        <v>18770</v>
      </c>
      <c r="C12487" t="s">
        <v>138</v>
      </c>
      <c r="D12487" s="254">
        <v>13.83</v>
      </c>
      <c r="E12487"/>
      <c r="F12487"/>
      <c r="G12487"/>
      <c r="H12487"/>
      <c r="I12487" s="489"/>
      <c r="J12487" s="1362"/>
      <c r="K12487" s="1362"/>
      <c r="L12487" s="1362"/>
    </row>
    <row r="12488" spans="1:12" x14ac:dyDescent="0.25">
      <c r="A12488">
        <v>89368</v>
      </c>
      <c r="B12488" t="s">
        <v>18771</v>
      </c>
      <c r="C12488" t="s">
        <v>138</v>
      </c>
      <c r="D12488" s="254">
        <v>16.54</v>
      </c>
      <c r="E12488"/>
      <c r="F12488"/>
      <c r="G12488"/>
      <c r="H12488"/>
      <c r="I12488" s="489"/>
      <c r="J12488" s="1362"/>
      <c r="K12488" s="1362"/>
      <c r="L12488" s="1362"/>
    </row>
    <row r="12489" spans="1:12" x14ac:dyDescent="0.25">
      <c r="A12489">
        <v>89369</v>
      </c>
      <c r="B12489" t="s">
        <v>18772</v>
      </c>
      <c r="C12489" t="s">
        <v>138</v>
      </c>
      <c r="D12489" s="254">
        <v>19.899999999999999</v>
      </c>
      <c r="E12489"/>
      <c r="F12489"/>
      <c r="G12489"/>
      <c r="H12489"/>
      <c r="I12489" s="489"/>
      <c r="J12489" s="1362"/>
      <c r="K12489" s="1362"/>
      <c r="L12489" s="1362"/>
    </row>
    <row r="12490" spans="1:12" x14ac:dyDescent="0.25">
      <c r="A12490">
        <v>89370</v>
      </c>
      <c r="B12490" t="s">
        <v>18773</v>
      </c>
      <c r="C12490" t="s">
        <v>138</v>
      </c>
      <c r="D12490" s="254">
        <v>15.97</v>
      </c>
      <c r="E12490"/>
      <c r="F12490"/>
      <c r="G12490"/>
      <c r="H12490"/>
      <c r="I12490" s="489"/>
      <c r="J12490" s="1362"/>
      <c r="K12490" s="1362"/>
      <c r="L12490" s="1362"/>
    </row>
    <row r="12491" spans="1:12" x14ac:dyDescent="0.25">
      <c r="A12491">
        <v>89371</v>
      </c>
      <c r="B12491" t="s">
        <v>18774</v>
      </c>
      <c r="C12491" t="s">
        <v>138</v>
      </c>
      <c r="D12491" s="254">
        <v>6.23</v>
      </c>
      <c r="E12491"/>
      <c r="F12491"/>
      <c r="G12491"/>
      <c r="H12491"/>
      <c r="I12491" s="489"/>
      <c r="J12491" s="1362"/>
      <c r="K12491" s="1362"/>
      <c r="L12491" s="1362"/>
    </row>
    <row r="12492" spans="1:12" x14ac:dyDescent="0.25">
      <c r="A12492">
        <v>89372</v>
      </c>
      <c r="B12492" t="s">
        <v>18775</v>
      </c>
      <c r="C12492" t="s">
        <v>138</v>
      </c>
      <c r="D12492" s="254">
        <v>15.18</v>
      </c>
      <c r="E12492"/>
      <c r="F12492"/>
      <c r="G12492"/>
      <c r="H12492"/>
      <c r="I12492" s="489"/>
      <c r="J12492" s="1362"/>
      <c r="K12492" s="1362"/>
      <c r="L12492" s="1362"/>
    </row>
    <row r="12493" spans="1:12" x14ac:dyDescent="0.25">
      <c r="A12493">
        <v>89373</v>
      </c>
      <c r="B12493" t="s">
        <v>18776</v>
      </c>
      <c r="C12493" t="s">
        <v>138</v>
      </c>
      <c r="D12493" s="254">
        <v>7.58</v>
      </c>
      <c r="E12493"/>
      <c r="F12493"/>
      <c r="G12493"/>
      <c r="H12493"/>
      <c r="I12493" s="489"/>
      <c r="J12493" s="1362"/>
      <c r="K12493" s="1362"/>
      <c r="L12493" s="1362"/>
    </row>
    <row r="12494" spans="1:12" x14ac:dyDescent="0.25">
      <c r="A12494">
        <v>89374</v>
      </c>
      <c r="B12494" t="s">
        <v>18777</v>
      </c>
      <c r="C12494" t="s">
        <v>138</v>
      </c>
      <c r="D12494" s="254">
        <v>11.53</v>
      </c>
      <c r="E12494"/>
      <c r="F12494"/>
      <c r="G12494"/>
      <c r="H12494"/>
      <c r="I12494" s="489"/>
      <c r="J12494" s="1362"/>
      <c r="K12494" s="1362"/>
      <c r="L12494" s="1362"/>
    </row>
    <row r="12495" spans="1:12" x14ac:dyDescent="0.25">
      <c r="A12495">
        <v>89375</v>
      </c>
      <c r="B12495" t="s">
        <v>18778</v>
      </c>
      <c r="C12495" t="s">
        <v>138</v>
      </c>
      <c r="D12495" s="254">
        <v>14.83</v>
      </c>
      <c r="E12495"/>
      <c r="F12495"/>
      <c r="G12495"/>
      <c r="H12495"/>
      <c r="I12495" s="489"/>
      <c r="J12495" s="1362"/>
      <c r="K12495" s="1362"/>
      <c r="L12495" s="1362"/>
    </row>
    <row r="12496" spans="1:12" x14ac:dyDescent="0.25">
      <c r="A12496">
        <v>89376</v>
      </c>
      <c r="B12496" t="s">
        <v>18779</v>
      </c>
      <c r="C12496" t="s">
        <v>138</v>
      </c>
      <c r="D12496" s="254">
        <v>5.95</v>
      </c>
      <c r="E12496"/>
      <c r="F12496"/>
      <c r="G12496"/>
      <c r="H12496"/>
      <c r="I12496" s="489"/>
      <c r="J12496" s="1362"/>
      <c r="K12496" s="1362"/>
      <c r="L12496" s="1362"/>
    </row>
    <row r="12497" spans="1:12" x14ac:dyDescent="0.25">
      <c r="A12497">
        <v>89377</v>
      </c>
      <c r="B12497" t="s">
        <v>18780</v>
      </c>
      <c r="C12497" t="s">
        <v>138</v>
      </c>
      <c r="D12497" s="254">
        <v>10.65</v>
      </c>
      <c r="E12497"/>
      <c r="F12497"/>
      <c r="G12497"/>
      <c r="H12497"/>
      <c r="I12497" s="489"/>
      <c r="J12497" s="1362"/>
      <c r="K12497" s="1362"/>
      <c r="L12497" s="1362"/>
    </row>
    <row r="12498" spans="1:12" x14ac:dyDescent="0.25">
      <c r="A12498">
        <v>89378</v>
      </c>
      <c r="B12498" t="s">
        <v>18781</v>
      </c>
      <c r="C12498" t="s">
        <v>138</v>
      </c>
      <c r="D12498" s="254">
        <v>7.47</v>
      </c>
      <c r="E12498"/>
      <c r="F12498"/>
      <c r="G12498"/>
      <c r="H12498"/>
      <c r="I12498" s="489"/>
      <c r="J12498" s="1362"/>
      <c r="K12498" s="1362"/>
      <c r="L12498" s="1362"/>
    </row>
    <row r="12499" spans="1:12" x14ac:dyDescent="0.25">
      <c r="A12499">
        <v>89379</v>
      </c>
      <c r="B12499" t="s">
        <v>1600</v>
      </c>
      <c r="C12499" t="s">
        <v>138</v>
      </c>
      <c r="D12499" s="254">
        <v>19.41</v>
      </c>
      <c r="E12499"/>
      <c r="F12499"/>
      <c r="G12499"/>
      <c r="H12499"/>
      <c r="I12499" s="489"/>
      <c r="J12499" s="1362"/>
      <c r="K12499" s="1362"/>
      <c r="L12499" s="1362"/>
    </row>
    <row r="12500" spans="1:12" x14ac:dyDescent="0.25">
      <c r="A12500">
        <v>89380</v>
      </c>
      <c r="B12500" t="s">
        <v>18782</v>
      </c>
      <c r="C12500" t="s">
        <v>138</v>
      </c>
      <c r="D12500" s="254">
        <v>11.86</v>
      </c>
      <c r="E12500"/>
      <c r="F12500"/>
      <c r="G12500"/>
      <c r="H12500"/>
      <c r="I12500" s="489"/>
      <c r="J12500" s="1362"/>
      <c r="K12500" s="1362"/>
      <c r="L12500" s="1362"/>
    </row>
    <row r="12501" spans="1:12" x14ac:dyDescent="0.25">
      <c r="A12501">
        <v>89381</v>
      </c>
      <c r="B12501" t="s">
        <v>18783</v>
      </c>
      <c r="C12501" t="s">
        <v>138</v>
      </c>
      <c r="D12501" s="254">
        <v>14.49</v>
      </c>
      <c r="E12501"/>
      <c r="F12501"/>
      <c r="G12501"/>
      <c r="H12501"/>
      <c r="I12501" s="489"/>
      <c r="J12501" s="1362"/>
      <c r="K12501" s="1362"/>
      <c r="L12501" s="1362"/>
    </row>
    <row r="12502" spans="1:12" x14ac:dyDescent="0.25">
      <c r="A12502">
        <v>89382</v>
      </c>
      <c r="B12502" t="s">
        <v>18784</v>
      </c>
      <c r="C12502" t="s">
        <v>138</v>
      </c>
      <c r="D12502" s="254">
        <v>17.75</v>
      </c>
      <c r="E12502"/>
      <c r="F12502"/>
      <c r="G12502"/>
      <c r="H12502"/>
      <c r="I12502" s="489"/>
      <c r="J12502" s="1362"/>
      <c r="K12502" s="1362"/>
      <c r="L12502" s="1362"/>
    </row>
    <row r="12503" spans="1:12" x14ac:dyDescent="0.25">
      <c r="A12503">
        <v>89383</v>
      </c>
      <c r="B12503" t="s">
        <v>18785</v>
      </c>
      <c r="C12503" t="s">
        <v>138</v>
      </c>
      <c r="D12503" s="254">
        <v>7.06</v>
      </c>
      <c r="E12503"/>
      <c r="F12503"/>
      <c r="G12503"/>
      <c r="H12503"/>
      <c r="I12503" s="489"/>
      <c r="J12503" s="1362"/>
      <c r="K12503" s="1362"/>
      <c r="L12503" s="1362"/>
    </row>
    <row r="12504" spans="1:12" x14ac:dyDescent="0.25">
      <c r="A12504">
        <v>89384</v>
      </c>
      <c r="B12504" t="s">
        <v>18786</v>
      </c>
      <c r="C12504" t="s">
        <v>138</v>
      </c>
      <c r="D12504" s="254">
        <v>15.22</v>
      </c>
      <c r="E12504"/>
      <c r="F12504"/>
      <c r="G12504"/>
      <c r="H12504"/>
      <c r="I12504" s="489"/>
      <c r="J12504" s="1362"/>
      <c r="K12504" s="1362"/>
      <c r="L12504" s="1362"/>
    </row>
    <row r="12505" spans="1:12" x14ac:dyDescent="0.25">
      <c r="A12505">
        <v>89385</v>
      </c>
      <c r="B12505" t="s">
        <v>18787</v>
      </c>
      <c r="C12505" t="s">
        <v>138</v>
      </c>
      <c r="D12505" s="254">
        <v>8.01</v>
      </c>
      <c r="E12505"/>
      <c r="F12505"/>
      <c r="G12505"/>
      <c r="H12505"/>
      <c r="I12505" s="489"/>
      <c r="J12505" s="1362"/>
      <c r="K12505" s="1362"/>
      <c r="L12505" s="1362"/>
    </row>
    <row r="12506" spans="1:12" x14ac:dyDescent="0.25">
      <c r="A12506">
        <v>89386</v>
      </c>
      <c r="B12506" t="s">
        <v>18788</v>
      </c>
      <c r="C12506" t="s">
        <v>138</v>
      </c>
      <c r="D12506" s="254">
        <v>10.37</v>
      </c>
      <c r="E12506"/>
      <c r="F12506"/>
      <c r="G12506"/>
      <c r="H12506"/>
      <c r="I12506" s="489"/>
      <c r="J12506" s="1362"/>
      <c r="K12506" s="1362"/>
      <c r="L12506" s="1362"/>
    </row>
    <row r="12507" spans="1:12" x14ac:dyDescent="0.25">
      <c r="A12507">
        <v>89387</v>
      </c>
      <c r="B12507" t="s">
        <v>18789</v>
      </c>
      <c r="C12507" t="s">
        <v>138</v>
      </c>
      <c r="D12507" s="254">
        <v>38.840000000000003</v>
      </c>
      <c r="E12507"/>
      <c r="F12507"/>
      <c r="G12507"/>
      <c r="H12507"/>
      <c r="I12507" s="489"/>
      <c r="J12507" s="1362"/>
      <c r="K12507" s="1362"/>
      <c r="L12507" s="1362"/>
    </row>
    <row r="12508" spans="1:12" x14ac:dyDescent="0.25">
      <c r="A12508">
        <v>89389</v>
      </c>
      <c r="B12508" t="s">
        <v>18790</v>
      </c>
      <c r="C12508" t="s">
        <v>138</v>
      </c>
      <c r="D12508" s="254">
        <v>13.96</v>
      </c>
      <c r="E12508"/>
      <c r="F12508"/>
      <c r="G12508"/>
      <c r="H12508"/>
      <c r="I12508" s="489"/>
      <c r="J12508" s="1362"/>
      <c r="K12508" s="1362"/>
      <c r="L12508" s="1362"/>
    </row>
    <row r="12509" spans="1:12" x14ac:dyDescent="0.25">
      <c r="A12509">
        <v>89390</v>
      </c>
      <c r="B12509" t="s">
        <v>18791</v>
      </c>
      <c r="C12509" t="s">
        <v>138</v>
      </c>
      <c r="D12509" s="254">
        <v>26.42</v>
      </c>
      <c r="E12509"/>
      <c r="F12509"/>
      <c r="G12509"/>
      <c r="H12509"/>
      <c r="I12509" s="489"/>
      <c r="J12509" s="1362"/>
      <c r="K12509" s="1362"/>
      <c r="L12509" s="1362"/>
    </row>
    <row r="12510" spans="1:12" x14ac:dyDescent="0.25">
      <c r="A12510">
        <v>89391</v>
      </c>
      <c r="B12510" t="s">
        <v>18792</v>
      </c>
      <c r="C12510" t="s">
        <v>138</v>
      </c>
      <c r="D12510" s="254">
        <v>9.5</v>
      </c>
      <c r="E12510"/>
      <c r="F12510"/>
      <c r="G12510"/>
      <c r="H12510"/>
      <c r="I12510" s="489"/>
      <c r="J12510" s="1362"/>
      <c r="K12510" s="1362"/>
      <c r="L12510" s="1362"/>
    </row>
    <row r="12511" spans="1:12" x14ac:dyDescent="0.25">
      <c r="A12511">
        <v>89392</v>
      </c>
      <c r="B12511" t="s">
        <v>18793</v>
      </c>
      <c r="C12511" t="s">
        <v>138</v>
      </c>
      <c r="D12511" s="254">
        <v>31.33</v>
      </c>
      <c r="E12511"/>
      <c r="F12511"/>
      <c r="G12511"/>
      <c r="H12511"/>
      <c r="I12511" s="489"/>
      <c r="J12511" s="1362"/>
      <c r="K12511" s="1362"/>
      <c r="L12511" s="1362"/>
    </row>
    <row r="12512" spans="1:12" x14ac:dyDescent="0.25">
      <c r="A12512">
        <v>89393</v>
      </c>
      <c r="B12512" t="s">
        <v>18794</v>
      </c>
      <c r="C12512" t="s">
        <v>138</v>
      </c>
      <c r="D12512" s="254">
        <v>11.59</v>
      </c>
      <c r="E12512"/>
      <c r="F12512"/>
      <c r="G12512"/>
      <c r="H12512"/>
      <c r="I12512" s="489"/>
      <c r="J12512" s="1362"/>
      <c r="K12512" s="1362"/>
      <c r="L12512" s="1362"/>
    </row>
    <row r="12513" spans="1:12" x14ac:dyDescent="0.25">
      <c r="A12513">
        <v>89394</v>
      </c>
      <c r="B12513" t="s">
        <v>18795</v>
      </c>
      <c r="C12513" t="s">
        <v>138</v>
      </c>
      <c r="D12513" s="254">
        <v>22.04</v>
      </c>
      <c r="E12513"/>
      <c r="F12513"/>
      <c r="G12513"/>
      <c r="H12513"/>
      <c r="I12513" s="489"/>
      <c r="J12513" s="1362"/>
      <c r="K12513" s="1362"/>
      <c r="L12513" s="1362"/>
    </row>
    <row r="12514" spans="1:12" x14ac:dyDescent="0.25">
      <c r="A12514">
        <v>89395</v>
      </c>
      <c r="B12514" t="s">
        <v>18796</v>
      </c>
      <c r="C12514" t="s">
        <v>138</v>
      </c>
      <c r="D12514" s="254">
        <v>13.92</v>
      </c>
      <c r="E12514"/>
      <c r="F12514"/>
      <c r="G12514"/>
      <c r="H12514"/>
      <c r="I12514" s="489"/>
      <c r="J12514" s="1362"/>
      <c r="K12514" s="1362"/>
      <c r="L12514" s="1362"/>
    </row>
    <row r="12515" spans="1:12" x14ac:dyDescent="0.25">
      <c r="A12515">
        <v>89396</v>
      </c>
      <c r="B12515" t="s">
        <v>18797</v>
      </c>
      <c r="C12515" t="s">
        <v>138</v>
      </c>
      <c r="D12515" s="254">
        <v>21.78</v>
      </c>
      <c r="E12515"/>
      <c r="F12515"/>
      <c r="G12515"/>
      <c r="H12515"/>
      <c r="I12515" s="489"/>
      <c r="J12515" s="1362"/>
      <c r="K12515" s="1362"/>
      <c r="L12515" s="1362"/>
    </row>
    <row r="12516" spans="1:12" x14ac:dyDescent="0.25">
      <c r="A12516">
        <v>89397</v>
      </c>
      <c r="B12516" t="s">
        <v>18798</v>
      </c>
      <c r="C12516" t="s">
        <v>138</v>
      </c>
      <c r="D12516" s="254">
        <v>15.5</v>
      </c>
      <c r="E12516"/>
      <c r="F12516"/>
      <c r="G12516"/>
      <c r="H12516"/>
      <c r="I12516" s="489"/>
      <c r="J12516" s="1362"/>
      <c r="K12516" s="1362"/>
      <c r="L12516" s="1362"/>
    </row>
    <row r="12517" spans="1:12" x14ac:dyDescent="0.25">
      <c r="A12517">
        <v>89398</v>
      </c>
      <c r="B12517" t="s">
        <v>18799</v>
      </c>
      <c r="C12517" t="s">
        <v>138</v>
      </c>
      <c r="D12517" s="254">
        <v>20.260000000000002</v>
      </c>
      <c r="E12517"/>
      <c r="F12517"/>
      <c r="G12517"/>
      <c r="H12517"/>
      <c r="I12517" s="489"/>
      <c r="J12517" s="1362"/>
      <c r="K12517" s="1362"/>
      <c r="L12517" s="1362"/>
    </row>
    <row r="12518" spans="1:12" x14ac:dyDescent="0.25">
      <c r="A12518">
        <v>89399</v>
      </c>
      <c r="B12518" t="s">
        <v>18800</v>
      </c>
      <c r="C12518" t="s">
        <v>138</v>
      </c>
      <c r="D12518" s="254">
        <v>33.67</v>
      </c>
      <c r="E12518"/>
      <c r="F12518"/>
      <c r="G12518"/>
      <c r="H12518"/>
      <c r="I12518" s="489"/>
      <c r="J12518" s="1362"/>
      <c r="K12518" s="1362"/>
      <c r="L12518" s="1362"/>
    </row>
    <row r="12519" spans="1:12" x14ac:dyDescent="0.25">
      <c r="A12519">
        <v>89400</v>
      </c>
      <c r="B12519" t="s">
        <v>18801</v>
      </c>
      <c r="C12519" t="s">
        <v>138</v>
      </c>
      <c r="D12519" s="254">
        <v>21.46</v>
      </c>
      <c r="E12519"/>
      <c r="F12519"/>
      <c r="G12519"/>
      <c r="H12519"/>
      <c r="I12519" s="489"/>
      <c r="J12519" s="1362"/>
      <c r="K12519" s="1362"/>
      <c r="L12519" s="1362"/>
    </row>
    <row r="12520" spans="1:12" x14ac:dyDescent="0.25">
      <c r="A12520">
        <v>89404</v>
      </c>
      <c r="B12520" t="s">
        <v>18802</v>
      </c>
      <c r="C12520" t="s">
        <v>138</v>
      </c>
      <c r="D12520" s="254">
        <v>7.62</v>
      </c>
      <c r="E12520"/>
      <c r="F12520"/>
      <c r="G12520"/>
      <c r="H12520"/>
      <c r="I12520" s="489"/>
      <c r="J12520" s="1362"/>
      <c r="K12520" s="1362"/>
      <c r="L12520" s="1362"/>
    </row>
    <row r="12521" spans="1:12" x14ac:dyDescent="0.25">
      <c r="A12521">
        <v>89405</v>
      </c>
      <c r="B12521" t="s">
        <v>18803</v>
      </c>
      <c r="C12521" t="s">
        <v>138</v>
      </c>
      <c r="D12521" s="254">
        <v>8.07</v>
      </c>
      <c r="E12521"/>
      <c r="F12521"/>
      <c r="G12521"/>
      <c r="H12521"/>
      <c r="I12521" s="489"/>
      <c r="J12521" s="1362"/>
      <c r="K12521" s="1362"/>
      <c r="L12521" s="1362"/>
    </row>
    <row r="12522" spans="1:12" x14ac:dyDescent="0.25">
      <c r="A12522">
        <v>89406</v>
      </c>
      <c r="B12522" t="s">
        <v>18804</v>
      </c>
      <c r="C12522" t="s">
        <v>138</v>
      </c>
      <c r="D12522" s="254">
        <v>9.9600000000000009</v>
      </c>
      <c r="E12522"/>
      <c r="F12522"/>
      <c r="G12522"/>
      <c r="H12522"/>
      <c r="I12522" s="489"/>
      <c r="J12522" s="1362"/>
      <c r="K12522" s="1362"/>
      <c r="L12522" s="1362"/>
    </row>
    <row r="12523" spans="1:12" x14ac:dyDescent="0.25">
      <c r="A12523">
        <v>89407</v>
      </c>
      <c r="B12523" t="s">
        <v>18805</v>
      </c>
      <c r="C12523" t="s">
        <v>138</v>
      </c>
      <c r="D12523" s="254">
        <v>9.2200000000000006</v>
      </c>
      <c r="E12523"/>
      <c r="F12523"/>
      <c r="G12523"/>
      <c r="H12523"/>
      <c r="I12523" s="489"/>
      <c r="J12523" s="1362"/>
      <c r="K12523" s="1362"/>
      <c r="L12523" s="1362"/>
    </row>
    <row r="12524" spans="1:12" x14ac:dyDescent="0.25">
      <c r="A12524">
        <v>89408</v>
      </c>
      <c r="B12524" t="s">
        <v>18806</v>
      </c>
      <c r="C12524" t="s">
        <v>138</v>
      </c>
      <c r="D12524" s="254">
        <v>9.19</v>
      </c>
      <c r="E12524"/>
      <c r="F12524"/>
      <c r="G12524"/>
      <c r="H12524"/>
      <c r="I12524" s="489"/>
      <c r="J12524" s="1362"/>
      <c r="K12524" s="1362"/>
      <c r="L12524" s="1362"/>
    </row>
    <row r="12525" spans="1:12" x14ac:dyDescent="0.25">
      <c r="A12525">
        <v>89409</v>
      </c>
      <c r="B12525" t="s">
        <v>18807</v>
      </c>
      <c r="C12525" t="s">
        <v>138</v>
      </c>
      <c r="D12525" s="254">
        <v>10.15</v>
      </c>
      <c r="E12525"/>
      <c r="F12525"/>
      <c r="G12525"/>
      <c r="H12525"/>
      <c r="I12525" s="489"/>
      <c r="J12525" s="1362"/>
      <c r="K12525" s="1362"/>
      <c r="L12525" s="1362"/>
    </row>
    <row r="12526" spans="1:12" x14ac:dyDescent="0.25">
      <c r="A12526">
        <v>89410</v>
      </c>
      <c r="B12526" t="s">
        <v>18808</v>
      </c>
      <c r="C12526" t="s">
        <v>138</v>
      </c>
      <c r="D12526" s="254">
        <v>12.15</v>
      </c>
      <c r="E12526"/>
      <c r="F12526"/>
      <c r="G12526"/>
      <c r="H12526"/>
      <c r="I12526" s="489"/>
      <c r="J12526" s="1362"/>
      <c r="K12526" s="1362"/>
      <c r="L12526" s="1362"/>
    </row>
    <row r="12527" spans="1:12" x14ac:dyDescent="0.25">
      <c r="A12527">
        <v>89411</v>
      </c>
      <c r="B12527" t="s">
        <v>18809</v>
      </c>
      <c r="C12527" t="s">
        <v>138</v>
      </c>
      <c r="D12527" s="254">
        <v>11.26</v>
      </c>
      <c r="E12527"/>
      <c r="F12527"/>
      <c r="G12527"/>
      <c r="H12527"/>
      <c r="I12527" s="489"/>
      <c r="J12527" s="1362"/>
      <c r="K12527" s="1362"/>
      <c r="L12527" s="1362"/>
    </row>
    <row r="12528" spans="1:12" x14ac:dyDescent="0.25">
      <c r="A12528">
        <v>89412</v>
      </c>
      <c r="B12528" t="s">
        <v>18810</v>
      </c>
      <c r="C12528" t="s">
        <v>138</v>
      </c>
      <c r="D12528" s="254">
        <v>11.83</v>
      </c>
      <c r="E12528"/>
      <c r="F12528"/>
      <c r="G12528"/>
      <c r="H12528"/>
      <c r="I12528" s="489"/>
      <c r="J12528" s="1362"/>
      <c r="K12528" s="1362"/>
      <c r="L12528" s="1362"/>
    </row>
    <row r="12529" spans="1:12" x14ac:dyDescent="0.25">
      <c r="A12529">
        <v>89413</v>
      </c>
      <c r="B12529" t="s">
        <v>18811</v>
      </c>
      <c r="C12529" t="s">
        <v>138</v>
      </c>
      <c r="D12529" s="254">
        <v>12.84</v>
      </c>
      <c r="E12529"/>
      <c r="F12529"/>
      <c r="G12529"/>
      <c r="H12529"/>
      <c r="I12529" s="489"/>
      <c r="J12529" s="1362"/>
      <c r="K12529" s="1362"/>
      <c r="L12529" s="1362"/>
    </row>
    <row r="12530" spans="1:12" x14ac:dyDescent="0.25">
      <c r="A12530">
        <v>89414</v>
      </c>
      <c r="B12530" t="s">
        <v>18812</v>
      </c>
      <c r="C12530" t="s">
        <v>138</v>
      </c>
      <c r="D12530" s="254">
        <v>15.55</v>
      </c>
      <c r="E12530"/>
      <c r="F12530"/>
      <c r="G12530"/>
      <c r="H12530"/>
      <c r="I12530" s="489"/>
      <c r="J12530" s="1362"/>
      <c r="K12530" s="1362"/>
      <c r="L12530" s="1362"/>
    </row>
    <row r="12531" spans="1:12" x14ac:dyDescent="0.25">
      <c r="A12531">
        <v>89415</v>
      </c>
      <c r="B12531" t="s">
        <v>18813</v>
      </c>
      <c r="C12531" t="s">
        <v>138</v>
      </c>
      <c r="D12531" s="254">
        <v>18.91</v>
      </c>
      <c r="E12531"/>
      <c r="F12531"/>
      <c r="G12531"/>
      <c r="H12531"/>
      <c r="I12531" s="489"/>
      <c r="J12531" s="1362"/>
      <c r="K12531" s="1362"/>
      <c r="L12531" s="1362"/>
    </row>
    <row r="12532" spans="1:12" x14ac:dyDescent="0.25">
      <c r="A12532">
        <v>89416</v>
      </c>
      <c r="B12532" t="s">
        <v>18814</v>
      </c>
      <c r="C12532" t="s">
        <v>138</v>
      </c>
      <c r="D12532" s="254">
        <v>14.98</v>
      </c>
      <c r="E12532"/>
      <c r="F12532"/>
      <c r="G12532"/>
      <c r="H12532"/>
      <c r="I12532" s="489"/>
      <c r="J12532" s="1362"/>
      <c r="K12532" s="1362"/>
      <c r="L12532" s="1362"/>
    </row>
    <row r="12533" spans="1:12" x14ac:dyDescent="0.25">
      <c r="A12533">
        <v>89417</v>
      </c>
      <c r="B12533" t="s">
        <v>18815</v>
      </c>
      <c r="C12533" t="s">
        <v>138</v>
      </c>
      <c r="D12533" s="254">
        <v>5.73</v>
      </c>
      <c r="E12533"/>
      <c r="F12533"/>
      <c r="G12533"/>
      <c r="H12533"/>
      <c r="I12533" s="489"/>
      <c r="J12533" s="1362"/>
      <c r="K12533" s="1362"/>
      <c r="L12533" s="1362"/>
    </row>
    <row r="12534" spans="1:12" x14ac:dyDescent="0.25">
      <c r="A12534">
        <v>89418</v>
      </c>
      <c r="B12534" t="s">
        <v>18816</v>
      </c>
      <c r="C12534" t="s">
        <v>138</v>
      </c>
      <c r="D12534" s="254">
        <v>14.68</v>
      </c>
      <c r="E12534"/>
      <c r="F12534"/>
      <c r="G12534"/>
      <c r="H12534"/>
      <c r="I12534" s="489"/>
      <c r="J12534" s="1362"/>
      <c r="K12534" s="1362"/>
      <c r="L12534" s="1362"/>
    </row>
    <row r="12535" spans="1:12" x14ac:dyDescent="0.25">
      <c r="A12535">
        <v>89419</v>
      </c>
      <c r="B12535" t="s">
        <v>18817</v>
      </c>
      <c r="C12535" t="s">
        <v>138</v>
      </c>
      <c r="D12535" s="254">
        <v>7.05</v>
      </c>
      <c r="E12535"/>
      <c r="F12535"/>
      <c r="G12535"/>
      <c r="H12535"/>
      <c r="I12535" s="489"/>
      <c r="J12535" s="1362"/>
      <c r="K12535" s="1362"/>
      <c r="L12535" s="1362"/>
    </row>
    <row r="12536" spans="1:12" x14ac:dyDescent="0.25">
      <c r="A12536">
        <v>89421</v>
      </c>
      <c r="B12536" t="s">
        <v>18818</v>
      </c>
      <c r="C12536" t="s">
        <v>138</v>
      </c>
      <c r="D12536" s="254">
        <v>14.33</v>
      </c>
      <c r="E12536"/>
      <c r="F12536"/>
      <c r="G12536"/>
      <c r="H12536"/>
      <c r="I12536" s="489"/>
      <c r="J12536" s="1362"/>
      <c r="K12536" s="1362"/>
      <c r="L12536" s="1362"/>
    </row>
    <row r="12537" spans="1:12" x14ac:dyDescent="0.25">
      <c r="A12537">
        <v>89423</v>
      </c>
      <c r="B12537" t="s">
        <v>18819</v>
      </c>
      <c r="C12537" t="s">
        <v>138</v>
      </c>
      <c r="D12537" s="254">
        <v>10.15</v>
      </c>
      <c r="E12537"/>
      <c r="F12537"/>
      <c r="G12537"/>
      <c r="H12537"/>
      <c r="I12537" s="489"/>
      <c r="J12537" s="1362"/>
      <c r="K12537" s="1362"/>
      <c r="L12537" s="1362"/>
    </row>
    <row r="12538" spans="1:12" x14ac:dyDescent="0.25">
      <c r="A12538">
        <v>89424</v>
      </c>
      <c r="B12538" t="s">
        <v>18820</v>
      </c>
      <c r="C12538" t="s">
        <v>138</v>
      </c>
      <c r="D12538" s="254">
        <v>6.9</v>
      </c>
      <c r="E12538"/>
      <c r="F12538"/>
      <c r="G12538"/>
      <c r="H12538"/>
      <c r="I12538" s="489"/>
      <c r="J12538" s="1362"/>
      <c r="K12538" s="1362"/>
      <c r="L12538" s="1362"/>
    </row>
    <row r="12539" spans="1:12" x14ac:dyDescent="0.25">
      <c r="A12539">
        <v>89425</v>
      </c>
      <c r="B12539" t="s">
        <v>18821</v>
      </c>
      <c r="C12539" t="s">
        <v>138</v>
      </c>
      <c r="D12539" s="254">
        <v>18.84</v>
      </c>
      <c r="E12539"/>
      <c r="F12539"/>
      <c r="G12539"/>
      <c r="H12539"/>
      <c r="I12539" s="489"/>
      <c r="J12539" s="1362"/>
      <c r="K12539" s="1362"/>
      <c r="L12539" s="1362"/>
    </row>
    <row r="12540" spans="1:12" x14ac:dyDescent="0.25">
      <c r="A12540">
        <v>89426</v>
      </c>
      <c r="B12540" t="s">
        <v>18822</v>
      </c>
      <c r="C12540" t="s">
        <v>138</v>
      </c>
      <c r="D12540" s="254">
        <v>11.24</v>
      </c>
      <c r="E12540"/>
      <c r="F12540"/>
      <c r="G12540"/>
      <c r="H12540"/>
      <c r="I12540" s="489"/>
      <c r="J12540" s="1362"/>
      <c r="K12540" s="1362"/>
      <c r="L12540" s="1362"/>
    </row>
    <row r="12541" spans="1:12" x14ac:dyDescent="0.25">
      <c r="A12541">
        <v>89427</v>
      </c>
      <c r="B12541" t="s">
        <v>18823</v>
      </c>
      <c r="C12541" t="s">
        <v>138</v>
      </c>
      <c r="D12541" s="254">
        <v>13.96</v>
      </c>
      <c r="E12541"/>
      <c r="F12541"/>
      <c r="G12541"/>
      <c r="H12541"/>
      <c r="I12541" s="489"/>
      <c r="J12541" s="1362"/>
      <c r="K12541" s="1362"/>
      <c r="L12541" s="1362"/>
    </row>
    <row r="12542" spans="1:12" x14ac:dyDescent="0.25">
      <c r="A12542">
        <v>89428</v>
      </c>
      <c r="B12542" t="s">
        <v>18824</v>
      </c>
      <c r="C12542" t="s">
        <v>138</v>
      </c>
      <c r="D12542" s="254">
        <v>17.18</v>
      </c>
      <c r="E12542"/>
      <c r="F12542"/>
      <c r="G12542"/>
      <c r="H12542"/>
      <c r="I12542" s="489"/>
      <c r="J12542" s="1362"/>
      <c r="K12542" s="1362"/>
      <c r="L12542" s="1362"/>
    </row>
    <row r="12543" spans="1:12" x14ac:dyDescent="0.25">
      <c r="A12543">
        <v>89429</v>
      </c>
      <c r="B12543" t="s">
        <v>18825</v>
      </c>
      <c r="C12543" t="s">
        <v>138</v>
      </c>
      <c r="D12543" s="254">
        <v>6.53</v>
      </c>
      <c r="E12543"/>
      <c r="F12543"/>
      <c r="G12543"/>
      <c r="H12543"/>
      <c r="I12543" s="489"/>
      <c r="J12543" s="1362"/>
      <c r="K12543" s="1362"/>
      <c r="L12543" s="1362"/>
    </row>
    <row r="12544" spans="1:12" x14ac:dyDescent="0.25">
      <c r="A12544">
        <v>89430</v>
      </c>
      <c r="B12544" t="s">
        <v>18826</v>
      </c>
      <c r="C12544" t="s">
        <v>138</v>
      </c>
      <c r="D12544" s="254">
        <v>14.65</v>
      </c>
      <c r="E12544"/>
      <c r="F12544"/>
      <c r="G12544"/>
      <c r="H12544"/>
      <c r="I12544" s="489"/>
      <c r="J12544" s="1362"/>
      <c r="K12544" s="1362"/>
      <c r="L12544" s="1362"/>
    </row>
    <row r="12545" spans="1:12" x14ac:dyDescent="0.25">
      <c r="A12545">
        <v>89431</v>
      </c>
      <c r="B12545" t="s">
        <v>18827</v>
      </c>
      <c r="C12545" t="s">
        <v>138</v>
      </c>
      <c r="D12545" s="254">
        <v>9.6999999999999993</v>
      </c>
      <c r="E12545"/>
      <c r="F12545"/>
      <c r="G12545"/>
      <c r="H12545"/>
      <c r="I12545" s="489"/>
      <c r="J12545" s="1362"/>
      <c r="K12545" s="1362"/>
      <c r="L12545" s="1362"/>
    </row>
    <row r="12546" spans="1:12" x14ac:dyDescent="0.25">
      <c r="A12546">
        <v>89432</v>
      </c>
      <c r="B12546" t="s">
        <v>18828</v>
      </c>
      <c r="C12546" t="s">
        <v>138</v>
      </c>
      <c r="D12546" s="254">
        <v>38.17</v>
      </c>
      <c r="E12546"/>
      <c r="F12546"/>
      <c r="G12546"/>
      <c r="H12546"/>
      <c r="I12546" s="489"/>
      <c r="J12546" s="1362"/>
      <c r="K12546" s="1362"/>
      <c r="L12546" s="1362"/>
    </row>
    <row r="12547" spans="1:12" x14ac:dyDescent="0.25">
      <c r="A12547">
        <v>89433</v>
      </c>
      <c r="B12547" t="s">
        <v>18829</v>
      </c>
      <c r="C12547" t="s">
        <v>138</v>
      </c>
      <c r="D12547" s="254">
        <v>13.64</v>
      </c>
      <c r="E12547"/>
      <c r="F12547"/>
      <c r="G12547"/>
      <c r="H12547"/>
      <c r="I12547" s="489"/>
      <c r="J12547" s="1362"/>
      <c r="K12547" s="1362"/>
      <c r="L12547" s="1362"/>
    </row>
    <row r="12548" spans="1:12" x14ac:dyDescent="0.25">
      <c r="A12548">
        <v>89434</v>
      </c>
      <c r="B12548" t="s">
        <v>18830</v>
      </c>
      <c r="C12548" t="s">
        <v>138</v>
      </c>
      <c r="D12548" s="254">
        <v>13.34</v>
      </c>
      <c r="E12548"/>
      <c r="F12548"/>
      <c r="G12548"/>
      <c r="H12548"/>
      <c r="I12548" s="489"/>
      <c r="J12548" s="1362"/>
      <c r="K12548" s="1362"/>
      <c r="L12548" s="1362"/>
    </row>
    <row r="12549" spans="1:12" x14ac:dyDescent="0.25">
      <c r="A12549">
        <v>89435</v>
      </c>
      <c r="B12549" t="s">
        <v>18831</v>
      </c>
      <c r="C12549" t="s">
        <v>138</v>
      </c>
      <c r="D12549" s="254">
        <v>25.75</v>
      </c>
      <c r="E12549"/>
      <c r="F12549"/>
      <c r="G12549"/>
      <c r="H12549"/>
      <c r="I12549" s="489"/>
      <c r="J12549" s="1362"/>
      <c r="K12549" s="1362"/>
      <c r="L12549" s="1362"/>
    </row>
    <row r="12550" spans="1:12" x14ac:dyDescent="0.25">
      <c r="A12550">
        <v>89436</v>
      </c>
      <c r="B12550" t="s">
        <v>18832</v>
      </c>
      <c r="C12550" t="s">
        <v>138</v>
      </c>
      <c r="D12550" s="254">
        <v>8.8800000000000008</v>
      </c>
      <c r="E12550"/>
      <c r="F12550"/>
      <c r="G12550"/>
      <c r="H12550"/>
      <c r="I12550" s="489"/>
      <c r="J12550" s="1362"/>
      <c r="K12550" s="1362"/>
      <c r="L12550" s="1362"/>
    </row>
    <row r="12551" spans="1:12" x14ac:dyDescent="0.25">
      <c r="A12551">
        <v>89437</v>
      </c>
      <c r="B12551" t="s">
        <v>18833</v>
      </c>
      <c r="C12551" t="s">
        <v>138</v>
      </c>
      <c r="D12551" s="254">
        <v>30.66</v>
      </c>
      <c r="E12551"/>
      <c r="F12551"/>
      <c r="G12551"/>
      <c r="H12551"/>
      <c r="I12551" s="489"/>
      <c r="J12551" s="1362"/>
      <c r="K12551" s="1362"/>
      <c r="L12551" s="1362"/>
    </row>
    <row r="12552" spans="1:12" x14ac:dyDescent="0.25">
      <c r="A12552">
        <v>89438</v>
      </c>
      <c r="B12552" t="s">
        <v>18834</v>
      </c>
      <c r="C12552" t="s">
        <v>138</v>
      </c>
      <c r="D12552" s="254">
        <v>10.63</v>
      </c>
      <c r="E12552"/>
      <c r="F12552"/>
      <c r="G12552"/>
      <c r="H12552"/>
      <c r="I12552" s="489"/>
      <c r="J12552" s="1362"/>
      <c r="K12552" s="1362"/>
      <c r="L12552" s="1362"/>
    </row>
    <row r="12553" spans="1:12" x14ac:dyDescent="0.25">
      <c r="A12553">
        <v>89439</v>
      </c>
      <c r="B12553" t="s">
        <v>18835</v>
      </c>
      <c r="C12553" t="s">
        <v>138</v>
      </c>
      <c r="D12553" s="254">
        <v>13.19</v>
      </c>
      <c r="E12553"/>
      <c r="F12553"/>
      <c r="G12553"/>
      <c r="H12553"/>
      <c r="I12553" s="489"/>
      <c r="J12553" s="1362"/>
      <c r="K12553" s="1362"/>
      <c r="L12553" s="1362"/>
    </row>
    <row r="12554" spans="1:12" x14ac:dyDescent="0.25">
      <c r="A12554">
        <v>89440</v>
      </c>
      <c r="B12554" t="s">
        <v>18836</v>
      </c>
      <c r="C12554" t="s">
        <v>138</v>
      </c>
      <c r="D12554" s="254">
        <v>12.8</v>
      </c>
      <c r="E12554"/>
      <c r="F12554"/>
      <c r="G12554"/>
      <c r="H12554"/>
      <c r="I12554" s="489"/>
      <c r="J12554" s="1362"/>
      <c r="K12554" s="1362"/>
      <c r="L12554" s="1362"/>
    </row>
    <row r="12555" spans="1:12" x14ac:dyDescent="0.25">
      <c r="A12555">
        <v>89442</v>
      </c>
      <c r="B12555" t="s">
        <v>18837</v>
      </c>
      <c r="C12555" t="s">
        <v>138</v>
      </c>
      <c r="D12555" s="254">
        <v>14.46</v>
      </c>
      <c r="E12555"/>
      <c r="F12555"/>
      <c r="G12555"/>
      <c r="H12555"/>
      <c r="I12555" s="489"/>
      <c r="J12555" s="1362"/>
      <c r="K12555" s="1362"/>
      <c r="L12555" s="1362"/>
    </row>
    <row r="12556" spans="1:12" x14ac:dyDescent="0.25">
      <c r="A12556">
        <v>89443</v>
      </c>
      <c r="B12556" t="s">
        <v>18838</v>
      </c>
      <c r="C12556" t="s">
        <v>138</v>
      </c>
      <c r="D12556" s="254">
        <v>18.920000000000002</v>
      </c>
      <c r="E12556"/>
      <c r="F12556"/>
      <c r="G12556"/>
      <c r="H12556"/>
      <c r="I12556" s="489"/>
      <c r="J12556" s="1362"/>
      <c r="K12556" s="1362"/>
      <c r="L12556" s="1362"/>
    </row>
    <row r="12557" spans="1:12" x14ac:dyDescent="0.25">
      <c r="A12557">
        <v>89444</v>
      </c>
      <c r="B12557" t="s">
        <v>18839</v>
      </c>
      <c r="C12557" t="s">
        <v>138</v>
      </c>
      <c r="D12557" s="254">
        <v>33.01</v>
      </c>
      <c r="E12557"/>
      <c r="F12557"/>
      <c r="G12557"/>
      <c r="H12557"/>
      <c r="I12557" s="489"/>
      <c r="J12557" s="1362"/>
      <c r="K12557" s="1362"/>
      <c r="L12557" s="1362"/>
    </row>
    <row r="12558" spans="1:12" x14ac:dyDescent="0.25">
      <c r="A12558">
        <v>89445</v>
      </c>
      <c r="B12558" t="s">
        <v>18840</v>
      </c>
      <c r="C12558" t="s">
        <v>138</v>
      </c>
      <c r="D12558" s="254">
        <v>20.23</v>
      </c>
      <c r="E12558"/>
      <c r="F12558"/>
      <c r="G12558"/>
      <c r="H12558"/>
      <c r="I12558" s="489"/>
      <c r="J12558" s="1362"/>
      <c r="K12558" s="1362"/>
      <c r="L12558" s="1362"/>
    </row>
    <row r="12559" spans="1:12" x14ac:dyDescent="0.25">
      <c r="A12559">
        <v>89481</v>
      </c>
      <c r="B12559" t="s">
        <v>18841</v>
      </c>
      <c r="C12559" t="s">
        <v>138</v>
      </c>
      <c r="D12559" s="254">
        <v>5.76</v>
      </c>
      <c r="E12559"/>
      <c r="F12559"/>
      <c r="G12559"/>
      <c r="H12559"/>
      <c r="I12559" s="489"/>
      <c r="J12559" s="1362"/>
      <c r="K12559" s="1362"/>
      <c r="L12559" s="1362"/>
    </row>
    <row r="12560" spans="1:12" x14ac:dyDescent="0.25">
      <c r="A12560">
        <v>89485</v>
      </c>
      <c r="B12560" t="s">
        <v>18842</v>
      </c>
      <c r="C12560" t="s">
        <v>138</v>
      </c>
      <c r="D12560" s="254">
        <v>6.72</v>
      </c>
      <c r="E12560"/>
      <c r="F12560"/>
      <c r="G12560"/>
      <c r="H12560"/>
      <c r="I12560" s="489"/>
      <c r="J12560" s="1362"/>
      <c r="K12560" s="1362"/>
      <c r="L12560" s="1362"/>
    </row>
    <row r="12561" spans="1:12" x14ac:dyDescent="0.25">
      <c r="A12561">
        <v>89489</v>
      </c>
      <c r="B12561" t="s">
        <v>18843</v>
      </c>
      <c r="C12561" t="s">
        <v>138</v>
      </c>
      <c r="D12561" s="254">
        <v>8.7200000000000006</v>
      </c>
      <c r="E12561"/>
      <c r="F12561"/>
      <c r="G12561"/>
      <c r="H12561"/>
      <c r="I12561" s="489"/>
      <c r="J12561" s="1362"/>
      <c r="K12561" s="1362"/>
      <c r="L12561" s="1362"/>
    </row>
    <row r="12562" spans="1:12" x14ac:dyDescent="0.25">
      <c r="A12562">
        <v>89490</v>
      </c>
      <c r="B12562" t="s">
        <v>18844</v>
      </c>
      <c r="C12562" t="s">
        <v>138</v>
      </c>
      <c r="D12562" s="254">
        <v>7.83</v>
      </c>
      <c r="E12562"/>
      <c r="F12562"/>
      <c r="G12562"/>
      <c r="H12562"/>
      <c r="I12562" s="489"/>
      <c r="J12562" s="1362"/>
      <c r="K12562" s="1362"/>
      <c r="L12562" s="1362"/>
    </row>
    <row r="12563" spans="1:12" x14ac:dyDescent="0.25">
      <c r="A12563">
        <v>89492</v>
      </c>
      <c r="B12563" t="s">
        <v>18845</v>
      </c>
      <c r="C12563" t="s">
        <v>138</v>
      </c>
      <c r="D12563" s="254">
        <v>8.81</v>
      </c>
      <c r="E12563"/>
      <c r="F12563"/>
      <c r="G12563"/>
      <c r="H12563"/>
      <c r="I12563" s="489"/>
      <c r="J12563" s="1362"/>
      <c r="K12563" s="1362"/>
      <c r="L12563" s="1362"/>
    </row>
    <row r="12564" spans="1:12" x14ac:dyDescent="0.25">
      <c r="A12564">
        <v>89493</v>
      </c>
      <c r="B12564" t="s">
        <v>18846</v>
      </c>
      <c r="C12564" t="s">
        <v>138</v>
      </c>
      <c r="D12564" s="254">
        <v>11.52</v>
      </c>
      <c r="E12564"/>
      <c r="F12564"/>
      <c r="G12564"/>
      <c r="H12564"/>
      <c r="I12564" s="489"/>
      <c r="J12564" s="1362"/>
      <c r="K12564" s="1362"/>
      <c r="L12564" s="1362"/>
    </row>
    <row r="12565" spans="1:12" x14ac:dyDescent="0.25">
      <c r="A12565">
        <v>89494</v>
      </c>
      <c r="B12565" t="s">
        <v>18847</v>
      </c>
      <c r="C12565" t="s">
        <v>138</v>
      </c>
      <c r="D12565" s="254">
        <v>14.88</v>
      </c>
      <c r="E12565"/>
      <c r="F12565"/>
      <c r="G12565"/>
      <c r="H12565"/>
      <c r="I12565" s="489"/>
      <c r="J12565" s="1362"/>
      <c r="K12565" s="1362"/>
      <c r="L12565" s="1362"/>
    </row>
    <row r="12566" spans="1:12" x14ac:dyDescent="0.25">
      <c r="A12566">
        <v>89496</v>
      </c>
      <c r="B12566" t="s">
        <v>18848</v>
      </c>
      <c r="C12566" t="s">
        <v>138</v>
      </c>
      <c r="D12566" s="254">
        <v>10.95</v>
      </c>
      <c r="E12566"/>
      <c r="F12566"/>
      <c r="G12566"/>
      <c r="H12566"/>
      <c r="I12566" s="489"/>
      <c r="J12566" s="1362"/>
      <c r="K12566" s="1362"/>
      <c r="L12566" s="1362"/>
    </row>
    <row r="12567" spans="1:12" x14ac:dyDescent="0.25">
      <c r="A12567">
        <v>89497</v>
      </c>
      <c r="B12567" t="s">
        <v>18849</v>
      </c>
      <c r="C12567" t="s">
        <v>138</v>
      </c>
      <c r="D12567" s="254">
        <v>14</v>
      </c>
      <c r="E12567"/>
      <c r="F12567"/>
      <c r="G12567"/>
      <c r="H12567"/>
      <c r="I12567" s="489"/>
      <c r="J12567" s="1362"/>
      <c r="K12567" s="1362"/>
      <c r="L12567" s="1362"/>
    </row>
    <row r="12568" spans="1:12" x14ac:dyDescent="0.25">
      <c r="A12568">
        <v>89498</v>
      </c>
      <c r="B12568" t="s">
        <v>18850</v>
      </c>
      <c r="C12568" t="s">
        <v>138</v>
      </c>
      <c r="D12568" s="254">
        <v>15.24</v>
      </c>
      <c r="E12568"/>
      <c r="F12568"/>
      <c r="G12568"/>
      <c r="H12568"/>
      <c r="I12568" s="489"/>
      <c r="J12568" s="1362"/>
      <c r="K12568" s="1362"/>
      <c r="L12568" s="1362"/>
    </row>
    <row r="12569" spans="1:12" x14ac:dyDescent="0.25">
      <c r="A12569">
        <v>89499</v>
      </c>
      <c r="B12569" t="s">
        <v>18851</v>
      </c>
      <c r="C12569" t="s">
        <v>138</v>
      </c>
      <c r="D12569" s="254">
        <v>23.14</v>
      </c>
      <c r="E12569"/>
      <c r="F12569"/>
      <c r="G12569"/>
      <c r="H12569"/>
      <c r="I12569" s="489"/>
      <c r="J12569" s="1362"/>
      <c r="K12569" s="1362"/>
      <c r="L12569" s="1362"/>
    </row>
    <row r="12570" spans="1:12" x14ac:dyDescent="0.25">
      <c r="A12570">
        <v>89500</v>
      </c>
      <c r="B12570" t="s">
        <v>18852</v>
      </c>
      <c r="C12570" t="s">
        <v>138</v>
      </c>
      <c r="D12570" s="254">
        <v>15.48</v>
      </c>
      <c r="E12570"/>
      <c r="F12570"/>
      <c r="G12570"/>
      <c r="H12570"/>
      <c r="I12570" s="489"/>
      <c r="J12570" s="1362"/>
      <c r="K12570" s="1362"/>
      <c r="L12570" s="1362"/>
    </row>
    <row r="12571" spans="1:12" x14ac:dyDescent="0.25">
      <c r="A12571">
        <v>89501</v>
      </c>
      <c r="B12571" t="s">
        <v>18853</v>
      </c>
      <c r="C12571" t="s">
        <v>138</v>
      </c>
      <c r="D12571" s="254">
        <v>16.71</v>
      </c>
      <c r="E12571"/>
      <c r="F12571"/>
      <c r="G12571"/>
      <c r="H12571"/>
      <c r="I12571" s="489"/>
      <c r="J12571" s="1362"/>
      <c r="K12571" s="1362"/>
      <c r="L12571" s="1362"/>
    </row>
    <row r="12572" spans="1:12" x14ac:dyDescent="0.25">
      <c r="A12572">
        <v>89502</v>
      </c>
      <c r="B12572" t="s">
        <v>18854</v>
      </c>
      <c r="C12572" t="s">
        <v>138</v>
      </c>
      <c r="D12572" s="254">
        <v>18.95</v>
      </c>
      <c r="E12572"/>
      <c r="F12572"/>
      <c r="G12572"/>
      <c r="H12572"/>
      <c r="I12572" s="489"/>
      <c r="J12572" s="1362"/>
      <c r="K12572" s="1362"/>
      <c r="L12572" s="1362"/>
    </row>
    <row r="12573" spans="1:12" x14ac:dyDescent="0.25">
      <c r="A12573">
        <v>89503</v>
      </c>
      <c r="B12573" t="s">
        <v>18855</v>
      </c>
      <c r="C12573" t="s">
        <v>138</v>
      </c>
      <c r="D12573" s="254">
        <v>28.75</v>
      </c>
      <c r="E12573"/>
      <c r="F12573"/>
      <c r="G12573"/>
      <c r="H12573"/>
      <c r="I12573" s="489"/>
      <c r="J12573" s="1362"/>
      <c r="K12573" s="1362"/>
      <c r="L12573" s="1362"/>
    </row>
    <row r="12574" spans="1:12" x14ac:dyDescent="0.25">
      <c r="A12574">
        <v>89504</v>
      </c>
      <c r="B12574" t="s">
        <v>18856</v>
      </c>
      <c r="C12574" t="s">
        <v>138</v>
      </c>
      <c r="D12574" s="254">
        <v>25.2</v>
      </c>
      <c r="E12574"/>
      <c r="F12574"/>
      <c r="G12574"/>
      <c r="H12574"/>
      <c r="I12574" s="489"/>
      <c r="J12574" s="1362"/>
      <c r="K12574" s="1362"/>
      <c r="L12574" s="1362"/>
    </row>
    <row r="12575" spans="1:12" x14ac:dyDescent="0.25">
      <c r="A12575">
        <v>89505</v>
      </c>
      <c r="B12575" t="s">
        <v>18857</v>
      </c>
      <c r="C12575" t="s">
        <v>138</v>
      </c>
      <c r="D12575" s="254">
        <v>42.67</v>
      </c>
      <c r="E12575"/>
      <c r="F12575"/>
      <c r="G12575"/>
      <c r="H12575"/>
      <c r="I12575" s="489"/>
      <c r="J12575" s="1362"/>
      <c r="K12575" s="1362"/>
      <c r="L12575" s="1362"/>
    </row>
    <row r="12576" spans="1:12" x14ac:dyDescent="0.25">
      <c r="A12576">
        <v>89506</v>
      </c>
      <c r="B12576" t="s">
        <v>18858</v>
      </c>
      <c r="C12576" t="s">
        <v>138</v>
      </c>
      <c r="D12576" s="254">
        <v>48.02</v>
      </c>
      <c r="E12576"/>
      <c r="F12576"/>
      <c r="G12576"/>
      <c r="H12576"/>
      <c r="I12576" s="489"/>
      <c r="J12576" s="1362"/>
      <c r="K12576" s="1362"/>
      <c r="L12576" s="1362"/>
    </row>
    <row r="12577" spans="1:12" x14ac:dyDescent="0.25">
      <c r="A12577">
        <v>89507</v>
      </c>
      <c r="B12577" t="s">
        <v>18859</v>
      </c>
      <c r="C12577" t="s">
        <v>138</v>
      </c>
      <c r="D12577" s="254">
        <v>59.16</v>
      </c>
      <c r="E12577"/>
      <c r="F12577"/>
      <c r="G12577"/>
      <c r="H12577"/>
      <c r="I12577" s="489"/>
      <c r="J12577" s="1362"/>
      <c r="K12577" s="1362"/>
      <c r="L12577" s="1362"/>
    </row>
    <row r="12578" spans="1:12" x14ac:dyDescent="0.25">
      <c r="A12578">
        <v>89510</v>
      </c>
      <c r="B12578" t="s">
        <v>18860</v>
      </c>
      <c r="C12578" t="s">
        <v>138</v>
      </c>
      <c r="D12578" s="254">
        <v>38.71</v>
      </c>
      <c r="E12578"/>
      <c r="F12578"/>
      <c r="G12578"/>
      <c r="H12578"/>
      <c r="I12578" s="489"/>
      <c r="J12578" s="1362"/>
      <c r="K12578" s="1362"/>
      <c r="L12578" s="1362"/>
    </row>
    <row r="12579" spans="1:12" x14ac:dyDescent="0.25">
      <c r="A12579">
        <v>89513</v>
      </c>
      <c r="B12579" t="s">
        <v>18861</v>
      </c>
      <c r="C12579" t="s">
        <v>138</v>
      </c>
      <c r="D12579" s="254">
        <v>131.32</v>
      </c>
      <c r="E12579"/>
      <c r="F12579"/>
      <c r="G12579"/>
      <c r="H12579"/>
      <c r="I12579" s="489"/>
      <c r="J12579" s="1362"/>
      <c r="K12579" s="1362"/>
      <c r="L12579" s="1362"/>
    </row>
    <row r="12580" spans="1:12" x14ac:dyDescent="0.25">
      <c r="A12580">
        <v>89514</v>
      </c>
      <c r="B12580" t="s">
        <v>18862</v>
      </c>
      <c r="C12580" t="s">
        <v>138</v>
      </c>
      <c r="D12580" s="254">
        <v>10.84</v>
      </c>
      <c r="E12580"/>
      <c r="F12580"/>
      <c r="G12580"/>
      <c r="H12580"/>
      <c r="I12580" s="489"/>
      <c r="J12580" s="1362"/>
      <c r="K12580" s="1362"/>
      <c r="L12580" s="1362"/>
    </row>
    <row r="12581" spans="1:12" x14ac:dyDescent="0.25">
      <c r="A12581">
        <v>89515</v>
      </c>
      <c r="B12581" t="s">
        <v>18863</v>
      </c>
      <c r="C12581" t="s">
        <v>138</v>
      </c>
      <c r="D12581" s="254">
        <v>98.73</v>
      </c>
      <c r="E12581"/>
      <c r="F12581"/>
      <c r="G12581"/>
      <c r="H12581"/>
      <c r="I12581" s="489"/>
      <c r="J12581" s="1362"/>
      <c r="K12581" s="1362"/>
      <c r="L12581" s="1362"/>
    </row>
    <row r="12582" spans="1:12" x14ac:dyDescent="0.25">
      <c r="A12582">
        <v>89516</v>
      </c>
      <c r="B12582" t="s">
        <v>18864</v>
      </c>
      <c r="C12582" t="s">
        <v>138</v>
      </c>
      <c r="D12582" s="254">
        <v>9.42</v>
      </c>
      <c r="E12582"/>
      <c r="F12582"/>
      <c r="G12582"/>
      <c r="H12582"/>
      <c r="I12582" s="489"/>
      <c r="J12582" s="1362"/>
      <c r="K12582" s="1362"/>
      <c r="L12582" s="1362"/>
    </row>
    <row r="12583" spans="1:12" x14ac:dyDescent="0.25">
      <c r="A12583">
        <v>89517</v>
      </c>
      <c r="B12583" t="s">
        <v>18865</v>
      </c>
      <c r="C12583" t="s">
        <v>138</v>
      </c>
      <c r="D12583" s="254">
        <v>82.88</v>
      </c>
      <c r="E12583"/>
      <c r="F12583"/>
      <c r="G12583"/>
      <c r="H12583"/>
      <c r="I12583" s="489"/>
      <c r="J12583" s="1362"/>
      <c r="K12583" s="1362"/>
      <c r="L12583" s="1362"/>
    </row>
    <row r="12584" spans="1:12" x14ac:dyDescent="0.25">
      <c r="A12584">
        <v>89518</v>
      </c>
      <c r="B12584" t="s">
        <v>18866</v>
      </c>
      <c r="C12584" t="s">
        <v>138</v>
      </c>
      <c r="D12584" s="254">
        <v>18.97</v>
      </c>
      <c r="E12584"/>
      <c r="F12584"/>
      <c r="G12584"/>
      <c r="H12584"/>
      <c r="I12584" s="489"/>
      <c r="J12584" s="1362"/>
      <c r="K12584" s="1362"/>
      <c r="L12584" s="1362"/>
    </row>
    <row r="12585" spans="1:12" x14ac:dyDescent="0.25">
      <c r="A12585">
        <v>89519</v>
      </c>
      <c r="B12585" t="s">
        <v>18867</v>
      </c>
      <c r="C12585" t="s">
        <v>138</v>
      </c>
      <c r="D12585" s="254">
        <v>55.52</v>
      </c>
      <c r="E12585"/>
      <c r="F12585"/>
      <c r="G12585"/>
      <c r="H12585"/>
      <c r="I12585" s="489"/>
      <c r="J12585" s="1362"/>
      <c r="K12585" s="1362"/>
      <c r="L12585" s="1362"/>
    </row>
    <row r="12586" spans="1:12" x14ac:dyDescent="0.25">
      <c r="A12586">
        <v>89520</v>
      </c>
      <c r="B12586" t="s">
        <v>18868</v>
      </c>
      <c r="C12586" t="s">
        <v>138</v>
      </c>
      <c r="D12586" s="254">
        <v>17.100000000000001</v>
      </c>
      <c r="E12586"/>
      <c r="F12586"/>
      <c r="G12586"/>
      <c r="H12586"/>
      <c r="I12586" s="489"/>
      <c r="J12586" s="1362"/>
      <c r="K12586" s="1362"/>
      <c r="L12586" s="1362"/>
    </row>
    <row r="12587" spans="1:12" x14ac:dyDescent="0.25">
      <c r="A12587">
        <v>89521</v>
      </c>
      <c r="B12587" t="s">
        <v>18869</v>
      </c>
      <c r="C12587" t="s">
        <v>138</v>
      </c>
      <c r="D12587" s="254">
        <v>155.26</v>
      </c>
      <c r="E12587"/>
      <c r="F12587"/>
      <c r="G12587"/>
      <c r="H12587"/>
      <c r="I12587" s="489"/>
      <c r="J12587" s="1362"/>
      <c r="K12587" s="1362"/>
      <c r="L12587" s="1362"/>
    </row>
    <row r="12588" spans="1:12" x14ac:dyDescent="0.25">
      <c r="A12588">
        <v>89522</v>
      </c>
      <c r="B12588" t="s">
        <v>18870</v>
      </c>
      <c r="C12588" t="s">
        <v>138</v>
      </c>
      <c r="D12588" s="254">
        <v>34.44</v>
      </c>
      <c r="E12588"/>
      <c r="F12588"/>
      <c r="G12588"/>
      <c r="H12588"/>
      <c r="I12588" s="489"/>
      <c r="J12588" s="1362"/>
      <c r="K12588" s="1362"/>
      <c r="L12588" s="1362"/>
    </row>
    <row r="12589" spans="1:12" x14ac:dyDescent="0.25">
      <c r="A12589">
        <v>89523</v>
      </c>
      <c r="B12589" t="s">
        <v>18871</v>
      </c>
      <c r="C12589" t="s">
        <v>138</v>
      </c>
      <c r="D12589" s="254">
        <v>116.89</v>
      </c>
      <c r="E12589"/>
      <c r="F12589"/>
      <c r="G12589"/>
      <c r="H12589"/>
      <c r="I12589" s="489"/>
      <c r="J12589" s="1362"/>
      <c r="K12589" s="1362"/>
      <c r="L12589" s="1362"/>
    </row>
    <row r="12590" spans="1:12" x14ac:dyDescent="0.25">
      <c r="A12590">
        <v>89524</v>
      </c>
      <c r="B12590" t="s">
        <v>18872</v>
      </c>
      <c r="C12590" t="s">
        <v>138</v>
      </c>
      <c r="D12590" s="254">
        <v>30.86</v>
      </c>
      <c r="E12590"/>
      <c r="F12590"/>
      <c r="G12590"/>
      <c r="H12590"/>
      <c r="I12590" s="489"/>
      <c r="J12590" s="1362"/>
      <c r="K12590" s="1362"/>
      <c r="L12590" s="1362"/>
    </row>
    <row r="12591" spans="1:12" x14ac:dyDescent="0.25">
      <c r="A12591">
        <v>89525</v>
      </c>
      <c r="B12591" t="s">
        <v>18873</v>
      </c>
      <c r="C12591" t="s">
        <v>138</v>
      </c>
      <c r="D12591" s="254">
        <v>114.94</v>
      </c>
      <c r="E12591"/>
      <c r="F12591"/>
      <c r="G12591"/>
      <c r="H12591"/>
      <c r="I12591" s="489"/>
      <c r="J12591" s="1362"/>
      <c r="K12591" s="1362"/>
      <c r="L12591" s="1362"/>
    </row>
    <row r="12592" spans="1:12" x14ac:dyDescent="0.25">
      <c r="A12592">
        <v>89526</v>
      </c>
      <c r="B12592" t="s">
        <v>18874</v>
      </c>
      <c r="C12592" t="s">
        <v>138</v>
      </c>
      <c r="D12592" s="254">
        <v>43.93</v>
      </c>
      <c r="E12592"/>
      <c r="F12592"/>
      <c r="G12592"/>
      <c r="H12592"/>
      <c r="I12592" s="489"/>
      <c r="J12592" s="1362"/>
      <c r="K12592" s="1362"/>
      <c r="L12592" s="1362"/>
    </row>
    <row r="12593" spans="1:12" x14ac:dyDescent="0.25">
      <c r="A12593">
        <v>89527</v>
      </c>
      <c r="B12593" t="s">
        <v>18875</v>
      </c>
      <c r="C12593" t="s">
        <v>138</v>
      </c>
      <c r="D12593" s="254">
        <v>88.02</v>
      </c>
      <c r="E12593"/>
      <c r="F12593"/>
      <c r="G12593"/>
      <c r="H12593"/>
      <c r="I12593" s="489"/>
      <c r="J12593" s="1362"/>
      <c r="K12593" s="1362"/>
      <c r="L12593" s="1362"/>
    </row>
    <row r="12594" spans="1:12" x14ac:dyDescent="0.25">
      <c r="A12594">
        <v>89528</v>
      </c>
      <c r="B12594" t="s">
        <v>18876</v>
      </c>
      <c r="C12594" t="s">
        <v>138</v>
      </c>
      <c r="D12594" s="254">
        <v>4.6100000000000003</v>
      </c>
      <c r="E12594"/>
      <c r="F12594"/>
      <c r="G12594"/>
      <c r="H12594"/>
      <c r="I12594" s="489"/>
      <c r="J12594" s="1362"/>
      <c r="K12594" s="1362"/>
      <c r="L12594" s="1362"/>
    </row>
    <row r="12595" spans="1:12" x14ac:dyDescent="0.25">
      <c r="A12595">
        <v>89529</v>
      </c>
      <c r="B12595" t="s">
        <v>18877</v>
      </c>
      <c r="C12595" t="s">
        <v>138</v>
      </c>
      <c r="D12595" s="254">
        <v>57.81</v>
      </c>
      <c r="E12595"/>
      <c r="F12595"/>
      <c r="G12595"/>
      <c r="H12595"/>
      <c r="I12595" s="489"/>
      <c r="J12595" s="1362"/>
      <c r="K12595" s="1362"/>
      <c r="L12595" s="1362"/>
    </row>
    <row r="12596" spans="1:12" x14ac:dyDescent="0.25">
      <c r="A12596">
        <v>89530</v>
      </c>
      <c r="B12596" t="s">
        <v>18878</v>
      </c>
      <c r="C12596" t="s">
        <v>138</v>
      </c>
      <c r="D12596" s="254">
        <v>16.55</v>
      </c>
      <c r="E12596"/>
      <c r="F12596"/>
      <c r="G12596"/>
      <c r="H12596"/>
      <c r="I12596" s="489"/>
      <c r="J12596" s="1362"/>
      <c r="K12596" s="1362"/>
      <c r="L12596" s="1362"/>
    </row>
    <row r="12597" spans="1:12" x14ac:dyDescent="0.25">
      <c r="A12597">
        <v>89531</v>
      </c>
      <c r="B12597" t="s">
        <v>18879</v>
      </c>
      <c r="C12597" t="s">
        <v>138</v>
      </c>
      <c r="D12597" s="254">
        <v>42.65</v>
      </c>
      <c r="E12597"/>
      <c r="F12597"/>
      <c r="G12597"/>
      <c r="H12597"/>
      <c r="I12597" s="489"/>
      <c r="J12597" s="1362"/>
      <c r="K12597" s="1362"/>
      <c r="L12597" s="1362"/>
    </row>
    <row r="12598" spans="1:12" x14ac:dyDescent="0.25">
      <c r="A12598">
        <v>89532</v>
      </c>
      <c r="B12598" t="s">
        <v>18880</v>
      </c>
      <c r="C12598" t="s">
        <v>138</v>
      </c>
      <c r="D12598" s="254">
        <v>8.75</v>
      </c>
      <c r="E12598"/>
      <c r="F12598"/>
      <c r="G12598"/>
      <c r="H12598"/>
      <c r="I12598" s="489"/>
      <c r="J12598" s="1362"/>
      <c r="K12598" s="1362"/>
      <c r="L12598" s="1362"/>
    </row>
    <row r="12599" spans="1:12" x14ac:dyDescent="0.25">
      <c r="A12599">
        <v>89535</v>
      </c>
      <c r="B12599" t="s">
        <v>18881</v>
      </c>
      <c r="C12599" t="s">
        <v>138</v>
      </c>
      <c r="D12599" s="254">
        <v>65.05</v>
      </c>
      <c r="E12599"/>
      <c r="F12599"/>
      <c r="G12599"/>
      <c r="H12599"/>
      <c r="I12599" s="489"/>
      <c r="J12599" s="1362"/>
      <c r="K12599" s="1362"/>
      <c r="L12599" s="1362"/>
    </row>
    <row r="12600" spans="1:12" x14ac:dyDescent="0.25">
      <c r="A12600">
        <v>89536</v>
      </c>
      <c r="B12600" t="s">
        <v>18882</v>
      </c>
      <c r="C12600" t="s">
        <v>138</v>
      </c>
      <c r="D12600" s="254">
        <v>14.89</v>
      </c>
      <c r="E12600"/>
      <c r="F12600"/>
      <c r="G12600"/>
      <c r="H12600"/>
      <c r="I12600" s="489"/>
      <c r="J12600" s="1362"/>
      <c r="K12600" s="1362"/>
      <c r="L12600" s="1362"/>
    </row>
    <row r="12601" spans="1:12" x14ac:dyDescent="0.25">
      <c r="A12601">
        <v>89539</v>
      </c>
      <c r="B12601" t="s">
        <v>18883</v>
      </c>
      <c r="C12601" t="s">
        <v>138</v>
      </c>
      <c r="D12601" s="254">
        <v>45.07</v>
      </c>
      <c r="E12601"/>
      <c r="F12601"/>
      <c r="G12601"/>
      <c r="H12601"/>
      <c r="I12601" s="489"/>
      <c r="J12601" s="1362"/>
      <c r="K12601" s="1362"/>
      <c r="L12601" s="1362"/>
    </row>
    <row r="12602" spans="1:12" x14ac:dyDescent="0.25">
      <c r="A12602">
        <v>89540</v>
      </c>
      <c r="B12602" t="s">
        <v>18884</v>
      </c>
      <c r="C12602" t="s">
        <v>138</v>
      </c>
      <c r="D12602" s="254">
        <v>12.36</v>
      </c>
      <c r="E12602"/>
      <c r="F12602"/>
      <c r="G12602"/>
      <c r="H12602"/>
      <c r="I12602" s="489"/>
      <c r="J12602" s="1362"/>
      <c r="K12602" s="1362"/>
      <c r="L12602" s="1362"/>
    </row>
    <row r="12603" spans="1:12" x14ac:dyDescent="0.25">
      <c r="A12603">
        <v>89541</v>
      </c>
      <c r="B12603" t="s">
        <v>18885</v>
      </c>
      <c r="C12603" t="s">
        <v>138</v>
      </c>
      <c r="D12603" s="254">
        <v>7.02</v>
      </c>
      <c r="E12603"/>
      <c r="F12603"/>
      <c r="G12603"/>
      <c r="H12603"/>
      <c r="I12603" s="489"/>
      <c r="J12603" s="1362"/>
      <c r="K12603" s="1362"/>
      <c r="L12603" s="1362"/>
    </row>
    <row r="12604" spans="1:12" x14ac:dyDescent="0.25">
      <c r="A12604">
        <v>89542</v>
      </c>
      <c r="B12604" t="s">
        <v>18886</v>
      </c>
      <c r="C12604" t="s">
        <v>138</v>
      </c>
      <c r="D12604" s="254">
        <v>35.49</v>
      </c>
      <c r="E12604"/>
      <c r="F12604"/>
      <c r="G12604"/>
      <c r="H12604"/>
      <c r="I12604" s="489"/>
      <c r="J12604" s="1362"/>
      <c r="K12604" s="1362"/>
      <c r="L12604" s="1362"/>
    </row>
    <row r="12605" spans="1:12" x14ac:dyDescent="0.25">
      <c r="A12605">
        <v>89544</v>
      </c>
      <c r="B12605" t="s">
        <v>18887</v>
      </c>
      <c r="C12605" t="s">
        <v>138</v>
      </c>
      <c r="D12605" s="254">
        <v>9.4600000000000009</v>
      </c>
      <c r="E12605"/>
      <c r="F12605"/>
      <c r="G12605"/>
      <c r="H12605"/>
      <c r="I12605" s="489"/>
      <c r="J12605" s="1362"/>
      <c r="K12605" s="1362"/>
      <c r="L12605" s="1362"/>
    </row>
    <row r="12606" spans="1:12" x14ac:dyDescent="0.25">
      <c r="A12606">
        <v>89545</v>
      </c>
      <c r="B12606" t="s">
        <v>18888</v>
      </c>
      <c r="C12606" t="s">
        <v>138</v>
      </c>
      <c r="D12606" s="254">
        <v>15.83</v>
      </c>
      <c r="E12606"/>
      <c r="F12606"/>
      <c r="G12606"/>
      <c r="H12606"/>
      <c r="I12606" s="489"/>
      <c r="J12606" s="1362"/>
      <c r="K12606" s="1362"/>
      <c r="L12606" s="1362"/>
    </row>
    <row r="12607" spans="1:12" x14ac:dyDescent="0.25">
      <c r="A12607">
        <v>89546</v>
      </c>
      <c r="B12607" t="s">
        <v>18889</v>
      </c>
      <c r="C12607" t="s">
        <v>138</v>
      </c>
      <c r="D12607" s="254">
        <v>13.24</v>
      </c>
      <c r="E12607"/>
      <c r="F12607"/>
      <c r="G12607"/>
      <c r="H12607"/>
      <c r="I12607" s="489"/>
      <c r="J12607" s="1362"/>
      <c r="K12607" s="1362"/>
      <c r="L12607" s="1362"/>
    </row>
    <row r="12608" spans="1:12" x14ac:dyDescent="0.25">
      <c r="A12608">
        <v>89547</v>
      </c>
      <c r="B12608" t="s">
        <v>18890</v>
      </c>
      <c r="C12608" t="s">
        <v>138</v>
      </c>
      <c r="D12608" s="254">
        <v>23.62</v>
      </c>
      <c r="E12608"/>
      <c r="F12608"/>
      <c r="G12608"/>
      <c r="H12608"/>
      <c r="I12608" s="489"/>
      <c r="J12608" s="1362"/>
      <c r="K12608" s="1362"/>
      <c r="L12608" s="1362"/>
    </row>
    <row r="12609" spans="1:12" x14ac:dyDescent="0.25">
      <c r="A12609">
        <v>89548</v>
      </c>
      <c r="B12609" t="s">
        <v>18891</v>
      </c>
      <c r="C12609" t="s">
        <v>138</v>
      </c>
      <c r="D12609" s="254">
        <v>26.04</v>
      </c>
      <c r="E12609"/>
      <c r="F12609"/>
      <c r="G12609"/>
      <c r="H12609"/>
      <c r="I12609" s="489"/>
      <c r="J12609" s="1362"/>
      <c r="K12609" s="1362"/>
      <c r="L12609" s="1362"/>
    </row>
    <row r="12610" spans="1:12" x14ac:dyDescent="0.25">
      <c r="A12610">
        <v>89549</v>
      </c>
      <c r="B12610" t="s">
        <v>18892</v>
      </c>
      <c r="C12610" t="s">
        <v>138</v>
      </c>
      <c r="D12610" s="254">
        <v>18.010000000000002</v>
      </c>
      <c r="E12610"/>
      <c r="F12610"/>
      <c r="G12610"/>
      <c r="H12610"/>
      <c r="I12610" s="489"/>
      <c r="J12610" s="1362"/>
      <c r="K12610" s="1362"/>
      <c r="L12610" s="1362"/>
    </row>
    <row r="12611" spans="1:12" x14ac:dyDescent="0.25">
      <c r="A12611">
        <v>89550</v>
      </c>
      <c r="B12611" t="s">
        <v>18893</v>
      </c>
      <c r="C12611" t="s">
        <v>138</v>
      </c>
      <c r="D12611" s="254">
        <v>43.84</v>
      </c>
      <c r="E12611"/>
      <c r="F12611"/>
      <c r="G12611"/>
      <c r="H12611"/>
      <c r="I12611" s="489"/>
      <c r="J12611" s="1362"/>
      <c r="K12611" s="1362"/>
      <c r="L12611" s="1362"/>
    </row>
    <row r="12612" spans="1:12" x14ac:dyDescent="0.25">
      <c r="A12612">
        <v>89551</v>
      </c>
      <c r="B12612" t="s">
        <v>18894</v>
      </c>
      <c r="C12612" t="s">
        <v>138</v>
      </c>
      <c r="D12612" s="254">
        <v>10.85</v>
      </c>
      <c r="E12612"/>
      <c r="F12612"/>
      <c r="G12612"/>
      <c r="H12612"/>
      <c r="I12612" s="489"/>
      <c r="J12612" s="1362"/>
      <c r="K12612" s="1362"/>
      <c r="L12612" s="1362"/>
    </row>
    <row r="12613" spans="1:12" x14ac:dyDescent="0.25">
      <c r="A12613">
        <v>89552</v>
      </c>
      <c r="B12613" t="s">
        <v>18895</v>
      </c>
      <c r="C12613" t="s">
        <v>138</v>
      </c>
      <c r="D12613" s="254">
        <v>23.07</v>
      </c>
      <c r="E12613"/>
      <c r="F12613"/>
      <c r="G12613"/>
      <c r="H12613"/>
      <c r="I12613" s="489"/>
      <c r="J12613" s="1362"/>
      <c r="K12613" s="1362"/>
      <c r="L12613" s="1362"/>
    </row>
    <row r="12614" spans="1:12" x14ac:dyDescent="0.25">
      <c r="A12614">
        <v>89553</v>
      </c>
      <c r="B12614" t="s">
        <v>18896</v>
      </c>
      <c r="C12614" t="s">
        <v>138</v>
      </c>
      <c r="D12614" s="254">
        <v>6.39</v>
      </c>
      <c r="E12614"/>
      <c r="F12614"/>
      <c r="G12614"/>
      <c r="H12614"/>
      <c r="I12614" s="489"/>
      <c r="J12614" s="1362"/>
      <c r="K12614" s="1362"/>
      <c r="L12614" s="1362"/>
    </row>
    <row r="12615" spans="1:12" x14ac:dyDescent="0.25">
      <c r="A12615">
        <v>89554</v>
      </c>
      <c r="B12615" t="s">
        <v>18897</v>
      </c>
      <c r="C12615" t="s">
        <v>138</v>
      </c>
      <c r="D12615" s="254">
        <v>34</v>
      </c>
      <c r="E12615"/>
      <c r="F12615"/>
      <c r="G12615"/>
      <c r="H12615"/>
      <c r="I12615" s="489"/>
      <c r="J12615" s="1362"/>
      <c r="K12615" s="1362"/>
      <c r="L12615" s="1362"/>
    </row>
    <row r="12616" spans="1:12" x14ac:dyDescent="0.25">
      <c r="A12616">
        <v>89555</v>
      </c>
      <c r="B12616" t="s">
        <v>18898</v>
      </c>
      <c r="C12616" t="s">
        <v>138</v>
      </c>
      <c r="D12616" s="254">
        <v>27.98</v>
      </c>
      <c r="E12616"/>
      <c r="F12616"/>
      <c r="G12616"/>
      <c r="H12616"/>
      <c r="I12616" s="489"/>
      <c r="J12616" s="1362"/>
      <c r="K12616" s="1362"/>
      <c r="L12616" s="1362"/>
    </row>
    <row r="12617" spans="1:12" x14ac:dyDescent="0.25">
      <c r="A12617">
        <v>89556</v>
      </c>
      <c r="B12617" t="s">
        <v>18899</v>
      </c>
      <c r="C12617" t="s">
        <v>138</v>
      </c>
      <c r="D12617" s="254">
        <v>46.58</v>
      </c>
      <c r="E12617"/>
      <c r="F12617"/>
      <c r="G12617"/>
      <c r="H12617"/>
      <c r="I12617" s="489"/>
      <c r="J12617" s="1362"/>
      <c r="K12617" s="1362"/>
      <c r="L12617" s="1362"/>
    </row>
    <row r="12618" spans="1:12" x14ac:dyDescent="0.25">
      <c r="A12618">
        <v>89557</v>
      </c>
      <c r="B12618" t="s">
        <v>18900</v>
      </c>
      <c r="C12618" t="s">
        <v>138</v>
      </c>
      <c r="D12618" s="254">
        <v>36.479999999999997</v>
      </c>
      <c r="E12618"/>
      <c r="F12618"/>
      <c r="G12618"/>
      <c r="H12618"/>
      <c r="I12618" s="489"/>
      <c r="J12618" s="1362"/>
      <c r="K12618" s="1362"/>
      <c r="L12618" s="1362"/>
    </row>
    <row r="12619" spans="1:12" x14ac:dyDescent="0.25">
      <c r="A12619">
        <v>89558</v>
      </c>
      <c r="B12619" t="s">
        <v>18901</v>
      </c>
      <c r="C12619" t="s">
        <v>138</v>
      </c>
      <c r="D12619" s="254">
        <v>10.58</v>
      </c>
      <c r="E12619"/>
      <c r="F12619"/>
      <c r="G12619"/>
      <c r="H12619"/>
      <c r="I12619" s="489"/>
      <c r="J12619" s="1362"/>
      <c r="K12619" s="1362"/>
      <c r="L12619" s="1362"/>
    </row>
    <row r="12620" spans="1:12" x14ac:dyDescent="0.25">
      <c r="A12620">
        <v>89559</v>
      </c>
      <c r="B12620" t="s">
        <v>18902</v>
      </c>
      <c r="C12620" t="s">
        <v>138</v>
      </c>
      <c r="D12620" s="254">
        <v>75.67</v>
      </c>
      <c r="E12620"/>
      <c r="F12620"/>
      <c r="G12620"/>
      <c r="H12620"/>
      <c r="I12620" s="489"/>
      <c r="J12620" s="1362"/>
      <c r="K12620" s="1362"/>
      <c r="L12620" s="1362"/>
    </row>
    <row r="12621" spans="1:12" x14ac:dyDescent="0.25">
      <c r="A12621">
        <v>89561</v>
      </c>
      <c r="B12621" t="s">
        <v>18903</v>
      </c>
      <c r="C12621" t="s">
        <v>138</v>
      </c>
      <c r="D12621" s="254">
        <v>13.83</v>
      </c>
      <c r="E12621"/>
      <c r="F12621"/>
      <c r="G12621"/>
      <c r="H12621"/>
      <c r="I12621" s="489"/>
      <c r="J12621" s="1362"/>
      <c r="K12621" s="1362"/>
      <c r="L12621" s="1362"/>
    </row>
    <row r="12622" spans="1:12" x14ac:dyDescent="0.25">
      <c r="A12622">
        <v>89562</v>
      </c>
      <c r="B12622" t="s">
        <v>18904</v>
      </c>
      <c r="C12622" t="s">
        <v>138</v>
      </c>
      <c r="D12622" s="254">
        <v>10.75</v>
      </c>
      <c r="E12622"/>
      <c r="F12622"/>
      <c r="G12622"/>
      <c r="H12622"/>
      <c r="I12622" s="489"/>
      <c r="J12622" s="1362"/>
      <c r="K12622" s="1362"/>
      <c r="L12622" s="1362"/>
    </row>
    <row r="12623" spans="1:12" x14ac:dyDescent="0.25">
      <c r="A12623">
        <v>89563</v>
      </c>
      <c r="B12623" t="s">
        <v>18905</v>
      </c>
      <c r="C12623" t="s">
        <v>138</v>
      </c>
      <c r="D12623" s="254">
        <v>26.87</v>
      </c>
      <c r="E12623"/>
      <c r="F12623"/>
      <c r="G12623"/>
      <c r="H12623"/>
      <c r="I12623" s="489"/>
      <c r="J12623" s="1362"/>
      <c r="K12623" s="1362"/>
      <c r="L12623" s="1362"/>
    </row>
    <row r="12624" spans="1:12" x14ac:dyDescent="0.25">
      <c r="A12624">
        <v>89564</v>
      </c>
      <c r="B12624" t="s">
        <v>18906</v>
      </c>
      <c r="C12624" t="s">
        <v>138</v>
      </c>
      <c r="D12624" s="254">
        <v>20.04</v>
      </c>
      <c r="E12624"/>
      <c r="F12624"/>
      <c r="G12624"/>
      <c r="H12624"/>
      <c r="I12624" s="489"/>
      <c r="J12624" s="1362"/>
      <c r="K12624" s="1362"/>
      <c r="L12624" s="1362"/>
    </row>
    <row r="12625" spans="1:12" x14ac:dyDescent="0.25">
      <c r="A12625">
        <v>89565</v>
      </c>
      <c r="B12625" t="s">
        <v>18907</v>
      </c>
      <c r="C12625" t="s">
        <v>138</v>
      </c>
      <c r="D12625" s="254">
        <v>59.15</v>
      </c>
      <c r="E12625"/>
      <c r="F12625"/>
      <c r="G12625"/>
      <c r="H12625"/>
      <c r="I12625" s="489"/>
      <c r="J12625" s="1362"/>
      <c r="K12625" s="1362"/>
      <c r="L12625" s="1362"/>
    </row>
    <row r="12626" spans="1:12" x14ac:dyDescent="0.25">
      <c r="A12626">
        <v>89566</v>
      </c>
      <c r="B12626" t="s">
        <v>18908</v>
      </c>
      <c r="C12626" t="s">
        <v>138</v>
      </c>
      <c r="D12626" s="254">
        <v>51.42</v>
      </c>
      <c r="E12626"/>
      <c r="F12626"/>
      <c r="G12626"/>
      <c r="H12626"/>
      <c r="I12626" s="489"/>
      <c r="J12626" s="1362"/>
      <c r="K12626" s="1362"/>
      <c r="L12626" s="1362"/>
    </row>
    <row r="12627" spans="1:12" x14ac:dyDescent="0.25">
      <c r="A12627">
        <v>89567</v>
      </c>
      <c r="B12627" t="s">
        <v>18909</v>
      </c>
      <c r="C12627" t="s">
        <v>138</v>
      </c>
      <c r="D12627" s="254">
        <v>88.91</v>
      </c>
      <c r="E12627"/>
      <c r="F12627"/>
      <c r="G12627"/>
      <c r="H12627"/>
      <c r="I12627" s="489"/>
      <c r="J12627" s="1362"/>
      <c r="K12627" s="1362"/>
      <c r="L12627" s="1362"/>
    </row>
    <row r="12628" spans="1:12" x14ac:dyDescent="0.25">
      <c r="A12628">
        <v>89568</v>
      </c>
      <c r="B12628" t="s">
        <v>18910</v>
      </c>
      <c r="C12628" t="s">
        <v>138</v>
      </c>
      <c r="D12628" s="254">
        <v>41.65</v>
      </c>
      <c r="E12628"/>
      <c r="F12628"/>
      <c r="G12628"/>
      <c r="H12628"/>
      <c r="I12628" s="489"/>
      <c r="J12628" s="1362"/>
      <c r="K12628" s="1362"/>
      <c r="L12628" s="1362"/>
    </row>
    <row r="12629" spans="1:12" x14ac:dyDescent="0.25">
      <c r="A12629">
        <v>89569</v>
      </c>
      <c r="B12629" t="s">
        <v>18911</v>
      </c>
      <c r="C12629" t="s">
        <v>138</v>
      </c>
      <c r="D12629" s="254">
        <v>85.66</v>
      </c>
      <c r="E12629"/>
      <c r="F12629"/>
      <c r="G12629"/>
      <c r="H12629"/>
      <c r="I12629" s="489"/>
      <c r="J12629" s="1362"/>
      <c r="K12629" s="1362"/>
      <c r="L12629" s="1362"/>
    </row>
    <row r="12630" spans="1:12" x14ac:dyDescent="0.25">
      <c r="A12630">
        <v>89570</v>
      </c>
      <c r="B12630" t="s">
        <v>18912</v>
      </c>
      <c r="C12630" t="s">
        <v>138</v>
      </c>
      <c r="D12630" s="254">
        <v>14.13</v>
      </c>
      <c r="E12630"/>
      <c r="F12630"/>
      <c r="G12630"/>
      <c r="H12630"/>
      <c r="I12630" s="489"/>
      <c r="J12630" s="1362"/>
      <c r="K12630" s="1362"/>
      <c r="L12630" s="1362"/>
    </row>
    <row r="12631" spans="1:12" x14ac:dyDescent="0.25">
      <c r="A12631">
        <v>89571</v>
      </c>
      <c r="B12631" t="s">
        <v>18913</v>
      </c>
      <c r="C12631" t="s">
        <v>138</v>
      </c>
      <c r="D12631" s="254">
        <v>88.57</v>
      </c>
      <c r="E12631"/>
      <c r="F12631"/>
      <c r="G12631"/>
      <c r="H12631"/>
      <c r="I12631" s="489"/>
      <c r="J12631" s="1362"/>
      <c r="K12631" s="1362"/>
      <c r="L12631" s="1362"/>
    </row>
    <row r="12632" spans="1:12" x14ac:dyDescent="0.25">
      <c r="A12632">
        <v>89572</v>
      </c>
      <c r="B12632" t="s">
        <v>18914</v>
      </c>
      <c r="C12632" t="s">
        <v>138</v>
      </c>
      <c r="D12632" s="254">
        <v>9.48</v>
      </c>
      <c r="E12632"/>
      <c r="F12632"/>
      <c r="G12632"/>
      <c r="H12632"/>
      <c r="I12632" s="489"/>
      <c r="J12632" s="1362"/>
      <c r="K12632" s="1362"/>
      <c r="L12632" s="1362"/>
    </row>
    <row r="12633" spans="1:12" x14ac:dyDescent="0.25">
      <c r="A12633">
        <v>89573</v>
      </c>
      <c r="B12633" t="s">
        <v>18915</v>
      </c>
      <c r="C12633" t="s">
        <v>138</v>
      </c>
      <c r="D12633" s="254">
        <v>76.48</v>
      </c>
      <c r="E12633"/>
      <c r="F12633"/>
      <c r="G12633"/>
      <c r="H12633"/>
      <c r="I12633" s="489"/>
      <c r="J12633" s="1362"/>
      <c r="K12633" s="1362"/>
      <c r="L12633" s="1362"/>
    </row>
    <row r="12634" spans="1:12" x14ac:dyDescent="0.25">
      <c r="A12634">
        <v>89574</v>
      </c>
      <c r="B12634" t="s">
        <v>18916</v>
      </c>
      <c r="C12634" t="s">
        <v>138</v>
      </c>
      <c r="D12634" s="254">
        <v>152.66999999999999</v>
      </c>
      <c r="E12634"/>
      <c r="F12634"/>
      <c r="G12634"/>
      <c r="H12634"/>
      <c r="I12634" s="489"/>
      <c r="J12634" s="1362"/>
      <c r="K12634" s="1362"/>
      <c r="L12634" s="1362"/>
    </row>
    <row r="12635" spans="1:12" x14ac:dyDescent="0.25">
      <c r="A12635">
        <v>89575</v>
      </c>
      <c r="B12635" t="s">
        <v>18917</v>
      </c>
      <c r="C12635" t="s">
        <v>138</v>
      </c>
      <c r="D12635" s="254">
        <v>13.24</v>
      </c>
      <c r="E12635"/>
      <c r="F12635"/>
      <c r="G12635"/>
      <c r="H12635"/>
      <c r="I12635" s="489"/>
      <c r="J12635" s="1362"/>
      <c r="K12635" s="1362"/>
      <c r="L12635" s="1362"/>
    </row>
    <row r="12636" spans="1:12" x14ac:dyDescent="0.25">
      <c r="A12636">
        <v>89577</v>
      </c>
      <c r="B12636" t="s">
        <v>18918</v>
      </c>
      <c r="C12636" t="s">
        <v>138</v>
      </c>
      <c r="D12636" s="254">
        <v>42.51</v>
      </c>
      <c r="E12636"/>
      <c r="F12636"/>
      <c r="G12636"/>
      <c r="H12636"/>
      <c r="I12636" s="489"/>
      <c r="J12636" s="1362"/>
      <c r="K12636" s="1362"/>
      <c r="L12636" s="1362"/>
    </row>
    <row r="12637" spans="1:12" x14ac:dyDescent="0.25">
      <c r="A12637">
        <v>89579</v>
      </c>
      <c r="B12637" t="s">
        <v>18919</v>
      </c>
      <c r="C12637" t="s">
        <v>138</v>
      </c>
      <c r="D12637" s="254">
        <v>11.67</v>
      </c>
      <c r="E12637"/>
      <c r="F12637"/>
      <c r="G12637"/>
      <c r="H12637"/>
      <c r="I12637" s="489"/>
      <c r="J12637" s="1362"/>
      <c r="K12637" s="1362"/>
      <c r="L12637" s="1362"/>
    </row>
    <row r="12638" spans="1:12" x14ac:dyDescent="0.25">
      <c r="A12638">
        <v>89581</v>
      </c>
      <c r="B12638" t="s">
        <v>18920</v>
      </c>
      <c r="C12638" t="s">
        <v>138</v>
      </c>
      <c r="D12638" s="254">
        <v>38.57</v>
      </c>
      <c r="E12638"/>
      <c r="F12638"/>
      <c r="G12638"/>
      <c r="H12638"/>
      <c r="I12638" s="489"/>
      <c r="J12638" s="1362"/>
      <c r="K12638" s="1362"/>
      <c r="L12638" s="1362"/>
    </row>
    <row r="12639" spans="1:12" x14ac:dyDescent="0.25">
      <c r="A12639">
        <v>89582</v>
      </c>
      <c r="B12639" t="s">
        <v>18921</v>
      </c>
      <c r="C12639" t="s">
        <v>138</v>
      </c>
      <c r="D12639" s="254">
        <v>34.99</v>
      </c>
      <c r="E12639"/>
      <c r="F12639"/>
      <c r="G12639"/>
      <c r="H12639"/>
      <c r="I12639" s="489"/>
      <c r="J12639" s="1362"/>
      <c r="K12639" s="1362"/>
      <c r="L12639" s="1362"/>
    </row>
    <row r="12640" spans="1:12" x14ac:dyDescent="0.25">
      <c r="A12640">
        <v>89583</v>
      </c>
      <c r="B12640" t="s">
        <v>18922</v>
      </c>
      <c r="C12640" t="s">
        <v>138</v>
      </c>
      <c r="D12640" s="254">
        <v>48.06</v>
      </c>
      <c r="E12640"/>
      <c r="F12640"/>
      <c r="G12640"/>
      <c r="H12640"/>
      <c r="I12640" s="489"/>
      <c r="J12640" s="1362"/>
      <c r="K12640" s="1362"/>
      <c r="L12640" s="1362"/>
    </row>
    <row r="12641" spans="1:12" x14ac:dyDescent="0.25">
      <c r="A12641">
        <v>89584</v>
      </c>
      <c r="B12641" t="s">
        <v>18923</v>
      </c>
      <c r="C12641" t="s">
        <v>138</v>
      </c>
      <c r="D12641" s="254">
        <v>58.85</v>
      </c>
      <c r="E12641"/>
      <c r="F12641"/>
      <c r="G12641"/>
      <c r="H12641"/>
      <c r="I12641" s="489"/>
      <c r="J12641" s="1362"/>
      <c r="K12641" s="1362"/>
      <c r="L12641" s="1362"/>
    </row>
    <row r="12642" spans="1:12" x14ac:dyDescent="0.25">
      <c r="A12642">
        <v>89585</v>
      </c>
      <c r="B12642" t="s">
        <v>18924</v>
      </c>
      <c r="C12642" t="s">
        <v>138</v>
      </c>
      <c r="D12642" s="254">
        <v>50.13</v>
      </c>
      <c r="E12642"/>
      <c r="F12642"/>
      <c r="G12642"/>
      <c r="H12642"/>
      <c r="I12642" s="489"/>
      <c r="J12642" s="1362"/>
      <c r="K12642" s="1362"/>
      <c r="L12642" s="1362"/>
    </row>
    <row r="12643" spans="1:12" x14ac:dyDescent="0.25">
      <c r="A12643">
        <v>89587</v>
      </c>
      <c r="B12643" t="s">
        <v>18925</v>
      </c>
      <c r="C12643" t="s">
        <v>138</v>
      </c>
      <c r="D12643" s="254">
        <v>72.53</v>
      </c>
      <c r="E12643"/>
      <c r="F12643"/>
      <c r="G12643"/>
      <c r="H12643"/>
      <c r="I12643" s="489"/>
      <c r="J12643" s="1362"/>
      <c r="K12643" s="1362"/>
      <c r="L12643" s="1362"/>
    </row>
    <row r="12644" spans="1:12" x14ac:dyDescent="0.25">
      <c r="A12644">
        <v>89589</v>
      </c>
      <c r="B12644" t="s">
        <v>18926</v>
      </c>
      <c r="C12644" t="s">
        <v>138</v>
      </c>
      <c r="D12644" s="254">
        <v>52.55</v>
      </c>
      <c r="E12644"/>
      <c r="F12644"/>
      <c r="G12644"/>
      <c r="H12644"/>
      <c r="I12644" s="489"/>
      <c r="J12644" s="1362"/>
      <c r="K12644" s="1362"/>
      <c r="L12644" s="1362"/>
    </row>
    <row r="12645" spans="1:12" x14ac:dyDescent="0.25">
      <c r="A12645">
        <v>89590</v>
      </c>
      <c r="B12645" t="s">
        <v>18927</v>
      </c>
      <c r="C12645" t="s">
        <v>138</v>
      </c>
      <c r="D12645" s="254">
        <v>167.81</v>
      </c>
      <c r="E12645"/>
      <c r="F12645"/>
      <c r="G12645"/>
      <c r="H12645"/>
      <c r="I12645" s="489"/>
      <c r="J12645" s="1362"/>
      <c r="K12645" s="1362"/>
      <c r="L12645" s="1362"/>
    </row>
    <row r="12646" spans="1:12" x14ac:dyDescent="0.25">
      <c r="A12646">
        <v>89591</v>
      </c>
      <c r="B12646" t="s">
        <v>18928</v>
      </c>
      <c r="C12646" t="s">
        <v>138</v>
      </c>
      <c r="D12646" s="254">
        <v>142.75</v>
      </c>
      <c r="E12646"/>
      <c r="F12646"/>
      <c r="G12646"/>
      <c r="H12646"/>
      <c r="I12646" s="489"/>
      <c r="J12646" s="1362"/>
      <c r="K12646" s="1362"/>
      <c r="L12646" s="1362"/>
    </row>
    <row r="12647" spans="1:12" x14ac:dyDescent="0.25">
      <c r="A12647">
        <v>89592</v>
      </c>
      <c r="B12647" t="s">
        <v>18929</v>
      </c>
      <c r="C12647" t="s">
        <v>138</v>
      </c>
      <c r="D12647" s="254">
        <v>215.61</v>
      </c>
      <c r="E12647"/>
      <c r="F12647"/>
      <c r="G12647"/>
      <c r="H12647"/>
      <c r="I12647" s="489"/>
      <c r="J12647" s="1362"/>
      <c r="K12647" s="1362"/>
      <c r="L12647" s="1362"/>
    </row>
    <row r="12648" spans="1:12" x14ac:dyDescent="0.25">
      <c r="A12648">
        <v>89593</v>
      </c>
      <c r="B12648" t="s">
        <v>18930</v>
      </c>
      <c r="C12648" t="s">
        <v>138</v>
      </c>
      <c r="D12648" s="254">
        <v>37.159999999999997</v>
      </c>
      <c r="E12648"/>
      <c r="F12648"/>
      <c r="G12648"/>
      <c r="H12648"/>
      <c r="I12648" s="489"/>
      <c r="J12648" s="1362"/>
      <c r="K12648" s="1362"/>
      <c r="L12648" s="1362"/>
    </row>
    <row r="12649" spans="1:12" x14ac:dyDescent="0.25">
      <c r="A12649">
        <v>89594</v>
      </c>
      <c r="B12649" t="s">
        <v>18931</v>
      </c>
      <c r="C12649" t="s">
        <v>138</v>
      </c>
      <c r="D12649" s="254">
        <v>46.43</v>
      </c>
      <c r="E12649"/>
      <c r="F12649"/>
      <c r="G12649"/>
      <c r="H12649"/>
      <c r="I12649" s="489"/>
      <c r="J12649" s="1362"/>
      <c r="K12649" s="1362"/>
      <c r="L12649" s="1362"/>
    </row>
    <row r="12650" spans="1:12" x14ac:dyDescent="0.25">
      <c r="A12650">
        <v>89595</v>
      </c>
      <c r="B12650" t="s">
        <v>18932</v>
      </c>
      <c r="C12650" t="s">
        <v>138</v>
      </c>
      <c r="D12650" s="254">
        <v>16.27</v>
      </c>
      <c r="E12650"/>
      <c r="F12650"/>
      <c r="G12650"/>
      <c r="H12650"/>
      <c r="I12650" s="489"/>
      <c r="J12650" s="1362"/>
      <c r="K12650" s="1362"/>
      <c r="L12650" s="1362"/>
    </row>
    <row r="12651" spans="1:12" x14ac:dyDescent="0.25">
      <c r="A12651">
        <v>89596</v>
      </c>
      <c r="B12651" t="s">
        <v>18933</v>
      </c>
      <c r="C12651" t="s">
        <v>138</v>
      </c>
      <c r="D12651" s="254">
        <v>11.71</v>
      </c>
      <c r="E12651"/>
      <c r="F12651"/>
      <c r="G12651"/>
      <c r="H12651"/>
      <c r="I12651" s="489"/>
      <c r="J12651" s="1362"/>
      <c r="K12651" s="1362"/>
      <c r="L12651" s="1362"/>
    </row>
    <row r="12652" spans="1:12" x14ac:dyDescent="0.25">
      <c r="A12652">
        <v>89597</v>
      </c>
      <c r="B12652" t="s">
        <v>18934</v>
      </c>
      <c r="C12652" t="s">
        <v>138</v>
      </c>
      <c r="D12652" s="254">
        <v>24.37</v>
      </c>
      <c r="E12652"/>
      <c r="F12652"/>
      <c r="G12652"/>
      <c r="H12652"/>
      <c r="I12652" s="489"/>
      <c r="J12652" s="1362"/>
      <c r="K12652" s="1362"/>
      <c r="L12652" s="1362"/>
    </row>
    <row r="12653" spans="1:12" x14ac:dyDescent="0.25">
      <c r="A12653">
        <v>89598</v>
      </c>
      <c r="B12653" t="s">
        <v>18935</v>
      </c>
      <c r="C12653" t="s">
        <v>138</v>
      </c>
      <c r="D12653" s="254">
        <v>64.02</v>
      </c>
      <c r="E12653"/>
      <c r="F12653"/>
      <c r="G12653"/>
      <c r="H12653"/>
      <c r="I12653" s="489"/>
      <c r="J12653" s="1362"/>
      <c r="K12653" s="1362"/>
      <c r="L12653" s="1362"/>
    </row>
    <row r="12654" spans="1:12" x14ac:dyDescent="0.25">
      <c r="A12654">
        <v>89599</v>
      </c>
      <c r="B12654" t="s">
        <v>18936</v>
      </c>
      <c r="C12654" t="s">
        <v>138</v>
      </c>
      <c r="D12654" s="254">
        <v>26.39</v>
      </c>
      <c r="E12654"/>
      <c r="F12654"/>
      <c r="G12654"/>
      <c r="H12654"/>
      <c r="I12654" s="489"/>
      <c r="J12654" s="1362"/>
      <c r="K12654" s="1362"/>
      <c r="L12654" s="1362"/>
    </row>
    <row r="12655" spans="1:12" x14ac:dyDescent="0.25">
      <c r="A12655">
        <v>89600</v>
      </c>
      <c r="B12655" t="s">
        <v>18937</v>
      </c>
      <c r="C12655" t="s">
        <v>138</v>
      </c>
      <c r="D12655" s="254">
        <v>28.79</v>
      </c>
      <c r="E12655"/>
      <c r="F12655"/>
      <c r="G12655"/>
      <c r="H12655"/>
      <c r="I12655" s="489"/>
      <c r="J12655" s="1362"/>
      <c r="K12655" s="1362"/>
      <c r="L12655" s="1362"/>
    </row>
    <row r="12656" spans="1:12" x14ac:dyDescent="0.25">
      <c r="A12656">
        <v>89605</v>
      </c>
      <c r="B12656" t="s">
        <v>18938</v>
      </c>
      <c r="C12656" t="s">
        <v>138</v>
      </c>
      <c r="D12656" s="254">
        <v>22.89</v>
      </c>
      <c r="E12656"/>
      <c r="F12656"/>
      <c r="G12656"/>
      <c r="H12656"/>
      <c r="I12656" s="489"/>
      <c r="J12656" s="1362"/>
      <c r="K12656" s="1362"/>
      <c r="L12656" s="1362"/>
    </row>
    <row r="12657" spans="1:12" x14ac:dyDescent="0.25">
      <c r="A12657">
        <v>89609</v>
      </c>
      <c r="B12657" t="s">
        <v>18939</v>
      </c>
      <c r="C12657" t="s">
        <v>138</v>
      </c>
      <c r="D12657" s="254">
        <v>107.41</v>
      </c>
      <c r="E12657"/>
      <c r="F12657"/>
      <c r="G12657"/>
      <c r="H12657"/>
      <c r="I12657" s="489"/>
      <c r="J12657" s="1362"/>
      <c r="K12657" s="1362"/>
      <c r="L12657" s="1362"/>
    </row>
    <row r="12658" spans="1:12" x14ac:dyDescent="0.25">
      <c r="A12658">
        <v>89610</v>
      </c>
      <c r="B12658" t="s">
        <v>18940</v>
      </c>
      <c r="C12658" t="s">
        <v>138</v>
      </c>
      <c r="D12658" s="254">
        <v>23.5</v>
      </c>
      <c r="E12658"/>
      <c r="F12658"/>
      <c r="G12658"/>
      <c r="H12658"/>
      <c r="I12658" s="489"/>
      <c r="J12658" s="1362"/>
      <c r="K12658" s="1362"/>
      <c r="L12658" s="1362"/>
    </row>
    <row r="12659" spans="1:12" x14ac:dyDescent="0.25">
      <c r="A12659">
        <v>89611</v>
      </c>
      <c r="B12659" t="s">
        <v>18941</v>
      </c>
      <c r="C12659" t="s">
        <v>138</v>
      </c>
      <c r="D12659" s="254">
        <v>38.74</v>
      </c>
      <c r="E12659"/>
      <c r="F12659"/>
      <c r="G12659"/>
      <c r="H12659"/>
      <c r="I12659" s="489"/>
      <c r="J12659" s="1362"/>
      <c r="K12659" s="1362"/>
      <c r="L12659" s="1362"/>
    </row>
    <row r="12660" spans="1:12" x14ac:dyDescent="0.25">
      <c r="A12660">
        <v>89612</v>
      </c>
      <c r="B12660" t="s">
        <v>18942</v>
      </c>
      <c r="C12660" t="s">
        <v>138</v>
      </c>
      <c r="D12660" s="254">
        <v>210.53</v>
      </c>
      <c r="E12660"/>
      <c r="F12660"/>
      <c r="G12660"/>
      <c r="H12660"/>
      <c r="I12660" s="489"/>
      <c r="J12660" s="1362"/>
      <c r="K12660" s="1362"/>
      <c r="L12660" s="1362"/>
    </row>
    <row r="12661" spans="1:12" x14ac:dyDescent="0.25">
      <c r="A12661">
        <v>89613</v>
      </c>
      <c r="B12661" t="s">
        <v>1601</v>
      </c>
      <c r="C12661" t="s">
        <v>138</v>
      </c>
      <c r="D12661" s="254">
        <v>32.869999999999997</v>
      </c>
      <c r="E12661"/>
      <c r="F12661"/>
      <c r="G12661"/>
      <c r="H12661"/>
      <c r="I12661" s="489"/>
      <c r="J12661" s="1362"/>
      <c r="K12661" s="1362"/>
      <c r="L12661" s="1362"/>
    </row>
    <row r="12662" spans="1:12" x14ac:dyDescent="0.25">
      <c r="A12662">
        <v>89614</v>
      </c>
      <c r="B12662" t="s">
        <v>18943</v>
      </c>
      <c r="C12662" t="s">
        <v>138</v>
      </c>
      <c r="D12662" s="254">
        <v>75.02</v>
      </c>
      <c r="E12662"/>
      <c r="F12662"/>
      <c r="G12662"/>
      <c r="H12662"/>
      <c r="I12662" s="489"/>
      <c r="J12662" s="1362"/>
      <c r="K12662" s="1362"/>
      <c r="L12662" s="1362"/>
    </row>
    <row r="12663" spans="1:12" x14ac:dyDescent="0.25">
      <c r="A12663">
        <v>89615</v>
      </c>
      <c r="B12663" t="s">
        <v>18944</v>
      </c>
      <c r="C12663" t="s">
        <v>138</v>
      </c>
      <c r="D12663" s="254">
        <v>319.35000000000002</v>
      </c>
      <c r="E12663"/>
      <c r="F12663"/>
      <c r="G12663"/>
      <c r="H12663"/>
      <c r="I12663" s="489"/>
      <c r="J12663" s="1362"/>
      <c r="K12663" s="1362"/>
      <c r="L12663" s="1362"/>
    </row>
    <row r="12664" spans="1:12" x14ac:dyDescent="0.25">
      <c r="A12664">
        <v>89616</v>
      </c>
      <c r="B12664" t="s">
        <v>18945</v>
      </c>
      <c r="C12664" t="s">
        <v>138</v>
      </c>
      <c r="D12664" s="254">
        <v>49.76</v>
      </c>
      <c r="E12664"/>
      <c r="F12664"/>
      <c r="G12664"/>
      <c r="H12664"/>
      <c r="I12664" s="489"/>
      <c r="J12664" s="1362"/>
      <c r="K12664" s="1362"/>
      <c r="L12664" s="1362"/>
    </row>
    <row r="12665" spans="1:12" x14ac:dyDescent="0.25">
      <c r="A12665">
        <v>89617</v>
      </c>
      <c r="B12665" t="s">
        <v>18946</v>
      </c>
      <c r="C12665" t="s">
        <v>138</v>
      </c>
      <c r="D12665" s="254">
        <v>8.2200000000000006</v>
      </c>
      <c r="E12665"/>
      <c r="F12665"/>
      <c r="G12665"/>
      <c r="H12665"/>
      <c r="I12665" s="489"/>
      <c r="J12665" s="1362"/>
      <c r="K12665" s="1362"/>
      <c r="L12665" s="1362"/>
    </row>
    <row r="12666" spans="1:12" x14ac:dyDescent="0.25">
      <c r="A12666">
        <v>89620</v>
      </c>
      <c r="B12666" t="s">
        <v>18947</v>
      </c>
      <c r="C12666" t="s">
        <v>138</v>
      </c>
      <c r="D12666" s="254">
        <v>13.61</v>
      </c>
      <c r="E12666"/>
      <c r="F12666"/>
      <c r="G12666"/>
      <c r="H12666"/>
      <c r="I12666" s="489"/>
      <c r="J12666" s="1362"/>
      <c r="K12666" s="1362"/>
      <c r="L12666" s="1362"/>
    </row>
    <row r="12667" spans="1:12" x14ac:dyDescent="0.25">
      <c r="A12667">
        <v>89622</v>
      </c>
      <c r="B12667" t="s">
        <v>18948</v>
      </c>
      <c r="C12667" t="s">
        <v>138</v>
      </c>
      <c r="D12667" s="254">
        <v>15.28</v>
      </c>
      <c r="E12667"/>
      <c r="F12667"/>
      <c r="G12667"/>
      <c r="H12667"/>
      <c r="I12667" s="489"/>
      <c r="J12667" s="1362"/>
      <c r="K12667" s="1362"/>
      <c r="L12667" s="1362"/>
    </row>
    <row r="12668" spans="1:12" x14ac:dyDescent="0.25">
      <c r="A12668">
        <v>89623</v>
      </c>
      <c r="B12668" t="s">
        <v>18949</v>
      </c>
      <c r="C12668" t="s">
        <v>138</v>
      </c>
      <c r="D12668" s="254">
        <v>21.73</v>
      </c>
      <c r="E12668"/>
      <c r="F12668"/>
      <c r="G12668"/>
      <c r="H12668"/>
      <c r="I12668" s="489"/>
      <c r="J12668" s="1362"/>
      <c r="K12668" s="1362"/>
      <c r="L12668" s="1362"/>
    </row>
    <row r="12669" spans="1:12" x14ac:dyDescent="0.25">
      <c r="A12669">
        <v>89624</v>
      </c>
      <c r="B12669" t="s">
        <v>18950</v>
      </c>
      <c r="C12669" t="s">
        <v>138</v>
      </c>
      <c r="D12669" s="254">
        <v>22.07</v>
      </c>
      <c r="E12669"/>
      <c r="F12669"/>
      <c r="G12669"/>
      <c r="H12669"/>
      <c r="I12669" s="489"/>
      <c r="J12669" s="1362"/>
      <c r="K12669" s="1362"/>
      <c r="L12669" s="1362"/>
    </row>
    <row r="12670" spans="1:12" x14ac:dyDescent="0.25">
      <c r="A12670">
        <v>89625</v>
      </c>
      <c r="B12670" t="s">
        <v>18951</v>
      </c>
      <c r="C12670" t="s">
        <v>138</v>
      </c>
      <c r="D12670" s="254">
        <v>26.11</v>
      </c>
      <c r="E12670"/>
      <c r="F12670"/>
      <c r="G12670"/>
      <c r="H12670"/>
      <c r="I12670" s="489"/>
      <c r="J12670" s="1362"/>
      <c r="K12670" s="1362"/>
      <c r="L12670" s="1362"/>
    </row>
    <row r="12671" spans="1:12" x14ac:dyDescent="0.25">
      <c r="A12671">
        <v>89626</v>
      </c>
      <c r="B12671" t="s">
        <v>18952</v>
      </c>
      <c r="C12671" t="s">
        <v>138</v>
      </c>
      <c r="D12671" s="254">
        <v>34.450000000000003</v>
      </c>
      <c r="E12671"/>
      <c r="F12671"/>
      <c r="G12671"/>
      <c r="H12671"/>
      <c r="I12671" s="489"/>
      <c r="J12671" s="1362"/>
      <c r="K12671" s="1362"/>
      <c r="L12671" s="1362"/>
    </row>
    <row r="12672" spans="1:12" x14ac:dyDescent="0.25">
      <c r="A12672">
        <v>89627</v>
      </c>
      <c r="B12672" t="s">
        <v>18953</v>
      </c>
      <c r="C12672" t="s">
        <v>138</v>
      </c>
      <c r="D12672" s="254">
        <v>21.3</v>
      </c>
      <c r="E12672"/>
      <c r="F12672"/>
      <c r="G12672"/>
      <c r="H12672"/>
      <c r="I12672" s="489"/>
      <c r="J12672" s="1362"/>
      <c r="K12672" s="1362"/>
      <c r="L12672" s="1362"/>
    </row>
    <row r="12673" spans="1:12" x14ac:dyDescent="0.25">
      <c r="A12673">
        <v>89628</v>
      </c>
      <c r="B12673" t="s">
        <v>18954</v>
      </c>
      <c r="C12673" t="s">
        <v>138</v>
      </c>
      <c r="D12673" s="254">
        <v>54.54</v>
      </c>
      <c r="E12673"/>
      <c r="F12673"/>
      <c r="G12673"/>
      <c r="H12673"/>
      <c r="I12673" s="489"/>
      <c r="J12673" s="1362"/>
      <c r="K12673" s="1362"/>
      <c r="L12673" s="1362"/>
    </row>
    <row r="12674" spans="1:12" x14ac:dyDescent="0.25">
      <c r="A12674">
        <v>89629</v>
      </c>
      <c r="B12674" t="s">
        <v>18955</v>
      </c>
      <c r="C12674" t="s">
        <v>138</v>
      </c>
      <c r="D12674" s="254">
        <v>98.02</v>
      </c>
      <c r="E12674"/>
      <c r="F12674"/>
      <c r="G12674"/>
      <c r="H12674"/>
      <c r="I12674" s="489"/>
      <c r="J12674" s="1362"/>
      <c r="K12674" s="1362"/>
      <c r="L12674" s="1362"/>
    </row>
    <row r="12675" spans="1:12" x14ac:dyDescent="0.25">
      <c r="A12675">
        <v>89630</v>
      </c>
      <c r="B12675" t="s">
        <v>18956</v>
      </c>
      <c r="C12675" t="s">
        <v>138</v>
      </c>
      <c r="D12675" s="254">
        <v>80.400000000000006</v>
      </c>
      <c r="E12675"/>
      <c r="F12675"/>
      <c r="G12675"/>
      <c r="H12675"/>
      <c r="I12675" s="489"/>
      <c r="J12675" s="1362"/>
      <c r="K12675" s="1362"/>
      <c r="L12675" s="1362"/>
    </row>
    <row r="12676" spans="1:12" x14ac:dyDescent="0.25">
      <c r="A12676">
        <v>89631</v>
      </c>
      <c r="B12676" t="s">
        <v>18957</v>
      </c>
      <c r="C12676" t="s">
        <v>138</v>
      </c>
      <c r="D12676" s="254">
        <v>150.66</v>
      </c>
      <c r="E12676"/>
      <c r="F12676"/>
      <c r="G12676"/>
      <c r="H12676"/>
      <c r="I12676" s="489"/>
      <c r="J12676" s="1362"/>
      <c r="K12676" s="1362"/>
      <c r="L12676" s="1362"/>
    </row>
    <row r="12677" spans="1:12" x14ac:dyDescent="0.25">
      <c r="A12677">
        <v>89632</v>
      </c>
      <c r="B12677" t="s">
        <v>18958</v>
      </c>
      <c r="C12677" t="s">
        <v>138</v>
      </c>
      <c r="D12677" s="254">
        <v>118.63</v>
      </c>
      <c r="E12677"/>
      <c r="F12677"/>
      <c r="G12677"/>
      <c r="H12677"/>
      <c r="I12677" s="489"/>
      <c r="J12677" s="1362"/>
      <c r="K12677" s="1362"/>
      <c r="L12677" s="1362"/>
    </row>
    <row r="12678" spans="1:12" x14ac:dyDescent="0.25">
      <c r="A12678">
        <v>89637</v>
      </c>
      <c r="B12678" t="s">
        <v>18959</v>
      </c>
      <c r="C12678" t="s">
        <v>138</v>
      </c>
      <c r="D12678" s="254">
        <v>10.130000000000001</v>
      </c>
      <c r="E12678"/>
      <c r="F12678"/>
      <c r="G12678"/>
      <c r="H12678"/>
      <c r="I12678" s="489"/>
      <c r="J12678" s="1362"/>
      <c r="K12678" s="1362"/>
      <c r="L12678" s="1362"/>
    </row>
    <row r="12679" spans="1:12" x14ac:dyDescent="0.25">
      <c r="A12679">
        <v>89638</v>
      </c>
      <c r="B12679" t="s">
        <v>18960</v>
      </c>
      <c r="C12679" t="s">
        <v>138</v>
      </c>
      <c r="D12679" s="254">
        <v>10.92</v>
      </c>
      <c r="E12679"/>
      <c r="F12679"/>
      <c r="G12679"/>
      <c r="H12679"/>
      <c r="I12679" s="489"/>
      <c r="J12679" s="1362"/>
      <c r="K12679" s="1362"/>
      <c r="L12679" s="1362"/>
    </row>
    <row r="12680" spans="1:12" x14ac:dyDescent="0.25">
      <c r="A12680">
        <v>89639</v>
      </c>
      <c r="B12680" t="s">
        <v>18961</v>
      </c>
      <c r="C12680" t="s">
        <v>138</v>
      </c>
      <c r="D12680" s="254">
        <v>11.22</v>
      </c>
      <c r="E12680"/>
      <c r="F12680"/>
      <c r="G12680"/>
      <c r="H12680"/>
      <c r="I12680" s="489"/>
      <c r="J12680" s="1362"/>
      <c r="K12680" s="1362"/>
      <c r="L12680" s="1362"/>
    </row>
    <row r="12681" spans="1:12" x14ac:dyDescent="0.25">
      <c r="A12681">
        <v>89640</v>
      </c>
      <c r="B12681" t="s">
        <v>18962</v>
      </c>
      <c r="C12681" t="s">
        <v>138</v>
      </c>
      <c r="D12681" s="254">
        <v>15.93</v>
      </c>
      <c r="E12681"/>
      <c r="F12681"/>
      <c r="G12681"/>
      <c r="H12681"/>
      <c r="I12681" s="489"/>
      <c r="J12681" s="1362"/>
      <c r="K12681" s="1362"/>
      <c r="L12681" s="1362"/>
    </row>
    <row r="12682" spans="1:12" x14ac:dyDescent="0.25">
      <c r="A12682">
        <v>89641</v>
      </c>
      <c r="B12682" t="s">
        <v>18963</v>
      </c>
      <c r="C12682" t="s">
        <v>138</v>
      </c>
      <c r="D12682" s="254">
        <v>14.06</v>
      </c>
      <c r="E12682"/>
      <c r="F12682"/>
      <c r="G12682"/>
      <c r="H12682"/>
      <c r="I12682" s="489"/>
      <c r="J12682" s="1362"/>
      <c r="K12682" s="1362"/>
      <c r="L12682" s="1362"/>
    </row>
    <row r="12683" spans="1:12" x14ac:dyDescent="0.25">
      <c r="A12683">
        <v>89642</v>
      </c>
      <c r="B12683" t="s">
        <v>18964</v>
      </c>
      <c r="C12683" t="s">
        <v>138</v>
      </c>
      <c r="D12683" s="254">
        <v>15.58</v>
      </c>
      <c r="E12683"/>
      <c r="F12683"/>
      <c r="G12683"/>
      <c r="H12683"/>
      <c r="I12683" s="489"/>
      <c r="J12683" s="1362"/>
      <c r="K12683" s="1362"/>
      <c r="L12683" s="1362"/>
    </row>
    <row r="12684" spans="1:12" x14ac:dyDescent="0.25">
      <c r="A12684">
        <v>89643</v>
      </c>
      <c r="B12684" t="s">
        <v>18965</v>
      </c>
      <c r="C12684" t="s">
        <v>138</v>
      </c>
      <c r="D12684" s="254">
        <v>16.09</v>
      </c>
      <c r="E12684"/>
      <c r="F12684"/>
      <c r="G12684"/>
      <c r="H12684"/>
      <c r="I12684" s="489"/>
      <c r="J12684" s="1362"/>
      <c r="K12684" s="1362"/>
      <c r="L12684" s="1362"/>
    </row>
    <row r="12685" spans="1:12" x14ac:dyDescent="0.25">
      <c r="A12685">
        <v>89644</v>
      </c>
      <c r="B12685" t="s">
        <v>18966</v>
      </c>
      <c r="C12685" t="s">
        <v>138</v>
      </c>
      <c r="D12685" s="254">
        <v>22</v>
      </c>
      <c r="E12685"/>
      <c r="F12685"/>
      <c r="G12685"/>
      <c r="H12685"/>
      <c r="I12685" s="489"/>
      <c r="J12685" s="1362"/>
      <c r="K12685" s="1362"/>
      <c r="L12685" s="1362"/>
    </row>
    <row r="12686" spans="1:12" x14ac:dyDescent="0.25">
      <c r="A12686">
        <v>89645</v>
      </c>
      <c r="B12686" t="s">
        <v>18967</v>
      </c>
      <c r="C12686" t="s">
        <v>138</v>
      </c>
      <c r="D12686" s="254">
        <v>26.66</v>
      </c>
      <c r="E12686"/>
      <c r="F12686"/>
      <c r="G12686"/>
      <c r="H12686"/>
      <c r="I12686" s="489"/>
      <c r="J12686" s="1362"/>
      <c r="K12686" s="1362"/>
      <c r="L12686" s="1362"/>
    </row>
    <row r="12687" spans="1:12" x14ac:dyDescent="0.25">
      <c r="A12687">
        <v>89646</v>
      </c>
      <c r="B12687" t="s">
        <v>18968</v>
      </c>
      <c r="C12687" t="s">
        <v>138</v>
      </c>
      <c r="D12687" s="254">
        <v>20.64</v>
      </c>
      <c r="E12687"/>
      <c r="F12687"/>
      <c r="G12687"/>
      <c r="H12687"/>
      <c r="I12687" s="489"/>
      <c r="J12687" s="1362"/>
      <c r="K12687" s="1362"/>
      <c r="L12687" s="1362"/>
    </row>
    <row r="12688" spans="1:12" x14ac:dyDescent="0.25">
      <c r="A12688">
        <v>89647</v>
      </c>
      <c r="B12688" t="s">
        <v>18969</v>
      </c>
      <c r="C12688" t="s">
        <v>138</v>
      </c>
      <c r="D12688" s="254">
        <v>20.29</v>
      </c>
      <c r="E12688"/>
      <c r="F12688"/>
      <c r="G12688"/>
      <c r="H12688"/>
      <c r="I12688" s="489"/>
      <c r="J12688" s="1362"/>
      <c r="K12688" s="1362"/>
      <c r="L12688" s="1362"/>
    </row>
    <row r="12689" spans="1:12" x14ac:dyDescent="0.25">
      <c r="A12689">
        <v>89648</v>
      </c>
      <c r="B12689" t="s">
        <v>18970</v>
      </c>
      <c r="C12689" t="s">
        <v>138</v>
      </c>
      <c r="D12689" s="254">
        <v>21.92</v>
      </c>
      <c r="E12689"/>
      <c r="F12689"/>
      <c r="G12689"/>
      <c r="H12689"/>
      <c r="I12689" s="489"/>
      <c r="J12689" s="1362"/>
      <c r="K12689" s="1362"/>
      <c r="L12689" s="1362"/>
    </row>
    <row r="12690" spans="1:12" x14ac:dyDescent="0.25">
      <c r="A12690">
        <v>89649</v>
      </c>
      <c r="B12690" t="s">
        <v>18971</v>
      </c>
      <c r="C12690" t="s">
        <v>138</v>
      </c>
      <c r="D12690" s="254">
        <v>29.11</v>
      </c>
      <c r="E12690"/>
      <c r="F12690"/>
      <c r="G12690"/>
      <c r="H12690"/>
      <c r="I12690" s="489"/>
      <c r="J12690" s="1362"/>
      <c r="K12690" s="1362"/>
      <c r="L12690" s="1362"/>
    </row>
    <row r="12691" spans="1:12" x14ac:dyDescent="0.25">
      <c r="A12691">
        <v>89650</v>
      </c>
      <c r="B12691" t="s">
        <v>18972</v>
      </c>
      <c r="C12691" t="s">
        <v>138</v>
      </c>
      <c r="D12691" s="254">
        <v>29.11</v>
      </c>
      <c r="E12691"/>
      <c r="F12691"/>
      <c r="G12691"/>
      <c r="H12691"/>
      <c r="I12691" s="489"/>
      <c r="J12691" s="1362"/>
      <c r="K12691" s="1362"/>
      <c r="L12691" s="1362"/>
    </row>
    <row r="12692" spans="1:12" x14ac:dyDescent="0.25">
      <c r="A12692">
        <v>89651</v>
      </c>
      <c r="B12692" t="s">
        <v>18973</v>
      </c>
      <c r="C12692" t="s">
        <v>138</v>
      </c>
      <c r="D12692" s="254">
        <v>7.23</v>
      </c>
      <c r="E12692"/>
      <c r="F12692"/>
      <c r="G12692"/>
      <c r="H12692"/>
      <c r="I12692" s="489"/>
      <c r="J12692" s="1362"/>
      <c r="K12692" s="1362"/>
      <c r="L12692" s="1362"/>
    </row>
    <row r="12693" spans="1:12" x14ac:dyDescent="0.25">
      <c r="A12693">
        <v>89652</v>
      </c>
      <c r="B12693" t="s">
        <v>18974</v>
      </c>
      <c r="C12693" t="s">
        <v>138</v>
      </c>
      <c r="D12693" s="254">
        <v>10.7</v>
      </c>
      <c r="E12693"/>
      <c r="F12693"/>
      <c r="G12693"/>
      <c r="H12693"/>
      <c r="I12693" s="489"/>
      <c r="J12693" s="1362"/>
      <c r="K12693" s="1362"/>
      <c r="L12693" s="1362"/>
    </row>
    <row r="12694" spans="1:12" x14ac:dyDescent="0.25">
      <c r="A12694">
        <v>89653</v>
      </c>
      <c r="B12694" t="s">
        <v>18975</v>
      </c>
      <c r="C12694" t="s">
        <v>138</v>
      </c>
      <c r="D12694" s="254">
        <v>16.04</v>
      </c>
      <c r="E12694"/>
      <c r="F12694"/>
      <c r="G12694"/>
      <c r="H12694"/>
      <c r="I12694" s="489"/>
      <c r="J12694" s="1362"/>
      <c r="K12694" s="1362"/>
      <c r="L12694" s="1362"/>
    </row>
    <row r="12695" spans="1:12" x14ac:dyDescent="0.25">
      <c r="A12695">
        <v>89654</v>
      </c>
      <c r="B12695" t="s">
        <v>18976</v>
      </c>
      <c r="C12695" t="s">
        <v>138</v>
      </c>
      <c r="D12695" s="254">
        <v>15.69</v>
      </c>
      <c r="E12695"/>
      <c r="F12695"/>
      <c r="G12695"/>
      <c r="H12695"/>
      <c r="I12695" s="489"/>
      <c r="J12695" s="1362"/>
      <c r="K12695" s="1362"/>
      <c r="L12695" s="1362"/>
    </row>
    <row r="12696" spans="1:12" x14ac:dyDescent="0.25">
      <c r="A12696">
        <v>89655</v>
      </c>
      <c r="B12696" t="s">
        <v>18977</v>
      </c>
      <c r="C12696" t="s">
        <v>138</v>
      </c>
      <c r="D12696" s="254">
        <v>22.22</v>
      </c>
      <c r="E12696"/>
      <c r="F12696"/>
      <c r="G12696"/>
      <c r="H12696"/>
      <c r="I12696" s="489"/>
      <c r="J12696" s="1362"/>
      <c r="K12696" s="1362"/>
      <c r="L12696" s="1362"/>
    </row>
    <row r="12697" spans="1:12" x14ac:dyDescent="0.25">
      <c r="A12697">
        <v>89656</v>
      </c>
      <c r="B12697" t="s">
        <v>18978</v>
      </c>
      <c r="C12697" t="s">
        <v>138</v>
      </c>
      <c r="D12697" s="254">
        <v>11.25</v>
      </c>
      <c r="E12697"/>
      <c r="F12697"/>
      <c r="G12697"/>
      <c r="H12697"/>
      <c r="I12697" s="489"/>
      <c r="J12697" s="1362"/>
      <c r="K12697" s="1362"/>
      <c r="L12697" s="1362"/>
    </row>
    <row r="12698" spans="1:12" x14ac:dyDescent="0.25">
      <c r="A12698">
        <v>89657</v>
      </c>
      <c r="B12698" t="s">
        <v>18979</v>
      </c>
      <c r="C12698" t="s">
        <v>138</v>
      </c>
      <c r="D12698" s="254">
        <v>11.42</v>
      </c>
      <c r="E12698"/>
      <c r="F12698"/>
      <c r="G12698"/>
      <c r="H12698"/>
      <c r="I12698" s="489"/>
      <c r="J12698" s="1362"/>
      <c r="K12698" s="1362"/>
      <c r="L12698" s="1362"/>
    </row>
    <row r="12699" spans="1:12" x14ac:dyDescent="0.25">
      <c r="A12699">
        <v>89658</v>
      </c>
      <c r="B12699" t="s">
        <v>18980</v>
      </c>
      <c r="C12699" t="s">
        <v>138</v>
      </c>
      <c r="D12699" s="254">
        <v>9.93</v>
      </c>
      <c r="E12699"/>
      <c r="F12699"/>
      <c r="G12699"/>
      <c r="H12699"/>
      <c r="I12699" s="489"/>
      <c r="J12699" s="1362"/>
      <c r="K12699" s="1362"/>
      <c r="L12699" s="1362"/>
    </row>
    <row r="12700" spans="1:12" x14ac:dyDescent="0.25">
      <c r="A12700">
        <v>89659</v>
      </c>
      <c r="B12700" t="s">
        <v>18981</v>
      </c>
      <c r="C12700" t="s">
        <v>138</v>
      </c>
      <c r="D12700" s="254">
        <v>15.25</v>
      </c>
      <c r="E12700"/>
      <c r="F12700"/>
      <c r="G12700"/>
      <c r="H12700"/>
      <c r="I12700" s="489"/>
      <c r="J12700" s="1362"/>
      <c r="K12700" s="1362"/>
      <c r="L12700" s="1362"/>
    </row>
    <row r="12701" spans="1:12" x14ac:dyDescent="0.25">
      <c r="A12701">
        <v>89660</v>
      </c>
      <c r="B12701" t="s">
        <v>18982</v>
      </c>
      <c r="C12701" t="s">
        <v>138</v>
      </c>
      <c r="D12701" s="254">
        <v>9.6999999999999993</v>
      </c>
      <c r="E12701"/>
      <c r="F12701"/>
      <c r="G12701"/>
      <c r="H12701"/>
      <c r="I12701" s="489"/>
      <c r="J12701" s="1362"/>
      <c r="K12701" s="1362"/>
      <c r="L12701" s="1362"/>
    </row>
    <row r="12702" spans="1:12" x14ac:dyDescent="0.25">
      <c r="A12702">
        <v>89661</v>
      </c>
      <c r="B12702" t="s">
        <v>18983</v>
      </c>
      <c r="C12702" t="s">
        <v>138</v>
      </c>
      <c r="D12702" s="254">
        <v>19.29</v>
      </c>
      <c r="E12702"/>
      <c r="F12702"/>
      <c r="G12702"/>
      <c r="H12702"/>
      <c r="I12702" s="489"/>
      <c r="J12702" s="1362"/>
      <c r="K12702" s="1362"/>
      <c r="L12702" s="1362"/>
    </row>
    <row r="12703" spans="1:12" x14ac:dyDescent="0.25">
      <c r="A12703">
        <v>89662</v>
      </c>
      <c r="B12703" t="s">
        <v>18984</v>
      </c>
      <c r="C12703" t="s">
        <v>138</v>
      </c>
      <c r="D12703" s="254">
        <v>26.96</v>
      </c>
      <c r="E12703"/>
      <c r="F12703"/>
      <c r="G12703"/>
      <c r="H12703"/>
      <c r="I12703" s="489"/>
      <c r="J12703" s="1362"/>
      <c r="K12703" s="1362"/>
      <c r="L12703" s="1362"/>
    </row>
    <row r="12704" spans="1:12" x14ac:dyDescent="0.25">
      <c r="A12704">
        <v>89663</v>
      </c>
      <c r="B12704" t="s">
        <v>18985</v>
      </c>
      <c r="C12704" t="s">
        <v>138</v>
      </c>
      <c r="D12704" s="254">
        <v>13.45</v>
      </c>
      <c r="E12704"/>
      <c r="F12704"/>
      <c r="G12704"/>
      <c r="H12704"/>
      <c r="I12704" s="489"/>
      <c r="J12704" s="1362"/>
      <c r="K12704" s="1362"/>
      <c r="L12704" s="1362"/>
    </row>
    <row r="12705" spans="1:12" x14ac:dyDescent="0.25">
      <c r="A12705">
        <v>89664</v>
      </c>
      <c r="B12705" t="s">
        <v>18986</v>
      </c>
      <c r="C12705" t="s">
        <v>138</v>
      </c>
      <c r="D12705" s="254">
        <v>15.25</v>
      </c>
      <c r="E12705"/>
      <c r="F12705"/>
      <c r="G12705"/>
      <c r="H12705"/>
      <c r="I12705" s="489"/>
      <c r="J12705" s="1362"/>
      <c r="K12705" s="1362"/>
      <c r="L12705" s="1362"/>
    </row>
    <row r="12706" spans="1:12" x14ac:dyDescent="0.25">
      <c r="A12706">
        <v>89666</v>
      </c>
      <c r="B12706" t="s">
        <v>18987</v>
      </c>
      <c r="C12706" t="s">
        <v>138</v>
      </c>
      <c r="D12706" s="254">
        <v>7.69</v>
      </c>
      <c r="E12706"/>
      <c r="F12706"/>
      <c r="G12706"/>
      <c r="H12706"/>
      <c r="I12706" s="489"/>
      <c r="J12706" s="1362"/>
      <c r="K12706" s="1362"/>
      <c r="L12706" s="1362"/>
    </row>
    <row r="12707" spans="1:12" x14ac:dyDescent="0.25">
      <c r="A12707">
        <v>89667</v>
      </c>
      <c r="B12707" t="s">
        <v>18988</v>
      </c>
      <c r="C12707" t="s">
        <v>138</v>
      </c>
      <c r="D12707" s="254">
        <v>46.59</v>
      </c>
      <c r="E12707"/>
      <c r="F12707"/>
      <c r="G12707"/>
      <c r="H12707"/>
      <c r="I12707" s="489"/>
      <c r="J12707" s="1362"/>
      <c r="K12707" s="1362"/>
      <c r="L12707" s="1362"/>
    </row>
    <row r="12708" spans="1:12" x14ac:dyDescent="0.25">
      <c r="A12708">
        <v>89668</v>
      </c>
      <c r="B12708" t="s">
        <v>18989</v>
      </c>
      <c r="C12708" t="s">
        <v>138</v>
      </c>
      <c r="D12708" s="254">
        <v>26.54</v>
      </c>
      <c r="E12708"/>
      <c r="F12708"/>
      <c r="G12708"/>
      <c r="H12708"/>
      <c r="I12708" s="489"/>
      <c r="J12708" s="1362"/>
      <c r="K12708" s="1362"/>
      <c r="L12708" s="1362"/>
    </row>
    <row r="12709" spans="1:12" x14ac:dyDescent="0.25">
      <c r="A12709">
        <v>89669</v>
      </c>
      <c r="B12709" t="s">
        <v>18990</v>
      </c>
      <c r="C12709" t="s">
        <v>138</v>
      </c>
      <c r="D12709" s="254">
        <v>39.020000000000003</v>
      </c>
      <c r="E12709"/>
      <c r="F12709"/>
      <c r="G12709"/>
      <c r="H12709"/>
      <c r="I12709" s="489"/>
      <c r="J12709" s="1362"/>
      <c r="K12709" s="1362"/>
      <c r="L12709" s="1362"/>
    </row>
    <row r="12710" spans="1:12" x14ac:dyDescent="0.25">
      <c r="A12710">
        <v>89670</v>
      </c>
      <c r="B12710" t="s">
        <v>18991</v>
      </c>
      <c r="C12710" t="s">
        <v>138</v>
      </c>
      <c r="D12710" s="254">
        <v>14.02</v>
      </c>
      <c r="E12710"/>
      <c r="F12710"/>
      <c r="G12710"/>
      <c r="H12710"/>
      <c r="I12710" s="489"/>
      <c r="J12710" s="1362"/>
      <c r="K12710" s="1362"/>
      <c r="L12710" s="1362"/>
    </row>
    <row r="12711" spans="1:12" x14ac:dyDescent="0.25">
      <c r="A12711">
        <v>89671</v>
      </c>
      <c r="B12711" t="s">
        <v>18992</v>
      </c>
      <c r="C12711" t="s">
        <v>138</v>
      </c>
      <c r="D12711" s="254">
        <v>51.57</v>
      </c>
      <c r="E12711"/>
      <c r="F12711"/>
      <c r="G12711"/>
      <c r="H12711"/>
      <c r="I12711" s="489"/>
      <c r="J12711" s="1362"/>
      <c r="K12711" s="1362"/>
      <c r="L12711" s="1362"/>
    </row>
    <row r="12712" spans="1:12" x14ac:dyDescent="0.25">
      <c r="A12712">
        <v>89672</v>
      </c>
      <c r="B12712" t="s">
        <v>18993</v>
      </c>
      <c r="C12712" t="s">
        <v>138</v>
      </c>
      <c r="D12712" s="254">
        <v>20.11</v>
      </c>
      <c r="E12712"/>
      <c r="F12712"/>
      <c r="G12712"/>
      <c r="H12712"/>
      <c r="I12712" s="489"/>
      <c r="J12712" s="1362"/>
      <c r="K12712" s="1362"/>
      <c r="L12712" s="1362"/>
    </row>
    <row r="12713" spans="1:12" x14ac:dyDescent="0.25">
      <c r="A12713">
        <v>89673</v>
      </c>
      <c r="B12713" t="s">
        <v>18994</v>
      </c>
      <c r="C12713" t="s">
        <v>138</v>
      </c>
      <c r="D12713" s="254">
        <v>40.36</v>
      </c>
      <c r="E12713"/>
      <c r="F12713"/>
      <c r="G12713"/>
      <c r="H12713"/>
      <c r="I12713" s="489"/>
      <c r="J12713" s="1362"/>
      <c r="K12713" s="1362"/>
      <c r="L12713" s="1362"/>
    </row>
    <row r="12714" spans="1:12" x14ac:dyDescent="0.25">
      <c r="A12714">
        <v>89674</v>
      </c>
      <c r="B12714" t="s">
        <v>18995</v>
      </c>
      <c r="C12714" t="s">
        <v>138</v>
      </c>
      <c r="D12714" s="254">
        <v>27.87</v>
      </c>
      <c r="E12714"/>
      <c r="F12714"/>
      <c r="G12714"/>
      <c r="H12714"/>
      <c r="I12714" s="489"/>
      <c r="J12714" s="1362"/>
      <c r="K12714" s="1362"/>
      <c r="L12714" s="1362"/>
    </row>
    <row r="12715" spans="1:12" x14ac:dyDescent="0.25">
      <c r="A12715">
        <v>89675</v>
      </c>
      <c r="B12715" t="s">
        <v>18996</v>
      </c>
      <c r="C12715" t="s">
        <v>138</v>
      </c>
      <c r="D12715" s="254">
        <v>77.44</v>
      </c>
      <c r="E12715"/>
      <c r="F12715"/>
      <c r="G12715"/>
      <c r="H12715"/>
      <c r="I12715" s="489"/>
      <c r="J12715" s="1362"/>
      <c r="K12715" s="1362"/>
      <c r="L12715" s="1362"/>
    </row>
    <row r="12716" spans="1:12" x14ac:dyDescent="0.25">
      <c r="A12716">
        <v>89676</v>
      </c>
      <c r="B12716" t="s">
        <v>18997</v>
      </c>
      <c r="C12716" t="s">
        <v>138</v>
      </c>
      <c r="D12716" s="254">
        <v>39.799999999999997</v>
      </c>
      <c r="E12716"/>
      <c r="F12716"/>
      <c r="G12716"/>
      <c r="H12716"/>
      <c r="I12716" s="489"/>
      <c r="J12716" s="1362"/>
      <c r="K12716" s="1362"/>
      <c r="L12716" s="1362"/>
    </row>
    <row r="12717" spans="1:12" x14ac:dyDescent="0.25">
      <c r="A12717">
        <v>89677</v>
      </c>
      <c r="B12717" t="s">
        <v>18998</v>
      </c>
      <c r="C12717" t="s">
        <v>138</v>
      </c>
      <c r="D12717" s="254">
        <v>85.17</v>
      </c>
      <c r="E12717"/>
      <c r="F12717"/>
      <c r="G12717"/>
      <c r="H12717"/>
      <c r="I12717" s="489"/>
      <c r="J12717" s="1362"/>
      <c r="K12717" s="1362"/>
      <c r="L12717" s="1362"/>
    </row>
    <row r="12718" spans="1:12" x14ac:dyDescent="0.25">
      <c r="A12718">
        <v>89678</v>
      </c>
      <c r="B12718" t="s">
        <v>18999</v>
      </c>
      <c r="C12718" t="s">
        <v>138</v>
      </c>
      <c r="D12718" s="254">
        <v>10.38</v>
      </c>
      <c r="E12718"/>
      <c r="F12718"/>
      <c r="G12718"/>
      <c r="H12718"/>
      <c r="I12718" s="489"/>
      <c r="J12718" s="1362"/>
      <c r="K12718" s="1362"/>
      <c r="L12718" s="1362"/>
    </row>
    <row r="12719" spans="1:12" x14ac:dyDescent="0.25">
      <c r="A12719">
        <v>89679</v>
      </c>
      <c r="B12719" t="s">
        <v>19000</v>
      </c>
      <c r="C12719" t="s">
        <v>138</v>
      </c>
      <c r="D12719" s="254">
        <v>137.91</v>
      </c>
      <c r="E12719"/>
      <c r="F12719"/>
      <c r="G12719"/>
      <c r="H12719"/>
      <c r="I12719" s="489"/>
      <c r="J12719" s="1362"/>
      <c r="K12719" s="1362"/>
      <c r="L12719" s="1362"/>
    </row>
    <row r="12720" spans="1:12" x14ac:dyDescent="0.25">
      <c r="A12720">
        <v>89680</v>
      </c>
      <c r="B12720" t="s">
        <v>19001</v>
      </c>
      <c r="C12720" t="s">
        <v>138</v>
      </c>
      <c r="D12720" s="254">
        <v>20.59</v>
      </c>
      <c r="E12720"/>
      <c r="F12720"/>
      <c r="G12720"/>
      <c r="H12720"/>
      <c r="I12720" s="489"/>
      <c r="J12720" s="1362"/>
      <c r="K12720" s="1362"/>
      <c r="L12720" s="1362"/>
    </row>
    <row r="12721" spans="1:12" x14ac:dyDescent="0.25">
      <c r="A12721">
        <v>89681</v>
      </c>
      <c r="B12721" t="s">
        <v>19002</v>
      </c>
      <c r="C12721" t="s">
        <v>138</v>
      </c>
      <c r="D12721" s="254">
        <v>88.46</v>
      </c>
      <c r="E12721"/>
      <c r="F12721"/>
      <c r="G12721"/>
      <c r="H12721"/>
      <c r="I12721" s="489"/>
      <c r="J12721" s="1362"/>
      <c r="K12721" s="1362"/>
      <c r="L12721" s="1362"/>
    </row>
    <row r="12722" spans="1:12" x14ac:dyDescent="0.25">
      <c r="A12722">
        <v>89682</v>
      </c>
      <c r="B12722" t="s">
        <v>19003</v>
      </c>
      <c r="C12722" t="s">
        <v>138</v>
      </c>
      <c r="D12722" s="254">
        <v>29.69</v>
      </c>
      <c r="E12722"/>
      <c r="F12722"/>
      <c r="G12722"/>
      <c r="H12722"/>
      <c r="I12722" s="489"/>
      <c r="J12722" s="1362"/>
      <c r="K12722" s="1362"/>
      <c r="L12722" s="1362"/>
    </row>
    <row r="12723" spans="1:12" x14ac:dyDescent="0.25">
      <c r="A12723">
        <v>89683</v>
      </c>
      <c r="B12723" t="s">
        <v>19004</v>
      </c>
      <c r="C12723" t="s">
        <v>138</v>
      </c>
      <c r="D12723" s="254">
        <v>315.58</v>
      </c>
      <c r="E12723"/>
      <c r="F12723"/>
      <c r="G12723"/>
      <c r="H12723"/>
      <c r="I12723" s="489"/>
      <c r="J12723" s="1362"/>
      <c r="K12723" s="1362"/>
      <c r="L12723" s="1362"/>
    </row>
    <row r="12724" spans="1:12" x14ac:dyDescent="0.25">
      <c r="A12724">
        <v>89684</v>
      </c>
      <c r="B12724" t="s">
        <v>19005</v>
      </c>
      <c r="C12724" t="s">
        <v>138</v>
      </c>
      <c r="D12724" s="254">
        <v>39.450000000000003</v>
      </c>
      <c r="E12724"/>
      <c r="F12724"/>
      <c r="G12724"/>
      <c r="H12724"/>
      <c r="I12724" s="489"/>
      <c r="J12724" s="1362"/>
      <c r="K12724" s="1362"/>
      <c r="L12724" s="1362"/>
    </row>
    <row r="12725" spans="1:12" x14ac:dyDescent="0.25">
      <c r="A12725">
        <v>89685</v>
      </c>
      <c r="B12725" t="s">
        <v>19006</v>
      </c>
      <c r="C12725" t="s">
        <v>138</v>
      </c>
      <c r="D12725" s="254">
        <v>64.66</v>
      </c>
      <c r="E12725"/>
      <c r="F12725"/>
      <c r="G12725"/>
      <c r="H12725"/>
      <c r="I12725" s="489"/>
      <c r="J12725" s="1362"/>
      <c r="K12725" s="1362"/>
      <c r="L12725" s="1362"/>
    </row>
    <row r="12726" spans="1:12" x14ac:dyDescent="0.25">
      <c r="A12726">
        <v>89686</v>
      </c>
      <c r="B12726" t="s">
        <v>19007</v>
      </c>
      <c r="C12726" t="s">
        <v>138</v>
      </c>
      <c r="D12726" s="254">
        <v>135.79</v>
      </c>
      <c r="E12726"/>
      <c r="F12726"/>
      <c r="G12726"/>
      <c r="H12726"/>
      <c r="I12726" s="489"/>
      <c r="J12726" s="1362"/>
      <c r="K12726" s="1362"/>
      <c r="L12726" s="1362"/>
    </row>
    <row r="12727" spans="1:12" x14ac:dyDescent="0.25">
      <c r="A12727">
        <v>89687</v>
      </c>
      <c r="B12727" t="s">
        <v>19008</v>
      </c>
      <c r="C12727" t="s">
        <v>138</v>
      </c>
      <c r="D12727" s="254">
        <v>56.93</v>
      </c>
      <c r="E12727"/>
      <c r="F12727"/>
      <c r="G12727"/>
      <c r="H12727"/>
      <c r="I12727" s="489"/>
      <c r="J12727" s="1362"/>
      <c r="K12727" s="1362"/>
      <c r="L12727" s="1362"/>
    </row>
    <row r="12728" spans="1:12" x14ac:dyDescent="0.25">
      <c r="A12728">
        <v>89689</v>
      </c>
      <c r="B12728" t="s">
        <v>19009</v>
      </c>
      <c r="C12728" t="s">
        <v>138</v>
      </c>
      <c r="D12728" s="254">
        <v>30.65</v>
      </c>
      <c r="E12728"/>
      <c r="F12728"/>
      <c r="G12728"/>
      <c r="H12728"/>
      <c r="I12728" s="489"/>
      <c r="J12728" s="1362"/>
      <c r="K12728" s="1362"/>
      <c r="L12728" s="1362"/>
    </row>
    <row r="12729" spans="1:12" x14ac:dyDescent="0.25">
      <c r="A12729">
        <v>89690</v>
      </c>
      <c r="B12729" t="s">
        <v>19010</v>
      </c>
      <c r="C12729" t="s">
        <v>138</v>
      </c>
      <c r="D12729" s="254">
        <v>98.88</v>
      </c>
      <c r="E12729"/>
      <c r="F12729"/>
      <c r="G12729"/>
      <c r="H12729"/>
      <c r="I12729" s="489"/>
      <c r="J12729" s="1362"/>
      <c r="K12729" s="1362"/>
      <c r="L12729" s="1362"/>
    </row>
    <row r="12730" spans="1:12" x14ac:dyDescent="0.25">
      <c r="A12730">
        <v>89691</v>
      </c>
      <c r="B12730" t="s">
        <v>19011</v>
      </c>
      <c r="C12730" t="s">
        <v>138</v>
      </c>
      <c r="D12730" s="254">
        <v>13.35</v>
      </c>
      <c r="E12730"/>
      <c r="F12730"/>
      <c r="G12730"/>
      <c r="H12730"/>
      <c r="I12730" s="489"/>
      <c r="J12730" s="1362"/>
      <c r="K12730" s="1362"/>
      <c r="L12730" s="1362"/>
    </row>
    <row r="12731" spans="1:12" x14ac:dyDescent="0.25">
      <c r="A12731">
        <v>89692</v>
      </c>
      <c r="B12731" t="s">
        <v>19012</v>
      </c>
      <c r="C12731" t="s">
        <v>138</v>
      </c>
      <c r="D12731" s="254">
        <v>90.92</v>
      </c>
      <c r="E12731"/>
      <c r="F12731"/>
      <c r="G12731"/>
      <c r="H12731"/>
      <c r="I12731" s="489"/>
      <c r="J12731" s="1362"/>
      <c r="K12731" s="1362"/>
      <c r="L12731" s="1362"/>
    </row>
    <row r="12732" spans="1:12" x14ac:dyDescent="0.25">
      <c r="A12732">
        <v>89693</v>
      </c>
      <c r="B12732" t="s">
        <v>19013</v>
      </c>
      <c r="C12732" t="s">
        <v>138</v>
      </c>
      <c r="D12732" s="254">
        <v>92.1</v>
      </c>
      <c r="E12732"/>
      <c r="F12732"/>
      <c r="G12732"/>
      <c r="H12732"/>
      <c r="I12732" s="489"/>
      <c r="J12732" s="1362"/>
      <c r="K12732" s="1362"/>
      <c r="L12732" s="1362"/>
    </row>
    <row r="12733" spans="1:12" x14ac:dyDescent="0.25">
      <c r="A12733">
        <v>89694</v>
      </c>
      <c r="B12733" t="s">
        <v>19014</v>
      </c>
      <c r="C12733" t="s">
        <v>138</v>
      </c>
      <c r="D12733" s="254">
        <v>19.309999999999999</v>
      </c>
      <c r="E12733"/>
      <c r="F12733"/>
      <c r="G12733"/>
      <c r="H12733"/>
      <c r="I12733" s="489"/>
      <c r="J12733" s="1362"/>
      <c r="K12733" s="1362"/>
      <c r="L12733" s="1362"/>
    </row>
    <row r="12734" spans="1:12" x14ac:dyDescent="0.25">
      <c r="A12734">
        <v>89695</v>
      </c>
      <c r="B12734" t="s">
        <v>19015</v>
      </c>
      <c r="C12734" t="s">
        <v>138</v>
      </c>
      <c r="D12734" s="254">
        <v>18.190000000000001</v>
      </c>
      <c r="E12734"/>
      <c r="F12734"/>
      <c r="G12734"/>
      <c r="H12734"/>
      <c r="I12734" s="489"/>
      <c r="J12734" s="1362"/>
      <c r="K12734" s="1362"/>
      <c r="L12734" s="1362"/>
    </row>
    <row r="12735" spans="1:12" x14ac:dyDescent="0.25">
      <c r="A12735">
        <v>89696</v>
      </c>
      <c r="B12735" t="s">
        <v>19016</v>
      </c>
      <c r="C12735" t="s">
        <v>138</v>
      </c>
      <c r="D12735" s="254">
        <v>81.739999999999995</v>
      </c>
      <c r="E12735"/>
      <c r="F12735"/>
      <c r="G12735"/>
      <c r="H12735"/>
      <c r="I12735" s="489"/>
      <c r="J12735" s="1362"/>
      <c r="K12735" s="1362"/>
      <c r="L12735" s="1362"/>
    </row>
    <row r="12736" spans="1:12" x14ac:dyDescent="0.25">
      <c r="A12736">
        <v>89697</v>
      </c>
      <c r="B12736" t="s">
        <v>19017</v>
      </c>
      <c r="C12736" t="s">
        <v>138</v>
      </c>
      <c r="D12736" s="254">
        <v>18.61</v>
      </c>
      <c r="E12736"/>
      <c r="F12736"/>
      <c r="G12736"/>
      <c r="H12736"/>
      <c r="I12736" s="489"/>
      <c r="J12736" s="1362"/>
      <c r="K12736" s="1362"/>
      <c r="L12736" s="1362"/>
    </row>
    <row r="12737" spans="1:12" x14ac:dyDescent="0.25">
      <c r="A12737">
        <v>89698</v>
      </c>
      <c r="B12737" t="s">
        <v>19018</v>
      </c>
      <c r="C12737" t="s">
        <v>138</v>
      </c>
      <c r="D12737" s="254">
        <v>269.49</v>
      </c>
      <c r="E12737"/>
      <c r="F12737"/>
      <c r="G12737"/>
      <c r="H12737"/>
      <c r="I12737" s="489"/>
      <c r="J12737" s="1362"/>
      <c r="K12737" s="1362"/>
      <c r="L12737" s="1362"/>
    </row>
    <row r="12738" spans="1:12" x14ac:dyDescent="0.25">
      <c r="A12738">
        <v>89699</v>
      </c>
      <c r="B12738" t="s">
        <v>19019</v>
      </c>
      <c r="C12738" t="s">
        <v>138</v>
      </c>
      <c r="D12738" s="254">
        <v>233.23</v>
      </c>
      <c r="E12738"/>
      <c r="F12738"/>
      <c r="G12738"/>
      <c r="H12738"/>
      <c r="I12738" s="489"/>
      <c r="J12738" s="1362"/>
      <c r="K12738" s="1362"/>
      <c r="L12738" s="1362"/>
    </row>
    <row r="12739" spans="1:12" x14ac:dyDescent="0.25">
      <c r="A12739">
        <v>89700</v>
      </c>
      <c r="B12739" t="s">
        <v>19020</v>
      </c>
      <c r="C12739" t="s">
        <v>138</v>
      </c>
      <c r="D12739" s="254">
        <v>21.96</v>
      </c>
      <c r="E12739"/>
      <c r="F12739"/>
      <c r="G12739"/>
      <c r="H12739"/>
      <c r="I12739" s="489"/>
      <c r="J12739" s="1362"/>
      <c r="K12739" s="1362"/>
      <c r="L12739" s="1362"/>
    </row>
    <row r="12740" spans="1:12" x14ac:dyDescent="0.25">
      <c r="A12740">
        <v>89701</v>
      </c>
      <c r="B12740" t="s">
        <v>19021</v>
      </c>
      <c r="C12740" t="s">
        <v>138</v>
      </c>
      <c r="D12740" s="254">
        <v>216.33</v>
      </c>
      <c r="E12740"/>
      <c r="F12740"/>
      <c r="G12740"/>
      <c r="H12740"/>
      <c r="I12740" s="489"/>
      <c r="J12740" s="1362"/>
      <c r="K12740" s="1362"/>
      <c r="L12740" s="1362"/>
    </row>
    <row r="12741" spans="1:12" x14ac:dyDescent="0.25">
      <c r="A12741">
        <v>89702</v>
      </c>
      <c r="B12741" t="s">
        <v>19022</v>
      </c>
      <c r="C12741" t="s">
        <v>138</v>
      </c>
      <c r="D12741" s="254">
        <v>23.71</v>
      </c>
      <c r="E12741"/>
      <c r="F12741"/>
      <c r="G12741"/>
      <c r="H12741"/>
      <c r="I12741" s="489"/>
      <c r="J12741" s="1362"/>
      <c r="K12741" s="1362"/>
      <c r="L12741" s="1362"/>
    </row>
    <row r="12742" spans="1:12" x14ac:dyDescent="0.25">
      <c r="A12742">
        <v>89703</v>
      </c>
      <c r="B12742" t="s">
        <v>19023</v>
      </c>
      <c r="C12742" t="s">
        <v>138</v>
      </c>
      <c r="D12742" s="254">
        <v>44.14</v>
      </c>
      <c r="E12742"/>
      <c r="F12742"/>
      <c r="G12742"/>
      <c r="H12742"/>
      <c r="I12742" s="489"/>
      <c r="J12742" s="1362"/>
      <c r="K12742" s="1362"/>
      <c r="L12742" s="1362"/>
    </row>
    <row r="12743" spans="1:12" x14ac:dyDescent="0.25">
      <c r="A12743">
        <v>89704</v>
      </c>
      <c r="B12743" t="s">
        <v>19024</v>
      </c>
      <c r="C12743" t="s">
        <v>138</v>
      </c>
      <c r="D12743" s="254">
        <v>157.01</v>
      </c>
      <c r="E12743"/>
      <c r="F12743"/>
      <c r="G12743"/>
      <c r="H12743"/>
      <c r="I12743" s="489"/>
      <c r="J12743" s="1362"/>
      <c r="K12743" s="1362"/>
      <c r="L12743" s="1362"/>
    </row>
    <row r="12744" spans="1:12" x14ac:dyDescent="0.25">
      <c r="A12744">
        <v>89705</v>
      </c>
      <c r="B12744" t="s">
        <v>19025</v>
      </c>
      <c r="C12744" t="s">
        <v>138</v>
      </c>
      <c r="D12744" s="254">
        <v>25.66</v>
      </c>
      <c r="E12744"/>
      <c r="F12744"/>
      <c r="G12744"/>
      <c r="H12744"/>
      <c r="I12744" s="489"/>
      <c r="J12744" s="1362"/>
      <c r="K12744" s="1362"/>
      <c r="L12744" s="1362"/>
    </row>
    <row r="12745" spans="1:12" x14ac:dyDescent="0.25">
      <c r="A12745">
        <v>89706</v>
      </c>
      <c r="B12745" t="s">
        <v>19026</v>
      </c>
      <c r="C12745" t="s">
        <v>138</v>
      </c>
      <c r="D12745" s="254">
        <v>49.35</v>
      </c>
      <c r="E12745"/>
      <c r="F12745"/>
      <c r="G12745"/>
      <c r="H12745"/>
      <c r="I12745" s="489"/>
      <c r="J12745" s="1362"/>
      <c r="K12745" s="1362"/>
      <c r="L12745" s="1362"/>
    </row>
    <row r="12746" spans="1:12" x14ac:dyDescent="0.25">
      <c r="A12746">
        <v>89718</v>
      </c>
      <c r="B12746" t="s">
        <v>19027</v>
      </c>
      <c r="C12746" t="s">
        <v>151</v>
      </c>
      <c r="D12746" s="254">
        <v>65.900000000000006</v>
      </c>
      <c r="E12746"/>
      <c r="F12746"/>
      <c r="G12746"/>
      <c r="H12746"/>
      <c r="I12746" s="489"/>
      <c r="J12746" s="1362"/>
      <c r="K12746" s="1362"/>
      <c r="L12746" s="1362"/>
    </row>
    <row r="12747" spans="1:12" x14ac:dyDescent="0.25">
      <c r="A12747">
        <v>89719</v>
      </c>
      <c r="B12747" t="s">
        <v>19028</v>
      </c>
      <c r="C12747" t="s">
        <v>138</v>
      </c>
      <c r="D12747" s="254">
        <v>13.29</v>
      </c>
      <c r="E12747"/>
      <c r="F12747"/>
      <c r="G12747"/>
      <c r="H12747"/>
      <c r="I12747" s="489"/>
      <c r="J12747" s="1362"/>
      <c r="K12747" s="1362"/>
      <c r="L12747" s="1362"/>
    </row>
    <row r="12748" spans="1:12" x14ac:dyDescent="0.25">
      <c r="A12748">
        <v>89720</v>
      </c>
      <c r="B12748" t="s">
        <v>19029</v>
      </c>
      <c r="C12748" t="s">
        <v>138</v>
      </c>
      <c r="D12748" s="254">
        <v>14.81</v>
      </c>
      <c r="E12748"/>
      <c r="F12748"/>
      <c r="G12748"/>
      <c r="H12748"/>
      <c r="I12748" s="489"/>
      <c r="J12748" s="1362"/>
      <c r="K12748" s="1362"/>
      <c r="L12748" s="1362"/>
    </row>
    <row r="12749" spans="1:12" x14ac:dyDescent="0.25">
      <c r="A12749">
        <v>89721</v>
      </c>
      <c r="B12749" t="s">
        <v>19030</v>
      </c>
      <c r="C12749" t="s">
        <v>138</v>
      </c>
      <c r="D12749" s="254">
        <v>15.32</v>
      </c>
      <c r="E12749"/>
      <c r="F12749"/>
      <c r="G12749"/>
      <c r="H12749"/>
      <c r="I12749" s="489"/>
      <c r="J12749" s="1362"/>
      <c r="K12749" s="1362"/>
      <c r="L12749" s="1362"/>
    </row>
    <row r="12750" spans="1:12" x14ac:dyDescent="0.25">
      <c r="A12750">
        <v>89723</v>
      </c>
      <c r="B12750" t="s">
        <v>19031</v>
      </c>
      <c r="C12750" t="s">
        <v>138</v>
      </c>
      <c r="D12750" s="254">
        <v>19.73</v>
      </c>
      <c r="E12750"/>
      <c r="F12750"/>
      <c r="G12750"/>
      <c r="H12750"/>
      <c r="I12750" s="489"/>
      <c r="J12750" s="1362"/>
      <c r="K12750" s="1362"/>
      <c r="L12750" s="1362"/>
    </row>
    <row r="12751" spans="1:12" x14ac:dyDescent="0.25">
      <c r="A12751">
        <v>89724</v>
      </c>
      <c r="B12751" t="s">
        <v>19032</v>
      </c>
      <c r="C12751" t="s">
        <v>138</v>
      </c>
      <c r="D12751" s="254">
        <v>12.49</v>
      </c>
      <c r="E12751"/>
      <c r="F12751"/>
      <c r="G12751"/>
      <c r="H12751"/>
      <c r="I12751" s="489"/>
      <c r="J12751" s="1362"/>
      <c r="K12751" s="1362"/>
      <c r="L12751" s="1362"/>
    </row>
    <row r="12752" spans="1:12" x14ac:dyDescent="0.25">
      <c r="A12752">
        <v>89725</v>
      </c>
      <c r="B12752" t="s">
        <v>19033</v>
      </c>
      <c r="C12752" t="s">
        <v>138</v>
      </c>
      <c r="D12752" s="254">
        <v>19.38</v>
      </c>
      <c r="E12752"/>
      <c r="F12752"/>
      <c r="G12752"/>
      <c r="H12752"/>
      <c r="I12752" s="489"/>
      <c r="J12752" s="1362"/>
      <c r="K12752" s="1362"/>
      <c r="L12752" s="1362"/>
    </row>
    <row r="12753" spans="1:12" x14ac:dyDescent="0.25">
      <c r="A12753">
        <v>89726</v>
      </c>
      <c r="B12753" t="s">
        <v>19034</v>
      </c>
      <c r="C12753" t="s">
        <v>138</v>
      </c>
      <c r="D12753" s="254">
        <v>9.66</v>
      </c>
      <c r="E12753"/>
      <c r="F12753"/>
      <c r="G12753"/>
      <c r="H12753"/>
      <c r="I12753" s="489"/>
      <c r="J12753" s="1362"/>
      <c r="K12753" s="1362"/>
      <c r="L12753" s="1362"/>
    </row>
    <row r="12754" spans="1:12" x14ac:dyDescent="0.25">
      <c r="A12754">
        <v>89727</v>
      </c>
      <c r="B12754" t="s">
        <v>19035</v>
      </c>
      <c r="C12754" t="s">
        <v>138</v>
      </c>
      <c r="D12754" s="254">
        <v>21.01</v>
      </c>
      <c r="E12754"/>
      <c r="F12754"/>
      <c r="G12754"/>
      <c r="H12754"/>
      <c r="I12754" s="489"/>
      <c r="J12754" s="1362"/>
      <c r="K12754" s="1362"/>
      <c r="L12754" s="1362"/>
    </row>
    <row r="12755" spans="1:12" x14ac:dyDescent="0.25">
      <c r="A12755">
        <v>89728</v>
      </c>
      <c r="B12755" t="s">
        <v>19036</v>
      </c>
      <c r="C12755" t="s">
        <v>138</v>
      </c>
      <c r="D12755" s="254">
        <v>13.19</v>
      </c>
      <c r="E12755"/>
      <c r="F12755"/>
      <c r="G12755"/>
      <c r="H12755"/>
      <c r="I12755" s="489"/>
      <c r="J12755" s="1362"/>
      <c r="K12755" s="1362"/>
      <c r="L12755" s="1362"/>
    </row>
    <row r="12756" spans="1:12" x14ac:dyDescent="0.25">
      <c r="A12756">
        <v>89729</v>
      </c>
      <c r="B12756" t="s">
        <v>19037</v>
      </c>
      <c r="C12756" t="s">
        <v>138</v>
      </c>
      <c r="D12756" s="254">
        <v>28.06</v>
      </c>
      <c r="E12756"/>
      <c r="F12756"/>
      <c r="G12756"/>
      <c r="H12756"/>
      <c r="I12756" s="489"/>
      <c r="J12756" s="1362"/>
      <c r="K12756" s="1362"/>
      <c r="L12756" s="1362"/>
    </row>
    <row r="12757" spans="1:12" x14ac:dyDescent="0.25">
      <c r="A12757">
        <v>89730</v>
      </c>
      <c r="B12757" t="s">
        <v>19038</v>
      </c>
      <c r="C12757" t="s">
        <v>138</v>
      </c>
      <c r="D12757" s="254">
        <v>14.11</v>
      </c>
      <c r="E12757"/>
      <c r="F12757"/>
      <c r="G12757"/>
      <c r="H12757"/>
      <c r="I12757" s="489"/>
      <c r="J12757" s="1362"/>
      <c r="K12757" s="1362"/>
      <c r="L12757" s="1362"/>
    </row>
    <row r="12758" spans="1:12" x14ac:dyDescent="0.25">
      <c r="A12758">
        <v>89731</v>
      </c>
      <c r="B12758" t="s">
        <v>19039</v>
      </c>
      <c r="C12758" t="s">
        <v>138</v>
      </c>
      <c r="D12758" s="254">
        <v>15</v>
      </c>
      <c r="E12758"/>
      <c r="F12758"/>
      <c r="G12758"/>
      <c r="H12758"/>
      <c r="I12758" s="489"/>
      <c r="J12758" s="1362"/>
      <c r="K12758" s="1362"/>
      <c r="L12758" s="1362"/>
    </row>
    <row r="12759" spans="1:12" x14ac:dyDescent="0.25">
      <c r="A12759">
        <v>89732</v>
      </c>
      <c r="B12759" t="s">
        <v>19040</v>
      </c>
      <c r="C12759" t="s">
        <v>138</v>
      </c>
      <c r="D12759" s="254">
        <v>15.67</v>
      </c>
      <c r="E12759"/>
      <c r="F12759"/>
      <c r="G12759"/>
      <c r="H12759"/>
      <c r="I12759" s="489"/>
      <c r="J12759" s="1362"/>
      <c r="K12759" s="1362"/>
      <c r="L12759" s="1362"/>
    </row>
    <row r="12760" spans="1:12" x14ac:dyDescent="0.25">
      <c r="A12760">
        <v>89733</v>
      </c>
      <c r="B12760" t="s">
        <v>19041</v>
      </c>
      <c r="C12760" t="s">
        <v>138</v>
      </c>
      <c r="D12760" s="254">
        <v>22.87</v>
      </c>
      <c r="E12760"/>
      <c r="F12760"/>
      <c r="G12760"/>
      <c r="H12760"/>
      <c r="I12760" s="489"/>
      <c r="J12760" s="1362"/>
      <c r="K12760" s="1362"/>
      <c r="L12760" s="1362"/>
    </row>
    <row r="12761" spans="1:12" x14ac:dyDescent="0.25">
      <c r="A12761">
        <v>89734</v>
      </c>
      <c r="B12761" t="s">
        <v>19042</v>
      </c>
      <c r="C12761" t="s">
        <v>138</v>
      </c>
      <c r="D12761" s="254">
        <v>28.06</v>
      </c>
      <c r="E12761"/>
      <c r="F12761"/>
      <c r="G12761"/>
      <c r="H12761"/>
      <c r="I12761" s="489"/>
      <c r="J12761" s="1362"/>
      <c r="K12761" s="1362"/>
      <c r="L12761" s="1362"/>
    </row>
    <row r="12762" spans="1:12" x14ac:dyDescent="0.25">
      <c r="A12762">
        <v>89735</v>
      </c>
      <c r="B12762" t="s">
        <v>19043</v>
      </c>
      <c r="C12762" t="s">
        <v>138</v>
      </c>
      <c r="D12762" s="254">
        <v>23.97</v>
      </c>
      <c r="E12762"/>
      <c r="F12762"/>
      <c r="G12762"/>
      <c r="H12762"/>
      <c r="I12762" s="489"/>
      <c r="J12762" s="1362"/>
      <c r="K12762" s="1362"/>
      <c r="L12762" s="1362"/>
    </row>
    <row r="12763" spans="1:12" x14ac:dyDescent="0.25">
      <c r="A12763">
        <v>89736</v>
      </c>
      <c r="B12763" t="s">
        <v>19044</v>
      </c>
      <c r="C12763" t="s">
        <v>138</v>
      </c>
      <c r="D12763" s="254">
        <v>9.42</v>
      </c>
      <c r="E12763"/>
      <c r="F12763"/>
      <c r="G12763"/>
      <c r="H12763"/>
      <c r="I12763" s="489"/>
      <c r="J12763" s="1362"/>
      <c r="K12763" s="1362"/>
      <c r="L12763" s="1362"/>
    </row>
    <row r="12764" spans="1:12" x14ac:dyDescent="0.25">
      <c r="A12764">
        <v>89737</v>
      </c>
      <c r="B12764" t="s">
        <v>19045</v>
      </c>
      <c r="C12764" t="s">
        <v>138</v>
      </c>
      <c r="D12764" s="254">
        <v>23.23</v>
      </c>
      <c r="E12764"/>
      <c r="F12764"/>
      <c r="G12764"/>
      <c r="H12764"/>
      <c r="I12764" s="489"/>
      <c r="J12764" s="1362"/>
      <c r="K12764" s="1362"/>
      <c r="L12764" s="1362"/>
    </row>
    <row r="12765" spans="1:12" x14ac:dyDescent="0.25">
      <c r="A12765">
        <v>89738</v>
      </c>
      <c r="B12765" t="s">
        <v>1602</v>
      </c>
      <c r="C12765" t="s">
        <v>138</v>
      </c>
      <c r="D12765" s="254">
        <v>14.74</v>
      </c>
      <c r="E12765"/>
      <c r="F12765"/>
      <c r="G12765"/>
      <c r="H12765"/>
      <c r="I12765" s="489"/>
      <c r="J12765" s="1362"/>
      <c r="K12765" s="1362"/>
      <c r="L12765" s="1362"/>
    </row>
    <row r="12766" spans="1:12" x14ac:dyDescent="0.25">
      <c r="A12766">
        <v>89739</v>
      </c>
      <c r="B12766" t="s">
        <v>19046</v>
      </c>
      <c r="C12766" t="s">
        <v>138</v>
      </c>
      <c r="D12766" s="254">
        <v>24.18</v>
      </c>
      <c r="E12766"/>
      <c r="F12766"/>
      <c r="G12766"/>
      <c r="H12766"/>
      <c r="I12766" s="489"/>
      <c r="J12766" s="1362"/>
      <c r="K12766" s="1362"/>
      <c r="L12766" s="1362"/>
    </row>
    <row r="12767" spans="1:12" x14ac:dyDescent="0.25">
      <c r="A12767">
        <v>89740</v>
      </c>
      <c r="B12767" t="s">
        <v>19047</v>
      </c>
      <c r="C12767" t="s">
        <v>138</v>
      </c>
      <c r="D12767" s="254">
        <v>9.16</v>
      </c>
      <c r="E12767"/>
      <c r="F12767"/>
      <c r="G12767"/>
      <c r="H12767"/>
      <c r="I12767" s="489"/>
      <c r="J12767" s="1362"/>
      <c r="K12767" s="1362"/>
      <c r="L12767" s="1362"/>
    </row>
    <row r="12768" spans="1:12" x14ac:dyDescent="0.25">
      <c r="A12768">
        <v>89741</v>
      </c>
      <c r="B12768" t="s">
        <v>19048</v>
      </c>
      <c r="C12768" t="s">
        <v>138</v>
      </c>
      <c r="D12768" s="254">
        <v>18.78</v>
      </c>
      <c r="E12768"/>
      <c r="F12768"/>
      <c r="G12768"/>
      <c r="H12768"/>
      <c r="I12768" s="489"/>
      <c r="J12768" s="1362"/>
      <c r="K12768" s="1362"/>
      <c r="L12768" s="1362"/>
    </row>
    <row r="12769" spans="1:12" x14ac:dyDescent="0.25">
      <c r="A12769">
        <v>89742</v>
      </c>
      <c r="B12769" t="s">
        <v>19049</v>
      </c>
      <c r="C12769" t="s">
        <v>138</v>
      </c>
      <c r="D12769" s="254">
        <v>36.869999999999997</v>
      </c>
      <c r="E12769"/>
      <c r="F12769"/>
      <c r="G12769"/>
      <c r="H12769"/>
      <c r="I12769" s="489"/>
      <c r="J12769" s="1362"/>
      <c r="K12769" s="1362"/>
      <c r="L12769" s="1362"/>
    </row>
    <row r="12770" spans="1:12" x14ac:dyDescent="0.25">
      <c r="A12770">
        <v>89743</v>
      </c>
      <c r="B12770" t="s">
        <v>19050</v>
      </c>
      <c r="C12770" t="s">
        <v>138</v>
      </c>
      <c r="D12770" s="254">
        <v>50.56</v>
      </c>
      <c r="E12770"/>
      <c r="F12770"/>
      <c r="G12770"/>
      <c r="H12770"/>
      <c r="I12770" s="489"/>
      <c r="J12770" s="1362"/>
      <c r="K12770" s="1362"/>
      <c r="L12770" s="1362"/>
    </row>
    <row r="12771" spans="1:12" x14ac:dyDescent="0.25">
      <c r="A12771">
        <v>89744</v>
      </c>
      <c r="B12771" t="s">
        <v>19051</v>
      </c>
      <c r="C12771" t="s">
        <v>138</v>
      </c>
      <c r="D12771" s="254">
        <v>28.86</v>
      </c>
      <c r="E12771"/>
      <c r="F12771"/>
      <c r="G12771"/>
      <c r="H12771"/>
      <c r="I12771" s="489"/>
      <c r="J12771" s="1362"/>
      <c r="K12771" s="1362"/>
      <c r="L12771" s="1362"/>
    </row>
    <row r="12772" spans="1:12" x14ac:dyDescent="0.25">
      <c r="A12772">
        <v>89746</v>
      </c>
      <c r="B12772" t="s">
        <v>19052</v>
      </c>
      <c r="C12772" t="s">
        <v>138</v>
      </c>
      <c r="D12772" s="254">
        <v>28.8</v>
      </c>
      <c r="E12772"/>
      <c r="F12772"/>
      <c r="G12772"/>
      <c r="H12772"/>
      <c r="I12772" s="489"/>
      <c r="J12772" s="1362"/>
      <c r="K12772" s="1362"/>
      <c r="L12772" s="1362"/>
    </row>
    <row r="12773" spans="1:12" x14ac:dyDescent="0.25">
      <c r="A12773">
        <v>89747</v>
      </c>
      <c r="B12773" t="s">
        <v>19053</v>
      </c>
      <c r="C12773" t="s">
        <v>138</v>
      </c>
      <c r="D12773" s="254">
        <v>12.94</v>
      </c>
      <c r="E12773"/>
      <c r="F12773"/>
      <c r="G12773"/>
      <c r="H12773"/>
      <c r="I12773" s="489"/>
      <c r="J12773" s="1362"/>
      <c r="K12773" s="1362"/>
      <c r="L12773" s="1362"/>
    </row>
    <row r="12774" spans="1:12" x14ac:dyDescent="0.25">
      <c r="A12774">
        <v>89748</v>
      </c>
      <c r="B12774" t="s">
        <v>19054</v>
      </c>
      <c r="C12774" t="s">
        <v>138</v>
      </c>
      <c r="D12774" s="254">
        <v>43.7</v>
      </c>
      <c r="E12774"/>
      <c r="F12774"/>
      <c r="G12774"/>
      <c r="H12774"/>
      <c r="I12774" s="489"/>
      <c r="J12774" s="1362"/>
      <c r="K12774" s="1362"/>
      <c r="L12774" s="1362"/>
    </row>
    <row r="12775" spans="1:12" x14ac:dyDescent="0.25">
      <c r="A12775">
        <v>89749</v>
      </c>
      <c r="B12775" t="s">
        <v>19055</v>
      </c>
      <c r="C12775" t="s">
        <v>138</v>
      </c>
      <c r="D12775" s="254">
        <v>14.74</v>
      </c>
      <c r="E12775"/>
      <c r="F12775"/>
      <c r="G12775"/>
      <c r="H12775"/>
      <c r="I12775" s="489"/>
      <c r="J12775" s="1362"/>
      <c r="K12775" s="1362"/>
      <c r="L12775" s="1362"/>
    </row>
    <row r="12776" spans="1:12" x14ac:dyDescent="0.25">
      <c r="A12776">
        <v>89750</v>
      </c>
      <c r="B12776" t="s">
        <v>19056</v>
      </c>
      <c r="C12776" t="s">
        <v>138</v>
      </c>
      <c r="D12776" s="254">
        <v>70.03</v>
      </c>
      <c r="E12776"/>
      <c r="F12776"/>
      <c r="G12776"/>
      <c r="H12776"/>
      <c r="I12776" s="489"/>
      <c r="J12776" s="1362"/>
      <c r="K12776" s="1362"/>
      <c r="L12776" s="1362"/>
    </row>
    <row r="12777" spans="1:12" x14ac:dyDescent="0.25">
      <c r="A12777">
        <v>89752</v>
      </c>
      <c r="B12777" t="s">
        <v>19057</v>
      </c>
      <c r="C12777" t="s">
        <v>138</v>
      </c>
      <c r="D12777" s="254">
        <v>7.77</v>
      </c>
      <c r="E12777"/>
      <c r="F12777"/>
      <c r="G12777"/>
      <c r="H12777"/>
      <c r="I12777" s="489"/>
      <c r="J12777" s="1362"/>
      <c r="K12777" s="1362"/>
      <c r="L12777" s="1362"/>
    </row>
    <row r="12778" spans="1:12" x14ac:dyDescent="0.25">
      <c r="A12778">
        <v>89753</v>
      </c>
      <c r="B12778" t="s">
        <v>19058</v>
      </c>
      <c r="C12778" t="s">
        <v>138</v>
      </c>
      <c r="D12778" s="254">
        <v>9.39</v>
      </c>
      <c r="E12778"/>
      <c r="F12778"/>
      <c r="G12778"/>
      <c r="H12778"/>
      <c r="I12778" s="489"/>
      <c r="J12778" s="1362"/>
      <c r="K12778" s="1362"/>
      <c r="L12778" s="1362"/>
    </row>
    <row r="12779" spans="1:12" x14ac:dyDescent="0.25">
      <c r="A12779">
        <v>89754</v>
      </c>
      <c r="B12779" t="s">
        <v>19059</v>
      </c>
      <c r="C12779" t="s">
        <v>138</v>
      </c>
      <c r="D12779" s="254">
        <v>21.01</v>
      </c>
      <c r="E12779"/>
      <c r="F12779"/>
      <c r="G12779"/>
      <c r="H12779"/>
      <c r="I12779" s="489"/>
      <c r="J12779" s="1362"/>
      <c r="K12779" s="1362"/>
      <c r="L12779" s="1362"/>
    </row>
    <row r="12780" spans="1:12" x14ac:dyDescent="0.25">
      <c r="A12780">
        <v>89755</v>
      </c>
      <c r="B12780" t="s">
        <v>19060</v>
      </c>
      <c r="C12780" t="s">
        <v>138</v>
      </c>
      <c r="D12780" s="254">
        <v>13.41</v>
      </c>
      <c r="E12780"/>
      <c r="F12780"/>
      <c r="G12780"/>
      <c r="H12780"/>
      <c r="I12780" s="489"/>
      <c r="J12780" s="1362"/>
      <c r="K12780" s="1362"/>
      <c r="L12780" s="1362"/>
    </row>
    <row r="12781" spans="1:12" x14ac:dyDescent="0.25">
      <c r="A12781">
        <v>89756</v>
      </c>
      <c r="B12781" t="s">
        <v>19061</v>
      </c>
      <c r="C12781" t="s">
        <v>138</v>
      </c>
      <c r="D12781" s="254">
        <v>19.5</v>
      </c>
      <c r="E12781"/>
      <c r="F12781"/>
      <c r="G12781"/>
      <c r="H12781"/>
      <c r="I12781" s="489"/>
      <c r="J12781" s="1362"/>
      <c r="K12781" s="1362"/>
      <c r="L12781" s="1362"/>
    </row>
    <row r="12782" spans="1:12" x14ac:dyDescent="0.25">
      <c r="A12782">
        <v>89757</v>
      </c>
      <c r="B12782" t="s">
        <v>19062</v>
      </c>
      <c r="C12782" t="s">
        <v>138</v>
      </c>
      <c r="D12782" s="254">
        <v>27.26</v>
      </c>
      <c r="E12782"/>
      <c r="F12782"/>
      <c r="G12782"/>
      <c r="H12782"/>
      <c r="I12782" s="489"/>
      <c r="J12782" s="1362"/>
      <c r="K12782" s="1362"/>
      <c r="L12782" s="1362"/>
    </row>
    <row r="12783" spans="1:12" x14ac:dyDescent="0.25">
      <c r="A12783">
        <v>89758</v>
      </c>
      <c r="B12783" t="s">
        <v>19063</v>
      </c>
      <c r="C12783" t="s">
        <v>138</v>
      </c>
      <c r="D12783" s="254">
        <v>39.729999999999997</v>
      </c>
      <c r="E12783"/>
      <c r="F12783"/>
      <c r="G12783"/>
      <c r="H12783"/>
      <c r="I12783" s="489"/>
      <c r="J12783" s="1362"/>
      <c r="K12783" s="1362"/>
      <c r="L12783" s="1362"/>
    </row>
    <row r="12784" spans="1:12" x14ac:dyDescent="0.25">
      <c r="A12784">
        <v>89759</v>
      </c>
      <c r="B12784" t="s">
        <v>19064</v>
      </c>
      <c r="C12784" t="s">
        <v>138</v>
      </c>
      <c r="D12784" s="254">
        <v>9.82</v>
      </c>
      <c r="E12784"/>
      <c r="F12784"/>
      <c r="G12784"/>
      <c r="H12784"/>
      <c r="I12784" s="489"/>
      <c r="J12784" s="1362"/>
      <c r="K12784" s="1362"/>
      <c r="L12784" s="1362"/>
    </row>
    <row r="12785" spans="1:12" x14ac:dyDescent="0.25">
      <c r="A12785">
        <v>89760</v>
      </c>
      <c r="B12785" t="s">
        <v>19065</v>
      </c>
      <c r="C12785" t="s">
        <v>138</v>
      </c>
      <c r="D12785" s="254">
        <v>19.89</v>
      </c>
      <c r="E12785"/>
      <c r="F12785"/>
      <c r="G12785"/>
      <c r="H12785"/>
      <c r="I12785" s="489"/>
      <c r="J12785" s="1362"/>
      <c r="K12785" s="1362"/>
      <c r="L12785" s="1362"/>
    </row>
    <row r="12786" spans="1:12" x14ac:dyDescent="0.25">
      <c r="A12786">
        <v>89761</v>
      </c>
      <c r="B12786" t="s">
        <v>19066</v>
      </c>
      <c r="C12786" t="s">
        <v>138</v>
      </c>
      <c r="D12786" s="254">
        <v>28.99</v>
      </c>
      <c r="E12786"/>
      <c r="F12786"/>
      <c r="G12786"/>
      <c r="H12786"/>
      <c r="I12786" s="489"/>
      <c r="J12786" s="1362"/>
      <c r="K12786" s="1362"/>
      <c r="L12786" s="1362"/>
    </row>
    <row r="12787" spans="1:12" x14ac:dyDescent="0.25">
      <c r="A12787">
        <v>89762</v>
      </c>
      <c r="B12787" t="s">
        <v>19067</v>
      </c>
      <c r="C12787" t="s">
        <v>138</v>
      </c>
      <c r="D12787" s="254">
        <v>38.75</v>
      </c>
      <c r="E12787"/>
      <c r="F12787"/>
      <c r="G12787"/>
      <c r="H12787"/>
      <c r="I12787" s="489"/>
      <c r="J12787" s="1362"/>
      <c r="K12787" s="1362"/>
      <c r="L12787" s="1362"/>
    </row>
    <row r="12788" spans="1:12" x14ac:dyDescent="0.25">
      <c r="A12788">
        <v>89763</v>
      </c>
      <c r="B12788" t="s">
        <v>19068</v>
      </c>
      <c r="C12788" t="s">
        <v>138</v>
      </c>
      <c r="D12788" s="254">
        <v>135.1</v>
      </c>
      <c r="E12788"/>
      <c r="F12788"/>
      <c r="G12788"/>
      <c r="H12788"/>
      <c r="I12788" s="489"/>
      <c r="J12788" s="1362"/>
      <c r="K12788" s="1362"/>
      <c r="L12788" s="1362"/>
    </row>
    <row r="12789" spans="1:12" x14ac:dyDescent="0.25">
      <c r="A12789">
        <v>89764</v>
      </c>
      <c r="B12789" t="s">
        <v>19069</v>
      </c>
      <c r="C12789" t="s">
        <v>138</v>
      </c>
      <c r="D12789" s="254">
        <v>30</v>
      </c>
      <c r="E12789"/>
      <c r="F12789"/>
      <c r="G12789"/>
      <c r="H12789"/>
      <c r="I12789" s="489"/>
      <c r="J12789" s="1362"/>
      <c r="K12789" s="1362"/>
      <c r="L12789" s="1362"/>
    </row>
    <row r="12790" spans="1:12" x14ac:dyDescent="0.25">
      <c r="A12790">
        <v>89765</v>
      </c>
      <c r="B12790" t="s">
        <v>19070</v>
      </c>
      <c r="C12790" t="s">
        <v>138</v>
      </c>
      <c r="D12790" s="254">
        <v>17.59</v>
      </c>
      <c r="E12790"/>
      <c r="F12790"/>
      <c r="G12790"/>
      <c r="H12790"/>
      <c r="I12790" s="489"/>
      <c r="J12790" s="1362"/>
      <c r="K12790" s="1362"/>
      <c r="L12790" s="1362"/>
    </row>
    <row r="12791" spans="1:12" x14ac:dyDescent="0.25">
      <c r="A12791">
        <v>89767</v>
      </c>
      <c r="B12791" t="s">
        <v>19071</v>
      </c>
      <c r="C12791" t="s">
        <v>138</v>
      </c>
      <c r="D12791" s="254">
        <v>22.69</v>
      </c>
      <c r="E12791"/>
      <c r="F12791"/>
      <c r="G12791"/>
      <c r="H12791"/>
      <c r="I12791" s="489"/>
      <c r="J12791" s="1362"/>
      <c r="K12791" s="1362"/>
      <c r="L12791" s="1362"/>
    </row>
    <row r="12792" spans="1:12" x14ac:dyDescent="0.25">
      <c r="A12792">
        <v>89768</v>
      </c>
      <c r="B12792" t="s">
        <v>19072</v>
      </c>
      <c r="C12792" t="s">
        <v>138</v>
      </c>
      <c r="D12792" s="254">
        <v>24.46</v>
      </c>
      <c r="E12792"/>
      <c r="F12792"/>
      <c r="G12792"/>
      <c r="H12792"/>
      <c r="I12792" s="489"/>
      <c r="J12792" s="1362"/>
      <c r="K12792" s="1362"/>
      <c r="L12792" s="1362"/>
    </row>
    <row r="12793" spans="1:12" x14ac:dyDescent="0.25">
      <c r="A12793">
        <v>89769</v>
      </c>
      <c r="B12793" t="s">
        <v>19073</v>
      </c>
      <c r="C12793" t="s">
        <v>138</v>
      </c>
      <c r="D12793" s="254">
        <v>47.94</v>
      </c>
      <c r="E12793"/>
      <c r="F12793"/>
      <c r="G12793"/>
      <c r="H12793"/>
      <c r="I12793" s="489"/>
      <c r="J12793" s="1362"/>
      <c r="K12793" s="1362"/>
      <c r="L12793" s="1362"/>
    </row>
    <row r="12794" spans="1:12" x14ac:dyDescent="0.25">
      <c r="A12794">
        <v>89772</v>
      </c>
      <c r="B12794" t="s">
        <v>19074</v>
      </c>
      <c r="C12794" t="s">
        <v>151</v>
      </c>
      <c r="D12794" s="254">
        <v>117.67</v>
      </c>
      <c r="E12794"/>
      <c r="F12794"/>
      <c r="G12794"/>
      <c r="H12794"/>
      <c r="I12794" s="489"/>
      <c r="J12794" s="1362"/>
      <c r="K12794" s="1362"/>
      <c r="L12794" s="1362"/>
    </row>
    <row r="12795" spans="1:12" x14ac:dyDescent="0.25">
      <c r="A12795">
        <v>89774</v>
      </c>
      <c r="B12795" t="s">
        <v>19075</v>
      </c>
      <c r="C12795" t="s">
        <v>138</v>
      </c>
      <c r="D12795" s="254">
        <v>15.06</v>
      </c>
      <c r="E12795"/>
      <c r="F12795"/>
      <c r="G12795"/>
      <c r="H12795"/>
      <c r="I12795" s="489"/>
      <c r="J12795" s="1362"/>
      <c r="K12795" s="1362"/>
      <c r="L12795" s="1362"/>
    </row>
    <row r="12796" spans="1:12" x14ac:dyDescent="0.25">
      <c r="A12796">
        <v>89776</v>
      </c>
      <c r="B12796" t="s">
        <v>19076</v>
      </c>
      <c r="C12796" t="s">
        <v>138</v>
      </c>
      <c r="D12796" s="254">
        <v>25.39</v>
      </c>
      <c r="E12796"/>
      <c r="F12796"/>
      <c r="G12796"/>
      <c r="H12796"/>
      <c r="I12796" s="489"/>
      <c r="J12796" s="1362"/>
      <c r="K12796" s="1362"/>
      <c r="L12796" s="1362"/>
    </row>
    <row r="12797" spans="1:12" x14ac:dyDescent="0.25">
      <c r="A12797">
        <v>89777</v>
      </c>
      <c r="B12797" t="s">
        <v>19077</v>
      </c>
      <c r="C12797" t="s">
        <v>138</v>
      </c>
      <c r="D12797" s="254">
        <v>23.88</v>
      </c>
      <c r="E12797"/>
      <c r="F12797"/>
      <c r="G12797"/>
      <c r="H12797"/>
      <c r="I12797" s="489"/>
      <c r="J12797" s="1362"/>
      <c r="K12797" s="1362"/>
      <c r="L12797" s="1362"/>
    </row>
    <row r="12798" spans="1:12" x14ac:dyDescent="0.25">
      <c r="A12798">
        <v>89778</v>
      </c>
      <c r="B12798" t="s">
        <v>19078</v>
      </c>
      <c r="C12798" t="s">
        <v>138</v>
      </c>
      <c r="D12798" s="254">
        <v>18.57</v>
      </c>
      <c r="E12798"/>
      <c r="F12798"/>
      <c r="G12798"/>
      <c r="H12798"/>
      <c r="I12798" s="489"/>
      <c r="J12798" s="1362"/>
      <c r="K12798" s="1362"/>
      <c r="L12798" s="1362"/>
    </row>
    <row r="12799" spans="1:12" x14ac:dyDescent="0.25">
      <c r="A12799">
        <v>89779</v>
      </c>
      <c r="B12799" t="s">
        <v>19079</v>
      </c>
      <c r="C12799" t="s">
        <v>138</v>
      </c>
      <c r="D12799" s="254">
        <v>34.83</v>
      </c>
      <c r="E12799"/>
      <c r="F12799"/>
      <c r="G12799"/>
      <c r="H12799"/>
      <c r="I12799" s="489"/>
      <c r="J12799" s="1362"/>
      <c r="K12799" s="1362"/>
      <c r="L12799" s="1362"/>
    </row>
    <row r="12800" spans="1:12" x14ac:dyDescent="0.25">
      <c r="A12800">
        <v>89780</v>
      </c>
      <c r="B12800" t="s">
        <v>19080</v>
      </c>
      <c r="C12800" t="s">
        <v>138</v>
      </c>
      <c r="D12800" s="254">
        <v>23.88</v>
      </c>
      <c r="E12800"/>
      <c r="F12800"/>
      <c r="G12800"/>
      <c r="H12800"/>
      <c r="I12800" s="489"/>
      <c r="J12800" s="1362"/>
      <c r="K12800" s="1362"/>
      <c r="L12800" s="1362"/>
    </row>
    <row r="12801" spans="1:12" x14ac:dyDescent="0.25">
      <c r="A12801">
        <v>89781</v>
      </c>
      <c r="B12801" t="s">
        <v>19081</v>
      </c>
      <c r="C12801" t="s">
        <v>138</v>
      </c>
      <c r="D12801" s="254">
        <v>34.270000000000003</v>
      </c>
      <c r="E12801"/>
      <c r="F12801"/>
      <c r="G12801"/>
      <c r="H12801"/>
      <c r="I12801" s="489"/>
      <c r="J12801" s="1362"/>
      <c r="K12801" s="1362"/>
      <c r="L12801" s="1362"/>
    </row>
    <row r="12802" spans="1:12" x14ac:dyDescent="0.25">
      <c r="A12802">
        <v>89782</v>
      </c>
      <c r="B12802" t="s">
        <v>19082</v>
      </c>
      <c r="C12802" t="s">
        <v>138</v>
      </c>
      <c r="D12802" s="254">
        <v>15.38</v>
      </c>
      <c r="E12802"/>
      <c r="F12802"/>
      <c r="G12802"/>
      <c r="H12802"/>
      <c r="I12802" s="489"/>
      <c r="J12802" s="1362"/>
      <c r="K12802" s="1362"/>
      <c r="L12802" s="1362"/>
    </row>
    <row r="12803" spans="1:12" x14ac:dyDescent="0.25">
      <c r="A12803">
        <v>89783</v>
      </c>
      <c r="B12803" t="s">
        <v>19083</v>
      </c>
      <c r="C12803" t="s">
        <v>138</v>
      </c>
      <c r="D12803" s="254">
        <v>15.68</v>
      </c>
      <c r="E12803"/>
      <c r="F12803"/>
      <c r="G12803"/>
      <c r="H12803"/>
      <c r="I12803" s="489"/>
      <c r="J12803" s="1362"/>
      <c r="K12803" s="1362"/>
      <c r="L12803" s="1362"/>
    </row>
    <row r="12804" spans="1:12" x14ac:dyDescent="0.25">
      <c r="A12804">
        <v>89784</v>
      </c>
      <c r="B12804" t="s">
        <v>19084</v>
      </c>
      <c r="C12804" t="s">
        <v>138</v>
      </c>
      <c r="D12804" s="254">
        <v>24.91</v>
      </c>
      <c r="E12804"/>
      <c r="F12804"/>
      <c r="G12804"/>
      <c r="H12804"/>
      <c r="I12804" s="489"/>
      <c r="J12804" s="1362"/>
      <c r="K12804" s="1362"/>
      <c r="L12804" s="1362"/>
    </row>
    <row r="12805" spans="1:12" x14ac:dyDescent="0.25">
      <c r="A12805">
        <v>89785</v>
      </c>
      <c r="B12805" t="s">
        <v>19085</v>
      </c>
      <c r="C12805" t="s">
        <v>138</v>
      </c>
      <c r="D12805" s="254">
        <v>26.82</v>
      </c>
      <c r="E12805"/>
      <c r="F12805"/>
      <c r="G12805"/>
      <c r="H12805"/>
      <c r="I12805" s="489"/>
      <c r="J12805" s="1362"/>
      <c r="K12805" s="1362"/>
      <c r="L12805" s="1362"/>
    </row>
    <row r="12806" spans="1:12" x14ac:dyDescent="0.25">
      <c r="A12806">
        <v>89786</v>
      </c>
      <c r="B12806" t="s">
        <v>19086</v>
      </c>
      <c r="C12806" t="s">
        <v>138</v>
      </c>
      <c r="D12806" s="254">
        <v>38.14</v>
      </c>
      <c r="E12806"/>
      <c r="F12806"/>
      <c r="G12806"/>
      <c r="H12806"/>
      <c r="I12806" s="489"/>
      <c r="J12806" s="1362"/>
      <c r="K12806" s="1362"/>
      <c r="L12806" s="1362"/>
    </row>
    <row r="12807" spans="1:12" x14ac:dyDescent="0.25">
      <c r="A12807">
        <v>89787</v>
      </c>
      <c r="B12807" t="s">
        <v>19087</v>
      </c>
      <c r="C12807" t="s">
        <v>138</v>
      </c>
      <c r="D12807" s="254">
        <v>34.270000000000003</v>
      </c>
      <c r="E12807"/>
      <c r="F12807"/>
      <c r="G12807"/>
      <c r="H12807"/>
      <c r="I12807" s="489"/>
      <c r="J12807" s="1362"/>
      <c r="K12807" s="1362"/>
      <c r="L12807" s="1362"/>
    </row>
    <row r="12808" spans="1:12" x14ac:dyDescent="0.25">
      <c r="A12808">
        <v>89788</v>
      </c>
      <c r="B12808" t="s">
        <v>19088</v>
      </c>
      <c r="C12808" t="s">
        <v>138</v>
      </c>
      <c r="D12808" s="254">
        <v>63.29</v>
      </c>
      <c r="E12808"/>
      <c r="F12808"/>
      <c r="G12808"/>
      <c r="H12808"/>
      <c r="I12808" s="489"/>
      <c r="J12808" s="1362"/>
      <c r="K12808" s="1362"/>
      <c r="L12808" s="1362"/>
    </row>
    <row r="12809" spans="1:12" x14ac:dyDescent="0.25">
      <c r="A12809">
        <v>89789</v>
      </c>
      <c r="B12809" t="s">
        <v>19089</v>
      </c>
      <c r="C12809" t="s">
        <v>138</v>
      </c>
      <c r="D12809" s="254">
        <v>64.19</v>
      </c>
      <c r="E12809"/>
      <c r="F12809"/>
      <c r="G12809"/>
      <c r="H12809"/>
      <c r="I12809" s="489"/>
      <c r="J12809" s="1362"/>
      <c r="K12809" s="1362"/>
      <c r="L12809" s="1362"/>
    </row>
    <row r="12810" spans="1:12" x14ac:dyDescent="0.25">
      <c r="A12810">
        <v>89790</v>
      </c>
      <c r="B12810" t="s">
        <v>19090</v>
      </c>
      <c r="C12810" t="s">
        <v>138</v>
      </c>
      <c r="D12810" s="254">
        <v>147.72</v>
      </c>
      <c r="E12810"/>
      <c r="F12810"/>
      <c r="G12810"/>
      <c r="H12810"/>
      <c r="I12810" s="489"/>
      <c r="J12810" s="1362"/>
      <c r="K12810" s="1362"/>
      <c r="L12810" s="1362"/>
    </row>
    <row r="12811" spans="1:12" x14ac:dyDescent="0.25">
      <c r="A12811">
        <v>89791</v>
      </c>
      <c r="B12811" t="s">
        <v>19091</v>
      </c>
      <c r="C12811" t="s">
        <v>138</v>
      </c>
      <c r="D12811" s="254">
        <v>151.02000000000001</v>
      </c>
      <c r="E12811"/>
      <c r="F12811"/>
      <c r="G12811"/>
      <c r="H12811"/>
      <c r="I12811" s="489"/>
      <c r="J12811" s="1362"/>
      <c r="K12811" s="1362"/>
      <c r="L12811" s="1362"/>
    </row>
    <row r="12812" spans="1:12" x14ac:dyDescent="0.25">
      <c r="A12812">
        <v>89792</v>
      </c>
      <c r="B12812" t="s">
        <v>19092</v>
      </c>
      <c r="C12812" t="s">
        <v>138</v>
      </c>
      <c r="D12812" s="254">
        <v>176.51</v>
      </c>
      <c r="E12812"/>
      <c r="F12812"/>
      <c r="G12812"/>
      <c r="H12812"/>
      <c r="I12812" s="489"/>
      <c r="J12812" s="1362"/>
      <c r="K12812" s="1362"/>
      <c r="L12812" s="1362"/>
    </row>
    <row r="12813" spans="1:12" x14ac:dyDescent="0.25">
      <c r="A12813">
        <v>89793</v>
      </c>
      <c r="B12813" t="s">
        <v>19093</v>
      </c>
      <c r="C12813" t="s">
        <v>138</v>
      </c>
      <c r="D12813" s="254">
        <v>180.95</v>
      </c>
      <c r="E12813"/>
      <c r="F12813"/>
      <c r="G12813"/>
      <c r="H12813"/>
      <c r="I12813" s="489"/>
      <c r="J12813" s="1362"/>
      <c r="K12813" s="1362"/>
      <c r="L12813" s="1362"/>
    </row>
    <row r="12814" spans="1:12" x14ac:dyDescent="0.25">
      <c r="A12814">
        <v>89794</v>
      </c>
      <c r="B12814" t="s">
        <v>19094</v>
      </c>
      <c r="C12814" t="s">
        <v>138</v>
      </c>
      <c r="D12814" s="254">
        <v>17.13</v>
      </c>
      <c r="E12814"/>
      <c r="F12814"/>
      <c r="G12814"/>
      <c r="H12814"/>
      <c r="I12814" s="489"/>
      <c r="J12814" s="1362"/>
      <c r="K12814" s="1362"/>
      <c r="L12814" s="1362"/>
    </row>
    <row r="12815" spans="1:12" x14ac:dyDescent="0.25">
      <c r="A12815">
        <v>89795</v>
      </c>
      <c r="B12815" t="s">
        <v>19095</v>
      </c>
      <c r="C12815" t="s">
        <v>138</v>
      </c>
      <c r="D12815" s="254">
        <v>40.75</v>
      </c>
      <c r="E12815"/>
      <c r="F12815"/>
      <c r="G12815"/>
      <c r="H12815"/>
      <c r="I12815" s="489"/>
      <c r="J12815" s="1362"/>
      <c r="K12815" s="1362"/>
      <c r="L12815" s="1362"/>
    </row>
    <row r="12816" spans="1:12" x14ac:dyDescent="0.25">
      <c r="A12816">
        <v>89796</v>
      </c>
      <c r="B12816" t="s">
        <v>19096</v>
      </c>
      <c r="C12816" t="s">
        <v>138</v>
      </c>
      <c r="D12816" s="254">
        <v>45.43</v>
      </c>
      <c r="E12816"/>
      <c r="F12816"/>
      <c r="G12816"/>
      <c r="H12816"/>
      <c r="I12816" s="489"/>
      <c r="J12816" s="1362"/>
      <c r="K12816" s="1362"/>
      <c r="L12816" s="1362"/>
    </row>
    <row r="12817" spans="1:12" x14ac:dyDescent="0.25">
      <c r="A12817">
        <v>89797</v>
      </c>
      <c r="B12817" t="s">
        <v>19097</v>
      </c>
      <c r="C12817" t="s">
        <v>138</v>
      </c>
      <c r="D12817" s="254">
        <v>51.56</v>
      </c>
      <c r="E12817"/>
      <c r="F12817"/>
      <c r="G12817"/>
      <c r="H12817"/>
      <c r="I12817" s="489"/>
      <c r="J12817" s="1362"/>
      <c r="K12817" s="1362"/>
      <c r="L12817" s="1362"/>
    </row>
    <row r="12818" spans="1:12" x14ac:dyDescent="0.25">
      <c r="A12818">
        <v>89801</v>
      </c>
      <c r="B12818" t="s">
        <v>19098</v>
      </c>
      <c r="C12818" t="s">
        <v>138</v>
      </c>
      <c r="D12818" s="254">
        <v>9.6199999999999992</v>
      </c>
      <c r="E12818"/>
      <c r="F12818"/>
      <c r="G12818"/>
      <c r="H12818"/>
      <c r="I12818" s="489"/>
      <c r="J12818" s="1362"/>
      <c r="K12818" s="1362"/>
      <c r="L12818" s="1362"/>
    </row>
    <row r="12819" spans="1:12" x14ac:dyDescent="0.25">
      <c r="A12819">
        <v>89802</v>
      </c>
      <c r="B12819" t="s">
        <v>19099</v>
      </c>
      <c r="C12819" t="s">
        <v>138</v>
      </c>
      <c r="D12819" s="254">
        <v>10.29</v>
      </c>
      <c r="E12819"/>
      <c r="F12819"/>
      <c r="G12819"/>
      <c r="H12819"/>
      <c r="I12819" s="489"/>
      <c r="J12819" s="1362"/>
      <c r="K12819" s="1362"/>
      <c r="L12819" s="1362"/>
    </row>
    <row r="12820" spans="1:12" x14ac:dyDescent="0.25">
      <c r="A12820">
        <v>89803</v>
      </c>
      <c r="B12820" t="s">
        <v>19100</v>
      </c>
      <c r="C12820" t="s">
        <v>138</v>
      </c>
      <c r="D12820" s="254">
        <v>17.489999999999998</v>
      </c>
      <c r="E12820"/>
      <c r="F12820"/>
      <c r="G12820"/>
      <c r="H12820"/>
      <c r="I12820" s="489"/>
      <c r="J12820" s="1362"/>
      <c r="K12820" s="1362"/>
      <c r="L12820" s="1362"/>
    </row>
    <row r="12821" spans="1:12" x14ac:dyDescent="0.25">
      <c r="A12821">
        <v>89804</v>
      </c>
      <c r="B12821" t="s">
        <v>19101</v>
      </c>
      <c r="C12821" t="s">
        <v>138</v>
      </c>
      <c r="D12821" s="254">
        <v>18.59</v>
      </c>
      <c r="E12821"/>
      <c r="F12821"/>
      <c r="G12821"/>
      <c r="H12821"/>
      <c r="I12821" s="489"/>
      <c r="J12821" s="1362"/>
      <c r="K12821" s="1362"/>
      <c r="L12821" s="1362"/>
    </row>
    <row r="12822" spans="1:12" x14ac:dyDescent="0.25">
      <c r="A12822">
        <v>89805</v>
      </c>
      <c r="B12822" t="s">
        <v>19102</v>
      </c>
      <c r="C12822" t="s">
        <v>138</v>
      </c>
      <c r="D12822" s="254">
        <v>21.17</v>
      </c>
      <c r="E12822"/>
      <c r="F12822"/>
      <c r="G12822"/>
      <c r="H12822"/>
      <c r="I12822" s="489"/>
      <c r="J12822" s="1362"/>
      <c r="K12822" s="1362"/>
      <c r="L12822" s="1362"/>
    </row>
    <row r="12823" spans="1:12" x14ac:dyDescent="0.25">
      <c r="A12823">
        <v>89806</v>
      </c>
      <c r="B12823" t="s">
        <v>19103</v>
      </c>
      <c r="C12823" t="s">
        <v>138</v>
      </c>
      <c r="D12823" s="254">
        <v>22.12</v>
      </c>
      <c r="E12823"/>
      <c r="F12823"/>
      <c r="G12823"/>
      <c r="H12823"/>
      <c r="I12823" s="489"/>
      <c r="J12823" s="1362"/>
      <c r="K12823" s="1362"/>
      <c r="L12823" s="1362"/>
    </row>
    <row r="12824" spans="1:12" x14ac:dyDescent="0.25">
      <c r="A12824">
        <v>89807</v>
      </c>
      <c r="B12824" t="s">
        <v>19104</v>
      </c>
      <c r="C12824" t="s">
        <v>138</v>
      </c>
      <c r="D12824" s="254">
        <v>34.81</v>
      </c>
      <c r="E12824"/>
      <c r="F12824"/>
      <c r="G12824"/>
      <c r="H12824"/>
      <c r="I12824" s="489"/>
      <c r="J12824" s="1362"/>
      <c r="K12824" s="1362"/>
      <c r="L12824" s="1362"/>
    </row>
    <row r="12825" spans="1:12" x14ac:dyDescent="0.25">
      <c r="A12825">
        <v>89808</v>
      </c>
      <c r="B12825" t="s">
        <v>19105</v>
      </c>
      <c r="C12825" t="s">
        <v>138</v>
      </c>
      <c r="D12825" s="254">
        <v>48.5</v>
      </c>
      <c r="E12825"/>
      <c r="F12825"/>
      <c r="G12825"/>
      <c r="H12825"/>
      <c r="I12825" s="489"/>
      <c r="J12825" s="1362"/>
      <c r="K12825" s="1362"/>
      <c r="L12825" s="1362"/>
    </row>
    <row r="12826" spans="1:12" x14ac:dyDescent="0.25">
      <c r="A12826">
        <v>89809</v>
      </c>
      <c r="B12826" t="s">
        <v>19106</v>
      </c>
      <c r="C12826" t="s">
        <v>138</v>
      </c>
      <c r="D12826" s="254">
        <v>30.14</v>
      </c>
      <c r="E12826"/>
      <c r="F12826"/>
      <c r="G12826"/>
      <c r="H12826"/>
      <c r="I12826" s="489"/>
      <c r="J12826" s="1362"/>
      <c r="K12826" s="1362"/>
      <c r="L12826" s="1362"/>
    </row>
    <row r="12827" spans="1:12" x14ac:dyDescent="0.25">
      <c r="A12827">
        <v>89810</v>
      </c>
      <c r="B12827" t="s">
        <v>19107</v>
      </c>
      <c r="C12827" t="s">
        <v>138</v>
      </c>
      <c r="D12827" s="254">
        <v>30.08</v>
      </c>
      <c r="E12827"/>
      <c r="F12827"/>
      <c r="G12827"/>
      <c r="H12827"/>
      <c r="I12827" s="489"/>
      <c r="J12827" s="1362"/>
      <c r="K12827" s="1362"/>
      <c r="L12827" s="1362"/>
    </row>
    <row r="12828" spans="1:12" x14ac:dyDescent="0.25">
      <c r="A12828">
        <v>89811</v>
      </c>
      <c r="B12828" t="s">
        <v>19108</v>
      </c>
      <c r="C12828" t="s">
        <v>138</v>
      </c>
      <c r="D12828" s="254">
        <v>44.98</v>
      </c>
      <c r="E12828"/>
      <c r="F12828"/>
      <c r="G12828"/>
      <c r="H12828"/>
      <c r="I12828" s="489"/>
      <c r="J12828" s="1362"/>
      <c r="K12828" s="1362"/>
      <c r="L12828" s="1362"/>
    </row>
    <row r="12829" spans="1:12" x14ac:dyDescent="0.25">
      <c r="A12829">
        <v>89812</v>
      </c>
      <c r="B12829" t="s">
        <v>19109</v>
      </c>
      <c r="C12829" t="s">
        <v>138</v>
      </c>
      <c r="D12829" s="254">
        <v>71.31</v>
      </c>
      <c r="E12829"/>
      <c r="F12829"/>
      <c r="G12829"/>
      <c r="H12829"/>
      <c r="I12829" s="489"/>
      <c r="J12829" s="1362"/>
      <c r="K12829" s="1362"/>
      <c r="L12829" s="1362"/>
    </row>
    <row r="12830" spans="1:12" x14ac:dyDescent="0.25">
      <c r="A12830">
        <v>89813</v>
      </c>
      <c r="B12830" t="s">
        <v>19110</v>
      </c>
      <c r="C12830" t="s">
        <v>138</v>
      </c>
      <c r="D12830" s="254">
        <v>5.73</v>
      </c>
      <c r="E12830"/>
      <c r="F12830"/>
      <c r="G12830"/>
      <c r="H12830"/>
      <c r="I12830" s="489"/>
      <c r="J12830" s="1362"/>
      <c r="K12830" s="1362"/>
      <c r="L12830" s="1362"/>
    </row>
    <row r="12831" spans="1:12" x14ac:dyDescent="0.25">
      <c r="A12831">
        <v>89814</v>
      </c>
      <c r="B12831" t="s">
        <v>19111</v>
      </c>
      <c r="C12831" t="s">
        <v>138</v>
      </c>
      <c r="D12831" s="254">
        <v>17.420000000000002</v>
      </c>
      <c r="E12831"/>
      <c r="F12831"/>
      <c r="G12831"/>
      <c r="H12831"/>
      <c r="I12831" s="489"/>
      <c r="J12831" s="1362"/>
      <c r="K12831" s="1362"/>
      <c r="L12831" s="1362"/>
    </row>
    <row r="12832" spans="1:12" x14ac:dyDescent="0.25">
      <c r="A12832">
        <v>89815</v>
      </c>
      <c r="B12832" t="s">
        <v>19112</v>
      </c>
      <c r="C12832" t="s">
        <v>138</v>
      </c>
      <c r="D12832" s="254">
        <v>26.23</v>
      </c>
      <c r="E12832"/>
      <c r="F12832"/>
      <c r="G12832"/>
      <c r="H12832"/>
      <c r="I12832" s="489"/>
      <c r="J12832" s="1362"/>
      <c r="K12832" s="1362"/>
      <c r="L12832" s="1362"/>
    </row>
    <row r="12833" spans="1:12" x14ac:dyDescent="0.25">
      <c r="A12833">
        <v>89816</v>
      </c>
      <c r="B12833" t="s">
        <v>19113</v>
      </c>
      <c r="C12833" t="s">
        <v>138</v>
      </c>
      <c r="D12833" s="254">
        <v>35.99</v>
      </c>
      <c r="E12833"/>
      <c r="F12833"/>
      <c r="G12833"/>
      <c r="H12833"/>
      <c r="I12833" s="489"/>
      <c r="J12833" s="1362"/>
      <c r="K12833" s="1362"/>
      <c r="L12833" s="1362"/>
    </row>
    <row r="12834" spans="1:12" x14ac:dyDescent="0.25">
      <c r="A12834">
        <v>89817</v>
      </c>
      <c r="B12834" t="s">
        <v>19114</v>
      </c>
      <c r="C12834" t="s">
        <v>138</v>
      </c>
      <c r="D12834" s="254">
        <v>13.65</v>
      </c>
      <c r="E12834"/>
      <c r="F12834"/>
      <c r="G12834"/>
      <c r="H12834"/>
      <c r="I12834" s="489"/>
      <c r="J12834" s="1362"/>
      <c r="K12834" s="1362"/>
      <c r="L12834" s="1362"/>
    </row>
    <row r="12835" spans="1:12" x14ac:dyDescent="0.25">
      <c r="A12835">
        <v>89818</v>
      </c>
      <c r="B12835" t="s">
        <v>19115</v>
      </c>
      <c r="C12835" t="s">
        <v>138</v>
      </c>
      <c r="D12835" s="254">
        <v>132.41999999999999</v>
      </c>
      <c r="E12835"/>
      <c r="F12835"/>
      <c r="G12835"/>
      <c r="H12835"/>
      <c r="I12835" s="489"/>
      <c r="J12835" s="1362"/>
      <c r="K12835" s="1362"/>
      <c r="L12835" s="1362"/>
    </row>
    <row r="12836" spans="1:12" x14ac:dyDescent="0.25">
      <c r="A12836">
        <v>89819</v>
      </c>
      <c r="B12836" t="s">
        <v>19116</v>
      </c>
      <c r="C12836" t="s">
        <v>138</v>
      </c>
      <c r="D12836" s="254">
        <v>24.02</v>
      </c>
      <c r="E12836"/>
      <c r="F12836"/>
      <c r="G12836"/>
      <c r="H12836"/>
      <c r="I12836" s="489"/>
      <c r="J12836" s="1362"/>
      <c r="K12836" s="1362"/>
      <c r="L12836" s="1362"/>
    </row>
    <row r="12837" spans="1:12" x14ac:dyDescent="0.25">
      <c r="A12837">
        <v>89821</v>
      </c>
      <c r="B12837" t="s">
        <v>19117</v>
      </c>
      <c r="C12837" t="s">
        <v>138</v>
      </c>
      <c r="D12837" s="254">
        <v>19.43</v>
      </c>
      <c r="E12837"/>
      <c r="F12837"/>
      <c r="G12837"/>
      <c r="H12837"/>
      <c r="I12837" s="489"/>
      <c r="J12837" s="1362"/>
      <c r="K12837" s="1362"/>
      <c r="L12837" s="1362"/>
    </row>
    <row r="12838" spans="1:12" x14ac:dyDescent="0.25">
      <c r="A12838">
        <v>89822</v>
      </c>
      <c r="B12838" t="s">
        <v>19118</v>
      </c>
      <c r="C12838" t="s">
        <v>138</v>
      </c>
      <c r="D12838" s="254">
        <v>22.04</v>
      </c>
      <c r="E12838"/>
      <c r="F12838"/>
      <c r="G12838"/>
      <c r="H12838"/>
      <c r="I12838" s="489"/>
      <c r="J12838" s="1362"/>
      <c r="K12838" s="1362"/>
      <c r="L12838" s="1362"/>
    </row>
    <row r="12839" spans="1:12" x14ac:dyDescent="0.25">
      <c r="A12839">
        <v>89823</v>
      </c>
      <c r="B12839" t="s">
        <v>19119</v>
      </c>
      <c r="C12839" t="s">
        <v>138</v>
      </c>
      <c r="D12839" s="254">
        <v>35.69</v>
      </c>
      <c r="E12839"/>
      <c r="F12839"/>
      <c r="G12839"/>
      <c r="H12839"/>
      <c r="I12839" s="489"/>
      <c r="J12839" s="1362"/>
      <c r="K12839" s="1362"/>
      <c r="L12839" s="1362"/>
    </row>
    <row r="12840" spans="1:12" x14ac:dyDescent="0.25">
      <c r="A12840">
        <v>89824</v>
      </c>
      <c r="B12840" t="s">
        <v>19120</v>
      </c>
      <c r="C12840" t="s">
        <v>138</v>
      </c>
      <c r="D12840" s="254">
        <v>35.01</v>
      </c>
      <c r="E12840"/>
      <c r="F12840"/>
      <c r="G12840"/>
      <c r="H12840"/>
      <c r="I12840" s="489"/>
      <c r="J12840" s="1362"/>
      <c r="K12840" s="1362"/>
      <c r="L12840" s="1362"/>
    </row>
    <row r="12841" spans="1:12" x14ac:dyDescent="0.25">
      <c r="A12841">
        <v>89825</v>
      </c>
      <c r="B12841" t="s">
        <v>19121</v>
      </c>
      <c r="C12841" t="s">
        <v>138</v>
      </c>
      <c r="D12841" s="254">
        <v>17.75</v>
      </c>
      <c r="E12841"/>
      <c r="F12841"/>
      <c r="G12841"/>
      <c r="H12841"/>
      <c r="I12841" s="489"/>
      <c r="J12841" s="1362"/>
      <c r="K12841" s="1362"/>
      <c r="L12841" s="1362"/>
    </row>
    <row r="12842" spans="1:12" x14ac:dyDescent="0.25">
      <c r="A12842">
        <v>89826</v>
      </c>
      <c r="B12842" t="s">
        <v>19122</v>
      </c>
      <c r="C12842" t="s">
        <v>138</v>
      </c>
      <c r="D12842" s="254">
        <v>135.21</v>
      </c>
      <c r="E12842"/>
      <c r="F12842"/>
      <c r="G12842"/>
      <c r="H12842"/>
      <c r="I12842" s="489"/>
      <c r="J12842" s="1362"/>
      <c r="K12842" s="1362"/>
      <c r="L12842" s="1362"/>
    </row>
    <row r="12843" spans="1:12" x14ac:dyDescent="0.25">
      <c r="A12843">
        <v>89827</v>
      </c>
      <c r="B12843" t="s">
        <v>19123</v>
      </c>
      <c r="C12843" t="s">
        <v>138</v>
      </c>
      <c r="D12843" s="254">
        <v>19.66</v>
      </c>
      <c r="E12843"/>
      <c r="F12843"/>
      <c r="G12843"/>
      <c r="H12843"/>
      <c r="I12843" s="489"/>
      <c r="J12843" s="1362"/>
      <c r="K12843" s="1362"/>
      <c r="L12843" s="1362"/>
    </row>
    <row r="12844" spans="1:12" x14ac:dyDescent="0.25">
      <c r="A12844">
        <v>89828</v>
      </c>
      <c r="B12844" t="s">
        <v>19124</v>
      </c>
      <c r="C12844" t="s">
        <v>138</v>
      </c>
      <c r="D12844" s="254">
        <v>51.01</v>
      </c>
      <c r="E12844"/>
      <c r="F12844"/>
      <c r="G12844"/>
      <c r="H12844"/>
      <c r="I12844" s="489"/>
      <c r="J12844" s="1362"/>
      <c r="K12844" s="1362"/>
      <c r="L12844" s="1362"/>
    </row>
    <row r="12845" spans="1:12" x14ac:dyDescent="0.25">
      <c r="A12845">
        <v>89829</v>
      </c>
      <c r="B12845" t="s">
        <v>19125</v>
      </c>
      <c r="C12845" t="s">
        <v>138</v>
      </c>
      <c r="D12845" s="254">
        <v>35.4</v>
      </c>
      <c r="E12845"/>
      <c r="F12845"/>
      <c r="G12845"/>
      <c r="H12845"/>
      <c r="I12845" s="489"/>
      <c r="J12845" s="1362"/>
      <c r="K12845" s="1362"/>
      <c r="L12845" s="1362"/>
    </row>
    <row r="12846" spans="1:12" x14ac:dyDescent="0.25">
      <c r="A12846">
        <v>89830</v>
      </c>
      <c r="B12846" t="s">
        <v>19126</v>
      </c>
      <c r="C12846" t="s">
        <v>138</v>
      </c>
      <c r="D12846" s="254">
        <v>38.01</v>
      </c>
      <c r="E12846"/>
      <c r="F12846"/>
      <c r="G12846"/>
      <c r="H12846"/>
      <c r="I12846" s="489"/>
      <c r="J12846" s="1362"/>
      <c r="K12846" s="1362"/>
      <c r="L12846" s="1362"/>
    </row>
    <row r="12847" spans="1:12" x14ac:dyDescent="0.25">
      <c r="A12847">
        <v>89831</v>
      </c>
      <c r="B12847" t="s">
        <v>19127</v>
      </c>
      <c r="C12847" t="s">
        <v>138</v>
      </c>
      <c r="D12847" s="254">
        <v>160.94999999999999</v>
      </c>
      <c r="E12847"/>
      <c r="F12847"/>
      <c r="G12847"/>
      <c r="H12847"/>
      <c r="I12847" s="489"/>
      <c r="J12847" s="1362"/>
      <c r="K12847" s="1362"/>
      <c r="L12847" s="1362"/>
    </row>
    <row r="12848" spans="1:12" x14ac:dyDescent="0.25">
      <c r="A12848">
        <v>89832</v>
      </c>
      <c r="B12848" t="s">
        <v>19128</v>
      </c>
      <c r="C12848" t="s">
        <v>138</v>
      </c>
      <c r="D12848" s="254">
        <v>36.82</v>
      </c>
      <c r="E12848"/>
      <c r="F12848"/>
      <c r="G12848"/>
      <c r="H12848"/>
      <c r="I12848" s="489"/>
      <c r="J12848" s="1362"/>
      <c r="K12848" s="1362"/>
      <c r="L12848" s="1362"/>
    </row>
    <row r="12849" spans="1:12" x14ac:dyDescent="0.25">
      <c r="A12849">
        <v>89833</v>
      </c>
      <c r="B12849" t="s">
        <v>19129</v>
      </c>
      <c r="C12849" t="s">
        <v>138</v>
      </c>
      <c r="D12849" s="254">
        <v>47.13</v>
      </c>
      <c r="E12849"/>
      <c r="F12849"/>
      <c r="G12849"/>
      <c r="H12849"/>
      <c r="I12849" s="489"/>
      <c r="J12849" s="1362"/>
      <c r="K12849" s="1362"/>
      <c r="L12849" s="1362"/>
    </row>
    <row r="12850" spans="1:12" x14ac:dyDescent="0.25">
      <c r="A12850">
        <v>89834</v>
      </c>
      <c r="B12850" t="s">
        <v>19130</v>
      </c>
      <c r="C12850" t="s">
        <v>138</v>
      </c>
      <c r="D12850" s="254">
        <v>53.26</v>
      </c>
      <c r="E12850"/>
      <c r="F12850"/>
      <c r="G12850"/>
      <c r="H12850"/>
      <c r="I12850" s="489"/>
      <c r="J12850" s="1362"/>
      <c r="K12850" s="1362"/>
      <c r="L12850" s="1362"/>
    </row>
    <row r="12851" spans="1:12" x14ac:dyDescent="0.25">
      <c r="A12851">
        <v>89835</v>
      </c>
      <c r="B12851" t="s">
        <v>19131</v>
      </c>
      <c r="C12851" t="s">
        <v>138</v>
      </c>
      <c r="D12851" s="254">
        <v>37.1</v>
      </c>
      <c r="E12851"/>
      <c r="F12851"/>
      <c r="G12851"/>
      <c r="H12851"/>
      <c r="I12851" s="489"/>
      <c r="J12851" s="1362"/>
      <c r="K12851" s="1362"/>
      <c r="L12851" s="1362"/>
    </row>
    <row r="12852" spans="1:12" x14ac:dyDescent="0.25">
      <c r="A12852">
        <v>89836</v>
      </c>
      <c r="B12852" t="s">
        <v>19132</v>
      </c>
      <c r="C12852" t="s">
        <v>138</v>
      </c>
      <c r="D12852" s="254">
        <v>217.9</v>
      </c>
      <c r="E12852"/>
      <c r="F12852"/>
      <c r="G12852"/>
      <c r="H12852"/>
      <c r="I12852" s="489"/>
      <c r="J12852" s="1362"/>
      <c r="K12852" s="1362"/>
      <c r="L12852" s="1362"/>
    </row>
    <row r="12853" spans="1:12" x14ac:dyDescent="0.25">
      <c r="A12853">
        <v>89837</v>
      </c>
      <c r="B12853" t="s">
        <v>19133</v>
      </c>
      <c r="C12853" t="s">
        <v>138</v>
      </c>
      <c r="D12853" s="254">
        <v>111.35</v>
      </c>
      <c r="E12853"/>
      <c r="F12853"/>
      <c r="G12853"/>
      <c r="H12853"/>
      <c r="I12853" s="489"/>
      <c r="J12853" s="1362"/>
      <c r="K12853" s="1362"/>
      <c r="L12853" s="1362"/>
    </row>
    <row r="12854" spans="1:12" x14ac:dyDescent="0.25">
      <c r="A12854">
        <v>89838</v>
      </c>
      <c r="B12854" t="s">
        <v>19134</v>
      </c>
      <c r="C12854" t="s">
        <v>138</v>
      </c>
      <c r="D12854" s="254">
        <v>122.49</v>
      </c>
      <c r="E12854"/>
      <c r="F12854"/>
      <c r="G12854"/>
      <c r="H12854"/>
      <c r="I12854" s="489"/>
      <c r="J12854" s="1362"/>
      <c r="K12854" s="1362"/>
      <c r="L12854" s="1362"/>
    </row>
    <row r="12855" spans="1:12" x14ac:dyDescent="0.25">
      <c r="A12855">
        <v>89839</v>
      </c>
      <c r="B12855" t="s">
        <v>19135</v>
      </c>
      <c r="C12855" t="s">
        <v>138</v>
      </c>
      <c r="D12855" s="254">
        <v>159.16999999999999</v>
      </c>
      <c r="E12855"/>
      <c r="F12855"/>
      <c r="G12855"/>
      <c r="H12855"/>
      <c r="I12855" s="489"/>
      <c r="J12855" s="1362"/>
      <c r="K12855" s="1362"/>
      <c r="L12855" s="1362"/>
    </row>
    <row r="12856" spans="1:12" x14ac:dyDescent="0.25">
      <c r="A12856">
        <v>89840</v>
      </c>
      <c r="B12856" t="s">
        <v>19136</v>
      </c>
      <c r="C12856" t="s">
        <v>138</v>
      </c>
      <c r="D12856" s="254">
        <v>143</v>
      </c>
      <c r="E12856"/>
      <c r="F12856"/>
      <c r="G12856"/>
      <c r="H12856"/>
      <c r="I12856" s="489"/>
      <c r="J12856" s="1362"/>
      <c r="K12856" s="1362"/>
      <c r="L12856" s="1362"/>
    </row>
    <row r="12857" spans="1:12" x14ac:dyDescent="0.25">
      <c r="A12857">
        <v>89841</v>
      </c>
      <c r="B12857" t="s">
        <v>19137</v>
      </c>
      <c r="C12857" t="s">
        <v>138</v>
      </c>
      <c r="D12857" s="254">
        <v>234.73</v>
      </c>
      <c r="E12857"/>
      <c r="F12857"/>
      <c r="G12857"/>
      <c r="H12857"/>
      <c r="I12857" s="489"/>
      <c r="J12857" s="1362"/>
      <c r="K12857" s="1362"/>
      <c r="L12857" s="1362"/>
    </row>
    <row r="12858" spans="1:12" x14ac:dyDescent="0.25">
      <c r="A12858">
        <v>89842</v>
      </c>
      <c r="B12858" t="s">
        <v>19138</v>
      </c>
      <c r="C12858" t="s">
        <v>138</v>
      </c>
      <c r="D12858" s="254">
        <v>42.41</v>
      </c>
      <c r="E12858"/>
      <c r="F12858"/>
      <c r="G12858"/>
      <c r="H12858"/>
      <c r="I12858" s="489"/>
      <c r="J12858" s="1362"/>
      <c r="K12858" s="1362"/>
      <c r="L12858" s="1362"/>
    </row>
    <row r="12859" spans="1:12" x14ac:dyDescent="0.25">
      <c r="A12859">
        <v>89844</v>
      </c>
      <c r="B12859" t="s">
        <v>19139</v>
      </c>
      <c r="C12859" t="s">
        <v>138</v>
      </c>
      <c r="D12859" s="254">
        <v>53.5</v>
      </c>
      <c r="E12859"/>
      <c r="F12859"/>
      <c r="G12859"/>
      <c r="H12859"/>
      <c r="I12859" s="489"/>
      <c r="J12859" s="1362"/>
      <c r="K12859" s="1362"/>
      <c r="L12859" s="1362"/>
    </row>
    <row r="12860" spans="1:12" x14ac:dyDescent="0.25">
      <c r="A12860">
        <v>89845</v>
      </c>
      <c r="B12860" t="s">
        <v>19140</v>
      </c>
      <c r="C12860" t="s">
        <v>138</v>
      </c>
      <c r="D12860" s="254">
        <v>80.86</v>
      </c>
      <c r="E12860"/>
      <c r="F12860"/>
      <c r="G12860"/>
      <c r="H12860"/>
      <c r="I12860" s="489"/>
      <c r="J12860" s="1362"/>
      <c r="K12860" s="1362"/>
      <c r="L12860" s="1362"/>
    </row>
    <row r="12861" spans="1:12" x14ac:dyDescent="0.25">
      <c r="A12861">
        <v>89846</v>
      </c>
      <c r="B12861" t="s">
        <v>19141</v>
      </c>
      <c r="C12861" t="s">
        <v>138</v>
      </c>
      <c r="D12861" s="254">
        <v>171.35</v>
      </c>
      <c r="E12861"/>
      <c r="F12861"/>
      <c r="G12861"/>
      <c r="H12861"/>
      <c r="I12861" s="489"/>
      <c r="J12861" s="1362"/>
      <c r="K12861" s="1362"/>
      <c r="L12861" s="1362"/>
    </row>
    <row r="12862" spans="1:12" x14ac:dyDescent="0.25">
      <c r="A12862">
        <v>89847</v>
      </c>
      <c r="B12862" t="s">
        <v>19142</v>
      </c>
      <c r="C12862" t="s">
        <v>138</v>
      </c>
      <c r="D12862" s="254">
        <v>214.31</v>
      </c>
      <c r="E12862"/>
      <c r="F12862"/>
      <c r="G12862"/>
      <c r="H12862"/>
      <c r="I12862" s="489"/>
      <c r="J12862" s="1362"/>
      <c r="K12862" s="1362"/>
      <c r="L12862" s="1362"/>
    </row>
    <row r="12863" spans="1:12" x14ac:dyDescent="0.25">
      <c r="A12863">
        <v>89850</v>
      </c>
      <c r="B12863" t="s">
        <v>19143</v>
      </c>
      <c r="C12863" t="s">
        <v>138</v>
      </c>
      <c r="D12863" s="254">
        <v>33.25</v>
      </c>
      <c r="E12863"/>
      <c r="F12863"/>
      <c r="G12863"/>
      <c r="H12863"/>
      <c r="I12863" s="489"/>
      <c r="J12863" s="1362"/>
      <c r="K12863" s="1362"/>
      <c r="L12863" s="1362"/>
    </row>
    <row r="12864" spans="1:12" x14ac:dyDescent="0.25">
      <c r="A12864">
        <v>89851</v>
      </c>
      <c r="B12864" t="s">
        <v>19144</v>
      </c>
      <c r="C12864" t="s">
        <v>138</v>
      </c>
      <c r="D12864" s="254">
        <v>33.19</v>
      </c>
      <c r="E12864"/>
      <c r="F12864"/>
      <c r="G12864"/>
      <c r="H12864"/>
      <c r="I12864" s="489"/>
      <c r="J12864" s="1362"/>
      <c r="K12864" s="1362"/>
      <c r="L12864" s="1362"/>
    </row>
    <row r="12865" spans="1:12" x14ac:dyDescent="0.25">
      <c r="A12865">
        <v>89852</v>
      </c>
      <c r="B12865" t="s">
        <v>19145</v>
      </c>
      <c r="C12865" t="s">
        <v>138</v>
      </c>
      <c r="D12865" s="254">
        <v>48.09</v>
      </c>
      <c r="E12865"/>
      <c r="F12865"/>
      <c r="G12865"/>
      <c r="H12865"/>
      <c r="I12865" s="489"/>
      <c r="J12865" s="1362"/>
      <c r="K12865" s="1362"/>
      <c r="L12865" s="1362"/>
    </row>
    <row r="12866" spans="1:12" x14ac:dyDescent="0.25">
      <c r="A12866">
        <v>89853</v>
      </c>
      <c r="B12866" t="s">
        <v>19146</v>
      </c>
      <c r="C12866" t="s">
        <v>138</v>
      </c>
      <c r="D12866" s="254">
        <v>74.42</v>
      </c>
      <c r="E12866"/>
      <c r="F12866"/>
      <c r="G12866"/>
      <c r="H12866"/>
      <c r="I12866" s="489"/>
      <c r="J12866" s="1362"/>
      <c r="K12866" s="1362"/>
      <c r="L12866" s="1362"/>
    </row>
    <row r="12867" spans="1:12" x14ac:dyDescent="0.25">
      <c r="A12867">
        <v>89854</v>
      </c>
      <c r="B12867" t="s">
        <v>19147</v>
      </c>
      <c r="C12867" t="s">
        <v>138</v>
      </c>
      <c r="D12867" s="254">
        <v>101.84</v>
      </c>
      <c r="E12867"/>
      <c r="F12867"/>
      <c r="G12867"/>
      <c r="H12867"/>
      <c r="I12867" s="489"/>
      <c r="J12867" s="1362"/>
      <c r="K12867" s="1362"/>
      <c r="L12867" s="1362"/>
    </row>
    <row r="12868" spans="1:12" x14ac:dyDescent="0.25">
      <c r="A12868">
        <v>89855</v>
      </c>
      <c r="B12868" t="s">
        <v>19148</v>
      </c>
      <c r="C12868" t="s">
        <v>138</v>
      </c>
      <c r="D12868" s="254">
        <v>107.14</v>
      </c>
      <c r="E12868"/>
      <c r="F12868"/>
      <c r="G12868"/>
      <c r="H12868"/>
      <c r="I12868" s="489"/>
      <c r="J12868" s="1362"/>
      <c r="K12868" s="1362"/>
      <c r="L12868" s="1362"/>
    </row>
    <row r="12869" spans="1:12" x14ac:dyDescent="0.25">
      <c r="A12869">
        <v>89856</v>
      </c>
      <c r="B12869" t="s">
        <v>19149</v>
      </c>
      <c r="C12869" t="s">
        <v>138</v>
      </c>
      <c r="D12869" s="254">
        <v>21.51</v>
      </c>
      <c r="E12869"/>
      <c r="F12869"/>
      <c r="G12869"/>
      <c r="H12869"/>
      <c r="I12869" s="489"/>
      <c r="J12869" s="1362"/>
      <c r="K12869" s="1362"/>
      <c r="L12869" s="1362"/>
    </row>
    <row r="12870" spans="1:12" x14ac:dyDescent="0.25">
      <c r="A12870">
        <v>89857</v>
      </c>
      <c r="B12870" t="s">
        <v>19150</v>
      </c>
      <c r="C12870" t="s">
        <v>138</v>
      </c>
      <c r="D12870" s="254">
        <v>37.770000000000003</v>
      </c>
      <c r="E12870"/>
      <c r="F12870"/>
      <c r="G12870"/>
      <c r="H12870"/>
      <c r="I12870" s="489"/>
      <c r="J12870" s="1362"/>
      <c r="K12870" s="1362"/>
      <c r="L12870" s="1362"/>
    </row>
    <row r="12871" spans="1:12" x14ac:dyDescent="0.25">
      <c r="A12871">
        <v>89859</v>
      </c>
      <c r="B12871" t="s">
        <v>19151</v>
      </c>
      <c r="C12871" t="s">
        <v>138</v>
      </c>
      <c r="D12871" s="254">
        <v>133.01</v>
      </c>
      <c r="E12871"/>
      <c r="F12871"/>
      <c r="G12871"/>
      <c r="H12871"/>
      <c r="I12871" s="489"/>
      <c r="J12871" s="1362"/>
      <c r="K12871" s="1362"/>
      <c r="L12871" s="1362"/>
    </row>
    <row r="12872" spans="1:12" x14ac:dyDescent="0.25">
      <c r="A12872">
        <v>89860</v>
      </c>
      <c r="B12872" t="s">
        <v>19152</v>
      </c>
      <c r="C12872" t="s">
        <v>138</v>
      </c>
      <c r="D12872" s="254">
        <v>51.3</v>
      </c>
      <c r="E12872"/>
      <c r="F12872"/>
      <c r="G12872"/>
      <c r="H12872"/>
      <c r="I12872" s="489"/>
      <c r="J12872" s="1362"/>
      <c r="K12872" s="1362"/>
      <c r="L12872" s="1362"/>
    </row>
    <row r="12873" spans="1:12" x14ac:dyDescent="0.25">
      <c r="A12873">
        <v>89861</v>
      </c>
      <c r="B12873" t="s">
        <v>19153</v>
      </c>
      <c r="C12873" t="s">
        <v>138</v>
      </c>
      <c r="D12873" s="254">
        <v>57.43</v>
      </c>
      <c r="E12873"/>
      <c r="F12873"/>
      <c r="G12873"/>
      <c r="H12873"/>
      <c r="I12873" s="489"/>
      <c r="J12873" s="1362"/>
      <c r="K12873" s="1362"/>
      <c r="L12873" s="1362"/>
    </row>
    <row r="12874" spans="1:12" x14ac:dyDescent="0.25">
      <c r="A12874">
        <v>89862</v>
      </c>
      <c r="B12874" t="s">
        <v>19154</v>
      </c>
      <c r="C12874" t="s">
        <v>138</v>
      </c>
      <c r="D12874" s="254">
        <v>108.57</v>
      </c>
      <c r="E12874"/>
      <c r="F12874"/>
      <c r="G12874"/>
      <c r="H12874"/>
      <c r="I12874" s="489"/>
      <c r="J12874" s="1362"/>
      <c r="K12874" s="1362"/>
      <c r="L12874" s="1362"/>
    </row>
    <row r="12875" spans="1:12" x14ac:dyDescent="0.25">
      <c r="A12875">
        <v>89863</v>
      </c>
      <c r="B12875" t="s">
        <v>19155</v>
      </c>
      <c r="C12875" t="s">
        <v>138</v>
      </c>
      <c r="D12875" s="254">
        <v>211.04</v>
      </c>
      <c r="E12875"/>
      <c r="F12875"/>
      <c r="G12875"/>
      <c r="H12875"/>
      <c r="I12875" s="489"/>
      <c r="J12875" s="1362"/>
      <c r="K12875" s="1362"/>
      <c r="L12875" s="1362"/>
    </row>
    <row r="12876" spans="1:12" x14ac:dyDescent="0.25">
      <c r="A12876">
        <v>89866</v>
      </c>
      <c r="B12876" t="s">
        <v>19156</v>
      </c>
      <c r="C12876" t="s">
        <v>138</v>
      </c>
      <c r="D12876" s="254">
        <v>7.83</v>
      </c>
      <c r="E12876"/>
      <c r="F12876"/>
      <c r="G12876"/>
      <c r="H12876"/>
      <c r="I12876" s="489"/>
      <c r="J12876" s="1362"/>
      <c r="K12876" s="1362"/>
      <c r="L12876" s="1362"/>
    </row>
    <row r="12877" spans="1:12" x14ac:dyDescent="0.25">
      <c r="A12877">
        <v>89867</v>
      </c>
      <c r="B12877" t="s">
        <v>19157</v>
      </c>
      <c r="C12877" t="s">
        <v>138</v>
      </c>
      <c r="D12877" s="254">
        <v>8.7899999999999991</v>
      </c>
      <c r="E12877"/>
      <c r="F12877"/>
      <c r="G12877"/>
      <c r="H12877"/>
      <c r="I12877" s="489"/>
      <c r="J12877" s="1362"/>
      <c r="K12877" s="1362"/>
      <c r="L12877" s="1362"/>
    </row>
    <row r="12878" spans="1:12" x14ac:dyDescent="0.25">
      <c r="A12878">
        <v>89868</v>
      </c>
      <c r="B12878" t="s">
        <v>19158</v>
      </c>
      <c r="C12878" t="s">
        <v>138</v>
      </c>
      <c r="D12878" s="254">
        <v>5.97</v>
      </c>
      <c r="E12878"/>
      <c r="F12878"/>
      <c r="G12878"/>
      <c r="H12878"/>
      <c r="I12878" s="489"/>
      <c r="J12878" s="1362"/>
      <c r="K12878" s="1362"/>
      <c r="L12878" s="1362"/>
    </row>
    <row r="12879" spans="1:12" x14ac:dyDescent="0.25">
      <c r="A12879">
        <v>89869</v>
      </c>
      <c r="B12879" t="s">
        <v>19159</v>
      </c>
      <c r="C12879" t="s">
        <v>138</v>
      </c>
      <c r="D12879" s="254">
        <v>10.97</v>
      </c>
      <c r="E12879"/>
      <c r="F12879"/>
      <c r="G12879"/>
      <c r="H12879"/>
      <c r="I12879" s="489"/>
      <c r="J12879" s="1362"/>
      <c r="K12879" s="1362"/>
      <c r="L12879" s="1362"/>
    </row>
    <row r="12880" spans="1:12" x14ac:dyDescent="0.25">
      <c r="A12880">
        <v>89979</v>
      </c>
      <c r="B12880" t="s">
        <v>19160</v>
      </c>
      <c r="C12880" t="s">
        <v>138</v>
      </c>
      <c r="D12880" s="254">
        <v>30.44</v>
      </c>
      <c r="E12880"/>
      <c r="F12880"/>
      <c r="G12880"/>
      <c r="H12880"/>
      <c r="I12880" s="489"/>
      <c r="J12880" s="1362"/>
      <c r="K12880" s="1362"/>
      <c r="L12880" s="1362"/>
    </row>
    <row r="12881" spans="1:12" x14ac:dyDescent="0.25">
      <c r="A12881">
        <v>89981</v>
      </c>
      <c r="B12881" t="s">
        <v>19161</v>
      </c>
      <c r="C12881" t="s">
        <v>138</v>
      </c>
      <c r="D12881" s="254">
        <v>27.33</v>
      </c>
      <c r="E12881"/>
      <c r="F12881"/>
      <c r="G12881"/>
      <c r="H12881"/>
      <c r="I12881" s="489"/>
      <c r="J12881" s="1362"/>
      <c r="K12881" s="1362"/>
      <c r="L12881" s="1362"/>
    </row>
    <row r="12882" spans="1:12" x14ac:dyDescent="0.25">
      <c r="A12882">
        <v>90373</v>
      </c>
      <c r="B12882" t="s">
        <v>19162</v>
      </c>
      <c r="C12882" t="s">
        <v>138</v>
      </c>
      <c r="D12882" s="254">
        <v>15.6</v>
      </c>
      <c r="E12882"/>
      <c r="F12882"/>
      <c r="G12882"/>
      <c r="H12882"/>
      <c r="I12882" s="489"/>
      <c r="J12882" s="1362"/>
      <c r="K12882" s="1362"/>
      <c r="L12882" s="1362"/>
    </row>
    <row r="12883" spans="1:12" x14ac:dyDescent="0.25">
      <c r="A12883">
        <v>90374</v>
      </c>
      <c r="B12883" t="s">
        <v>19163</v>
      </c>
      <c r="C12883" t="s">
        <v>138</v>
      </c>
      <c r="D12883" s="254">
        <v>25.29</v>
      </c>
      <c r="E12883"/>
      <c r="F12883"/>
      <c r="G12883"/>
      <c r="H12883"/>
      <c r="I12883" s="489"/>
      <c r="J12883" s="1362"/>
      <c r="K12883" s="1362"/>
      <c r="L12883" s="1362"/>
    </row>
    <row r="12884" spans="1:12" x14ac:dyDescent="0.25">
      <c r="A12884">
        <v>92287</v>
      </c>
      <c r="B12884" t="s">
        <v>19164</v>
      </c>
      <c r="C12884" t="s">
        <v>138</v>
      </c>
      <c r="D12884" s="254">
        <v>17.170000000000002</v>
      </c>
      <c r="E12884"/>
      <c r="F12884"/>
      <c r="G12884"/>
      <c r="H12884"/>
      <c r="I12884" s="489"/>
      <c r="J12884" s="1362"/>
      <c r="K12884" s="1362"/>
      <c r="L12884" s="1362"/>
    </row>
    <row r="12885" spans="1:12" x14ac:dyDescent="0.25">
      <c r="A12885">
        <v>92288</v>
      </c>
      <c r="B12885" t="s">
        <v>19165</v>
      </c>
      <c r="C12885" t="s">
        <v>138</v>
      </c>
      <c r="D12885" s="254">
        <v>26.98</v>
      </c>
      <c r="E12885"/>
      <c r="F12885"/>
      <c r="G12885"/>
      <c r="H12885"/>
      <c r="I12885" s="489"/>
      <c r="J12885" s="1362"/>
      <c r="K12885" s="1362"/>
      <c r="L12885" s="1362"/>
    </row>
    <row r="12886" spans="1:12" x14ac:dyDescent="0.25">
      <c r="A12886">
        <v>92289</v>
      </c>
      <c r="B12886" t="s">
        <v>19166</v>
      </c>
      <c r="C12886" t="s">
        <v>138</v>
      </c>
      <c r="D12886" s="254">
        <v>47.56</v>
      </c>
      <c r="E12886"/>
      <c r="F12886"/>
      <c r="G12886"/>
      <c r="H12886"/>
      <c r="I12886" s="489"/>
      <c r="J12886" s="1362"/>
      <c r="K12886" s="1362"/>
      <c r="L12886" s="1362"/>
    </row>
    <row r="12887" spans="1:12" x14ac:dyDescent="0.25">
      <c r="A12887">
        <v>92290</v>
      </c>
      <c r="B12887" t="s">
        <v>19167</v>
      </c>
      <c r="C12887" t="s">
        <v>138</v>
      </c>
      <c r="D12887" s="254">
        <v>71.86</v>
      </c>
      <c r="E12887"/>
      <c r="F12887"/>
      <c r="G12887"/>
      <c r="H12887"/>
      <c r="I12887" s="489"/>
      <c r="J12887" s="1362"/>
      <c r="K12887" s="1362"/>
      <c r="L12887" s="1362"/>
    </row>
    <row r="12888" spans="1:12" x14ac:dyDescent="0.25">
      <c r="A12888">
        <v>92291</v>
      </c>
      <c r="B12888" t="s">
        <v>19168</v>
      </c>
      <c r="C12888" t="s">
        <v>138</v>
      </c>
      <c r="D12888" s="254">
        <v>111.16</v>
      </c>
      <c r="E12888"/>
      <c r="F12888"/>
      <c r="G12888"/>
      <c r="H12888"/>
      <c r="I12888" s="489"/>
      <c r="J12888" s="1362"/>
      <c r="K12888" s="1362"/>
      <c r="L12888" s="1362"/>
    </row>
    <row r="12889" spans="1:12" x14ac:dyDescent="0.25">
      <c r="A12889">
        <v>92292</v>
      </c>
      <c r="B12889" t="s">
        <v>19169</v>
      </c>
      <c r="C12889" t="s">
        <v>138</v>
      </c>
      <c r="D12889" s="254">
        <v>342.55</v>
      </c>
      <c r="E12889"/>
      <c r="F12889"/>
      <c r="G12889"/>
      <c r="H12889"/>
      <c r="I12889" s="489"/>
      <c r="J12889" s="1362"/>
      <c r="K12889" s="1362"/>
      <c r="L12889" s="1362"/>
    </row>
    <row r="12890" spans="1:12" x14ac:dyDescent="0.25">
      <c r="A12890">
        <v>92293</v>
      </c>
      <c r="B12890" t="s">
        <v>19170</v>
      </c>
      <c r="C12890" t="s">
        <v>138</v>
      </c>
      <c r="D12890" s="254">
        <v>9.7899999999999991</v>
      </c>
      <c r="E12890"/>
      <c r="F12890"/>
      <c r="G12890"/>
      <c r="H12890"/>
      <c r="I12890" s="489"/>
      <c r="J12890" s="1362"/>
      <c r="K12890" s="1362"/>
      <c r="L12890" s="1362"/>
    </row>
    <row r="12891" spans="1:12" x14ac:dyDescent="0.25">
      <c r="A12891">
        <v>92294</v>
      </c>
      <c r="B12891" t="s">
        <v>19171</v>
      </c>
      <c r="C12891" t="s">
        <v>138</v>
      </c>
      <c r="D12891" s="254">
        <v>16.47</v>
      </c>
      <c r="E12891"/>
      <c r="F12891"/>
      <c r="G12891"/>
      <c r="H12891"/>
      <c r="I12891" s="489"/>
      <c r="J12891" s="1362"/>
      <c r="K12891" s="1362"/>
      <c r="L12891" s="1362"/>
    </row>
    <row r="12892" spans="1:12" x14ac:dyDescent="0.25">
      <c r="A12892">
        <v>92295</v>
      </c>
      <c r="B12892" t="s">
        <v>19172</v>
      </c>
      <c r="C12892" t="s">
        <v>138</v>
      </c>
      <c r="D12892" s="254">
        <v>30.85</v>
      </c>
      <c r="E12892"/>
      <c r="F12892"/>
      <c r="G12892"/>
      <c r="H12892"/>
      <c r="I12892" s="489"/>
      <c r="J12892" s="1362"/>
      <c r="K12892" s="1362"/>
      <c r="L12892" s="1362"/>
    </row>
    <row r="12893" spans="1:12" x14ac:dyDescent="0.25">
      <c r="A12893">
        <v>92296</v>
      </c>
      <c r="B12893" t="s">
        <v>19173</v>
      </c>
      <c r="C12893" t="s">
        <v>138</v>
      </c>
      <c r="D12893" s="254">
        <v>40.83</v>
      </c>
      <c r="E12893"/>
      <c r="F12893"/>
      <c r="G12893"/>
      <c r="H12893"/>
      <c r="I12893" s="489"/>
      <c r="J12893" s="1362"/>
      <c r="K12893" s="1362"/>
      <c r="L12893" s="1362"/>
    </row>
    <row r="12894" spans="1:12" x14ac:dyDescent="0.25">
      <c r="A12894">
        <v>92297</v>
      </c>
      <c r="B12894" t="s">
        <v>19174</v>
      </c>
      <c r="C12894" t="s">
        <v>138</v>
      </c>
      <c r="D12894" s="254">
        <v>63.23</v>
      </c>
      <c r="E12894"/>
      <c r="F12894"/>
      <c r="G12894"/>
      <c r="H12894"/>
      <c r="I12894" s="489"/>
      <c r="J12894" s="1362"/>
      <c r="K12894" s="1362"/>
      <c r="L12894" s="1362"/>
    </row>
    <row r="12895" spans="1:12" x14ac:dyDescent="0.25">
      <c r="A12895">
        <v>92298</v>
      </c>
      <c r="B12895" t="s">
        <v>19175</v>
      </c>
      <c r="C12895" t="s">
        <v>138</v>
      </c>
      <c r="D12895" s="254">
        <v>176.65</v>
      </c>
      <c r="E12895"/>
      <c r="F12895"/>
      <c r="G12895"/>
      <c r="H12895"/>
      <c r="I12895" s="489"/>
      <c r="J12895" s="1362"/>
      <c r="K12895" s="1362"/>
      <c r="L12895" s="1362"/>
    </row>
    <row r="12896" spans="1:12" x14ac:dyDescent="0.25">
      <c r="A12896">
        <v>92299</v>
      </c>
      <c r="B12896" t="s">
        <v>19176</v>
      </c>
      <c r="C12896" t="s">
        <v>138</v>
      </c>
      <c r="D12896" s="254">
        <v>22.61</v>
      </c>
      <c r="E12896"/>
      <c r="F12896"/>
      <c r="G12896"/>
      <c r="H12896"/>
      <c r="I12896" s="489"/>
      <c r="J12896" s="1362"/>
      <c r="K12896" s="1362"/>
      <c r="L12896" s="1362"/>
    </row>
    <row r="12897" spans="1:12" x14ac:dyDescent="0.25">
      <c r="A12897">
        <v>92300</v>
      </c>
      <c r="B12897" t="s">
        <v>19177</v>
      </c>
      <c r="C12897" t="s">
        <v>138</v>
      </c>
      <c r="D12897" s="254">
        <v>34.33</v>
      </c>
      <c r="E12897"/>
      <c r="F12897"/>
      <c r="G12897"/>
      <c r="H12897"/>
      <c r="I12897" s="489"/>
      <c r="J12897" s="1362"/>
      <c r="K12897" s="1362"/>
      <c r="L12897" s="1362"/>
    </row>
    <row r="12898" spans="1:12" x14ac:dyDescent="0.25">
      <c r="A12898">
        <v>92301</v>
      </c>
      <c r="B12898" t="s">
        <v>19178</v>
      </c>
      <c r="C12898" t="s">
        <v>138</v>
      </c>
      <c r="D12898" s="254">
        <v>67.48</v>
      </c>
      <c r="E12898"/>
      <c r="F12898"/>
      <c r="G12898"/>
      <c r="H12898"/>
      <c r="I12898" s="489"/>
      <c r="J12898" s="1362"/>
      <c r="K12898" s="1362"/>
      <c r="L12898" s="1362"/>
    </row>
    <row r="12899" spans="1:12" x14ac:dyDescent="0.25">
      <c r="A12899">
        <v>92302</v>
      </c>
      <c r="B12899" t="s">
        <v>19179</v>
      </c>
      <c r="C12899" t="s">
        <v>138</v>
      </c>
      <c r="D12899" s="254">
        <v>89.08</v>
      </c>
      <c r="E12899"/>
      <c r="F12899"/>
      <c r="G12899"/>
      <c r="H12899"/>
      <c r="I12899" s="489"/>
      <c r="J12899" s="1362"/>
      <c r="K12899" s="1362"/>
      <c r="L12899" s="1362"/>
    </row>
    <row r="12900" spans="1:12" x14ac:dyDescent="0.25">
      <c r="A12900">
        <v>92303</v>
      </c>
      <c r="B12900" t="s">
        <v>19180</v>
      </c>
      <c r="C12900" t="s">
        <v>138</v>
      </c>
      <c r="D12900" s="254">
        <v>162.94999999999999</v>
      </c>
      <c r="E12900"/>
      <c r="F12900"/>
      <c r="G12900"/>
      <c r="H12900"/>
      <c r="I12900" s="489"/>
      <c r="J12900" s="1362"/>
      <c r="K12900" s="1362"/>
      <c r="L12900" s="1362"/>
    </row>
    <row r="12901" spans="1:12" x14ac:dyDescent="0.25">
      <c r="A12901">
        <v>92304</v>
      </c>
      <c r="B12901" t="s">
        <v>19181</v>
      </c>
      <c r="C12901" t="s">
        <v>138</v>
      </c>
      <c r="D12901" s="254">
        <v>421.33</v>
      </c>
      <c r="E12901"/>
      <c r="F12901"/>
      <c r="G12901"/>
      <c r="H12901"/>
      <c r="I12901" s="489"/>
      <c r="J12901" s="1362"/>
      <c r="K12901" s="1362"/>
      <c r="L12901" s="1362"/>
    </row>
    <row r="12902" spans="1:12" x14ac:dyDescent="0.25">
      <c r="A12902">
        <v>92311</v>
      </c>
      <c r="B12902" t="s">
        <v>19182</v>
      </c>
      <c r="C12902" t="s">
        <v>138</v>
      </c>
      <c r="D12902" s="254">
        <v>13.08</v>
      </c>
      <c r="E12902"/>
      <c r="F12902"/>
      <c r="G12902"/>
      <c r="H12902"/>
      <c r="I12902" s="489"/>
      <c r="J12902" s="1362"/>
      <c r="K12902" s="1362"/>
      <c r="L12902" s="1362"/>
    </row>
    <row r="12903" spans="1:12" x14ac:dyDescent="0.25">
      <c r="A12903">
        <v>92312</v>
      </c>
      <c r="B12903" t="s">
        <v>19183</v>
      </c>
      <c r="C12903" t="s">
        <v>138</v>
      </c>
      <c r="D12903" s="254">
        <v>21.54</v>
      </c>
      <c r="E12903"/>
      <c r="F12903"/>
      <c r="G12903"/>
      <c r="H12903"/>
      <c r="I12903" s="489"/>
      <c r="J12903" s="1362"/>
      <c r="K12903" s="1362"/>
      <c r="L12903" s="1362"/>
    </row>
    <row r="12904" spans="1:12" x14ac:dyDescent="0.25">
      <c r="A12904">
        <v>92313</v>
      </c>
      <c r="B12904" t="s">
        <v>19184</v>
      </c>
      <c r="C12904" t="s">
        <v>138</v>
      </c>
      <c r="D12904" s="254">
        <v>31.02</v>
      </c>
      <c r="E12904"/>
      <c r="F12904"/>
      <c r="G12904"/>
      <c r="H12904"/>
      <c r="I12904" s="489"/>
      <c r="J12904" s="1362"/>
      <c r="K12904" s="1362"/>
      <c r="L12904" s="1362"/>
    </row>
    <row r="12905" spans="1:12" x14ac:dyDescent="0.25">
      <c r="A12905">
        <v>92314</v>
      </c>
      <c r="B12905" t="s">
        <v>19185</v>
      </c>
      <c r="C12905" t="s">
        <v>138</v>
      </c>
      <c r="D12905" s="254">
        <v>8.8000000000000007</v>
      </c>
      <c r="E12905"/>
      <c r="F12905"/>
      <c r="G12905"/>
      <c r="H12905"/>
      <c r="I12905" s="489"/>
      <c r="J12905" s="1362"/>
      <c r="K12905" s="1362"/>
      <c r="L12905" s="1362"/>
    </row>
    <row r="12906" spans="1:12" x14ac:dyDescent="0.25">
      <c r="A12906">
        <v>92315</v>
      </c>
      <c r="B12906" t="s">
        <v>19186</v>
      </c>
      <c r="C12906" t="s">
        <v>138</v>
      </c>
      <c r="D12906" s="254">
        <v>12.71</v>
      </c>
      <c r="E12906"/>
      <c r="F12906"/>
      <c r="G12906"/>
      <c r="H12906"/>
      <c r="I12906" s="489"/>
      <c r="J12906" s="1362"/>
      <c r="K12906" s="1362"/>
      <c r="L12906" s="1362"/>
    </row>
    <row r="12907" spans="1:12" x14ac:dyDescent="0.25">
      <c r="A12907">
        <v>92316</v>
      </c>
      <c r="B12907" t="s">
        <v>19187</v>
      </c>
      <c r="C12907" t="s">
        <v>138</v>
      </c>
      <c r="D12907" s="254">
        <v>19.18</v>
      </c>
      <c r="E12907"/>
      <c r="F12907"/>
      <c r="G12907"/>
      <c r="H12907"/>
      <c r="I12907" s="489"/>
      <c r="J12907" s="1362"/>
      <c r="K12907" s="1362"/>
      <c r="L12907" s="1362"/>
    </row>
    <row r="12908" spans="1:12" x14ac:dyDescent="0.25">
      <c r="A12908">
        <v>92317</v>
      </c>
      <c r="B12908" t="s">
        <v>19188</v>
      </c>
      <c r="C12908" t="s">
        <v>138</v>
      </c>
      <c r="D12908" s="254">
        <v>18.399999999999999</v>
      </c>
      <c r="E12908"/>
      <c r="F12908"/>
      <c r="G12908"/>
      <c r="H12908"/>
      <c r="I12908" s="489"/>
      <c r="J12908" s="1362"/>
      <c r="K12908" s="1362"/>
      <c r="L12908" s="1362"/>
    </row>
    <row r="12909" spans="1:12" x14ac:dyDescent="0.25">
      <c r="A12909">
        <v>92318</v>
      </c>
      <c r="B12909" t="s">
        <v>19189</v>
      </c>
      <c r="C12909" t="s">
        <v>138</v>
      </c>
      <c r="D12909" s="254">
        <v>28.45</v>
      </c>
      <c r="E12909"/>
      <c r="F12909"/>
      <c r="G12909"/>
      <c r="H12909"/>
      <c r="I12909" s="489"/>
      <c r="J12909" s="1362"/>
      <c r="K12909" s="1362"/>
      <c r="L12909" s="1362"/>
    </row>
    <row r="12910" spans="1:12" x14ac:dyDescent="0.25">
      <c r="A12910">
        <v>92319</v>
      </c>
      <c r="B12910" t="s">
        <v>19190</v>
      </c>
      <c r="C12910" t="s">
        <v>138</v>
      </c>
      <c r="D12910" s="254">
        <v>39.729999999999997</v>
      </c>
      <c r="E12910"/>
      <c r="F12910"/>
      <c r="G12910"/>
      <c r="H12910"/>
      <c r="I12910" s="489"/>
      <c r="J12910" s="1362"/>
      <c r="K12910" s="1362"/>
      <c r="L12910" s="1362"/>
    </row>
    <row r="12911" spans="1:12" x14ac:dyDescent="0.25">
      <c r="A12911">
        <v>92326</v>
      </c>
      <c r="B12911" t="s">
        <v>19191</v>
      </c>
      <c r="C12911" t="s">
        <v>138</v>
      </c>
      <c r="D12911" s="254">
        <v>13.84</v>
      </c>
      <c r="E12911"/>
      <c r="F12911"/>
      <c r="G12911"/>
      <c r="H12911"/>
      <c r="I12911" s="489"/>
      <c r="J12911" s="1362"/>
      <c r="K12911" s="1362"/>
      <c r="L12911" s="1362"/>
    </row>
    <row r="12912" spans="1:12" x14ac:dyDescent="0.25">
      <c r="A12912">
        <v>92327</v>
      </c>
      <c r="B12912" t="s">
        <v>19192</v>
      </c>
      <c r="C12912" t="s">
        <v>138</v>
      </c>
      <c r="D12912" s="254">
        <v>24.78</v>
      </c>
      <c r="E12912"/>
      <c r="F12912"/>
      <c r="G12912"/>
      <c r="H12912"/>
      <c r="I12912" s="489"/>
      <c r="J12912" s="1362"/>
      <c r="K12912" s="1362"/>
      <c r="L12912" s="1362"/>
    </row>
    <row r="12913" spans="1:12" x14ac:dyDescent="0.25">
      <c r="A12913">
        <v>92328</v>
      </c>
      <c r="B12913" t="s">
        <v>19193</v>
      </c>
      <c r="C12913" t="s">
        <v>138</v>
      </c>
      <c r="D12913" s="254">
        <v>36.799999999999997</v>
      </c>
      <c r="E12913"/>
      <c r="F12913"/>
      <c r="G12913"/>
      <c r="H12913"/>
      <c r="I12913" s="489"/>
      <c r="J12913" s="1362"/>
      <c r="K12913" s="1362"/>
      <c r="L12913" s="1362"/>
    </row>
    <row r="12914" spans="1:12" x14ac:dyDescent="0.25">
      <c r="A12914">
        <v>92329</v>
      </c>
      <c r="B12914" t="s">
        <v>19194</v>
      </c>
      <c r="C12914" t="s">
        <v>138</v>
      </c>
      <c r="D12914" s="254">
        <v>8.98</v>
      </c>
      <c r="E12914"/>
      <c r="F12914"/>
      <c r="G12914"/>
      <c r="H12914"/>
      <c r="I12914" s="489"/>
      <c r="J12914" s="1362"/>
      <c r="K12914" s="1362"/>
      <c r="L12914" s="1362"/>
    </row>
    <row r="12915" spans="1:12" x14ac:dyDescent="0.25">
      <c r="A12915">
        <v>92330</v>
      </c>
      <c r="B12915" t="s">
        <v>19195</v>
      </c>
      <c r="C12915" t="s">
        <v>138</v>
      </c>
      <c r="D12915" s="254">
        <v>14.89</v>
      </c>
      <c r="E12915"/>
      <c r="F12915"/>
      <c r="G12915"/>
      <c r="H12915"/>
      <c r="I12915" s="489"/>
      <c r="J12915" s="1362"/>
      <c r="K12915" s="1362"/>
      <c r="L12915" s="1362"/>
    </row>
    <row r="12916" spans="1:12" x14ac:dyDescent="0.25">
      <c r="A12916">
        <v>92331</v>
      </c>
      <c r="B12916" t="s">
        <v>19196</v>
      </c>
      <c r="C12916" t="s">
        <v>138</v>
      </c>
      <c r="D12916" s="254">
        <v>23.05</v>
      </c>
      <c r="E12916"/>
      <c r="F12916"/>
      <c r="G12916"/>
      <c r="H12916"/>
      <c r="I12916" s="489"/>
      <c r="J12916" s="1362"/>
      <c r="K12916" s="1362"/>
      <c r="L12916" s="1362"/>
    </row>
    <row r="12917" spans="1:12" x14ac:dyDescent="0.25">
      <c r="A12917">
        <v>92332</v>
      </c>
      <c r="B12917" t="s">
        <v>19197</v>
      </c>
      <c r="C12917" t="s">
        <v>138</v>
      </c>
      <c r="D12917" s="254">
        <v>18.760000000000002</v>
      </c>
      <c r="E12917"/>
      <c r="F12917"/>
      <c r="G12917"/>
      <c r="H12917"/>
      <c r="I12917" s="489"/>
      <c r="J12917" s="1362"/>
      <c r="K12917" s="1362"/>
      <c r="L12917" s="1362"/>
    </row>
    <row r="12918" spans="1:12" x14ac:dyDescent="0.25">
      <c r="A12918">
        <v>92333</v>
      </c>
      <c r="B12918" t="s">
        <v>19198</v>
      </c>
      <c r="C12918" t="s">
        <v>138</v>
      </c>
      <c r="D12918" s="254">
        <v>32.770000000000003</v>
      </c>
      <c r="E12918"/>
      <c r="F12918"/>
      <c r="G12918"/>
      <c r="H12918"/>
      <c r="I12918" s="489"/>
      <c r="J12918" s="1362"/>
      <c r="K12918" s="1362"/>
      <c r="L12918" s="1362"/>
    </row>
    <row r="12919" spans="1:12" x14ac:dyDescent="0.25">
      <c r="A12919">
        <v>92334</v>
      </c>
      <c r="B12919" t="s">
        <v>19199</v>
      </c>
      <c r="C12919" t="s">
        <v>138</v>
      </c>
      <c r="D12919" s="254">
        <v>47.43</v>
      </c>
      <c r="E12919"/>
      <c r="F12919"/>
      <c r="G12919"/>
      <c r="H12919"/>
      <c r="I12919" s="489"/>
      <c r="J12919" s="1362"/>
      <c r="K12919" s="1362"/>
      <c r="L12919" s="1362"/>
    </row>
    <row r="12920" spans="1:12" x14ac:dyDescent="0.25">
      <c r="A12920">
        <v>92344</v>
      </c>
      <c r="B12920" t="s">
        <v>5423</v>
      </c>
      <c r="C12920" t="s">
        <v>138</v>
      </c>
      <c r="D12920" s="254">
        <v>70.86</v>
      </c>
      <c r="E12920"/>
      <c r="F12920"/>
      <c r="G12920"/>
      <c r="H12920"/>
      <c r="I12920" s="489"/>
      <c r="J12920" s="1362"/>
      <c r="K12920" s="1362"/>
      <c r="L12920" s="1362"/>
    </row>
    <row r="12921" spans="1:12" x14ac:dyDescent="0.25">
      <c r="A12921">
        <v>92345</v>
      </c>
      <c r="B12921" t="s">
        <v>5424</v>
      </c>
      <c r="C12921" t="s">
        <v>138</v>
      </c>
      <c r="D12921" s="254">
        <v>70.83</v>
      </c>
      <c r="E12921"/>
      <c r="F12921"/>
      <c r="G12921"/>
      <c r="H12921"/>
      <c r="I12921" s="489"/>
      <c r="J12921" s="1362"/>
      <c r="K12921" s="1362"/>
      <c r="L12921" s="1362"/>
    </row>
    <row r="12922" spans="1:12" x14ac:dyDescent="0.25">
      <c r="A12922">
        <v>92346</v>
      </c>
      <c r="B12922" t="s">
        <v>5425</v>
      </c>
      <c r="C12922" t="s">
        <v>138</v>
      </c>
      <c r="D12922" s="254">
        <v>93.49</v>
      </c>
      <c r="E12922"/>
      <c r="F12922"/>
      <c r="G12922"/>
      <c r="H12922"/>
      <c r="I12922" s="489"/>
      <c r="J12922" s="1362"/>
      <c r="K12922" s="1362"/>
      <c r="L12922" s="1362"/>
    </row>
    <row r="12923" spans="1:12" x14ac:dyDescent="0.25">
      <c r="A12923">
        <v>92347</v>
      </c>
      <c r="B12923" t="s">
        <v>5426</v>
      </c>
      <c r="C12923" t="s">
        <v>138</v>
      </c>
      <c r="D12923" s="254">
        <v>104.27</v>
      </c>
      <c r="E12923"/>
      <c r="F12923"/>
      <c r="G12923"/>
      <c r="H12923"/>
      <c r="I12923" s="489"/>
      <c r="J12923" s="1362"/>
      <c r="K12923" s="1362"/>
      <c r="L12923" s="1362"/>
    </row>
    <row r="12924" spans="1:12" x14ac:dyDescent="0.25">
      <c r="A12924">
        <v>92348</v>
      </c>
      <c r="B12924" t="s">
        <v>5427</v>
      </c>
      <c r="C12924" t="s">
        <v>138</v>
      </c>
      <c r="D12924" s="254">
        <v>131.84</v>
      </c>
      <c r="E12924"/>
      <c r="F12924"/>
      <c r="G12924"/>
      <c r="H12924"/>
      <c r="I12924" s="489"/>
      <c r="J12924" s="1362"/>
      <c r="K12924" s="1362"/>
      <c r="L12924" s="1362"/>
    </row>
    <row r="12925" spans="1:12" x14ac:dyDescent="0.25">
      <c r="A12925">
        <v>92349</v>
      </c>
      <c r="B12925" t="s">
        <v>5428</v>
      </c>
      <c r="C12925" t="s">
        <v>138</v>
      </c>
      <c r="D12925" s="254">
        <v>141.43</v>
      </c>
      <c r="E12925"/>
      <c r="F12925"/>
      <c r="G12925"/>
      <c r="H12925"/>
      <c r="I12925" s="489"/>
      <c r="J12925" s="1362"/>
      <c r="K12925" s="1362"/>
      <c r="L12925" s="1362"/>
    </row>
    <row r="12926" spans="1:12" x14ac:dyDescent="0.25">
      <c r="A12926">
        <v>92350</v>
      </c>
      <c r="B12926" t="s">
        <v>5429</v>
      </c>
      <c r="C12926" t="s">
        <v>138</v>
      </c>
      <c r="D12926" s="254">
        <v>105.44</v>
      </c>
      <c r="E12926"/>
      <c r="F12926"/>
      <c r="G12926"/>
      <c r="H12926"/>
      <c r="I12926" s="489"/>
      <c r="J12926" s="1362"/>
      <c r="K12926" s="1362"/>
      <c r="L12926" s="1362"/>
    </row>
    <row r="12927" spans="1:12" x14ac:dyDescent="0.25">
      <c r="A12927">
        <v>92351</v>
      </c>
      <c r="B12927" t="s">
        <v>5430</v>
      </c>
      <c r="C12927" t="s">
        <v>138</v>
      </c>
      <c r="D12927" s="254">
        <v>103.04</v>
      </c>
      <c r="E12927"/>
      <c r="F12927"/>
      <c r="G12927"/>
      <c r="H12927"/>
      <c r="I12927" s="489"/>
      <c r="J12927" s="1362"/>
      <c r="K12927" s="1362"/>
      <c r="L12927" s="1362"/>
    </row>
    <row r="12928" spans="1:12" x14ac:dyDescent="0.25">
      <c r="A12928">
        <v>92352</v>
      </c>
      <c r="B12928" t="s">
        <v>5431</v>
      </c>
      <c r="C12928" t="s">
        <v>138</v>
      </c>
      <c r="D12928" s="254">
        <v>160.99</v>
      </c>
      <c r="E12928"/>
      <c r="F12928"/>
      <c r="G12928"/>
      <c r="H12928"/>
      <c r="I12928" s="489"/>
      <c r="J12928" s="1362"/>
      <c r="K12928" s="1362"/>
      <c r="L12928" s="1362"/>
    </row>
    <row r="12929" spans="1:12" x14ac:dyDescent="0.25">
      <c r="A12929">
        <v>92353</v>
      </c>
      <c r="B12929" t="s">
        <v>5432</v>
      </c>
      <c r="C12929" t="s">
        <v>138</v>
      </c>
      <c r="D12929" s="254">
        <v>150.44999999999999</v>
      </c>
      <c r="E12929"/>
      <c r="F12929"/>
      <c r="G12929"/>
      <c r="H12929"/>
      <c r="I12929" s="489"/>
      <c r="J12929" s="1362"/>
      <c r="K12929" s="1362"/>
      <c r="L12929" s="1362"/>
    </row>
    <row r="12930" spans="1:12" x14ac:dyDescent="0.25">
      <c r="A12930">
        <v>92354</v>
      </c>
      <c r="B12930" t="s">
        <v>5433</v>
      </c>
      <c r="C12930" t="s">
        <v>138</v>
      </c>
      <c r="D12930" s="254">
        <v>214.36</v>
      </c>
      <c r="E12930"/>
      <c r="F12930"/>
      <c r="G12930"/>
      <c r="H12930"/>
      <c r="I12930" s="489"/>
      <c r="J12930" s="1362"/>
      <c r="K12930" s="1362"/>
      <c r="L12930" s="1362"/>
    </row>
    <row r="12931" spans="1:12" x14ac:dyDescent="0.25">
      <c r="A12931">
        <v>92355</v>
      </c>
      <c r="B12931" t="s">
        <v>5434</v>
      </c>
      <c r="C12931" t="s">
        <v>138</v>
      </c>
      <c r="D12931" s="254">
        <v>194.04</v>
      </c>
      <c r="E12931"/>
      <c r="F12931"/>
      <c r="G12931"/>
      <c r="H12931"/>
      <c r="I12931" s="489"/>
      <c r="J12931" s="1362"/>
      <c r="K12931" s="1362"/>
      <c r="L12931" s="1362"/>
    </row>
    <row r="12932" spans="1:12" x14ac:dyDescent="0.25">
      <c r="A12932">
        <v>92356</v>
      </c>
      <c r="B12932" t="s">
        <v>5435</v>
      </c>
      <c r="C12932" t="s">
        <v>138</v>
      </c>
      <c r="D12932" s="254">
        <v>137.32</v>
      </c>
      <c r="E12932"/>
      <c r="F12932"/>
      <c r="G12932"/>
      <c r="H12932"/>
      <c r="I12932" s="489"/>
      <c r="J12932" s="1362"/>
      <c r="K12932" s="1362"/>
      <c r="L12932" s="1362"/>
    </row>
    <row r="12933" spans="1:12" x14ac:dyDescent="0.25">
      <c r="A12933">
        <v>92357</v>
      </c>
      <c r="B12933" t="s">
        <v>5436</v>
      </c>
      <c r="C12933" t="s">
        <v>138</v>
      </c>
      <c r="D12933" s="254">
        <v>205.89</v>
      </c>
      <c r="E12933"/>
      <c r="F12933"/>
      <c r="G12933"/>
      <c r="H12933"/>
      <c r="I12933" s="489"/>
      <c r="J12933" s="1362"/>
      <c r="K12933" s="1362"/>
      <c r="L12933" s="1362"/>
    </row>
    <row r="12934" spans="1:12" x14ac:dyDescent="0.25">
      <c r="A12934">
        <v>92358</v>
      </c>
      <c r="B12934" t="s">
        <v>5437</v>
      </c>
      <c r="C12934" t="s">
        <v>138</v>
      </c>
      <c r="D12934" s="254">
        <v>256.74</v>
      </c>
      <c r="E12934"/>
      <c r="F12934"/>
      <c r="G12934"/>
      <c r="H12934"/>
      <c r="I12934" s="489"/>
      <c r="J12934" s="1362"/>
      <c r="K12934" s="1362"/>
      <c r="L12934" s="1362"/>
    </row>
    <row r="12935" spans="1:12" x14ac:dyDescent="0.25">
      <c r="A12935">
        <v>92369</v>
      </c>
      <c r="B12935" t="s">
        <v>5438</v>
      </c>
      <c r="C12935" t="s">
        <v>138</v>
      </c>
      <c r="D12935" s="254">
        <v>37.81</v>
      </c>
      <c r="E12935"/>
      <c r="F12935"/>
      <c r="G12935"/>
      <c r="H12935"/>
      <c r="I12935" s="489"/>
      <c r="J12935" s="1362"/>
      <c r="K12935" s="1362"/>
      <c r="L12935" s="1362"/>
    </row>
    <row r="12936" spans="1:12" x14ac:dyDescent="0.25">
      <c r="A12936">
        <v>92370</v>
      </c>
      <c r="B12936" t="s">
        <v>5439</v>
      </c>
      <c r="C12936" t="s">
        <v>138</v>
      </c>
      <c r="D12936" s="254">
        <v>39.75</v>
      </c>
      <c r="E12936"/>
      <c r="F12936"/>
      <c r="G12936"/>
      <c r="H12936"/>
      <c r="I12936" s="489"/>
      <c r="J12936" s="1362"/>
      <c r="K12936" s="1362"/>
      <c r="L12936" s="1362"/>
    </row>
    <row r="12937" spans="1:12" x14ac:dyDescent="0.25">
      <c r="A12937">
        <v>92371</v>
      </c>
      <c r="B12937" t="s">
        <v>5440</v>
      </c>
      <c r="C12937" t="s">
        <v>138</v>
      </c>
      <c r="D12937" s="254">
        <v>45.86</v>
      </c>
      <c r="E12937"/>
      <c r="F12937"/>
      <c r="G12937"/>
      <c r="H12937"/>
      <c r="I12937" s="489"/>
      <c r="J12937" s="1362"/>
      <c r="K12937" s="1362"/>
      <c r="L12937" s="1362"/>
    </row>
    <row r="12938" spans="1:12" x14ac:dyDescent="0.25">
      <c r="A12938">
        <v>92372</v>
      </c>
      <c r="B12938" t="s">
        <v>5441</v>
      </c>
      <c r="C12938" t="s">
        <v>138</v>
      </c>
      <c r="D12938" s="254">
        <v>47.66</v>
      </c>
      <c r="E12938"/>
      <c r="F12938"/>
      <c r="G12938"/>
      <c r="H12938"/>
      <c r="I12938" s="489"/>
      <c r="J12938" s="1362"/>
      <c r="K12938" s="1362"/>
      <c r="L12938" s="1362"/>
    </row>
    <row r="12939" spans="1:12" x14ac:dyDescent="0.25">
      <c r="A12939">
        <v>92373</v>
      </c>
      <c r="B12939" t="s">
        <v>5442</v>
      </c>
      <c r="C12939" t="s">
        <v>138</v>
      </c>
      <c r="D12939" s="254">
        <v>54.34</v>
      </c>
      <c r="E12939"/>
      <c r="F12939"/>
      <c r="G12939"/>
      <c r="H12939"/>
      <c r="I12939" s="489"/>
      <c r="J12939" s="1362"/>
      <c r="K12939" s="1362"/>
      <c r="L12939" s="1362"/>
    </row>
    <row r="12940" spans="1:12" x14ac:dyDescent="0.25">
      <c r="A12940">
        <v>92374</v>
      </c>
      <c r="B12940" t="s">
        <v>5443</v>
      </c>
      <c r="C12940" t="s">
        <v>138</v>
      </c>
      <c r="D12940" s="254">
        <v>54.69</v>
      </c>
      <c r="E12940"/>
      <c r="F12940"/>
      <c r="G12940"/>
      <c r="H12940"/>
      <c r="I12940" s="489"/>
      <c r="J12940" s="1362"/>
      <c r="K12940" s="1362"/>
      <c r="L12940" s="1362"/>
    </row>
    <row r="12941" spans="1:12" x14ac:dyDescent="0.25">
      <c r="A12941">
        <v>92375</v>
      </c>
      <c r="B12941" t="s">
        <v>5444</v>
      </c>
      <c r="C12941" t="s">
        <v>138</v>
      </c>
      <c r="D12941" s="254">
        <v>70.81</v>
      </c>
      <c r="E12941"/>
      <c r="F12941"/>
      <c r="G12941"/>
      <c r="H12941"/>
      <c r="I12941" s="489"/>
      <c r="J12941" s="1362"/>
      <c r="K12941" s="1362"/>
      <c r="L12941" s="1362"/>
    </row>
    <row r="12942" spans="1:12" x14ac:dyDescent="0.25">
      <c r="A12942">
        <v>92376</v>
      </c>
      <c r="B12942" t="s">
        <v>5445</v>
      </c>
      <c r="C12942" t="s">
        <v>138</v>
      </c>
      <c r="D12942" s="254">
        <v>70.78</v>
      </c>
      <c r="E12942"/>
      <c r="F12942"/>
      <c r="G12942"/>
      <c r="H12942"/>
      <c r="I12942" s="489"/>
      <c r="J12942" s="1362"/>
      <c r="K12942" s="1362"/>
      <c r="L12942" s="1362"/>
    </row>
    <row r="12943" spans="1:12" x14ac:dyDescent="0.25">
      <c r="A12943">
        <v>92377</v>
      </c>
      <c r="B12943" t="s">
        <v>5446</v>
      </c>
      <c r="C12943" t="s">
        <v>138</v>
      </c>
      <c r="D12943" s="254">
        <v>95.25</v>
      </c>
      <c r="E12943"/>
      <c r="F12943"/>
      <c r="G12943"/>
      <c r="H12943"/>
      <c r="I12943" s="489"/>
      <c r="J12943" s="1362"/>
      <c r="K12943" s="1362"/>
      <c r="L12943" s="1362"/>
    </row>
    <row r="12944" spans="1:12" x14ac:dyDescent="0.25">
      <c r="A12944">
        <v>92378</v>
      </c>
      <c r="B12944" t="s">
        <v>5447</v>
      </c>
      <c r="C12944" t="s">
        <v>138</v>
      </c>
      <c r="D12944" s="254">
        <v>106.03</v>
      </c>
      <c r="E12944"/>
      <c r="F12944"/>
      <c r="G12944"/>
      <c r="H12944"/>
      <c r="I12944" s="489"/>
      <c r="J12944" s="1362"/>
      <c r="K12944" s="1362"/>
      <c r="L12944" s="1362"/>
    </row>
    <row r="12945" spans="1:12" x14ac:dyDescent="0.25">
      <c r="A12945">
        <v>92379</v>
      </c>
      <c r="B12945" t="s">
        <v>5448</v>
      </c>
      <c r="C12945" t="s">
        <v>138</v>
      </c>
      <c r="D12945" s="254">
        <v>135.47</v>
      </c>
      <c r="E12945"/>
      <c r="F12945"/>
      <c r="G12945"/>
      <c r="H12945"/>
      <c r="I12945" s="489"/>
      <c r="J12945" s="1362"/>
      <c r="K12945" s="1362"/>
      <c r="L12945" s="1362"/>
    </row>
    <row r="12946" spans="1:12" x14ac:dyDescent="0.25">
      <c r="A12946">
        <v>92380</v>
      </c>
      <c r="B12946" t="s">
        <v>5449</v>
      </c>
      <c r="C12946" t="s">
        <v>138</v>
      </c>
      <c r="D12946" s="254">
        <v>145.06</v>
      </c>
      <c r="E12946"/>
      <c r="F12946"/>
      <c r="G12946"/>
      <c r="H12946"/>
      <c r="I12946" s="489"/>
      <c r="J12946" s="1362"/>
      <c r="K12946" s="1362"/>
      <c r="L12946" s="1362"/>
    </row>
    <row r="12947" spans="1:12" x14ac:dyDescent="0.25">
      <c r="A12947">
        <v>92381</v>
      </c>
      <c r="B12947" t="s">
        <v>5450</v>
      </c>
      <c r="C12947" t="s">
        <v>138</v>
      </c>
      <c r="D12947" s="254">
        <v>57.31</v>
      </c>
      <c r="E12947"/>
      <c r="F12947"/>
      <c r="G12947"/>
      <c r="H12947"/>
      <c r="I12947" s="489"/>
      <c r="J12947" s="1362"/>
      <c r="K12947" s="1362"/>
      <c r="L12947" s="1362"/>
    </row>
    <row r="12948" spans="1:12" x14ac:dyDescent="0.25">
      <c r="A12948">
        <v>92382</v>
      </c>
      <c r="B12948" t="s">
        <v>5451</v>
      </c>
      <c r="C12948" t="s">
        <v>138</v>
      </c>
      <c r="D12948" s="254">
        <v>54.74</v>
      </c>
      <c r="E12948"/>
      <c r="F12948"/>
      <c r="G12948"/>
      <c r="H12948"/>
      <c r="I12948" s="489"/>
      <c r="J12948" s="1362"/>
      <c r="K12948" s="1362"/>
      <c r="L12948" s="1362"/>
    </row>
    <row r="12949" spans="1:12" x14ac:dyDescent="0.25">
      <c r="A12949">
        <v>92383</v>
      </c>
      <c r="B12949" t="s">
        <v>5452</v>
      </c>
      <c r="C12949" t="s">
        <v>138</v>
      </c>
      <c r="D12949" s="254">
        <v>72.53</v>
      </c>
      <c r="E12949"/>
      <c r="F12949"/>
      <c r="G12949"/>
      <c r="H12949"/>
      <c r="I12949" s="489"/>
      <c r="J12949" s="1362"/>
      <c r="K12949" s="1362"/>
      <c r="L12949" s="1362"/>
    </row>
    <row r="12950" spans="1:12" x14ac:dyDescent="0.25">
      <c r="A12950">
        <v>92384</v>
      </c>
      <c r="B12950" t="s">
        <v>5453</v>
      </c>
      <c r="C12950" t="s">
        <v>138</v>
      </c>
      <c r="D12950" s="254">
        <v>67.41</v>
      </c>
      <c r="E12950"/>
      <c r="F12950"/>
      <c r="G12950"/>
      <c r="H12950"/>
      <c r="I12950" s="489"/>
      <c r="J12950" s="1362"/>
      <c r="K12950" s="1362"/>
      <c r="L12950" s="1362"/>
    </row>
    <row r="12951" spans="1:12" x14ac:dyDescent="0.25">
      <c r="A12951">
        <v>92385</v>
      </c>
      <c r="B12951" t="s">
        <v>5454</v>
      </c>
      <c r="C12951" t="s">
        <v>138</v>
      </c>
      <c r="D12951" s="254">
        <v>83.29</v>
      </c>
      <c r="E12951"/>
      <c r="F12951"/>
      <c r="G12951"/>
      <c r="H12951"/>
      <c r="I12951" s="489"/>
      <c r="J12951" s="1362"/>
      <c r="K12951" s="1362"/>
      <c r="L12951" s="1362"/>
    </row>
    <row r="12952" spans="1:12" x14ac:dyDescent="0.25">
      <c r="A12952">
        <v>92386</v>
      </c>
      <c r="B12952" t="s">
        <v>5455</v>
      </c>
      <c r="C12952" t="s">
        <v>138</v>
      </c>
      <c r="D12952" s="254">
        <v>79.760000000000005</v>
      </c>
      <c r="E12952"/>
      <c r="F12952"/>
      <c r="G12952"/>
      <c r="H12952"/>
      <c r="I12952" s="489"/>
      <c r="J12952" s="1362"/>
      <c r="K12952" s="1362"/>
      <c r="L12952" s="1362"/>
    </row>
    <row r="12953" spans="1:12" x14ac:dyDescent="0.25">
      <c r="A12953">
        <v>92387</v>
      </c>
      <c r="B12953" t="s">
        <v>5456</v>
      </c>
      <c r="C12953" t="s">
        <v>138</v>
      </c>
      <c r="D12953" s="254">
        <v>105.33</v>
      </c>
      <c r="E12953"/>
      <c r="F12953"/>
      <c r="G12953"/>
      <c r="H12953"/>
      <c r="I12953" s="489"/>
      <c r="J12953" s="1362"/>
      <c r="K12953" s="1362"/>
      <c r="L12953" s="1362"/>
    </row>
    <row r="12954" spans="1:12" x14ac:dyDescent="0.25">
      <c r="A12954">
        <v>92388</v>
      </c>
      <c r="B12954" t="s">
        <v>5457</v>
      </c>
      <c r="C12954" t="s">
        <v>138</v>
      </c>
      <c r="D12954" s="254">
        <v>102.93</v>
      </c>
      <c r="E12954"/>
      <c r="F12954"/>
      <c r="G12954"/>
      <c r="H12954"/>
      <c r="I12954" s="489"/>
      <c r="J12954" s="1362"/>
      <c r="K12954" s="1362"/>
      <c r="L12954" s="1362"/>
    </row>
    <row r="12955" spans="1:12" x14ac:dyDescent="0.25">
      <c r="A12955">
        <v>92389</v>
      </c>
      <c r="B12955" t="s">
        <v>5458</v>
      </c>
      <c r="C12955" t="s">
        <v>138</v>
      </c>
      <c r="D12955" s="254">
        <v>163.69</v>
      </c>
      <c r="E12955"/>
      <c r="F12955"/>
      <c r="G12955"/>
      <c r="H12955"/>
      <c r="I12955" s="489"/>
      <c r="J12955" s="1362"/>
      <c r="K12955" s="1362"/>
      <c r="L12955" s="1362"/>
    </row>
    <row r="12956" spans="1:12" x14ac:dyDescent="0.25">
      <c r="A12956">
        <v>92390</v>
      </c>
      <c r="B12956" t="s">
        <v>5459</v>
      </c>
      <c r="C12956" t="s">
        <v>138</v>
      </c>
      <c r="D12956" s="254">
        <v>153.15</v>
      </c>
      <c r="E12956"/>
      <c r="F12956"/>
      <c r="G12956"/>
      <c r="H12956"/>
      <c r="I12956" s="489"/>
      <c r="J12956" s="1362"/>
      <c r="K12956" s="1362"/>
      <c r="L12956" s="1362"/>
    </row>
    <row r="12957" spans="1:12" x14ac:dyDescent="0.25">
      <c r="A12957">
        <v>92635</v>
      </c>
      <c r="B12957" t="s">
        <v>5460</v>
      </c>
      <c r="C12957" t="s">
        <v>138</v>
      </c>
      <c r="D12957" s="254">
        <v>219.81</v>
      </c>
      <c r="E12957"/>
      <c r="F12957"/>
      <c r="G12957"/>
      <c r="H12957"/>
      <c r="I12957" s="489"/>
      <c r="J12957" s="1362"/>
      <c r="K12957" s="1362"/>
      <c r="L12957" s="1362"/>
    </row>
    <row r="12958" spans="1:12" x14ac:dyDescent="0.25">
      <c r="A12958">
        <v>92636</v>
      </c>
      <c r="B12958" t="s">
        <v>5461</v>
      </c>
      <c r="C12958" t="s">
        <v>138</v>
      </c>
      <c r="D12958" s="254">
        <v>199.49</v>
      </c>
      <c r="E12958"/>
      <c r="F12958"/>
      <c r="G12958"/>
      <c r="H12958"/>
      <c r="I12958" s="489"/>
      <c r="J12958" s="1362"/>
      <c r="K12958" s="1362"/>
      <c r="L12958" s="1362"/>
    </row>
    <row r="12959" spans="1:12" x14ac:dyDescent="0.25">
      <c r="A12959">
        <v>92637</v>
      </c>
      <c r="B12959" t="s">
        <v>5462</v>
      </c>
      <c r="C12959" t="s">
        <v>138</v>
      </c>
      <c r="D12959" s="254">
        <v>73.95</v>
      </c>
      <c r="E12959"/>
      <c r="F12959"/>
      <c r="G12959"/>
      <c r="H12959"/>
      <c r="I12959" s="489"/>
      <c r="J12959" s="1362"/>
      <c r="K12959" s="1362"/>
      <c r="L12959" s="1362"/>
    </row>
    <row r="12960" spans="1:12" x14ac:dyDescent="0.25">
      <c r="A12960">
        <v>92638</v>
      </c>
      <c r="B12960" t="s">
        <v>5463</v>
      </c>
      <c r="C12960" t="s">
        <v>138</v>
      </c>
      <c r="D12960" s="254">
        <v>90.54</v>
      </c>
      <c r="E12960"/>
      <c r="F12960"/>
      <c r="G12960"/>
      <c r="H12960"/>
      <c r="I12960" s="489"/>
      <c r="J12960" s="1362"/>
      <c r="K12960" s="1362"/>
      <c r="L12960" s="1362"/>
    </row>
    <row r="12961" spans="1:12" x14ac:dyDescent="0.25">
      <c r="A12961">
        <v>92639</v>
      </c>
      <c r="B12961" t="s">
        <v>5464</v>
      </c>
      <c r="C12961" t="s">
        <v>138</v>
      </c>
      <c r="D12961" s="254">
        <v>104.96</v>
      </c>
      <c r="E12961"/>
      <c r="F12961"/>
      <c r="G12961"/>
      <c r="H12961"/>
      <c r="I12961" s="489"/>
      <c r="J12961" s="1362"/>
      <c r="K12961" s="1362"/>
      <c r="L12961" s="1362"/>
    </row>
    <row r="12962" spans="1:12" x14ac:dyDescent="0.25">
      <c r="A12962">
        <v>92640</v>
      </c>
      <c r="B12962" t="s">
        <v>5465</v>
      </c>
      <c r="C12962" t="s">
        <v>138</v>
      </c>
      <c r="D12962" s="254">
        <v>137.16999999999999</v>
      </c>
      <c r="E12962"/>
      <c r="F12962"/>
      <c r="G12962"/>
      <c r="H12962"/>
      <c r="I12962" s="489"/>
      <c r="J12962" s="1362"/>
      <c r="K12962" s="1362"/>
      <c r="L12962" s="1362"/>
    </row>
    <row r="12963" spans="1:12" x14ac:dyDescent="0.25">
      <c r="A12963">
        <v>92642</v>
      </c>
      <c r="B12963" t="s">
        <v>5466</v>
      </c>
      <c r="C12963" t="s">
        <v>138</v>
      </c>
      <c r="D12963" s="254">
        <v>209.42</v>
      </c>
      <c r="E12963"/>
      <c r="F12963"/>
      <c r="G12963"/>
      <c r="H12963"/>
      <c r="I12963" s="489"/>
      <c r="J12963" s="1362"/>
      <c r="K12963" s="1362"/>
      <c r="L12963" s="1362"/>
    </row>
    <row r="12964" spans="1:12" x14ac:dyDescent="0.25">
      <c r="A12964">
        <v>92644</v>
      </c>
      <c r="B12964" t="s">
        <v>5467</v>
      </c>
      <c r="C12964" t="s">
        <v>138</v>
      </c>
      <c r="D12964" s="254">
        <v>264.01</v>
      </c>
      <c r="E12964"/>
      <c r="F12964"/>
      <c r="G12964"/>
      <c r="H12964"/>
      <c r="I12964" s="489"/>
      <c r="J12964" s="1362"/>
      <c r="K12964" s="1362"/>
      <c r="L12964" s="1362"/>
    </row>
    <row r="12965" spans="1:12" x14ac:dyDescent="0.25">
      <c r="A12965">
        <v>92657</v>
      </c>
      <c r="B12965" t="s">
        <v>5468</v>
      </c>
      <c r="C12965" t="s">
        <v>138</v>
      </c>
      <c r="D12965" s="254">
        <v>28</v>
      </c>
      <c r="E12965"/>
      <c r="F12965"/>
      <c r="G12965"/>
      <c r="H12965"/>
      <c r="I12965" s="489"/>
      <c r="J12965" s="1362"/>
      <c r="K12965" s="1362"/>
      <c r="L12965" s="1362"/>
    </row>
    <row r="12966" spans="1:12" x14ac:dyDescent="0.25">
      <c r="A12966">
        <v>92658</v>
      </c>
      <c r="B12966" t="s">
        <v>5469</v>
      </c>
      <c r="C12966" t="s">
        <v>138</v>
      </c>
      <c r="D12966" s="254">
        <v>29.94</v>
      </c>
      <c r="E12966"/>
      <c r="F12966"/>
      <c r="G12966"/>
      <c r="H12966"/>
      <c r="I12966" s="489"/>
      <c r="J12966" s="1362"/>
      <c r="K12966" s="1362"/>
      <c r="L12966" s="1362"/>
    </row>
    <row r="12967" spans="1:12" x14ac:dyDescent="0.25">
      <c r="A12967">
        <v>92659</v>
      </c>
      <c r="B12967" t="s">
        <v>5470</v>
      </c>
      <c r="C12967" t="s">
        <v>138</v>
      </c>
      <c r="D12967" s="254">
        <v>34.71</v>
      </c>
      <c r="E12967"/>
      <c r="F12967"/>
      <c r="G12967"/>
      <c r="H12967"/>
      <c r="I12967" s="489"/>
      <c r="J12967" s="1362"/>
      <c r="K12967" s="1362"/>
      <c r="L12967" s="1362"/>
    </row>
    <row r="12968" spans="1:12" x14ac:dyDescent="0.25">
      <c r="A12968">
        <v>92660</v>
      </c>
      <c r="B12968" t="s">
        <v>5471</v>
      </c>
      <c r="C12968" t="s">
        <v>138</v>
      </c>
      <c r="D12968" s="254">
        <v>36.51</v>
      </c>
      <c r="E12968"/>
      <c r="F12968"/>
      <c r="G12968"/>
      <c r="H12968"/>
      <c r="I12968" s="489"/>
      <c r="J12968" s="1362"/>
      <c r="K12968" s="1362"/>
      <c r="L12968" s="1362"/>
    </row>
    <row r="12969" spans="1:12" x14ac:dyDescent="0.25">
      <c r="A12969">
        <v>92661</v>
      </c>
      <c r="B12969" t="s">
        <v>5472</v>
      </c>
      <c r="C12969" t="s">
        <v>138</v>
      </c>
      <c r="D12969" s="254">
        <v>41.62</v>
      </c>
      <c r="E12969"/>
      <c r="F12969"/>
      <c r="G12969"/>
      <c r="H12969"/>
      <c r="I12969" s="489"/>
      <c r="J12969" s="1362"/>
      <c r="K12969" s="1362"/>
      <c r="L12969" s="1362"/>
    </row>
    <row r="12970" spans="1:12" x14ac:dyDescent="0.25">
      <c r="A12970">
        <v>92662</v>
      </c>
      <c r="B12970" t="s">
        <v>5473</v>
      </c>
      <c r="C12970" t="s">
        <v>138</v>
      </c>
      <c r="D12970" s="254">
        <v>41.97</v>
      </c>
      <c r="E12970"/>
      <c r="F12970"/>
      <c r="G12970"/>
      <c r="H12970"/>
      <c r="I12970" s="489"/>
      <c r="J12970" s="1362"/>
      <c r="K12970" s="1362"/>
      <c r="L12970" s="1362"/>
    </row>
    <row r="12971" spans="1:12" x14ac:dyDescent="0.25">
      <c r="A12971">
        <v>92663</v>
      </c>
      <c r="B12971" t="s">
        <v>5474</v>
      </c>
      <c r="C12971" t="s">
        <v>138</v>
      </c>
      <c r="D12971" s="254">
        <v>56.18</v>
      </c>
      <c r="E12971"/>
      <c r="F12971"/>
      <c r="G12971"/>
      <c r="H12971"/>
      <c r="I12971" s="489"/>
      <c r="J12971" s="1362"/>
      <c r="K12971" s="1362"/>
      <c r="L12971" s="1362"/>
    </row>
    <row r="12972" spans="1:12" x14ac:dyDescent="0.25">
      <c r="A12972">
        <v>92664</v>
      </c>
      <c r="B12972" t="s">
        <v>5475</v>
      </c>
      <c r="C12972" t="s">
        <v>138</v>
      </c>
      <c r="D12972" s="254">
        <v>56.15</v>
      </c>
      <c r="E12972"/>
      <c r="F12972"/>
      <c r="G12972"/>
      <c r="H12972"/>
      <c r="I12972" s="489"/>
      <c r="J12972" s="1362"/>
      <c r="K12972" s="1362"/>
      <c r="L12972" s="1362"/>
    </row>
    <row r="12973" spans="1:12" x14ac:dyDescent="0.25">
      <c r="A12973">
        <v>92665</v>
      </c>
      <c r="B12973" t="s">
        <v>5476</v>
      </c>
      <c r="C12973" t="s">
        <v>138</v>
      </c>
      <c r="D12973" s="254">
        <v>77.709999999999994</v>
      </c>
      <c r="E12973"/>
      <c r="F12973"/>
      <c r="G12973"/>
      <c r="H12973"/>
      <c r="I12973" s="489"/>
      <c r="J12973" s="1362"/>
      <c r="K12973" s="1362"/>
      <c r="L12973" s="1362"/>
    </row>
    <row r="12974" spans="1:12" x14ac:dyDescent="0.25">
      <c r="A12974">
        <v>92666</v>
      </c>
      <c r="B12974" t="s">
        <v>5477</v>
      </c>
      <c r="C12974" t="s">
        <v>138</v>
      </c>
      <c r="D12974" s="254">
        <v>88.49</v>
      </c>
      <c r="E12974"/>
      <c r="F12974"/>
      <c r="G12974"/>
      <c r="H12974"/>
      <c r="I12974" s="489"/>
      <c r="J12974" s="1362"/>
      <c r="K12974" s="1362"/>
      <c r="L12974" s="1362"/>
    </row>
    <row r="12975" spans="1:12" x14ac:dyDescent="0.25">
      <c r="A12975">
        <v>92667</v>
      </c>
      <c r="B12975" t="s">
        <v>5478</v>
      </c>
      <c r="C12975" t="s">
        <v>138</v>
      </c>
      <c r="D12975" s="254">
        <v>115.07</v>
      </c>
      <c r="E12975"/>
      <c r="F12975"/>
      <c r="G12975"/>
      <c r="H12975"/>
      <c r="I12975" s="489"/>
      <c r="J12975" s="1362"/>
      <c r="K12975" s="1362"/>
      <c r="L12975" s="1362"/>
    </row>
    <row r="12976" spans="1:12" x14ac:dyDescent="0.25">
      <c r="A12976">
        <v>92668</v>
      </c>
      <c r="B12976" t="s">
        <v>5479</v>
      </c>
      <c r="C12976" t="s">
        <v>138</v>
      </c>
      <c r="D12976" s="254">
        <v>124.66</v>
      </c>
      <c r="E12976"/>
      <c r="F12976"/>
      <c r="G12976"/>
      <c r="H12976"/>
      <c r="I12976" s="489"/>
      <c r="J12976" s="1362"/>
      <c r="K12976" s="1362"/>
      <c r="L12976" s="1362"/>
    </row>
    <row r="12977" spans="1:12" x14ac:dyDescent="0.25">
      <c r="A12977">
        <v>92669</v>
      </c>
      <c r="B12977" t="s">
        <v>5480</v>
      </c>
      <c r="C12977" t="s">
        <v>138</v>
      </c>
      <c r="D12977" s="254">
        <v>42.58</v>
      </c>
      <c r="E12977"/>
      <c r="F12977"/>
      <c r="G12977"/>
      <c r="H12977"/>
      <c r="I12977" s="489"/>
      <c r="J12977" s="1362"/>
      <c r="K12977" s="1362"/>
      <c r="L12977" s="1362"/>
    </row>
    <row r="12978" spans="1:12" x14ac:dyDescent="0.25">
      <c r="A12978">
        <v>92670</v>
      </c>
      <c r="B12978" t="s">
        <v>5481</v>
      </c>
      <c r="C12978" t="s">
        <v>138</v>
      </c>
      <c r="D12978" s="254">
        <v>40.01</v>
      </c>
      <c r="E12978"/>
      <c r="F12978"/>
      <c r="G12978"/>
      <c r="H12978"/>
      <c r="I12978" s="489"/>
      <c r="J12978" s="1362"/>
      <c r="K12978" s="1362"/>
      <c r="L12978" s="1362"/>
    </row>
    <row r="12979" spans="1:12" x14ac:dyDescent="0.25">
      <c r="A12979">
        <v>92671</v>
      </c>
      <c r="B12979" t="s">
        <v>5482</v>
      </c>
      <c r="C12979" t="s">
        <v>138</v>
      </c>
      <c r="D12979" s="254">
        <v>55.83</v>
      </c>
      <c r="E12979"/>
      <c r="F12979"/>
      <c r="G12979"/>
      <c r="H12979"/>
      <c r="I12979" s="489"/>
      <c r="J12979" s="1362"/>
      <c r="K12979" s="1362"/>
      <c r="L12979" s="1362"/>
    </row>
    <row r="12980" spans="1:12" x14ac:dyDescent="0.25">
      <c r="A12980">
        <v>92672</v>
      </c>
      <c r="B12980" t="s">
        <v>5483</v>
      </c>
      <c r="C12980" t="s">
        <v>138</v>
      </c>
      <c r="D12980" s="254">
        <v>50.71</v>
      </c>
      <c r="E12980"/>
      <c r="F12980"/>
      <c r="G12980"/>
      <c r="H12980"/>
      <c r="I12980" s="489"/>
      <c r="J12980" s="1362"/>
      <c r="K12980" s="1362"/>
      <c r="L12980" s="1362"/>
    </row>
    <row r="12981" spans="1:12" x14ac:dyDescent="0.25">
      <c r="A12981">
        <v>92673</v>
      </c>
      <c r="B12981" t="s">
        <v>5484</v>
      </c>
      <c r="C12981" t="s">
        <v>138</v>
      </c>
      <c r="D12981" s="254">
        <v>64.239999999999995</v>
      </c>
      <c r="E12981"/>
      <c r="F12981"/>
      <c r="G12981"/>
      <c r="H12981"/>
      <c r="I12981" s="489"/>
      <c r="J12981" s="1362"/>
      <c r="K12981" s="1362"/>
      <c r="L12981" s="1362"/>
    </row>
    <row r="12982" spans="1:12" x14ac:dyDescent="0.25">
      <c r="A12982">
        <v>92674</v>
      </c>
      <c r="B12982" t="s">
        <v>5485</v>
      </c>
      <c r="C12982" t="s">
        <v>138</v>
      </c>
      <c r="D12982" s="254">
        <v>60.71</v>
      </c>
      <c r="E12982"/>
      <c r="F12982"/>
      <c r="G12982"/>
      <c r="H12982"/>
      <c r="I12982" s="489"/>
      <c r="J12982" s="1362"/>
      <c r="K12982" s="1362"/>
      <c r="L12982" s="1362"/>
    </row>
    <row r="12983" spans="1:12" x14ac:dyDescent="0.25">
      <c r="A12983">
        <v>92675</v>
      </c>
      <c r="B12983" t="s">
        <v>5486</v>
      </c>
      <c r="C12983" t="s">
        <v>138</v>
      </c>
      <c r="D12983" s="254">
        <v>83.44</v>
      </c>
      <c r="E12983"/>
      <c r="F12983"/>
      <c r="G12983"/>
      <c r="H12983"/>
      <c r="I12983" s="489"/>
      <c r="J12983" s="1362"/>
      <c r="K12983" s="1362"/>
      <c r="L12983" s="1362"/>
    </row>
    <row r="12984" spans="1:12" x14ac:dyDescent="0.25">
      <c r="A12984">
        <v>92676</v>
      </c>
      <c r="B12984" t="s">
        <v>5487</v>
      </c>
      <c r="C12984" t="s">
        <v>138</v>
      </c>
      <c r="D12984" s="254">
        <v>81.040000000000006</v>
      </c>
      <c r="E12984"/>
      <c r="F12984"/>
      <c r="G12984"/>
      <c r="H12984"/>
      <c r="I12984" s="489"/>
      <c r="J12984" s="1362"/>
      <c r="K12984" s="1362"/>
      <c r="L12984" s="1362"/>
    </row>
    <row r="12985" spans="1:12" x14ac:dyDescent="0.25">
      <c r="A12985">
        <v>92677</v>
      </c>
      <c r="B12985" t="s">
        <v>5488</v>
      </c>
      <c r="C12985" t="s">
        <v>138</v>
      </c>
      <c r="D12985" s="254">
        <v>137.41999999999999</v>
      </c>
      <c r="E12985"/>
      <c r="F12985"/>
      <c r="G12985"/>
      <c r="H12985"/>
      <c r="I12985" s="489"/>
      <c r="J12985" s="1362"/>
      <c r="K12985" s="1362"/>
      <c r="L12985" s="1362"/>
    </row>
    <row r="12986" spans="1:12" x14ac:dyDescent="0.25">
      <c r="A12986">
        <v>92678</v>
      </c>
      <c r="B12986" t="s">
        <v>5489</v>
      </c>
      <c r="C12986" t="s">
        <v>138</v>
      </c>
      <c r="D12986" s="254">
        <v>126.88</v>
      </c>
      <c r="E12986"/>
      <c r="F12986"/>
      <c r="G12986"/>
      <c r="H12986"/>
      <c r="I12986" s="489"/>
      <c r="J12986" s="1362"/>
      <c r="K12986" s="1362"/>
      <c r="L12986" s="1362"/>
    </row>
    <row r="12987" spans="1:12" x14ac:dyDescent="0.25">
      <c r="A12987">
        <v>92679</v>
      </c>
      <c r="B12987" t="s">
        <v>5490</v>
      </c>
      <c r="C12987" t="s">
        <v>138</v>
      </c>
      <c r="D12987" s="254">
        <v>189.24</v>
      </c>
      <c r="E12987"/>
      <c r="F12987"/>
      <c r="G12987"/>
      <c r="H12987"/>
      <c r="I12987" s="489"/>
      <c r="J12987" s="1362"/>
      <c r="K12987" s="1362"/>
      <c r="L12987" s="1362"/>
    </row>
    <row r="12988" spans="1:12" x14ac:dyDescent="0.25">
      <c r="A12988">
        <v>92680</v>
      </c>
      <c r="B12988" t="s">
        <v>5491</v>
      </c>
      <c r="C12988" t="s">
        <v>138</v>
      </c>
      <c r="D12988" s="254">
        <v>168.92</v>
      </c>
      <c r="E12988"/>
      <c r="F12988"/>
      <c r="G12988"/>
      <c r="H12988"/>
      <c r="I12988" s="489"/>
      <c r="J12988" s="1362"/>
      <c r="K12988" s="1362"/>
      <c r="L12988" s="1362"/>
    </row>
    <row r="12989" spans="1:12" x14ac:dyDescent="0.25">
      <c r="A12989">
        <v>92681</v>
      </c>
      <c r="B12989" t="s">
        <v>5492</v>
      </c>
      <c r="C12989" t="s">
        <v>138</v>
      </c>
      <c r="D12989" s="254">
        <v>54.28</v>
      </c>
      <c r="E12989"/>
      <c r="F12989"/>
      <c r="G12989"/>
      <c r="H12989"/>
      <c r="I12989" s="489"/>
      <c r="J12989" s="1362"/>
      <c r="K12989" s="1362"/>
      <c r="L12989" s="1362"/>
    </row>
    <row r="12990" spans="1:12" x14ac:dyDescent="0.25">
      <c r="A12990">
        <v>92682</v>
      </c>
      <c r="B12990" t="s">
        <v>5493</v>
      </c>
      <c r="C12990" t="s">
        <v>138</v>
      </c>
      <c r="D12990" s="254">
        <v>68.17</v>
      </c>
      <c r="E12990"/>
      <c r="F12990"/>
      <c r="G12990"/>
      <c r="H12990"/>
      <c r="I12990" s="489"/>
      <c r="J12990" s="1362"/>
      <c r="K12990" s="1362"/>
      <c r="L12990" s="1362"/>
    </row>
    <row r="12991" spans="1:12" x14ac:dyDescent="0.25">
      <c r="A12991">
        <v>92683</v>
      </c>
      <c r="B12991" t="s">
        <v>5494</v>
      </c>
      <c r="C12991" t="s">
        <v>138</v>
      </c>
      <c r="D12991" s="254">
        <v>79.58</v>
      </c>
      <c r="E12991"/>
      <c r="F12991"/>
      <c r="G12991"/>
      <c r="H12991"/>
      <c r="I12991" s="489"/>
      <c r="J12991" s="1362"/>
      <c r="K12991" s="1362"/>
      <c r="L12991" s="1362"/>
    </row>
    <row r="12992" spans="1:12" x14ac:dyDescent="0.25">
      <c r="A12992">
        <v>92684</v>
      </c>
      <c r="B12992" t="s">
        <v>5495</v>
      </c>
      <c r="C12992" t="s">
        <v>138</v>
      </c>
      <c r="D12992" s="254">
        <v>107.95</v>
      </c>
      <c r="E12992"/>
      <c r="F12992"/>
      <c r="G12992"/>
      <c r="H12992"/>
      <c r="I12992" s="489"/>
      <c r="J12992" s="1362"/>
      <c r="K12992" s="1362"/>
      <c r="L12992" s="1362"/>
    </row>
    <row r="12993" spans="1:12" x14ac:dyDescent="0.25">
      <c r="A12993">
        <v>92685</v>
      </c>
      <c r="B12993" t="s">
        <v>5496</v>
      </c>
      <c r="C12993" t="s">
        <v>138</v>
      </c>
      <c r="D12993" s="254">
        <v>174.43</v>
      </c>
      <c r="E12993"/>
      <c r="F12993"/>
      <c r="G12993"/>
      <c r="H12993"/>
      <c r="I12993" s="489"/>
      <c r="J12993" s="1362"/>
      <c r="K12993" s="1362"/>
      <c r="L12993" s="1362"/>
    </row>
    <row r="12994" spans="1:12" x14ac:dyDescent="0.25">
      <c r="A12994">
        <v>92686</v>
      </c>
      <c r="B12994" t="s">
        <v>5497</v>
      </c>
      <c r="C12994" t="s">
        <v>138</v>
      </c>
      <c r="D12994" s="254">
        <v>223.21</v>
      </c>
      <c r="E12994"/>
      <c r="F12994"/>
      <c r="G12994"/>
      <c r="H12994"/>
      <c r="I12994" s="489"/>
      <c r="J12994" s="1362"/>
      <c r="K12994" s="1362"/>
      <c r="L12994" s="1362"/>
    </row>
    <row r="12995" spans="1:12" x14ac:dyDescent="0.25">
      <c r="A12995">
        <v>92692</v>
      </c>
      <c r="B12995" t="s">
        <v>5498</v>
      </c>
      <c r="C12995" t="s">
        <v>138</v>
      </c>
      <c r="D12995" s="254">
        <v>15.07</v>
      </c>
      <c r="E12995"/>
      <c r="F12995"/>
      <c r="G12995"/>
      <c r="H12995"/>
      <c r="I12995" s="489"/>
      <c r="J12995" s="1362"/>
      <c r="K12995" s="1362"/>
      <c r="L12995" s="1362"/>
    </row>
    <row r="12996" spans="1:12" x14ac:dyDescent="0.25">
      <c r="A12996">
        <v>92693</v>
      </c>
      <c r="B12996" t="s">
        <v>5499</v>
      </c>
      <c r="C12996" t="s">
        <v>138</v>
      </c>
      <c r="D12996" s="254">
        <v>15.5</v>
      </c>
      <c r="E12996"/>
      <c r="F12996"/>
      <c r="G12996"/>
      <c r="H12996"/>
      <c r="I12996" s="489"/>
      <c r="J12996" s="1362"/>
      <c r="K12996" s="1362"/>
      <c r="L12996" s="1362"/>
    </row>
    <row r="12997" spans="1:12" x14ac:dyDescent="0.25">
      <c r="A12997">
        <v>92694</v>
      </c>
      <c r="B12997" t="s">
        <v>5500</v>
      </c>
      <c r="C12997" t="s">
        <v>138</v>
      </c>
      <c r="D12997" s="254">
        <v>23.86</v>
      </c>
      <c r="E12997"/>
      <c r="F12997"/>
      <c r="G12997"/>
      <c r="H12997"/>
      <c r="I12997" s="489"/>
      <c r="J12997" s="1362"/>
      <c r="K12997" s="1362"/>
      <c r="L12997" s="1362"/>
    </row>
    <row r="12998" spans="1:12" x14ac:dyDescent="0.25">
      <c r="A12998">
        <v>92695</v>
      </c>
      <c r="B12998" t="s">
        <v>5501</v>
      </c>
      <c r="C12998" t="s">
        <v>138</v>
      </c>
      <c r="D12998" s="254">
        <v>24.29</v>
      </c>
      <c r="E12998"/>
      <c r="F12998"/>
      <c r="G12998"/>
      <c r="H12998"/>
      <c r="I12998" s="489"/>
      <c r="J12998" s="1362"/>
      <c r="K12998" s="1362"/>
      <c r="L12998" s="1362"/>
    </row>
    <row r="12999" spans="1:12" x14ac:dyDescent="0.25">
      <c r="A12999">
        <v>92696</v>
      </c>
      <c r="B12999" t="s">
        <v>5502</v>
      </c>
      <c r="C12999" t="s">
        <v>138</v>
      </c>
      <c r="D12999" s="254">
        <v>37.39</v>
      </c>
      <c r="E12999"/>
      <c r="F12999"/>
      <c r="G12999"/>
      <c r="H12999"/>
      <c r="I12999" s="489"/>
      <c r="J12999" s="1362"/>
      <c r="K12999" s="1362"/>
      <c r="L12999" s="1362"/>
    </row>
    <row r="13000" spans="1:12" x14ac:dyDescent="0.25">
      <c r="A13000">
        <v>92697</v>
      </c>
      <c r="B13000" t="s">
        <v>5503</v>
      </c>
      <c r="C13000" t="s">
        <v>138</v>
      </c>
      <c r="D13000" s="254">
        <v>39.33</v>
      </c>
      <c r="E13000"/>
      <c r="F13000"/>
      <c r="G13000"/>
      <c r="H13000"/>
      <c r="I13000" s="489"/>
      <c r="J13000" s="1362"/>
      <c r="K13000" s="1362"/>
      <c r="L13000" s="1362"/>
    </row>
    <row r="13001" spans="1:12" x14ac:dyDescent="0.25">
      <c r="A13001">
        <v>92698</v>
      </c>
      <c r="B13001" t="s">
        <v>5504</v>
      </c>
      <c r="C13001" t="s">
        <v>138</v>
      </c>
      <c r="D13001" s="254">
        <v>22.28</v>
      </c>
      <c r="E13001"/>
      <c r="F13001"/>
      <c r="G13001"/>
      <c r="H13001"/>
      <c r="I13001" s="489"/>
      <c r="J13001" s="1362"/>
      <c r="K13001" s="1362"/>
      <c r="L13001" s="1362"/>
    </row>
    <row r="13002" spans="1:12" x14ac:dyDescent="0.25">
      <c r="A13002">
        <v>92699</v>
      </c>
      <c r="B13002" t="s">
        <v>5505</v>
      </c>
      <c r="C13002" t="s">
        <v>138</v>
      </c>
      <c r="D13002" s="254">
        <v>20.88</v>
      </c>
      <c r="E13002"/>
      <c r="F13002"/>
      <c r="G13002"/>
      <c r="H13002"/>
      <c r="I13002" s="489"/>
      <c r="J13002" s="1362"/>
      <c r="K13002" s="1362"/>
      <c r="L13002" s="1362"/>
    </row>
    <row r="13003" spans="1:12" x14ac:dyDescent="0.25">
      <c r="A13003">
        <v>92700</v>
      </c>
      <c r="B13003" t="s">
        <v>5506</v>
      </c>
      <c r="C13003" t="s">
        <v>138</v>
      </c>
      <c r="D13003" s="254">
        <v>36.299999999999997</v>
      </c>
      <c r="E13003"/>
      <c r="F13003"/>
      <c r="G13003"/>
      <c r="H13003"/>
      <c r="I13003" s="489"/>
      <c r="J13003" s="1362"/>
      <c r="K13003" s="1362"/>
      <c r="L13003" s="1362"/>
    </row>
    <row r="13004" spans="1:12" x14ac:dyDescent="0.25">
      <c r="A13004">
        <v>92701</v>
      </c>
      <c r="B13004" t="s">
        <v>5507</v>
      </c>
      <c r="C13004" t="s">
        <v>138</v>
      </c>
      <c r="D13004" s="254">
        <v>34.22</v>
      </c>
      <c r="E13004"/>
      <c r="F13004"/>
      <c r="G13004"/>
      <c r="H13004"/>
      <c r="I13004" s="489"/>
      <c r="J13004" s="1362"/>
      <c r="K13004" s="1362"/>
      <c r="L13004" s="1362"/>
    </row>
    <row r="13005" spans="1:12" x14ac:dyDescent="0.25">
      <c r="A13005">
        <v>92702</v>
      </c>
      <c r="B13005" t="s">
        <v>5508</v>
      </c>
      <c r="C13005" t="s">
        <v>138</v>
      </c>
      <c r="D13005" s="254">
        <v>56.75</v>
      </c>
      <c r="E13005"/>
      <c r="F13005"/>
      <c r="G13005"/>
      <c r="H13005"/>
      <c r="I13005" s="489"/>
      <c r="J13005" s="1362"/>
      <c r="K13005" s="1362"/>
      <c r="L13005" s="1362"/>
    </row>
    <row r="13006" spans="1:12" x14ac:dyDescent="0.25">
      <c r="A13006">
        <v>92703</v>
      </c>
      <c r="B13006" t="s">
        <v>5509</v>
      </c>
      <c r="C13006" t="s">
        <v>138</v>
      </c>
      <c r="D13006" s="254">
        <v>54.18</v>
      </c>
      <c r="E13006"/>
      <c r="F13006"/>
      <c r="G13006"/>
      <c r="H13006"/>
      <c r="I13006" s="489"/>
      <c r="J13006" s="1362"/>
      <c r="K13006" s="1362"/>
      <c r="L13006" s="1362"/>
    </row>
    <row r="13007" spans="1:12" x14ac:dyDescent="0.25">
      <c r="A13007">
        <v>92704</v>
      </c>
      <c r="B13007" t="s">
        <v>5510</v>
      </c>
      <c r="C13007" t="s">
        <v>138</v>
      </c>
      <c r="D13007" s="254">
        <v>28.1</v>
      </c>
      <c r="E13007"/>
      <c r="F13007"/>
      <c r="G13007"/>
      <c r="H13007"/>
      <c r="I13007" s="489"/>
      <c r="J13007" s="1362"/>
      <c r="K13007" s="1362"/>
      <c r="L13007" s="1362"/>
    </row>
    <row r="13008" spans="1:12" x14ac:dyDescent="0.25">
      <c r="A13008">
        <v>92705</v>
      </c>
      <c r="B13008" t="s">
        <v>5511</v>
      </c>
      <c r="C13008" t="s">
        <v>138</v>
      </c>
      <c r="D13008" s="254">
        <v>45.19</v>
      </c>
      <c r="E13008"/>
      <c r="F13008"/>
      <c r="G13008"/>
      <c r="H13008"/>
      <c r="I13008" s="489"/>
      <c r="J13008" s="1362"/>
      <c r="K13008" s="1362"/>
      <c r="L13008" s="1362"/>
    </row>
    <row r="13009" spans="1:12" x14ac:dyDescent="0.25">
      <c r="A13009">
        <v>92706</v>
      </c>
      <c r="B13009" t="s">
        <v>5512</v>
      </c>
      <c r="C13009" t="s">
        <v>138</v>
      </c>
      <c r="D13009" s="254">
        <v>73.17</v>
      </c>
      <c r="E13009"/>
      <c r="F13009"/>
      <c r="G13009"/>
      <c r="H13009"/>
      <c r="I13009" s="489"/>
      <c r="J13009" s="1362"/>
      <c r="K13009" s="1362"/>
      <c r="L13009" s="1362"/>
    </row>
    <row r="13010" spans="1:12" x14ac:dyDescent="0.25">
      <c r="A13010">
        <v>92889</v>
      </c>
      <c r="B13010" t="s">
        <v>5513</v>
      </c>
      <c r="C13010" t="s">
        <v>138</v>
      </c>
      <c r="D13010" s="254">
        <v>140.79</v>
      </c>
      <c r="E13010"/>
      <c r="F13010"/>
      <c r="G13010"/>
      <c r="H13010"/>
      <c r="I13010" s="489"/>
      <c r="J13010" s="1362"/>
      <c r="K13010" s="1362"/>
      <c r="L13010" s="1362"/>
    </row>
    <row r="13011" spans="1:12" x14ac:dyDescent="0.25">
      <c r="A13011">
        <v>92890</v>
      </c>
      <c r="B13011" t="s">
        <v>5514</v>
      </c>
      <c r="C13011" t="s">
        <v>138</v>
      </c>
      <c r="D13011" s="254">
        <v>213.76</v>
      </c>
      <c r="E13011"/>
      <c r="F13011"/>
      <c r="G13011"/>
      <c r="H13011"/>
      <c r="I13011" s="489"/>
      <c r="J13011" s="1362"/>
      <c r="K13011" s="1362"/>
      <c r="L13011" s="1362"/>
    </row>
    <row r="13012" spans="1:12" x14ac:dyDescent="0.25">
      <c r="A13012">
        <v>92891</v>
      </c>
      <c r="B13012" t="s">
        <v>5515</v>
      </c>
      <c r="C13012" t="s">
        <v>138</v>
      </c>
      <c r="D13012" s="254">
        <v>313.79000000000002</v>
      </c>
      <c r="E13012"/>
      <c r="F13012"/>
      <c r="G13012"/>
      <c r="H13012"/>
      <c r="I13012" s="489"/>
      <c r="J13012" s="1362"/>
      <c r="K13012" s="1362"/>
      <c r="L13012" s="1362"/>
    </row>
    <row r="13013" spans="1:12" x14ac:dyDescent="0.25">
      <c r="A13013">
        <v>92892</v>
      </c>
      <c r="B13013" t="s">
        <v>5516</v>
      </c>
      <c r="C13013" t="s">
        <v>138</v>
      </c>
      <c r="D13013" s="254">
        <v>60.57</v>
      </c>
      <c r="E13013"/>
      <c r="F13013"/>
      <c r="G13013"/>
      <c r="H13013"/>
      <c r="I13013" s="489"/>
      <c r="J13013" s="1362"/>
      <c r="K13013" s="1362"/>
      <c r="L13013" s="1362"/>
    </row>
    <row r="13014" spans="1:12" x14ac:dyDescent="0.25">
      <c r="A13014">
        <v>92893</v>
      </c>
      <c r="B13014" t="s">
        <v>5517</v>
      </c>
      <c r="C13014" t="s">
        <v>138</v>
      </c>
      <c r="D13014" s="254">
        <v>86.36</v>
      </c>
      <c r="E13014"/>
      <c r="F13014"/>
      <c r="G13014"/>
      <c r="H13014"/>
      <c r="I13014" s="489"/>
      <c r="J13014" s="1362"/>
      <c r="K13014" s="1362"/>
      <c r="L13014" s="1362"/>
    </row>
    <row r="13015" spans="1:12" x14ac:dyDescent="0.25">
      <c r="A13015">
        <v>92894</v>
      </c>
      <c r="B13015" t="s">
        <v>5518</v>
      </c>
      <c r="C13015" t="s">
        <v>138</v>
      </c>
      <c r="D13015" s="254">
        <v>103.26</v>
      </c>
      <c r="E13015"/>
      <c r="F13015"/>
      <c r="G13015"/>
      <c r="H13015"/>
      <c r="I13015" s="489"/>
      <c r="J13015" s="1362"/>
      <c r="K13015" s="1362"/>
      <c r="L13015" s="1362"/>
    </row>
    <row r="13016" spans="1:12" x14ac:dyDescent="0.25">
      <c r="A13016">
        <v>92895</v>
      </c>
      <c r="B13016" t="s">
        <v>5519</v>
      </c>
      <c r="C13016" t="s">
        <v>138</v>
      </c>
      <c r="D13016" s="254">
        <v>140.74</v>
      </c>
      <c r="E13016"/>
      <c r="F13016"/>
      <c r="G13016"/>
      <c r="H13016"/>
      <c r="I13016" s="489"/>
      <c r="J13016" s="1362"/>
      <c r="K13016" s="1362"/>
      <c r="L13016" s="1362"/>
    </row>
    <row r="13017" spans="1:12" x14ac:dyDescent="0.25">
      <c r="A13017">
        <v>92896</v>
      </c>
      <c r="B13017" t="s">
        <v>5520</v>
      </c>
      <c r="C13017" t="s">
        <v>138</v>
      </c>
      <c r="D13017" s="254">
        <v>215.52</v>
      </c>
      <c r="E13017"/>
      <c r="F13017"/>
      <c r="G13017"/>
      <c r="H13017"/>
      <c r="I13017" s="489"/>
      <c r="J13017" s="1362"/>
      <c r="K13017" s="1362"/>
      <c r="L13017" s="1362"/>
    </row>
    <row r="13018" spans="1:12" x14ac:dyDescent="0.25">
      <c r="A13018">
        <v>92897</v>
      </c>
      <c r="B13018" t="s">
        <v>5521</v>
      </c>
      <c r="C13018" t="s">
        <v>138</v>
      </c>
      <c r="D13018" s="254">
        <v>317.42</v>
      </c>
      <c r="E13018"/>
      <c r="F13018"/>
      <c r="G13018"/>
      <c r="H13018"/>
      <c r="I13018" s="489"/>
      <c r="J13018" s="1362"/>
      <c r="K13018" s="1362"/>
      <c r="L13018" s="1362"/>
    </row>
    <row r="13019" spans="1:12" x14ac:dyDescent="0.25">
      <c r="A13019">
        <v>92898</v>
      </c>
      <c r="B13019" t="s">
        <v>5522</v>
      </c>
      <c r="C13019" t="s">
        <v>138</v>
      </c>
      <c r="D13019" s="254">
        <v>50.76</v>
      </c>
      <c r="E13019"/>
      <c r="F13019"/>
      <c r="G13019"/>
      <c r="H13019"/>
      <c r="I13019" s="489"/>
      <c r="J13019" s="1362"/>
      <c r="K13019" s="1362"/>
      <c r="L13019" s="1362"/>
    </row>
    <row r="13020" spans="1:12" x14ac:dyDescent="0.25">
      <c r="A13020">
        <v>92899</v>
      </c>
      <c r="B13020" t="s">
        <v>5523</v>
      </c>
      <c r="C13020" t="s">
        <v>138</v>
      </c>
      <c r="D13020" s="254">
        <v>75.209999999999994</v>
      </c>
      <c r="E13020"/>
      <c r="F13020"/>
      <c r="G13020"/>
      <c r="H13020"/>
      <c r="I13020" s="489"/>
      <c r="J13020" s="1362"/>
      <c r="K13020" s="1362"/>
      <c r="L13020" s="1362"/>
    </row>
    <row r="13021" spans="1:12" x14ac:dyDescent="0.25">
      <c r="A13021">
        <v>92900</v>
      </c>
      <c r="B13021" t="s">
        <v>5524</v>
      </c>
      <c r="C13021" t="s">
        <v>138</v>
      </c>
      <c r="D13021" s="254">
        <v>90.54</v>
      </c>
      <c r="E13021"/>
      <c r="F13021"/>
      <c r="G13021"/>
      <c r="H13021"/>
      <c r="I13021" s="489"/>
      <c r="J13021" s="1362"/>
      <c r="K13021" s="1362"/>
      <c r="L13021" s="1362"/>
    </row>
    <row r="13022" spans="1:12" x14ac:dyDescent="0.25">
      <c r="A13022">
        <v>92901</v>
      </c>
      <c r="B13022" t="s">
        <v>5525</v>
      </c>
      <c r="C13022" t="s">
        <v>138</v>
      </c>
      <c r="D13022" s="254">
        <v>126.11</v>
      </c>
      <c r="E13022"/>
      <c r="F13022"/>
      <c r="G13022"/>
      <c r="H13022"/>
      <c r="I13022" s="489"/>
      <c r="J13022" s="1362"/>
      <c r="K13022" s="1362"/>
      <c r="L13022" s="1362"/>
    </row>
    <row r="13023" spans="1:12" x14ac:dyDescent="0.25">
      <c r="A13023">
        <v>92902</v>
      </c>
      <c r="B13023" t="s">
        <v>5526</v>
      </c>
      <c r="C13023" t="s">
        <v>138</v>
      </c>
      <c r="D13023" s="254">
        <v>197.98</v>
      </c>
      <c r="E13023"/>
      <c r="F13023"/>
      <c r="G13023"/>
      <c r="H13023"/>
      <c r="I13023" s="489"/>
      <c r="J13023" s="1362"/>
      <c r="K13023" s="1362"/>
      <c r="L13023" s="1362"/>
    </row>
    <row r="13024" spans="1:12" x14ac:dyDescent="0.25">
      <c r="A13024">
        <v>92903</v>
      </c>
      <c r="B13024" t="s">
        <v>5527</v>
      </c>
      <c r="C13024" t="s">
        <v>138</v>
      </c>
      <c r="D13024" s="254">
        <v>297.02</v>
      </c>
      <c r="E13024"/>
      <c r="F13024"/>
      <c r="G13024"/>
      <c r="H13024"/>
      <c r="I13024" s="489"/>
      <c r="J13024" s="1362"/>
      <c r="K13024" s="1362"/>
      <c r="L13024" s="1362"/>
    </row>
    <row r="13025" spans="1:12" x14ac:dyDescent="0.25">
      <c r="A13025">
        <v>92904</v>
      </c>
      <c r="B13025" t="s">
        <v>5528</v>
      </c>
      <c r="C13025" t="s">
        <v>138</v>
      </c>
      <c r="D13025" s="254">
        <v>34.61</v>
      </c>
      <c r="E13025"/>
      <c r="F13025"/>
      <c r="G13025"/>
      <c r="H13025"/>
      <c r="I13025" s="489"/>
      <c r="J13025" s="1362"/>
      <c r="K13025" s="1362"/>
      <c r="L13025" s="1362"/>
    </row>
    <row r="13026" spans="1:12" x14ac:dyDescent="0.25">
      <c r="A13026">
        <v>92905</v>
      </c>
      <c r="B13026" t="s">
        <v>5529</v>
      </c>
      <c r="C13026" t="s">
        <v>138</v>
      </c>
      <c r="D13026" s="254">
        <v>49.36</v>
      </c>
      <c r="E13026"/>
      <c r="F13026"/>
      <c r="G13026"/>
      <c r="H13026"/>
      <c r="I13026" s="489"/>
      <c r="J13026" s="1362"/>
      <c r="K13026" s="1362"/>
      <c r="L13026" s="1362"/>
    </row>
    <row r="13027" spans="1:12" x14ac:dyDescent="0.25">
      <c r="A13027">
        <v>92906</v>
      </c>
      <c r="B13027" t="s">
        <v>5530</v>
      </c>
      <c r="C13027" t="s">
        <v>138</v>
      </c>
      <c r="D13027" s="254">
        <v>60.15</v>
      </c>
      <c r="E13027"/>
      <c r="F13027"/>
      <c r="G13027"/>
      <c r="H13027"/>
      <c r="I13027" s="489"/>
      <c r="J13027" s="1362"/>
      <c r="K13027" s="1362"/>
      <c r="L13027" s="1362"/>
    </row>
    <row r="13028" spans="1:12" x14ac:dyDescent="0.25">
      <c r="A13028">
        <v>92907</v>
      </c>
      <c r="B13028" t="s">
        <v>5531</v>
      </c>
      <c r="C13028" t="s">
        <v>138</v>
      </c>
      <c r="D13028" s="254">
        <v>74.900000000000006</v>
      </c>
      <c r="E13028"/>
      <c r="F13028"/>
      <c r="G13028"/>
      <c r="H13028"/>
      <c r="I13028" s="489"/>
      <c r="J13028" s="1362"/>
      <c r="K13028" s="1362"/>
      <c r="L13028" s="1362"/>
    </row>
    <row r="13029" spans="1:12" x14ac:dyDescent="0.25">
      <c r="A13029">
        <v>92908</v>
      </c>
      <c r="B13029" t="s">
        <v>5532</v>
      </c>
      <c r="C13029" t="s">
        <v>138</v>
      </c>
      <c r="D13029" s="254">
        <v>74.900000000000006</v>
      </c>
      <c r="E13029"/>
      <c r="F13029"/>
      <c r="G13029"/>
      <c r="H13029"/>
      <c r="I13029" s="489"/>
      <c r="J13029" s="1362"/>
      <c r="K13029" s="1362"/>
      <c r="L13029" s="1362"/>
    </row>
    <row r="13030" spans="1:12" x14ac:dyDescent="0.25">
      <c r="A13030">
        <v>92909</v>
      </c>
      <c r="B13030" t="s">
        <v>5533</v>
      </c>
      <c r="C13030" t="s">
        <v>138</v>
      </c>
      <c r="D13030" s="254">
        <v>74.900000000000006</v>
      </c>
      <c r="E13030"/>
      <c r="F13030"/>
      <c r="G13030"/>
      <c r="H13030"/>
      <c r="I13030" s="489"/>
      <c r="J13030" s="1362"/>
      <c r="K13030" s="1362"/>
      <c r="L13030" s="1362"/>
    </row>
    <row r="13031" spans="1:12" x14ac:dyDescent="0.25">
      <c r="A13031">
        <v>92910</v>
      </c>
      <c r="B13031" t="s">
        <v>5534</v>
      </c>
      <c r="C13031" t="s">
        <v>138</v>
      </c>
      <c r="D13031" s="254">
        <v>108.82</v>
      </c>
      <c r="E13031"/>
      <c r="F13031"/>
      <c r="G13031"/>
      <c r="H13031"/>
      <c r="I13031" s="489"/>
      <c r="J13031" s="1362"/>
      <c r="K13031" s="1362"/>
      <c r="L13031" s="1362"/>
    </row>
    <row r="13032" spans="1:12" x14ac:dyDescent="0.25">
      <c r="A13032">
        <v>92911</v>
      </c>
      <c r="B13032" t="s">
        <v>5535</v>
      </c>
      <c r="C13032" t="s">
        <v>138</v>
      </c>
      <c r="D13032" s="254">
        <v>108.82</v>
      </c>
      <c r="E13032"/>
      <c r="F13032"/>
      <c r="G13032"/>
      <c r="H13032"/>
      <c r="I13032" s="489"/>
      <c r="J13032" s="1362"/>
      <c r="K13032" s="1362"/>
      <c r="L13032" s="1362"/>
    </row>
    <row r="13033" spans="1:12" x14ac:dyDescent="0.25">
      <c r="A13033">
        <v>92912</v>
      </c>
      <c r="B13033" t="s">
        <v>5536</v>
      </c>
      <c r="C13033" t="s">
        <v>138</v>
      </c>
      <c r="D13033" s="254">
        <v>146.37</v>
      </c>
      <c r="E13033"/>
      <c r="F13033"/>
      <c r="G13033"/>
      <c r="H13033"/>
      <c r="I13033" s="489"/>
      <c r="J13033" s="1362"/>
      <c r="K13033" s="1362"/>
      <c r="L13033" s="1362"/>
    </row>
    <row r="13034" spans="1:12" x14ac:dyDescent="0.25">
      <c r="A13034">
        <v>92913</v>
      </c>
      <c r="B13034" t="s">
        <v>5537</v>
      </c>
      <c r="C13034" t="s">
        <v>138</v>
      </c>
      <c r="D13034" s="254">
        <v>149.37</v>
      </c>
      <c r="E13034"/>
      <c r="F13034"/>
      <c r="G13034"/>
      <c r="H13034"/>
      <c r="I13034" s="489"/>
      <c r="J13034" s="1362"/>
      <c r="K13034" s="1362"/>
      <c r="L13034" s="1362"/>
    </row>
    <row r="13035" spans="1:12" x14ac:dyDescent="0.25">
      <c r="A13035">
        <v>92914</v>
      </c>
      <c r="B13035" t="s">
        <v>5538</v>
      </c>
      <c r="C13035" t="s">
        <v>138</v>
      </c>
      <c r="D13035" s="254">
        <v>149.37</v>
      </c>
      <c r="E13035"/>
      <c r="F13035"/>
      <c r="G13035"/>
      <c r="H13035"/>
      <c r="I13035" s="489"/>
      <c r="J13035" s="1362"/>
      <c r="K13035" s="1362"/>
      <c r="L13035" s="1362"/>
    </row>
    <row r="13036" spans="1:12" x14ac:dyDescent="0.25">
      <c r="A13036">
        <v>92918</v>
      </c>
      <c r="B13036" t="s">
        <v>5539</v>
      </c>
      <c r="C13036" t="s">
        <v>138</v>
      </c>
      <c r="D13036" s="254">
        <v>39.590000000000003</v>
      </c>
      <c r="E13036"/>
      <c r="F13036"/>
      <c r="G13036"/>
      <c r="H13036"/>
      <c r="I13036" s="489"/>
      <c r="J13036" s="1362"/>
      <c r="K13036" s="1362"/>
      <c r="L13036" s="1362"/>
    </row>
    <row r="13037" spans="1:12" x14ac:dyDescent="0.25">
      <c r="A13037">
        <v>92920</v>
      </c>
      <c r="B13037" t="s">
        <v>5540</v>
      </c>
      <c r="C13037" t="s">
        <v>138</v>
      </c>
      <c r="D13037" s="254">
        <v>39.86</v>
      </c>
      <c r="E13037"/>
      <c r="F13037"/>
      <c r="G13037"/>
      <c r="H13037"/>
      <c r="I13037" s="489"/>
      <c r="J13037" s="1362"/>
      <c r="K13037" s="1362"/>
      <c r="L13037" s="1362"/>
    </row>
    <row r="13038" spans="1:12" x14ac:dyDescent="0.25">
      <c r="A13038">
        <v>92925</v>
      </c>
      <c r="B13038" t="s">
        <v>5541</v>
      </c>
      <c r="C13038" t="s">
        <v>138</v>
      </c>
      <c r="D13038" s="254">
        <v>49.1</v>
      </c>
      <c r="E13038"/>
      <c r="F13038"/>
      <c r="G13038"/>
      <c r="H13038"/>
      <c r="I13038" s="489"/>
      <c r="J13038" s="1362"/>
      <c r="K13038" s="1362"/>
      <c r="L13038" s="1362"/>
    </row>
    <row r="13039" spans="1:12" x14ac:dyDescent="0.25">
      <c r="A13039">
        <v>92926</v>
      </c>
      <c r="B13039" t="s">
        <v>5542</v>
      </c>
      <c r="C13039" t="s">
        <v>138</v>
      </c>
      <c r="D13039" s="254">
        <v>49.09</v>
      </c>
      <c r="E13039"/>
      <c r="F13039"/>
      <c r="G13039"/>
      <c r="H13039"/>
      <c r="I13039" s="489"/>
      <c r="J13039" s="1362"/>
      <c r="K13039" s="1362"/>
      <c r="L13039" s="1362"/>
    </row>
    <row r="13040" spans="1:12" x14ac:dyDescent="0.25">
      <c r="A13040">
        <v>92927</v>
      </c>
      <c r="B13040" t="s">
        <v>5543</v>
      </c>
      <c r="C13040" t="s">
        <v>138</v>
      </c>
      <c r="D13040" s="254">
        <v>49.09</v>
      </c>
      <c r="E13040"/>
      <c r="F13040"/>
      <c r="G13040"/>
      <c r="H13040"/>
      <c r="I13040" s="489"/>
      <c r="J13040" s="1362"/>
      <c r="K13040" s="1362"/>
      <c r="L13040" s="1362"/>
    </row>
    <row r="13041" spans="1:12" x14ac:dyDescent="0.25">
      <c r="A13041">
        <v>92928</v>
      </c>
      <c r="B13041" t="s">
        <v>5544</v>
      </c>
      <c r="C13041" t="s">
        <v>138</v>
      </c>
      <c r="D13041" s="254">
        <v>56.18</v>
      </c>
      <c r="E13041"/>
      <c r="F13041"/>
      <c r="G13041"/>
      <c r="H13041"/>
      <c r="I13041" s="489"/>
      <c r="J13041" s="1362"/>
      <c r="K13041" s="1362"/>
      <c r="L13041" s="1362"/>
    </row>
    <row r="13042" spans="1:12" x14ac:dyDescent="0.25">
      <c r="A13042">
        <v>92929</v>
      </c>
      <c r="B13042" t="s">
        <v>5545</v>
      </c>
      <c r="C13042" t="s">
        <v>138</v>
      </c>
      <c r="D13042" s="254">
        <v>56.18</v>
      </c>
      <c r="E13042"/>
      <c r="F13042"/>
      <c r="G13042"/>
      <c r="H13042"/>
      <c r="I13042" s="489"/>
      <c r="J13042" s="1362"/>
      <c r="K13042" s="1362"/>
      <c r="L13042" s="1362"/>
    </row>
    <row r="13043" spans="1:12" x14ac:dyDescent="0.25">
      <c r="A13043">
        <v>92930</v>
      </c>
      <c r="B13043" t="s">
        <v>5546</v>
      </c>
      <c r="C13043" t="s">
        <v>138</v>
      </c>
      <c r="D13043" s="254">
        <v>56.18</v>
      </c>
      <c r="E13043"/>
      <c r="F13043"/>
      <c r="G13043"/>
      <c r="H13043"/>
      <c r="I13043" s="489"/>
      <c r="J13043" s="1362"/>
      <c r="K13043" s="1362"/>
      <c r="L13043" s="1362"/>
    </row>
    <row r="13044" spans="1:12" x14ac:dyDescent="0.25">
      <c r="A13044">
        <v>92931</v>
      </c>
      <c r="B13044" t="s">
        <v>5547</v>
      </c>
      <c r="C13044" t="s">
        <v>138</v>
      </c>
      <c r="D13044" s="254">
        <v>74.849999999999994</v>
      </c>
      <c r="E13044"/>
      <c r="F13044"/>
      <c r="G13044"/>
      <c r="H13044"/>
      <c r="I13044" s="489"/>
      <c r="J13044" s="1362"/>
      <c r="K13044" s="1362"/>
      <c r="L13044" s="1362"/>
    </row>
    <row r="13045" spans="1:12" x14ac:dyDescent="0.25">
      <c r="A13045">
        <v>92932</v>
      </c>
      <c r="B13045" t="s">
        <v>5548</v>
      </c>
      <c r="C13045" t="s">
        <v>138</v>
      </c>
      <c r="D13045" s="254">
        <v>74.849999999999994</v>
      </c>
      <c r="E13045"/>
      <c r="F13045"/>
      <c r="G13045"/>
      <c r="H13045"/>
      <c r="I13045" s="489"/>
      <c r="J13045" s="1362"/>
      <c r="K13045" s="1362"/>
      <c r="L13045" s="1362"/>
    </row>
    <row r="13046" spans="1:12" x14ac:dyDescent="0.25">
      <c r="A13046">
        <v>92933</v>
      </c>
      <c r="B13046" t="s">
        <v>5549</v>
      </c>
      <c r="C13046" t="s">
        <v>138</v>
      </c>
      <c r="D13046" s="254">
        <v>74.849999999999994</v>
      </c>
      <c r="E13046"/>
      <c r="F13046"/>
      <c r="G13046"/>
      <c r="H13046"/>
      <c r="I13046" s="489"/>
      <c r="J13046" s="1362"/>
      <c r="K13046" s="1362"/>
      <c r="L13046" s="1362"/>
    </row>
    <row r="13047" spans="1:12" x14ac:dyDescent="0.25">
      <c r="A13047">
        <v>92934</v>
      </c>
      <c r="B13047" t="s">
        <v>5550</v>
      </c>
      <c r="C13047" t="s">
        <v>138</v>
      </c>
      <c r="D13047" s="254">
        <v>110.58</v>
      </c>
      <c r="E13047"/>
      <c r="F13047"/>
      <c r="G13047"/>
      <c r="H13047"/>
      <c r="I13047" s="489"/>
      <c r="J13047" s="1362"/>
      <c r="K13047" s="1362"/>
      <c r="L13047" s="1362"/>
    </row>
    <row r="13048" spans="1:12" x14ac:dyDescent="0.25">
      <c r="A13048">
        <v>92935</v>
      </c>
      <c r="B13048" t="s">
        <v>5551</v>
      </c>
      <c r="C13048" t="s">
        <v>138</v>
      </c>
      <c r="D13048" s="254">
        <v>110.58</v>
      </c>
      <c r="E13048"/>
      <c r="F13048"/>
      <c r="G13048"/>
      <c r="H13048"/>
      <c r="I13048" s="489"/>
      <c r="J13048" s="1362"/>
      <c r="K13048" s="1362"/>
      <c r="L13048" s="1362"/>
    </row>
    <row r="13049" spans="1:12" x14ac:dyDescent="0.25">
      <c r="A13049">
        <v>92936</v>
      </c>
      <c r="B13049" t="s">
        <v>5552</v>
      </c>
      <c r="C13049" t="s">
        <v>138</v>
      </c>
      <c r="D13049" s="254">
        <v>153</v>
      </c>
      <c r="E13049"/>
      <c r="F13049"/>
      <c r="G13049"/>
      <c r="H13049"/>
      <c r="I13049" s="489"/>
      <c r="J13049" s="1362"/>
      <c r="K13049" s="1362"/>
      <c r="L13049" s="1362"/>
    </row>
    <row r="13050" spans="1:12" x14ac:dyDescent="0.25">
      <c r="A13050">
        <v>92937</v>
      </c>
      <c r="B13050" t="s">
        <v>5553</v>
      </c>
      <c r="C13050" t="s">
        <v>138</v>
      </c>
      <c r="D13050" s="254">
        <v>153</v>
      </c>
      <c r="E13050"/>
      <c r="F13050"/>
      <c r="G13050"/>
      <c r="H13050"/>
      <c r="I13050" s="489"/>
      <c r="J13050" s="1362"/>
      <c r="K13050" s="1362"/>
      <c r="L13050" s="1362"/>
    </row>
    <row r="13051" spans="1:12" x14ac:dyDescent="0.25">
      <c r="A13051">
        <v>92938</v>
      </c>
      <c r="B13051" t="s">
        <v>5554</v>
      </c>
      <c r="C13051" t="s">
        <v>138</v>
      </c>
      <c r="D13051" s="254">
        <v>29.78</v>
      </c>
      <c r="E13051"/>
      <c r="F13051"/>
      <c r="G13051"/>
      <c r="H13051"/>
      <c r="I13051" s="489"/>
      <c r="J13051" s="1362"/>
      <c r="K13051" s="1362"/>
      <c r="L13051" s="1362"/>
    </row>
    <row r="13052" spans="1:12" x14ac:dyDescent="0.25">
      <c r="A13052">
        <v>92939</v>
      </c>
      <c r="B13052" t="s">
        <v>5555</v>
      </c>
      <c r="C13052" t="s">
        <v>138</v>
      </c>
      <c r="D13052" s="254">
        <v>30.05</v>
      </c>
      <c r="E13052"/>
      <c r="F13052"/>
      <c r="G13052"/>
      <c r="H13052"/>
      <c r="I13052" s="489"/>
      <c r="J13052" s="1362"/>
      <c r="K13052" s="1362"/>
      <c r="L13052" s="1362"/>
    </row>
    <row r="13053" spans="1:12" x14ac:dyDescent="0.25">
      <c r="A13053">
        <v>92940</v>
      </c>
      <c r="B13053" t="s">
        <v>5556</v>
      </c>
      <c r="C13053" t="s">
        <v>138</v>
      </c>
      <c r="D13053" s="254">
        <v>37.950000000000003</v>
      </c>
      <c r="E13053"/>
      <c r="F13053"/>
      <c r="G13053"/>
      <c r="H13053"/>
      <c r="I13053" s="489"/>
      <c r="J13053" s="1362"/>
      <c r="K13053" s="1362"/>
      <c r="L13053" s="1362"/>
    </row>
    <row r="13054" spans="1:12" x14ac:dyDescent="0.25">
      <c r="A13054">
        <v>92941</v>
      </c>
      <c r="B13054" t="s">
        <v>5557</v>
      </c>
      <c r="C13054" t="s">
        <v>138</v>
      </c>
      <c r="D13054" s="254">
        <v>37.94</v>
      </c>
      <c r="E13054"/>
      <c r="F13054"/>
      <c r="G13054"/>
      <c r="H13054"/>
      <c r="I13054" s="489"/>
      <c r="J13054" s="1362"/>
      <c r="K13054" s="1362"/>
      <c r="L13054" s="1362"/>
    </row>
    <row r="13055" spans="1:12" x14ac:dyDescent="0.25">
      <c r="A13055">
        <v>92942</v>
      </c>
      <c r="B13055" t="s">
        <v>5558</v>
      </c>
      <c r="C13055" t="s">
        <v>138</v>
      </c>
      <c r="D13055" s="254">
        <v>37.94</v>
      </c>
      <c r="E13055"/>
      <c r="F13055"/>
      <c r="G13055"/>
      <c r="H13055"/>
      <c r="I13055" s="489"/>
      <c r="J13055" s="1362"/>
      <c r="K13055" s="1362"/>
      <c r="L13055" s="1362"/>
    </row>
    <row r="13056" spans="1:12" x14ac:dyDescent="0.25">
      <c r="A13056">
        <v>92943</v>
      </c>
      <c r="B13056" t="s">
        <v>5559</v>
      </c>
      <c r="C13056" t="s">
        <v>138</v>
      </c>
      <c r="D13056" s="254">
        <v>43.46</v>
      </c>
      <c r="E13056"/>
      <c r="F13056"/>
      <c r="G13056"/>
      <c r="H13056"/>
      <c r="I13056" s="489"/>
      <c r="J13056" s="1362"/>
      <c r="K13056" s="1362"/>
      <c r="L13056" s="1362"/>
    </row>
    <row r="13057" spans="1:12" x14ac:dyDescent="0.25">
      <c r="A13057">
        <v>92944</v>
      </c>
      <c r="B13057" t="s">
        <v>5560</v>
      </c>
      <c r="C13057" t="s">
        <v>138</v>
      </c>
      <c r="D13057" s="254">
        <v>43.46</v>
      </c>
      <c r="E13057"/>
      <c r="F13057"/>
      <c r="G13057"/>
      <c r="H13057"/>
      <c r="I13057" s="489"/>
      <c r="J13057" s="1362"/>
      <c r="K13057" s="1362"/>
      <c r="L13057" s="1362"/>
    </row>
    <row r="13058" spans="1:12" x14ac:dyDescent="0.25">
      <c r="A13058">
        <v>92945</v>
      </c>
      <c r="B13058" t="s">
        <v>5561</v>
      </c>
      <c r="C13058" t="s">
        <v>138</v>
      </c>
      <c r="D13058" s="254">
        <v>43.46</v>
      </c>
      <c r="E13058"/>
      <c r="F13058"/>
      <c r="G13058"/>
      <c r="H13058"/>
      <c r="I13058" s="489"/>
      <c r="J13058" s="1362"/>
      <c r="K13058" s="1362"/>
      <c r="L13058" s="1362"/>
    </row>
    <row r="13059" spans="1:12" x14ac:dyDescent="0.25">
      <c r="A13059">
        <v>92946</v>
      </c>
      <c r="B13059" t="s">
        <v>5562</v>
      </c>
      <c r="C13059" t="s">
        <v>138</v>
      </c>
      <c r="D13059" s="254">
        <v>60.22</v>
      </c>
      <c r="E13059"/>
      <c r="F13059"/>
      <c r="G13059"/>
      <c r="H13059"/>
      <c r="I13059" s="489"/>
      <c r="J13059" s="1362"/>
      <c r="K13059" s="1362"/>
      <c r="L13059" s="1362"/>
    </row>
    <row r="13060" spans="1:12" x14ac:dyDescent="0.25">
      <c r="A13060">
        <v>92947</v>
      </c>
      <c r="B13060" t="s">
        <v>5563</v>
      </c>
      <c r="C13060" t="s">
        <v>138</v>
      </c>
      <c r="D13060" s="254">
        <v>60.22</v>
      </c>
      <c r="E13060"/>
      <c r="F13060"/>
      <c r="G13060"/>
      <c r="H13060"/>
      <c r="I13060" s="489"/>
      <c r="J13060" s="1362"/>
      <c r="K13060" s="1362"/>
      <c r="L13060" s="1362"/>
    </row>
    <row r="13061" spans="1:12" x14ac:dyDescent="0.25">
      <c r="A13061">
        <v>92948</v>
      </c>
      <c r="B13061" t="s">
        <v>5564</v>
      </c>
      <c r="C13061" t="s">
        <v>138</v>
      </c>
      <c r="D13061" s="254">
        <v>60.22</v>
      </c>
      <c r="E13061"/>
      <c r="F13061"/>
      <c r="G13061"/>
      <c r="H13061"/>
      <c r="I13061" s="489"/>
      <c r="J13061" s="1362"/>
      <c r="K13061" s="1362"/>
      <c r="L13061" s="1362"/>
    </row>
    <row r="13062" spans="1:12" x14ac:dyDescent="0.25">
      <c r="A13062">
        <v>92949</v>
      </c>
      <c r="B13062" t="s">
        <v>5565</v>
      </c>
      <c r="C13062" t="s">
        <v>138</v>
      </c>
      <c r="D13062" s="254">
        <v>93.04</v>
      </c>
      <c r="E13062"/>
      <c r="F13062"/>
      <c r="G13062"/>
      <c r="H13062"/>
      <c r="I13062" s="489"/>
      <c r="J13062" s="1362"/>
      <c r="K13062" s="1362"/>
      <c r="L13062" s="1362"/>
    </row>
    <row r="13063" spans="1:12" x14ac:dyDescent="0.25">
      <c r="A13063">
        <v>92950</v>
      </c>
      <c r="B13063" t="s">
        <v>5566</v>
      </c>
      <c r="C13063" t="s">
        <v>138</v>
      </c>
      <c r="D13063" s="254">
        <v>93.04</v>
      </c>
      <c r="E13063"/>
      <c r="F13063"/>
      <c r="G13063"/>
      <c r="H13063"/>
      <c r="I13063" s="489"/>
      <c r="J13063" s="1362"/>
      <c r="K13063" s="1362"/>
      <c r="L13063" s="1362"/>
    </row>
    <row r="13064" spans="1:12" x14ac:dyDescent="0.25">
      <c r="A13064">
        <v>92951</v>
      </c>
      <c r="B13064" t="s">
        <v>5567</v>
      </c>
      <c r="C13064" t="s">
        <v>138</v>
      </c>
      <c r="D13064" s="254">
        <v>132.6</v>
      </c>
      <c r="E13064"/>
      <c r="F13064"/>
      <c r="G13064"/>
      <c r="H13064"/>
      <c r="I13064" s="489"/>
      <c r="J13064" s="1362"/>
      <c r="K13064" s="1362"/>
      <c r="L13064" s="1362"/>
    </row>
    <row r="13065" spans="1:12" x14ac:dyDescent="0.25">
      <c r="A13065">
        <v>92952</v>
      </c>
      <c r="B13065" t="s">
        <v>5568</v>
      </c>
      <c r="C13065" t="s">
        <v>138</v>
      </c>
      <c r="D13065" s="254">
        <v>132.6</v>
      </c>
      <c r="E13065"/>
      <c r="F13065"/>
      <c r="G13065"/>
      <c r="H13065"/>
      <c r="I13065" s="489"/>
      <c r="J13065" s="1362"/>
      <c r="K13065" s="1362"/>
      <c r="L13065" s="1362"/>
    </row>
    <row r="13066" spans="1:12" x14ac:dyDescent="0.25">
      <c r="A13066">
        <v>92953</v>
      </c>
      <c r="B13066" t="s">
        <v>5569</v>
      </c>
      <c r="C13066" t="s">
        <v>138</v>
      </c>
      <c r="D13066" s="254">
        <v>25.69</v>
      </c>
      <c r="E13066"/>
      <c r="F13066"/>
      <c r="G13066"/>
      <c r="H13066"/>
      <c r="I13066" s="489"/>
      <c r="J13066" s="1362"/>
      <c r="K13066" s="1362"/>
      <c r="L13066" s="1362"/>
    </row>
    <row r="13067" spans="1:12" x14ac:dyDescent="0.25">
      <c r="A13067">
        <v>93050</v>
      </c>
      <c r="B13067" t="s">
        <v>19200</v>
      </c>
      <c r="C13067" t="s">
        <v>138</v>
      </c>
      <c r="D13067" s="254">
        <v>11.05</v>
      </c>
      <c r="E13067"/>
      <c r="F13067"/>
      <c r="G13067"/>
      <c r="H13067"/>
      <c r="I13067" s="489"/>
      <c r="J13067" s="1362"/>
      <c r="K13067" s="1362"/>
      <c r="L13067" s="1362"/>
    </row>
    <row r="13068" spans="1:12" x14ac:dyDescent="0.25">
      <c r="A13068">
        <v>93052</v>
      </c>
      <c r="B13068" t="s">
        <v>19201</v>
      </c>
      <c r="C13068" t="s">
        <v>138</v>
      </c>
      <c r="D13068" s="254">
        <v>496.58</v>
      </c>
      <c r="E13068"/>
      <c r="F13068"/>
      <c r="G13068"/>
      <c r="H13068"/>
      <c r="I13068" s="489"/>
      <c r="J13068" s="1362"/>
      <c r="K13068" s="1362"/>
      <c r="L13068" s="1362"/>
    </row>
    <row r="13069" spans="1:12" x14ac:dyDescent="0.25">
      <c r="A13069">
        <v>93054</v>
      </c>
      <c r="B13069" t="s">
        <v>19202</v>
      </c>
      <c r="C13069" t="s">
        <v>138</v>
      </c>
      <c r="D13069" s="254">
        <v>21.82</v>
      </c>
      <c r="E13069"/>
      <c r="F13069"/>
      <c r="G13069"/>
      <c r="H13069"/>
      <c r="I13069" s="489"/>
      <c r="J13069" s="1362"/>
      <c r="K13069" s="1362"/>
      <c r="L13069" s="1362"/>
    </row>
    <row r="13070" spans="1:12" x14ac:dyDescent="0.25">
      <c r="A13070">
        <v>93055</v>
      </c>
      <c r="B13070" t="s">
        <v>19203</v>
      </c>
      <c r="C13070" t="s">
        <v>138</v>
      </c>
      <c r="D13070" s="254">
        <v>43.2</v>
      </c>
      <c r="E13070"/>
      <c r="F13070"/>
      <c r="G13070"/>
      <c r="H13070"/>
      <c r="I13070" s="489"/>
      <c r="J13070" s="1362"/>
      <c r="K13070" s="1362"/>
      <c r="L13070" s="1362"/>
    </row>
    <row r="13071" spans="1:12" x14ac:dyDescent="0.25">
      <c r="A13071">
        <v>93056</v>
      </c>
      <c r="B13071" t="s">
        <v>19204</v>
      </c>
      <c r="C13071" t="s">
        <v>138</v>
      </c>
      <c r="D13071" s="254">
        <v>16.47</v>
      </c>
      <c r="E13071"/>
      <c r="F13071"/>
      <c r="G13071"/>
      <c r="H13071"/>
      <c r="I13071" s="489"/>
      <c r="J13071" s="1362"/>
      <c r="K13071" s="1362"/>
      <c r="L13071" s="1362"/>
    </row>
    <row r="13072" spans="1:12" x14ac:dyDescent="0.25">
      <c r="A13072">
        <v>93057</v>
      </c>
      <c r="B13072" t="s">
        <v>19205</v>
      </c>
      <c r="C13072" t="s">
        <v>138</v>
      </c>
      <c r="D13072" s="254">
        <v>13.72</v>
      </c>
      <c r="E13072"/>
      <c r="F13072"/>
      <c r="G13072"/>
      <c r="H13072"/>
      <c r="I13072" s="489"/>
      <c r="J13072" s="1362"/>
      <c r="K13072" s="1362"/>
      <c r="L13072" s="1362"/>
    </row>
    <row r="13073" spans="1:12" x14ac:dyDescent="0.25">
      <c r="A13073">
        <v>93058</v>
      </c>
      <c r="B13073" t="s">
        <v>19206</v>
      </c>
      <c r="C13073" t="s">
        <v>138</v>
      </c>
      <c r="D13073" s="254">
        <v>546.38</v>
      </c>
      <c r="E13073"/>
      <c r="F13073"/>
      <c r="G13073"/>
      <c r="H13073"/>
      <c r="I13073" s="489"/>
      <c r="J13073" s="1362"/>
      <c r="K13073" s="1362"/>
      <c r="L13073" s="1362"/>
    </row>
    <row r="13074" spans="1:12" x14ac:dyDescent="0.25">
      <c r="A13074">
        <v>93059</v>
      </c>
      <c r="B13074" t="s">
        <v>19207</v>
      </c>
      <c r="C13074" t="s">
        <v>138</v>
      </c>
      <c r="D13074" s="254">
        <v>28.32</v>
      </c>
      <c r="E13074"/>
      <c r="F13074"/>
      <c r="G13074"/>
      <c r="H13074"/>
      <c r="I13074" s="489"/>
      <c r="J13074" s="1362"/>
      <c r="K13074" s="1362"/>
      <c r="L13074" s="1362"/>
    </row>
    <row r="13075" spans="1:12" x14ac:dyDescent="0.25">
      <c r="A13075">
        <v>93060</v>
      </c>
      <c r="B13075" t="s">
        <v>19208</v>
      </c>
      <c r="C13075" t="s">
        <v>138</v>
      </c>
      <c r="D13075" s="254">
        <v>75.59</v>
      </c>
      <c r="E13075"/>
      <c r="F13075"/>
      <c r="G13075"/>
      <c r="H13075"/>
      <c r="I13075" s="489"/>
      <c r="J13075" s="1362"/>
      <c r="K13075" s="1362"/>
      <c r="L13075" s="1362"/>
    </row>
    <row r="13076" spans="1:12" x14ac:dyDescent="0.25">
      <c r="A13076">
        <v>93061</v>
      </c>
      <c r="B13076" t="s">
        <v>19209</v>
      </c>
      <c r="C13076" t="s">
        <v>138</v>
      </c>
      <c r="D13076" s="254">
        <v>30.97</v>
      </c>
      <c r="E13076"/>
      <c r="F13076"/>
      <c r="G13076"/>
      <c r="H13076"/>
      <c r="I13076" s="489"/>
      <c r="J13076" s="1362"/>
      <c r="K13076" s="1362"/>
      <c r="L13076" s="1362"/>
    </row>
    <row r="13077" spans="1:12" x14ac:dyDescent="0.25">
      <c r="A13077">
        <v>93062</v>
      </c>
      <c r="B13077" t="s">
        <v>19210</v>
      </c>
      <c r="C13077" t="s">
        <v>138</v>
      </c>
      <c r="D13077" s="254">
        <v>26.14</v>
      </c>
      <c r="E13077"/>
      <c r="F13077"/>
      <c r="G13077"/>
      <c r="H13077"/>
      <c r="I13077" s="489"/>
      <c r="J13077" s="1362"/>
      <c r="K13077" s="1362"/>
      <c r="L13077" s="1362"/>
    </row>
    <row r="13078" spans="1:12" x14ac:dyDescent="0.25">
      <c r="A13078">
        <v>93063</v>
      </c>
      <c r="B13078" t="s">
        <v>19211</v>
      </c>
      <c r="C13078" t="s">
        <v>138</v>
      </c>
      <c r="D13078" s="254">
        <v>626.14</v>
      </c>
      <c r="E13078"/>
      <c r="F13078"/>
      <c r="G13078"/>
      <c r="H13078"/>
      <c r="I13078" s="489"/>
      <c r="J13078" s="1362"/>
      <c r="K13078" s="1362"/>
      <c r="L13078" s="1362"/>
    </row>
    <row r="13079" spans="1:12" x14ac:dyDescent="0.25">
      <c r="A13079">
        <v>93064</v>
      </c>
      <c r="B13079" t="s">
        <v>19212</v>
      </c>
      <c r="C13079" t="s">
        <v>138</v>
      </c>
      <c r="D13079" s="254">
        <v>47.39</v>
      </c>
      <c r="E13079"/>
      <c r="F13079"/>
      <c r="G13079"/>
      <c r="H13079"/>
      <c r="I13079" s="489"/>
      <c r="J13079" s="1362"/>
      <c r="K13079" s="1362"/>
      <c r="L13079" s="1362"/>
    </row>
    <row r="13080" spans="1:12" x14ac:dyDescent="0.25">
      <c r="A13080">
        <v>93065</v>
      </c>
      <c r="B13080" t="s">
        <v>19213</v>
      </c>
      <c r="C13080" t="s">
        <v>138</v>
      </c>
      <c r="D13080" s="254">
        <v>42.57</v>
      </c>
      <c r="E13080"/>
      <c r="F13080"/>
      <c r="G13080"/>
      <c r="H13080"/>
      <c r="I13080" s="489"/>
      <c r="J13080" s="1362"/>
      <c r="K13080" s="1362"/>
      <c r="L13080" s="1362"/>
    </row>
    <row r="13081" spans="1:12" x14ac:dyDescent="0.25">
      <c r="A13081">
        <v>93066</v>
      </c>
      <c r="B13081" t="s">
        <v>19214</v>
      </c>
      <c r="C13081" t="s">
        <v>138</v>
      </c>
      <c r="D13081" s="254">
        <v>785.76</v>
      </c>
      <c r="E13081"/>
      <c r="F13081"/>
      <c r="G13081"/>
      <c r="H13081"/>
      <c r="I13081" s="489"/>
      <c r="J13081" s="1362"/>
      <c r="K13081" s="1362"/>
      <c r="L13081" s="1362"/>
    </row>
    <row r="13082" spans="1:12" x14ac:dyDescent="0.25">
      <c r="A13082">
        <v>93067</v>
      </c>
      <c r="B13082" t="s">
        <v>19215</v>
      </c>
      <c r="C13082" t="s">
        <v>138</v>
      </c>
      <c r="D13082" s="254">
        <v>70.37</v>
      </c>
      <c r="E13082"/>
      <c r="F13082"/>
      <c r="G13082"/>
      <c r="H13082"/>
      <c r="I13082" s="489"/>
      <c r="J13082" s="1362"/>
      <c r="K13082" s="1362"/>
      <c r="L13082" s="1362"/>
    </row>
    <row r="13083" spans="1:12" x14ac:dyDescent="0.25">
      <c r="A13083">
        <v>93068</v>
      </c>
      <c r="B13083" t="s">
        <v>19216</v>
      </c>
      <c r="C13083" t="s">
        <v>138</v>
      </c>
      <c r="D13083" s="254">
        <v>59.86</v>
      </c>
      <c r="E13083"/>
      <c r="F13083"/>
      <c r="G13083"/>
      <c r="H13083"/>
      <c r="I13083" s="489"/>
      <c r="J13083" s="1362"/>
      <c r="K13083" s="1362"/>
      <c r="L13083" s="1362"/>
    </row>
    <row r="13084" spans="1:12" x14ac:dyDescent="0.25">
      <c r="A13084">
        <v>93069</v>
      </c>
      <c r="B13084" t="s">
        <v>19217</v>
      </c>
      <c r="C13084" t="s">
        <v>138</v>
      </c>
      <c r="D13084" s="254">
        <v>1089.1400000000001</v>
      </c>
      <c r="E13084"/>
      <c r="F13084"/>
      <c r="G13084"/>
      <c r="H13084"/>
      <c r="I13084" s="489"/>
      <c r="J13084" s="1362"/>
      <c r="K13084" s="1362"/>
      <c r="L13084" s="1362"/>
    </row>
    <row r="13085" spans="1:12" x14ac:dyDescent="0.25">
      <c r="A13085">
        <v>93070</v>
      </c>
      <c r="B13085" t="s">
        <v>19218</v>
      </c>
      <c r="C13085" t="s">
        <v>138</v>
      </c>
      <c r="D13085" s="254">
        <v>176.65</v>
      </c>
      <c r="E13085"/>
      <c r="F13085"/>
      <c r="G13085"/>
      <c r="H13085"/>
      <c r="I13085" s="489"/>
      <c r="J13085" s="1362"/>
      <c r="K13085" s="1362"/>
      <c r="L13085" s="1362"/>
    </row>
    <row r="13086" spans="1:12" x14ac:dyDescent="0.25">
      <c r="A13086">
        <v>93071</v>
      </c>
      <c r="B13086" t="s">
        <v>19219</v>
      </c>
      <c r="C13086" t="s">
        <v>138</v>
      </c>
      <c r="D13086" s="254">
        <v>162.38999999999999</v>
      </c>
      <c r="E13086"/>
      <c r="F13086"/>
      <c r="G13086"/>
      <c r="H13086"/>
      <c r="I13086" s="489"/>
      <c r="J13086" s="1362"/>
      <c r="K13086" s="1362"/>
      <c r="L13086" s="1362"/>
    </row>
    <row r="13087" spans="1:12" x14ac:dyDescent="0.25">
      <c r="A13087">
        <v>93072</v>
      </c>
      <c r="B13087" t="s">
        <v>19220</v>
      </c>
      <c r="C13087" t="s">
        <v>138</v>
      </c>
      <c r="D13087" s="254">
        <v>1437.3</v>
      </c>
      <c r="E13087"/>
      <c r="F13087"/>
      <c r="G13087"/>
      <c r="H13087"/>
      <c r="I13087" s="489"/>
      <c r="J13087" s="1362"/>
      <c r="K13087" s="1362"/>
      <c r="L13087" s="1362"/>
    </row>
    <row r="13088" spans="1:12" x14ac:dyDescent="0.25">
      <c r="A13088">
        <v>93074</v>
      </c>
      <c r="B13088" t="s">
        <v>19221</v>
      </c>
      <c r="C13088" t="s">
        <v>138</v>
      </c>
      <c r="D13088" s="254">
        <v>13.54</v>
      </c>
      <c r="E13088"/>
      <c r="F13088"/>
      <c r="G13088"/>
      <c r="H13088"/>
      <c r="I13088" s="489"/>
      <c r="J13088" s="1362"/>
      <c r="K13088" s="1362"/>
      <c r="L13088" s="1362"/>
    </row>
    <row r="13089" spans="1:12" x14ac:dyDescent="0.25">
      <c r="A13089">
        <v>93075</v>
      </c>
      <c r="B13089" t="s">
        <v>19222</v>
      </c>
      <c r="C13089" t="s">
        <v>138</v>
      </c>
      <c r="D13089" s="254">
        <v>19.36</v>
      </c>
      <c r="E13089"/>
      <c r="F13089"/>
      <c r="G13089"/>
      <c r="H13089"/>
      <c r="I13089" s="489"/>
      <c r="J13089" s="1362"/>
      <c r="K13089" s="1362"/>
      <c r="L13089" s="1362"/>
    </row>
    <row r="13090" spans="1:12" x14ac:dyDescent="0.25">
      <c r="A13090">
        <v>93076</v>
      </c>
      <c r="B13090" t="s">
        <v>19223</v>
      </c>
      <c r="C13090" t="s">
        <v>138</v>
      </c>
      <c r="D13090" s="254">
        <v>21.27</v>
      </c>
      <c r="E13090"/>
      <c r="F13090"/>
      <c r="G13090"/>
      <c r="H13090"/>
      <c r="I13090" s="489"/>
      <c r="J13090" s="1362"/>
      <c r="K13090" s="1362"/>
      <c r="L13090" s="1362"/>
    </row>
    <row r="13091" spans="1:12" x14ac:dyDescent="0.25">
      <c r="A13091">
        <v>93077</v>
      </c>
      <c r="B13091" t="s">
        <v>19224</v>
      </c>
      <c r="C13091" t="s">
        <v>138</v>
      </c>
      <c r="D13091" s="254">
        <v>27.22</v>
      </c>
      <c r="E13091"/>
      <c r="F13091"/>
      <c r="G13091"/>
      <c r="H13091"/>
      <c r="I13091" s="489"/>
      <c r="J13091" s="1362"/>
      <c r="K13091" s="1362"/>
      <c r="L13091" s="1362"/>
    </row>
    <row r="13092" spans="1:12" x14ac:dyDescent="0.25">
      <c r="A13092">
        <v>93078</v>
      </c>
      <c r="B13092" t="s">
        <v>19225</v>
      </c>
      <c r="C13092" t="s">
        <v>138</v>
      </c>
      <c r="D13092" s="254">
        <v>30.65</v>
      </c>
      <c r="E13092"/>
      <c r="F13092"/>
      <c r="G13092"/>
      <c r="H13092"/>
      <c r="I13092" s="489"/>
      <c r="J13092" s="1362"/>
      <c r="K13092" s="1362"/>
      <c r="L13092" s="1362"/>
    </row>
    <row r="13093" spans="1:12" x14ac:dyDescent="0.25">
      <c r="A13093">
        <v>93079</v>
      </c>
      <c r="B13093" t="s">
        <v>19226</v>
      </c>
      <c r="C13093" t="s">
        <v>138</v>
      </c>
      <c r="D13093" s="254">
        <v>29.33</v>
      </c>
      <c r="E13093"/>
      <c r="F13093"/>
      <c r="G13093"/>
      <c r="H13093"/>
      <c r="I13093" s="489"/>
      <c r="J13093" s="1362"/>
      <c r="K13093" s="1362"/>
      <c r="L13093" s="1362"/>
    </row>
    <row r="13094" spans="1:12" x14ac:dyDescent="0.25">
      <c r="A13094">
        <v>93080</v>
      </c>
      <c r="B13094" t="s">
        <v>19227</v>
      </c>
      <c r="C13094" t="s">
        <v>138</v>
      </c>
      <c r="D13094" s="254">
        <v>8.83</v>
      </c>
      <c r="E13094"/>
      <c r="F13094"/>
      <c r="G13094"/>
      <c r="H13094"/>
      <c r="I13094" s="489"/>
      <c r="J13094" s="1362"/>
      <c r="K13094" s="1362"/>
      <c r="L13094" s="1362"/>
    </row>
    <row r="13095" spans="1:12" x14ac:dyDescent="0.25">
      <c r="A13095">
        <v>93081</v>
      </c>
      <c r="B13095" t="s">
        <v>19228</v>
      </c>
      <c r="C13095" t="s">
        <v>138</v>
      </c>
      <c r="D13095" s="254">
        <v>18.16</v>
      </c>
      <c r="E13095"/>
      <c r="F13095"/>
      <c r="G13095"/>
      <c r="H13095"/>
      <c r="I13095" s="489"/>
      <c r="J13095" s="1362"/>
      <c r="K13095" s="1362"/>
      <c r="L13095" s="1362"/>
    </row>
    <row r="13096" spans="1:12" x14ac:dyDescent="0.25">
      <c r="A13096">
        <v>93082</v>
      </c>
      <c r="B13096" t="s">
        <v>19229</v>
      </c>
      <c r="C13096" t="s">
        <v>138</v>
      </c>
      <c r="D13096" s="254">
        <v>23.47</v>
      </c>
      <c r="E13096"/>
      <c r="F13096"/>
      <c r="G13096"/>
      <c r="H13096"/>
      <c r="I13096" s="489"/>
      <c r="J13096" s="1362"/>
      <c r="K13096" s="1362"/>
      <c r="L13096" s="1362"/>
    </row>
    <row r="13097" spans="1:12" x14ac:dyDescent="0.25">
      <c r="A13097">
        <v>93083</v>
      </c>
      <c r="B13097" t="s">
        <v>19230</v>
      </c>
      <c r="C13097" t="s">
        <v>138</v>
      </c>
      <c r="D13097" s="254">
        <v>430.28</v>
      </c>
      <c r="E13097"/>
      <c r="F13097"/>
      <c r="G13097"/>
      <c r="H13097"/>
      <c r="I13097" s="489"/>
      <c r="J13097" s="1362"/>
      <c r="K13097" s="1362"/>
      <c r="L13097" s="1362"/>
    </row>
    <row r="13098" spans="1:12" x14ac:dyDescent="0.25">
      <c r="A13098">
        <v>93084</v>
      </c>
      <c r="B13098" t="s">
        <v>19231</v>
      </c>
      <c r="C13098" t="s">
        <v>138</v>
      </c>
      <c r="D13098" s="254">
        <v>13.97</v>
      </c>
      <c r="E13098"/>
      <c r="F13098"/>
      <c r="G13098"/>
      <c r="H13098"/>
      <c r="I13098" s="489"/>
      <c r="J13098" s="1362"/>
      <c r="K13098" s="1362"/>
      <c r="L13098" s="1362"/>
    </row>
    <row r="13099" spans="1:12" x14ac:dyDescent="0.25">
      <c r="A13099">
        <v>93085</v>
      </c>
      <c r="B13099" t="s">
        <v>19232</v>
      </c>
      <c r="C13099" t="s">
        <v>138</v>
      </c>
      <c r="D13099" s="254">
        <v>15.21</v>
      </c>
      <c r="E13099"/>
      <c r="F13099"/>
      <c r="G13099"/>
      <c r="H13099"/>
      <c r="I13099" s="489"/>
      <c r="J13099" s="1362"/>
      <c r="K13099" s="1362"/>
      <c r="L13099" s="1362"/>
    </row>
    <row r="13100" spans="1:12" x14ac:dyDescent="0.25">
      <c r="A13100">
        <v>93086</v>
      </c>
      <c r="B13100" t="s">
        <v>19233</v>
      </c>
      <c r="C13100" t="s">
        <v>138</v>
      </c>
      <c r="D13100" s="254">
        <v>499.5</v>
      </c>
      <c r="E13100"/>
      <c r="F13100"/>
      <c r="G13100"/>
      <c r="H13100"/>
      <c r="I13100" s="489"/>
      <c r="J13100" s="1362"/>
      <c r="K13100" s="1362"/>
      <c r="L13100" s="1362"/>
    </row>
    <row r="13101" spans="1:12" x14ac:dyDescent="0.25">
      <c r="A13101">
        <v>93087</v>
      </c>
      <c r="B13101" t="s">
        <v>19234</v>
      </c>
      <c r="C13101" t="s">
        <v>138</v>
      </c>
      <c r="D13101" s="254">
        <v>19.05</v>
      </c>
      <c r="E13101"/>
      <c r="F13101"/>
      <c r="G13101"/>
      <c r="H13101"/>
      <c r="I13101" s="489"/>
      <c r="J13101" s="1362"/>
      <c r="K13101" s="1362"/>
      <c r="L13101" s="1362"/>
    </row>
    <row r="13102" spans="1:12" x14ac:dyDescent="0.25">
      <c r="A13102">
        <v>93088</v>
      </c>
      <c r="B13102" t="s">
        <v>19235</v>
      </c>
      <c r="C13102" t="s">
        <v>138</v>
      </c>
      <c r="D13102" s="254">
        <v>23.57</v>
      </c>
      <c r="E13102"/>
      <c r="F13102"/>
      <c r="G13102"/>
      <c r="H13102"/>
      <c r="I13102" s="489"/>
      <c r="J13102" s="1362"/>
      <c r="K13102" s="1362"/>
      <c r="L13102" s="1362"/>
    </row>
    <row r="13103" spans="1:12" x14ac:dyDescent="0.25">
      <c r="A13103">
        <v>93089</v>
      </c>
      <c r="B13103" t="s">
        <v>19236</v>
      </c>
      <c r="C13103" t="s">
        <v>138</v>
      </c>
      <c r="D13103" s="254">
        <v>46.12</v>
      </c>
      <c r="E13103"/>
      <c r="F13103"/>
      <c r="G13103"/>
      <c r="H13103"/>
      <c r="I13103" s="489"/>
      <c r="J13103" s="1362"/>
      <c r="K13103" s="1362"/>
      <c r="L13103" s="1362"/>
    </row>
    <row r="13104" spans="1:12" x14ac:dyDescent="0.25">
      <c r="A13104">
        <v>93090</v>
      </c>
      <c r="B13104" t="s">
        <v>19237</v>
      </c>
      <c r="C13104" t="s">
        <v>138</v>
      </c>
      <c r="D13104" s="254">
        <v>19.18</v>
      </c>
      <c r="E13104"/>
      <c r="F13104"/>
      <c r="G13104"/>
      <c r="H13104"/>
      <c r="I13104" s="489"/>
      <c r="J13104" s="1362"/>
      <c r="K13104" s="1362"/>
      <c r="L13104" s="1362"/>
    </row>
    <row r="13105" spans="1:12" x14ac:dyDescent="0.25">
      <c r="A13105">
        <v>93091</v>
      </c>
      <c r="B13105" t="s">
        <v>19238</v>
      </c>
      <c r="C13105" t="s">
        <v>138</v>
      </c>
      <c r="D13105" s="254">
        <v>16.54</v>
      </c>
      <c r="E13105"/>
      <c r="F13105"/>
      <c r="G13105"/>
      <c r="H13105"/>
      <c r="I13105" s="489"/>
      <c r="J13105" s="1362"/>
      <c r="K13105" s="1362"/>
      <c r="L13105" s="1362"/>
    </row>
    <row r="13106" spans="1:12" x14ac:dyDescent="0.25">
      <c r="A13106">
        <v>93092</v>
      </c>
      <c r="B13106" t="s">
        <v>19239</v>
      </c>
      <c r="C13106" t="s">
        <v>138</v>
      </c>
      <c r="D13106" s="254">
        <v>549.09</v>
      </c>
      <c r="E13106"/>
      <c r="F13106"/>
      <c r="G13106"/>
      <c r="H13106"/>
      <c r="I13106" s="489"/>
      <c r="J13106" s="1362"/>
      <c r="K13106" s="1362"/>
      <c r="L13106" s="1362"/>
    </row>
    <row r="13107" spans="1:12" x14ac:dyDescent="0.25">
      <c r="A13107">
        <v>93093</v>
      </c>
      <c r="B13107" t="s">
        <v>19240</v>
      </c>
      <c r="C13107" t="s">
        <v>138</v>
      </c>
      <c r="D13107" s="254">
        <v>29.68</v>
      </c>
      <c r="E13107"/>
      <c r="F13107"/>
      <c r="G13107"/>
      <c r="H13107"/>
      <c r="I13107" s="489"/>
      <c r="J13107" s="1362"/>
      <c r="K13107" s="1362"/>
      <c r="L13107" s="1362"/>
    </row>
    <row r="13108" spans="1:12" x14ac:dyDescent="0.25">
      <c r="A13108">
        <v>93094</v>
      </c>
      <c r="B13108" t="s">
        <v>19241</v>
      </c>
      <c r="C13108" t="s">
        <v>138</v>
      </c>
      <c r="D13108" s="254">
        <v>78.3</v>
      </c>
      <c r="E13108"/>
      <c r="F13108"/>
      <c r="G13108"/>
      <c r="H13108"/>
      <c r="I13108" s="489"/>
      <c r="J13108" s="1362"/>
      <c r="K13108" s="1362"/>
      <c r="L13108" s="1362"/>
    </row>
    <row r="13109" spans="1:12" x14ac:dyDescent="0.25">
      <c r="A13109">
        <v>93097</v>
      </c>
      <c r="B13109" t="s">
        <v>19242</v>
      </c>
      <c r="C13109" t="s">
        <v>138</v>
      </c>
      <c r="D13109" s="254">
        <v>13.82</v>
      </c>
      <c r="E13109"/>
      <c r="F13109"/>
      <c r="G13109"/>
      <c r="H13109"/>
      <c r="I13109" s="489"/>
      <c r="J13109" s="1362"/>
      <c r="K13109" s="1362"/>
      <c r="L13109" s="1362"/>
    </row>
    <row r="13110" spans="1:12" x14ac:dyDescent="0.25">
      <c r="A13110">
        <v>93098</v>
      </c>
      <c r="B13110" t="s">
        <v>19243</v>
      </c>
      <c r="C13110" t="s">
        <v>138</v>
      </c>
      <c r="D13110" s="254">
        <v>19.489999999999998</v>
      </c>
      <c r="E13110"/>
      <c r="F13110"/>
      <c r="G13110"/>
      <c r="H13110"/>
      <c r="I13110" s="489"/>
      <c r="J13110" s="1362"/>
      <c r="K13110" s="1362"/>
      <c r="L13110" s="1362"/>
    </row>
    <row r="13111" spans="1:12" x14ac:dyDescent="0.25">
      <c r="A13111">
        <v>93099</v>
      </c>
      <c r="B13111" t="s">
        <v>19244</v>
      </c>
      <c r="C13111" t="s">
        <v>138</v>
      </c>
      <c r="D13111" s="254">
        <v>24.51</v>
      </c>
      <c r="E13111"/>
      <c r="F13111"/>
      <c r="G13111"/>
      <c r="H13111"/>
      <c r="I13111" s="489"/>
      <c r="J13111" s="1362"/>
      <c r="K13111" s="1362"/>
      <c r="L13111" s="1362"/>
    </row>
    <row r="13112" spans="1:12" x14ac:dyDescent="0.25">
      <c r="A13112">
        <v>93100</v>
      </c>
      <c r="B13112" t="s">
        <v>19245</v>
      </c>
      <c r="C13112" t="s">
        <v>138</v>
      </c>
      <c r="D13112" s="254">
        <v>28.83</v>
      </c>
      <c r="E13112"/>
      <c r="F13112"/>
      <c r="G13112"/>
      <c r="H13112"/>
      <c r="I13112" s="489"/>
      <c r="J13112" s="1362"/>
      <c r="K13112" s="1362"/>
      <c r="L13112" s="1362"/>
    </row>
    <row r="13113" spans="1:12" x14ac:dyDescent="0.25">
      <c r="A13113">
        <v>93101</v>
      </c>
      <c r="B13113" t="s">
        <v>19246</v>
      </c>
      <c r="C13113" t="s">
        <v>138</v>
      </c>
      <c r="D13113" s="254">
        <v>32.270000000000003</v>
      </c>
      <c r="E13113"/>
      <c r="F13113"/>
      <c r="G13113"/>
      <c r="H13113"/>
      <c r="I13113" s="489"/>
      <c r="J13113" s="1362"/>
      <c r="K13113" s="1362"/>
      <c r="L13113" s="1362"/>
    </row>
    <row r="13114" spans="1:12" x14ac:dyDescent="0.25">
      <c r="A13114">
        <v>93102</v>
      </c>
      <c r="B13114" t="s">
        <v>19247</v>
      </c>
      <c r="C13114" t="s">
        <v>138</v>
      </c>
      <c r="D13114" s="254">
        <v>35.11</v>
      </c>
      <c r="E13114"/>
      <c r="F13114"/>
      <c r="G13114"/>
      <c r="H13114"/>
      <c r="I13114" s="489"/>
      <c r="J13114" s="1362"/>
      <c r="K13114" s="1362"/>
      <c r="L13114" s="1362"/>
    </row>
    <row r="13115" spans="1:12" x14ac:dyDescent="0.25">
      <c r="A13115">
        <v>93103</v>
      </c>
      <c r="B13115" t="s">
        <v>19248</v>
      </c>
      <c r="C13115" t="s">
        <v>138</v>
      </c>
      <c r="D13115" s="254">
        <v>9.01</v>
      </c>
      <c r="E13115"/>
      <c r="F13115"/>
      <c r="G13115"/>
      <c r="H13115"/>
      <c r="I13115" s="489"/>
      <c r="J13115" s="1362"/>
      <c r="K13115" s="1362"/>
      <c r="L13115" s="1362"/>
    </row>
    <row r="13116" spans="1:12" x14ac:dyDescent="0.25">
      <c r="A13116">
        <v>93104</v>
      </c>
      <c r="B13116" t="s">
        <v>19249</v>
      </c>
      <c r="C13116" t="s">
        <v>138</v>
      </c>
      <c r="D13116" s="254">
        <v>18.25</v>
      </c>
      <c r="E13116"/>
      <c r="F13116"/>
      <c r="G13116"/>
      <c r="H13116"/>
      <c r="I13116" s="489"/>
      <c r="J13116" s="1362"/>
      <c r="K13116" s="1362"/>
      <c r="L13116" s="1362"/>
    </row>
    <row r="13117" spans="1:12" x14ac:dyDescent="0.25">
      <c r="A13117">
        <v>93105</v>
      </c>
      <c r="B13117" t="s">
        <v>19250</v>
      </c>
      <c r="C13117" t="s">
        <v>138</v>
      </c>
      <c r="D13117" s="254">
        <v>23.65</v>
      </c>
      <c r="E13117"/>
      <c r="F13117"/>
      <c r="G13117"/>
      <c r="H13117"/>
      <c r="I13117" s="489"/>
      <c r="J13117" s="1362"/>
      <c r="K13117" s="1362"/>
      <c r="L13117" s="1362"/>
    </row>
    <row r="13118" spans="1:12" x14ac:dyDescent="0.25">
      <c r="A13118">
        <v>93106</v>
      </c>
      <c r="B13118" t="s">
        <v>19251</v>
      </c>
      <c r="C13118" t="s">
        <v>138</v>
      </c>
      <c r="D13118" s="254">
        <v>430.46</v>
      </c>
      <c r="E13118"/>
      <c r="F13118"/>
      <c r="G13118"/>
      <c r="H13118"/>
      <c r="I13118" s="489"/>
      <c r="J13118" s="1362"/>
      <c r="K13118" s="1362"/>
      <c r="L13118" s="1362"/>
    </row>
    <row r="13119" spans="1:12" x14ac:dyDescent="0.25">
      <c r="A13119">
        <v>93107</v>
      </c>
      <c r="B13119" t="s">
        <v>19252</v>
      </c>
      <c r="C13119" t="s">
        <v>138</v>
      </c>
      <c r="D13119" s="254">
        <v>16.149999999999999</v>
      </c>
      <c r="E13119"/>
      <c r="F13119"/>
      <c r="G13119"/>
      <c r="H13119"/>
      <c r="I13119" s="489"/>
      <c r="J13119" s="1362"/>
      <c r="K13119" s="1362"/>
      <c r="L13119" s="1362"/>
    </row>
    <row r="13120" spans="1:12" x14ac:dyDescent="0.25">
      <c r="A13120">
        <v>93108</v>
      </c>
      <c r="B13120" t="s">
        <v>19253</v>
      </c>
      <c r="C13120" t="s">
        <v>138</v>
      </c>
      <c r="D13120" s="254">
        <v>13.6</v>
      </c>
      <c r="E13120"/>
      <c r="F13120"/>
      <c r="G13120"/>
      <c r="H13120"/>
      <c r="I13120" s="489"/>
      <c r="J13120" s="1362"/>
      <c r="K13120" s="1362"/>
      <c r="L13120" s="1362"/>
    </row>
    <row r="13121" spans="1:12" x14ac:dyDescent="0.25">
      <c r="A13121">
        <v>93109</v>
      </c>
      <c r="B13121" t="s">
        <v>19254</v>
      </c>
      <c r="C13121" t="s">
        <v>138</v>
      </c>
      <c r="D13121" s="254">
        <v>501.68</v>
      </c>
      <c r="E13121"/>
      <c r="F13121"/>
      <c r="G13121"/>
      <c r="H13121"/>
      <c r="I13121" s="489"/>
      <c r="J13121" s="1362"/>
      <c r="K13121" s="1362"/>
      <c r="L13121" s="1362"/>
    </row>
    <row r="13122" spans="1:12" x14ac:dyDescent="0.25">
      <c r="A13122">
        <v>93110</v>
      </c>
      <c r="B13122" t="s">
        <v>19255</v>
      </c>
      <c r="C13122" t="s">
        <v>138</v>
      </c>
      <c r="D13122" s="254">
        <v>20.13</v>
      </c>
      <c r="E13122"/>
      <c r="F13122"/>
      <c r="G13122"/>
      <c r="H13122"/>
      <c r="I13122" s="489"/>
      <c r="J13122" s="1362"/>
      <c r="K13122" s="1362"/>
      <c r="L13122" s="1362"/>
    </row>
    <row r="13123" spans="1:12" x14ac:dyDescent="0.25">
      <c r="A13123">
        <v>93111</v>
      </c>
      <c r="B13123" t="s">
        <v>19256</v>
      </c>
      <c r="C13123" t="s">
        <v>138</v>
      </c>
      <c r="D13123" s="254">
        <v>24.37</v>
      </c>
      <c r="E13123"/>
      <c r="F13123"/>
      <c r="G13123"/>
      <c r="H13123"/>
      <c r="I13123" s="489"/>
      <c r="J13123" s="1362"/>
      <c r="K13123" s="1362"/>
      <c r="L13123" s="1362"/>
    </row>
    <row r="13124" spans="1:12" x14ac:dyDescent="0.25">
      <c r="A13124">
        <v>93112</v>
      </c>
      <c r="B13124" t="s">
        <v>19257</v>
      </c>
      <c r="C13124" t="s">
        <v>138</v>
      </c>
      <c r="D13124" s="254">
        <v>48.3</v>
      </c>
      <c r="E13124"/>
      <c r="F13124"/>
      <c r="G13124"/>
      <c r="H13124"/>
      <c r="I13124" s="489"/>
      <c r="J13124" s="1362"/>
      <c r="K13124" s="1362"/>
      <c r="L13124" s="1362"/>
    </row>
    <row r="13125" spans="1:12" x14ac:dyDescent="0.25">
      <c r="A13125">
        <v>93113</v>
      </c>
      <c r="B13125" t="s">
        <v>19258</v>
      </c>
      <c r="C13125" t="s">
        <v>138</v>
      </c>
      <c r="D13125" s="254">
        <v>23.05</v>
      </c>
      <c r="E13125"/>
      <c r="F13125"/>
      <c r="G13125"/>
      <c r="H13125"/>
      <c r="I13125" s="489"/>
      <c r="J13125" s="1362"/>
      <c r="K13125" s="1362"/>
      <c r="L13125" s="1362"/>
    </row>
    <row r="13126" spans="1:12" x14ac:dyDescent="0.25">
      <c r="A13126">
        <v>93114</v>
      </c>
      <c r="B13126" t="s">
        <v>19259</v>
      </c>
      <c r="C13126" t="s">
        <v>138</v>
      </c>
      <c r="D13126" s="254">
        <v>31.62</v>
      </c>
      <c r="E13126"/>
      <c r="F13126"/>
      <c r="G13126"/>
      <c r="H13126"/>
      <c r="I13126" s="489"/>
      <c r="J13126" s="1362"/>
      <c r="K13126" s="1362"/>
      <c r="L13126" s="1362"/>
    </row>
    <row r="13127" spans="1:12" x14ac:dyDescent="0.25">
      <c r="A13127">
        <v>93115</v>
      </c>
      <c r="B13127" t="s">
        <v>19260</v>
      </c>
      <c r="C13127" t="s">
        <v>138</v>
      </c>
      <c r="D13127" s="254">
        <v>82.17</v>
      </c>
      <c r="E13127"/>
      <c r="F13127"/>
      <c r="G13127"/>
      <c r="H13127"/>
      <c r="I13127" s="489"/>
      <c r="J13127" s="1362"/>
      <c r="K13127" s="1362"/>
      <c r="L13127" s="1362"/>
    </row>
    <row r="13128" spans="1:12" x14ac:dyDescent="0.25">
      <c r="A13128">
        <v>93116</v>
      </c>
      <c r="B13128" t="s">
        <v>19261</v>
      </c>
      <c r="C13128" t="s">
        <v>138</v>
      </c>
      <c r="D13128" s="254">
        <v>552.96</v>
      </c>
      <c r="E13128"/>
      <c r="F13128"/>
      <c r="G13128"/>
      <c r="H13128"/>
      <c r="I13128" s="489"/>
      <c r="J13128" s="1362"/>
      <c r="K13128" s="1362"/>
      <c r="L13128" s="1362"/>
    </row>
    <row r="13129" spans="1:12" x14ac:dyDescent="0.25">
      <c r="A13129">
        <v>93117</v>
      </c>
      <c r="B13129" t="s">
        <v>19262</v>
      </c>
      <c r="C13129" t="s">
        <v>138</v>
      </c>
      <c r="D13129" s="254">
        <v>56.13</v>
      </c>
      <c r="E13129"/>
      <c r="F13129"/>
      <c r="G13129"/>
      <c r="H13129"/>
      <c r="I13129" s="489"/>
      <c r="J13129" s="1362"/>
      <c r="K13129" s="1362"/>
      <c r="L13129" s="1362"/>
    </row>
    <row r="13130" spans="1:12" x14ac:dyDescent="0.25">
      <c r="A13130">
        <v>93118</v>
      </c>
      <c r="B13130" t="s">
        <v>19263</v>
      </c>
      <c r="C13130" t="s">
        <v>138</v>
      </c>
      <c r="D13130" s="254">
        <v>82.8</v>
      </c>
      <c r="E13130"/>
      <c r="F13130"/>
      <c r="G13130"/>
      <c r="H13130"/>
      <c r="I13130" s="489"/>
      <c r="J13130" s="1362"/>
      <c r="K13130" s="1362"/>
      <c r="L13130" s="1362"/>
    </row>
    <row r="13131" spans="1:12" x14ac:dyDescent="0.25">
      <c r="A13131">
        <v>93119</v>
      </c>
      <c r="B13131" t="s">
        <v>19264</v>
      </c>
      <c r="C13131" t="s">
        <v>138</v>
      </c>
      <c r="D13131" s="254">
        <v>16.899999999999999</v>
      </c>
      <c r="E13131"/>
      <c r="F13131"/>
      <c r="G13131"/>
      <c r="H13131"/>
      <c r="I13131" s="489"/>
      <c r="J13131" s="1362"/>
      <c r="K13131" s="1362"/>
      <c r="L13131" s="1362"/>
    </row>
    <row r="13132" spans="1:12" x14ac:dyDescent="0.25">
      <c r="A13132">
        <v>93120</v>
      </c>
      <c r="B13132" t="s">
        <v>19265</v>
      </c>
      <c r="C13132" t="s">
        <v>138</v>
      </c>
      <c r="D13132" s="254">
        <v>25.03</v>
      </c>
      <c r="E13132"/>
      <c r="F13132"/>
      <c r="G13132"/>
      <c r="H13132"/>
      <c r="I13132" s="489"/>
      <c r="J13132" s="1362"/>
      <c r="K13132" s="1362"/>
      <c r="L13132" s="1362"/>
    </row>
    <row r="13133" spans="1:12" x14ac:dyDescent="0.25">
      <c r="A13133">
        <v>93121</v>
      </c>
      <c r="B13133" t="s">
        <v>19266</v>
      </c>
      <c r="C13133" t="s">
        <v>138</v>
      </c>
      <c r="D13133" s="254">
        <v>28.47</v>
      </c>
      <c r="E13133"/>
      <c r="F13133"/>
      <c r="G13133"/>
      <c r="H13133"/>
      <c r="I13133" s="489"/>
      <c r="J13133" s="1362"/>
      <c r="K13133" s="1362"/>
      <c r="L13133" s="1362"/>
    </row>
    <row r="13134" spans="1:12" x14ac:dyDescent="0.25">
      <c r="A13134">
        <v>93122</v>
      </c>
      <c r="B13134" t="s">
        <v>19267</v>
      </c>
      <c r="C13134" t="s">
        <v>138</v>
      </c>
      <c r="D13134" s="254">
        <v>25.29</v>
      </c>
      <c r="E13134"/>
      <c r="F13134"/>
      <c r="G13134"/>
      <c r="H13134"/>
      <c r="I13134" s="489"/>
      <c r="J13134" s="1362"/>
      <c r="K13134" s="1362"/>
      <c r="L13134" s="1362"/>
    </row>
    <row r="13135" spans="1:12" x14ac:dyDescent="0.25">
      <c r="A13135">
        <v>93123</v>
      </c>
      <c r="B13135" t="s">
        <v>19268</v>
      </c>
      <c r="C13135" t="s">
        <v>138</v>
      </c>
      <c r="D13135" s="254">
        <v>55.85</v>
      </c>
      <c r="E13135"/>
      <c r="F13135"/>
      <c r="G13135"/>
      <c r="H13135"/>
      <c r="I13135" s="489"/>
      <c r="J13135" s="1362"/>
      <c r="K13135" s="1362"/>
      <c r="L13135" s="1362"/>
    </row>
    <row r="13136" spans="1:12" x14ac:dyDescent="0.25">
      <c r="A13136">
        <v>93124</v>
      </c>
      <c r="B13136" t="s">
        <v>19269</v>
      </c>
      <c r="C13136" t="s">
        <v>138</v>
      </c>
      <c r="D13136" s="254">
        <v>87.43</v>
      </c>
      <c r="E13136"/>
      <c r="F13136"/>
      <c r="G13136"/>
      <c r="H13136"/>
      <c r="I13136" s="489"/>
      <c r="J13136" s="1362"/>
      <c r="K13136" s="1362"/>
      <c r="L13136" s="1362"/>
    </row>
    <row r="13137" spans="1:12" x14ac:dyDescent="0.25">
      <c r="A13137">
        <v>93125</v>
      </c>
      <c r="B13137" t="s">
        <v>19270</v>
      </c>
      <c r="C13137" t="s">
        <v>138</v>
      </c>
      <c r="D13137" s="254">
        <v>128.4</v>
      </c>
      <c r="E13137"/>
      <c r="F13137"/>
      <c r="G13137"/>
      <c r="H13137"/>
      <c r="I13137" s="489"/>
      <c r="J13137" s="1362"/>
      <c r="K13137" s="1362"/>
      <c r="L13137" s="1362"/>
    </row>
    <row r="13138" spans="1:12" x14ac:dyDescent="0.25">
      <c r="A13138">
        <v>93126</v>
      </c>
      <c r="B13138" t="s">
        <v>19271</v>
      </c>
      <c r="C13138" t="s">
        <v>138</v>
      </c>
      <c r="D13138" s="254">
        <v>282.58</v>
      </c>
      <c r="E13138"/>
      <c r="F13138"/>
      <c r="G13138"/>
      <c r="H13138"/>
      <c r="I13138" s="489"/>
      <c r="J13138" s="1362"/>
      <c r="K13138" s="1362"/>
      <c r="L13138" s="1362"/>
    </row>
    <row r="13139" spans="1:12" x14ac:dyDescent="0.25">
      <c r="A13139">
        <v>93133</v>
      </c>
      <c r="B13139" t="s">
        <v>19272</v>
      </c>
      <c r="C13139" t="s">
        <v>138</v>
      </c>
      <c r="D13139" s="254">
        <v>19.559999999999999</v>
      </c>
      <c r="E13139"/>
      <c r="F13139"/>
      <c r="G13139"/>
      <c r="H13139"/>
      <c r="I13139" s="489"/>
      <c r="J13139" s="1362"/>
      <c r="K13139" s="1362"/>
      <c r="L13139" s="1362"/>
    </row>
    <row r="13140" spans="1:12" x14ac:dyDescent="0.25">
      <c r="A13140">
        <v>94465</v>
      </c>
      <c r="B13140" t="s">
        <v>1603</v>
      </c>
      <c r="C13140" t="s">
        <v>138</v>
      </c>
      <c r="D13140" s="254">
        <v>55.32</v>
      </c>
      <c r="E13140"/>
      <c r="F13140"/>
      <c r="G13140"/>
      <c r="H13140"/>
      <c r="I13140" s="489"/>
      <c r="J13140" s="1362"/>
      <c r="K13140" s="1362"/>
      <c r="L13140" s="1362"/>
    </row>
    <row r="13141" spans="1:12" x14ac:dyDescent="0.25">
      <c r="A13141">
        <v>94466</v>
      </c>
      <c r="B13141" t="s">
        <v>1604</v>
      </c>
      <c r="C13141" t="s">
        <v>138</v>
      </c>
      <c r="D13141" s="254">
        <v>55.35</v>
      </c>
      <c r="E13141"/>
      <c r="F13141"/>
      <c r="G13141"/>
      <c r="H13141"/>
      <c r="I13141" s="489"/>
      <c r="J13141" s="1362"/>
      <c r="K13141" s="1362"/>
      <c r="L13141" s="1362"/>
    </row>
    <row r="13142" spans="1:12" x14ac:dyDescent="0.25">
      <c r="A13142">
        <v>94467</v>
      </c>
      <c r="B13142" t="s">
        <v>1605</v>
      </c>
      <c r="C13142" t="s">
        <v>138</v>
      </c>
      <c r="D13142" s="254">
        <v>85.68</v>
      </c>
      <c r="E13142"/>
      <c r="F13142"/>
      <c r="G13142"/>
      <c r="H13142"/>
      <c r="I13142" s="489"/>
      <c r="J13142" s="1362"/>
      <c r="K13142" s="1362"/>
      <c r="L13142" s="1362"/>
    </row>
    <row r="13143" spans="1:12" x14ac:dyDescent="0.25">
      <c r="A13143">
        <v>94468</v>
      </c>
      <c r="B13143" t="s">
        <v>1606</v>
      </c>
      <c r="C13143" t="s">
        <v>138</v>
      </c>
      <c r="D13143" s="254">
        <v>74.900000000000006</v>
      </c>
      <c r="E13143"/>
      <c r="F13143"/>
      <c r="G13143"/>
      <c r="H13143"/>
      <c r="I13143" s="489"/>
      <c r="J13143" s="1362"/>
      <c r="K13143" s="1362"/>
      <c r="L13143" s="1362"/>
    </row>
    <row r="13144" spans="1:12" x14ac:dyDescent="0.25">
      <c r="A13144">
        <v>94469</v>
      </c>
      <c r="B13144" t="s">
        <v>1607</v>
      </c>
      <c r="C13144" t="s">
        <v>138</v>
      </c>
      <c r="D13144" s="254">
        <v>124.49</v>
      </c>
      <c r="E13144"/>
      <c r="F13144"/>
      <c r="G13144"/>
      <c r="H13144"/>
      <c r="I13144" s="489"/>
      <c r="J13144" s="1362"/>
      <c r="K13144" s="1362"/>
      <c r="L13144" s="1362"/>
    </row>
    <row r="13145" spans="1:12" x14ac:dyDescent="0.25">
      <c r="A13145">
        <v>94470</v>
      </c>
      <c r="B13145" t="s">
        <v>1608</v>
      </c>
      <c r="C13145" t="s">
        <v>138</v>
      </c>
      <c r="D13145" s="254">
        <v>114.9</v>
      </c>
      <c r="E13145"/>
      <c r="F13145"/>
      <c r="G13145"/>
      <c r="H13145"/>
      <c r="I13145" s="489"/>
      <c r="J13145" s="1362"/>
      <c r="K13145" s="1362"/>
      <c r="L13145" s="1362"/>
    </row>
    <row r="13146" spans="1:12" x14ac:dyDescent="0.25">
      <c r="A13146">
        <v>94471</v>
      </c>
      <c r="B13146" t="s">
        <v>1609</v>
      </c>
      <c r="C13146" t="s">
        <v>138</v>
      </c>
      <c r="D13146" s="254">
        <v>79.849999999999994</v>
      </c>
      <c r="E13146"/>
      <c r="F13146"/>
      <c r="G13146"/>
      <c r="H13146"/>
      <c r="I13146" s="489"/>
      <c r="J13146" s="1362"/>
      <c r="K13146" s="1362"/>
      <c r="L13146" s="1362"/>
    </row>
    <row r="13147" spans="1:12" x14ac:dyDescent="0.25">
      <c r="A13147">
        <v>94472</v>
      </c>
      <c r="B13147" t="s">
        <v>1610</v>
      </c>
      <c r="C13147" t="s">
        <v>138</v>
      </c>
      <c r="D13147" s="254">
        <v>82.25</v>
      </c>
      <c r="E13147"/>
      <c r="F13147"/>
      <c r="G13147"/>
      <c r="H13147"/>
      <c r="I13147" s="489"/>
      <c r="J13147" s="1362"/>
      <c r="K13147" s="1362"/>
      <c r="L13147" s="1362"/>
    </row>
    <row r="13148" spans="1:12" x14ac:dyDescent="0.25">
      <c r="A13148">
        <v>94473</v>
      </c>
      <c r="B13148" t="s">
        <v>1611</v>
      </c>
      <c r="C13148" t="s">
        <v>138</v>
      </c>
      <c r="D13148" s="254">
        <v>122.74</v>
      </c>
      <c r="E13148"/>
      <c r="F13148"/>
      <c r="G13148"/>
      <c r="H13148"/>
      <c r="I13148" s="489"/>
      <c r="J13148" s="1362"/>
      <c r="K13148" s="1362"/>
      <c r="L13148" s="1362"/>
    </row>
    <row r="13149" spans="1:12" x14ac:dyDescent="0.25">
      <c r="A13149">
        <v>94474</v>
      </c>
      <c r="B13149" t="s">
        <v>1612</v>
      </c>
      <c r="C13149" t="s">
        <v>138</v>
      </c>
      <c r="D13149" s="254">
        <v>133.28</v>
      </c>
      <c r="E13149"/>
      <c r="F13149"/>
      <c r="G13149"/>
      <c r="H13149"/>
      <c r="I13149" s="489"/>
      <c r="J13149" s="1362"/>
      <c r="K13149" s="1362"/>
      <c r="L13149" s="1362"/>
    </row>
    <row r="13150" spans="1:12" x14ac:dyDescent="0.25">
      <c r="A13150">
        <v>94475</v>
      </c>
      <c r="B13150" t="s">
        <v>1613</v>
      </c>
      <c r="C13150" t="s">
        <v>138</v>
      </c>
      <c r="D13150" s="254">
        <v>168.7</v>
      </c>
      <c r="E13150"/>
      <c r="F13150"/>
      <c r="G13150"/>
      <c r="H13150"/>
      <c r="I13150" s="489"/>
      <c r="J13150" s="1362"/>
      <c r="K13150" s="1362"/>
      <c r="L13150" s="1362"/>
    </row>
    <row r="13151" spans="1:12" x14ac:dyDescent="0.25">
      <c r="A13151">
        <v>94476</v>
      </c>
      <c r="B13151" t="s">
        <v>1614</v>
      </c>
      <c r="C13151" t="s">
        <v>138</v>
      </c>
      <c r="D13151" s="254">
        <v>189.02</v>
      </c>
      <c r="E13151"/>
      <c r="F13151"/>
      <c r="G13151"/>
      <c r="H13151"/>
      <c r="I13151" s="489"/>
      <c r="J13151" s="1362"/>
      <c r="K13151" s="1362"/>
      <c r="L13151" s="1362"/>
    </row>
    <row r="13152" spans="1:12" x14ac:dyDescent="0.25">
      <c r="A13152">
        <v>94477</v>
      </c>
      <c r="B13152" t="s">
        <v>1615</v>
      </c>
      <c r="C13152" t="s">
        <v>138</v>
      </c>
      <c r="D13152" s="254">
        <v>106.24</v>
      </c>
      <c r="E13152"/>
      <c r="F13152"/>
      <c r="G13152"/>
      <c r="H13152"/>
      <c r="I13152" s="489"/>
      <c r="J13152" s="1362"/>
      <c r="K13152" s="1362"/>
      <c r="L13152" s="1362"/>
    </row>
    <row r="13153" spans="1:12" x14ac:dyDescent="0.25">
      <c r="A13153">
        <v>94478</v>
      </c>
      <c r="B13153" t="s">
        <v>1616</v>
      </c>
      <c r="C13153" t="s">
        <v>138</v>
      </c>
      <c r="D13153" s="254">
        <v>168.75</v>
      </c>
      <c r="E13153"/>
      <c r="F13153"/>
      <c r="G13153"/>
      <c r="H13153"/>
      <c r="I13153" s="489"/>
      <c r="J13153" s="1362"/>
      <c r="K13153" s="1362"/>
      <c r="L13153" s="1362"/>
    </row>
    <row r="13154" spans="1:12" x14ac:dyDescent="0.25">
      <c r="A13154">
        <v>94479</v>
      </c>
      <c r="B13154" t="s">
        <v>1617</v>
      </c>
      <c r="C13154" t="s">
        <v>138</v>
      </c>
      <c r="D13154" s="254">
        <v>222.78</v>
      </c>
      <c r="E13154"/>
      <c r="F13154"/>
      <c r="G13154"/>
      <c r="H13154"/>
      <c r="I13154" s="489"/>
      <c r="J13154" s="1362"/>
      <c r="K13154" s="1362"/>
      <c r="L13154" s="1362"/>
    </row>
    <row r="13155" spans="1:12" x14ac:dyDescent="0.25">
      <c r="A13155">
        <v>94606</v>
      </c>
      <c r="B13155" t="s">
        <v>3024</v>
      </c>
      <c r="C13155" t="s">
        <v>138</v>
      </c>
      <c r="D13155" s="254">
        <v>78.69</v>
      </c>
      <c r="E13155"/>
      <c r="F13155"/>
      <c r="G13155"/>
      <c r="H13155"/>
      <c r="I13155" s="489"/>
      <c r="J13155" s="1362"/>
      <c r="K13155" s="1362"/>
      <c r="L13155" s="1362"/>
    </row>
    <row r="13156" spans="1:12" x14ac:dyDescent="0.25">
      <c r="A13156">
        <v>94608</v>
      </c>
      <c r="B13156" t="s">
        <v>3025</v>
      </c>
      <c r="C13156" t="s">
        <v>138</v>
      </c>
      <c r="D13156" s="254">
        <v>188.57</v>
      </c>
      <c r="E13156"/>
      <c r="F13156"/>
      <c r="G13156"/>
      <c r="H13156"/>
      <c r="I13156" s="489"/>
      <c r="J13156" s="1362"/>
      <c r="K13156" s="1362"/>
      <c r="L13156" s="1362"/>
    </row>
    <row r="13157" spans="1:12" x14ac:dyDescent="0.25">
      <c r="A13157">
        <v>94610</v>
      </c>
      <c r="B13157" t="s">
        <v>3026</v>
      </c>
      <c r="C13157" t="s">
        <v>138</v>
      </c>
      <c r="D13157" s="254">
        <v>278.81</v>
      </c>
      <c r="E13157"/>
      <c r="F13157"/>
      <c r="G13157"/>
      <c r="H13157"/>
      <c r="I13157" s="489"/>
      <c r="J13157" s="1362"/>
      <c r="K13157" s="1362"/>
      <c r="L13157" s="1362"/>
    </row>
    <row r="13158" spans="1:12" x14ac:dyDescent="0.25">
      <c r="A13158">
        <v>94612</v>
      </c>
      <c r="B13158" t="s">
        <v>3027</v>
      </c>
      <c r="C13158" t="s">
        <v>138</v>
      </c>
      <c r="D13158" s="254">
        <v>389.74</v>
      </c>
      <c r="E13158"/>
      <c r="F13158"/>
      <c r="G13158"/>
      <c r="H13158"/>
      <c r="I13158" s="489"/>
      <c r="J13158" s="1362"/>
      <c r="K13158" s="1362"/>
      <c r="L13158" s="1362"/>
    </row>
    <row r="13159" spans="1:12" x14ac:dyDescent="0.25">
      <c r="A13159">
        <v>94614</v>
      </c>
      <c r="B13159" t="s">
        <v>3028</v>
      </c>
      <c r="C13159" t="s">
        <v>138</v>
      </c>
      <c r="D13159" s="254">
        <v>132.46</v>
      </c>
      <c r="E13159"/>
      <c r="F13159"/>
      <c r="G13159"/>
      <c r="H13159"/>
      <c r="I13159" s="489"/>
      <c r="J13159" s="1362"/>
      <c r="K13159" s="1362"/>
      <c r="L13159" s="1362"/>
    </row>
    <row r="13160" spans="1:12" x14ac:dyDescent="0.25">
      <c r="A13160">
        <v>94615</v>
      </c>
      <c r="B13160" t="s">
        <v>3029</v>
      </c>
      <c r="C13160" t="s">
        <v>138</v>
      </c>
      <c r="D13160" s="254">
        <v>149.69999999999999</v>
      </c>
      <c r="E13160"/>
      <c r="F13160"/>
      <c r="G13160"/>
      <c r="H13160"/>
      <c r="I13160" s="489"/>
      <c r="J13160" s="1362"/>
      <c r="K13160" s="1362"/>
      <c r="L13160" s="1362"/>
    </row>
    <row r="13161" spans="1:12" x14ac:dyDescent="0.25">
      <c r="A13161">
        <v>94616</v>
      </c>
      <c r="B13161" t="s">
        <v>3030</v>
      </c>
      <c r="C13161" t="s">
        <v>138</v>
      </c>
      <c r="D13161" s="254">
        <v>359.15</v>
      </c>
      <c r="E13161"/>
      <c r="F13161"/>
      <c r="G13161"/>
      <c r="H13161"/>
      <c r="I13161" s="489"/>
      <c r="J13161" s="1362"/>
      <c r="K13161" s="1362"/>
      <c r="L13161" s="1362"/>
    </row>
    <row r="13162" spans="1:12" x14ac:dyDescent="0.25">
      <c r="A13162">
        <v>94617</v>
      </c>
      <c r="B13162" t="s">
        <v>3031</v>
      </c>
      <c r="C13162" t="s">
        <v>138</v>
      </c>
      <c r="D13162" s="254">
        <v>299.18</v>
      </c>
      <c r="E13162"/>
      <c r="F13162"/>
      <c r="G13162"/>
      <c r="H13162"/>
      <c r="I13162" s="489"/>
      <c r="J13162" s="1362"/>
      <c r="K13162" s="1362"/>
      <c r="L13162" s="1362"/>
    </row>
    <row r="13163" spans="1:12" x14ac:dyDescent="0.25">
      <c r="A13163">
        <v>94618</v>
      </c>
      <c r="B13163" t="s">
        <v>3032</v>
      </c>
      <c r="C13163" t="s">
        <v>138</v>
      </c>
      <c r="D13163" s="254">
        <v>353.26</v>
      </c>
      <c r="E13163"/>
      <c r="F13163"/>
      <c r="G13163"/>
      <c r="H13163"/>
      <c r="I13163" s="489"/>
      <c r="J13163" s="1362"/>
      <c r="K13163" s="1362"/>
      <c r="L13163" s="1362"/>
    </row>
    <row r="13164" spans="1:12" x14ac:dyDescent="0.25">
      <c r="A13164">
        <v>94620</v>
      </c>
      <c r="B13164" t="s">
        <v>3033</v>
      </c>
      <c r="C13164" t="s">
        <v>138</v>
      </c>
      <c r="D13164" s="254">
        <v>801.87</v>
      </c>
      <c r="E13164"/>
      <c r="F13164"/>
      <c r="G13164"/>
      <c r="H13164"/>
      <c r="I13164" s="489"/>
      <c r="J13164" s="1362"/>
      <c r="K13164" s="1362"/>
      <c r="L13164" s="1362"/>
    </row>
    <row r="13165" spans="1:12" x14ac:dyDescent="0.25">
      <c r="A13165">
        <v>94622</v>
      </c>
      <c r="B13165" t="s">
        <v>3034</v>
      </c>
      <c r="C13165" t="s">
        <v>138</v>
      </c>
      <c r="D13165" s="254">
        <v>193.15</v>
      </c>
      <c r="E13165"/>
      <c r="F13165"/>
      <c r="G13165"/>
      <c r="H13165"/>
      <c r="I13165" s="489"/>
      <c r="J13165" s="1362"/>
      <c r="K13165" s="1362"/>
      <c r="L13165" s="1362"/>
    </row>
    <row r="13166" spans="1:12" x14ac:dyDescent="0.25">
      <c r="A13166">
        <v>94623</v>
      </c>
      <c r="B13166" t="s">
        <v>3035</v>
      </c>
      <c r="C13166" t="s">
        <v>138</v>
      </c>
      <c r="D13166" s="254">
        <v>445.31</v>
      </c>
      <c r="E13166"/>
      <c r="F13166"/>
      <c r="G13166"/>
      <c r="H13166"/>
      <c r="I13166" s="489"/>
      <c r="J13166" s="1362"/>
      <c r="K13166" s="1362"/>
      <c r="L13166" s="1362"/>
    </row>
    <row r="13167" spans="1:12" x14ac:dyDescent="0.25">
      <c r="A13167">
        <v>94624</v>
      </c>
      <c r="B13167" t="s">
        <v>3036</v>
      </c>
      <c r="C13167" t="s">
        <v>138</v>
      </c>
      <c r="D13167" s="254">
        <v>674.77</v>
      </c>
      <c r="E13167"/>
      <c r="F13167"/>
      <c r="G13167"/>
      <c r="H13167"/>
      <c r="I13167" s="489"/>
      <c r="J13167" s="1362"/>
      <c r="K13167" s="1362"/>
      <c r="L13167" s="1362"/>
    </row>
    <row r="13168" spans="1:12" x14ac:dyDescent="0.25">
      <c r="A13168">
        <v>94625</v>
      </c>
      <c r="B13168" t="s">
        <v>3037</v>
      </c>
      <c r="C13168" t="s">
        <v>138</v>
      </c>
      <c r="D13168" s="254">
        <v>1396.33</v>
      </c>
      <c r="E13168"/>
      <c r="F13168"/>
      <c r="G13168"/>
      <c r="H13168"/>
      <c r="I13168" s="489"/>
      <c r="J13168" s="1362"/>
      <c r="K13168" s="1362"/>
      <c r="L13168" s="1362"/>
    </row>
    <row r="13169" spans="1:12" x14ac:dyDescent="0.25">
      <c r="A13169">
        <v>94656</v>
      </c>
      <c r="B13169" t="s">
        <v>1618</v>
      </c>
      <c r="C13169" t="s">
        <v>138</v>
      </c>
      <c r="D13169" s="254">
        <v>7.02</v>
      </c>
      <c r="E13169"/>
      <c r="F13169"/>
      <c r="G13169"/>
      <c r="H13169"/>
      <c r="I13169" s="489"/>
      <c r="J13169" s="1362"/>
      <c r="K13169" s="1362"/>
      <c r="L13169" s="1362"/>
    </row>
    <row r="13170" spans="1:12" x14ac:dyDescent="0.25">
      <c r="A13170">
        <v>94657</v>
      </c>
      <c r="B13170" t="s">
        <v>1619</v>
      </c>
      <c r="C13170" t="s">
        <v>138</v>
      </c>
      <c r="D13170" s="254">
        <v>6.9</v>
      </c>
      <c r="E13170"/>
      <c r="F13170"/>
      <c r="G13170"/>
      <c r="H13170"/>
      <c r="I13170" s="489"/>
      <c r="J13170" s="1362"/>
      <c r="K13170" s="1362"/>
      <c r="L13170" s="1362"/>
    </row>
    <row r="13171" spans="1:12" x14ac:dyDescent="0.25">
      <c r="A13171">
        <v>94658</v>
      </c>
      <c r="B13171" t="s">
        <v>1620</v>
      </c>
      <c r="C13171" t="s">
        <v>138</v>
      </c>
      <c r="D13171" s="254">
        <v>8.2100000000000009</v>
      </c>
      <c r="E13171"/>
      <c r="F13171"/>
      <c r="G13171"/>
      <c r="H13171"/>
      <c r="I13171" s="489"/>
      <c r="J13171" s="1362"/>
      <c r="K13171" s="1362"/>
      <c r="L13171" s="1362"/>
    </row>
    <row r="13172" spans="1:12" x14ac:dyDescent="0.25">
      <c r="A13172">
        <v>94659</v>
      </c>
      <c r="B13172" t="s">
        <v>1621</v>
      </c>
      <c r="C13172" t="s">
        <v>138</v>
      </c>
      <c r="D13172" s="254">
        <v>8.35</v>
      </c>
      <c r="E13172"/>
      <c r="F13172"/>
      <c r="G13172"/>
      <c r="H13172"/>
      <c r="I13172" s="489"/>
      <c r="J13172" s="1362"/>
      <c r="K13172" s="1362"/>
      <c r="L13172" s="1362"/>
    </row>
    <row r="13173" spans="1:12" x14ac:dyDescent="0.25">
      <c r="A13173">
        <v>94660</v>
      </c>
      <c r="B13173" t="s">
        <v>1622</v>
      </c>
      <c r="C13173" t="s">
        <v>138</v>
      </c>
      <c r="D13173" s="254">
        <v>13.45</v>
      </c>
      <c r="E13173"/>
      <c r="F13173"/>
      <c r="G13173"/>
      <c r="H13173"/>
      <c r="I13173" s="489"/>
      <c r="J13173" s="1362"/>
      <c r="K13173" s="1362"/>
      <c r="L13173" s="1362"/>
    </row>
    <row r="13174" spans="1:12" x14ac:dyDescent="0.25">
      <c r="A13174">
        <v>94661</v>
      </c>
      <c r="B13174" t="s">
        <v>1623</v>
      </c>
      <c r="C13174" t="s">
        <v>138</v>
      </c>
      <c r="D13174" s="254">
        <v>14.02</v>
      </c>
      <c r="E13174"/>
      <c r="F13174"/>
      <c r="G13174"/>
      <c r="H13174"/>
      <c r="I13174" s="489"/>
      <c r="J13174" s="1362"/>
      <c r="K13174" s="1362"/>
      <c r="L13174" s="1362"/>
    </row>
    <row r="13175" spans="1:12" x14ac:dyDescent="0.25">
      <c r="A13175">
        <v>94662</v>
      </c>
      <c r="B13175" t="s">
        <v>1624</v>
      </c>
      <c r="C13175" t="s">
        <v>138</v>
      </c>
      <c r="D13175" s="254">
        <v>14.65</v>
      </c>
      <c r="E13175"/>
      <c r="F13175"/>
      <c r="G13175"/>
      <c r="H13175"/>
      <c r="I13175" s="489"/>
      <c r="J13175" s="1362"/>
      <c r="K13175" s="1362"/>
      <c r="L13175" s="1362"/>
    </row>
    <row r="13176" spans="1:12" x14ac:dyDescent="0.25">
      <c r="A13176">
        <v>94663</v>
      </c>
      <c r="B13176" t="s">
        <v>1625</v>
      </c>
      <c r="C13176" t="s">
        <v>138</v>
      </c>
      <c r="D13176" s="254">
        <v>14.88</v>
      </c>
      <c r="E13176"/>
      <c r="F13176"/>
      <c r="G13176"/>
      <c r="H13176"/>
      <c r="I13176" s="489"/>
      <c r="J13176" s="1362"/>
      <c r="K13176" s="1362"/>
      <c r="L13176" s="1362"/>
    </row>
    <row r="13177" spans="1:12" x14ac:dyDescent="0.25">
      <c r="A13177">
        <v>94664</v>
      </c>
      <c r="B13177" t="s">
        <v>1626</v>
      </c>
      <c r="C13177" t="s">
        <v>138</v>
      </c>
      <c r="D13177" s="254">
        <v>31.75</v>
      </c>
      <c r="E13177"/>
      <c r="F13177"/>
      <c r="G13177"/>
      <c r="H13177"/>
      <c r="I13177" s="489"/>
      <c r="J13177" s="1362"/>
      <c r="K13177" s="1362"/>
      <c r="L13177" s="1362"/>
    </row>
    <row r="13178" spans="1:12" x14ac:dyDescent="0.25">
      <c r="A13178">
        <v>94665</v>
      </c>
      <c r="B13178" t="s">
        <v>1627</v>
      </c>
      <c r="C13178" t="s">
        <v>138</v>
      </c>
      <c r="D13178" s="254">
        <v>31.73</v>
      </c>
      <c r="E13178"/>
      <c r="F13178"/>
      <c r="G13178"/>
      <c r="H13178"/>
      <c r="I13178" s="489"/>
      <c r="J13178" s="1362"/>
      <c r="K13178" s="1362"/>
      <c r="L13178" s="1362"/>
    </row>
    <row r="13179" spans="1:12" x14ac:dyDescent="0.25">
      <c r="A13179">
        <v>94666</v>
      </c>
      <c r="B13179" t="s">
        <v>1628</v>
      </c>
      <c r="C13179" t="s">
        <v>138</v>
      </c>
      <c r="D13179" s="254">
        <v>38.65</v>
      </c>
      <c r="E13179"/>
      <c r="F13179"/>
      <c r="G13179"/>
      <c r="H13179"/>
      <c r="I13179" s="489"/>
      <c r="J13179" s="1362"/>
      <c r="K13179" s="1362"/>
      <c r="L13179" s="1362"/>
    </row>
    <row r="13180" spans="1:12" x14ac:dyDescent="0.25">
      <c r="A13180">
        <v>94667</v>
      </c>
      <c r="B13180" t="s">
        <v>1629</v>
      </c>
      <c r="C13180" t="s">
        <v>138</v>
      </c>
      <c r="D13180" s="254">
        <v>42.94</v>
      </c>
      <c r="E13180"/>
      <c r="F13180"/>
      <c r="G13180"/>
      <c r="H13180"/>
      <c r="I13180" s="489"/>
      <c r="J13180" s="1362"/>
      <c r="K13180" s="1362"/>
      <c r="L13180" s="1362"/>
    </row>
    <row r="13181" spans="1:12" x14ac:dyDescent="0.25">
      <c r="A13181">
        <v>94668</v>
      </c>
      <c r="B13181" t="s">
        <v>1630</v>
      </c>
      <c r="C13181" t="s">
        <v>138</v>
      </c>
      <c r="D13181" s="254">
        <v>66.11</v>
      </c>
      <c r="E13181"/>
      <c r="F13181"/>
      <c r="G13181"/>
      <c r="H13181"/>
      <c r="I13181" s="489"/>
      <c r="J13181" s="1362"/>
      <c r="K13181" s="1362"/>
      <c r="L13181" s="1362"/>
    </row>
    <row r="13182" spans="1:12" x14ac:dyDescent="0.25">
      <c r="A13182">
        <v>94669</v>
      </c>
      <c r="B13182" t="s">
        <v>1631</v>
      </c>
      <c r="C13182" t="s">
        <v>138</v>
      </c>
      <c r="D13182" s="254">
        <v>90.22</v>
      </c>
      <c r="E13182"/>
      <c r="F13182"/>
      <c r="G13182"/>
      <c r="H13182"/>
      <c r="I13182" s="489"/>
      <c r="J13182" s="1362"/>
      <c r="K13182" s="1362"/>
      <c r="L13182" s="1362"/>
    </row>
    <row r="13183" spans="1:12" x14ac:dyDescent="0.25">
      <c r="A13183">
        <v>94670</v>
      </c>
      <c r="B13183" t="s">
        <v>1632</v>
      </c>
      <c r="C13183" t="s">
        <v>138</v>
      </c>
      <c r="D13183" s="254">
        <v>87.58</v>
      </c>
      <c r="E13183"/>
      <c r="F13183"/>
      <c r="G13183"/>
      <c r="H13183"/>
      <c r="I13183" s="489"/>
      <c r="J13183" s="1362"/>
      <c r="K13183" s="1362"/>
      <c r="L13183" s="1362"/>
    </row>
    <row r="13184" spans="1:12" x14ac:dyDescent="0.25">
      <c r="A13184">
        <v>94671</v>
      </c>
      <c r="B13184" t="s">
        <v>1633</v>
      </c>
      <c r="C13184" t="s">
        <v>138</v>
      </c>
      <c r="D13184" s="254">
        <v>127.78</v>
      </c>
      <c r="E13184"/>
      <c r="F13184"/>
      <c r="G13184"/>
      <c r="H13184"/>
      <c r="I13184" s="489"/>
      <c r="J13184" s="1362"/>
      <c r="K13184" s="1362"/>
      <c r="L13184" s="1362"/>
    </row>
    <row r="13185" spans="1:12" x14ac:dyDescent="0.25">
      <c r="A13185">
        <v>94672</v>
      </c>
      <c r="B13185" t="s">
        <v>1634</v>
      </c>
      <c r="C13185" t="s">
        <v>138</v>
      </c>
      <c r="D13185" s="254">
        <v>12.22</v>
      </c>
      <c r="E13185"/>
      <c r="F13185"/>
      <c r="G13185"/>
      <c r="H13185"/>
      <c r="I13185" s="489"/>
      <c r="J13185" s="1362"/>
      <c r="K13185" s="1362"/>
      <c r="L13185" s="1362"/>
    </row>
    <row r="13186" spans="1:12" x14ac:dyDescent="0.25">
      <c r="A13186">
        <v>94673</v>
      </c>
      <c r="B13186" t="s">
        <v>1635</v>
      </c>
      <c r="C13186" t="s">
        <v>138</v>
      </c>
      <c r="D13186" s="254">
        <v>11.89</v>
      </c>
      <c r="E13186"/>
      <c r="F13186"/>
      <c r="G13186"/>
      <c r="H13186"/>
      <c r="I13186" s="489"/>
      <c r="J13186" s="1362"/>
      <c r="K13186" s="1362"/>
      <c r="L13186" s="1362"/>
    </row>
    <row r="13187" spans="1:12" x14ac:dyDescent="0.25">
      <c r="A13187">
        <v>94674</v>
      </c>
      <c r="B13187" t="s">
        <v>1636</v>
      </c>
      <c r="C13187" t="s">
        <v>138</v>
      </c>
      <c r="D13187" s="254">
        <v>10.77</v>
      </c>
      <c r="E13187"/>
      <c r="F13187"/>
      <c r="G13187"/>
      <c r="H13187"/>
      <c r="I13187" s="489"/>
      <c r="J13187" s="1362"/>
      <c r="K13187" s="1362"/>
      <c r="L13187" s="1362"/>
    </row>
    <row r="13188" spans="1:12" x14ac:dyDescent="0.25">
      <c r="A13188">
        <v>94675</v>
      </c>
      <c r="B13188" t="s">
        <v>1637</v>
      </c>
      <c r="C13188" t="s">
        <v>138</v>
      </c>
      <c r="D13188" s="254">
        <v>16.84</v>
      </c>
      <c r="E13188"/>
      <c r="F13188"/>
      <c r="G13188"/>
      <c r="H13188"/>
      <c r="I13188" s="489"/>
      <c r="J13188" s="1362"/>
      <c r="K13188" s="1362"/>
      <c r="L13188" s="1362"/>
    </row>
    <row r="13189" spans="1:12" x14ac:dyDescent="0.25">
      <c r="A13189">
        <v>94676</v>
      </c>
      <c r="B13189" t="s">
        <v>1638</v>
      </c>
      <c r="C13189" t="s">
        <v>138</v>
      </c>
      <c r="D13189" s="254">
        <v>18.600000000000001</v>
      </c>
      <c r="E13189"/>
      <c r="F13189"/>
      <c r="G13189"/>
      <c r="H13189"/>
      <c r="I13189" s="489"/>
      <c r="J13189" s="1362"/>
      <c r="K13189" s="1362"/>
      <c r="L13189" s="1362"/>
    </row>
    <row r="13190" spans="1:12" x14ac:dyDescent="0.25">
      <c r="A13190">
        <v>94677</v>
      </c>
      <c r="B13190" t="s">
        <v>1639</v>
      </c>
      <c r="C13190" t="s">
        <v>138</v>
      </c>
      <c r="D13190" s="254">
        <v>27.74</v>
      </c>
      <c r="E13190"/>
      <c r="F13190"/>
      <c r="G13190"/>
      <c r="H13190"/>
      <c r="I13190" s="489"/>
      <c r="J13190" s="1362"/>
      <c r="K13190" s="1362"/>
      <c r="L13190" s="1362"/>
    </row>
    <row r="13191" spans="1:12" x14ac:dyDescent="0.25">
      <c r="A13191">
        <v>94678</v>
      </c>
      <c r="B13191" t="s">
        <v>1640</v>
      </c>
      <c r="C13191" t="s">
        <v>138</v>
      </c>
      <c r="D13191" s="254">
        <v>19.14</v>
      </c>
      <c r="E13191"/>
      <c r="F13191"/>
      <c r="G13191"/>
      <c r="H13191"/>
      <c r="I13191" s="489"/>
      <c r="J13191" s="1362"/>
      <c r="K13191" s="1362"/>
      <c r="L13191" s="1362"/>
    </row>
    <row r="13192" spans="1:12" x14ac:dyDescent="0.25">
      <c r="A13192">
        <v>94679</v>
      </c>
      <c r="B13192" t="s">
        <v>1641</v>
      </c>
      <c r="C13192" t="s">
        <v>138</v>
      </c>
      <c r="D13192" s="254">
        <v>31.18</v>
      </c>
      <c r="E13192"/>
      <c r="F13192"/>
      <c r="G13192"/>
      <c r="H13192"/>
      <c r="I13192" s="489"/>
      <c r="J13192" s="1362"/>
      <c r="K13192" s="1362"/>
      <c r="L13192" s="1362"/>
    </row>
    <row r="13193" spans="1:12" x14ac:dyDescent="0.25">
      <c r="A13193">
        <v>94680</v>
      </c>
      <c r="B13193" t="s">
        <v>1642</v>
      </c>
      <c r="C13193" t="s">
        <v>138</v>
      </c>
      <c r="D13193" s="254">
        <v>52.19</v>
      </c>
      <c r="E13193"/>
      <c r="F13193"/>
      <c r="G13193"/>
      <c r="H13193"/>
      <c r="I13193" s="489"/>
      <c r="J13193" s="1362"/>
      <c r="K13193" s="1362"/>
      <c r="L13193" s="1362"/>
    </row>
    <row r="13194" spans="1:12" x14ac:dyDescent="0.25">
      <c r="A13194">
        <v>94681</v>
      </c>
      <c r="B13194" t="s">
        <v>1643</v>
      </c>
      <c r="C13194" t="s">
        <v>138</v>
      </c>
      <c r="D13194" s="254">
        <v>68.680000000000007</v>
      </c>
      <c r="E13194"/>
      <c r="F13194"/>
      <c r="G13194"/>
      <c r="H13194"/>
      <c r="I13194" s="489"/>
      <c r="J13194" s="1362"/>
      <c r="K13194" s="1362"/>
      <c r="L13194" s="1362"/>
    </row>
    <row r="13195" spans="1:12" x14ac:dyDescent="0.25">
      <c r="A13195">
        <v>94682</v>
      </c>
      <c r="B13195" t="s">
        <v>1644</v>
      </c>
      <c r="C13195" t="s">
        <v>138</v>
      </c>
      <c r="D13195" s="254">
        <v>137.08000000000001</v>
      </c>
      <c r="E13195"/>
      <c r="F13195"/>
      <c r="G13195"/>
      <c r="H13195"/>
      <c r="I13195" s="489"/>
      <c r="J13195" s="1362"/>
      <c r="K13195" s="1362"/>
      <c r="L13195" s="1362"/>
    </row>
    <row r="13196" spans="1:12" x14ac:dyDescent="0.25">
      <c r="A13196">
        <v>94683</v>
      </c>
      <c r="B13196" t="s">
        <v>1645</v>
      </c>
      <c r="C13196" t="s">
        <v>138</v>
      </c>
      <c r="D13196" s="254">
        <v>88.64</v>
      </c>
      <c r="E13196"/>
      <c r="F13196"/>
      <c r="G13196"/>
      <c r="H13196"/>
      <c r="I13196" s="489"/>
      <c r="J13196" s="1362"/>
      <c r="K13196" s="1362"/>
      <c r="L13196" s="1362"/>
    </row>
    <row r="13197" spans="1:12" x14ac:dyDescent="0.25">
      <c r="A13197">
        <v>94684</v>
      </c>
      <c r="B13197" t="s">
        <v>1646</v>
      </c>
      <c r="C13197" t="s">
        <v>138</v>
      </c>
      <c r="D13197" s="254">
        <v>175.3</v>
      </c>
      <c r="E13197"/>
      <c r="F13197"/>
      <c r="G13197"/>
      <c r="H13197"/>
      <c r="I13197" s="489"/>
      <c r="J13197" s="1362"/>
      <c r="K13197" s="1362"/>
      <c r="L13197" s="1362"/>
    </row>
    <row r="13198" spans="1:12" x14ac:dyDescent="0.25">
      <c r="A13198">
        <v>94685</v>
      </c>
      <c r="B13198" t="s">
        <v>1647</v>
      </c>
      <c r="C13198" t="s">
        <v>138</v>
      </c>
      <c r="D13198" s="254">
        <v>134.97999999999999</v>
      </c>
      <c r="E13198"/>
      <c r="F13198"/>
      <c r="G13198"/>
      <c r="H13198"/>
      <c r="I13198" s="489"/>
      <c r="J13198" s="1362"/>
      <c r="K13198" s="1362"/>
      <c r="L13198" s="1362"/>
    </row>
    <row r="13199" spans="1:12" x14ac:dyDescent="0.25">
      <c r="A13199">
        <v>94686</v>
      </c>
      <c r="B13199" t="s">
        <v>1648</v>
      </c>
      <c r="C13199" t="s">
        <v>138</v>
      </c>
      <c r="D13199" s="254">
        <v>327.3</v>
      </c>
      <c r="E13199"/>
      <c r="F13199"/>
      <c r="G13199"/>
      <c r="H13199"/>
      <c r="I13199" s="489"/>
      <c r="J13199" s="1362"/>
      <c r="K13199" s="1362"/>
      <c r="L13199" s="1362"/>
    </row>
    <row r="13200" spans="1:12" x14ac:dyDescent="0.25">
      <c r="A13200">
        <v>94687</v>
      </c>
      <c r="B13200" t="s">
        <v>1649</v>
      </c>
      <c r="C13200" t="s">
        <v>138</v>
      </c>
      <c r="D13200" s="254">
        <v>266.52999999999997</v>
      </c>
      <c r="E13200"/>
      <c r="F13200"/>
      <c r="G13200"/>
      <c r="H13200"/>
      <c r="I13200" s="489"/>
      <c r="J13200" s="1362"/>
      <c r="K13200" s="1362"/>
      <c r="L13200" s="1362"/>
    </row>
    <row r="13201" spans="1:12" x14ac:dyDescent="0.25">
      <c r="A13201">
        <v>94688</v>
      </c>
      <c r="B13201" t="s">
        <v>1650</v>
      </c>
      <c r="C13201" t="s">
        <v>138</v>
      </c>
      <c r="D13201" s="254">
        <v>12.42</v>
      </c>
      <c r="E13201"/>
      <c r="F13201"/>
      <c r="G13201"/>
      <c r="H13201"/>
      <c r="I13201" s="489"/>
      <c r="J13201" s="1362"/>
      <c r="K13201" s="1362"/>
      <c r="L13201" s="1362"/>
    </row>
    <row r="13202" spans="1:12" x14ac:dyDescent="0.25">
      <c r="A13202">
        <v>94689</v>
      </c>
      <c r="B13202" t="s">
        <v>1651</v>
      </c>
      <c r="C13202" t="s">
        <v>138</v>
      </c>
      <c r="D13202" s="254">
        <v>16.79</v>
      </c>
      <c r="E13202"/>
      <c r="F13202"/>
      <c r="G13202"/>
      <c r="H13202"/>
      <c r="I13202" s="489"/>
      <c r="J13202" s="1362"/>
      <c r="K13202" s="1362"/>
      <c r="L13202" s="1362"/>
    </row>
    <row r="13203" spans="1:12" x14ac:dyDescent="0.25">
      <c r="A13203">
        <v>94690</v>
      </c>
      <c r="B13203" t="s">
        <v>1652</v>
      </c>
      <c r="C13203" t="s">
        <v>138</v>
      </c>
      <c r="D13203" s="254">
        <v>16.079999999999998</v>
      </c>
      <c r="E13203"/>
      <c r="F13203"/>
      <c r="G13203"/>
      <c r="H13203"/>
      <c r="I13203" s="489"/>
      <c r="J13203" s="1362"/>
      <c r="K13203" s="1362"/>
      <c r="L13203" s="1362"/>
    </row>
    <row r="13204" spans="1:12" x14ac:dyDescent="0.25">
      <c r="A13204">
        <v>94691</v>
      </c>
      <c r="B13204" t="s">
        <v>1653</v>
      </c>
      <c r="C13204" t="s">
        <v>138</v>
      </c>
      <c r="D13204" s="254">
        <v>18.61</v>
      </c>
      <c r="E13204"/>
      <c r="F13204"/>
      <c r="G13204"/>
      <c r="H13204"/>
      <c r="I13204" s="489"/>
      <c r="J13204" s="1362"/>
      <c r="K13204" s="1362"/>
      <c r="L13204" s="1362"/>
    </row>
    <row r="13205" spans="1:12" x14ac:dyDescent="0.25">
      <c r="A13205">
        <v>94692</v>
      </c>
      <c r="B13205" t="s">
        <v>1654</v>
      </c>
      <c r="C13205" t="s">
        <v>138</v>
      </c>
      <c r="D13205" s="254">
        <v>28.02</v>
      </c>
      <c r="E13205"/>
      <c r="F13205"/>
      <c r="G13205"/>
      <c r="H13205"/>
      <c r="I13205" s="489"/>
      <c r="J13205" s="1362"/>
      <c r="K13205" s="1362"/>
      <c r="L13205" s="1362"/>
    </row>
    <row r="13206" spans="1:12" x14ac:dyDescent="0.25">
      <c r="A13206">
        <v>94693</v>
      </c>
      <c r="B13206" t="s">
        <v>1655</v>
      </c>
      <c r="C13206" t="s">
        <v>138</v>
      </c>
      <c r="D13206" s="254">
        <v>29.3</v>
      </c>
      <c r="E13206"/>
      <c r="F13206"/>
      <c r="G13206"/>
      <c r="H13206"/>
      <c r="I13206" s="489"/>
      <c r="J13206" s="1362"/>
      <c r="K13206" s="1362"/>
      <c r="L13206" s="1362"/>
    </row>
    <row r="13207" spans="1:12" x14ac:dyDescent="0.25">
      <c r="A13207">
        <v>94694</v>
      </c>
      <c r="B13207" t="s">
        <v>1656</v>
      </c>
      <c r="C13207" t="s">
        <v>138</v>
      </c>
      <c r="D13207" s="254">
        <v>29.37</v>
      </c>
      <c r="E13207"/>
      <c r="F13207"/>
      <c r="G13207"/>
      <c r="H13207"/>
      <c r="I13207" s="489"/>
      <c r="J13207" s="1362"/>
      <c r="K13207" s="1362"/>
      <c r="L13207" s="1362"/>
    </row>
    <row r="13208" spans="1:12" x14ac:dyDescent="0.25">
      <c r="A13208">
        <v>94695</v>
      </c>
      <c r="B13208" t="s">
        <v>1657</v>
      </c>
      <c r="C13208" t="s">
        <v>138</v>
      </c>
      <c r="D13208" s="254">
        <v>39.21</v>
      </c>
      <c r="E13208"/>
      <c r="F13208"/>
      <c r="G13208"/>
      <c r="H13208"/>
      <c r="I13208" s="489"/>
      <c r="J13208" s="1362"/>
      <c r="K13208" s="1362"/>
      <c r="L13208" s="1362"/>
    </row>
    <row r="13209" spans="1:12" x14ac:dyDescent="0.25">
      <c r="A13209">
        <v>94696</v>
      </c>
      <c r="B13209" t="s">
        <v>1658</v>
      </c>
      <c r="C13209" t="s">
        <v>138</v>
      </c>
      <c r="D13209" s="254">
        <v>67.849999999999994</v>
      </c>
      <c r="E13209"/>
      <c r="F13209"/>
      <c r="G13209"/>
      <c r="H13209"/>
      <c r="I13209" s="489"/>
      <c r="J13209" s="1362"/>
      <c r="K13209" s="1362"/>
      <c r="L13209" s="1362"/>
    </row>
    <row r="13210" spans="1:12" x14ac:dyDescent="0.25">
      <c r="A13210">
        <v>94697</v>
      </c>
      <c r="B13210" t="s">
        <v>1659</v>
      </c>
      <c r="C13210" t="s">
        <v>138</v>
      </c>
      <c r="D13210" s="254">
        <v>105.97</v>
      </c>
      <c r="E13210"/>
      <c r="F13210"/>
      <c r="G13210"/>
      <c r="H13210"/>
      <c r="I13210" s="489"/>
      <c r="J13210" s="1362"/>
      <c r="K13210" s="1362"/>
      <c r="L13210" s="1362"/>
    </row>
    <row r="13211" spans="1:12" x14ac:dyDescent="0.25">
      <c r="A13211">
        <v>94698</v>
      </c>
      <c r="B13211" t="s">
        <v>1660</v>
      </c>
      <c r="C13211" t="s">
        <v>138</v>
      </c>
      <c r="D13211" s="254">
        <v>92.57</v>
      </c>
      <c r="E13211"/>
      <c r="F13211"/>
      <c r="G13211"/>
      <c r="H13211"/>
      <c r="I13211" s="489"/>
      <c r="J13211" s="1362"/>
      <c r="K13211" s="1362"/>
      <c r="L13211" s="1362"/>
    </row>
    <row r="13212" spans="1:12" x14ac:dyDescent="0.25">
      <c r="A13212">
        <v>94699</v>
      </c>
      <c r="B13212" t="s">
        <v>1661</v>
      </c>
      <c r="C13212" t="s">
        <v>138</v>
      </c>
      <c r="D13212" s="254">
        <v>178.33</v>
      </c>
      <c r="E13212"/>
      <c r="F13212"/>
      <c r="G13212"/>
      <c r="H13212"/>
      <c r="I13212" s="489"/>
      <c r="J13212" s="1362"/>
      <c r="K13212" s="1362"/>
      <c r="L13212" s="1362"/>
    </row>
    <row r="13213" spans="1:12" x14ac:dyDescent="0.25">
      <c r="A13213">
        <v>94700</v>
      </c>
      <c r="B13213" t="s">
        <v>1662</v>
      </c>
      <c r="C13213" t="s">
        <v>138</v>
      </c>
      <c r="D13213" s="254">
        <v>150.9</v>
      </c>
      <c r="E13213"/>
      <c r="F13213"/>
      <c r="G13213"/>
      <c r="H13213"/>
      <c r="I13213" s="489"/>
      <c r="J13213" s="1362"/>
      <c r="K13213" s="1362"/>
      <c r="L13213" s="1362"/>
    </row>
    <row r="13214" spans="1:12" x14ac:dyDescent="0.25">
      <c r="A13214">
        <v>94701</v>
      </c>
      <c r="B13214" t="s">
        <v>1663</v>
      </c>
      <c r="C13214" t="s">
        <v>138</v>
      </c>
      <c r="D13214" s="254">
        <v>265.33999999999997</v>
      </c>
      <c r="E13214"/>
      <c r="F13214"/>
      <c r="G13214"/>
      <c r="H13214"/>
      <c r="I13214" s="489"/>
      <c r="J13214" s="1362"/>
      <c r="K13214" s="1362"/>
      <c r="L13214" s="1362"/>
    </row>
    <row r="13215" spans="1:12" x14ac:dyDescent="0.25">
      <c r="A13215">
        <v>94702</v>
      </c>
      <c r="B13215" t="s">
        <v>1664</v>
      </c>
      <c r="C13215" t="s">
        <v>138</v>
      </c>
      <c r="D13215" s="254">
        <v>251.31</v>
      </c>
      <c r="E13215"/>
      <c r="F13215"/>
      <c r="G13215"/>
      <c r="H13215"/>
      <c r="I13215" s="489"/>
      <c r="J13215" s="1362"/>
      <c r="K13215" s="1362"/>
      <c r="L13215" s="1362"/>
    </row>
    <row r="13216" spans="1:12" x14ac:dyDescent="0.25">
      <c r="A13216">
        <v>94703</v>
      </c>
      <c r="B13216" t="s">
        <v>1665</v>
      </c>
      <c r="C13216" t="s">
        <v>138</v>
      </c>
      <c r="D13216" s="254">
        <v>23.17</v>
      </c>
      <c r="E13216"/>
      <c r="F13216"/>
      <c r="G13216"/>
      <c r="H13216"/>
      <c r="I13216" s="489"/>
      <c r="J13216" s="1362"/>
      <c r="K13216" s="1362"/>
      <c r="L13216" s="1362"/>
    </row>
    <row r="13217" spans="1:12" x14ac:dyDescent="0.25">
      <c r="A13217">
        <v>94704</v>
      </c>
      <c r="B13217" t="s">
        <v>1666</v>
      </c>
      <c r="C13217" t="s">
        <v>138</v>
      </c>
      <c r="D13217" s="254">
        <v>27.38</v>
      </c>
      <c r="E13217"/>
      <c r="F13217"/>
      <c r="G13217"/>
      <c r="H13217"/>
      <c r="I13217" s="489"/>
      <c r="J13217" s="1362"/>
      <c r="K13217" s="1362"/>
      <c r="L13217" s="1362"/>
    </row>
    <row r="13218" spans="1:12" x14ac:dyDescent="0.25">
      <c r="A13218">
        <v>94705</v>
      </c>
      <c r="B13218" t="s">
        <v>1667</v>
      </c>
      <c r="C13218" t="s">
        <v>138</v>
      </c>
      <c r="D13218" s="254">
        <v>33.75</v>
      </c>
      <c r="E13218"/>
      <c r="F13218"/>
      <c r="G13218"/>
      <c r="H13218"/>
      <c r="I13218" s="489"/>
      <c r="J13218" s="1362"/>
      <c r="K13218" s="1362"/>
      <c r="L13218" s="1362"/>
    </row>
    <row r="13219" spans="1:12" x14ac:dyDescent="0.25">
      <c r="A13219">
        <v>94706</v>
      </c>
      <c r="B13219" t="s">
        <v>1668</v>
      </c>
      <c r="C13219" t="s">
        <v>138</v>
      </c>
      <c r="D13219" s="254">
        <v>48.22</v>
      </c>
      <c r="E13219"/>
      <c r="F13219"/>
      <c r="G13219"/>
      <c r="H13219"/>
      <c r="I13219" s="489"/>
      <c r="J13219" s="1362"/>
      <c r="K13219" s="1362"/>
      <c r="L13219" s="1362"/>
    </row>
    <row r="13220" spans="1:12" x14ac:dyDescent="0.25">
      <c r="A13220">
        <v>94707</v>
      </c>
      <c r="B13220" t="s">
        <v>1669</v>
      </c>
      <c r="C13220" t="s">
        <v>138</v>
      </c>
      <c r="D13220" s="254">
        <v>60.05</v>
      </c>
      <c r="E13220"/>
      <c r="F13220"/>
      <c r="G13220"/>
      <c r="H13220"/>
      <c r="I13220" s="489"/>
      <c r="J13220" s="1362"/>
      <c r="K13220" s="1362"/>
      <c r="L13220" s="1362"/>
    </row>
    <row r="13221" spans="1:12" x14ac:dyDescent="0.25">
      <c r="A13221">
        <v>94708</v>
      </c>
      <c r="B13221" t="s">
        <v>1670</v>
      </c>
      <c r="C13221" t="s">
        <v>138</v>
      </c>
      <c r="D13221" s="254">
        <v>29.88</v>
      </c>
      <c r="E13221"/>
      <c r="F13221"/>
      <c r="G13221"/>
      <c r="H13221"/>
      <c r="I13221" s="489"/>
      <c r="J13221" s="1362"/>
      <c r="K13221" s="1362"/>
      <c r="L13221" s="1362"/>
    </row>
    <row r="13222" spans="1:12" x14ac:dyDescent="0.25">
      <c r="A13222">
        <v>94709</v>
      </c>
      <c r="B13222" t="s">
        <v>1671</v>
      </c>
      <c r="C13222" t="s">
        <v>138</v>
      </c>
      <c r="D13222" s="254">
        <v>38.270000000000003</v>
      </c>
      <c r="E13222"/>
      <c r="F13222"/>
      <c r="G13222"/>
      <c r="H13222"/>
      <c r="I13222" s="489"/>
      <c r="J13222" s="1362"/>
      <c r="K13222" s="1362"/>
      <c r="L13222" s="1362"/>
    </row>
    <row r="13223" spans="1:12" x14ac:dyDescent="0.25">
      <c r="A13223">
        <v>94710</v>
      </c>
      <c r="B13223" t="s">
        <v>1672</v>
      </c>
      <c r="C13223" t="s">
        <v>138</v>
      </c>
      <c r="D13223" s="254">
        <v>59.11</v>
      </c>
      <c r="E13223"/>
      <c r="F13223"/>
      <c r="G13223"/>
      <c r="H13223"/>
      <c r="I13223" s="489"/>
      <c r="J13223" s="1362"/>
      <c r="K13223" s="1362"/>
      <c r="L13223" s="1362"/>
    </row>
    <row r="13224" spans="1:12" x14ac:dyDescent="0.25">
      <c r="A13224">
        <v>94711</v>
      </c>
      <c r="B13224" t="s">
        <v>1673</v>
      </c>
      <c r="C13224" t="s">
        <v>138</v>
      </c>
      <c r="D13224" s="254">
        <v>70.150000000000006</v>
      </c>
      <c r="E13224"/>
      <c r="F13224"/>
      <c r="G13224"/>
      <c r="H13224"/>
      <c r="I13224" s="489"/>
      <c r="J13224" s="1362"/>
      <c r="K13224" s="1362"/>
      <c r="L13224" s="1362"/>
    </row>
    <row r="13225" spans="1:12" x14ac:dyDescent="0.25">
      <c r="A13225">
        <v>94712</v>
      </c>
      <c r="B13225" t="s">
        <v>1674</v>
      </c>
      <c r="C13225" t="s">
        <v>138</v>
      </c>
      <c r="D13225" s="254">
        <v>94.07</v>
      </c>
      <c r="E13225"/>
      <c r="F13225"/>
      <c r="G13225"/>
      <c r="H13225"/>
      <c r="I13225" s="489"/>
      <c r="J13225" s="1362"/>
      <c r="K13225" s="1362"/>
      <c r="L13225" s="1362"/>
    </row>
    <row r="13226" spans="1:12" x14ac:dyDescent="0.25">
      <c r="A13226">
        <v>94713</v>
      </c>
      <c r="B13226" t="s">
        <v>1675</v>
      </c>
      <c r="C13226" t="s">
        <v>138</v>
      </c>
      <c r="D13226" s="254">
        <v>245.86</v>
      </c>
      <c r="E13226"/>
      <c r="F13226"/>
      <c r="G13226"/>
      <c r="H13226"/>
      <c r="I13226" s="489"/>
      <c r="J13226" s="1362"/>
      <c r="K13226" s="1362"/>
      <c r="L13226" s="1362"/>
    </row>
    <row r="13227" spans="1:12" x14ac:dyDescent="0.25">
      <c r="A13227">
        <v>94714</v>
      </c>
      <c r="B13227" t="s">
        <v>1676</v>
      </c>
      <c r="C13227" t="s">
        <v>138</v>
      </c>
      <c r="D13227" s="254">
        <v>333.39</v>
      </c>
      <c r="E13227"/>
      <c r="F13227"/>
      <c r="G13227"/>
      <c r="H13227"/>
      <c r="I13227" s="489"/>
      <c r="J13227" s="1362"/>
      <c r="K13227" s="1362"/>
      <c r="L13227" s="1362"/>
    </row>
    <row r="13228" spans="1:12" x14ac:dyDescent="0.25">
      <c r="A13228">
        <v>94715</v>
      </c>
      <c r="B13228" t="s">
        <v>1677</v>
      </c>
      <c r="C13228" t="s">
        <v>138</v>
      </c>
      <c r="D13228" s="254">
        <v>460.32</v>
      </c>
      <c r="E13228"/>
      <c r="F13228"/>
      <c r="G13228"/>
      <c r="H13228"/>
      <c r="I13228" s="489"/>
      <c r="J13228" s="1362"/>
      <c r="K13228" s="1362"/>
      <c r="L13228" s="1362"/>
    </row>
    <row r="13229" spans="1:12" x14ac:dyDescent="0.25">
      <c r="A13229">
        <v>94724</v>
      </c>
      <c r="B13229" t="s">
        <v>1678</v>
      </c>
      <c r="C13229" t="s">
        <v>138</v>
      </c>
      <c r="D13229" s="254">
        <v>23.35</v>
      </c>
      <c r="E13229"/>
      <c r="F13229"/>
      <c r="G13229"/>
      <c r="H13229"/>
      <c r="I13229" s="489"/>
      <c r="J13229" s="1362"/>
      <c r="K13229" s="1362"/>
      <c r="L13229" s="1362"/>
    </row>
    <row r="13230" spans="1:12" x14ac:dyDescent="0.25">
      <c r="A13230">
        <v>94725</v>
      </c>
      <c r="B13230" t="s">
        <v>1679</v>
      </c>
      <c r="C13230" t="s">
        <v>138</v>
      </c>
      <c r="D13230" s="254">
        <v>6.6</v>
      </c>
      <c r="E13230"/>
      <c r="F13230"/>
      <c r="G13230"/>
      <c r="H13230"/>
      <c r="I13230" s="489"/>
      <c r="J13230" s="1362"/>
      <c r="K13230" s="1362"/>
      <c r="L13230" s="1362"/>
    </row>
    <row r="13231" spans="1:12" x14ac:dyDescent="0.25">
      <c r="A13231">
        <v>94726</v>
      </c>
      <c r="B13231" t="s">
        <v>1680</v>
      </c>
      <c r="C13231" t="s">
        <v>138</v>
      </c>
      <c r="D13231" s="254">
        <v>35.33</v>
      </c>
      <c r="E13231"/>
      <c r="F13231"/>
      <c r="G13231"/>
      <c r="H13231"/>
      <c r="I13231" s="489"/>
      <c r="J13231" s="1362"/>
      <c r="K13231" s="1362"/>
      <c r="L13231" s="1362"/>
    </row>
    <row r="13232" spans="1:12" x14ac:dyDescent="0.25">
      <c r="A13232">
        <v>94727</v>
      </c>
      <c r="B13232" t="s">
        <v>1681</v>
      </c>
      <c r="C13232" t="s">
        <v>138</v>
      </c>
      <c r="D13232" s="254">
        <v>8.82</v>
      </c>
      <c r="E13232"/>
      <c r="F13232"/>
      <c r="G13232"/>
      <c r="H13232"/>
      <c r="I13232" s="489"/>
      <c r="J13232" s="1362"/>
      <c r="K13232" s="1362"/>
      <c r="L13232" s="1362"/>
    </row>
    <row r="13233" spans="1:12" x14ac:dyDescent="0.25">
      <c r="A13233">
        <v>94728</v>
      </c>
      <c r="B13233" t="s">
        <v>1682</v>
      </c>
      <c r="C13233" t="s">
        <v>138</v>
      </c>
      <c r="D13233" s="254">
        <v>130.44</v>
      </c>
      <c r="E13233"/>
      <c r="F13233"/>
      <c r="G13233"/>
      <c r="H13233"/>
      <c r="I13233" s="489"/>
      <c r="J13233" s="1362"/>
      <c r="K13233" s="1362"/>
      <c r="L13233" s="1362"/>
    </row>
    <row r="13234" spans="1:12" x14ac:dyDescent="0.25">
      <c r="A13234">
        <v>94729</v>
      </c>
      <c r="B13234" t="s">
        <v>1683</v>
      </c>
      <c r="C13234" t="s">
        <v>138</v>
      </c>
      <c r="D13234" s="254">
        <v>15.03</v>
      </c>
      <c r="E13234"/>
      <c r="F13234"/>
      <c r="G13234"/>
      <c r="H13234"/>
      <c r="I13234" s="489"/>
      <c r="J13234" s="1362"/>
      <c r="K13234" s="1362"/>
      <c r="L13234" s="1362"/>
    </row>
    <row r="13235" spans="1:12" x14ac:dyDescent="0.25">
      <c r="A13235">
        <v>94730</v>
      </c>
      <c r="B13235" t="s">
        <v>1684</v>
      </c>
      <c r="C13235" t="s">
        <v>138</v>
      </c>
      <c r="D13235" s="254">
        <v>158.07</v>
      </c>
      <c r="E13235"/>
      <c r="F13235"/>
      <c r="G13235"/>
      <c r="H13235"/>
      <c r="I13235" s="489"/>
      <c r="J13235" s="1362"/>
      <c r="K13235" s="1362"/>
      <c r="L13235" s="1362"/>
    </row>
    <row r="13236" spans="1:12" x14ac:dyDescent="0.25">
      <c r="A13236">
        <v>94731</v>
      </c>
      <c r="B13236" t="s">
        <v>1685</v>
      </c>
      <c r="C13236" t="s">
        <v>138</v>
      </c>
      <c r="D13236" s="254">
        <v>18.399999999999999</v>
      </c>
      <c r="E13236"/>
      <c r="F13236"/>
      <c r="G13236"/>
      <c r="H13236"/>
      <c r="I13236" s="489"/>
      <c r="J13236" s="1362"/>
      <c r="K13236" s="1362"/>
      <c r="L13236" s="1362"/>
    </row>
    <row r="13237" spans="1:12" x14ac:dyDescent="0.25">
      <c r="A13237">
        <v>94733</v>
      </c>
      <c r="B13237" t="s">
        <v>1686</v>
      </c>
      <c r="C13237" t="s">
        <v>138</v>
      </c>
      <c r="D13237" s="254">
        <v>35.229999999999997</v>
      </c>
      <c r="E13237"/>
      <c r="F13237"/>
      <c r="G13237"/>
      <c r="H13237"/>
      <c r="I13237" s="489"/>
      <c r="J13237" s="1362"/>
      <c r="K13237" s="1362"/>
      <c r="L13237" s="1362"/>
    </row>
    <row r="13238" spans="1:12" x14ac:dyDescent="0.25">
      <c r="A13238">
        <v>94737</v>
      </c>
      <c r="B13238" t="s">
        <v>1687</v>
      </c>
      <c r="C13238" t="s">
        <v>138</v>
      </c>
      <c r="D13238" s="254">
        <v>140.41999999999999</v>
      </c>
      <c r="E13238"/>
      <c r="F13238"/>
      <c r="G13238"/>
      <c r="H13238"/>
      <c r="I13238" s="489"/>
      <c r="J13238" s="1362"/>
      <c r="K13238" s="1362"/>
      <c r="L13238" s="1362"/>
    </row>
    <row r="13239" spans="1:12" x14ac:dyDescent="0.25">
      <c r="A13239">
        <v>94740</v>
      </c>
      <c r="B13239" t="s">
        <v>1688</v>
      </c>
      <c r="C13239" t="s">
        <v>138</v>
      </c>
      <c r="D13239" s="254">
        <v>10.24</v>
      </c>
      <c r="E13239"/>
      <c r="F13239"/>
      <c r="G13239"/>
      <c r="H13239"/>
      <c r="I13239" s="489"/>
      <c r="J13239" s="1362"/>
      <c r="K13239" s="1362"/>
      <c r="L13239" s="1362"/>
    </row>
    <row r="13240" spans="1:12" x14ac:dyDescent="0.25">
      <c r="A13240">
        <v>94741</v>
      </c>
      <c r="B13240" t="s">
        <v>1689</v>
      </c>
      <c r="C13240" t="s">
        <v>138</v>
      </c>
      <c r="D13240" s="254">
        <v>12.27</v>
      </c>
      <c r="E13240"/>
      <c r="F13240"/>
      <c r="G13240"/>
      <c r="H13240"/>
      <c r="I13240" s="489"/>
      <c r="J13240" s="1362"/>
      <c r="K13240" s="1362"/>
      <c r="L13240" s="1362"/>
    </row>
    <row r="13241" spans="1:12" x14ac:dyDescent="0.25">
      <c r="A13241">
        <v>94742</v>
      </c>
      <c r="B13241" t="s">
        <v>1690</v>
      </c>
      <c r="C13241" t="s">
        <v>138</v>
      </c>
      <c r="D13241" s="254">
        <v>14.53</v>
      </c>
      <c r="E13241"/>
      <c r="F13241"/>
      <c r="G13241"/>
      <c r="H13241"/>
      <c r="I13241" s="489"/>
      <c r="J13241" s="1362"/>
      <c r="K13241" s="1362"/>
      <c r="L13241" s="1362"/>
    </row>
    <row r="13242" spans="1:12" x14ac:dyDescent="0.25">
      <c r="A13242">
        <v>94743</v>
      </c>
      <c r="B13242" t="s">
        <v>1691</v>
      </c>
      <c r="C13242" t="s">
        <v>138</v>
      </c>
      <c r="D13242" s="254">
        <v>15.81</v>
      </c>
      <c r="E13242"/>
      <c r="F13242"/>
      <c r="G13242"/>
      <c r="H13242"/>
      <c r="I13242" s="489"/>
      <c r="J13242" s="1362"/>
      <c r="K13242" s="1362"/>
      <c r="L13242" s="1362"/>
    </row>
    <row r="13243" spans="1:12" x14ac:dyDescent="0.25">
      <c r="A13243">
        <v>94744</v>
      </c>
      <c r="B13243" t="s">
        <v>1692</v>
      </c>
      <c r="C13243" t="s">
        <v>138</v>
      </c>
      <c r="D13243" s="254">
        <v>22.69</v>
      </c>
      <c r="E13243"/>
      <c r="F13243"/>
      <c r="G13243"/>
      <c r="H13243"/>
      <c r="I13243" s="489"/>
      <c r="J13243" s="1362"/>
      <c r="K13243" s="1362"/>
      <c r="L13243" s="1362"/>
    </row>
    <row r="13244" spans="1:12" x14ac:dyDescent="0.25">
      <c r="A13244">
        <v>94746</v>
      </c>
      <c r="B13244" t="s">
        <v>1693</v>
      </c>
      <c r="C13244" t="s">
        <v>138</v>
      </c>
      <c r="D13244" s="254">
        <v>31.22</v>
      </c>
      <c r="E13244"/>
      <c r="F13244"/>
      <c r="G13244"/>
      <c r="H13244"/>
      <c r="I13244" s="489"/>
      <c r="J13244" s="1362"/>
      <c r="K13244" s="1362"/>
      <c r="L13244" s="1362"/>
    </row>
    <row r="13245" spans="1:12" x14ac:dyDescent="0.25">
      <c r="A13245">
        <v>94748</v>
      </c>
      <c r="B13245" t="s">
        <v>1694</v>
      </c>
      <c r="C13245" t="s">
        <v>138</v>
      </c>
      <c r="D13245" s="254">
        <v>63.44</v>
      </c>
      <c r="E13245"/>
      <c r="F13245"/>
      <c r="G13245"/>
      <c r="H13245"/>
      <c r="I13245" s="489"/>
      <c r="J13245" s="1362"/>
      <c r="K13245" s="1362"/>
      <c r="L13245" s="1362"/>
    </row>
    <row r="13246" spans="1:12" x14ac:dyDescent="0.25">
      <c r="A13246">
        <v>94750</v>
      </c>
      <c r="B13246" t="s">
        <v>1695</v>
      </c>
      <c r="C13246" t="s">
        <v>138</v>
      </c>
      <c r="D13246" s="254">
        <v>144.11000000000001</v>
      </c>
      <c r="E13246"/>
      <c r="F13246"/>
      <c r="G13246"/>
      <c r="H13246"/>
      <c r="I13246" s="489"/>
      <c r="J13246" s="1362"/>
      <c r="K13246" s="1362"/>
      <c r="L13246" s="1362"/>
    </row>
    <row r="13247" spans="1:12" x14ac:dyDescent="0.25">
      <c r="A13247">
        <v>94752</v>
      </c>
      <c r="B13247" t="s">
        <v>1696</v>
      </c>
      <c r="C13247" t="s">
        <v>138</v>
      </c>
      <c r="D13247" s="254">
        <v>179.2</v>
      </c>
      <c r="E13247"/>
      <c r="F13247"/>
      <c r="G13247"/>
      <c r="H13247"/>
      <c r="I13247" s="489"/>
      <c r="J13247" s="1362"/>
      <c r="K13247" s="1362"/>
      <c r="L13247" s="1362"/>
    </row>
    <row r="13248" spans="1:12" x14ac:dyDescent="0.25">
      <c r="A13248">
        <v>94756</v>
      </c>
      <c r="B13248" t="s">
        <v>1697</v>
      </c>
      <c r="C13248" t="s">
        <v>138</v>
      </c>
      <c r="D13248" s="254">
        <v>13.1</v>
      </c>
      <c r="E13248"/>
      <c r="F13248"/>
      <c r="G13248"/>
      <c r="H13248"/>
      <c r="I13248" s="489"/>
      <c r="J13248" s="1362"/>
      <c r="K13248" s="1362"/>
      <c r="L13248" s="1362"/>
    </row>
    <row r="13249" spans="1:12" x14ac:dyDescent="0.25">
      <c r="A13249">
        <v>94757</v>
      </c>
      <c r="B13249" t="s">
        <v>1698</v>
      </c>
      <c r="C13249" t="s">
        <v>138</v>
      </c>
      <c r="D13249" s="254">
        <v>16.93</v>
      </c>
      <c r="E13249"/>
      <c r="F13249"/>
      <c r="G13249"/>
      <c r="H13249"/>
      <c r="I13249" s="489"/>
      <c r="J13249" s="1362"/>
      <c r="K13249" s="1362"/>
      <c r="L13249" s="1362"/>
    </row>
    <row r="13250" spans="1:12" x14ac:dyDescent="0.25">
      <c r="A13250">
        <v>94758</v>
      </c>
      <c r="B13250" t="s">
        <v>1699</v>
      </c>
      <c r="C13250" t="s">
        <v>138</v>
      </c>
      <c r="D13250" s="254">
        <v>40.06</v>
      </c>
      <c r="E13250"/>
      <c r="F13250"/>
      <c r="G13250"/>
      <c r="H13250"/>
      <c r="I13250" s="489"/>
      <c r="J13250" s="1362"/>
      <c r="K13250" s="1362"/>
      <c r="L13250" s="1362"/>
    </row>
    <row r="13251" spans="1:12" x14ac:dyDescent="0.25">
      <c r="A13251">
        <v>94759</v>
      </c>
      <c r="B13251" t="s">
        <v>1700</v>
      </c>
      <c r="C13251" t="s">
        <v>138</v>
      </c>
      <c r="D13251" s="254">
        <v>48.56</v>
      </c>
      <c r="E13251"/>
      <c r="F13251"/>
      <c r="G13251"/>
      <c r="H13251"/>
      <c r="I13251" s="489"/>
      <c r="J13251" s="1362"/>
      <c r="K13251" s="1362"/>
      <c r="L13251" s="1362"/>
    </row>
    <row r="13252" spans="1:12" x14ac:dyDescent="0.25">
      <c r="A13252">
        <v>94760</v>
      </c>
      <c r="B13252" t="s">
        <v>1701</v>
      </c>
      <c r="C13252" t="s">
        <v>138</v>
      </c>
      <c r="D13252" s="254">
        <v>80.040000000000006</v>
      </c>
      <c r="E13252"/>
      <c r="F13252"/>
      <c r="G13252"/>
      <c r="H13252"/>
      <c r="I13252" s="489"/>
      <c r="J13252" s="1362"/>
      <c r="K13252" s="1362"/>
      <c r="L13252" s="1362"/>
    </row>
    <row r="13253" spans="1:12" x14ac:dyDescent="0.25">
      <c r="A13253">
        <v>94761</v>
      </c>
      <c r="B13253" t="s">
        <v>1702</v>
      </c>
      <c r="C13253" t="s">
        <v>138</v>
      </c>
      <c r="D13253" s="254">
        <v>165.31</v>
      </c>
      <c r="E13253"/>
      <c r="F13253"/>
      <c r="G13253"/>
      <c r="H13253"/>
      <c r="I13253" s="489"/>
      <c r="J13253" s="1362"/>
      <c r="K13253" s="1362"/>
      <c r="L13253" s="1362"/>
    </row>
    <row r="13254" spans="1:12" x14ac:dyDescent="0.25">
      <c r="A13254">
        <v>94762</v>
      </c>
      <c r="B13254" t="s">
        <v>1703</v>
      </c>
      <c r="C13254" t="s">
        <v>138</v>
      </c>
      <c r="D13254" s="254">
        <v>215.77</v>
      </c>
      <c r="E13254"/>
      <c r="F13254"/>
      <c r="G13254"/>
      <c r="H13254"/>
      <c r="I13254" s="489"/>
      <c r="J13254" s="1362"/>
      <c r="K13254" s="1362"/>
      <c r="L13254" s="1362"/>
    </row>
    <row r="13255" spans="1:12" x14ac:dyDescent="0.25">
      <c r="A13255">
        <v>94783</v>
      </c>
      <c r="B13255" t="s">
        <v>1704</v>
      </c>
      <c r="C13255" t="s">
        <v>138</v>
      </c>
      <c r="D13255" s="254">
        <v>21.33</v>
      </c>
      <c r="E13255"/>
      <c r="F13255"/>
      <c r="G13255"/>
      <c r="H13255"/>
      <c r="I13255" s="489"/>
      <c r="J13255" s="1362"/>
      <c r="K13255" s="1362"/>
      <c r="L13255" s="1362"/>
    </row>
    <row r="13256" spans="1:12" x14ac:dyDescent="0.25">
      <c r="A13256">
        <v>94785</v>
      </c>
      <c r="B13256" t="s">
        <v>1705</v>
      </c>
      <c r="C13256" t="s">
        <v>138</v>
      </c>
      <c r="D13256" s="254">
        <v>38.869999999999997</v>
      </c>
      <c r="E13256"/>
      <c r="F13256"/>
      <c r="G13256"/>
      <c r="H13256"/>
      <c r="I13256" s="489"/>
      <c r="J13256" s="1362"/>
      <c r="K13256" s="1362"/>
      <c r="L13256" s="1362"/>
    </row>
    <row r="13257" spans="1:12" x14ac:dyDescent="0.25">
      <c r="A13257">
        <v>94786</v>
      </c>
      <c r="B13257" t="s">
        <v>1706</v>
      </c>
      <c r="C13257" t="s">
        <v>138</v>
      </c>
      <c r="D13257" s="254">
        <v>50.77</v>
      </c>
      <c r="E13257"/>
      <c r="F13257"/>
      <c r="G13257"/>
      <c r="H13257"/>
      <c r="I13257" s="489"/>
      <c r="J13257" s="1362"/>
      <c r="K13257" s="1362"/>
      <c r="L13257" s="1362"/>
    </row>
    <row r="13258" spans="1:12" x14ac:dyDescent="0.25">
      <c r="A13258">
        <v>94787</v>
      </c>
      <c r="B13258" t="s">
        <v>1707</v>
      </c>
      <c r="C13258" t="s">
        <v>138</v>
      </c>
      <c r="D13258" s="254">
        <v>67</v>
      </c>
      <c r="E13258"/>
      <c r="F13258"/>
      <c r="G13258"/>
      <c r="H13258"/>
      <c r="I13258" s="489"/>
      <c r="J13258" s="1362"/>
      <c r="K13258" s="1362"/>
      <c r="L13258" s="1362"/>
    </row>
    <row r="13259" spans="1:12" x14ac:dyDescent="0.25">
      <c r="A13259">
        <v>94788</v>
      </c>
      <c r="B13259" t="s">
        <v>1708</v>
      </c>
      <c r="C13259" t="s">
        <v>138</v>
      </c>
      <c r="D13259" s="254">
        <v>96.92</v>
      </c>
      <c r="E13259"/>
      <c r="F13259"/>
      <c r="G13259"/>
      <c r="H13259"/>
      <c r="I13259" s="489"/>
      <c r="J13259" s="1362"/>
      <c r="K13259" s="1362"/>
      <c r="L13259" s="1362"/>
    </row>
    <row r="13260" spans="1:12" x14ac:dyDescent="0.25">
      <c r="A13260">
        <v>94789</v>
      </c>
      <c r="B13260" t="s">
        <v>1709</v>
      </c>
      <c r="C13260" t="s">
        <v>138</v>
      </c>
      <c r="D13260" s="254">
        <v>304.52999999999997</v>
      </c>
      <c r="E13260"/>
      <c r="F13260"/>
      <c r="G13260"/>
      <c r="H13260"/>
      <c r="I13260" s="489"/>
      <c r="J13260" s="1362"/>
      <c r="K13260" s="1362"/>
      <c r="L13260" s="1362"/>
    </row>
    <row r="13261" spans="1:12" x14ac:dyDescent="0.25">
      <c r="A13261">
        <v>94790</v>
      </c>
      <c r="B13261" t="s">
        <v>1710</v>
      </c>
      <c r="C13261" t="s">
        <v>138</v>
      </c>
      <c r="D13261" s="254">
        <v>352.28</v>
      </c>
      <c r="E13261"/>
      <c r="F13261"/>
      <c r="G13261"/>
      <c r="H13261"/>
      <c r="I13261" s="489"/>
      <c r="J13261" s="1362"/>
      <c r="K13261" s="1362"/>
      <c r="L13261" s="1362"/>
    </row>
    <row r="13262" spans="1:12" x14ac:dyDescent="0.25">
      <c r="A13262">
        <v>94791</v>
      </c>
      <c r="B13262" t="s">
        <v>1711</v>
      </c>
      <c r="C13262" t="s">
        <v>138</v>
      </c>
      <c r="D13262" s="254">
        <v>493.56</v>
      </c>
      <c r="E13262"/>
      <c r="F13262"/>
      <c r="G13262"/>
      <c r="H13262"/>
      <c r="I13262" s="489"/>
      <c r="J13262" s="1362"/>
      <c r="K13262" s="1362"/>
      <c r="L13262" s="1362"/>
    </row>
    <row r="13263" spans="1:12" x14ac:dyDescent="0.25">
      <c r="A13263">
        <v>94863</v>
      </c>
      <c r="B13263" t="s">
        <v>1712</v>
      </c>
      <c r="C13263" t="s">
        <v>138</v>
      </c>
      <c r="D13263" s="254">
        <v>117.6</v>
      </c>
      <c r="E13263"/>
      <c r="F13263"/>
      <c r="G13263"/>
      <c r="H13263"/>
      <c r="I13263" s="489"/>
      <c r="J13263" s="1362"/>
      <c r="K13263" s="1362"/>
      <c r="L13263" s="1362"/>
    </row>
    <row r="13264" spans="1:12" x14ac:dyDescent="0.25">
      <c r="A13264">
        <v>95141</v>
      </c>
      <c r="B13264" t="s">
        <v>1713</v>
      </c>
      <c r="C13264" t="s">
        <v>138</v>
      </c>
      <c r="D13264" s="254">
        <v>36.29</v>
      </c>
      <c r="E13264"/>
      <c r="F13264"/>
      <c r="G13264"/>
      <c r="H13264"/>
      <c r="I13264" s="489"/>
      <c r="J13264" s="1362"/>
      <c r="K13264" s="1362"/>
      <c r="L13264" s="1362"/>
    </row>
    <row r="13265" spans="1:12" x14ac:dyDescent="0.25">
      <c r="A13265">
        <v>95237</v>
      </c>
      <c r="B13265" t="s">
        <v>19273</v>
      </c>
      <c r="C13265" t="s">
        <v>138</v>
      </c>
      <c r="D13265" s="254">
        <v>29.82</v>
      </c>
      <c r="E13265"/>
      <c r="F13265"/>
      <c r="G13265"/>
      <c r="H13265"/>
      <c r="I13265" s="489"/>
      <c r="J13265" s="1362"/>
      <c r="K13265" s="1362"/>
      <c r="L13265" s="1362"/>
    </row>
    <row r="13266" spans="1:12" x14ac:dyDescent="0.25">
      <c r="A13266">
        <v>95693</v>
      </c>
      <c r="B13266" t="s">
        <v>19274</v>
      </c>
      <c r="C13266" t="s">
        <v>138</v>
      </c>
      <c r="D13266" s="254">
        <v>52.02</v>
      </c>
      <c r="E13266"/>
      <c r="F13266"/>
      <c r="G13266"/>
      <c r="H13266"/>
      <c r="I13266" s="489"/>
      <c r="J13266" s="1362"/>
      <c r="K13266" s="1362"/>
      <c r="L13266" s="1362"/>
    </row>
    <row r="13267" spans="1:12" x14ac:dyDescent="0.25">
      <c r="A13267">
        <v>95694</v>
      </c>
      <c r="B13267" t="s">
        <v>19275</v>
      </c>
      <c r="C13267" t="s">
        <v>138</v>
      </c>
      <c r="D13267" s="254">
        <v>79.84</v>
      </c>
      <c r="E13267"/>
      <c r="F13267"/>
      <c r="G13267"/>
      <c r="H13267"/>
      <c r="I13267" s="489"/>
      <c r="J13267" s="1362"/>
      <c r="K13267" s="1362"/>
      <c r="L13267" s="1362"/>
    </row>
    <row r="13268" spans="1:12" x14ac:dyDescent="0.25">
      <c r="A13268">
        <v>95695</v>
      </c>
      <c r="B13268" t="s">
        <v>19276</v>
      </c>
      <c r="C13268" t="s">
        <v>138</v>
      </c>
      <c r="D13268" s="254">
        <v>87.32</v>
      </c>
      <c r="E13268"/>
      <c r="F13268"/>
      <c r="G13268"/>
      <c r="H13268"/>
      <c r="I13268" s="489"/>
      <c r="J13268" s="1362"/>
      <c r="K13268" s="1362"/>
      <c r="L13268" s="1362"/>
    </row>
    <row r="13269" spans="1:12" x14ac:dyDescent="0.25">
      <c r="A13269">
        <v>95696</v>
      </c>
      <c r="B13269" t="s">
        <v>5570</v>
      </c>
      <c r="C13269" t="s">
        <v>138</v>
      </c>
      <c r="D13269" s="254">
        <v>32.29</v>
      </c>
      <c r="E13269"/>
      <c r="F13269"/>
      <c r="G13269"/>
      <c r="H13269"/>
      <c r="I13269" s="489"/>
      <c r="J13269" s="1362"/>
      <c r="K13269" s="1362"/>
      <c r="L13269" s="1362"/>
    </row>
    <row r="13270" spans="1:12" x14ac:dyDescent="0.25">
      <c r="A13270">
        <v>96637</v>
      </c>
      <c r="B13270" t="s">
        <v>19277</v>
      </c>
      <c r="C13270" t="s">
        <v>138</v>
      </c>
      <c r="D13270" s="254">
        <v>16.850000000000001</v>
      </c>
      <c r="E13270"/>
      <c r="F13270"/>
      <c r="G13270"/>
      <c r="H13270"/>
      <c r="I13270" s="489"/>
      <c r="J13270" s="1362"/>
      <c r="K13270" s="1362"/>
      <c r="L13270" s="1362"/>
    </row>
    <row r="13271" spans="1:12" x14ac:dyDescent="0.25">
      <c r="A13271">
        <v>96638</v>
      </c>
      <c r="B13271" t="s">
        <v>19278</v>
      </c>
      <c r="C13271" t="s">
        <v>138</v>
      </c>
      <c r="D13271" s="254">
        <v>16.25</v>
      </c>
      <c r="E13271"/>
      <c r="F13271"/>
      <c r="G13271"/>
      <c r="H13271"/>
      <c r="I13271" s="489"/>
      <c r="J13271" s="1362"/>
      <c r="K13271" s="1362"/>
      <c r="L13271" s="1362"/>
    </row>
    <row r="13272" spans="1:12" x14ac:dyDescent="0.25">
      <c r="A13272">
        <v>96639</v>
      </c>
      <c r="B13272" t="s">
        <v>19279</v>
      </c>
      <c r="C13272" t="s">
        <v>138</v>
      </c>
      <c r="D13272" s="254">
        <v>11.73</v>
      </c>
      <c r="E13272"/>
      <c r="F13272"/>
      <c r="G13272"/>
      <c r="H13272"/>
      <c r="I13272" s="489"/>
      <c r="J13272" s="1362"/>
      <c r="K13272" s="1362"/>
      <c r="L13272" s="1362"/>
    </row>
    <row r="13273" spans="1:12" x14ac:dyDescent="0.25">
      <c r="A13273">
        <v>96640</v>
      </c>
      <c r="B13273" t="s">
        <v>19280</v>
      </c>
      <c r="C13273" t="s">
        <v>138</v>
      </c>
      <c r="D13273" s="254">
        <v>25.76</v>
      </c>
      <c r="E13273"/>
      <c r="F13273"/>
      <c r="G13273"/>
      <c r="H13273"/>
      <c r="I13273" s="489"/>
      <c r="J13273" s="1362"/>
      <c r="K13273" s="1362"/>
      <c r="L13273" s="1362"/>
    </row>
    <row r="13274" spans="1:12" x14ac:dyDescent="0.25">
      <c r="A13274">
        <v>96641</v>
      </c>
      <c r="B13274" t="s">
        <v>19281</v>
      </c>
      <c r="C13274" t="s">
        <v>138</v>
      </c>
      <c r="D13274" s="254">
        <v>19.809999999999999</v>
      </c>
      <c r="E13274"/>
      <c r="F13274"/>
      <c r="G13274"/>
      <c r="H13274"/>
      <c r="I13274" s="489"/>
      <c r="J13274" s="1362"/>
      <c r="K13274" s="1362"/>
      <c r="L13274" s="1362"/>
    </row>
    <row r="13275" spans="1:12" x14ac:dyDescent="0.25">
      <c r="A13275">
        <v>96642</v>
      </c>
      <c r="B13275" t="s">
        <v>19282</v>
      </c>
      <c r="C13275" t="s">
        <v>138</v>
      </c>
      <c r="D13275" s="254">
        <v>22.32</v>
      </c>
      <c r="E13275"/>
      <c r="F13275"/>
      <c r="G13275"/>
      <c r="H13275"/>
      <c r="I13275" s="489"/>
      <c r="J13275" s="1362"/>
      <c r="K13275" s="1362"/>
      <c r="L13275" s="1362"/>
    </row>
    <row r="13276" spans="1:12" x14ac:dyDescent="0.25">
      <c r="A13276">
        <v>96643</v>
      </c>
      <c r="B13276" t="s">
        <v>19283</v>
      </c>
      <c r="C13276" t="s">
        <v>138</v>
      </c>
      <c r="D13276" s="254">
        <v>51.91</v>
      </c>
      <c r="E13276"/>
      <c r="F13276"/>
      <c r="G13276"/>
      <c r="H13276"/>
      <c r="I13276" s="489"/>
      <c r="J13276" s="1362"/>
      <c r="K13276" s="1362"/>
      <c r="L13276" s="1362"/>
    </row>
    <row r="13277" spans="1:12" x14ac:dyDescent="0.25">
      <c r="A13277">
        <v>96650</v>
      </c>
      <c r="B13277" t="s">
        <v>19284</v>
      </c>
      <c r="C13277" t="s">
        <v>138</v>
      </c>
      <c r="D13277" s="254">
        <v>9.7200000000000006</v>
      </c>
      <c r="E13277"/>
      <c r="F13277"/>
      <c r="G13277"/>
      <c r="H13277"/>
      <c r="I13277" s="489"/>
      <c r="J13277" s="1362"/>
      <c r="K13277" s="1362"/>
      <c r="L13277" s="1362"/>
    </row>
    <row r="13278" spans="1:12" x14ac:dyDescent="0.25">
      <c r="A13278">
        <v>96651</v>
      </c>
      <c r="B13278" t="s">
        <v>19285</v>
      </c>
      <c r="C13278" t="s">
        <v>138</v>
      </c>
      <c r="D13278" s="254">
        <v>9.1199999999999992</v>
      </c>
      <c r="E13278"/>
      <c r="F13278"/>
      <c r="G13278"/>
      <c r="H13278"/>
      <c r="I13278" s="489"/>
      <c r="J13278" s="1362"/>
      <c r="K13278" s="1362"/>
      <c r="L13278" s="1362"/>
    </row>
    <row r="13279" spans="1:12" x14ac:dyDescent="0.25">
      <c r="A13279">
        <v>96652</v>
      </c>
      <c r="B13279" t="s">
        <v>19286</v>
      </c>
      <c r="C13279" t="s">
        <v>138</v>
      </c>
      <c r="D13279" s="254">
        <v>11.78</v>
      </c>
      <c r="E13279"/>
      <c r="F13279"/>
      <c r="G13279"/>
      <c r="H13279"/>
      <c r="I13279" s="489"/>
      <c r="J13279" s="1362"/>
      <c r="K13279" s="1362"/>
      <c r="L13279" s="1362"/>
    </row>
    <row r="13280" spans="1:12" x14ac:dyDescent="0.25">
      <c r="A13280">
        <v>96653</v>
      </c>
      <c r="B13280" t="s">
        <v>19287</v>
      </c>
      <c r="C13280" t="s">
        <v>138</v>
      </c>
      <c r="D13280" s="254">
        <v>11.71</v>
      </c>
      <c r="E13280"/>
      <c r="F13280"/>
      <c r="G13280"/>
      <c r="H13280"/>
      <c r="I13280" s="489"/>
      <c r="J13280" s="1362"/>
      <c r="K13280" s="1362"/>
      <c r="L13280" s="1362"/>
    </row>
    <row r="13281" spans="1:12" x14ac:dyDescent="0.25">
      <c r="A13281">
        <v>96654</v>
      </c>
      <c r="B13281" t="s">
        <v>19288</v>
      </c>
      <c r="C13281" t="s">
        <v>138</v>
      </c>
      <c r="D13281" s="254">
        <v>16.64</v>
      </c>
      <c r="E13281"/>
      <c r="F13281"/>
      <c r="G13281"/>
      <c r="H13281"/>
      <c r="I13281" s="489"/>
      <c r="J13281" s="1362"/>
      <c r="K13281" s="1362"/>
      <c r="L13281" s="1362"/>
    </row>
    <row r="13282" spans="1:12" x14ac:dyDescent="0.25">
      <c r="A13282">
        <v>96655</v>
      </c>
      <c r="B13282" t="s">
        <v>19289</v>
      </c>
      <c r="C13282" t="s">
        <v>138</v>
      </c>
      <c r="D13282" s="254">
        <v>15.99</v>
      </c>
      <c r="E13282"/>
      <c r="F13282"/>
      <c r="G13282"/>
      <c r="H13282"/>
      <c r="I13282" s="489"/>
      <c r="J13282" s="1362"/>
      <c r="K13282" s="1362"/>
      <c r="L13282" s="1362"/>
    </row>
    <row r="13283" spans="1:12" x14ac:dyDescent="0.25">
      <c r="A13283">
        <v>96656</v>
      </c>
      <c r="B13283" t="s">
        <v>19290</v>
      </c>
      <c r="C13283" t="s">
        <v>138</v>
      </c>
      <c r="D13283" s="254">
        <v>6.98</v>
      </c>
      <c r="E13283"/>
      <c r="F13283"/>
      <c r="G13283"/>
      <c r="H13283"/>
      <c r="I13283" s="489"/>
      <c r="J13283" s="1362"/>
      <c r="K13283" s="1362"/>
      <c r="L13283" s="1362"/>
    </row>
    <row r="13284" spans="1:12" x14ac:dyDescent="0.25">
      <c r="A13284">
        <v>96657</v>
      </c>
      <c r="B13284" t="s">
        <v>19291</v>
      </c>
      <c r="C13284" t="s">
        <v>138</v>
      </c>
      <c r="D13284" s="254">
        <v>23.63</v>
      </c>
      <c r="E13284"/>
      <c r="F13284"/>
      <c r="G13284"/>
      <c r="H13284"/>
      <c r="I13284" s="489"/>
      <c r="J13284" s="1362"/>
      <c r="K13284" s="1362"/>
      <c r="L13284" s="1362"/>
    </row>
    <row r="13285" spans="1:12" x14ac:dyDescent="0.25">
      <c r="A13285">
        <v>96658</v>
      </c>
      <c r="B13285" t="s">
        <v>19292</v>
      </c>
      <c r="C13285" t="s">
        <v>138</v>
      </c>
      <c r="D13285" s="254">
        <v>17.68</v>
      </c>
      <c r="E13285"/>
      <c r="F13285"/>
      <c r="G13285"/>
      <c r="H13285"/>
      <c r="I13285" s="489"/>
      <c r="J13285" s="1362"/>
      <c r="K13285" s="1362"/>
      <c r="L13285" s="1362"/>
    </row>
    <row r="13286" spans="1:12" x14ac:dyDescent="0.25">
      <c r="A13286">
        <v>96659</v>
      </c>
      <c r="B13286" t="s">
        <v>19293</v>
      </c>
      <c r="C13286" t="s">
        <v>138</v>
      </c>
      <c r="D13286" s="254">
        <v>8.0500000000000007</v>
      </c>
      <c r="E13286"/>
      <c r="F13286"/>
      <c r="G13286"/>
      <c r="H13286"/>
      <c r="I13286" s="489"/>
      <c r="J13286" s="1362"/>
      <c r="K13286" s="1362"/>
      <c r="L13286" s="1362"/>
    </row>
    <row r="13287" spans="1:12" x14ac:dyDescent="0.25">
      <c r="A13287">
        <v>96660</v>
      </c>
      <c r="B13287" t="s">
        <v>19294</v>
      </c>
      <c r="C13287" t="s">
        <v>138</v>
      </c>
      <c r="D13287" s="254">
        <v>35.69</v>
      </c>
      <c r="E13287"/>
      <c r="F13287"/>
      <c r="G13287"/>
      <c r="H13287"/>
      <c r="I13287" s="489"/>
      <c r="J13287" s="1362"/>
      <c r="K13287" s="1362"/>
      <c r="L13287" s="1362"/>
    </row>
    <row r="13288" spans="1:12" x14ac:dyDescent="0.25">
      <c r="A13288">
        <v>96661</v>
      </c>
      <c r="B13288" t="s">
        <v>19295</v>
      </c>
      <c r="C13288" t="s">
        <v>138</v>
      </c>
      <c r="D13288" s="254">
        <v>26.55</v>
      </c>
      <c r="E13288"/>
      <c r="F13288"/>
      <c r="G13288"/>
      <c r="H13288"/>
      <c r="I13288" s="489"/>
      <c r="J13288" s="1362"/>
      <c r="K13288" s="1362"/>
      <c r="L13288" s="1362"/>
    </row>
    <row r="13289" spans="1:12" x14ac:dyDescent="0.25">
      <c r="A13289">
        <v>96662</v>
      </c>
      <c r="B13289" t="s">
        <v>19296</v>
      </c>
      <c r="C13289" t="s">
        <v>138</v>
      </c>
      <c r="D13289" s="254">
        <v>8.23</v>
      </c>
      <c r="E13289"/>
      <c r="F13289"/>
      <c r="G13289"/>
      <c r="H13289"/>
      <c r="I13289" s="489"/>
      <c r="J13289" s="1362"/>
      <c r="K13289" s="1362"/>
      <c r="L13289" s="1362"/>
    </row>
    <row r="13290" spans="1:12" x14ac:dyDescent="0.25">
      <c r="A13290">
        <v>96663</v>
      </c>
      <c r="B13290" t="s">
        <v>19297</v>
      </c>
      <c r="C13290" t="s">
        <v>138</v>
      </c>
      <c r="D13290" s="254">
        <v>13.72</v>
      </c>
      <c r="E13290"/>
      <c r="F13290"/>
      <c r="G13290"/>
      <c r="H13290"/>
      <c r="I13290" s="489"/>
      <c r="J13290" s="1362"/>
      <c r="K13290" s="1362"/>
      <c r="L13290" s="1362"/>
    </row>
    <row r="13291" spans="1:12" x14ac:dyDescent="0.25">
      <c r="A13291">
        <v>96664</v>
      </c>
      <c r="B13291" t="s">
        <v>19298</v>
      </c>
      <c r="C13291" t="s">
        <v>138</v>
      </c>
      <c r="D13291" s="254">
        <v>15.45</v>
      </c>
      <c r="E13291"/>
      <c r="F13291"/>
      <c r="G13291"/>
      <c r="H13291"/>
      <c r="I13291" s="489"/>
      <c r="J13291" s="1362"/>
      <c r="K13291" s="1362"/>
      <c r="L13291" s="1362"/>
    </row>
    <row r="13292" spans="1:12" x14ac:dyDescent="0.25">
      <c r="A13292">
        <v>96665</v>
      </c>
      <c r="B13292" t="s">
        <v>19299</v>
      </c>
      <c r="C13292" t="s">
        <v>138</v>
      </c>
      <c r="D13292" s="254">
        <v>12.79</v>
      </c>
      <c r="E13292"/>
      <c r="F13292"/>
      <c r="G13292"/>
      <c r="H13292"/>
      <c r="I13292" s="489"/>
      <c r="J13292" s="1362"/>
      <c r="K13292" s="1362"/>
      <c r="L13292" s="1362"/>
    </row>
    <row r="13293" spans="1:12" x14ac:dyDescent="0.25">
      <c r="A13293">
        <v>96666</v>
      </c>
      <c r="B13293" t="s">
        <v>19300</v>
      </c>
      <c r="C13293" t="s">
        <v>138</v>
      </c>
      <c r="D13293" s="254">
        <v>15.86</v>
      </c>
      <c r="E13293"/>
      <c r="F13293"/>
      <c r="G13293"/>
      <c r="H13293"/>
      <c r="I13293" s="489"/>
      <c r="J13293" s="1362"/>
      <c r="K13293" s="1362"/>
      <c r="L13293" s="1362"/>
    </row>
    <row r="13294" spans="1:12" x14ac:dyDescent="0.25">
      <c r="A13294">
        <v>96667</v>
      </c>
      <c r="B13294" t="s">
        <v>19301</v>
      </c>
      <c r="C13294" t="s">
        <v>138</v>
      </c>
      <c r="D13294" s="254">
        <v>24.86</v>
      </c>
      <c r="E13294"/>
      <c r="F13294"/>
      <c r="G13294"/>
      <c r="H13294"/>
      <c r="I13294" s="489"/>
      <c r="J13294" s="1362"/>
      <c r="K13294" s="1362"/>
      <c r="L13294" s="1362"/>
    </row>
    <row r="13295" spans="1:12" x14ac:dyDescent="0.25">
      <c r="A13295">
        <v>96684</v>
      </c>
      <c r="B13295" t="s">
        <v>19302</v>
      </c>
      <c r="C13295" t="s">
        <v>138</v>
      </c>
      <c r="D13295" s="254">
        <v>12.28</v>
      </c>
      <c r="E13295"/>
      <c r="F13295"/>
      <c r="G13295"/>
      <c r="H13295"/>
      <c r="I13295" s="489"/>
      <c r="J13295" s="1362"/>
      <c r="K13295" s="1362"/>
      <c r="L13295" s="1362"/>
    </row>
    <row r="13296" spans="1:12" x14ac:dyDescent="0.25">
      <c r="A13296">
        <v>96685</v>
      </c>
      <c r="B13296" t="s">
        <v>19303</v>
      </c>
      <c r="C13296" t="s">
        <v>138</v>
      </c>
      <c r="D13296" s="254">
        <v>11.68</v>
      </c>
      <c r="E13296"/>
      <c r="F13296"/>
      <c r="G13296"/>
      <c r="H13296"/>
      <c r="I13296" s="489"/>
      <c r="J13296" s="1362"/>
      <c r="K13296" s="1362"/>
      <c r="L13296" s="1362"/>
    </row>
    <row r="13297" spans="1:12" x14ac:dyDescent="0.25">
      <c r="A13297">
        <v>96686</v>
      </c>
      <c r="B13297" t="s">
        <v>19304</v>
      </c>
      <c r="C13297" t="s">
        <v>138</v>
      </c>
      <c r="D13297" s="254">
        <v>16.010000000000002</v>
      </c>
      <c r="E13297"/>
      <c r="F13297"/>
      <c r="G13297"/>
      <c r="H13297"/>
      <c r="I13297" s="489"/>
      <c r="J13297" s="1362"/>
      <c r="K13297" s="1362"/>
      <c r="L13297" s="1362"/>
    </row>
    <row r="13298" spans="1:12" x14ac:dyDescent="0.25">
      <c r="A13298">
        <v>96687</v>
      </c>
      <c r="B13298" t="s">
        <v>19305</v>
      </c>
      <c r="C13298" t="s">
        <v>138</v>
      </c>
      <c r="D13298" s="254">
        <v>15.94</v>
      </c>
      <c r="E13298"/>
      <c r="F13298"/>
      <c r="G13298"/>
      <c r="H13298"/>
      <c r="I13298" s="489"/>
      <c r="J13298" s="1362"/>
      <c r="K13298" s="1362"/>
      <c r="L13298" s="1362"/>
    </row>
    <row r="13299" spans="1:12" x14ac:dyDescent="0.25">
      <c r="A13299">
        <v>96688</v>
      </c>
      <c r="B13299" t="s">
        <v>19306</v>
      </c>
      <c r="C13299" t="s">
        <v>138</v>
      </c>
      <c r="D13299" s="254">
        <v>22.74</v>
      </c>
      <c r="E13299"/>
      <c r="F13299"/>
      <c r="G13299"/>
      <c r="H13299"/>
      <c r="I13299" s="489"/>
      <c r="J13299" s="1362"/>
      <c r="K13299" s="1362"/>
      <c r="L13299" s="1362"/>
    </row>
    <row r="13300" spans="1:12" x14ac:dyDescent="0.25">
      <c r="A13300">
        <v>96689</v>
      </c>
      <c r="B13300" t="s">
        <v>19307</v>
      </c>
      <c r="C13300" t="s">
        <v>138</v>
      </c>
      <c r="D13300" s="254">
        <v>22.09</v>
      </c>
      <c r="E13300"/>
      <c r="F13300"/>
      <c r="G13300"/>
      <c r="H13300"/>
      <c r="I13300" s="489"/>
      <c r="J13300" s="1362"/>
      <c r="K13300" s="1362"/>
      <c r="L13300" s="1362"/>
    </row>
    <row r="13301" spans="1:12" x14ac:dyDescent="0.25">
      <c r="A13301">
        <v>96690</v>
      </c>
      <c r="B13301" t="s">
        <v>19308</v>
      </c>
      <c r="C13301" t="s">
        <v>138</v>
      </c>
      <c r="D13301" s="254">
        <v>35.68</v>
      </c>
      <c r="E13301"/>
      <c r="F13301"/>
      <c r="G13301"/>
      <c r="H13301"/>
      <c r="I13301" s="489"/>
      <c r="J13301" s="1362"/>
      <c r="K13301" s="1362"/>
      <c r="L13301" s="1362"/>
    </row>
    <row r="13302" spans="1:12" x14ac:dyDescent="0.25">
      <c r="A13302">
        <v>96691</v>
      </c>
      <c r="B13302" t="s">
        <v>19309</v>
      </c>
      <c r="C13302" t="s">
        <v>138</v>
      </c>
      <c r="D13302" s="254">
        <v>36.57</v>
      </c>
      <c r="E13302"/>
      <c r="F13302"/>
      <c r="G13302"/>
      <c r="H13302"/>
      <c r="I13302" s="489"/>
      <c r="J13302" s="1362"/>
      <c r="K13302" s="1362"/>
      <c r="L13302" s="1362"/>
    </row>
    <row r="13303" spans="1:12" x14ac:dyDescent="0.25">
      <c r="A13303">
        <v>96692</v>
      </c>
      <c r="B13303" t="s">
        <v>19310</v>
      </c>
      <c r="C13303" t="s">
        <v>138</v>
      </c>
      <c r="D13303" s="254">
        <v>49.14</v>
      </c>
      <c r="E13303"/>
      <c r="F13303"/>
      <c r="G13303"/>
      <c r="H13303"/>
      <c r="I13303" s="489"/>
      <c r="J13303" s="1362"/>
      <c r="K13303" s="1362"/>
      <c r="L13303" s="1362"/>
    </row>
    <row r="13304" spans="1:12" x14ac:dyDescent="0.25">
      <c r="A13304">
        <v>96693</v>
      </c>
      <c r="B13304" t="s">
        <v>19311</v>
      </c>
      <c r="C13304" t="s">
        <v>138</v>
      </c>
      <c r="D13304" s="254">
        <v>46.95</v>
      </c>
      <c r="E13304"/>
      <c r="F13304"/>
      <c r="G13304"/>
      <c r="H13304"/>
      <c r="I13304" s="489"/>
      <c r="J13304" s="1362"/>
      <c r="K13304" s="1362"/>
      <c r="L13304" s="1362"/>
    </row>
    <row r="13305" spans="1:12" x14ac:dyDescent="0.25">
      <c r="A13305">
        <v>96694</v>
      </c>
      <c r="B13305" t="s">
        <v>19312</v>
      </c>
      <c r="C13305" t="s">
        <v>138</v>
      </c>
      <c r="D13305" s="254">
        <v>97.34</v>
      </c>
      <c r="E13305"/>
      <c r="F13305"/>
      <c r="G13305"/>
      <c r="H13305"/>
      <c r="I13305" s="489"/>
      <c r="J13305" s="1362"/>
      <c r="K13305" s="1362"/>
      <c r="L13305" s="1362"/>
    </row>
    <row r="13306" spans="1:12" x14ac:dyDescent="0.25">
      <c r="A13306">
        <v>96695</v>
      </c>
      <c r="B13306" t="s">
        <v>19313</v>
      </c>
      <c r="C13306" t="s">
        <v>138</v>
      </c>
      <c r="D13306" s="254">
        <v>94.77</v>
      </c>
      <c r="E13306"/>
      <c r="F13306"/>
      <c r="G13306"/>
      <c r="H13306"/>
      <c r="I13306" s="489"/>
      <c r="J13306" s="1362"/>
      <c r="K13306" s="1362"/>
      <c r="L13306" s="1362"/>
    </row>
    <row r="13307" spans="1:12" x14ac:dyDescent="0.25">
      <c r="A13307">
        <v>96696</v>
      </c>
      <c r="B13307" t="s">
        <v>19314</v>
      </c>
      <c r="C13307" t="s">
        <v>138</v>
      </c>
      <c r="D13307" s="254">
        <v>140.38999999999999</v>
      </c>
      <c r="E13307"/>
      <c r="F13307"/>
      <c r="G13307"/>
      <c r="H13307"/>
      <c r="I13307" s="489"/>
      <c r="J13307" s="1362"/>
      <c r="K13307" s="1362"/>
      <c r="L13307" s="1362"/>
    </row>
    <row r="13308" spans="1:12" x14ac:dyDescent="0.25">
      <c r="A13308">
        <v>96697</v>
      </c>
      <c r="B13308" t="s">
        <v>19315</v>
      </c>
      <c r="C13308" t="s">
        <v>138</v>
      </c>
      <c r="D13308" s="254">
        <v>202.46</v>
      </c>
      <c r="E13308"/>
      <c r="F13308"/>
      <c r="G13308"/>
      <c r="H13308"/>
      <c r="I13308" s="489"/>
      <c r="J13308" s="1362"/>
      <c r="K13308" s="1362"/>
      <c r="L13308" s="1362"/>
    </row>
    <row r="13309" spans="1:12" x14ac:dyDescent="0.25">
      <c r="A13309">
        <v>96698</v>
      </c>
      <c r="B13309" t="s">
        <v>19316</v>
      </c>
      <c r="C13309" t="s">
        <v>138</v>
      </c>
      <c r="D13309" s="254">
        <v>8.7100000000000009</v>
      </c>
      <c r="E13309"/>
      <c r="F13309"/>
      <c r="G13309"/>
      <c r="H13309"/>
      <c r="I13309" s="489"/>
      <c r="J13309" s="1362"/>
      <c r="K13309" s="1362"/>
      <c r="L13309" s="1362"/>
    </row>
    <row r="13310" spans="1:12" x14ac:dyDescent="0.25">
      <c r="A13310">
        <v>96699</v>
      </c>
      <c r="B13310" t="s">
        <v>19317</v>
      </c>
      <c r="C13310" t="s">
        <v>138</v>
      </c>
      <c r="D13310" s="254">
        <v>25.36</v>
      </c>
      <c r="E13310"/>
      <c r="F13310"/>
      <c r="G13310"/>
      <c r="H13310"/>
      <c r="I13310" s="489"/>
      <c r="J13310" s="1362"/>
      <c r="K13310" s="1362"/>
      <c r="L13310" s="1362"/>
    </row>
    <row r="13311" spans="1:12" x14ac:dyDescent="0.25">
      <c r="A13311">
        <v>96700</v>
      </c>
      <c r="B13311" t="s">
        <v>19318</v>
      </c>
      <c r="C13311" t="s">
        <v>138</v>
      </c>
      <c r="D13311" s="254">
        <v>19.41</v>
      </c>
      <c r="E13311"/>
      <c r="F13311"/>
      <c r="G13311"/>
      <c r="H13311"/>
      <c r="I13311" s="489"/>
      <c r="J13311" s="1362"/>
      <c r="K13311" s="1362"/>
      <c r="L13311" s="1362"/>
    </row>
    <row r="13312" spans="1:12" x14ac:dyDescent="0.25">
      <c r="A13312">
        <v>96701</v>
      </c>
      <c r="B13312" t="s">
        <v>19319</v>
      </c>
      <c r="C13312" t="s">
        <v>138</v>
      </c>
      <c r="D13312" s="254">
        <v>10.87</v>
      </c>
      <c r="E13312"/>
      <c r="F13312"/>
      <c r="G13312"/>
      <c r="H13312"/>
      <c r="I13312" s="489"/>
      <c r="J13312" s="1362"/>
      <c r="K13312" s="1362"/>
      <c r="L13312" s="1362"/>
    </row>
    <row r="13313" spans="1:12" x14ac:dyDescent="0.25">
      <c r="A13313">
        <v>96702</v>
      </c>
      <c r="B13313" t="s">
        <v>19320</v>
      </c>
      <c r="C13313" t="s">
        <v>138</v>
      </c>
      <c r="D13313" s="254">
        <v>10.5</v>
      </c>
      <c r="E13313"/>
      <c r="F13313"/>
      <c r="G13313"/>
      <c r="H13313"/>
      <c r="I13313" s="489"/>
      <c r="J13313" s="1362"/>
      <c r="K13313" s="1362"/>
      <c r="L13313" s="1362"/>
    </row>
    <row r="13314" spans="1:12" x14ac:dyDescent="0.25">
      <c r="A13314">
        <v>96703</v>
      </c>
      <c r="B13314" t="s">
        <v>19321</v>
      </c>
      <c r="C13314" t="s">
        <v>138</v>
      </c>
      <c r="D13314" s="254">
        <v>17.79</v>
      </c>
      <c r="E13314"/>
      <c r="F13314"/>
      <c r="G13314"/>
      <c r="H13314"/>
      <c r="I13314" s="489"/>
      <c r="J13314" s="1362"/>
      <c r="K13314" s="1362"/>
      <c r="L13314" s="1362"/>
    </row>
    <row r="13315" spans="1:12" x14ac:dyDescent="0.25">
      <c r="A13315">
        <v>96704</v>
      </c>
      <c r="B13315" t="s">
        <v>19322</v>
      </c>
      <c r="C13315" t="s">
        <v>138</v>
      </c>
      <c r="D13315" s="254">
        <v>18.329999999999998</v>
      </c>
      <c r="E13315"/>
      <c r="F13315"/>
      <c r="G13315"/>
      <c r="H13315"/>
      <c r="I13315" s="489"/>
      <c r="J13315" s="1362"/>
      <c r="K13315" s="1362"/>
      <c r="L13315" s="1362"/>
    </row>
    <row r="13316" spans="1:12" x14ac:dyDescent="0.25">
      <c r="A13316">
        <v>96705</v>
      </c>
      <c r="B13316" t="s">
        <v>19323</v>
      </c>
      <c r="C13316" t="s">
        <v>138</v>
      </c>
      <c r="D13316" s="254">
        <v>24.24</v>
      </c>
      <c r="E13316"/>
      <c r="F13316"/>
      <c r="G13316"/>
      <c r="H13316"/>
      <c r="I13316" s="489"/>
      <c r="J13316" s="1362"/>
      <c r="K13316" s="1362"/>
      <c r="L13316" s="1362"/>
    </row>
    <row r="13317" spans="1:12" x14ac:dyDescent="0.25">
      <c r="A13317">
        <v>96706</v>
      </c>
      <c r="B13317" t="s">
        <v>19324</v>
      </c>
      <c r="C13317" t="s">
        <v>138</v>
      </c>
      <c r="D13317" s="254">
        <v>33.29</v>
      </c>
      <c r="E13317"/>
      <c r="F13317"/>
      <c r="G13317"/>
      <c r="H13317"/>
      <c r="I13317" s="489"/>
      <c r="J13317" s="1362"/>
      <c r="K13317" s="1362"/>
      <c r="L13317" s="1362"/>
    </row>
    <row r="13318" spans="1:12" x14ac:dyDescent="0.25">
      <c r="A13318">
        <v>96707</v>
      </c>
      <c r="B13318" t="s">
        <v>19325</v>
      </c>
      <c r="C13318" t="s">
        <v>138</v>
      </c>
      <c r="D13318" s="254">
        <v>62.68</v>
      </c>
      <c r="E13318"/>
      <c r="F13318"/>
      <c r="G13318"/>
      <c r="H13318"/>
      <c r="I13318" s="489"/>
      <c r="J13318" s="1362"/>
      <c r="K13318" s="1362"/>
      <c r="L13318" s="1362"/>
    </row>
    <row r="13319" spans="1:12" x14ac:dyDescent="0.25">
      <c r="A13319">
        <v>96708</v>
      </c>
      <c r="B13319" t="s">
        <v>19326</v>
      </c>
      <c r="C13319" t="s">
        <v>138</v>
      </c>
      <c r="D13319" s="254">
        <v>94.49</v>
      </c>
      <c r="E13319"/>
      <c r="F13319"/>
      <c r="G13319"/>
      <c r="H13319"/>
      <c r="I13319" s="489"/>
      <c r="J13319" s="1362"/>
      <c r="K13319" s="1362"/>
      <c r="L13319" s="1362"/>
    </row>
    <row r="13320" spans="1:12" x14ac:dyDescent="0.25">
      <c r="A13320">
        <v>96709</v>
      </c>
      <c r="B13320" t="s">
        <v>19327</v>
      </c>
      <c r="C13320" t="s">
        <v>138</v>
      </c>
      <c r="D13320" s="254">
        <v>143.94</v>
      </c>
      <c r="E13320"/>
      <c r="F13320"/>
      <c r="G13320"/>
      <c r="H13320"/>
      <c r="I13320" s="489"/>
      <c r="J13320" s="1362"/>
      <c r="K13320" s="1362"/>
      <c r="L13320" s="1362"/>
    </row>
    <row r="13321" spans="1:12" x14ac:dyDescent="0.25">
      <c r="A13321">
        <v>96710</v>
      </c>
      <c r="B13321" t="s">
        <v>19328</v>
      </c>
      <c r="C13321" t="s">
        <v>138</v>
      </c>
      <c r="D13321" s="254">
        <v>16.22</v>
      </c>
      <c r="E13321"/>
      <c r="F13321"/>
      <c r="G13321"/>
      <c r="H13321"/>
      <c r="I13321" s="489"/>
      <c r="J13321" s="1362"/>
      <c r="K13321" s="1362"/>
      <c r="L13321" s="1362"/>
    </row>
    <row r="13322" spans="1:12" x14ac:dyDescent="0.25">
      <c r="A13322">
        <v>96711</v>
      </c>
      <c r="B13322" t="s">
        <v>19329</v>
      </c>
      <c r="C13322" t="s">
        <v>138</v>
      </c>
      <c r="D13322" s="254">
        <v>21.5</v>
      </c>
      <c r="E13322"/>
      <c r="F13322"/>
      <c r="G13322"/>
      <c r="H13322"/>
      <c r="I13322" s="489"/>
      <c r="J13322" s="1362"/>
      <c r="K13322" s="1362"/>
      <c r="L13322" s="1362"/>
    </row>
    <row r="13323" spans="1:12" x14ac:dyDescent="0.25">
      <c r="A13323">
        <v>96712</v>
      </c>
      <c r="B13323" t="s">
        <v>19330</v>
      </c>
      <c r="C13323" t="s">
        <v>138</v>
      </c>
      <c r="D13323" s="254">
        <v>33.020000000000003</v>
      </c>
      <c r="E13323"/>
      <c r="F13323"/>
      <c r="G13323"/>
      <c r="H13323"/>
      <c r="I13323" s="489"/>
      <c r="J13323" s="1362"/>
      <c r="K13323" s="1362"/>
      <c r="L13323" s="1362"/>
    </row>
    <row r="13324" spans="1:12" x14ac:dyDescent="0.25">
      <c r="A13324">
        <v>96713</v>
      </c>
      <c r="B13324" t="s">
        <v>19331</v>
      </c>
      <c r="C13324" t="s">
        <v>138</v>
      </c>
      <c r="D13324" s="254">
        <v>42</v>
      </c>
      <c r="E13324"/>
      <c r="F13324"/>
      <c r="G13324"/>
      <c r="H13324"/>
      <c r="I13324" s="489"/>
      <c r="J13324" s="1362"/>
      <c r="K13324" s="1362"/>
      <c r="L13324" s="1362"/>
    </row>
    <row r="13325" spans="1:12" x14ac:dyDescent="0.25">
      <c r="A13325">
        <v>96714</v>
      </c>
      <c r="B13325" t="s">
        <v>19332</v>
      </c>
      <c r="C13325" t="s">
        <v>138</v>
      </c>
      <c r="D13325" s="254">
        <v>62.57</v>
      </c>
      <c r="E13325"/>
      <c r="F13325"/>
      <c r="G13325"/>
      <c r="H13325"/>
      <c r="I13325" s="489"/>
      <c r="J13325" s="1362"/>
      <c r="K13325" s="1362"/>
      <c r="L13325" s="1362"/>
    </row>
    <row r="13326" spans="1:12" x14ac:dyDescent="0.25">
      <c r="A13326">
        <v>96715</v>
      </c>
      <c r="B13326" t="s">
        <v>19333</v>
      </c>
      <c r="C13326" t="s">
        <v>138</v>
      </c>
      <c r="D13326" s="254">
        <v>106.53</v>
      </c>
      <c r="E13326"/>
      <c r="F13326"/>
      <c r="G13326"/>
      <c r="H13326"/>
      <c r="I13326" s="489"/>
      <c r="J13326" s="1362"/>
      <c r="K13326" s="1362"/>
      <c r="L13326" s="1362"/>
    </row>
    <row r="13327" spans="1:12" x14ac:dyDescent="0.25">
      <c r="A13327">
        <v>96716</v>
      </c>
      <c r="B13327" t="s">
        <v>19334</v>
      </c>
      <c r="C13327" t="s">
        <v>138</v>
      </c>
      <c r="D13327" s="254">
        <v>151.83000000000001</v>
      </c>
      <c r="E13327"/>
      <c r="F13327"/>
      <c r="G13327"/>
      <c r="H13327"/>
      <c r="I13327" s="489"/>
      <c r="J13327" s="1362"/>
      <c r="K13327" s="1362"/>
      <c r="L13327" s="1362"/>
    </row>
    <row r="13328" spans="1:12" x14ac:dyDescent="0.25">
      <c r="A13328">
        <v>96717</v>
      </c>
      <c r="B13328" t="s">
        <v>19335</v>
      </c>
      <c r="C13328" t="s">
        <v>138</v>
      </c>
      <c r="D13328" s="254">
        <v>228.45</v>
      </c>
      <c r="E13328"/>
      <c r="F13328"/>
      <c r="G13328"/>
      <c r="H13328"/>
      <c r="I13328" s="489"/>
      <c r="J13328" s="1362"/>
      <c r="K13328" s="1362"/>
      <c r="L13328" s="1362"/>
    </row>
    <row r="13329" spans="1:12" x14ac:dyDescent="0.25">
      <c r="A13329">
        <v>96736</v>
      </c>
      <c r="B13329" t="s">
        <v>1714</v>
      </c>
      <c r="C13329" t="s">
        <v>138</v>
      </c>
      <c r="D13329" s="254">
        <v>6.22</v>
      </c>
      <c r="E13329"/>
      <c r="F13329"/>
      <c r="G13329"/>
      <c r="H13329"/>
      <c r="I13329" s="489"/>
      <c r="J13329" s="1362"/>
      <c r="K13329" s="1362"/>
      <c r="L13329" s="1362"/>
    </row>
    <row r="13330" spans="1:12" x14ac:dyDescent="0.25">
      <c r="A13330">
        <v>96737</v>
      </c>
      <c r="B13330" t="s">
        <v>1715</v>
      </c>
      <c r="C13330" t="s">
        <v>138</v>
      </c>
      <c r="D13330" s="254">
        <v>7.13</v>
      </c>
      <c r="E13330"/>
      <c r="F13330"/>
      <c r="G13330"/>
      <c r="H13330"/>
      <c r="I13330" s="489"/>
      <c r="J13330" s="1362"/>
      <c r="K13330" s="1362"/>
      <c r="L13330" s="1362"/>
    </row>
    <row r="13331" spans="1:12" x14ac:dyDescent="0.25">
      <c r="A13331">
        <v>96738</v>
      </c>
      <c r="B13331" t="s">
        <v>1716</v>
      </c>
      <c r="C13331" t="s">
        <v>138</v>
      </c>
      <c r="D13331" s="254">
        <v>23.78</v>
      </c>
      <c r="E13331"/>
      <c r="F13331"/>
      <c r="G13331"/>
      <c r="H13331"/>
      <c r="I13331" s="489"/>
      <c r="J13331" s="1362"/>
      <c r="K13331" s="1362"/>
      <c r="L13331" s="1362"/>
    </row>
    <row r="13332" spans="1:12" x14ac:dyDescent="0.25">
      <c r="A13332">
        <v>96739</v>
      </c>
      <c r="B13332" t="s">
        <v>1717</v>
      </c>
      <c r="C13332" t="s">
        <v>138</v>
      </c>
      <c r="D13332" s="254">
        <v>9.2100000000000009</v>
      </c>
      <c r="E13332"/>
      <c r="F13332"/>
      <c r="G13332"/>
      <c r="H13332"/>
      <c r="I13332" s="489"/>
      <c r="J13332" s="1362"/>
      <c r="K13332" s="1362"/>
      <c r="L13332" s="1362"/>
    </row>
    <row r="13333" spans="1:12" x14ac:dyDescent="0.25">
      <c r="A13333">
        <v>96740</v>
      </c>
      <c r="B13333" t="s">
        <v>1718</v>
      </c>
      <c r="C13333" t="s">
        <v>138</v>
      </c>
      <c r="D13333" s="254">
        <v>36.97</v>
      </c>
      <c r="E13333"/>
      <c r="F13333"/>
      <c r="G13333"/>
      <c r="H13333"/>
      <c r="I13333" s="489"/>
      <c r="J13333" s="1362"/>
      <c r="K13333" s="1362"/>
      <c r="L13333" s="1362"/>
    </row>
    <row r="13334" spans="1:12" x14ac:dyDescent="0.25">
      <c r="A13334">
        <v>96741</v>
      </c>
      <c r="B13334" t="s">
        <v>1719</v>
      </c>
      <c r="C13334" t="s">
        <v>138</v>
      </c>
      <c r="D13334" s="254">
        <v>14.62</v>
      </c>
      <c r="E13334"/>
      <c r="F13334"/>
      <c r="G13334"/>
      <c r="H13334"/>
      <c r="I13334" s="489"/>
      <c r="J13334" s="1362"/>
      <c r="K13334" s="1362"/>
      <c r="L13334" s="1362"/>
    </row>
    <row r="13335" spans="1:12" x14ac:dyDescent="0.25">
      <c r="A13335">
        <v>96742</v>
      </c>
      <c r="B13335" t="s">
        <v>1720</v>
      </c>
      <c r="C13335" t="s">
        <v>138</v>
      </c>
      <c r="D13335" s="254">
        <v>22.19</v>
      </c>
      <c r="E13335"/>
      <c r="F13335"/>
      <c r="G13335"/>
      <c r="H13335"/>
      <c r="I13335" s="489"/>
      <c r="J13335" s="1362"/>
      <c r="K13335" s="1362"/>
      <c r="L13335" s="1362"/>
    </row>
    <row r="13336" spans="1:12" x14ac:dyDescent="0.25">
      <c r="A13336">
        <v>96743</v>
      </c>
      <c r="B13336" t="s">
        <v>1721</v>
      </c>
      <c r="C13336" t="s">
        <v>138</v>
      </c>
      <c r="D13336" s="254">
        <v>28.78</v>
      </c>
      <c r="E13336"/>
      <c r="F13336"/>
      <c r="G13336"/>
      <c r="H13336"/>
      <c r="I13336" s="489"/>
      <c r="J13336" s="1362"/>
      <c r="K13336" s="1362"/>
      <c r="L13336" s="1362"/>
    </row>
    <row r="13337" spans="1:12" x14ac:dyDescent="0.25">
      <c r="A13337">
        <v>96744</v>
      </c>
      <c r="B13337" t="s">
        <v>1722</v>
      </c>
      <c r="C13337" t="s">
        <v>138</v>
      </c>
      <c r="D13337" s="254">
        <v>61.49</v>
      </c>
      <c r="E13337"/>
      <c r="F13337"/>
      <c r="G13337"/>
      <c r="H13337"/>
      <c r="I13337" s="489"/>
      <c r="J13337" s="1362"/>
      <c r="K13337" s="1362"/>
      <c r="L13337" s="1362"/>
    </row>
    <row r="13338" spans="1:12" x14ac:dyDescent="0.25">
      <c r="A13338">
        <v>96745</v>
      </c>
      <c r="B13338" t="s">
        <v>1723</v>
      </c>
      <c r="C13338" t="s">
        <v>138</v>
      </c>
      <c r="D13338" s="254">
        <v>90.43</v>
      </c>
      <c r="E13338"/>
      <c r="F13338"/>
      <c r="G13338"/>
      <c r="H13338"/>
      <c r="I13338" s="489"/>
      <c r="J13338" s="1362"/>
      <c r="K13338" s="1362"/>
      <c r="L13338" s="1362"/>
    </row>
    <row r="13339" spans="1:12" x14ac:dyDescent="0.25">
      <c r="A13339">
        <v>96746</v>
      </c>
      <c r="B13339" t="s">
        <v>1724</v>
      </c>
      <c r="C13339" t="s">
        <v>138</v>
      </c>
      <c r="D13339" s="254">
        <v>144.22999999999999</v>
      </c>
      <c r="E13339"/>
      <c r="F13339"/>
      <c r="G13339"/>
      <c r="H13339"/>
      <c r="I13339" s="489"/>
      <c r="J13339" s="1362"/>
      <c r="K13339" s="1362"/>
      <c r="L13339" s="1362"/>
    </row>
    <row r="13340" spans="1:12" x14ac:dyDescent="0.25">
      <c r="A13340">
        <v>96747</v>
      </c>
      <c r="B13340" t="s">
        <v>1725</v>
      </c>
      <c r="C13340" t="s">
        <v>138</v>
      </c>
      <c r="D13340" s="254">
        <v>8.7899999999999991</v>
      </c>
      <c r="E13340"/>
      <c r="F13340"/>
      <c r="G13340"/>
      <c r="H13340"/>
      <c r="I13340" s="489"/>
      <c r="J13340" s="1362"/>
      <c r="K13340" s="1362"/>
      <c r="L13340" s="1362"/>
    </row>
    <row r="13341" spans="1:12" x14ac:dyDescent="0.25">
      <c r="A13341">
        <v>96748</v>
      </c>
      <c r="B13341" t="s">
        <v>1726</v>
      </c>
      <c r="C13341" t="s">
        <v>138</v>
      </c>
      <c r="D13341" s="254">
        <v>9.93</v>
      </c>
      <c r="E13341"/>
      <c r="F13341"/>
      <c r="G13341"/>
      <c r="H13341"/>
      <c r="I13341" s="489"/>
      <c r="J13341" s="1362"/>
      <c r="K13341" s="1362"/>
      <c r="L13341" s="1362"/>
    </row>
    <row r="13342" spans="1:12" x14ac:dyDescent="0.25">
      <c r="A13342">
        <v>96749</v>
      </c>
      <c r="B13342" t="s">
        <v>1727</v>
      </c>
      <c r="C13342" t="s">
        <v>138</v>
      </c>
      <c r="D13342" s="254">
        <v>13.52</v>
      </c>
      <c r="E13342"/>
      <c r="F13342"/>
      <c r="G13342"/>
      <c r="H13342"/>
      <c r="I13342" s="489"/>
      <c r="J13342" s="1362"/>
      <c r="K13342" s="1362"/>
      <c r="L13342" s="1362"/>
    </row>
    <row r="13343" spans="1:12" x14ac:dyDescent="0.25">
      <c r="A13343">
        <v>96750</v>
      </c>
      <c r="B13343" t="s">
        <v>1728</v>
      </c>
      <c r="C13343" t="s">
        <v>138</v>
      </c>
      <c r="D13343" s="254">
        <v>17.98</v>
      </c>
      <c r="E13343"/>
      <c r="F13343"/>
      <c r="G13343"/>
      <c r="H13343"/>
      <c r="I13343" s="489"/>
      <c r="J13343" s="1362"/>
      <c r="K13343" s="1362"/>
      <c r="L13343" s="1362"/>
    </row>
    <row r="13344" spans="1:12" x14ac:dyDescent="0.25">
      <c r="A13344">
        <v>96751</v>
      </c>
      <c r="B13344" t="s">
        <v>1729</v>
      </c>
      <c r="C13344" t="s">
        <v>138</v>
      </c>
      <c r="D13344" s="254">
        <v>32.51</v>
      </c>
      <c r="E13344"/>
      <c r="F13344"/>
      <c r="G13344"/>
      <c r="H13344"/>
      <c r="I13344" s="489"/>
      <c r="J13344" s="1362"/>
      <c r="K13344" s="1362"/>
      <c r="L13344" s="1362"/>
    </row>
    <row r="13345" spans="1:12" x14ac:dyDescent="0.25">
      <c r="A13345">
        <v>96752</v>
      </c>
      <c r="B13345" t="s">
        <v>1730</v>
      </c>
      <c r="C13345" t="s">
        <v>138</v>
      </c>
      <c r="D13345" s="254">
        <v>42.29</v>
      </c>
      <c r="E13345"/>
      <c r="F13345"/>
      <c r="G13345"/>
      <c r="H13345"/>
      <c r="I13345" s="489"/>
      <c r="J13345" s="1362"/>
      <c r="K13345" s="1362"/>
      <c r="L13345" s="1362"/>
    </row>
    <row r="13346" spans="1:12" x14ac:dyDescent="0.25">
      <c r="A13346">
        <v>96753</v>
      </c>
      <c r="B13346" t="s">
        <v>1731</v>
      </c>
      <c r="C13346" t="s">
        <v>138</v>
      </c>
      <c r="D13346" s="254">
        <v>95.51</v>
      </c>
      <c r="E13346"/>
      <c r="F13346"/>
      <c r="G13346"/>
      <c r="H13346"/>
      <c r="I13346" s="489"/>
      <c r="J13346" s="1362"/>
      <c r="K13346" s="1362"/>
      <c r="L13346" s="1362"/>
    </row>
    <row r="13347" spans="1:12" x14ac:dyDescent="0.25">
      <c r="A13347">
        <v>96754</v>
      </c>
      <c r="B13347" t="s">
        <v>1732</v>
      </c>
      <c r="C13347" t="s">
        <v>138</v>
      </c>
      <c r="D13347" s="254">
        <v>134.29</v>
      </c>
      <c r="E13347"/>
      <c r="F13347"/>
      <c r="G13347"/>
      <c r="H13347"/>
      <c r="I13347" s="489"/>
      <c r="J13347" s="1362"/>
      <c r="K13347" s="1362"/>
      <c r="L13347" s="1362"/>
    </row>
    <row r="13348" spans="1:12" x14ac:dyDescent="0.25">
      <c r="A13348">
        <v>96755</v>
      </c>
      <c r="B13348" t="s">
        <v>1733</v>
      </c>
      <c r="C13348" t="s">
        <v>138</v>
      </c>
      <c r="D13348" s="254">
        <v>202.89</v>
      </c>
      <c r="E13348"/>
      <c r="F13348"/>
      <c r="G13348"/>
      <c r="H13348"/>
      <c r="I13348" s="489"/>
      <c r="J13348" s="1362"/>
      <c r="K13348" s="1362"/>
      <c r="L13348" s="1362"/>
    </row>
    <row r="13349" spans="1:12" x14ac:dyDescent="0.25">
      <c r="A13349">
        <v>96756</v>
      </c>
      <c r="B13349" t="s">
        <v>1734</v>
      </c>
      <c r="C13349" t="s">
        <v>138</v>
      </c>
      <c r="D13349" s="254">
        <v>16.04</v>
      </c>
      <c r="E13349"/>
      <c r="F13349"/>
      <c r="G13349"/>
      <c r="H13349"/>
      <c r="I13349" s="489"/>
      <c r="J13349" s="1362"/>
      <c r="K13349" s="1362"/>
      <c r="L13349" s="1362"/>
    </row>
    <row r="13350" spans="1:12" x14ac:dyDescent="0.25">
      <c r="A13350">
        <v>96757</v>
      </c>
      <c r="B13350" t="s">
        <v>1735</v>
      </c>
      <c r="C13350" t="s">
        <v>138</v>
      </c>
      <c r="D13350" s="254">
        <v>15.44</v>
      </c>
      <c r="E13350"/>
      <c r="F13350"/>
      <c r="G13350"/>
      <c r="H13350"/>
      <c r="I13350" s="489"/>
      <c r="J13350" s="1362"/>
      <c r="K13350" s="1362"/>
      <c r="L13350" s="1362"/>
    </row>
    <row r="13351" spans="1:12" x14ac:dyDescent="0.25">
      <c r="A13351">
        <v>96758</v>
      </c>
      <c r="B13351" t="s">
        <v>1736</v>
      </c>
      <c r="C13351" t="s">
        <v>138</v>
      </c>
      <c r="D13351" s="254">
        <v>18.18</v>
      </c>
      <c r="E13351"/>
      <c r="F13351"/>
      <c r="G13351"/>
      <c r="H13351"/>
      <c r="I13351" s="489"/>
      <c r="J13351" s="1362"/>
      <c r="K13351" s="1362"/>
      <c r="L13351" s="1362"/>
    </row>
    <row r="13352" spans="1:12" x14ac:dyDescent="0.25">
      <c r="A13352">
        <v>96759</v>
      </c>
      <c r="B13352" t="s">
        <v>1737</v>
      </c>
      <c r="C13352" t="s">
        <v>138</v>
      </c>
      <c r="D13352" s="254">
        <v>26.66</v>
      </c>
      <c r="E13352"/>
      <c r="F13352"/>
      <c r="G13352"/>
      <c r="H13352"/>
      <c r="I13352" s="489"/>
      <c r="J13352" s="1362"/>
      <c r="K13352" s="1362"/>
      <c r="L13352" s="1362"/>
    </row>
    <row r="13353" spans="1:12" x14ac:dyDescent="0.25">
      <c r="A13353">
        <v>96760</v>
      </c>
      <c r="B13353" t="s">
        <v>1738</v>
      </c>
      <c r="C13353" t="s">
        <v>138</v>
      </c>
      <c r="D13353" s="254">
        <v>37.83</v>
      </c>
      <c r="E13353"/>
      <c r="F13353"/>
      <c r="G13353"/>
      <c r="H13353"/>
      <c r="I13353" s="489"/>
      <c r="J13353" s="1362"/>
      <c r="K13353" s="1362"/>
      <c r="L13353" s="1362"/>
    </row>
    <row r="13354" spans="1:12" x14ac:dyDescent="0.25">
      <c r="A13354">
        <v>96761</v>
      </c>
      <c r="B13354" t="s">
        <v>1739</v>
      </c>
      <c r="C13354" t="s">
        <v>138</v>
      </c>
      <c r="D13354" s="254">
        <v>53.46</v>
      </c>
      <c r="E13354"/>
      <c r="F13354"/>
      <c r="G13354"/>
      <c r="H13354"/>
      <c r="I13354" s="489"/>
      <c r="J13354" s="1362"/>
      <c r="K13354" s="1362"/>
      <c r="L13354" s="1362"/>
    </row>
    <row r="13355" spans="1:12" x14ac:dyDescent="0.25">
      <c r="A13355">
        <v>96762</v>
      </c>
      <c r="B13355" t="s">
        <v>1740</v>
      </c>
      <c r="C13355" t="s">
        <v>138</v>
      </c>
      <c r="D13355" s="254">
        <v>104.06</v>
      </c>
      <c r="E13355"/>
      <c r="F13355"/>
      <c r="G13355"/>
      <c r="H13355"/>
      <c r="I13355" s="489"/>
      <c r="J13355" s="1362"/>
      <c r="K13355" s="1362"/>
      <c r="L13355" s="1362"/>
    </row>
    <row r="13356" spans="1:12" x14ac:dyDescent="0.25">
      <c r="A13356">
        <v>96763</v>
      </c>
      <c r="B13356" t="s">
        <v>1741</v>
      </c>
      <c r="C13356" t="s">
        <v>138</v>
      </c>
      <c r="D13356" s="254">
        <v>143.66999999999999</v>
      </c>
      <c r="E13356"/>
      <c r="F13356"/>
      <c r="G13356"/>
      <c r="H13356"/>
      <c r="I13356" s="489"/>
      <c r="J13356" s="1362"/>
      <c r="K13356" s="1362"/>
      <c r="L13356" s="1362"/>
    </row>
    <row r="13357" spans="1:12" x14ac:dyDescent="0.25">
      <c r="A13357">
        <v>96764</v>
      </c>
      <c r="B13357" t="s">
        <v>1742</v>
      </c>
      <c r="C13357" t="s">
        <v>138</v>
      </c>
      <c r="D13357" s="254">
        <v>229.03</v>
      </c>
      <c r="E13357"/>
      <c r="F13357"/>
      <c r="G13357"/>
      <c r="H13357"/>
      <c r="I13357" s="489"/>
      <c r="J13357" s="1362"/>
      <c r="K13357" s="1362"/>
      <c r="L13357" s="1362"/>
    </row>
    <row r="13358" spans="1:12" x14ac:dyDescent="0.25">
      <c r="A13358">
        <v>96802</v>
      </c>
      <c r="B13358" t="s">
        <v>1743</v>
      </c>
      <c r="C13358" t="s">
        <v>138</v>
      </c>
      <c r="D13358" s="254">
        <v>240.6</v>
      </c>
      <c r="E13358"/>
      <c r="F13358"/>
      <c r="G13358"/>
      <c r="H13358"/>
      <c r="I13358" s="489"/>
      <c r="J13358" s="1362"/>
      <c r="K13358" s="1362"/>
      <c r="L13358" s="1362"/>
    </row>
    <row r="13359" spans="1:12" x14ac:dyDescent="0.25">
      <c r="A13359">
        <v>96803</v>
      </c>
      <c r="B13359" t="s">
        <v>1744</v>
      </c>
      <c r="C13359" t="s">
        <v>138</v>
      </c>
      <c r="D13359" s="254">
        <v>124.6</v>
      </c>
      <c r="E13359"/>
      <c r="F13359"/>
      <c r="G13359"/>
      <c r="H13359"/>
      <c r="I13359" s="489"/>
      <c r="J13359" s="1362"/>
      <c r="K13359" s="1362"/>
      <c r="L13359" s="1362"/>
    </row>
    <row r="13360" spans="1:12" x14ac:dyDescent="0.25">
      <c r="A13360">
        <v>96804</v>
      </c>
      <c r="B13360" t="s">
        <v>1745</v>
      </c>
      <c r="C13360" t="s">
        <v>138</v>
      </c>
      <c r="D13360" s="254">
        <v>225.91</v>
      </c>
      <c r="E13360"/>
      <c r="F13360"/>
      <c r="G13360"/>
      <c r="H13360"/>
      <c r="I13360" s="489"/>
      <c r="J13360" s="1362"/>
      <c r="K13360" s="1362"/>
      <c r="L13360" s="1362"/>
    </row>
    <row r="13361" spans="1:12" x14ac:dyDescent="0.25">
      <c r="A13361">
        <v>96805</v>
      </c>
      <c r="B13361" t="s">
        <v>1746</v>
      </c>
      <c r="C13361" t="s">
        <v>138</v>
      </c>
      <c r="D13361" s="254">
        <v>250.46</v>
      </c>
      <c r="E13361"/>
      <c r="F13361"/>
      <c r="G13361"/>
      <c r="H13361"/>
      <c r="I13361" s="489"/>
      <c r="J13361" s="1362"/>
      <c r="K13361" s="1362"/>
      <c r="L13361" s="1362"/>
    </row>
    <row r="13362" spans="1:12" x14ac:dyDescent="0.25">
      <c r="A13362">
        <v>96806</v>
      </c>
      <c r="B13362" t="s">
        <v>1747</v>
      </c>
      <c r="C13362" t="s">
        <v>138</v>
      </c>
      <c r="D13362" s="254">
        <v>123.8</v>
      </c>
      <c r="E13362"/>
      <c r="F13362"/>
      <c r="G13362"/>
      <c r="H13362"/>
      <c r="I13362" s="489"/>
      <c r="J13362" s="1362"/>
      <c r="K13362" s="1362"/>
      <c r="L13362" s="1362"/>
    </row>
    <row r="13363" spans="1:12" x14ac:dyDescent="0.25">
      <c r="A13363">
        <v>96807</v>
      </c>
      <c r="B13363" t="s">
        <v>1748</v>
      </c>
      <c r="C13363" t="s">
        <v>138</v>
      </c>
      <c r="D13363" s="254">
        <v>208.24</v>
      </c>
      <c r="E13363"/>
      <c r="F13363"/>
      <c r="G13363"/>
      <c r="H13363"/>
      <c r="I13363" s="489"/>
      <c r="J13363" s="1362"/>
      <c r="K13363" s="1362"/>
      <c r="L13363" s="1362"/>
    </row>
    <row r="13364" spans="1:12" x14ac:dyDescent="0.25">
      <c r="A13364">
        <v>96808</v>
      </c>
      <c r="B13364" t="s">
        <v>1749</v>
      </c>
      <c r="C13364" t="s">
        <v>138</v>
      </c>
      <c r="D13364" s="254">
        <v>12.47</v>
      </c>
      <c r="E13364"/>
      <c r="F13364"/>
      <c r="G13364"/>
      <c r="H13364"/>
      <c r="I13364" s="489"/>
      <c r="J13364" s="1362"/>
      <c r="K13364" s="1362"/>
      <c r="L13364" s="1362"/>
    </row>
    <row r="13365" spans="1:12" x14ac:dyDescent="0.25">
      <c r="A13365">
        <v>96809</v>
      </c>
      <c r="B13365" t="s">
        <v>1750</v>
      </c>
      <c r="C13365" t="s">
        <v>138</v>
      </c>
      <c r="D13365" s="254">
        <v>14.07</v>
      </c>
      <c r="E13365"/>
      <c r="F13365"/>
      <c r="G13365"/>
      <c r="H13365"/>
      <c r="I13365" s="489"/>
      <c r="J13365" s="1362"/>
      <c r="K13365" s="1362"/>
      <c r="L13365" s="1362"/>
    </row>
    <row r="13366" spans="1:12" x14ac:dyDescent="0.25">
      <c r="A13366">
        <v>96810</v>
      </c>
      <c r="B13366" t="s">
        <v>1751</v>
      </c>
      <c r="C13366" t="s">
        <v>138</v>
      </c>
      <c r="D13366" s="254">
        <v>15.15</v>
      </c>
      <c r="E13366"/>
      <c r="F13366"/>
      <c r="G13366"/>
      <c r="H13366"/>
      <c r="I13366" s="489"/>
      <c r="J13366" s="1362"/>
      <c r="K13366" s="1362"/>
      <c r="L13366" s="1362"/>
    </row>
    <row r="13367" spans="1:12" x14ac:dyDescent="0.25">
      <c r="A13367">
        <v>96811</v>
      </c>
      <c r="B13367" t="s">
        <v>1752</v>
      </c>
      <c r="C13367" t="s">
        <v>138</v>
      </c>
      <c r="D13367" s="254">
        <v>16.440000000000001</v>
      </c>
      <c r="E13367"/>
      <c r="F13367"/>
      <c r="G13367"/>
      <c r="H13367"/>
      <c r="I13367" s="489"/>
      <c r="J13367" s="1362"/>
      <c r="K13367" s="1362"/>
      <c r="L13367" s="1362"/>
    </row>
    <row r="13368" spans="1:12" x14ac:dyDescent="0.25">
      <c r="A13368">
        <v>96812</v>
      </c>
      <c r="B13368" t="s">
        <v>1753</v>
      </c>
      <c r="C13368" t="s">
        <v>138</v>
      </c>
      <c r="D13368" s="254">
        <v>15.87</v>
      </c>
      <c r="E13368"/>
      <c r="F13368"/>
      <c r="G13368"/>
      <c r="H13368"/>
      <c r="I13368" s="489"/>
      <c r="J13368" s="1362"/>
      <c r="K13368" s="1362"/>
      <c r="L13368" s="1362"/>
    </row>
    <row r="13369" spans="1:12" x14ac:dyDescent="0.25">
      <c r="A13369">
        <v>96813</v>
      </c>
      <c r="B13369" t="s">
        <v>1754</v>
      </c>
      <c r="C13369" t="s">
        <v>138</v>
      </c>
      <c r="D13369" s="254">
        <v>18.02</v>
      </c>
      <c r="E13369"/>
      <c r="F13369"/>
      <c r="G13369"/>
      <c r="H13369"/>
      <c r="I13369" s="489"/>
      <c r="J13369" s="1362"/>
      <c r="K13369" s="1362"/>
      <c r="L13369" s="1362"/>
    </row>
    <row r="13370" spans="1:12" x14ac:dyDescent="0.25">
      <c r="A13370">
        <v>96814</v>
      </c>
      <c r="B13370" t="s">
        <v>1755</v>
      </c>
      <c r="C13370" t="s">
        <v>138</v>
      </c>
      <c r="D13370" s="254">
        <v>15.5</v>
      </c>
      <c r="E13370"/>
      <c r="F13370"/>
      <c r="G13370"/>
      <c r="H13370"/>
      <c r="I13370" s="489"/>
      <c r="J13370" s="1362"/>
      <c r="K13370" s="1362"/>
      <c r="L13370" s="1362"/>
    </row>
    <row r="13371" spans="1:12" x14ac:dyDescent="0.25">
      <c r="A13371">
        <v>96815</v>
      </c>
      <c r="B13371" t="s">
        <v>1756</v>
      </c>
      <c r="C13371" t="s">
        <v>138</v>
      </c>
      <c r="D13371" s="254">
        <v>25.28</v>
      </c>
      <c r="E13371"/>
      <c r="F13371"/>
      <c r="G13371"/>
      <c r="H13371"/>
      <c r="I13371" s="489"/>
      <c r="J13371" s="1362"/>
      <c r="K13371" s="1362"/>
      <c r="L13371" s="1362"/>
    </row>
    <row r="13372" spans="1:12" x14ac:dyDescent="0.25">
      <c r="A13372">
        <v>96816</v>
      </c>
      <c r="B13372" t="s">
        <v>1757</v>
      </c>
      <c r="C13372" t="s">
        <v>138</v>
      </c>
      <c r="D13372" s="254">
        <v>21.18</v>
      </c>
      <c r="E13372"/>
      <c r="F13372"/>
      <c r="G13372"/>
      <c r="H13372"/>
      <c r="I13372" s="489"/>
      <c r="J13372" s="1362"/>
      <c r="K13372" s="1362"/>
      <c r="L13372" s="1362"/>
    </row>
    <row r="13373" spans="1:12" x14ac:dyDescent="0.25">
      <c r="A13373">
        <v>96817</v>
      </c>
      <c r="B13373" t="s">
        <v>1758</v>
      </c>
      <c r="C13373" t="s">
        <v>138</v>
      </c>
      <c r="D13373" s="254">
        <v>23.79</v>
      </c>
      <c r="E13373"/>
      <c r="F13373"/>
      <c r="G13373"/>
      <c r="H13373"/>
      <c r="I13373" s="489"/>
      <c r="J13373" s="1362"/>
      <c r="K13373" s="1362"/>
      <c r="L13373" s="1362"/>
    </row>
    <row r="13374" spans="1:12" x14ac:dyDescent="0.25">
      <c r="A13374">
        <v>96818</v>
      </c>
      <c r="B13374" t="s">
        <v>1759</v>
      </c>
      <c r="C13374" t="s">
        <v>138</v>
      </c>
      <c r="D13374" s="254">
        <v>22.31</v>
      </c>
      <c r="E13374"/>
      <c r="F13374"/>
      <c r="G13374"/>
      <c r="H13374"/>
      <c r="I13374" s="489"/>
      <c r="J13374" s="1362"/>
      <c r="K13374" s="1362"/>
      <c r="L13374" s="1362"/>
    </row>
    <row r="13375" spans="1:12" x14ac:dyDescent="0.25">
      <c r="A13375">
        <v>96819</v>
      </c>
      <c r="B13375" t="s">
        <v>1760</v>
      </c>
      <c r="C13375" t="s">
        <v>138</v>
      </c>
      <c r="D13375" s="254">
        <v>22.31</v>
      </c>
      <c r="E13375"/>
      <c r="F13375"/>
      <c r="G13375"/>
      <c r="H13375"/>
      <c r="I13375" s="489"/>
      <c r="J13375" s="1362"/>
      <c r="K13375" s="1362"/>
      <c r="L13375" s="1362"/>
    </row>
    <row r="13376" spans="1:12" x14ac:dyDescent="0.25">
      <c r="A13376">
        <v>96820</v>
      </c>
      <c r="B13376" t="s">
        <v>1761</v>
      </c>
      <c r="C13376" t="s">
        <v>138</v>
      </c>
      <c r="D13376" s="254">
        <v>39.299999999999997</v>
      </c>
      <c r="E13376"/>
      <c r="F13376"/>
      <c r="G13376"/>
      <c r="H13376"/>
      <c r="I13376" s="489"/>
      <c r="J13376" s="1362"/>
      <c r="K13376" s="1362"/>
      <c r="L13376" s="1362"/>
    </row>
    <row r="13377" spans="1:12" x14ac:dyDescent="0.25">
      <c r="A13377">
        <v>96821</v>
      </c>
      <c r="B13377" t="s">
        <v>1762</v>
      </c>
      <c r="C13377" t="s">
        <v>138</v>
      </c>
      <c r="D13377" s="254">
        <v>33.869999999999997</v>
      </c>
      <c r="E13377"/>
      <c r="F13377"/>
      <c r="G13377"/>
      <c r="H13377"/>
      <c r="I13377" s="489"/>
      <c r="J13377" s="1362"/>
      <c r="K13377" s="1362"/>
      <c r="L13377" s="1362"/>
    </row>
    <row r="13378" spans="1:12" x14ac:dyDescent="0.25">
      <c r="A13378">
        <v>96822</v>
      </c>
      <c r="B13378" t="s">
        <v>1763</v>
      </c>
      <c r="C13378" t="s">
        <v>138</v>
      </c>
      <c r="D13378" s="254">
        <v>34.29</v>
      </c>
      <c r="E13378"/>
      <c r="F13378"/>
      <c r="G13378"/>
      <c r="H13378"/>
      <c r="I13378" s="489"/>
      <c r="J13378" s="1362"/>
      <c r="K13378" s="1362"/>
      <c r="L13378" s="1362"/>
    </row>
    <row r="13379" spans="1:12" x14ac:dyDescent="0.25">
      <c r="A13379">
        <v>96823</v>
      </c>
      <c r="B13379" t="s">
        <v>1764</v>
      </c>
      <c r="C13379" t="s">
        <v>138</v>
      </c>
      <c r="D13379" s="254">
        <v>14.2</v>
      </c>
      <c r="E13379"/>
      <c r="F13379"/>
      <c r="G13379"/>
      <c r="H13379"/>
      <c r="I13379" s="489"/>
      <c r="J13379" s="1362"/>
      <c r="K13379" s="1362"/>
      <c r="L13379" s="1362"/>
    </row>
    <row r="13380" spans="1:12" x14ac:dyDescent="0.25">
      <c r="A13380">
        <v>96824</v>
      </c>
      <c r="B13380" t="s">
        <v>1765</v>
      </c>
      <c r="C13380" t="s">
        <v>138</v>
      </c>
      <c r="D13380" s="254">
        <v>15.87</v>
      </c>
      <c r="E13380"/>
      <c r="F13380"/>
      <c r="G13380"/>
      <c r="H13380"/>
      <c r="I13380" s="489"/>
      <c r="J13380" s="1362"/>
      <c r="K13380" s="1362"/>
      <c r="L13380" s="1362"/>
    </row>
    <row r="13381" spans="1:12" x14ac:dyDescent="0.25">
      <c r="A13381">
        <v>96825</v>
      </c>
      <c r="B13381" t="s">
        <v>1766</v>
      </c>
      <c r="C13381" t="s">
        <v>138</v>
      </c>
      <c r="D13381" s="254">
        <v>21.09</v>
      </c>
      <c r="E13381"/>
      <c r="F13381"/>
      <c r="G13381"/>
      <c r="H13381"/>
      <c r="I13381" s="489"/>
      <c r="J13381" s="1362"/>
      <c r="K13381" s="1362"/>
      <c r="L13381" s="1362"/>
    </row>
    <row r="13382" spans="1:12" x14ac:dyDescent="0.25">
      <c r="A13382">
        <v>96826</v>
      </c>
      <c r="B13382" t="s">
        <v>1767</v>
      </c>
      <c r="C13382" t="s">
        <v>138</v>
      </c>
      <c r="D13382" s="254">
        <v>19.48</v>
      </c>
      <c r="E13382"/>
      <c r="F13382"/>
      <c r="G13382"/>
      <c r="H13382"/>
      <c r="I13382" s="489"/>
      <c r="J13382" s="1362"/>
      <c r="K13382" s="1362"/>
      <c r="L13382" s="1362"/>
    </row>
    <row r="13383" spans="1:12" x14ac:dyDescent="0.25">
      <c r="A13383">
        <v>96827</v>
      </c>
      <c r="B13383" t="s">
        <v>1768</v>
      </c>
      <c r="C13383" t="s">
        <v>138</v>
      </c>
      <c r="D13383" s="254">
        <v>20.16</v>
      </c>
      <c r="E13383"/>
      <c r="F13383"/>
      <c r="G13383"/>
      <c r="H13383"/>
      <c r="I13383" s="489"/>
      <c r="J13383" s="1362"/>
      <c r="K13383" s="1362"/>
      <c r="L13383" s="1362"/>
    </row>
    <row r="13384" spans="1:12" x14ac:dyDescent="0.25">
      <c r="A13384">
        <v>96828</v>
      </c>
      <c r="B13384" t="s">
        <v>1769</v>
      </c>
      <c r="C13384" t="s">
        <v>138</v>
      </c>
      <c r="D13384" s="254">
        <v>24.95</v>
      </c>
      <c r="E13384"/>
      <c r="F13384"/>
      <c r="G13384"/>
      <c r="H13384"/>
      <c r="I13384" s="489"/>
      <c r="J13384" s="1362"/>
      <c r="K13384" s="1362"/>
      <c r="L13384" s="1362"/>
    </row>
    <row r="13385" spans="1:12" x14ac:dyDescent="0.25">
      <c r="A13385">
        <v>96829</v>
      </c>
      <c r="B13385" t="s">
        <v>1770</v>
      </c>
      <c r="C13385" t="s">
        <v>138</v>
      </c>
      <c r="D13385" s="254">
        <v>19.45</v>
      </c>
      <c r="E13385"/>
      <c r="F13385"/>
      <c r="G13385"/>
      <c r="H13385"/>
      <c r="I13385" s="489"/>
      <c r="J13385" s="1362"/>
      <c r="K13385" s="1362"/>
      <c r="L13385" s="1362"/>
    </row>
    <row r="13386" spans="1:12" x14ac:dyDescent="0.25">
      <c r="A13386">
        <v>96830</v>
      </c>
      <c r="B13386" t="s">
        <v>1771</v>
      </c>
      <c r="C13386" t="s">
        <v>138</v>
      </c>
      <c r="D13386" s="254">
        <v>27.89</v>
      </c>
      <c r="E13386"/>
      <c r="F13386"/>
      <c r="G13386"/>
      <c r="H13386"/>
      <c r="I13386" s="489"/>
      <c r="J13386" s="1362"/>
      <c r="K13386" s="1362"/>
      <c r="L13386" s="1362"/>
    </row>
    <row r="13387" spans="1:12" x14ac:dyDescent="0.25">
      <c r="A13387">
        <v>96831</v>
      </c>
      <c r="B13387" t="s">
        <v>1772</v>
      </c>
      <c r="C13387" t="s">
        <v>138</v>
      </c>
      <c r="D13387" s="254">
        <v>23.05</v>
      </c>
      <c r="E13387"/>
      <c r="F13387"/>
      <c r="G13387"/>
      <c r="H13387"/>
      <c r="I13387" s="489"/>
      <c r="J13387" s="1362"/>
      <c r="K13387" s="1362"/>
      <c r="L13387" s="1362"/>
    </row>
    <row r="13388" spans="1:12" x14ac:dyDescent="0.25">
      <c r="A13388">
        <v>96832</v>
      </c>
      <c r="B13388" t="s">
        <v>1773</v>
      </c>
      <c r="C13388" t="s">
        <v>138</v>
      </c>
      <c r="D13388" s="254">
        <v>26.38</v>
      </c>
      <c r="E13388"/>
      <c r="F13388"/>
      <c r="G13388"/>
      <c r="H13388"/>
      <c r="I13388" s="489"/>
      <c r="J13388" s="1362"/>
      <c r="K13388" s="1362"/>
      <c r="L13388" s="1362"/>
    </row>
    <row r="13389" spans="1:12" x14ac:dyDescent="0.25">
      <c r="A13389">
        <v>96833</v>
      </c>
      <c r="B13389" t="s">
        <v>1774</v>
      </c>
      <c r="C13389" t="s">
        <v>138</v>
      </c>
      <c r="D13389" s="254">
        <v>24.81</v>
      </c>
      <c r="E13389"/>
      <c r="F13389"/>
      <c r="G13389"/>
      <c r="H13389"/>
      <c r="I13389" s="489"/>
      <c r="J13389" s="1362"/>
      <c r="K13389" s="1362"/>
      <c r="L13389" s="1362"/>
    </row>
    <row r="13390" spans="1:12" x14ac:dyDescent="0.25">
      <c r="A13390">
        <v>96834</v>
      </c>
      <c r="B13390" t="s">
        <v>1775</v>
      </c>
      <c r="C13390" t="s">
        <v>138</v>
      </c>
      <c r="D13390" s="254">
        <v>40.28</v>
      </c>
      <c r="E13390"/>
      <c r="F13390"/>
      <c r="G13390"/>
      <c r="H13390"/>
      <c r="I13390" s="489"/>
      <c r="J13390" s="1362"/>
      <c r="K13390" s="1362"/>
      <c r="L13390" s="1362"/>
    </row>
    <row r="13391" spans="1:12" x14ac:dyDescent="0.25">
      <c r="A13391">
        <v>96835</v>
      </c>
      <c r="B13391" t="s">
        <v>1776</v>
      </c>
      <c r="C13391" t="s">
        <v>138</v>
      </c>
      <c r="D13391" s="254">
        <v>35.11</v>
      </c>
      <c r="E13391"/>
      <c r="F13391"/>
      <c r="G13391"/>
      <c r="H13391"/>
      <c r="I13391" s="489"/>
      <c r="J13391" s="1362"/>
      <c r="K13391" s="1362"/>
      <c r="L13391" s="1362"/>
    </row>
    <row r="13392" spans="1:12" x14ac:dyDescent="0.25">
      <c r="A13392">
        <v>96836</v>
      </c>
      <c r="B13392" t="s">
        <v>1777</v>
      </c>
      <c r="C13392" t="s">
        <v>138</v>
      </c>
      <c r="D13392" s="254">
        <v>37.26</v>
      </c>
      <c r="E13392"/>
      <c r="F13392"/>
      <c r="G13392"/>
      <c r="H13392"/>
      <c r="I13392" s="489"/>
      <c r="J13392" s="1362"/>
      <c r="K13392" s="1362"/>
      <c r="L13392" s="1362"/>
    </row>
    <row r="13393" spans="1:12" x14ac:dyDescent="0.25">
      <c r="A13393">
        <v>96837</v>
      </c>
      <c r="B13393" t="s">
        <v>1778</v>
      </c>
      <c r="C13393" t="s">
        <v>138</v>
      </c>
      <c r="D13393" s="254">
        <v>21.4</v>
      </c>
      <c r="E13393"/>
      <c r="F13393"/>
      <c r="G13393"/>
      <c r="H13393"/>
      <c r="I13393" s="489"/>
      <c r="J13393" s="1362"/>
      <c r="K13393" s="1362"/>
      <c r="L13393" s="1362"/>
    </row>
    <row r="13394" spans="1:12" x14ac:dyDescent="0.25">
      <c r="A13394">
        <v>96838</v>
      </c>
      <c r="B13394" t="s">
        <v>1779</v>
      </c>
      <c r="C13394" t="s">
        <v>138</v>
      </c>
      <c r="D13394" s="254">
        <v>19.86</v>
      </c>
      <c r="E13394"/>
      <c r="F13394"/>
      <c r="G13394"/>
      <c r="H13394"/>
      <c r="I13394" s="489"/>
      <c r="J13394" s="1362"/>
      <c r="K13394" s="1362"/>
      <c r="L13394" s="1362"/>
    </row>
    <row r="13395" spans="1:12" x14ac:dyDescent="0.25">
      <c r="A13395">
        <v>96839</v>
      </c>
      <c r="B13395" t="s">
        <v>1780</v>
      </c>
      <c r="C13395" t="s">
        <v>138</v>
      </c>
      <c r="D13395" s="254">
        <v>19.579999999999998</v>
      </c>
      <c r="E13395"/>
      <c r="F13395"/>
      <c r="G13395"/>
      <c r="H13395"/>
      <c r="I13395" s="489"/>
      <c r="J13395" s="1362"/>
      <c r="K13395" s="1362"/>
      <c r="L13395" s="1362"/>
    </row>
    <row r="13396" spans="1:12" x14ac:dyDescent="0.25">
      <c r="A13396">
        <v>96840</v>
      </c>
      <c r="B13396" t="s">
        <v>1781</v>
      </c>
      <c r="C13396" t="s">
        <v>138</v>
      </c>
      <c r="D13396" s="254">
        <v>25.05</v>
      </c>
      <c r="E13396"/>
      <c r="F13396"/>
      <c r="G13396"/>
      <c r="H13396"/>
      <c r="I13396" s="489"/>
      <c r="J13396" s="1362"/>
      <c r="K13396" s="1362"/>
      <c r="L13396" s="1362"/>
    </row>
    <row r="13397" spans="1:12" x14ac:dyDescent="0.25">
      <c r="A13397">
        <v>96841</v>
      </c>
      <c r="B13397" t="s">
        <v>1782</v>
      </c>
      <c r="C13397" t="s">
        <v>138</v>
      </c>
      <c r="D13397" s="254">
        <v>22.27</v>
      </c>
      <c r="E13397"/>
      <c r="F13397"/>
      <c r="G13397"/>
      <c r="H13397"/>
      <c r="I13397" s="489"/>
      <c r="J13397" s="1362"/>
      <c r="K13397" s="1362"/>
      <c r="L13397" s="1362"/>
    </row>
    <row r="13398" spans="1:12" x14ac:dyDescent="0.25">
      <c r="A13398">
        <v>96842</v>
      </c>
      <c r="B13398" t="s">
        <v>1783</v>
      </c>
      <c r="C13398" t="s">
        <v>138</v>
      </c>
      <c r="D13398" s="254">
        <v>27.59</v>
      </c>
      <c r="E13398"/>
      <c r="F13398"/>
      <c r="G13398"/>
      <c r="H13398"/>
      <c r="I13398" s="489"/>
      <c r="J13398" s="1362"/>
      <c r="K13398" s="1362"/>
      <c r="L13398" s="1362"/>
    </row>
    <row r="13399" spans="1:12" x14ac:dyDescent="0.25">
      <c r="A13399">
        <v>96843</v>
      </c>
      <c r="B13399" t="s">
        <v>1784</v>
      </c>
      <c r="C13399" t="s">
        <v>138</v>
      </c>
      <c r="D13399" s="254">
        <v>26.64</v>
      </c>
      <c r="E13399"/>
      <c r="F13399"/>
      <c r="G13399"/>
      <c r="H13399"/>
      <c r="I13399" s="489"/>
      <c r="J13399" s="1362"/>
      <c r="K13399" s="1362"/>
      <c r="L13399" s="1362"/>
    </row>
    <row r="13400" spans="1:12" x14ac:dyDescent="0.25">
      <c r="A13400">
        <v>96844</v>
      </c>
      <c r="B13400" t="s">
        <v>1785</v>
      </c>
      <c r="C13400" t="s">
        <v>138</v>
      </c>
      <c r="D13400" s="254">
        <v>35.33</v>
      </c>
      <c r="E13400"/>
      <c r="F13400"/>
      <c r="G13400"/>
      <c r="H13400"/>
      <c r="I13400" s="489"/>
      <c r="J13400" s="1362"/>
      <c r="K13400" s="1362"/>
      <c r="L13400" s="1362"/>
    </row>
    <row r="13401" spans="1:12" x14ac:dyDescent="0.25">
      <c r="A13401">
        <v>96845</v>
      </c>
      <c r="B13401" t="s">
        <v>1786</v>
      </c>
      <c r="C13401" t="s">
        <v>138</v>
      </c>
      <c r="D13401" s="254">
        <v>38.17</v>
      </c>
      <c r="E13401"/>
      <c r="F13401"/>
      <c r="G13401"/>
      <c r="H13401"/>
      <c r="I13401" s="489"/>
      <c r="J13401" s="1362"/>
      <c r="K13401" s="1362"/>
      <c r="L13401" s="1362"/>
    </row>
    <row r="13402" spans="1:12" x14ac:dyDescent="0.25">
      <c r="A13402">
        <v>96846</v>
      </c>
      <c r="B13402" t="s">
        <v>1787</v>
      </c>
      <c r="C13402" t="s">
        <v>138</v>
      </c>
      <c r="D13402" s="254">
        <v>30.75</v>
      </c>
      <c r="E13402"/>
      <c r="F13402"/>
      <c r="G13402"/>
      <c r="H13402"/>
      <c r="I13402" s="489"/>
      <c r="J13402" s="1362"/>
      <c r="K13402" s="1362"/>
      <c r="L13402" s="1362"/>
    </row>
    <row r="13403" spans="1:12" x14ac:dyDescent="0.25">
      <c r="A13403">
        <v>96847</v>
      </c>
      <c r="B13403" t="s">
        <v>1788</v>
      </c>
      <c r="C13403" t="s">
        <v>138</v>
      </c>
      <c r="D13403" s="254">
        <v>33.47</v>
      </c>
      <c r="E13403"/>
      <c r="F13403"/>
      <c r="G13403"/>
      <c r="H13403"/>
      <c r="I13403" s="489"/>
      <c r="J13403" s="1362"/>
      <c r="K13403" s="1362"/>
      <c r="L13403" s="1362"/>
    </row>
    <row r="13404" spans="1:12" x14ac:dyDescent="0.25">
      <c r="A13404">
        <v>96848</v>
      </c>
      <c r="B13404" t="s">
        <v>1789</v>
      </c>
      <c r="C13404" t="s">
        <v>138</v>
      </c>
      <c r="D13404" s="254">
        <v>49.26</v>
      </c>
      <c r="E13404"/>
      <c r="F13404"/>
      <c r="G13404"/>
      <c r="H13404"/>
      <c r="I13404" s="489"/>
      <c r="J13404" s="1362"/>
      <c r="K13404" s="1362"/>
      <c r="L13404" s="1362"/>
    </row>
    <row r="13405" spans="1:12" x14ac:dyDescent="0.25">
      <c r="A13405">
        <v>96849</v>
      </c>
      <c r="B13405" t="s">
        <v>1790</v>
      </c>
      <c r="C13405" t="s">
        <v>138</v>
      </c>
      <c r="D13405" s="254">
        <v>18.2</v>
      </c>
      <c r="E13405"/>
      <c r="F13405"/>
      <c r="G13405"/>
      <c r="H13405"/>
      <c r="I13405" s="489"/>
      <c r="J13405" s="1362"/>
      <c r="K13405" s="1362"/>
      <c r="L13405" s="1362"/>
    </row>
    <row r="13406" spans="1:12" x14ac:dyDescent="0.25">
      <c r="A13406">
        <v>96850</v>
      </c>
      <c r="B13406" t="s">
        <v>1791</v>
      </c>
      <c r="C13406" t="s">
        <v>138</v>
      </c>
      <c r="D13406" s="254">
        <v>20.98</v>
      </c>
      <c r="E13406"/>
      <c r="F13406"/>
      <c r="G13406"/>
      <c r="H13406"/>
      <c r="I13406" s="489"/>
      <c r="J13406" s="1362"/>
      <c r="K13406" s="1362"/>
      <c r="L13406" s="1362"/>
    </row>
    <row r="13407" spans="1:12" x14ac:dyDescent="0.25">
      <c r="A13407">
        <v>96851</v>
      </c>
      <c r="B13407" t="s">
        <v>1792</v>
      </c>
      <c r="C13407" t="s">
        <v>138</v>
      </c>
      <c r="D13407" s="254">
        <v>27.2</v>
      </c>
      <c r="E13407"/>
      <c r="F13407"/>
      <c r="G13407"/>
      <c r="H13407"/>
      <c r="I13407" s="489"/>
      <c r="J13407" s="1362"/>
      <c r="K13407" s="1362"/>
      <c r="L13407" s="1362"/>
    </row>
    <row r="13408" spans="1:12" x14ac:dyDescent="0.25">
      <c r="A13408">
        <v>96852</v>
      </c>
      <c r="B13408" t="s">
        <v>1793</v>
      </c>
      <c r="C13408" t="s">
        <v>138</v>
      </c>
      <c r="D13408" s="254">
        <v>23.95</v>
      </c>
      <c r="E13408"/>
      <c r="F13408"/>
      <c r="G13408"/>
      <c r="H13408"/>
      <c r="I13408" s="489"/>
      <c r="J13408" s="1362"/>
      <c r="K13408" s="1362"/>
      <c r="L13408" s="1362"/>
    </row>
    <row r="13409" spans="1:12" x14ac:dyDescent="0.25">
      <c r="A13409">
        <v>96853</v>
      </c>
      <c r="B13409" t="s">
        <v>1794</v>
      </c>
      <c r="C13409" t="s">
        <v>138</v>
      </c>
      <c r="D13409" s="254">
        <v>26.66</v>
      </c>
      <c r="E13409"/>
      <c r="F13409"/>
      <c r="G13409"/>
      <c r="H13409"/>
      <c r="I13409" s="489"/>
      <c r="J13409" s="1362"/>
      <c r="K13409" s="1362"/>
      <c r="L13409" s="1362"/>
    </row>
    <row r="13410" spans="1:12" x14ac:dyDescent="0.25">
      <c r="A13410">
        <v>96854</v>
      </c>
      <c r="B13410" t="s">
        <v>1795</v>
      </c>
      <c r="C13410" t="s">
        <v>138</v>
      </c>
      <c r="D13410" s="254">
        <v>31.47</v>
      </c>
      <c r="E13410"/>
      <c r="F13410"/>
      <c r="G13410"/>
      <c r="H13410"/>
      <c r="I13410" s="489"/>
      <c r="J13410" s="1362"/>
      <c r="K13410" s="1362"/>
      <c r="L13410" s="1362"/>
    </row>
    <row r="13411" spans="1:12" x14ac:dyDescent="0.25">
      <c r="A13411">
        <v>96855</v>
      </c>
      <c r="B13411" t="s">
        <v>1796</v>
      </c>
      <c r="C13411" t="s">
        <v>138</v>
      </c>
      <c r="D13411" s="254">
        <v>29.63</v>
      </c>
      <c r="E13411"/>
      <c r="F13411"/>
      <c r="G13411"/>
      <c r="H13411"/>
      <c r="I13411" s="489"/>
      <c r="J13411" s="1362"/>
      <c r="K13411" s="1362"/>
      <c r="L13411" s="1362"/>
    </row>
    <row r="13412" spans="1:12" x14ac:dyDescent="0.25">
      <c r="A13412">
        <v>96856</v>
      </c>
      <c r="B13412" t="s">
        <v>1797</v>
      </c>
      <c r="C13412" t="s">
        <v>138</v>
      </c>
      <c r="D13412" s="254">
        <v>30.03</v>
      </c>
      <c r="E13412"/>
      <c r="F13412"/>
      <c r="G13412"/>
      <c r="H13412"/>
      <c r="I13412" s="489"/>
      <c r="J13412" s="1362"/>
      <c r="K13412" s="1362"/>
      <c r="L13412" s="1362"/>
    </row>
    <row r="13413" spans="1:12" x14ac:dyDescent="0.25">
      <c r="A13413">
        <v>96857</v>
      </c>
      <c r="B13413" t="s">
        <v>1798</v>
      </c>
      <c r="C13413" t="s">
        <v>138</v>
      </c>
      <c r="D13413" s="254">
        <v>46.3</v>
      </c>
      <c r="E13413"/>
      <c r="F13413"/>
      <c r="G13413"/>
      <c r="H13413"/>
      <c r="I13413" s="489"/>
      <c r="J13413" s="1362"/>
      <c r="K13413" s="1362"/>
      <c r="L13413" s="1362"/>
    </row>
    <row r="13414" spans="1:12" x14ac:dyDescent="0.25">
      <c r="A13414">
        <v>96858</v>
      </c>
      <c r="B13414" t="s">
        <v>1799</v>
      </c>
      <c r="C13414" t="s">
        <v>138</v>
      </c>
      <c r="D13414" s="254">
        <v>47.38</v>
      </c>
      <c r="E13414"/>
      <c r="F13414"/>
      <c r="G13414"/>
      <c r="H13414"/>
      <c r="I13414" s="489"/>
      <c r="J13414" s="1362"/>
      <c r="K13414" s="1362"/>
      <c r="L13414" s="1362"/>
    </row>
    <row r="13415" spans="1:12" x14ac:dyDescent="0.25">
      <c r="A13415">
        <v>96859</v>
      </c>
      <c r="B13415" t="s">
        <v>1800</v>
      </c>
      <c r="C13415" t="s">
        <v>138</v>
      </c>
      <c r="D13415" s="254">
        <v>57.94</v>
      </c>
      <c r="E13415"/>
      <c r="F13415"/>
      <c r="G13415"/>
      <c r="H13415"/>
      <c r="I13415" s="489"/>
      <c r="J13415" s="1362"/>
      <c r="K13415" s="1362"/>
      <c r="L13415" s="1362"/>
    </row>
    <row r="13416" spans="1:12" x14ac:dyDescent="0.25">
      <c r="A13416">
        <v>96860</v>
      </c>
      <c r="B13416" t="s">
        <v>1801</v>
      </c>
      <c r="C13416" t="s">
        <v>138</v>
      </c>
      <c r="D13416" s="254">
        <v>25.25</v>
      </c>
      <c r="E13416"/>
      <c r="F13416"/>
      <c r="G13416"/>
      <c r="H13416"/>
      <c r="I13416" s="489"/>
      <c r="J13416" s="1362"/>
      <c r="K13416" s="1362"/>
      <c r="L13416" s="1362"/>
    </row>
    <row r="13417" spans="1:12" x14ac:dyDescent="0.25">
      <c r="A13417">
        <v>96861</v>
      </c>
      <c r="B13417" t="s">
        <v>1802</v>
      </c>
      <c r="C13417" t="s">
        <v>138</v>
      </c>
      <c r="D13417" s="254">
        <v>27.01</v>
      </c>
      <c r="E13417"/>
      <c r="F13417"/>
      <c r="G13417"/>
      <c r="H13417"/>
      <c r="I13417" s="489"/>
      <c r="J13417" s="1362"/>
      <c r="K13417" s="1362"/>
      <c r="L13417" s="1362"/>
    </row>
    <row r="13418" spans="1:12" x14ac:dyDescent="0.25">
      <c r="A13418">
        <v>96862</v>
      </c>
      <c r="B13418" t="s">
        <v>1803</v>
      </c>
      <c r="C13418" t="s">
        <v>138</v>
      </c>
      <c r="D13418" s="254">
        <v>30.38</v>
      </c>
      <c r="E13418"/>
      <c r="F13418"/>
      <c r="G13418"/>
      <c r="H13418"/>
      <c r="I13418" s="489"/>
      <c r="J13418" s="1362"/>
      <c r="K13418" s="1362"/>
      <c r="L13418" s="1362"/>
    </row>
    <row r="13419" spans="1:12" x14ac:dyDescent="0.25">
      <c r="A13419">
        <v>96863</v>
      </c>
      <c r="B13419" t="s">
        <v>1804</v>
      </c>
      <c r="C13419" t="s">
        <v>138</v>
      </c>
      <c r="D13419" s="254">
        <v>30.09</v>
      </c>
      <c r="E13419"/>
      <c r="F13419"/>
      <c r="G13419"/>
      <c r="H13419"/>
      <c r="I13419" s="489"/>
      <c r="J13419" s="1362"/>
      <c r="K13419" s="1362"/>
      <c r="L13419" s="1362"/>
    </row>
    <row r="13420" spans="1:12" x14ac:dyDescent="0.25">
      <c r="A13420">
        <v>96864</v>
      </c>
      <c r="B13420" t="s">
        <v>1805</v>
      </c>
      <c r="C13420" t="s">
        <v>138</v>
      </c>
      <c r="D13420" s="254">
        <v>46.17</v>
      </c>
      <c r="E13420"/>
      <c r="F13420"/>
      <c r="G13420"/>
      <c r="H13420"/>
      <c r="I13420" s="489"/>
      <c r="J13420" s="1362"/>
      <c r="K13420" s="1362"/>
      <c r="L13420" s="1362"/>
    </row>
    <row r="13421" spans="1:12" x14ac:dyDescent="0.25">
      <c r="A13421">
        <v>96865</v>
      </c>
      <c r="B13421" t="s">
        <v>1806</v>
      </c>
      <c r="C13421" t="s">
        <v>138</v>
      </c>
      <c r="D13421" s="254">
        <v>45.32</v>
      </c>
      <c r="E13421"/>
      <c r="F13421"/>
      <c r="G13421"/>
      <c r="H13421"/>
      <c r="I13421" s="489"/>
      <c r="J13421" s="1362"/>
      <c r="K13421" s="1362"/>
      <c r="L13421" s="1362"/>
    </row>
    <row r="13422" spans="1:12" x14ac:dyDescent="0.25">
      <c r="A13422">
        <v>96866</v>
      </c>
      <c r="B13422" t="s">
        <v>1807</v>
      </c>
      <c r="C13422" t="s">
        <v>138</v>
      </c>
      <c r="D13422" s="254">
        <v>60.32</v>
      </c>
      <c r="E13422"/>
      <c r="F13422"/>
      <c r="G13422"/>
      <c r="H13422"/>
      <c r="I13422" s="489"/>
      <c r="J13422" s="1362"/>
      <c r="K13422" s="1362"/>
      <c r="L13422" s="1362"/>
    </row>
    <row r="13423" spans="1:12" x14ac:dyDescent="0.25">
      <c r="A13423">
        <v>96867</v>
      </c>
      <c r="B13423" t="s">
        <v>1808</v>
      </c>
      <c r="C13423" t="s">
        <v>138</v>
      </c>
      <c r="D13423" s="254">
        <v>69.19</v>
      </c>
      <c r="E13423"/>
      <c r="F13423"/>
      <c r="G13423"/>
      <c r="H13423"/>
      <c r="I13423" s="489"/>
      <c r="J13423" s="1362"/>
      <c r="K13423" s="1362"/>
      <c r="L13423" s="1362"/>
    </row>
    <row r="13424" spans="1:12" x14ac:dyDescent="0.25">
      <c r="A13424">
        <v>96868</v>
      </c>
      <c r="B13424" t="s">
        <v>1809</v>
      </c>
      <c r="C13424" t="s">
        <v>138</v>
      </c>
      <c r="D13424" s="254">
        <v>27.8</v>
      </c>
      <c r="E13424"/>
      <c r="F13424"/>
      <c r="G13424"/>
      <c r="H13424"/>
      <c r="I13424" s="489"/>
      <c r="J13424" s="1362"/>
      <c r="K13424" s="1362"/>
      <c r="L13424" s="1362"/>
    </row>
    <row r="13425" spans="1:12" x14ac:dyDescent="0.25">
      <c r="A13425">
        <v>96869</v>
      </c>
      <c r="B13425" t="s">
        <v>1810</v>
      </c>
      <c r="C13425" t="s">
        <v>138</v>
      </c>
      <c r="D13425" s="254">
        <v>33.200000000000003</v>
      </c>
      <c r="E13425"/>
      <c r="F13425"/>
      <c r="G13425"/>
      <c r="H13425"/>
      <c r="I13425" s="489"/>
      <c r="J13425" s="1362"/>
      <c r="K13425" s="1362"/>
      <c r="L13425" s="1362"/>
    </row>
    <row r="13426" spans="1:12" x14ac:dyDescent="0.25">
      <c r="A13426">
        <v>96870</v>
      </c>
      <c r="B13426" t="s">
        <v>1811</v>
      </c>
      <c r="C13426" t="s">
        <v>138</v>
      </c>
      <c r="D13426" s="254">
        <v>51.32</v>
      </c>
      <c r="E13426"/>
      <c r="F13426"/>
      <c r="G13426"/>
      <c r="H13426"/>
      <c r="I13426" s="489"/>
      <c r="J13426" s="1362"/>
      <c r="K13426" s="1362"/>
      <c r="L13426" s="1362"/>
    </row>
    <row r="13427" spans="1:12" x14ac:dyDescent="0.25">
      <c r="A13427">
        <v>96871</v>
      </c>
      <c r="B13427" t="s">
        <v>1812</v>
      </c>
      <c r="C13427" t="s">
        <v>138</v>
      </c>
      <c r="D13427" s="254">
        <v>73.62</v>
      </c>
      <c r="E13427"/>
      <c r="F13427"/>
      <c r="G13427"/>
      <c r="H13427"/>
      <c r="I13427" s="489"/>
      <c r="J13427" s="1362"/>
      <c r="K13427" s="1362"/>
      <c r="L13427" s="1362"/>
    </row>
    <row r="13428" spans="1:12" x14ac:dyDescent="0.25">
      <c r="A13428">
        <v>96872</v>
      </c>
      <c r="B13428" t="s">
        <v>1813</v>
      </c>
      <c r="C13428" t="s">
        <v>138</v>
      </c>
      <c r="D13428" s="254">
        <v>70.510000000000005</v>
      </c>
      <c r="E13428"/>
      <c r="F13428"/>
      <c r="G13428"/>
      <c r="H13428"/>
      <c r="I13428" s="489"/>
      <c r="J13428" s="1362"/>
      <c r="K13428" s="1362"/>
      <c r="L13428" s="1362"/>
    </row>
    <row r="13429" spans="1:12" x14ac:dyDescent="0.25">
      <c r="A13429">
        <v>96873</v>
      </c>
      <c r="B13429" t="s">
        <v>1814</v>
      </c>
      <c r="C13429" t="s">
        <v>138</v>
      </c>
      <c r="D13429" s="254">
        <v>80.3</v>
      </c>
      <c r="E13429"/>
      <c r="F13429"/>
      <c r="G13429"/>
      <c r="H13429"/>
      <c r="I13429" s="489"/>
      <c r="J13429" s="1362"/>
      <c r="K13429" s="1362"/>
      <c r="L13429" s="1362"/>
    </row>
    <row r="13430" spans="1:12" x14ac:dyDescent="0.25">
      <c r="A13430">
        <v>96874</v>
      </c>
      <c r="B13430" t="s">
        <v>1815</v>
      </c>
      <c r="C13430" t="s">
        <v>138</v>
      </c>
      <c r="D13430" s="254">
        <v>86.49</v>
      </c>
      <c r="E13430"/>
      <c r="F13430"/>
      <c r="G13430"/>
      <c r="H13430"/>
      <c r="I13430" s="489"/>
      <c r="J13430" s="1362"/>
      <c r="K13430" s="1362"/>
      <c r="L13430" s="1362"/>
    </row>
    <row r="13431" spans="1:12" x14ac:dyDescent="0.25">
      <c r="A13431">
        <v>96875</v>
      </c>
      <c r="B13431" t="s">
        <v>1816</v>
      </c>
      <c r="C13431" t="s">
        <v>138</v>
      </c>
      <c r="D13431" s="254">
        <v>102.23</v>
      </c>
      <c r="E13431"/>
      <c r="F13431"/>
      <c r="G13431"/>
      <c r="H13431"/>
      <c r="I13431" s="489"/>
      <c r="J13431" s="1362"/>
      <c r="K13431" s="1362"/>
      <c r="L13431" s="1362"/>
    </row>
    <row r="13432" spans="1:12" x14ac:dyDescent="0.25">
      <c r="A13432">
        <v>96876</v>
      </c>
      <c r="B13432" t="s">
        <v>1817</v>
      </c>
      <c r="C13432" t="s">
        <v>138</v>
      </c>
      <c r="D13432" s="254">
        <v>176.33</v>
      </c>
      <c r="E13432"/>
      <c r="F13432"/>
      <c r="G13432"/>
      <c r="H13432"/>
      <c r="I13432" s="489"/>
      <c r="J13432" s="1362"/>
      <c r="K13432" s="1362"/>
      <c r="L13432" s="1362"/>
    </row>
    <row r="13433" spans="1:12" x14ac:dyDescent="0.25">
      <c r="A13433">
        <v>96877</v>
      </c>
      <c r="B13433" t="s">
        <v>1818</v>
      </c>
      <c r="C13433" t="s">
        <v>138</v>
      </c>
      <c r="D13433" s="254">
        <v>187.76</v>
      </c>
      <c r="E13433"/>
      <c r="F13433"/>
      <c r="G13433"/>
      <c r="H13433"/>
      <c r="I13433" s="489"/>
      <c r="J13433" s="1362"/>
      <c r="K13433" s="1362"/>
      <c r="L13433" s="1362"/>
    </row>
    <row r="13434" spans="1:12" x14ac:dyDescent="0.25">
      <c r="A13434">
        <v>96878</v>
      </c>
      <c r="B13434" t="s">
        <v>1819</v>
      </c>
      <c r="C13434" t="s">
        <v>138</v>
      </c>
      <c r="D13434" s="254">
        <v>189.89</v>
      </c>
      <c r="E13434"/>
      <c r="F13434"/>
      <c r="G13434"/>
      <c r="H13434"/>
      <c r="I13434" s="489"/>
      <c r="J13434" s="1362"/>
      <c r="K13434" s="1362"/>
      <c r="L13434" s="1362"/>
    </row>
    <row r="13435" spans="1:12" x14ac:dyDescent="0.25">
      <c r="A13435">
        <v>96879</v>
      </c>
      <c r="B13435" t="s">
        <v>1820</v>
      </c>
      <c r="C13435" t="s">
        <v>138</v>
      </c>
      <c r="D13435" s="254">
        <v>192.23</v>
      </c>
      <c r="E13435"/>
      <c r="F13435"/>
      <c r="G13435"/>
      <c r="H13435"/>
      <c r="I13435" s="489"/>
      <c r="J13435" s="1362"/>
      <c r="K13435" s="1362"/>
      <c r="L13435" s="1362"/>
    </row>
    <row r="13436" spans="1:12" x14ac:dyDescent="0.25">
      <c r="A13436">
        <v>96880</v>
      </c>
      <c r="B13436" t="s">
        <v>1821</v>
      </c>
      <c r="C13436" t="s">
        <v>138</v>
      </c>
      <c r="D13436" s="254">
        <v>217.82</v>
      </c>
      <c r="E13436"/>
      <c r="F13436"/>
      <c r="G13436"/>
      <c r="H13436"/>
      <c r="I13436" s="489"/>
      <c r="J13436" s="1362"/>
      <c r="K13436" s="1362"/>
      <c r="L13436" s="1362"/>
    </row>
    <row r="13437" spans="1:12" x14ac:dyDescent="0.25">
      <c r="A13437">
        <v>96881</v>
      </c>
      <c r="B13437" t="s">
        <v>1822</v>
      </c>
      <c r="C13437" t="s">
        <v>138</v>
      </c>
      <c r="D13437" s="254">
        <v>229.42</v>
      </c>
      <c r="E13437"/>
      <c r="F13437"/>
      <c r="G13437"/>
      <c r="H13437"/>
      <c r="I13437" s="489"/>
      <c r="J13437" s="1362"/>
      <c r="K13437" s="1362"/>
      <c r="L13437" s="1362"/>
    </row>
    <row r="13438" spans="1:12" x14ac:dyDescent="0.25">
      <c r="A13438">
        <v>97425</v>
      </c>
      <c r="B13438" t="s">
        <v>2663</v>
      </c>
      <c r="C13438" t="s">
        <v>138</v>
      </c>
      <c r="D13438" s="254">
        <v>33.11</v>
      </c>
      <c r="E13438"/>
      <c r="F13438"/>
      <c r="G13438"/>
      <c r="H13438"/>
      <c r="I13438" s="489"/>
      <c r="J13438" s="1362"/>
      <c r="K13438" s="1362"/>
      <c r="L13438" s="1362"/>
    </row>
    <row r="13439" spans="1:12" x14ac:dyDescent="0.25">
      <c r="A13439">
        <v>97426</v>
      </c>
      <c r="B13439" t="s">
        <v>2664</v>
      </c>
      <c r="C13439" t="s">
        <v>138</v>
      </c>
      <c r="D13439" s="254">
        <v>40.159999999999997</v>
      </c>
      <c r="E13439"/>
      <c r="F13439"/>
      <c r="G13439"/>
      <c r="H13439"/>
      <c r="I13439" s="489"/>
      <c r="J13439" s="1362"/>
      <c r="K13439" s="1362"/>
      <c r="L13439" s="1362"/>
    </row>
    <row r="13440" spans="1:12" x14ac:dyDescent="0.25">
      <c r="A13440">
        <v>97427</v>
      </c>
      <c r="B13440" t="s">
        <v>2665</v>
      </c>
      <c r="C13440" t="s">
        <v>138</v>
      </c>
      <c r="D13440" s="254">
        <v>45.5</v>
      </c>
      <c r="E13440"/>
      <c r="F13440"/>
      <c r="G13440"/>
      <c r="H13440"/>
      <c r="I13440" s="489"/>
      <c r="J13440" s="1362"/>
      <c r="K13440" s="1362"/>
      <c r="L13440" s="1362"/>
    </row>
    <row r="13441" spans="1:12" x14ac:dyDescent="0.25">
      <c r="A13441">
        <v>97428</v>
      </c>
      <c r="B13441" t="s">
        <v>2666</v>
      </c>
      <c r="C13441" t="s">
        <v>138</v>
      </c>
      <c r="D13441" s="254">
        <v>57.87</v>
      </c>
      <c r="E13441"/>
      <c r="F13441"/>
      <c r="G13441"/>
      <c r="H13441"/>
      <c r="I13441" s="489"/>
      <c r="J13441" s="1362"/>
      <c r="K13441" s="1362"/>
      <c r="L13441" s="1362"/>
    </row>
    <row r="13442" spans="1:12" x14ac:dyDescent="0.25">
      <c r="A13442">
        <v>97429</v>
      </c>
      <c r="B13442" t="s">
        <v>2667</v>
      </c>
      <c r="C13442" t="s">
        <v>138</v>
      </c>
      <c r="D13442" s="254">
        <v>69.260000000000005</v>
      </c>
      <c r="E13442"/>
      <c r="F13442"/>
      <c r="G13442"/>
      <c r="H13442"/>
      <c r="I13442" s="489"/>
      <c r="J13442" s="1362"/>
      <c r="K13442" s="1362"/>
      <c r="L13442" s="1362"/>
    </row>
    <row r="13443" spans="1:12" x14ac:dyDescent="0.25">
      <c r="A13443">
        <v>97430</v>
      </c>
      <c r="B13443" t="s">
        <v>5571</v>
      </c>
      <c r="C13443" t="s">
        <v>138</v>
      </c>
      <c r="D13443" s="254">
        <v>46.85</v>
      </c>
      <c r="E13443"/>
      <c r="F13443"/>
      <c r="G13443"/>
      <c r="H13443"/>
      <c r="I13443" s="489"/>
      <c r="J13443" s="1362"/>
      <c r="K13443" s="1362"/>
      <c r="L13443" s="1362"/>
    </row>
    <row r="13444" spans="1:12" x14ac:dyDescent="0.25">
      <c r="A13444">
        <v>97431</v>
      </c>
      <c r="B13444" t="s">
        <v>5572</v>
      </c>
      <c r="C13444" t="s">
        <v>138</v>
      </c>
      <c r="D13444" s="254">
        <v>52.15</v>
      </c>
      <c r="E13444"/>
      <c r="F13444"/>
      <c r="G13444"/>
      <c r="H13444"/>
      <c r="I13444" s="489"/>
      <c r="J13444" s="1362"/>
      <c r="K13444" s="1362"/>
      <c r="L13444" s="1362"/>
    </row>
    <row r="13445" spans="1:12" x14ac:dyDescent="0.25">
      <c r="A13445">
        <v>97432</v>
      </c>
      <c r="B13445" t="s">
        <v>5573</v>
      </c>
      <c r="C13445" t="s">
        <v>138</v>
      </c>
      <c r="D13445" s="254">
        <v>58.83</v>
      </c>
      <c r="E13445"/>
      <c r="F13445"/>
      <c r="G13445"/>
      <c r="H13445"/>
      <c r="I13445" s="489"/>
      <c r="J13445" s="1362"/>
      <c r="K13445" s="1362"/>
      <c r="L13445" s="1362"/>
    </row>
    <row r="13446" spans="1:12" x14ac:dyDescent="0.25">
      <c r="A13446">
        <v>97433</v>
      </c>
      <c r="B13446" t="s">
        <v>5574</v>
      </c>
      <c r="C13446" t="s">
        <v>138</v>
      </c>
      <c r="D13446" s="254">
        <v>109</v>
      </c>
      <c r="E13446"/>
      <c r="F13446"/>
      <c r="G13446"/>
      <c r="H13446"/>
      <c r="I13446" s="489"/>
      <c r="J13446" s="1362"/>
      <c r="K13446" s="1362"/>
      <c r="L13446" s="1362"/>
    </row>
    <row r="13447" spans="1:12" x14ac:dyDescent="0.25">
      <c r="A13447">
        <v>97434</v>
      </c>
      <c r="B13447" t="s">
        <v>5575</v>
      </c>
      <c r="C13447" t="s">
        <v>138</v>
      </c>
      <c r="D13447" s="254">
        <v>111.12</v>
      </c>
      <c r="E13447"/>
      <c r="F13447"/>
      <c r="G13447"/>
      <c r="H13447"/>
      <c r="I13447" s="489"/>
      <c r="J13447" s="1362"/>
      <c r="K13447" s="1362"/>
      <c r="L13447" s="1362"/>
    </row>
    <row r="13448" spans="1:12" x14ac:dyDescent="0.25">
      <c r="A13448">
        <v>97435</v>
      </c>
      <c r="B13448" t="s">
        <v>5576</v>
      </c>
      <c r="C13448" t="s">
        <v>138</v>
      </c>
      <c r="D13448" s="254">
        <v>127.56</v>
      </c>
      <c r="E13448"/>
      <c r="F13448"/>
      <c r="G13448"/>
      <c r="H13448"/>
      <c r="I13448" s="489"/>
      <c r="J13448" s="1362"/>
      <c r="K13448" s="1362"/>
      <c r="L13448" s="1362"/>
    </row>
    <row r="13449" spans="1:12" x14ac:dyDescent="0.25">
      <c r="A13449">
        <v>97436</v>
      </c>
      <c r="B13449" t="s">
        <v>5577</v>
      </c>
      <c r="C13449" t="s">
        <v>138</v>
      </c>
      <c r="D13449" s="254">
        <v>131.63</v>
      </c>
      <c r="E13449"/>
      <c r="F13449"/>
      <c r="G13449"/>
      <c r="H13449"/>
      <c r="I13449" s="489"/>
      <c r="J13449" s="1362"/>
      <c r="K13449" s="1362"/>
      <c r="L13449" s="1362"/>
    </row>
    <row r="13450" spans="1:12" x14ac:dyDescent="0.25">
      <c r="A13450">
        <v>97437</v>
      </c>
      <c r="B13450" t="s">
        <v>5578</v>
      </c>
      <c r="C13450" t="s">
        <v>138</v>
      </c>
      <c r="D13450" s="254">
        <v>146.05000000000001</v>
      </c>
      <c r="E13450"/>
      <c r="F13450"/>
      <c r="G13450"/>
      <c r="H13450"/>
      <c r="I13450" s="489"/>
      <c r="J13450" s="1362"/>
      <c r="K13450" s="1362"/>
      <c r="L13450" s="1362"/>
    </row>
    <row r="13451" spans="1:12" x14ac:dyDescent="0.25">
      <c r="A13451">
        <v>97438</v>
      </c>
      <c r="B13451" t="s">
        <v>5579</v>
      </c>
      <c r="C13451" t="s">
        <v>138</v>
      </c>
      <c r="D13451" s="254">
        <v>150.41</v>
      </c>
      <c r="E13451"/>
      <c r="F13451"/>
      <c r="G13451"/>
      <c r="H13451"/>
      <c r="I13451" s="489"/>
      <c r="J13451" s="1362"/>
      <c r="K13451" s="1362"/>
      <c r="L13451" s="1362"/>
    </row>
    <row r="13452" spans="1:12" x14ac:dyDescent="0.25">
      <c r="A13452">
        <v>97439</v>
      </c>
      <c r="B13452" t="s">
        <v>5580</v>
      </c>
      <c r="C13452" t="s">
        <v>138</v>
      </c>
      <c r="D13452" s="254">
        <v>165.66</v>
      </c>
      <c r="E13452"/>
      <c r="F13452"/>
      <c r="G13452"/>
      <c r="H13452"/>
      <c r="I13452" s="489"/>
      <c r="J13452" s="1362"/>
      <c r="K13452" s="1362"/>
      <c r="L13452" s="1362"/>
    </row>
    <row r="13453" spans="1:12" x14ac:dyDescent="0.25">
      <c r="A13453">
        <v>97440</v>
      </c>
      <c r="B13453" t="s">
        <v>5581</v>
      </c>
      <c r="C13453" t="s">
        <v>138</v>
      </c>
      <c r="D13453" s="254">
        <v>198.84</v>
      </c>
      <c r="E13453"/>
      <c r="F13453"/>
      <c r="G13453"/>
      <c r="H13453"/>
      <c r="I13453" s="489"/>
      <c r="J13453" s="1362"/>
      <c r="K13453" s="1362"/>
      <c r="L13453" s="1362"/>
    </row>
    <row r="13454" spans="1:12" x14ac:dyDescent="0.25">
      <c r="A13454">
        <v>97442</v>
      </c>
      <c r="B13454" t="s">
        <v>5582</v>
      </c>
      <c r="C13454" t="s">
        <v>138</v>
      </c>
      <c r="D13454" s="254">
        <v>219.5</v>
      </c>
      <c r="E13454"/>
      <c r="F13454"/>
      <c r="G13454"/>
      <c r="H13454"/>
      <c r="I13454" s="489"/>
      <c r="J13454" s="1362"/>
      <c r="K13454" s="1362"/>
      <c r="L13454" s="1362"/>
    </row>
    <row r="13455" spans="1:12" x14ac:dyDescent="0.25">
      <c r="A13455">
        <v>97443</v>
      </c>
      <c r="B13455" t="s">
        <v>5583</v>
      </c>
      <c r="C13455" t="s">
        <v>138</v>
      </c>
      <c r="D13455" s="254">
        <v>122.7</v>
      </c>
      <c r="E13455"/>
      <c r="F13455"/>
      <c r="G13455"/>
      <c r="H13455"/>
      <c r="I13455" s="489"/>
      <c r="J13455" s="1362"/>
      <c r="K13455" s="1362"/>
      <c r="L13455" s="1362"/>
    </row>
    <row r="13456" spans="1:12" x14ac:dyDescent="0.25">
      <c r="A13456">
        <v>97444</v>
      </c>
      <c r="B13456" t="s">
        <v>5584</v>
      </c>
      <c r="C13456" t="s">
        <v>138</v>
      </c>
      <c r="D13456" s="254">
        <v>145.18</v>
      </c>
      <c r="E13456"/>
      <c r="F13456"/>
      <c r="G13456"/>
      <c r="H13456"/>
      <c r="I13456" s="489"/>
      <c r="J13456" s="1362"/>
      <c r="K13456" s="1362"/>
      <c r="L13456" s="1362"/>
    </row>
    <row r="13457" spans="1:12" x14ac:dyDescent="0.25">
      <c r="A13457">
        <v>97446</v>
      </c>
      <c r="B13457" t="s">
        <v>5585</v>
      </c>
      <c r="C13457" t="s">
        <v>138</v>
      </c>
      <c r="D13457" s="254">
        <v>253.83</v>
      </c>
      <c r="E13457"/>
      <c r="F13457"/>
      <c r="G13457"/>
      <c r="H13457"/>
      <c r="I13457" s="489"/>
      <c r="J13457" s="1362"/>
      <c r="K13457" s="1362"/>
      <c r="L13457" s="1362"/>
    </row>
    <row r="13458" spans="1:12" x14ac:dyDescent="0.25">
      <c r="A13458">
        <v>97447</v>
      </c>
      <c r="B13458" t="s">
        <v>5586</v>
      </c>
      <c r="C13458" t="s">
        <v>138</v>
      </c>
      <c r="D13458" s="254">
        <v>253.83</v>
      </c>
      <c r="E13458"/>
      <c r="F13458"/>
      <c r="G13458"/>
      <c r="H13458"/>
      <c r="I13458" s="489"/>
      <c r="J13458" s="1362"/>
      <c r="K13458" s="1362"/>
      <c r="L13458" s="1362"/>
    </row>
    <row r="13459" spans="1:12" x14ac:dyDescent="0.25">
      <c r="A13459">
        <v>97449</v>
      </c>
      <c r="B13459" t="s">
        <v>5587</v>
      </c>
      <c r="C13459" t="s">
        <v>138</v>
      </c>
      <c r="D13459" s="254">
        <v>270.20999999999998</v>
      </c>
      <c r="E13459"/>
      <c r="F13459"/>
      <c r="G13459"/>
      <c r="H13459"/>
      <c r="I13459" s="489"/>
      <c r="J13459" s="1362"/>
      <c r="K13459" s="1362"/>
      <c r="L13459" s="1362"/>
    </row>
    <row r="13460" spans="1:12" x14ac:dyDescent="0.25">
      <c r="A13460">
        <v>97450</v>
      </c>
      <c r="B13460" t="s">
        <v>5588</v>
      </c>
      <c r="C13460" t="s">
        <v>138</v>
      </c>
      <c r="D13460" s="254">
        <v>331.42</v>
      </c>
      <c r="E13460"/>
      <c r="F13460"/>
      <c r="G13460"/>
      <c r="H13460"/>
      <c r="I13460" s="489"/>
      <c r="J13460" s="1362"/>
      <c r="K13460" s="1362"/>
      <c r="L13460" s="1362"/>
    </row>
    <row r="13461" spans="1:12" x14ac:dyDescent="0.25">
      <c r="A13461">
        <v>97452</v>
      </c>
      <c r="B13461" t="s">
        <v>5589</v>
      </c>
      <c r="C13461" t="s">
        <v>138</v>
      </c>
      <c r="D13461" s="254">
        <v>202.46</v>
      </c>
      <c r="E13461"/>
      <c r="F13461"/>
      <c r="G13461"/>
      <c r="H13461"/>
      <c r="I13461" s="489"/>
      <c r="J13461" s="1362"/>
      <c r="K13461" s="1362"/>
      <c r="L13461" s="1362"/>
    </row>
    <row r="13462" spans="1:12" x14ac:dyDescent="0.25">
      <c r="A13462">
        <v>97453</v>
      </c>
      <c r="B13462" t="s">
        <v>5590</v>
      </c>
      <c r="C13462" t="s">
        <v>138</v>
      </c>
      <c r="D13462" s="254">
        <v>215.29</v>
      </c>
      <c r="E13462"/>
      <c r="F13462"/>
      <c r="G13462"/>
      <c r="H13462"/>
      <c r="I13462" s="489"/>
      <c r="J13462" s="1362"/>
      <c r="K13462" s="1362"/>
      <c r="L13462" s="1362"/>
    </row>
    <row r="13463" spans="1:12" x14ac:dyDescent="0.25">
      <c r="A13463">
        <v>97454</v>
      </c>
      <c r="B13463" t="s">
        <v>5591</v>
      </c>
      <c r="C13463" t="s">
        <v>138</v>
      </c>
      <c r="D13463" s="254">
        <v>348.3</v>
      </c>
      <c r="E13463"/>
      <c r="F13463"/>
      <c r="G13463"/>
      <c r="H13463"/>
      <c r="I13463" s="489"/>
      <c r="J13463" s="1362"/>
      <c r="K13463" s="1362"/>
      <c r="L13463" s="1362"/>
    </row>
    <row r="13464" spans="1:12" x14ac:dyDescent="0.25">
      <c r="A13464">
        <v>97455</v>
      </c>
      <c r="B13464" t="s">
        <v>5592</v>
      </c>
      <c r="C13464" t="s">
        <v>138</v>
      </c>
      <c r="D13464" s="254">
        <v>368.83</v>
      </c>
      <c r="E13464"/>
      <c r="F13464"/>
      <c r="G13464"/>
      <c r="H13464"/>
      <c r="I13464" s="489"/>
      <c r="J13464" s="1362"/>
      <c r="K13464" s="1362"/>
      <c r="L13464" s="1362"/>
    </row>
    <row r="13465" spans="1:12" x14ac:dyDescent="0.25">
      <c r="A13465">
        <v>97456</v>
      </c>
      <c r="B13465" t="s">
        <v>5593</v>
      </c>
      <c r="C13465" t="s">
        <v>138</v>
      </c>
      <c r="D13465" s="254">
        <v>796.94</v>
      </c>
      <c r="E13465"/>
      <c r="F13465"/>
      <c r="G13465"/>
      <c r="H13465"/>
      <c r="I13465" s="489"/>
      <c r="J13465" s="1362"/>
      <c r="K13465" s="1362"/>
      <c r="L13465" s="1362"/>
    </row>
    <row r="13466" spans="1:12" x14ac:dyDescent="0.25">
      <c r="A13466">
        <v>97457</v>
      </c>
      <c r="B13466" t="s">
        <v>5594</v>
      </c>
      <c r="C13466" t="s">
        <v>138</v>
      </c>
      <c r="D13466" s="254">
        <v>704.87</v>
      </c>
      <c r="E13466"/>
      <c r="F13466"/>
      <c r="G13466"/>
      <c r="H13466"/>
      <c r="I13466" s="489"/>
      <c r="J13466" s="1362"/>
      <c r="K13466" s="1362"/>
      <c r="L13466" s="1362"/>
    </row>
    <row r="13467" spans="1:12" x14ac:dyDescent="0.25">
      <c r="A13467">
        <v>97458</v>
      </c>
      <c r="B13467" t="s">
        <v>5595</v>
      </c>
      <c r="C13467" t="s">
        <v>138</v>
      </c>
      <c r="D13467" s="254">
        <v>321.5</v>
      </c>
      <c r="E13467"/>
      <c r="F13467"/>
      <c r="G13467"/>
      <c r="H13467"/>
      <c r="I13467" s="489"/>
      <c r="J13467" s="1362"/>
      <c r="K13467" s="1362"/>
      <c r="L13467" s="1362"/>
    </row>
    <row r="13468" spans="1:12" x14ac:dyDescent="0.25">
      <c r="A13468">
        <v>97459</v>
      </c>
      <c r="B13468" t="s">
        <v>5596</v>
      </c>
      <c r="C13468" t="s">
        <v>138</v>
      </c>
      <c r="D13468" s="254">
        <v>556.6</v>
      </c>
      <c r="E13468"/>
      <c r="F13468"/>
      <c r="G13468"/>
      <c r="H13468"/>
      <c r="I13468" s="489"/>
      <c r="J13468" s="1362"/>
      <c r="K13468" s="1362"/>
      <c r="L13468" s="1362"/>
    </row>
    <row r="13469" spans="1:12" x14ac:dyDescent="0.25">
      <c r="A13469">
        <v>97460</v>
      </c>
      <c r="B13469" t="s">
        <v>5597</v>
      </c>
      <c r="C13469" t="s">
        <v>138</v>
      </c>
      <c r="D13469" s="254">
        <v>859.48</v>
      </c>
      <c r="E13469"/>
      <c r="F13469"/>
      <c r="G13469"/>
      <c r="H13469"/>
      <c r="I13469" s="489"/>
      <c r="J13469" s="1362"/>
      <c r="K13469" s="1362"/>
      <c r="L13469" s="1362"/>
    </row>
    <row r="13470" spans="1:12" x14ac:dyDescent="0.25">
      <c r="A13470">
        <v>97461</v>
      </c>
      <c r="B13470" t="s">
        <v>5598</v>
      </c>
      <c r="C13470" t="s">
        <v>138</v>
      </c>
      <c r="D13470" s="254">
        <v>38.78</v>
      </c>
      <c r="E13470"/>
      <c r="F13470"/>
      <c r="G13470"/>
      <c r="H13470"/>
      <c r="I13470" s="489"/>
      <c r="J13470" s="1362"/>
      <c r="K13470" s="1362"/>
      <c r="L13470" s="1362"/>
    </row>
    <row r="13471" spans="1:12" x14ac:dyDescent="0.25">
      <c r="A13471">
        <v>97462</v>
      </c>
      <c r="B13471" t="s">
        <v>5599</v>
      </c>
      <c r="C13471" t="s">
        <v>138</v>
      </c>
      <c r="D13471" s="254">
        <v>32.200000000000003</v>
      </c>
      <c r="E13471"/>
      <c r="F13471"/>
      <c r="G13471"/>
      <c r="H13471"/>
      <c r="I13471" s="489"/>
      <c r="J13471" s="1362"/>
      <c r="K13471" s="1362"/>
      <c r="L13471" s="1362"/>
    </row>
    <row r="13472" spans="1:12" x14ac:dyDescent="0.25">
      <c r="A13472">
        <v>97464</v>
      </c>
      <c r="B13472" t="s">
        <v>5600</v>
      </c>
      <c r="C13472" t="s">
        <v>138</v>
      </c>
      <c r="D13472" s="254">
        <v>56.02</v>
      </c>
      <c r="E13472"/>
      <c r="F13472"/>
      <c r="G13472"/>
      <c r="H13472"/>
      <c r="I13472" s="489"/>
      <c r="J13472" s="1362"/>
      <c r="K13472" s="1362"/>
      <c r="L13472" s="1362"/>
    </row>
    <row r="13473" spans="1:12" x14ac:dyDescent="0.25">
      <c r="A13473">
        <v>97465</v>
      </c>
      <c r="B13473" t="s">
        <v>5601</v>
      </c>
      <c r="C13473" t="s">
        <v>138</v>
      </c>
      <c r="D13473" s="254">
        <v>67.13</v>
      </c>
      <c r="E13473"/>
      <c r="F13473"/>
      <c r="G13473"/>
      <c r="H13473"/>
      <c r="I13473" s="489"/>
      <c r="J13473" s="1362"/>
      <c r="K13473" s="1362"/>
      <c r="L13473" s="1362"/>
    </row>
    <row r="13474" spans="1:12" x14ac:dyDescent="0.25">
      <c r="A13474">
        <v>97467</v>
      </c>
      <c r="B13474" t="s">
        <v>5602</v>
      </c>
      <c r="C13474" t="s">
        <v>138</v>
      </c>
      <c r="D13474" s="254">
        <v>71.13</v>
      </c>
      <c r="E13474"/>
      <c r="F13474"/>
      <c r="G13474"/>
      <c r="H13474"/>
      <c r="I13474" s="489"/>
      <c r="J13474" s="1362"/>
      <c r="K13474" s="1362"/>
      <c r="L13474" s="1362"/>
    </row>
    <row r="13475" spans="1:12" x14ac:dyDescent="0.25">
      <c r="A13475">
        <v>97468</v>
      </c>
      <c r="B13475" t="s">
        <v>5603</v>
      </c>
      <c r="C13475" t="s">
        <v>138</v>
      </c>
      <c r="D13475" s="254">
        <v>85.35</v>
      </c>
      <c r="E13475"/>
      <c r="F13475"/>
      <c r="G13475"/>
      <c r="H13475"/>
      <c r="I13475" s="489"/>
      <c r="J13475" s="1362"/>
      <c r="K13475" s="1362"/>
      <c r="L13475" s="1362"/>
    </row>
    <row r="13476" spans="1:12" x14ac:dyDescent="0.25">
      <c r="A13476">
        <v>97470</v>
      </c>
      <c r="B13476" t="s">
        <v>5604</v>
      </c>
      <c r="C13476" t="s">
        <v>138</v>
      </c>
      <c r="D13476" s="254">
        <v>105.46</v>
      </c>
      <c r="E13476"/>
      <c r="F13476"/>
      <c r="G13476"/>
      <c r="H13476"/>
      <c r="I13476" s="489"/>
      <c r="J13476" s="1362"/>
      <c r="K13476" s="1362"/>
      <c r="L13476" s="1362"/>
    </row>
    <row r="13477" spans="1:12" x14ac:dyDescent="0.25">
      <c r="A13477">
        <v>97471</v>
      </c>
      <c r="B13477" t="s">
        <v>5605</v>
      </c>
      <c r="C13477" t="s">
        <v>138</v>
      </c>
      <c r="D13477" s="254">
        <v>127.94</v>
      </c>
      <c r="E13477"/>
      <c r="F13477"/>
      <c r="G13477"/>
      <c r="H13477"/>
      <c r="I13477" s="489"/>
      <c r="J13477" s="1362"/>
      <c r="K13477" s="1362"/>
      <c r="L13477" s="1362"/>
    </row>
    <row r="13478" spans="1:12" x14ac:dyDescent="0.25">
      <c r="A13478">
        <v>97474</v>
      </c>
      <c r="B13478" t="s">
        <v>5606</v>
      </c>
      <c r="C13478" t="s">
        <v>138</v>
      </c>
      <c r="D13478" s="254">
        <v>194.08</v>
      </c>
      <c r="E13478"/>
      <c r="F13478"/>
      <c r="G13478"/>
      <c r="H13478"/>
      <c r="I13478" s="489"/>
      <c r="J13478" s="1362"/>
      <c r="K13478" s="1362"/>
      <c r="L13478" s="1362"/>
    </row>
    <row r="13479" spans="1:12" x14ac:dyDescent="0.25">
      <c r="A13479">
        <v>97475</v>
      </c>
      <c r="B13479" t="s">
        <v>5607</v>
      </c>
      <c r="C13479" t="s">
        <v>138</v>
      </c>
      <c r="D13479" s="254">
        <v>239.52</v>
      </c>
      <c r="E13479"/>
      <c r="F13479"/>
      <c r="G13479"/>
      <c r="H13479"/>
      <c r="I13479" s="489"/>
      <c r="J13479" s="1362"/>
      <c r="K13479" s="1362"/>
      <c r="L13479" s="1362"/>
    </row>
    <row r="13480" spans="1:12" x14ac:dyDescent="0.25">
      <c r="A13480">
        <v>97477</v>
      </c>
      <c r="B13480" t="s">
        <v>5608</v>
      </c>
      <c r="C13480" t="s">
        <v>138</v>
      </c>
      <c r="D13480" s="254">
        <v>258.83999999999997</v>
      </c>
      <c r="E13480"/>
      <c r="F13480"/>
      <c r="G13480"/>
      <c r="H13480"/>
      <c r="I13480" s="489"/>
      <c r="J13480" s="1362"/>
      <c r="K13480" s="1362"/>
      <c r="L13480" s="1362"/>
    </row>
    <row r="13481" spans="1:12" x14ac:dyDescent="0.25">
      <c r="A13481">
        <v>97478</v>
      </c>
      <c r="B13481" t="s">
        <v>5609</v>
      </c>
      <c r="C13481" t="s">
        <v>138</v>
      </c>
      <c r="D13481" s="254">
        <v>320.05</v>
      </c>
      <c r="E13481"/>
      <c r="F13481"/>
      <c r="G13481"/>
      <c r="H13481"/>
      <c r="I13481" s="489"/>
      <c r="J13481" s="1362"/>
      <c r="K13481" s="1362"/>
      <c r="L13481" s="1362"/>
    </row>
    <row r="13482" spans="1:12" x14ac:dyDescent="0.25">
      <c r="A13482">
        <v>97479</v>
      </c>
      <c r="B13482" t="s">
        <v>5610</v>
      </c>
      <c r="C13482" t="s">
        <v>138</v>
      </c>
      <c r="D13482" s="254">
        <v>62.65</v>
      </c>
      <c r="E13482"/>
      <c r="F13482"/>
      <c r="G13482"/>
      <c r="H13482"/>
      <c r="I13482" s="489"/>
      <c r="J13482" s="1362"/>
      <c r="K13482" s="1362"/>
      <c r="L13482" s="1362"/>
    </row>
    <row r="13483" spans="1:12" x14ac:dyDescent="0.25">
      <c r="A13483">
        <v>97480</v>
      </c>
      <c r="B13483" t="s">
        <v>5611</v>
      </c>
      <c r="C13483" t="s">
        <v>138</v>
      </c>
      <c r="D13483" s="254">
        <v>62.65</v>
      </c>
      <c r="E13483"/>
      <c r="F13483"/>
      <c r="G13483"/>
      <c r="H13483"/>
      <c r="I13483" s="489"/>
      <c r="J13483" s="1362"/>
      <c r="K13483" s="1362"/>
      <c r="L13483" s="1362"/>
    </row>
    <row r="13484" spans="1:12" x14ac:dyDescent="0.25">
      <c r="A13484">
        <v>97481</v>
      </c>
      <c r="B13484" t="s">
        <v>5612</v>
      </c>
      <c r="C13484" t="s">
        <v>138</v>
      </c>
      <c r="D13484" s="254">
        <v>91.07</v>
      </c>
      <c r="E13484"/>
      <c r="F13484"/>
      <c r="G13484"/>
      <c r="H13484"/>
      <c r="I13484" s="489"/>
      <c r="J13484" s="1362"/>
      <c r="K13484" s="1362"/>
      <c r="L13484" s="1362"/>
    </row>
    <row r="13485" spans="1:12" x14ac:dyDescent="0.25">
      <c r="A13485">
        <v>97482</v>
      </c>
      <c r="B13485" t="s">
        <v>5613</v>
      </c>
      <c r="C13485" t="s">
        <v>138</v>
      </c>
      <c r="D13485" s="254">
        <v>91.07</v>
      </c>
      <c r="E13485"/>
      <c r="F13485"/>
      <c r="G13485"/>
      <c r="H13485"/>
      <c r="I13485" s="489"/>
      <c r="J13485" s="1362"/>
      <c r="K13485" s="1362"/>
      <c r="L13485" s="1362"/>
    </row>
    <row r="13486" spans="1:12" x14ac:dyDescent="0.25">
      <c r="A13486">
        <v>97483</v>
      </c>
      <c r="B13486" t="s">
        <v>5614</v>
      </c>
      <c r="C13486" t="s">
        <v>138</v>
      </c>
      <c r="D13486" s="254">
        <v>127.85</v>
      </c>
      <c r="E13486"/>
      <c r="F13486"/>
      <c r="G13486"/>
      <c r="H13486"/>
      <c r="I13486" s="489"/>
      <c r="J13486" s="1362"/>
      <c r="K13486" s="1362"/>
      <c r="L13486" s="1362"/>
    </row>
    <row r="13487" spans="1:12" x14ac:dyDescent="0.25">
      <c r="A13487">
        <v>97484</v>
      </c>
      <c r="B13487" t="s">
        <v>5615</v>
      </c>
      <c r="C13487" t="s">
        <v>138</v>
      </c>
      <c r="D13487" s="254">
        <v>127.85</v>
      </c>
      <c r="E13487"/>
      <c r="F13487"/>
      <c r="G13487"/>
      <c r="H13487"/>
      <c r="I13487" s="489"/>
      <c r="J13487" s="1362"/>
      <c r="K13487" s="1362"/>
      <c r="L13487" s="1362"/>
    </row>
    <row r="13488" spans="1:12" x14ac:dyDescent="0.25">
      <c r="A13488">
        <v>97485</v>
      </c>
      <c r="B13488" t="s">
        <v>5616</v>
      </c>
      <c r="C13488" t="s">
        <v>138</v>
      </c>
      <c r="D13488" s="254">
        <v>176.63</v>
      </c>
      <c r="E13488"/>
      <c r="F13488"/>
      <c r="G13488"/>
      <c r="H13488"/>
      <c r="I13488" s="489"/>
      <c r="J13488" s="1362"/>
      <c r="K13488" s="1362"/>
      <c r="L13488" s="1362"/>
    </row>
    <row r="13489" spans="1:12" x14ac:dyDescent="0.25">
      <c r="A13489">
        <v>97486</v>
      </c>
      <c r="B13489" t="s">
        <v>5617</v>
      </c>
      <c r="C13489" t="s">
        <v>138</v>
      </c>
      <c r="D13489" s="254">
        <v>189.46</v>
      </c>
      <c r="E13489"/>
      <c r="F13489"/>
      <c r="G13489"/>
      <c r="H13489"/>
      <c r="I13489" s="489"/>
      <c r="J13489" s="1362"/>
      <c r="K13489" s="1362"/>
      <c r="L13489" s="1362"/>
    </row>
    <row r="13490" spans="1:12" x14ac:dyDescent="0.25">
      <c r="A13490">
        <v>97487</v>
      </c>
      <c r="B13490" t="s">
        <v>5618</v>
      </c>
      <c r="C13490" t="s">
        <v>138</v>
      </c>
      <c r="D13490" s="254">
        <v>326.89</v>
      </c>
      <c r="E13490"/>
      <c r="F13490"/>
      <c r="G13490"/>
      <c r="H13490"/>
      <c r="I13490" s="489"/>
      <c r="J13490" s="1362"/>
      <c r="K13490" s="1362"/>
      <c r="L13490" s="1362"/>
    </row>
    <row r="13491" spans="1:12" x14ac:dyDescent="0.25">
      <c r="A13491">
        <v>97488</v>
      </c>
      <c r="B13491" t="s">
        <v>5619</v>
      </c>
      <c r="C13491" t="s">
        <v>138</v>
      </c>
      <c r="D13491" s="254">
        <v>347.42</v>
      </c>
      <c r="E13491"/>
      <c r="F13491"/>
      <c r="G13491"/>
      <c r="H13491"/>
      <c r="I13491" s="489"/>
      <c r="J13491" s="1362"/>
      <c r="K13491" s="1362"/>
      <c r="L13491" s="1362"/>
    </row>
    <row r="13492" spans="1:12" x14ac:dyDescent="0.25">
      <c r="A13492">
        <v>97489</v>
      </c>
      <c r="B13492" t="s">
        <v>5620</v>
      </c>
      <c r="C13492" t="s">
        <v>138</v>
      </c>
      <c r="D13492" s="254">
        <v>779.85</v>
      </c>
      <c r="E13492"/>
      <c r="F13492"/>
      <c r="G13492"/>
      <c r="H13492"/>
      <c r="I13492" s="489"/>
      <c r="J13492" s="1362"/>
      <c r="K13492" s="1362"/>
      <c r="L13492" s="1362"/>
    </row>
    <row r="13493" spans="1:12" x14ac:dyDescent="0.25">
      <c r="A13493">
        <v>97490</v>
      </c>
      <c r="B13493" t="s">
        <v>5621</v>
      </c>
      <c r="C13493" t="s">
        <v>138</v>
      </c>
      <c r="D13493" s="254">
        <v>687.78</v>
      </c>
      <c r="E13493"/>
      <c r="F13493"/>
      <c r="G13493"/>
      <c r="H13493"/>
      <c r="I13493" s="489"/>
      <c r="J13493" s="1362"/>
      <c r="K13493" s="1362"/>
      <c r="L13493" s="1362"/>
    </row>
    <row r="13494" spans="1:12" x14ac:dyDescent="0.25">
      <c r="A13494">
        <v>97491</v>
      </c>
      <c r="B13494" t="s">
        <v>5622</v>
      </c>
      <c r="C13494" t="s">
        <v>138</v>
      </c>
      <c r="D13494" s="254">
        <v>97.13</v>
      </c>
      <c r="E13494"/>
      <c r="F13494"/>
      <c r="G13494"/>
      <c r="H13494"/>
      <c r="I13494" s="489"/>
      <c r="J13494" s="1362"/>
      <c r="K13494" s="1362"/>
      <c r="L13494" s="1362"/>
    </row>
    <row r="13495" spans="1:12" x14ac:dyDescent="0.25">
      <c r="A13495">
        <v>97492</v>
      </c>
      <c r="B13495" t="s">
        <v>5623</v>
      </c>
      <c r="C13495" t="s">
        <v>138</v>
      </c>
      <c r="D13495" s="254">
        <v>142.88999999999999</v>
      </c>
      <c r="E13495"/>
      <c r="F13495"/>
      <c r="G13495"/>
      <c r="H13495"/>
      <c r="I13495" s="489"/>
      <c r="J13495" s="1362"/>
      <c r="K13495" s="1362"/>
      <c r="L13495" s="1362"/>
    </row>
    <row r="13496" spans="1:12" x14ac:dyDescent="0.25">
      <c r="A13496">
        <v>97493</v>
      </c>
      <c r="B13496" t="s">
        <v>5624</v>
      </c>
      <c r="C13496" t="s">
        <v>138</v>
      </c>
      <c r="D13496" s="254">
        <v>184.37</v>
      </c>
      <c r="E13496"/>
      <c r="F13496"/>
      <c r="G13496"/>
      <c r="H13496"/>
      <c r="I13496" s="489"/>
      <c r="J13496" s="1362"/>
      <c r="K13496" s="1362"/>
      <c r="L13496" s="1362"/>
    </row>
    <row r="13497" spans="1:12" x14ac:dyDescent="0.25">
      <c r="A13497">
        <v>97494</v>
      </c>
      <c r="B13497" t="s">
        <v>5625</v>
      </c>
      <c r="C13497" t="s">
        <v>138</v>
      </c>
      <c r="D13497" s="254">
        <v>287</v>
      </c>
      <c r="E13497"/>
      <c r="F13497"/>
      <c r="G13497"/>
      <c r="H13497"/>
      <c r="I13497" s="489"/>
      <c r="J13497" s="1362"/>
      <c r="K13497" s="1362"/>
      <c r="L13497" s="1362"/>
    </row>
    <row r="13498" spans="1:12" x14ac:dyDescent="0.25">
      <c r="A13498">
        <v>97495</v>
      </c>
      <c r="B13498" t="s">
        <v>5626</v>
      </c>
      <c r="C13498" t="s">
        <v>138</v>
      </c>
      <c r="D13498" s="254">
        <v>527.99</v>
      </c>
      <c r="E13498"/>
      <c r="F13498"/>
      <c r="G13498"/>
      <c r="H13498"/>
      <c r="I13498" s="489"/>
      <c r="J13498" s="1362"/>
      <c r="K13498" s="1362"/>
      <c r="L13498" s="1362"/>
    </row>
    <row r="13499" spans="1:12" x14ac:dyDescent="0.25">
      <c r="A13499">
        <v>97496</v>
      </c>
      <c r="B13499" t="s">
        <v>5627</v>
      </c>
      <c r="C13499" t="s">
        <v>138</v>
      </c>
      <c r="D13499" s="254">
        <v>836.75</v>
      </c>
      <c r="E13499"/>
      <c r="F13499"/>
      <c r="G13499"/>
      <c r="H13499"/>
      <c r="I13499" s="489"/>
      <c r="J13499" s="1362"/>
      <c r="K13499" s="1362"/>
      <c r="L13499" s="1362"/>
    </row>
    <row r="13500" spans="1:12" x14ac:dyDescent="0.25">
      <c r="A13500">
        <v>97499</v>
      </c>
      <c r="B13500" t="s">
        <v>5628</v>
      </c>
      <c r="C13500" t="s">
        <v>138</v>
      </c>
      <c r="D13500" s="254">
        <v>36</v>
      </c>
      <c r="E13500"/>
      <c r="F13500"/>
      <c r="G13500"/>
      <c r="H13500"/>
      <c r="I13500" s="489"/>
      <c r="J13500" s="1362"/>
      <c r="K13500" s="1362"/>
      <c r="L13500" s="1362"/>
    </row>
    <row r="13501" spans="1:12" x14ac:dyDescent="0.25">
      <c r="A13501">
        <v>97500</v>
      </c>
      <c r="B13501" t="s">
        <v>5629</v>
      </c>
      <c r="C13501" t="s">
        <v>138</v>
      </c>
      <c r="D13501" s="254">
        <v>29.42</v>
      </c>
      <c r="E13501"/>
      <c r="F13501"/>
      <c r="G13501"/>
      <c r="H13501"/>
      <c r="I13501" s="489"/>
      <c r="J13501" s="1362"/>
      <c r="K13501" s="1362"/>
      <c r="L13501" s="1362"/>
    </row>
    <row r="13502" spans="1:12" x14ac:dyDescent="0.25">
      <c r="A13502">
        <v>97502</v>
      </c>
      <c r="B13502" t="s">
        <v>5630</v>
      </c>
      <c r="C13502" t="s">
        <v>138</v>
      </c>
      <c r="D13502" s="254">
        <v>50.85</v>
      </c>
      <c r="E13502"/>
      <c r="F13502"/>
      <c r="G13502"/>
      <c r="H13502"/>
      <c r="I13502" s="489"/>
      <c r="J13502" s="1362"/>
      <c r="K13502" s="1362"/>
      <c r="L13502" s="1362"/>
    </row>
    <row r="13503" spans="1:12" x14ac:dyDescent="0.25">
      <c r="A13503">
        <v>97503</v>
      </c>
      <c r="B13503" t="s">
        <v>5631</v>
      </c>
      <c r="C13503" t="s">
        <v>138</v>
      </c>
      <c r="D13503" s="254">
        <v>62.23</v>
      </c>
      <c r="E13503"/>
      <c r="F13503"/>
      <c r="G13503"/>
      <c r="H13503"/>
      <c r="I13503" s="489"/>
      <c r="J13503" s="1362"/>
      <c r="K13503" s="1362"/>
      <c r="L13503" s="1362"/>
    </row>
    <row r="13504" spans="1:12" x14ac:dyDescent="0.25">
      <c r="A13504">
        <v>97505</v>
      </c>
      <c r="B13504" t="s">
        <v>5632</v>
      </c>
      <c r="C13504" t="s">
        <v>138</v>
      </c>
      <c r="D13504" s="254">
        <v>63.85</v>
      </c>
      <c r="E13504"/>
      <c r="F13504"/>
      <c r="G13504"/>
      <c r="H13504"/>
      <c r="I13504" s="489"/>
      <c r="J13504" s="1362"/>
      <c r="K13504" s="1362"/>
      <c r="L13504" s="1362"/>
    </row>
    <row r="13505" spans="1:12" x14ac:dyDescent="0.25">
      <c r="A13505">
        <v>97506</v>
      </c>
      <c r="B13505" t="s">
        <v>5633</v>
      </c>
      <c r="C13505" t="s">
        <v>138</v>
      </c>
      <c r="D13505" s="254">
        <v>78.069999999999993</v>
      </c>
      <c r="E13505"/>
      <c r="F13505"/>
      <c r="G13505"/>
      <c r="H13505"/>
      <c r="I13505" s="489"/>
      <c r="J13505" s="1362"/>
      <c r="K13505" s="1362"/>
      <c r="L13505" s="1362"/>
    </row>
    <row r="13506" spans="1:12" x14ac:dyDescent="0.25">
      <c r="A13506">
        <v>97508</v>
      </c>
      <c r="B13506" t="s">
        <v>5634</v>
      </c>
      <c r="C13506" t="s">
        <v>138</v>
      </c>
      <c r="D13506" s="254">
        <v>95.16</v>
      </c>
      <c r="E13506"/>
      <c r="F13506"/>
      <c r="G13506"/>
      <c r="H13506"/>
      <c r="I13506" s="489"/>
      <c r="J13506" s="1362"/>
      <c r="K13506" s="1362"/>
      <c r="L13506" s="1362"/>
    </row>
    <row r="13507" spans="1:12" x14ac:dyDescent="0.25">
      <c r="A13507">
        <v>97509</v>
      </c>
      <c r="B13507" t="s">
        <v>5635</v>
      </c>
      <c r="C13507" t="s">
        <v>138</v>
      </c>
      <c r="D13507" s="254">
        <v>117.64</v>
      </c>
      <c r="E13507"/>
      <c r="F13507"/>
      <c r="G13507"/>
      <c r="H13507"/>
      <c r="I13507" s="489"/>
      <c r="J13507" s="1362"/>
      <c r="K13507" s="1362"/>
      <c r="L13507" s="1362"/>
    </row>
    <row r="13508" spans="1:12" x14ac:dyDescent="0.25">
      <c r="A13508">
        <v>97511</v>
      </c>
      <c r="B13508" t="s">
        <v>5636</v>
      </c>
      <c r="C13508" t="s">
        <v>138</v>
      </c>
      <c r="D13508" s="254">
        <v>179.28</v>
      </c>
      <c r="E13508"/>
      <c r="F13508"/>
      <c r="G13508"/>
      <c r="H13508"/>
      <c r="I13508" s="489"/>
      <c r="J13508" s="1362"/>
      <c r="K13508" s="1362"/>
      <c r="L13508" s="1362"/>
    </row>
    <row r="13509" spans="1:12" x14ac:dyDescent="0.25">
      <c r="A13509">
        <v>97512</v>
      </c>
      <c r="B13509" t="s">
        <v>5637</v>
      </c>
      <c r="C13509" t="s">
        <v>138</v>
      </c>
      <c r="D13509" s="254">
        <v>224.72</v>
      </c>
      <c r="E13509"/>
      <c r="F13509"/>
      <c r="G13509"/>
      <c r="H13509"/>
      <c r="I13509" s="489"/>
      <c r="J13509" s="1362"/>
      <c r="K13509" s="1362"/>
      <c r="L13509" s="1362"/>
    </row>
    <row r="13510" spans="1:12" x14ac:dyDescent="0.25">
      <c r="A13510">
        <v>97514</v>
      </c>
      <c r="B13510" t="s">
        <v>5638</v>
      </c>
      <c r="C13510" t="s">
        <v>138</v>
      </c>
      <c r="D13510" s="254">
        <v>239.39</v>
      </c>
      <c r="E13510"/>
      <c r="F13510"/>
      <c r="G13510"/>
      <c r="H13510"/>
      <c r="I13510" s="489"/>
      <c r="J13510" s="1362"/>
      <c r="K13510" s="1362"/>
      <c r="L13510" s="1362"/>
    </row>
    <row r="13511" spans="1:12" x14ac:dyDescent="0.25">
      <c r="A13511">
        <v>97515</v>
      </c>
      <c r="B13511" t="s">
        <v>5639</v>
      </c>
      <c r="C13511" t="s">
        <v>138</v>
      </c>
      <c r="D13511" s="254">
        <v>300.60000000000002</v>
      </c>
      <c r="E13511"/>
      <c r="F13511"/>
      <c r="G13511"/>
      <c r="H13511"/>
      <c r="I13511" s="489"/>
      <c r="J13511" s="1362"/>
      <c r="K13511" s="1362"/>
      <c r="L13511" s="1362"/>
    </row>
    <row r="13512" spans="1:12" x14ac:dyDescent="0.25">
      <c r="A13512">
        <v>97517</v>
      </c>
      <c r="B13512" t="s">
        <v>5640</v>
      </c>
      <c r="C13512" t="s">
        <v>138</v>
      </c>
      <c r="D13512" s="254">
        <v>58.48</v>
      </c>
      <c r="E13512"/>
      <c r="F13512"/>
      <c r="G13512"/>
      <c r="H13512"/>
      <c r="I13512" s="489"/>
      <c r="J13512" s="1362"/>
      <c r="K13512" s="1362"/>
      <c r="L13512" s="1362"/>
    </row>
    <row r="13513" spans="1:12" x14ac:dyDescent="0.25">
      <c r="A13513">
        <v>97518</v>
      </c>
      <c r="B13513" t="s">
        <v>5641</v>
      </c>
      <c r="C13513" t="s">
        <v>138</v>
      </c>
      <c r="D13513" s="254">
        <v>58.48</v>
      </c>
      <c r="E13513"/>
      <c r="F13513"/>
      <c r="G13513"/>
      <c r="H13513"/>
      <c r="I13513" s="489"/>
      <c r="J13513" s="1362"/>
      <c r="K13513" s="1362"/>
      <c r="L13513" s="1362"/>
    </row>
    <row r="13514" spans="1:12" x14ac:dyDescent="0.25">
      <c r="A13514">
        <v>97519</v>
      </c>
      <c r="B13514" t="s">
        <v>5642</v>
      </c>
      <c r="C13514" t="s">
        <v>138</v>
      </c>
      <c r="D13514" s="254">
        <v>83.71</v>
      </c>
      <c r="E13514"/>
      <c r="F13514"/>
      <c r="G13514"/>
      <c r="H13514"/>
      <c r="I13514" s="489"/>
      <c r="J13514" s="1362"/>
      <c r="K13514" s="1362"/>
      <c r="L13514" s="1362"/>
    </row>
    <row r="13515" spans="1:12" x14ac:dyDescent="0.25">
      <c r="A13515">
        <v>97520</v>
      </c>
      <c r="B13515" t="s">
        <v>5643</v>
      </c>
      <c r="C13515" t="s">
        <v>138</v>
      </c>
      <c r="D13515" s="254">
        <v>83.71</v>
      </c>
      <c r="E13515"/>
      <c r="F13515"/>
      <c r="G13515"/>
      <c r="H13515"/>
      <c r="I13515" s="489"/>
      <c r="J13515" s="1362"/>
      <c r="K13515" s="1362"/>
      <c r="L13515" s="1362"/>
    </row>
    <row r="13516" spans="1:12" x14ac:dyDescent="0.25">
      <c r="A13516">
        <v>97521</v>
      </c>
      <c r="B13516" t="s">
        <v>5644</v>
      </c>
      <c r="C13516" t="s">
        <v>138</v>
      </c>
      <c r="D13516" s="254">
        <v>116.89</v>
      </c>
      <c r="E13516"/>
      <c r="F13516"/>
      <c r="G13516"/>
      <c r="H13516"/>
      <c r="I13516" s="489"/>
      <c r="J13516" s="1362"/>
      <c r="K13516" s="1362"/>
      <c r="L13516" s="1362"/>
    </row>
    <row r="13517" spans="1:12" x14ac:dyDescent="0.25">
      <c r="A13517">
        <v>97522</v>
      </c>
      <c r="B13517" t="s">
        <v>5645</v>
      </c>
      <c r="C13517" t="s">
        <v>138</v>
      </c>
      <c r="D13517" s="254">
        <v>116.89</v>
      </c>
      <c r="E13517"/>
      <c r="F13517"/>
      <c r="G13517"/>
      <c r="H13517"/>
      <c r="I13517" s="489"/>
      <c r="J13517" s="1362"/>
      <c r="K13517" s="1362"/>
      <c r="L13517" s="1362"/>
    </row>
    <row r="13518" spans="1:12" x14ac:dyDescent="0.25">
      <c r="A13518">
        <v>97523</v>
      </c>
      <c r="B13518" t="s">
        <v>5646</v>
      </c>
      <c r="C13518" t="s">
        <v>138</v>
      </c>
      <c r="D13518" s="254">
        <v>161.18</v>
      </c>
      <c r="E13518"/>
      <c r="F13518"/>
      <c r="G13518"/>
      <c r="H13518"/>
      <c r="I13518" s="489"/>
      <c r="J13518" s="1362"/>
      <c r="K13518" s="1362"/>
      <c r="L13518" s="1362"/>
    </row>
    <row r="13519" spans="1:12" x14ac:dyDescent="0.25">
      <c r="A13519">
        <v>97524</v>
      </c>
      <c r="B13519" t="s">
        <v>5647</v>
      </c>
      <c r="C13519" t="s">
        <v>138</v>
      </c>
      <c r="D13519" s="254">
        <v>174.01</v>
      </c>
      <c r="E13519"/>
      <c r="F13519"/>
      <c r="G13519"/>
      <c r="H13519"/>
      <c r="I13519" s="489"/>
      <c r="J13519" s="1362"/>
      <c r="K13519" s="1362"/>
      <c r="L13519" s="1362"/>
    </row>
    <row r="13520" spans="1:12" x14ac:dyDescent="0.25">
      <c r="A13520">
        <v>97525</v>
      </c>
      <c r="B13520" t="s">
        <v>5648</v>
      </c>
      <c r="C13520" t="s">
        <v>138</v>
      </c>
      <c r="D13520" s="254">
        <v>304.57</v>
      </c>
      <c r="E13520"/>
      <c r="F13520"/>
      <c r="G13520"/>
      <c r="H13520"/>
      <c r="I13520" s="489"/>
      <c r="J13520" s="1362"/>
      <c r="K13520" s="1362"/>
      <c r="L13520" s="1362"/>
    </row>
    <row r="13521" spans="1:12" x14ac:dyDescent="0.25">
      <c r="A13521">
        <v>97526</v>
      </c>
      <c r="B13521" t="s">
        <v>5649</v>
      </c>
      <c r="C13521" t="s">
        <v>138</v>
      </c>
      <c r="D13521" s="254">
        <v>325.10000000000002</v>
      </c>
      <c r="E13521"/>
      <c r="F13521"/>
      <c r="G13521"/>
      <c r="H13521"/>
      <c r="I13521" s="489"/>
      <c r="J13521" s="1362"/>
      <c r="K13521" s="1362"/>
      <c r="L13521" s="1362"/>
    </row>
    <row r="13522" spans="1:12" x14ac:dyDescent="0.25">
      <c r="A13522">
        <v>97527</v>
      </c>
      <c r="B13522" t="s">
        <v>5650</v>
      </c>
      <c r="C13522" t="s">
        <v>138</v>
      </c>
      <c r="D13522" s="254">
        <v>750.75</v>
      </c>
      <c r="E13522"/>
      <c r="F13522"/>
      <c r="G13522"/>
      <c r="H13522"/>
      <c r="I13522" s="489"/>
      <c r="J13522" s="1362"/>
      <c r="K13522" s="1362"/>
      <c r="L13522" s="1362"/>
    </row>
    <row r="13523" spans="1:12" x14ac:dyDescent="0.25">
      <c r="A13523">
        <v>97528</v>
      </c>
      <c r="B13523" t="s">
        <v>5651</v>
      </c>
      <c r="C13523" t="s">
        <v>138</v>
      </c>
      <c r="D13523" s="254">
        <v>658.68</v>
      </c>
      <c r="E13523"/>
      <c r="F13523"/>
      <c r="G13523"/>
      <c r="H13523"/>
      <c r="I13523" s="489"/>
      <c r="J13523" s="1362"/>
      <c r="K13523" s="1362"/>
      <c r="L13523" s="1362"/>
    </row>
    <row r="13524" spans="1:12" x14ac:dyDescent="0.25">
      <c r="A13524">
        <v>97529</v>
      </c>
      <c r="B13524" t="s">
        <v>5652</v>
      </c>
      <c r="C13524" t="s">
        <v>138</v>
      </c>
      <c r="D13524" s="254">
        <v>91.66</v>
      </c>
      <c r="E13524"/>
      <c r="F13524"/>
      <c r="G13524"/>
      <c r="H13524"/>
      <c r="I13524" s="489"/>
      <c r="J13524" s="1362"/>
      <c r="K13524" s="1362"/>
      <c r="L13524" s="1362"/>
    </row>
    <row r="13525" spans="1:12" x14ac:dyDescent="0.25">
      <c r="A13525">
        <v>97530</v>
      </c>
      <c r="B13525" t="s">
        <v>5653</v>
      </c>
      <c r="C13525" t="s">
        <v>138</v>
      </c>
      <c r="D13525" s="254">
        <v>133.08000000000001</v>
      </c>
      <c r="E13525"/>
      <c r="F13525"/>
      <c r="G13525"/>
      <c r="H13525"/>
      <c r="I13525" s="489"/>
      <c r="J13525" s="1362"/>
      <c r="K13525" s="1362"/>
      <c r="L13525" s="1362"/>
    </row>
    <row r="13526" spans="1:12" x14ac:dyDescent="0.25">
      <c r="A13526">
        <v>97531</v>
      </c>
      <c r="B13526" t="s">
        <v>5654</v>
      </c>
      <c r="C13526" t="s">
        <v>138</v>
      </c>
      <c r="D13526" s="254">
        <v>169.74</v>
      </c>
      <c r="E13526"/>
      <c r="F13526"/>
      <c r="G13526"/>
      <c r="H13526"/>
      <c r="I13526" s="489"/>
      <c r="J13526" s="1362"/>
      <c r="K13526" s="1362"/>
      <c r="L13526" s="1362"/>
    </row>
    <row r="13527" spans="1:12" x14ac:dyDescent="0.25">
      <c r="A13527">
        <v>97532</v>
      </c>
      <c r="B13527" t="s">
        <v>5655</v>
      </c>
      <c r="C13527" t="s">
        <v>138</v>
      </c>
      <c r="D13527" s="254">
        <v>266.39999999999998</v>
      </c>
      <c r="E13527"/>
      <c r="F13527"/>
      <c r="G13527"/>
      <c r="H13527"/>
      <c r="I13527" s="489"/>
      <c r="J13527" s="1362"/>
      <c r="K13527" s="1362"/>
      <c r="L13527" s="1362"/>
    </row>
    <row r="13528" spans="1:12" x14ac:dyDescent="0.25">
      <c r="A13528">
        <v>97533</v>
      </c>
      <c r="B13528" t="s">
        <v>5656</v>
      </c>
      <c r="C13528" t="s">
        <v>138</v>
      </c>
      <c r="D13528" s="254">
        <v>502.66</v>
      </c>
      <c r="E13528"/>
      <c r="F13528"/>
      <c r="G13528"/>
      <c r="H13528"/>
      <c r="I13528" s="489"/>
      <c r="J13528" s="1362"/>
      <c r="K13528" s="1362"/>
      <c r="L13528" s="1362"/>
    </row>
    <row r="13529" spans="1:12" x14ac:dyDescent="0.25">
      <c r="A13529">
        <v>97534</v>
      </c>
      <c r="B13529" t="s">
        <v>5657</v>
      </c>
      <c r="C13529" t="s">
        <v>138</v>
      </c>
      <c r="D13529" s="254">
        <v>797.92</v>
      </c>
      <c r="E13529"/>
      <c r="F13529"/>
      <c r="G13529"/>
      <c r="H13529"/>
      <c r="I13529" s="489"/>
      <c r="J13529" s="1362"/>
      <c r="K13529" s="1362"/>
      <c r="L13529" s="1362"/>
    </row>
    <row r="13530" spans="1:12" x14ac:dyDescent="0.25">
      <c r="A13530">
        <v>97537</v>
      </c>
      <c r="B13530" t="s">
        <v>5658</v>
      </c>
      <c r="C13530" t="s">
        <v>138</v>
      </c>
      <c r="D13530" s="254">
        <v>26.81</v>
      </c>
      <c r="E13530"/>
      <c r="F13530"/>
      <c r="G13530"/>
      <c r="H13530"/>
      <c r="I13530" s="489"/>
      <c r="J13530" s="1362"/>
      <c r="K13530" s="1362"/>
      <c r="L13530" s="1362"/>
    </row>
    <row r="13531" spans="1:12" x14ac:dyDescent="0.25">
      <c r="A13531">
        <v>97540</v>
      </c>
      <c r="B13531" t="s">
        <v>5659</v>
      </c>
      <c r="C13531" t="s">
        <v>138</v>
      </c>
      <c r="D13531" s="254">
        <v>35.72</v>
      </c>
      <c r="E13531"/>
      <c r="F13531"/>
      <c r="G13531"/>
      <c r="H13531"/>
      <c r="I13531" s="489"/>
      <c r="J13531" s="1362"/>
      <c r="K13531" s="1362"/>
      <c r="L13531" s="1362"/>
    </row>
    <row r="13532" spans="1:12" x14ac:dyDescent="0.25">
      <c r="A13532">
        <v>97541</v>
      </c>
      <c r="B13532" t="s">
        <v>5660</v>
      </c>
      <c r="C13532" t="s">
        <v>138</v>
      </c>
      <c r="D13532" s="254">
        <v>30.25</v>
      </c>
      <c r="E13532"/>
      <c r="F13532"/>
      <c r="G13532"/>
      <c r="H13532"/>
      <c r="I13532" s="489"/>
      <c r="J13532" s="1362"/>
      <c r="K13532" s="1362"/>
      <c r="L13532" s="1362"/>
    </row>
    <row r="13533" spans="1:12" x14ac:dyDescent="0.25">
      <c r="A13533">
        <v>97543</v>
      </c>
      <c r="B13533" t="s">
        <v>5661</v>
      </c>
      <c r="C13533" t="s">
        <v>138</v>
      </c>
      <c r="D13533" s="254">
        <v>57.66</v>
      </c>
      <c r="E13533"/>
      <c r="F13533"/>
      <c r="G13533"/>
      <c r="H13533"/>
      <c r="I13533" s="489"/>
      <c r="J13533" s="1362"/>
      <c r="K13533" s="1362"/>
      <c r="L13533" s="1362"/>
    </row>
    <row r="13534" spans="1:12" x14ac:dyDescent="0.25">
      <c r="A13534">
        <v>97544</v>
      </c>
      <c r="B13534" t="s">
        <v>5662</v>
      </c>
      <c r="C13534" t="s">
        <v>138</v>
      </c>
      <c r="D13534" s="254">
        <v>51.08</v>
      </c>
      <c r="E13534"/>
      <c r="F13534"/>
      <c r="G13534"/>
      <c r="H13534"/>
      <c r="I13534" s="489"/>
      <c r="J13534" s="1362"/>
      <c r="K13534" s="1362"/>
      <c r="L13534" s="1362"/>
    </row>
    <row r="13535" spans="1:12" x14ac:dyDescent="0.25">
      <c r="A13535">
        <v>97546</v>
      </c>
      <c r="B13535" t="s">
        <v>5663</v>
      </c>
      <c r="C13535" t="s">
        <v>138</v>
      </c>
      <c r="D13535" s="254">
        <v>37.42</v>
      </c>
      <c r="E13535"/>
      <c r="F13535"/>
      <c r="G13535"/>
      <c r="H13535"/>
      <c r="I13535" s="489"/>
      <c r="J13535" s="1362"/>
      <c r="K13535" s="1362"/>
      <c r="L13535" s="1362"/>
    </row>
    <row r="13536" spans="1:12" x14ac:dyDescent="0.25">
      <c r="A13536">
        <v>97547</v>
      </c>
      <c r="B13536" t="s">
        <v>5664</v>
      </c>
      <c r="C13536" t="s">
        <v>138</v>
      </c>
      <c r="D13536" s="254">
        <v>37.42</v>
      </c>
      <c r="E13536"/>
      <c r="F13536"/>
      <c r="G13536"/>
      <c r="H13536"/>
      <c r="I13536" s="489"/>
      <c r="J13536" s="1362"/>
      <c r="K13536" s="1362"/>
      <c r="L13536" s="1362"/>
    </row>
    <row r="13537" spans="1:12" x14ac:dyDescent="0.25">
      <c r="A13537">
        <v>97548</v>
      </c>
      <c r="B13537" t="s">
        <v>5665</v>
      </c>
      <c r="C13537" t="s">
        <v>138</v>
      </c>
      <c r="D13537" s="254">
        <v>55.18</v>
      </c>
      <c r="E13537"/>
      <c r="F13537"/>
      <c r="G13537"/>
      <c r="H13537"/>
      <c r="I13537" s="489"/>
      <c r="J13537" s="1362"/>
      <c r="K13537" s="1362"/>
      <c r="L13537" s="1362"/>
    </row>
    <row r="13538" spans="1:12" x14ac:dyDescent="0.25">
      <c r="A13538">
        <v>97549</v>
      </c>
      <c r="B13538" t="s">
        <v>5666</v>
      </c>
      <c r="C13538" t="s">
        <v>138</v>
      </c>
      <c r="D13538" s="254">
        <v>55.18</v>
      </c>
      <c r="E13538"/>
      <c r="F13538"/>
      <c r="G13538"/>
      <c r="H13538"/>
      <c r="I13538" s="489"/>
      <c r="J13538" s="1362"/>
      <c r="K13538" s="1362"/>
      <c r="L13538" s="1362"/>
    </row>
    <row r="13539" spans="1:12" x14ac:dyDescent="0.25">
      <c r="A13539">
        <v>97550</v>
      </c>
      <c r="B13539" t="s">
        <v>5667</v>
      </c>
      <c r="C13539" t="s">
        <v>138</v>
      </c>
      <c r="D13539" s="254">
        <v>91</v>
      </c>
      <c r="E13539"/>
      <c r="F13539"/>
      <c r="G13539"/>
      <c r="H13539"/>
      <c r="I13539" s="489"/>
      <c r="J13539" s="1362"/>
      <c r="K13539" s="1362"/>
      <c r="L13539" s="1362"/>
    </row>
    <row r="13540" spans="1:12" x14ac:dyDescent="0.25">
      <c r="A13540">
        <v>97551</v>
      </c>
      <c r="B13540" t="s">
        <v>5668</v>
      </c>
      <c r="C13540" t="s">
        <v>138</v>
      </c>
      <c r="D13540" s="254">
        <v>91</v>
      </c>
      <c r="E13540"/>
      <c r="F13540"/>
      <c r="G13540"/>
      <c r="H13540"/>
      <c r="I13540" s="489"/>
      <c r="J13540" s="1362"/>
      <c r="K13540" s="1362"/>
      <c r="L13540" s="1362"/>
    </row>
    <row r="13541" spans="1:12" x14ac:dyDescent="0.25">
      <c r="A13541">
        <v>97552</v>
      </c>
      <c r="B13541" t="s">
        <v>5669</v>
      </c>
      <c r="C13541" t="s">
        <v>138</v>
      </c>
      <c r="D13541" s="254">
        <v>54.66</v>
      </c>
      <c r="E13541"/>
      <c r="F13541"/>
      <c r="G13541"/>
      <c r="H13541"/>
      <c r="I13541" s="489"/>
      <c r="J13541" s="1362"/>
      <c r="K13541" s="1362"/>
      <c r="L13541" s="1362"/>
    </row>
    <row r="13542" spans="1:12" x14ac:dyDescent="0.25">
      <c r="A13542">
        <v>97553</v>
      </c>
      <c r="B13542" t="s">
        <v>5670</v>
      </c>
      <c r="C13542" t="s">
        <v>138</v>
      </c>
      <c r="D13542" s="254">
        <v>78.34</v>
      </c>
      <c r="E13542"/>
      <c r="F13542"/>
      <c r="G13542"/>
      <c r="H13542"/>
      <c r="I13542" s="489"/>
      <c r="J13542" s="1362"/>
      <c r="K13542" s="1362"/>
      <c r="L13542" s="1362"/>
    </row>
    <row r="13543" spans="1:12" x14ac:dyDescent="0.25">
      <c r="A13543">
        <v>97554</v>
      </c>
      <c r="B13543" t="s">
        <v>5671</v>
      </c>
      <c r="C13543" t="s">
        <v>138</v>
      </c>
      <c r="D13543" s="254">
        <v>135.06</v>
      </c>
      <c r="E13543"/>
      <c r="F13543"/>
      <c r="G13543"/>
      <c r="H13543"/>
      <c r="I13543" s="489"/>
      <c r="J13543" s="1362"/>
      <c r="K13543" s="1362"/>
      <c r="L13543" s="1362"/>
    </row>
    <row r="13544" spans="1:12" x14ac:dyDescent="0.25">
      <c r="A13544">
        <v>98602</v>
      </c>
      <c r="B13544" t="s">
        <v>19336</v>
      </c>
      <c r="C13544" t="s">
        <v>138</v>
      </c>
      <c r="D13544" s="254">
        <v>17.579999999999998</v>
      </c>
      <c r="E13544"/>
      <c r="F13544"/>
      <c r="G13544"/>
      <c r="H13544"/>
      <c r="I13544" s="489"/>
      <c r="J13544" s="1362"/>
      <c r="K13544" s="1362"/>
      <c r="L13544" s="1362"/>
    </row>
    <row r="13545" spans="1:12" x14ac:dyDescent="0.25">
      <c r="A13545">
        <v>103805</v>
      </c>
      <c r="B13545" t="s">
        <v>19337</v>
      </c>
      <c r="C13545" t="s">
        <v>138</v>
      </c>
      <c r="D13545" s="254">
        <v>18.489999999999998</v>
      </c>
      <c r="E13545"/>
      <c r="F13545"/>
      <c r="G13545"/>
      <c r="H13545"/>
      <c r="I13545" s="489"/>
      <c r="J13545" s="1362"/>
      <c r="K13545" s="1362"/>
      <c r="L13545" s="1362"/>
    </row>
    <row r="13546" spans="1:12" x14ac:dyDescent="0.25">
      <c r="A13546">
        <v>103806</v>
      </c>
      <c r="B13546" t="s">
        <v>19338</v>
      </c>
      <c r="C13546" t="s">
        <v>138</v>
      </c>
      <c r="D13546" s="254">
        <v>18.46</v>
      </c>
      <c r="E13546"/>
      <c r="F13546"/>
      <c r="G13546"/>
      <c r="H13546"/>
      <c r="I13546" s="489"/>
      <c r="J13546" s="1362"/>
      <c r="K13546" s="1362"/>
      <c r="L13546" s="1362"/>
    </row>
    <row r="13547" spans="1:12" x14ac:dyDescent="0.25">
      <c r="A13547">
        <v>103807</v>
      </c>
      <c r="B13547" t="s">
        <v>19339</v>
      </c>
      <c r="C13547" t="s">
        <v>138</v>
      </c>
      <c r="D13547" s="254">
        <v>21.82</v>
      </c>
      <c r="E13547"/>
      <c r="F13547"/>
      <c r="G13547"/>
      <c r="H13547"/>
      <c r="I13547" s="489"/>
      <c r="J13547" s="1362"/>
      <c r="K13547" s="1362"/>
      <c r="L13547" s="1362"/>
    </row>
    <row r="13548" spans="1:12" x14ac:dyDescent="0.25">
      <c r="A13548">
        <v>103808</v>
      </c>
      <c r="B13548" t="s">
        <v>19340</v>
      </c>
      <c r="C13548" t="s">
        <v>138</v>
      </c>
      <c r="D13548" s="254">
        <v>34.39</v>
      </c>
      <c r="E13548"/>
      <c r="F13548"/>
      <c r="G13548"/>
      <c r="H13548"/>
      <c r="I13548" s="489"/>
      <c r="J13548" s="1362"/>
      <c r="K13548" s="1362"/>
      <c r="L13548" s="1362"/>
    </row>
    <row r="13549" spans="1:12" x14ac:dyDescent="0.25">
      <c r="A13549">
        <v>103809</v>
      </c>
      <c r="B13549" t="s">
        <v>19341</v>
      </c>
      <c r="C13549" t="s">
        <v>138</v>
      </c>
      <c r="D13549" s="254">
        <v>34.119999999999997</v>
      </c>
      <c r="E13549"/>
      <c r="F13549"/>
      <c r="G13549"/>
      <c r="H13549"/>
      <c r="I13549" s="489"/>
      <c r="J13549" s="1362"/>
      <c r="K13549" s="1362"/>
      <c r="L13549" s="1362"/>
    </row>
    <row r="13550" spans="1:12" x14ac:dyDescent="0.25">
      <c r="A13550">
        <v>103810</v>
      </c>
      <c r="B13550" t="s">
        <v>19342</v>
      </c>
      <c r="C13550" t="s">
        <v>138</v>
      </c>
      <c r="D13550" s="254">
        <v>33.64</v>
      </c>
      <c r="E13550"/>
      <c r="F13550"/>
      <c r="G13550"/>
      <c r="H13550"/>
      <c r="I13550" s="489"/>
      <c r="J13550" s="1362"/>
      <c r="K13550" s="1362"/>
      <c r="L13550" s="1362"/>
    </row>
    <row r="13551" spans="1:12" x14ac:dyDescent="0.25">
      <c r="A13551">
        <v>103811</v>
      </c>
      <c r="B13551" t="s">
        <v>19343</v>
      </c>
      <c r="C13551" t="s">
        <v>138</v>
      </c>
      <c r="D13551" s="254">
        <v>37.08</v>
      </c>
      <c r="E13551"/>
      <c r="F13551"/>
      <c r="G13551"/>
      <c r="H13551"/>
      <c r="I13551" s="489"/>
      <c r="J13551" s="1362"/>
      <c r="K13551" s="1362"/>
      <c r="L13551" s="1362"/>
    </row>
    <row r="13552" spans="1:12" x14ac:dyDescent="0.25">
      <c r="A13552">
        <v>103812</v>
      </c>
      <c r="B13552" t="s">
        <v>19344</v>
      </c>
      <c r="C13552" t="s">
        <v>138</v>
      </c>
      <c r="D13552" s="254">
        <v>50.64</v>
      </c>
      <c r="E13552"/>
      <c r="F13552"/>
      <c r="G13552"/>
      <c r="H13552"/>
      <c r="I13552" s="489"/>
      <c r="J13552" s="1362"/>
      <c r="K13552" s="1362"/>
      <c r="L13552" s="1362"/>
    </row>
    <row r="13553" spans="1:12" x14ac:dyDescent="0.25">
      <c r="A13553">
        <v>103813</v>
      </c>
      <c r="B13553" t="s">
        <v>19345</v>
      </c>
      <c r="C13553" t="s">
        <v>138</v>
      </c>
      <c r="D13553" s="254">
        <v>48.95</v>
      </c>
      <c r="E13553"/>
      <c r="F13553"/>
      <c r="G13553"/>
      <c r="H13553"/>
      <c r="I13553" s="489"/>
      <c r="J13553" s="1362"/>
      <c r="K13553" s="1362"/>
      <c r="L13553" s="1362"/>
    </row>
    <row r="13554" spans="1:12" x14ac:dyDescent="0.25">
      <c r="A13554">
        <v>103814</v>
      </c>
      <c r="B13554" t="s">
        <v>19346</v>
      </c>
      <c r="C13554" t="s">
        <v>138</v>
      </c>
      <c r="D13554" s="254">
        <v>12.1</v>
      </c>
      <c r="E13554"/>
      <c r="F13554"/>
      <c r="G13554"/>
      <c r="H13554"/>
      <c r="I13554" s="489"/>
      <c r="J13554" s="1362"/>
      <c r="K13554" s="1362"/>
      <c r="L13554" s="1362"/>
    </row>
    <row r="13555" spans="1:12" x14ac:dyDescent="0.25">
      <c r="A13555">
        <v>103815</v>
      </c>
      <c r="B13555" t="s">
        <v>19347</v>
      </c>
      <c r="C13555" t="s">
        <v>138</v>
      </c>
      <c r="D13555" s="254">
        <v>12.13</v>
      </c>
      <c r="E13555"/>
      <c r="F13555"/>
      <c r="G13555"/>
      <c r="H13555"/>
      <c r="I13555" s="489"/>
      <c r="J13555" s="1362"/>
      <c r="K13555" s="1362"/>
      <c r="L13555" s="1362"/>
    </row>
    <row r="13556" spans="1:12" x14ac:dyDescent="0.25">
      <c r="A13556">
        <v>103816</v>
      </c>
      <c r="B13556" t="s">
        <v>19348</v>
      </c>
      <c r="C13556" t="s">
        <v>138</v>
      </c>
      <c r="D13556" s="254">
        <v>26.77</v>
      </c>
      <c r="E13556"/>
      <c r="F13556"/>
      <c r="G13556"/>
      <c r="H13556"/>
      <c r="I13556" s="489"/>
      <c r="J13556" s="1362"/>
      <c r="K13556" s="1362"/>
      <c r="L13556" s="1362"/>
    </row>
    <row r="13557" spans="1:12" x14ac:dyDescent="0.25">
      <c r="A13557">
        <v>103817</v>
      </c>
      <c r="B13557" t="s">
        <v>19349</v>
      </c>
      <c r="C13557" t="s">
        <v>138</v>
      </c>
      <c r="D13557" s="254">
        <v>433.58</v>
      </c>
      <c r="E13557"/>
      <c r="F13557"/>
      <c r="G13557"/>
      <c r="H13557"/>
      <c r="I13557" s="489"/>
      <c r="J13557" s="1362"/>
      <c r="K13557" s="1362"/>
      <c r="L13557" s="1362"/>
    </row>
    <row r="13558" spans="1:12" x14ac:dyDescent="0.25">
      <c r="A13558">
        <v>103818</v>
      </c>
      <c r="B13558" t="s">
        <v>19350</v>
      </c>
      <c r="C13558" t="s">
        <v>138</v>
      </c>
      <c r="D13558" s="254">
        <v>19.82</v>
      </c>
      <c r="E13558"/>
      <c r="F13558"/>
      <c r="G13558"/>
      <c r="H13558"/>
      <c r="I13558" s="489"/>
      <c r="J13558" s="1362"/>
      <c r="K13558" s="1362"/>
      <c r="L13558" s="1362"/>
    </row>
    <row r="13559" spans="1:12" x14ac:dyDescent="0.25">
      <c r="A13559">
        <v>103819</v>
      </c>
      <c r="B13559" t="s">
        <v>19351</v>
      </c>
      <c r="C13559" t="s">
        <v>138</v>
      </c>
      <c r="D13559" s="254">
        <v>21.34</v>
      </c>
      <c r="E13559"/>
      <c r="F13559"/>
      <c r="G13559"/>
      <c r="H13559"/>
      <c r="I13559" s="489"/>
      <c r="J13559" s="1362"/>
      <c r="K13559" s="1362"/>
      <c r="L13559" s="1362"/>
    </row>
    <row r="13560" spans="1:12" x14ac:dyDescent="0.25">
      <c r="A13560">
        <v>103820</v>
      </c>
      <c r="B13560" t="s">
        <v>19352</v>
      </c>
      <c r="C13560" t="s">
        <v>138</v>
      </c>
      <c r="D13560" s="254">
        <v>22.6</v>
      </c>
      <c r="E13560"/>
      <c r="F13560"/>
      <c r="G13560"/>
      <c r="H13560"/>
      <c r="I13560" s="489"/>
      <c r="J13560" s="1362"/>
      <c r="K13560" s="1362"/>
      <c r="L13560" s="1362"/>
    </row>
    <row r="13561" spans="1:12" x14ac:dyDescent="0.25">
      <c r="A13561">
        <v>103821</v>
      </c>
      <c r="B13561" t="s">
        <v>19353</v>
      </c>
      <c r="C13561" t="s">
        <v>138</v>
      </c>
      <c r="D13561" s="254">
        <v>508.13</v>
      </c>
      <c r="E13561"/>
      <c r="F13561"/>
      <c r="G13561"/>
      <c r="H13561"/>
      <c r="I13561" s="489"/>
      <c r="J13561" s="1362"/>
      <c r="K13561" s="1362"/>
      <c r="L13561" s="1362"/>
    </row>
    <row r="13562" spans="1:12" x14ac:dyDescent="0.25">
      <c r="A13562">
        <v>103822</v>
      </c>
      <c r="B13562" t="s">
        <v>19354</v>
      </c>
      <c r="C13562" t="s">
        <v>138</v>
      </c>
      <c r="D13562" s="254">
        <v>54.75</v>
      </c>
      <c r="E13562"/>
      <c r="F13562"/>
      <c r="G13562"/>
      <c r="H13562"/>
      <c r="I13562" s="489"/>
      <c r="J13562" s="1362"/>
      <c r="K13562" s="1362"/>
      <c r="L13562" s="1362"/>
    </row>
    <row r="13563" spans="1:12" x14ac:dyDescent="0.25">
      <c r="A13563">
        <v>103823</v>
      </c>
      <c r="B13563" t="s">
        <v>19355</v>
      </c>
      <c r="C13563" t="s">
        <v>138</v>
      </c>
      <c r="D13563" s="254">
        <v>18.38</v>
      </c>
      <c r="E13563"/>
      <c r="F13563"/>
      <c r="G13563"/>
      <c r="H13563"/>
      <c r="I13563" s="489"/>
      <c r="J13563" s="1362"/>
      <c r="K13563" s="1362"/>
      <c r="L13563" s="1362"/>
    </row>
    <row r="13564" spans="1:12" x14ac:dyDescent="0.25">
      <c r="A13564">
        <v>103824</v>
      </c>
      <c r="B13564" t="s">
        <v>19356</v>
      </c>
      <c r="C13564" t="s">
        <v>138</v>
      </c>
      <c r="D13564" s="254">
        <v>23.36</v>
      </c>
      <c r="E13564"/>
      <c r="F13564"/>
      <c r="G13564"/>
      <c r="H13564"/>
      <c r="I13564" s="489"/>
      <c r="J13564" s="1362"/>
      <c r="K13564" s="1362"/>
      <c r="L13564" s="1362"/>
    </row>
    <row r="13565" spans="1:12" x14ac:dyDescent="0.25">
      <c r="A13565">
        <v>103825</v>
      </c>
      <c r="B13565" t="s">
        <v>19357</v>
      </c>
      <c r="C13565" t="s">
        <v>138</v>
      </c>
      <c r="D13565" s="254">
        <v>27.6</v>
      </c>
      <c r="E13565"/>
      <c r="F13565"/>
      <c r="G13565"/>
      <c r="H13565"/>
      <c r="I13565" s="489"/>
      <c r="J13565" s="1362"/>
      <c r="K13565" s="1362"/>
      <c r="L13565" s="1362"/>
    </row>
    <row r="13566" spans="1:12" x14ac:dyDescent="0.25">
      <c r="A13566">
        <v>103826</v>
      </c>
      <c r="B13566" t="s">
        <v>19358</v>
      </c>
      <c r="C13566" t="s">
        <v>138</v>
      </c>
      <c r="D13566" s="254">
        <v>31.89</v>
      </c>
      <c r="E13566"/>
      <c r="F13566"/>
      <c r="G13566"/>
      <c r="H13566"/>
      <c r="I13566" s="489"/>
      <c r="J13566" s="1362"/>
      <c r="K13566" s="1362"/>
      <c r="L13566" s="1362"/>
    </row>
    <row r="13567" spans="1:12" x14ac:dyDescent="0.25">
      <c r="A13567">
        <v>103827</v>
      </c>
      <c r="B13567" t="s">
        <v>19359</v>
      </c>
      <c r="C13567" t="s">
        <v>138</v>
      </c>
      <c r="D13567" s="254">
        <v>31.89</v>
      </c>
      <c r="E13567"/>
      <c r="F13567"/>
      <c r="G13567"/>
      <c r="H13567"/>
      <c r="I13567" s="489"/>
      <c r="J13567" s="1362"/>
      <c r="K13567" s="1362"/>
      <c r="L13567" s="1362"/>
    </row>
    <row r="13568" spans="1:12" x14ac:dyDescent="0.25">
      <c r="A13568">
        <v>103828</v>
      </c>
      <c r="B13568" t="s">
        <v>19360</v>
      </c>
      <c r="C13568" t="s">
        <v>138</v>
      </c>
      <c r="D13568" s="254">
        <v>91.01</v>
      </c>
      <c r="E13568"/>
      <c r="F13568"/>
      <c r="G13568"/>
      <c r="H13568"/>
      <c r="I13568" s="489"/>
      <c r="J13568" s="1362"/>
      <c r="K13568" s="1362"/>
      <c r="L13568" s="1362"/>
    </row>
    <row r="13569" spans="1:12" x14ac:dyDescent="0.25">
      <c r="A13569">
        <v>103829</v>
      </c>
      <c r="B13569" t="s">
        <v>19361</v>
      </c>
      <c r="C13569" t="s">
        <v>138</v>
      </c>
      <c r="D13569" s="254">
        <v>561.79999999999995</v>
      </c>
      <c r="E13569"/>
      <c r="F13569"/>
      <c r="G13569"/>
      <c r="H13569"/>
      <c r="I13569" s="489"/>
      <c r="J13569" s="1362"/>
      <c r="K13569" s="1362"/>
      <c r="L13569" s="1362"/>
    </row>
    <row r="13570" spans="1:12" x14ac:dyDescent="0.25">
      <c r="A13570">
        <v>103830</v>
      </c>
      <c r="B13570" t="s">
        <v>19362</v>
      </c>
      <c r="C13570" t="s">
        <v>138</v>
      </c>
      <c r="D13570" s="254">
        <v>36.049999999999997</v>
      </c>
      <c r="E13570"/>
      <c r="F13570"/>
      <c r="G13570"/>
      <c r="H13570"/>
      <c r="I13570" s="489"/>
      <c r="J13570" s="1362"/>
      <c r="K13570" s="1362"/>
      <c r="L13570" s="1362"/>
    </row>
    <row r="13571" spans="1:12" x14ac:dyDescent="0.25">
      <c r="A13571">
        <v>103831</v>
      </c>
      <c r="B13571" t="s">
        <v>19363</v>
      </c>
      <c r="C13571" t="s">
        <v>138</v>
      </c>
      <c r="D13571" s="254">
        <v>27.43</v>
      </c>
      <c r="E13571"/>
      <c r="F13571"/>
      <c r="G13571"/>
      <c r="H13571"/>
      <c r="I13571" s="489"/>
      <c r="J13571" s="1362"/>
      <c r="K13571" s="1362"/>
      <c r="L13571" s="1362"/>
    </row>
    <row r="13572" spans="1:12" x14ac:dyDescent="0.25">
      <c r="A13572">
        <v>103832</v>
      </c>
      <c r="B13572" t="s">
        <v>19364</v>
      </c>
      <c r="C13572" t="s">
        <v>138</v>
      </c>
      <c r="D13572" s="254">
        <v>24.97</v>
      </c>
      <c r="E13572"/>
      <c r="F13572"/>
      <c r="G13572"/>
      <c r="H13572"/>
      <c r="I13572" s="489"/>
      <c r="J13572" s="1362"/>
      <c r="K13572" s="1362"/>
      <c r="L13572" s="1362"/>
    </row>
    <row r="13573" spans="1:12" x14ac:dyDescent="0.25">
      <c r="A13573">
        <v>103833</v>
      </c>
      <c r="B13573" t="s">
        <v>19365</v>
      </c>
      <c r="C13573" t="s">
        <v>138</v>
      </c>
      <c r="D13573" s="254">
        <v>45.59</v>
      </c>
      <c r="E13573"/>
      <c r="F13573"/>
      <c r="G13573"/>
      <c r="H13573"/>
      <c r="I13573" s="489"/>
      <c r="J13573" s="1362"/>
      <c r="K13573" s="1362"/>
      <c r="L13573" s="1362"/>
    </row>
    <row r="13574" spans="1:12" x14ac:dyDescent="0.25">
      <c r="A13574">
        <v>103834</v>
      </c>
      <c r="B13574" t="s">
        <v>19366</v>
      </c>
      <c r="C13574" t="s">
        <v>138</v>
      </c>
      <c r="D13574" s="254">
        <v>65.94</v>
      </c>
      <c r="E13574"/>
      <c r="F13574"/>
      <c r="G13574"/>
      <c r="H13574"/>
      <c r="I13574" s="489"/>
      <c r="J13574" s="1362"/>
      <c r="K13574" s="1362"/>
      <c r="L13574" s="1362"/>
    </row>
    <row r="13575" spans="1:12" x14ac:dyDescent="0.25">
      <c r="A13575">
        <v>103838</v>
      </c>
      <c r="B13575" t="s">
        <v>19367</v>
      </c>
      <c r="C13575" t="s">
        <v>138</v>
      </c>
      <c r="D13575" s="254">
        <v>17.739999999999998</v>
      </c>
      <c r="E13575"/>
      <c r="F13575"/>
      <c r="G13575"/>
      <c r="H13575"/>
      <c r="I13575" s="489"/>
      <c r="J13575" s="1362"/>
      <c r="K13575" s="1362"/>
      <c r="L13575" s="1362"/>
    </row>
    <row r="13576" spans="1:12" x14ac:dyDescent="0.25">
      <c r="A13576">
        <v>103839</v>
      </c>
      <c r="B13576" t="s">
        <v>19368</v>
      </c>
      <c r="C13576" t="s">
        <v>138</v>
      </c>
      <c r="D13576" s="254">
        <v>17.71</v>
      </c>
      <c r="E13576"/>
      <c r="F13576"/>
      <c r="G13576"/>
      <c r="H13576"/>
      <c r="I13576" s="489"/>
      <c r="J13576" s="1362"/>
      <c r="K13576" s="1362"/>
      <c r="L13576" s="1362"/>
    </row>
    <row r="13577" spans="1:12" x14ac:dyDescent="0.25">
      <c r="A13577">
        <v>103840</v>
      </c>
      <c r="B13577" t="s">
        <v>19369</v>
      </c>
      <c r="C13577" t="s">
        <v>138</v>
      </c>
      <c r="D13577" s="254">
        <v>21.44</v>
      </c>
      <c r="E13577"/>
      <c r="F13577"/>
      <c r="G13577"/>
      <c r="H13577"/>
      <c r="I13577" s="489"/>
      <c r="J13577" s="1362"/>
      <c r="K13577" s="1362"/>
      <c r="L13577" s="1362"/>
    </row>
    <row r="13578" spans="1:12" x14ac:dyDescent="0.25">
      <c r="A13578">
        <v>103841</v>
      </c>
      <c r="B13578" t="s">
        <v>19370</v>
      </c>
      <c r="C13578" t="s">
        <v>138</v>
      </c>
      <c r="D13578" s="254">
        <v>28.5</v>
      </c>
      <c r="E13578"/>
      <c r="F13578"/>
      <c r="G13578"/>
      <c r="H13578"/>
      <c r="I13578" s="489"/>
      <c r="J13578" s="1362"/>
      <c r="K13578" s="1362"/>
      <c r="L13578" s="1362"/>
    </row>
    <row r="13579" spans="1:12" x14ac:dyDescent="0.25">
      <c r="A13579">
        <v>103842</v>
      </c>
      <c r="B13579" t="s">
        <v>19371</v>
      </c>
      <c r="C13579" t="s">
        <v>138</v>
      </c>
      <c r="D13579" s="254">
        <v>28.23</v>
      </c>
      <c r="E13579"/>
      <c r="F13579"/>
      <c r="G13579"/>
      <c r="H13579"/>
      <c r="I13579" s="489"/>
      <c r="J13579" s="1362"/>
      <c r="K13579" s="1362"/>
      <c r="L13579" s="1362"/>
    </row>
    <row r="13580" spans="1:12" x14ac:dyDescent="0.25">
      <c r="A13580">
        <v>103843</v>
      </c>
      <c r="B13580" t="s">
        <v>19372</v>
      </c>
      <c r="C13580" t="s">
        <v>138</v>
      </c>
      <c r="D13580" s="254">
        <v>30.7</v>
      </c>
      <c r="E13580"/>
      <c r="F13580"/>
      <c r="G13580"/>
      <c r="H13580"/>
      <c r="I13580" s="489"/>
      <c r="J13580" s="1362"/>
      <c r="K13580" s="1362"/>
      <c r="L13580" s="1362"/>
    </row>
    <row r="13581" spans="1:12" x14ac:dyDescent="0.25">
      <c r="A13581">
        <v>103844</v>
      </c>
      <c r="B13581" t="s">
        <v>19373</v>
      </c>
      <c r="C13581" t="s">
        <v>138</v>
      </c>
      <c r="D13581" s="254">
        <v>34.14</v>
      </c>
      <c r="E13581"/>
      <c r="F13581"/>
      <c r="G13581"/>
      <c r="H13581"/>
      <c r="I13581" s="489"/>
      <c r="J13581" s="1362"/>
      <c r="K13581" s="1362"/>
      <c r="L13581" s="1362"/>
    </row>
    <row r="13582" spans="1:12" x14ac:dyDescent="0.25">
      <c r="A13582">
        <v>103845</v>
      </c>
      <c r="B13582" t="s">
        <v>19374</v>
      </c>
      <c r="C13582" t="s">
        <v>138</v>
      </c>
      <c r="D13582" s="254">
        <v>40.36</v>
      </c>
      <c r="E13582"/>
      <c r="F13582"/>
      <c r="G13582"/>
      <c r="H13582"/>
      <c r="I13582" s="489"/>
      <c r="J13582" s="1362"/>
      <c r="K13582" s="1362"/>
      <c r="L13582" s="1362"/>
    </row>
    <row r="13583" spans="1:12" x14ac:dyDescent="0.25">
      <c r="A13583">
        <v>103846</v>
      </c>
      <c r="B13583" t="s">
        <v>19375</v>
      </c>
      <c r="C13583" t="s">
        <v>138</v>
      </c>
      <c r="D13583" s="254">
        <v>38.67</v>
      </c>
      <c r="E13583"/>
      <c r="F13583"/>
      <c r="G13583"/>
      <c r="H13583"/>
      <c r="I13583" s="489"/>
      <c r="J13583" s="1362"/>
      <c r="K13583" s="1362"/>
      <c r="L13583" s="1362"/>
    </row>
    <row r="13584" spans="1:12" x14ac:dyDescent="0.25">
      <c r="A13584">
        <v>103847</v>
      </c>
      <c r="B13584" t="s">
        <v>19376</v>
      </c>
      <c r="C13584" t="s">
        <v>138</v>
      </c>
      <c r="D13584" s="254">
        <v>11.6</v>
      </c>
      <c r="E13584"/>
      <c r="F13584"/>
      <c r="G13584"/>
      <c r="H13584"/>
      <c r="I13584" s="489"/>
      <c r="J13584" s="1362"/>
      <c r="K13584" s="1362"/>
      <c r="L13584" s="1362"/>
    </row>
    <row r="13585" spans="1:12" x14ac:dyDescent="0.25">
      <c r="A13585">
        <v>103848</v>
      </c>
      <c r="B13585" t="s">
        <v>19377</v>
      </c>
      <c r="C13585" t="s">
        <v>138</v>
      </c>
      <c r="D13585" s="254">
        <v>11.63</v>
      </c>
      <c r="E13585"/>
      <c r="F13585"/>
      <c r="G13585"/>
      <c r="H13585"/>
      <c r="I13585" s="489"/>
      <c r="J13585" s="1362"/>
      <c r="K13585" s="1362"/>
      <c r="L13585" s="1362"/>
    </row>
    <row r="13586" spans="1:12" x14ac:dyDescent="0.25">
      <c r="A13586">
        <v>103849</v>
      </c>
      <c r="B13586" t="s">
        <v>19378</v>
      </c>
      <c r="C13586" t="s">
        <v>138</v>
      </c>
      <c r="D13586" s="254">
        <v>26.27</v>
      </c>
      <c r="E13586"/>
      <c r="F13586"/>
      <c r="G13586"/>
      <c r="H13586"/>
      <c r="I13586" s="489"/>
      <c r="J13586" s="1362"/>
      <c r="K13586" s="1362"/>
      <c r="L13586" s="1362"/>
    </row>
    <row r="13587" spans="1:12" x14ac:dyDescent="0.25">
      <c r="A13587">
        <v>103850</v>
      </c>
      <c r="B13587" t="s">
        <v>19379</v>
      </c>
      <c r="C13587" t="s">
        <v>138</v>
      </c>
      <c r="D13587" s="254">
        <v>433.08</v>
      </c>
      <c r="E13587"/>
      <c r="F13587"/>
      <c r="G13587"/>
      <c r="H13587"/>
      <c r="I13587" s="489"/>
      <c r="J13587" s="1362"/>
      <c r="K13587" s="1362"/>
      <c r="L13587" s="1362"/>
    </row>
    <row r="13588" spans="1:12" x14ac:dyDescent="0.25">
      <c r="A13588">
        <v>103851</v>
      </c>
      <c r="B13588" t="s">
        <v>19380</v>
      </c>
      <c r="C13588" t="s">
        <v>138</v>
      </c>
      <c r="D13588" s="254">
        <v>19.559999999999999</v>
      </c>
      <c r="E13588"/>
      <c r="F13588"/>
      <c r="G13588"/>
      <c r="H13588"/>
      <c r="I13588" s="489"/>
      <c r="J13588" s="1362"/>
      <c r="K13588" s="1362"/>
      <c r="L13588" s="1362"/>
    </row>
    <row r="13589" spans="1:12" x14ac:dyDescent="0.25">
      <c r="A13589">
        <v>103852</v>
      </c>
      <c r="B13589" t="s">
        <v>19381</v>
      </c>
      <c r="C13589" t="s">
        <v>138</v>
      </c>
      <c r="D13589" s="254">
        <v>17.39</v>
      </c>
      <c r="E13589"/>
      <c r="F13589"/>
      <c r="G13589"/>
      <c r="H13589"/>
      <c r="I13589" s="489"/>
      <c r="J13589" s="1362"/>
      <c r="K13589" s="1362"/>
      <c r="L13589" s="1362"/>
    </row>
    <row r="13590" spans="1:12" x14ac:dyDescent="0.25">
      <c r="A13590">
        <v>103853</v>
      </c>
      <c r="B13590" t="s">
        <v>19382</v>
      </c>
      <c r="C13590" t="s">
        <v>138</v>
      </c>
      <c r="D13590" s="254">
        <v>18.649999999999999</v>
      </c>
      <c r="E13590"/>
      <c r="F13590"/>
      <c r="G13590"/>
      <c r="H13590"/>
      <c r="I13590" s="489"/>
      <c r="J13590" s="1362"/>
      <c r="K13590" s="1362"/>
      <c r="L13590" s="1362"/>
    </row>
    <row r="13591" spans="1:12" x14ac:dyDescent="0.25">
      <c r="A13591">
        <v>103854</v>
      </c>
      <c r="B13591" t="s">
        <v>19383</v>
      </c>
      <c r="C13591" t="s">
        <v>138</v>
      </c>
      <c r="D13591" s="254">
        <v>504.18</v>
      </c>
      <c r="E13591"/>
      <c r="F13591"/>
      <c r="G13591"/>
      <c r="H13591"/>
      <c r="I13591" s="489"/>
      <c r="J13591" s="1362"/>
      <c r="K13591" s="1362"/>
      <c r="L13591" s="1362"/>
    </row>
    <row r="13592" spans="1:12" x14ac:dyDescent="0.25">
      <c r="A13592">
        <v>103855</v>
      </c>
      <c r="B13592" t="s">
        <v>19384</v>
      </c>
      <c r="C13592" t="s">
        <v>138</v>
      </c>
      <c r="D13592" s="254">
        <v>50.8</v>
      </c>
      <c r="E13592"/>
      <c r="F13592"/>
      <c r="G13592"/>
      <c r="H13592"/>
      <c r="I13592" s="489"/>
      <c r="J13592" s="1362"/>
      <c r="K13592" s="1362"/>
      <c r="L13592" s="1362"/>
    </row>
    <row r="13593" spans="1:12" x14ac:dyDescent="0.25">
      <c r="A13593">
        <v>103856</v>
      </c>
      <c r="B13593" t="s">
        <v>19385</v>
      </c>
      <c r="C13593" t="s">
        <v>138</v>
      </c>
      <c r="D13593" s="254">
        <v>16.260000000000002</v>
      </c>
      <c r="E13593"/>
      <c r="F13593"/>
      <c r="G13593"/>
      <c r="H13593"/>
      <c r="I13593" s="489"/>
      <c r="J13593" s="1362"/>
      <c r="K13593" s="1362"/>
      <c r="L13593" s="1362"/>
    </row>
    <row r="13594" spans="1:12" x14ac:dyDescent="0.25">
      <c r="A13594">
        <v>103857</v>
      </c>
      <c r="B13594" t="s">
        <v>19386</v>
      </c>
      <c r="C13594" t="s">
        <v>138</v>
      </c>
      <c r="D13594" s="254">
        <v>21.39</v>
      </c>
      <c r="E13594"/>
      <c r="F13594"/>
      <c r="G13594"/>
      <c r="H13594"/>
      <c r="I13594" s="489"/>
      <c r="J13594" s="1362"/>
      <c r="K13594" s="1362"/>
      <c r="L13594" s="1362"/>
    </row>
    <row r="13595" spans="1:12" x14ac:dyDescent="0.25">
      <c r="A13595">
        <v>103858</v>
      </c>
      <c r="B13595" t="s">
        <v>19387</v>
      </c>
      <c r="C13595" t="s">
        <v>138</v>
      </c>
      <c r="D13595" s="254">
        <v>25.63</v>
      </c>
      <c r="E13595"/>
      <c r="F13595"/>
      <c r="G13595"/>
      <c r="H13595"/>
      <c r="I13595" s="489"/>
      <c r="J13595" s="1362"/>
      <c r="K13595" s="1362"/>
      <c r="L13595" s="1362"/>
    </row>
    <row r="13596" spans="1:12" x14ac:dyDescent="0.25">
      <c r="A13596">
        <v>103859</v>
      </c>
      <c r="B13596" t="s">
        <v>19388</v>
      </c>
      <c r="C13596" t="s">
        <v>138</v>
      </c>
      <c r="D13596" s="254">
        <v>25.45</v>
      </c>
      <c r="E13596"/>
      <c r="F13596"/>
      <c r="G13596"/>
      <c r="H13596"/>
      <c r="I13596" s="489"/>
      <c r="J13596" s="1362"/>
      <c r="K13596" s="1362"/>
      <c r="L13596" s="1362"/>
    </row>
    <row r="13597" spans="1:12" x14ac:dyDescent="0.25">
      <c r="A13597">
        <v>103860</v>
      </c>
      <c r="B13597" t="s">
        <v>19389</v>
      </c>
      <c r="C13597" t="s">
        <v>138</v>
      </c>
      <c r="D13597" s="254">
        <v>25.45</v>
      </c>
      <c r="E13597"/>
      <c r="F13597"/>
      <c r="G13597"/>
      <c r="H13597"/>
      <c r="I13597" s="489"/>
      <c r="J13597" s="1362"/>
      <c r="K13597" s="1362"/>
      <c r="L13597" s="1362"/>
    </row>
    <row r="13598" spans="1:12" x14ac:dyDescent="0.25">
      <c r="A13598">
        <v>103861</v>
      </c>
      <c r="B13598" t="s">
        <v>19390</v>
      </c>
      <c r="C13598" t="s">
        <v>138</v>
      </c>
      <c r="D13598" s="254">
        <v>84.57</v>
      </c>
      <c r="E13598"/>
      <c r="F13598"/>
      <c r="G13598"/>
      <c r="H13598"/>
      <c r="I13598" s="489"/>
      <c r="J13598" s="1362"/>
      <c r="K13598" s="1362"/>
      <c r="L13598" s="1362"/>
    </row>
    <row r="13599" spans="1:12" x14ac:dyDescent="0.25">
      <c r="A13599">
        <v>103862</v>
      </c>
      <c r="B13599" t="s">
        <v>19391</v>
      </c>
      <c r="C13599" t="s">
        <v>138</v>
      </c>
      <c r="D13599" s="254">
        <v>555.36</v>
      </c>
      <c r="E13599"/>
      <c r="F13599"/>
      <c r="G13599"/>
      <c r="H13599"/>
      <c r="I13599" s="489"/>
      <c r="J13599" s="1362"/>
      <c r="K13599" s="1362"/>
      <c r="L13599" s="1362"/>
    </row>
    <row r="13600" spans="1:12" x14ac:dyDescent="0.25">
      <c r="A13600">
        <v>103863</v>
      </c>
      <c r="B13600" t="s">
        <v>19392</v>
      </c>
      <c r="C13600" t="s">
        <v>138</v>
      </c>
      <c r="D13600" s="254">
        <v>32.81</v>
      </c>
      <c r="E13600"/>
      <c r="F13600"/>
      <c r="G13600"/>
      <c r="H13600"/>
      <c r="I13600" s="489"/>
      <c r="J13600" s="1362"/>
      <c r="K13600" s="1362"/>
      <c r="L13600" s="1362"/>
    </row>
    <row r="13601" spans="1:12" x14ac:dyDescent="0.25">
      <c r="A13601">
        <v>103864</v>
      </c>
      <c r="B13601" t="s">
        <v>19393</v>
      </c>
      <c r="C13601" t="s">
        <v>138</v>
      </c>
      <c r="D13601" s="254">
        <v>22.14</v>
      </c>
      <c r="E13601"/>
      <c r="F13601"/>
      <c r="G13601"/>
      <c r="H13601"/>
      <c r="I13601" s="489"/>
      <c r="J13601" s="1362"/>
      <c r="K13601" s="1362"/>
      <c r="L13601" s="1362"/>
    </row>
    <row r="13602" spans="1:12" x14ac:dyDescent="0.25">
      <c r="A13602">
        <v>103865</v>
      </c>
      <c r="B13602" t="s">
        <v>19394</v>
      </c>
      <c r="C13602" t="s">
        <v>138</v>
      </c>
      <c r="D13602" s="254">
        <v>23.95</v>
      </c>
      <c r="E13602"/>
      <c r="F13602"/>
      <c r="G13602"/>
      <c r="H13602"/>
      <c r="I13602" s="489"/>
      <c r="J13602" s="1362"/>
      <c r="K13602" s="1362"/>
      <c r="L13602" s="1362"/>
    </row>
    <row r="13603" spans="1:12" x14ac:dyDescent="0.25">
      <c r="A13603">
        <v>103866</v>
      </c>
      <c r="B13603" t="s">
        <v>19395</v>
      </c>
      <c r="C13603" t="s">
        <v>138</v>
      </c>
      <c r="D13603" s="254">
        <v>37.75</v>
      </c>
      <c r="E13603"/>
      <c r="F13603"/>
      <c r="G13603"/>
      <c r="H13603"/>
      <c r="I13603" s="489"/>
      <c r="J13603" s="1362"/>
      <c r="K13603" s="1362"/>
      <c r="L13603" s="1362"/>
    </row>
    <row r="13604" spans="1:12" x14ac:dyDescent="0.25">
      <c r="A13604">
        <v>103867</v>
      </c>
      <c r="B13604" t="s">
        <v>19396</v>
      </c>
      <c r="C13604" t="s">
        <v>138</v>
      </c>
      <c r="D13604" s="254">
        <v>52.22</v>
      </c>
      <c r="E13604"/>
      <c r="F13604"/>
      <c r="G13604"/>
      <c r="H13604"/>
      <c r="I13604" s="489"/>
      <c r="J13604" s="1362"/>
      <c r="K13604" s="1362"/>
      <c r="L13604" s="1362"/>
    </row>
    <row r="13605" spans="1:12" x14ac:dyDescent="0.25">
      <c r="A13605">
        <v>103874</v>
      </c>
      <c r="B13605" t="s">
        <v>19397</v>
      </c>
      <c r="C13605" t="s">
        <v>138</v>
      </c>
      <c r="D13605" s="254">
        <v>18.55</v>
      </c>
      <c r="E13605"/>
      <c r="F13605"/>
      <c r="G13605"/>
      <c r="H13605"/>
      <c r="I13605" s="489"/>
      <c r="J13605" s="1362"/>
      <c r="K13605" s="1362"/>
      <c r="L13605" s="1362"/>
    </row>
    <row r="13606" spans="1:12" x14ac:dyDescent="0.25">
      <c r="A13606">
        <v>103875</v>
      </c>
      <c r="B13606" t="s">
        <v>19398</v>
      </c>
      <c r="C13606" t="s">
        <v>138</v>
      </c>
      <c r="D13606" s="254">
        <v>18.52</v>
      </c>
      <c r="E13606"/>
      <c r="F13606"/>
      <c r="G13606"/>
      <c r="H13606"/>
      <c r="I13606" s="489"/>
      <c r="J13606" s="1362"/>
      <c r="K13606" s="1362"/>
      <c r="L13606" s="1362"/>
    </row>
    <row r="13607" spans="1:12" x14ac:dyDescent="0.25">
      <c r="A13607">
        <v>103876</v>
      </c>
      <c r="B13607" t="s">
        <v>19399</v>
      </c>
      <c r="C13607" t="s">
        <v>138</v>
      </c>
      <c r="D13607" s="254">
        <v>21.85</v>
      </c>
      <c r="E13607"/>
      <c r="F13607"/>
      <c r="G13607"/>
      <c r="H13607"/>
      <c r="I13607" s="489"/>
      <c r="J13607" s="1362"/>
      <c r="K13607" s="1362"/>
      <c r="L13607" s="1362"/>
    </row>
    <row r="13608" spans="1:12" x14ac:dyDescent="0.25">
      <c r="A13608">
        <v>103877</v>
      </c>
      <c r="B13608" t="s">
        <v>19400</v>
      </c>
      <c r="C13608" t="s">
        <v>138</v>
      </c>
      <c r="D13608" s="254">
        <v>27.64</v>
      </c>
      <c r="E13608"/>
      <c r="F13608"/>
      <c r="G13608"/>
      <c r="H13608"/>
      <c r="I13608" s="489"/>
      <c r="J13608" s="1362"/>
      <c r="K13608" s="1362"/>
      <c r="L13608" s="1362"/>
    </row>
    <row r="13609" spans="1:12" x14ac:dyDescent="0.25">
      <c r="A13609">
        <v>103878</v>
      </c>
      <c r="B13609" t="s">
        <v>19401</v>
      </c>
      <c r="C13609" t="s">
        <v>138</v>
      </c>
      <c r="D13609" s="254">
        <v>27.37</v>
      </c>
      <c r="E13609"/>
      <c r="F13609"/>
      <c r="G13609"/>
      <c r="H13609"/>
      <c r="I13609" s="489"/>
      <c r="J13609" s="1362"/>
      <c r="K13609" s="1362"/>
      <c r="L13609" s="1362"/>
    </row>
    <row r="13610" spans="1:12" x14ac:dyDescent="0.25">
      <c r="A13610">
        <v>103879</v>
      </c>
      <c r="B13610" t="s">
        <v>19402</v>
      </c>
      <c r="C13610" t="s">
        <v>138</v>
      </c>
      <c r="D13610" s="254">
        <v>30.27</v>
      </c>
      <c r="E13610"/>
      <c r="F13610"/>
      <c r="G13610"/>
      <c r="H13610"/>
      <c r="I13610" s="489"/>
      <c r="J13610" s="1362"/>
      <c r="K13610" s="1362"/>
      <c r="L13610" s="1362"/>
    </row>
    <row r="13611" spans="1:12" x14ac:dyDescent="0.25">
      <c r="A13611">
        <v>103880</v>
      </c>
      <c r="B13611" t="s">
        <v>19403</v>
      </c>
      <c r="C13611" t="s">
        <v>138</v>
      </c>
      <c r="D13611" s="254">
        <v>33.700000000000003</v>
      </c>
      <c r="E13611"/>
      <c r="F13611"/>
      <c r="G13611"/>
      <c r="H13611"/>
      <c r="I13611" s="489"/>
      <c r="J13611" s="1362"/>
      <c r="K13611" s="1362"/>
      <c r="L13611" s="1362"/>
    </row>
    <row r="13612" spans="1:12" x14ac:dyDescent="0.25">
      <c r="A13612">
        <v>103881</v>
      </c>
      <c r="B13612" t="s">
        <v>19404</v>
      </c>
      <c r="C13612" t="s">
        <v>138</v>
      </c>
      <c r="D13612" s="254">
        <v>38.08</v>
      </c>
      <c r="E13612"/>
      <c r="F13612"/>
      <c r="G13612"/>
      <c r="H13612"/>
      <c r="I13612" s="489"/>
      <c r="J13612" s="1362"/>
      <c r="K13612" s="1362"/>
      <c r="L13612" s="1362"/>
    </row>
    <row r="13613" spans="1:12" x14ac:dyDescent="0.25">
      <c r="A13613">
        <v>103882</v>
      </c>
      <c r="B13613" t="s">
        <v>19405</v>
      </c>
      <c r="C13613" t="s">
        <v>138</v>
      </c>
      <c r="D13613" s="254">
        <v>36.39</v>
      </c>
      <c r="E13613"/>
      <c r="F13613"/>
      <c r="G13613"/>
      <c r="H13613"/>
      <c r="I13613" s="489"/>
      <c r="J13613" s="1362"/>
      <c r="K13613" s="1362"/>
      <c r="L13613" s="1362"/>
    </row>
    <row r="13614" spans="1:12" x14ac:dyDescent="0.25">
      <c r="A13614">
        <v>103883</v>
      </c>
      <c r="B13614" t="s">
        <v>19406</v>
      </c>
      <c r="C13614" t="s">
        <v>138</v>
      </c>
      <c r="D13614" s="254">
        <v>12.13</v>
      </c>
      <c r="E13614"/>
      <c r="F13614"/>
      <c r="G13614"/>
      <c r="H13614"/>
      <c r="I13614" s="489"/>
      <c r="J13614" s="1362"/>
      <c r="K13614" s="1362"/>
      <c r="L13614" s="1362"/>
    </row>
    <row r="13615" spans="1:12" x14ac:dyDescent="0.25">
      <c r="A13615">
        <v>103884</v>
      </c>
      <c r="B13615" t="s">
        <v>19407</v>
      </c>
      <c r="C13615" t="s">
        <v>138</v>
      </c>
      <c r="D13615" s="254">
        <v>12.16</v>
      </c>
      <c r="E13615"/>
      <c r="F13615"/>
      <c r="G13615"/>
      <c r="H13615"/>
      <c r="I13615" s="489"/>
      <c r="J13615" s="1362"/>
      <c r="K13615" s="1362"/>
      <c r="L13615" s="1362"/>
    </row>
    <row r="13616" spans="1:12" x14ac:dyDescent="0.25">
      <c r="A13616">
        <v>103885</v>
      </c>
      <c r="B13616" t="s">
        <v>19408</v>
      </c>
      <c r="C13616" t="s">
        <v>138</v>
      </c>
      <c r="D13616" s="254">
        <v>26.8</v>
      </c>
      <c r="E13616"/>
      <c r="F13616"/>
      <c r="G13616"/>
      <c r="H13616"/>
      <c r="I13616" s="489"/>
      <c r="J13616" s="1362"/>
      <c r="K13616" s="1362"/>
      <c r="L13616" s="1362"/>
    </row>
    <row r="13617" spans="1:12" x14ac:dyDescent="0.25">
      <c r="A13617">
        <v>103886</v>
      </c>
      <c r="B13617" t="s">
        <v>19409</v>
      </c>
      <c r="C13617" t="s">
        <v>138</v>
      </c>
      <c r="D13617" s="254">
        <v>433.61</v>
      </c>
      <c r="E13617"/>
      <c r="F13617"/>
      <c r="G13617"/>
      <c r="H13617"/>
      <c r="I13617" s="489"/>
      <c r="J13617" s="1362"/>
      <c r="K13617" s="1362"/>
      <c r="L13617" s="1362"/>
    </row>
    <row r="13618" spans="1:12" x14ac:dyDescent="0.25">
      <c r="A13618">
        <v>103887</v>
      </c>
      <c r="B13618" t="s">
        <v>19410</v>
      </c>
      <c r="C13618" t="s">
        <v>138</v>
      </c>
      <c r="D13618" s="254">
        <v>19.82</v>
      </c>
      <c r="E13618"/>
      <c r="F13618"/>
      <c r="G13618"/>
      <c r="H13618"/>
      <c r="I13618" s="489"/>
      <c r="J13618" s="1362"/>
      <c r="K13618" s="1362"/>
      <c r="L13618" s="1362"/>
    </row>
    <row r="13619" spans="1:12" x14ac:dyDescent="0.25">
      <c r="A13619">
        <v>103888</v>
      </c>
      <c r="B13619" t="s">
        <v>19411</v>
      </c>
      <c r="C13619" t="s">
        <v>138</v>
      </c>
      <c r="D13619" s="254">
        <v>16.79</v>
      </c>
      <c r="E13619"/>
      <c r="F13619"/>
      <c r="G13619"/>
      <c r="H13619"/>
      <c r="I13619" s="489"/>
      <c r="J13619" s="1362"/>
      <c r="K13619" s="1362"/>
      <c r="L13619" s="1362"/>
    </row>
    <row r="13620" spans="1:12" x14ac:dyDescent="0.25">
      <c r="A13620">
        <v>103889</v>
      </c>
      <c r="B13620" t="s">
        <v>19412</v>
      </c>
      <c r="C13620" t="s">
        <v>138</v>
      </c>
      <c r="D13620" s="254">
        <v>18.05</v>
      </c>
      <c r="E13620"/>
      <c r="F13620"/>
      <c r="G13620"/>
      <c r="H13620"/>
      <c r="I13620" s="489"/>
      <c r="J13620" s="1362"/>
      <c r="K13620" s="1362"/>
      <c r="L13620" s="1362"/>
    </row>
    <row r="13621" spans="1:12" x14ac:dyDescent="0.25">
      <c r="A13621">
        <v>103890</v>
      </c>
      <c r="B13621" t="s">
        <v>19413</v>
      </c>
      <c r="C13621" t="s">
        <v>138</v>
      </c>
      <c r="D13621" s="254">
        <v>503.58</v>
      </c>
      <c r="E13621"/>
      <c r="F13621"/>
      <c r="G13621"/>
      <c r="H13621"/>
      <c r="I13621" s="489"/>
      <c r="J13621" s="1362"/>
      <c r="K13621" s="1362"/>
      <c r="L13621" s="1362"/>
    </row>
    <row r="13622" spans="1:12" x14ac:dyDescent="0.25">
      <c r="A13622">
        <v>103891</v>
      </c>
      <c r="B13622" t="s">
        <v>19414</v>
      </c>
      <c r="C13622" t="s">
        <v>138</v>
      </c>
      <c r="D13622" s="254">
        <v>50.2</v>
      </c>
      <c r="E13622"/>
      <c r="F13622"/>
      <c r="G13622"/>
      <c r="H13622"/>
      <c r="I13622" s="489"/>
      <c r="J13622" s="1362"/>
      <c r="K13622" s="1362"/>
      <c r="L13622" s="1362"/>
    </row>
    <row r="13623" spans="1:12" x14ac:dyDescent="0.25">
      <c r="A13623">
        <v>103892</v>
      </c>
      <c r="B13623" t="s">
        <v>19415</v>
      </c>
      <c r="C13623" t="s">
        <v>138</v>
      </c>
      <c r="D13623" s="254">
        <v>16.28</v>
      </c>
      <c r="E13623"/>
      <c r="F13623"/>
      <c r="G13623"/>
      <c r="H13623"/>
      <c r="I13623" s="489"/>
      <c r="J13623" s="1362"/>
      <c r="K13623" s="1362"/>
      <c r="L13623" s="1362"/>
    </row>
    <row r="13624" spans="1:12" x14ac:dyDescent="0.25">
      <c r="A13624">
        <v>103893</v>
      </c>
      <c r="B13624" t="s">
        <v>19416</v>
      </c>
      <c r="C13624" t="s">
        <v>138</v>
      </c>
      <c r="D13624" s="254">
        <v>21.09</v>
      </c>
      <c r="E13624"/>
      <c r="F13624"/>
      <c r="G13624"/>
      <c r="H13624"/>
      <c r="I13624" s="489"/>
      <c r="J13624" s="1362"/>
      <c r="K13624" s="1362"/>
      <c r="L13624" s="1362"/>
    </row>
    <row r="13625" spans="1:12" x14ac:dyDescent="0.25">
      <c r="A13625">
        <v>103894</v>
      </c>
      <c r="B13625" t="s">
        <v>19417</v>
      </c>
      <c r="C13625" t="s">
        <v>138</v>
      </c>
      <c r="D13625" s="254">
        <v>25.32</v>
      </c>
      <c r="E13625"/>
      <c r="F13625"/>
      <c r="G13625"/>
      <c r="H13625"/>
      <c r="I13625" s="489"/>
      <c r="J13625" s="1362"/>
      <c r="K13625" s="1362"/>
      <c r="L13625" s="1362"/>
    </row>
    <row r="13626" spans="1:12" x14ac:dyDescent="0.25">
      <c r="A13626">
        <v>103895</v>
      </c>
      <c r="B13626" t="s">
        <v>19418</v>
      </c>
      <c r="C13626" t="s">
        <v>138</v>
      </c>
      <c r="D13626" s="254">
        <v>23.88</v>
      </c>
      <c r="E13626"/>
      <c r="F13626"/>
      <c r="G13626"/>
      <c r="H13626"/>
      <c r="I13626" s="489"/>
      <c r="J13626" s="1362"/>
      <c r="K13626" s="1362"/>
      <c r="L13626" s="1362"/>
    </row>
    <row r="13627" spans="1:12" x14ac:dyDescent="0.25">
      <c r="A13627">
        <v>103896</v>
      </c>
      <c r="B13627" t="s">
        <v>19419</v>
      </c>
      <c r="C13627" t="s">
        <v>138</v>
      </c>
      <c r="D13627" s="254">
        <v>23.88</v>
      </c>
      <c r="E13627"/>
      <c r="F13627"/>
      <c r="G13627"/>
      <c r="H13627"/>
      <c r="I13627" s="489"/>
      <c r="J13627" s="1362"/>
      <c r="K13627" s="1362"/>
      <c r="L13627" s="1362"/>
    </row>
    <row r="13628" spans="1:12" x14ac:dyDescent="0.25">
      <c r="A13628">
        <v>103897</v>
      </c>
      <c r="B13628" t="s">
        <v>19420</v>
      </c>
      <c r="C13628" t="s">
        <v>138</v>
      </c>
      <c r="D13628" s="254">
        <v>83</v>
      </c>
      <c r="E13628"/>
      <c r="F13628"/>
      <c r="G13628"/>
      <c r="H13628"/>
      <c r="I13628" s="489"/>
      <c r="J13628" s="1362"/>
      <c r="K13628" s="1362"/>
      <c r="L13628" s="1362"/>
    </row>
    <row r="13629" spans="1:12" x14ac:dyDescent="0.25">
      <c r="A13629">
        <v>103898</v>
      </c>
      <c r="B13629" t="s">
        <v>19421</v>
      </c>
      <c r="C13629" t="s">
        <v>138</v>
      </c>
      <c r="D13629" s="254">
        <v>553.79</v>
      </c>
      <c r="E13629"/>
      <c r="F13629"/>
      <c r="G13629"/>
      <c r="H13629"/>
      <c r="I13629" s="489"/>
      <c r="J13629" s="1362"/>
      <c r="K13629" s="1362"/>
      <c r="L13629" s="1362"/>
    </row>
    <row r="13630" spans="1:12" x14ac:dyDescent="0.25">
      <c r="A13630">
        <v>103899</v>
      </c>
      <c r="B13630" t="s">
        <v>19422</v>
      </c>
      <c r="C13630" t="s">
        <v>138</v>
      </c>
      <c r="D13630" s="254">
        <v>32.04</v>
      </c>
      <c r="E13630"/>
      <c r="F13630"/>
      <c r="G13630"/>
      <c r="H13630"/>
      <c r="I13630" s="489"/>
      <c r="J13630" s="1362"/>
      <c r="K13630" s="1362"/>
      <c r="L13630" s="1362"/>
    </row>
    <row r="13631" spans="1:12" x14ac:dyDescent="0.25">
      <c r="A13631">
        <v>103900</v>
      </c>
      <c r="B13631" t="s">
        <v>19423</v>
      </c>
      <c r="C13631" t="s">
        <v>138</v>
      </c>
      <c r="D13631" s="254">
        <v>20.93</v>
      </c>
      <c r="E13631"/>
      <c r="F13631"/>
      <c r="G13631"/>
      <c r="H13631"/>
      <c r="I13631" s="489"/>
      <c r="J13631" s="1362"/>
      <c r="K13631" s="1362"/>
      <c r="L13631" s="1362"/>
    </row>
    <row r="13632" spans="1:12" x14ac:dyDescent="0.25">
      <c r="A13632">
        <v>103901</v>
      </c>
      <c r="B13632" t="s">
        <v>19424</v>
      </c>
      <c r="C13632" t="s">
        <v>138</v>
      </c>
      <c r="D13632" s="254">
        <v>25.04</v>
      </c>
      <c r="E13632"/>
      <c r="F13632"/>
      <c r="G13632"/>
      <c r="H13632"/>
      <c r="I13632" s="489"/>
      <c r="J13632" s="1362"/>
      <c r="K13632" s="1362"/>
      <c r="L13632" s="1362"/>
    </row>
    <row r="13633" spans="1:12" x14ac:dyDescent="0.25">
      <c r="A13633">
        <v>103902</v>
      </c>
      <c r="B13633" t="s">
        <v>19425</v>
      </c>
      <c r="C13633" t="s">
        <v>138</v>
      </c>
      <c r="D13633" s="254">
        <v>36.58</v>
      </c>
      <c r="E13633"/>
      <c r="F13633"/>
      <c r="G13633"/>
      <c r="H13633"/>
      <c r="I13633" s="489"/>
      <c r="J13633" s="1362"/>
      <c r="K13633" s="1362"/>
      <c r="L13633" s="1362"/>
    </row>
    <row r="13634" spans="1:12" x14ac:dyDescent="0.25">
      <c r="A13634">
        <v>103903</v>
      </c>
      <c r="B13634" t="s">
        <v>19426</v>
      </c>
      <c r="C13634" t="s">
        <v>138</v>
      </c>
      <c r="D13634" s="254">
        <v>49.14</v>
      </c>
      <c r="E13634"/>
      <c r="F13634"/>
      <c r="G13634"/>
      <c r="H13634"/>
      <c r="I13634" s="489"/>
      <c r="J13634" s="1362"/>
      <c r="K13634" s="1362"/>
      <c r="L13634" s="1362"/>
    </row>
    <row r="13635" spans="1:12" x14ac:dyDescent="0.25">
      <c r="A13635">
        <v>103947</v>
      </c>
      <c r="B13635" t="s">
        <v>19427</v>
      </c>
      <c r="C13635" t="s">
        <v>138</v>
      </c>
      <c r="D13635" s="254">
        <v>6.49</v>
      </c>
      <c r="E13635"/>
      <c r="F13635"/>
      <c r="G13635"/>
      <c r="H13635"/>
      <c r="I13635" s="489"/>
      <c r="J13635" s="1362"/>
      <c r="K13635" s="1362"/>
      <c r="L13635" s="1362"/>
    </row>
    <row r="13636" spans="1:12" x14ac:dyDescent="0.25">
      <c r="A13636">
        <v>103948</v>
      </c>
      <c r="B13636" t="s">
        <v>19428</v>
      </c>
      <c r="C13636" t="s">
        <v>138</v>
      </c>
      <c r="D13636" s="254">
        <v>8.34</v>
      </c>
      <c r="E13636"/>
      <c r="F13636"/>
      <c r="G13636"/>
      <c r="H13636"/>
      <c r="I13636" s="489"/>
      <c r="J13636" s="1362"/>
      <c r="K13636" s="1362"/>
      <c r="L13636" s="1362"/>
    </row>
    <row r="13637" spans="1:12" x14ac:dyDescent="0.25">
      <c r="A13637">
        <v>103949</v>
      </c>
      <c r="B13637" t="s">
        <v>19429</v>
      </c>
      <c r="C13637" t="s">
        <v>138</v>
      </c>
      <c r="D13637" s="254">
        <v>9.75</v>
      </c>
      <c r="E13637"/>
      <c r="F13637"/>
      <c r="G13637"/>
      <c r="H13637"/>
      <c r="I13637" s="489"/>
      <c r="J13637" s="1362"/>
      <c r="K13637" s="1362"/>
      <c r="L13637" s="1362"/>
    </row>
    <row r="13638" spans="1:12" x14ac:dyDescent="0.25">
      <c r="A13638">
        <v>103950</v>
      </c>
      <c r="B13638" t="s">
        <v>19430</v>
      </c>
      <c r="C13638" t="s">
        <v>138</v>
      </c>
      <c r="D13638" s="254">
        <v>11.28</v>
      </c>
      <c r="E13638"/>
      <c r="F13638"/>
      <c r="G13638"/>
      <c r="H13638"/>
      <c r="I13638" s="489"/>
      <c r="J13638" s="1362"/>
      <c r="K13638" s="1362"/>
      <c r="L13638" s="1362"/>
    </row>
    <row r="13639" spans="1:12" x14ac:dyDescent="0.25">
      <c r="A13639">
        <v>103951</v>
      </c>
      <c r="B13639" t="s">
        <v>19431</v>
      </c>
      <c r="C13639" t="s">
        <v>138</v>
      </c>
      <c r="D13639" s="254">
        <v>15.05</v>
      </c>
      <c r="E13639"/>
      <c r="F13639"/>
      <c r="G13639"/>
      <c r="H13639"/>
      <c r="I13639" s="489"/>
      <c r="J13639" s="1362"/>
      <c r="K13639" s="1362"/>
      <c r="L13639" s="1362"/>
    </row>
    <row r="13640" spans="1:12" x14ac:dyDescent="0.25">
      <c r="A13640">
        <v>103952</v>
      </c>
      <c r="B13640" t="s">
        <v>19432</v>
      </c>
      <c r="C13640" t="s">
        <v>138</v>
      </c>
      <c r="D13640" s="254">
        <v>5.96</v>
      </c>
      <c r="E13640"/>
      <c r="F13640"/>
      <c r="G13640"/>
      <c r="H13640"/>
      <c r="I13640" s="489"/>
      <c r="J13640" s="1362"/>
      <c r="K13640" s="1362"/>
      <c r="L13640" s="1362"/>
    </row>
    <row r="13641" spans="1:12" x14ac:dyDescent="0.25">
      <c r="A13641">
        <v>103953</v>
      </c>
      <c r="B13641" t="s">
        <v>19433</v>
      </c>
      <c r="C13641" t="s">
        <v>138</v>
      </c>
      <c r="D13641" s="254">
        <v>7.72</v>
      </c>
      <c r="E13641"/>
      <c r="F13641"/>
      <c r="G13641"/>
      <c r="H13641"/>
      <c r="I13641" s="489"/>
      <c r="J13641" s="1362"/>
      <c r="K13641" s="1362"/>
      <c r="L13641" s="1362"/>
    </row>
    <row r="13642" spans="1:12" x14ac:dyDescent="0.25">
      <c r="A13642">
        <v>103954</v>
      </c>
      <c r="B13642" t="s">
        <v>19434</v>
      </c>
      <c r="C13642" t="s">
        <v>138</v>
      </c>
      <c r="D13642" s="254">
        <v>9.17</v>
      </c>
      <c r="E13642"/>
      <c r="F13642"/>
      <c r="G13642"/>
      <c r="H13642"/>
      <c r="I13642" s="489"/>
      <c r="J13642" s="1362"/>
      <c r="K13642" s="1362"/>
      <c r="L13642" s="1362"/>
    </row>
    <row r="13643" spans="1:12" x14ac:dyDescent="0.25">
      <c r="A13643">
        <v>103955</v>
      </c>
      <c r="B13643" t="s">
        <v>19435</v>
      </c>
      <c r="C13643" t="s">
        <v>138</v>
      </c>
      <c r="D13643" s="254">
        <v>10.49</v>
      </c>
      <c r="E13643"/>
      <c r="F13643"/>
      <c r="G13643"/>
      <c r="H13643"/>
      <c r="I13643" s="489"/>
      <c r="J13643" s="1362"/>
      <c r="K13643" s="1362"/>
      <c r="L13643" s="1362"/>
    </row>
    <row r="13644" spans="1:12" x14ac:dyDescent="0.25">
      <c r="A13644">
        <v>103956</v>
      </c>
      <c r="B13644" t="s">
        <v>19436</v>
      </c>
      <c r="C13644" t="s">
        <v>138</v>
      </c>
      <c r="D13644" s="254">
        <v>14.12</v>
      </c>
      <c r="E13644"/>
      <c r="F13644"/>
      <c r="G13644"/>
      <c r="H13644"/>
      <c r="I13644" s="489"/>
      <c r="J13644" s="1362"/>
      <c r="K13644" s="1362"/>
      <c r="L13644" s="1362"/>
    </row>
    <row r="13645" spans="1:12" x14ac:dyDescent="0.25">
      <c r="A13645">
        <v>103957</v>
      </c>
      <c r="B13645" t="s">
        <v>19437</v>
      </c>
      <c r="C13645" t="s">
        <v>138</v>
      </c>
      <c r="D13645" s="254">
        <v>5.23</v>
      </c>
      <c r="E13645"/>
      <c r="F13645"/>
      <c r="G13645"/>
      <c r="H13645"/>
      <c r="I13645" s="489"/>
      <c r="J13645" s="1362"/>
      <c r="K13645" s="1362"/>
      <c r="L13645" s="1362"/>
    </row>
    <row r="13646" spans="1:12" x14ac:dyDescent="0.25">
      <c r="A13646">
        <v>103958</v>
      </c>
      <c r="B13646" t="s">
        <v>19438</v>
      </c>
      <c r="C13646" t="s">
        <v>138</v>
      </c>
      <c r="D13646" s="254">
        <v>10.59</v>
      </c>
      <c r="E13646"/>
      <c r="F13646"/>
      <c r="G13646"/>
      <c r="H13646"/>
      <c r="I13646" s="489"/>
      <c r="J13646" s="1362"/>
      <c r="K13646" s="1362"/>
      <c r="L13646" s="1362"/>
    </row>
    <row r="13647" spans="1:12" x14ac:dyDescent="0.25">
      <c r="A13647">
        <v>103959</v>
      </c>
      <c r="B13647" t="s">
        <v>19439</v>
      </c>
      <c r="C13647" t="s">
        <v>138</v>
      </c>
      <c r="D13647" s="254">
        <v>15.18</v>
      </c>
      <c r="E13647"/>
      <c r="F13647"/>
      <c r="G13647"/>
      <c r="H13647"/>
      <c r="I13647" s="489"/>
      <c r="J13647" s="1362"/>
      <c r="K13647" s="1362"/>
      <c r="L13647" s="1362"/>
    </row>
    <row r="13648" spans="1:12" x14ac:dyDescent="0.25">
      <c r="A13648">
        <v>103960</v>
      </c>
      <c r="B13648" t="s">
        <v>19440</v>
      </c>
      <c r="C13648" t="s">
        <v>138</v>
      </c>
      <c r="D13648" s="254">
        <v>31.45</v>
      </c>
      <c r="E13648"/>
      <c r="F13648"/>
      <c r="G13648"/>
      <c r="H13648"/>
      <c r="I13648" s="489"/>
      <c r="J13648" s="1362"/>
      <c r="K13648" s="1362"/>
      <c r="L13648" s="1362"/>
    </row>
    <row r="13649" spans="1:12" x14ac:dyDescent="0.25">
      <c r="A13649">
        <v>103961</v>
      </c>
      <c r="B13649" t="s">
        <v>19441</v>
      </c>
      <c r="C13649" t="s">
        <v>138</v>
      </c>
      <c r="D13649" s="254">
        <v>30.54</v>
      </c>
      <c r="E13649"/>
      <c r="F13649"/>
      <c r="G13649"/>
      <c r="H13649"/>
      <c r="I13649" s="489"/>
      <c r="J13649" s="1362"/>
      <c r="K13649" s="1362"/>
      <c r="L13649" s="1362"/>
    </row>
    <row r="13650" spans="1:12" x14ac:dyDescent="0.25">
      <c r="A13650">
        <v>103962</v>
      </c>
      <c r="B13650" t="s">
        <v>19442</v>
      </c>
      <c r="C13650" t="s">
        <v>138</v>
      </c>
      <c r="D13650" s="254">
        <v>6.77</v>
      </c>
      <c r="E13650"/>
      <c r="F13650"/>
      <c r="G13650"/>
      <c r="H13650"/>
      <c r="I13650" s="489"/>
      <c r="J13650" s="1362"/>
      <c r="K13650" s="1362"/>
      <c r="L13650" s="1362"/>
    </row>
    <row r="13651" spans="1:12" x14ac:dyDescent="0.25">
      <c r="A13651">
        <v>103963</v>
      </c>
      <c r="B13651" t="s">
        <v>19443</v>
      </c>
      <c r="C13651" t="s">
        <v>138</v>
      </c>
      <c r="D13651" s="254">
        <v>8.58</v>
      </c>
      <c r="E13651"/>
      <c r="F13651"/>
      <c r="G13651"/>
      <c r="H13651"/>
      <c r="I13651" s="489"/>
      <c r="J13651" s="1362"/>
      <c r="K13651" s="1362"/>
      <c r="L13651" s="1362"/>
    </row>
    <row r="13652" spans="1:12" x14ac:dyDescent="0.25">
      <c r="A13652">
        <v>103964</v>
      </c>
      <c r="B13652" t="s">
        <v>19444</v>
      </c>
      <c r="C13652" t="s">
        <v>138</v>
      </c>
      <c r="D13652" s="254">
        <v>9.43</v>
      </c>
      <c r="E13652"/>
      <c r="F13652"/>
      <c r="G13652"/>
      <c r="H13652"/>
      <c r="I13652" s="489"/>
      <c r="J13652" s="1362"/>
      <c r="K13652" s="1362"/>
      <c r="L13652" s="1362"/>
    </row>
    <row r="13653" spans="1:12" x14ac:dyDescent="0.25">
      <c r="A13653">
        <v>103965</v>
      </c>
      <c r="B13653" t="s">
        <v>19445</v>
      </c>
      <c r="C13653" t="s">
        <v>138</v>
      </c>
      <c r="D13653" s="254">
        <v>10.46</v>
      </c>
      <c r="E13653"/>
      <c r="F13653"/>
      <c r="G13653"/>
      <c r="H13653"/>
      <c r="I13653" s="489"/>
      <c r="J13653" s="1362"/>
      <c r="K13653" s="1362"/>
      <c r="L13653" s="1362"/>
    </row>
    <row r="13654" spans="1:12" x14ac:dyDescent="0.25">
      <c r="A13654">
        <v>103966</v>
      </c>
      <c r="B13654" t="s">
        <v>19446</v>
      </c>
      <c r="C13654" t="s">
        <v>138</v>
      </c>
      <c r="D13654" s="254">
        <v>10.8</v>
      </c>
      <c r="E13654"/>
      <c r="F13654"/>
      <c r="G13654"/>
      <c r="H13654"/>
      <c r="I13654" s="489"/>
      <c r="J13654" s="1362"/>
      <c r="K13654" s="1362"/>
      <c r="L13654" s="1362"/>
    </row>
    <row r="13655" spans="1:12" x14ac:dyDescent="0.25">
      <c r="A13655">
        <v>103967</v>
      </c>
      <c r="B13655" t="s">
        <v>19447</v>
      </c>
      <c r="C13655" t="s">
        <v>138</v>
      </c>
      <c r="D13655" s="254">
        <v>12.7</v>
      </c>
      <c r="E13655"/>
      <c r="F13655"/>
      <c r="G13655"/>
      <c r="H13655"/>
      <c r="I13655" s="489"/>
      <c r="J13655" s="1362"/>
      <c r="K13655" s="1362"/>
      <c r="L13655" s="1362"/>
    </row>
    <row r="13656" spans="1:12" x14ac:dyDescent="0.25">
      <c r="A13656">
        <v>103968</v>
      </c>
      <c r="B13656" t="s">
        <v>19448</v>
      </c>
      <c r="C13656" t="s">
        <v>138</v>
      </c>
      <c r="D13656" s="254">
        <v>17.809999999999999</v>
      </c>
      <c r="E13656"/>
      <c r="F13656"/>
      <c r="G13656"/>
      <c r="H13656"/>
      <c r="I13656" s="489"/>
      <c r="J13656" s="1362"/>
      <c r="K13656" s="1362"/>
      <c r="L13656" s="1362"/>
    </row>
    <row r="13657" spans="1:12" x14ac:dyDescent="0.25">
      <c r="A13657">
        <v>103969</v>
      </c>
      <c r="B13657" t="s">
        <v>19449</v>
      </c>
      <c r="C13657" t="s">
        <v>138</v>
      </c>
      <c r="D13657" s="254">
        <v>20.66</v>
      </c>
      <c r="E13657"/>
      <c r="F13657"/>
      <c r="G13657"/>
      <c r="H13657"/>
      <c r="I13657" s="489"/>
      <c r="J13657" s="1362"/>
      <c r="K13657" s="1362"/>
      <c r="L13657" s="1362"/>
    </row>
    <row r="13658" spans="1:12" x14ac:dyDescent="0.25">
      <c r="A13658">
        <v>103970</v>
      </c>
      <c r="B13658" t="s">
        <v>19450</v>
      </c>
      <c r="C13658" t="s">
        <v>138</v>
      </c>
      <c r="D13658" s="254">
        <v>22.31</v>
      </c>
      <c r="E13658"/>
      <c r="F13658"/>
      <c r="G13658"/>
      <c r="H13658"/>
      <c r="I13658" s="489"/>
      <c r="J13658" s="1362"/>
      <c r="K13658" s="1362"/>
      <c r="L13658" s="1362"/>
    </row>
    <row r="13659" spans="1:12" x14ac:dyDescent="0.25">
      <c r="A13659">
        <v>103971</v>
      </c>
      <c r="B13659" t="s">
        <v>19451</v>
      </c>
      <c r="C13659" t="s">
        <v>138</v>
      </c>
      <c r="D13659" s="254">
        <v>26.45</v>
      </c>
      <c r="E13659"/>
      <c r="F13659"/>
      <c r="G13659"/>
      <c r="H13659"/>
      <c r="I13659" s="489"/>
      <c r="J13659" s="1362"/>
      <c r="K13659" s="1362"/>
      <c r="L13659" s="1362"/>
    </row>
    <row r="13660" spans="1:12" x14ac:dyDescent="0.25">
      <c r="A13660">
        <v>103972</v>
      </c>
      <c r="B13660" t="s">
        <v>19452</v>
      </c>
      <c r="C13660" t="s">
        <v>138</v>
      </c>
      <c r="D13660" s="254">
        <v>31.08</v>
      </c>
      <c r="E13660"/>
      <c r="F13660"/>
      <c r="G13660"/>
      <c r="H13660"/>
      <c r="I13660" s="489"/>
      <c r="J13660" s="1362"/>
      <c r="K13660" s="1362"/>
      <c r="L13660" s="1362"/>
    </row>
    <row r="13661" spans="1:12" x14ac:dyDescent="0.25">
      <c r="A13661">
        <v>103973</v>
      </c>
      <c r="B13661" t="s">
        <v>19453</v>
      </c>
      <c r="C13661" t="s">
        <v>138</v>
      </c>
      <c r="D13661" s="254">
        <v>37.14</v>
      </c>
      <c r="E13661"/>
      <c r="F13661"/>
      <c r="G13661"/>
      <c r="H13661"/>
      <c r="I13661" s="489"/>
      <c r="J13661" s="1362"/>
      <c r="K13661" s="1362"/>
      <c r="L13661" s="1362"/>
    </row>
    <row r="13662" spans="1:12" x14ac:dyDescent="0.25">
      <c r="A13662">
        <v>103974</v>
      </c>
      <c r="B13662" t="s">
        <v>19454</v>
      </c>
      <c r="C13662" t="s">
        <v>138</v>
      </c>
      <c r="D13662" s="254">
        <v>10.4</v>
      </c>
      <c r="E13662"/>
      <c r="F13662"/>
      <c r="G13662"/>
      <c r="H13662"/>
      <c r="I13662" s="489"/>
      <c r="J13662" s="1362"/>
      <c r="K13662" s="1362"/>
      <c r="L13662" s="1362"/>
    </row>
    <row r="13663" spans="1:12" x14ac:dyDescent="0.25">
      <c r="A13663">
        <v>103975</v>
      </c>
      <c r="B13663" t="s">
        <v>19455</v>
      </c>
      <c r="C13663" t="s">
        <v>138</v>
      </c>
      <c r="D13663" s="254">
        <v>22.85</v>
      </c>
      <c r="E13663"/>
      <c r="F13663"/>
      <c r="G13663"/>
      <c r="H13663"/>
      <c r="I13663" s="489"/>
      <c r="J13663" s="1362"/>
      <c r="K13663" s="1362"/>
      <c r="L13663" s="1362"/>
    </row>
    <row r="13664" spans="1:12" x14ac:dyDescent="0.25">
      <c r="A13664">
        <v>103976</v>
      </c>
      <c r="B13664" t="s">
        <v>19456</v>
      </c>
      <c r="C13664" t="s">
        <v>138</v>
      </c>
      <c r="D13664" s="254">
        <v>29.31</v>
      </c>
      <c r="E13664"/>
      <c r="F13664"/>
      <c r="G13664"/>
      <c r="H13664"/>
      <c r="I13664" s="489"/>
      <c r="J13664" s="1362"/>
      <c r="K13664" s="1362"/>
      <c r="L13664" s="1362"/>
    </row>
    <row r="13665" spans="1:12" x14ac:dyDescent="0.25">
      <c r="A13665">
        <v>103977</v>
      </c>
      <c r="B13665" t="s">
        <v>19457</v>
      </c>
      <c r="C13665" t="s">
        <v>138</v>
      </c>
      <c r="D13665" s="254">
        <v>7.57</v>
      </c>
      <c r="E13665"/>
      <c r="F13665"/>
      <c r="G13665"/>
      <c r="H13665"/>
      <c r="I13665" s="489"/>
      <c r="J13665" s="1362"/>
      <c r="K13665" s="1362"/>
      <c r="L13665" s="1362"/>
    </row>
    <row r="13666" spans="1:12" x14ac:dyDescent="0.25">
      <c r="A13666">
        <v>103980</v>
      </c>
      <c r="B13666" t="s">
        <v>19458</v>
      </c>
      <c r="C13666" t="s">
        <v>138</v>
      </c>
      <c r="D13666" s="254">
        <v>18.59</v>
      </c>
      <c r="E13666"/>
      <c r="F13666"/>
      <c r="G13666"/>
      <c r="H13666"/>
      <c r="I13666" s="489"/>
      <c r="J13666" s="1362"/>
      <c r="K13666" s="1362"/>
      <c r="L13666" s="1362"/>
    </row>
    <row r="13667" spans="1:12" x14ac:dyDescent="0.25">
      <c r="A13667">
        <v>103981</v>
      </c>
      <c r="B13667" t="s">
        <v>19459</v>
      </c>
      <c r="C13667" t="s">
        <v>138</v>
      </c>
      <c r="D13667" s="254">
        <v>19.829999999999998</v>
      </c>
      <c r="E13667"/>
      <c r="F13667"/>
      <c r="G13667"/>
      <c r="H13667"/>
      <c r="I13667" s="489"/>
      <c r="J13667" s="1362"/>
      <c r="K13667" s="1362"/>
      <c r="L13667" s="1362"/>
    </row>
    <row r="13668" spans="1:12" x14ac:dyDescent="0.25">
      <c r="A13668">
        <v>103982</v>
      </c>
      <c r="B13668" t="s">
        <v>19460</v>
      </c>
      <c r="C13668" t="s">
        <v>138</v>
      </c>
      <c r="D13668" s="254">
        <v>27.73</v>
      </c>
      <c r="E13668"/>
      <c r="F13668"/>
      <c r="G13668"/>
      <c r="H13668"/>
      <c r="I13668" s="489"/>
      <c r="J13668" s="1362"/>
      <c r="K13668" s="1362"/>
      <c r="L13668" s="1362"/>
    </row>
    <row r="13669" spans="1:12" x14ac:dyDescent="0.25">
      <c r="A13669">
        <v>103983</v>
      </c>
      <c r="B13669" t="s">
        <v>19461</v>
      </c>
      <c r="C13669" t="s">
        <v>138</v>
      </c>
      <c r="D13669" s="254">
        <v>20.07</v>
      </c>
      <c r="E13669"/>
      <c r="F13669"/>
      <c r="G13669"/>
      <c r="H13669"/>
      <c r="I13669" s="489"/>
      <c r="J13669" s="1362"/>
      <c r="K13669" s="1362"/>
      <c r="L13669" s="1362"/>
    </row>
    <row r="13670" spans="1:12" x14ac:dyDescent="0.25">
      <c r="A13670">
        <v>103984</v>
      </c>
      <c r="B13670" t="s">
        <v>19462</v>
      </c>
      <c r="C13670" t="s">
        <v>138</v>
      </c>
      <c r="D13670" s="254">
        <v>22.1</v>
      </c>
      <c r="E13670"/>
      <c r="F13670"/>
      <c r="G13670"/>
      <c r="H13670"/>
      <c r="I13670" s="489"/>
      <c r="J13670" s="1362"/>
      <c r="K13670" s="1362"/>
      <c r="L13670" s="1362"/>
    </row>
    <row r="13671" spans="1:12" x14ac:dyDescent="0.25">
      <c r="A13671">
        <v>103985</v>
      </c>
      <c r="B13671" t="s">
        <v>19463</v>
      </c>
      <c r="C13671" t="s">
        <v>138</v>
      </c>
      <c r="D13671" s="254">
        <v>24.34</v>
      </c>
      <c r="E13671"/>
      <c r="F13671"/>
      <c r="G13671"/>
      <c r="H13671"/>
      <c r="I13671" s="489"/>
      <c r="J13671" s="1362"/>
      <c r="K13671" s="1362"/>
      <c r="L13671" s="1362"/>
    </row>
    <row r="13672" spans="1:12" x14ac:dyDescent="0.25">
      <c r="A13672">
        <v>103986</v>
      </c>
      <c r="B13672" t="s">
        <v>19464</v>
      </c>
      <c r="C13672" t="s">
        <v>138</v>
      </c>
      <c r="D13672" s="254">
        <v>34.14</v>
      </c>
      <c r="E13672"/>
      <c r="F13672"/>
      <c r="G13672"/>
      <c r="H13672"/>
      <c r="I13672" s="489"/>
      <c r="J13672" s="1362"/>
      <c r="K13672" s="1362"/>
      <c r="L13672" s="1362"/>
    </row>
    <row r="13673" spans="1:12" x14ac:dyDescent="0.25">
      <c r="A13673">
        <v>103987</v>
      </c>
      <c r="B13673" t="s">
        <v>19465</v>
      </c>
      <c r="C13673" t="s">
        <v>138</v>
      </c>
      <c r="D13673" s="254">
        <v>30.59</v>
      </c>
      <c r="E13673"/>
      <c r="F13673"/>
      <c r="G13673"/>
      <c r="H13673"/>
      <c r="I13673" s="489"/>
      <c r="J13673" s="1362"/>
      <c r="K13673" s="1362"/>
      <c r="L13673" s="1362"/>
    </row>
    <row r="13674" spans="1:12" x14ac:dyDescent="0.25">
      <c r="A13674">
        <v>103988</v>
      </c>
      <c r="B13674" t="s">
        <v>19466</v>
      </c>
      <c r="C13674" t="s">
        <v>138</v>
      </c>
      <c r="D13674" s="254">
        <v>13.67</v>
      </c>
      <c r="E13674"/>
      <c r="F13674"/>
      <c r="G13674"/>
      <c r="H13674"/>
      <c r="I13674" s="489"/>
      <c r="J13674" s="1362"/>
      <c r="K13674" s="1362"/>
      <c r="L13674" s="1362"/>
    </row>
    <row r="13675" spans="1:12" x14ac:dyDescent="0.25">
      <c r="A13675">
        <v>103990</v>
      </c>
      <c r="B13675" t="s">
        <v>19467</v>
      </c>
      <c r="C13675" t="s">
        <v>138</v>
      </c>
      <c r="D13675" s="254">
        <v>44.74</v>
      </c>
      <c r="E13675"/>
      <c r="F13675"/>
      <c r="G13675"/>
      <c r="H13675"/>
      <c r="I13675" s="489"/>
      <c r="J13675" s="1362"/>
      <c r="K13675" s="1362"/>
      <c r="L13675" s="1362"/>
    </row>
    <row r="13676" spans="1:12" x14ac:dyDescent="0.25">
      <c r="A13676">
        <v>103991</v>
      </c>
      <c r="B13676" t="s">
        <v>19468</v>
      </c>
      <c r="C13676" t="s">
        <v>138</v>
      </c>
      <c r="D13676" s="254">
        <v>22.93</v>
      </c>
      <c r="E13676"/>
      <c r="F13676"/>
      <c r="G13676"/>
      <c r="H13676"/>
      <c r="I13676" s="489"/>
      <c r="J13676" s="1362"/>
      <c r="K13676" s="1362"/>
      <c r="L13676" s="1362"/>
    </row>
    <row r="13677" spans="1:12" x14ac:dyDescent="0.25">
      <c r="A13677">
        <v>103992</v>
      </c>
      <c r="B13677" t="s">
        <v>19469</v>
      </c>
      <c r="C13677" t="s">
        <v>138</v>
      </c>
      <c r="D13677" s="254">
        <v>12.37</v>
      </c>
      <c r="E13677"/>
      <c r="F13677"/>
      <c r="G13677"/>
      <c r="H13677"/>
      <c r="I13677" s="489"/>
      <c r="J13677" s="1362"/>
      <c r="K13677" s="1362"/>
      <c r="L13677" s="1362"/>
    </row>
    <row r="13678" spans="1:12" x14ac:dyDescent="0.25">
      <c r="A13678">
        <v>103993</v>
      </c>
      <c r="B13678" t="s">
        <v>19470</v>
      </c>
      <c r="C13678" t="s">
        <v>138</v>
      </c>
      <c r="D13678" s="254">
        <v>10.46</v>
      </c>
      <c r="E13678"/>
      <c r="F13678"/>
      <c r="G13678"/>
      <c r="H13678"/>
      <c r="I13678" s="489"/>
      <c r="J13678" s="1362"/>
      <c r="K13678" s="1362"/>
      <c r="L13678" s="1362"/>
    </row>
    <row r="13679" spans="1:12" x14ac:dyDescent="0.25">
      <c r="A13679">
        <v>103994</v>
      </c>
      <c r="B13679" t="s">
        <v>19471</v>
      </c>
      <c r="C13679" t="s">
        <v>138</v>
      </c>
      <c r="D13679" s="254">
        <v>16.98</v>
      </c>
      <c r="E13679"/>
      <c r="F13679"/>
      <c r="G13679"/>
      <c r="H13679"/>
      <c r="I13679" s="489"/>
      <c r="J13679" s="1362"/>
      <c r="K13679" s="1362"/>
      <c r="L13679" s="1362"/>
    </row>
    <row r="13680" spans="1:12" x14ac:dyDescent="0.25">
      <c r="A13680">
        <v>103995</v>
      </c>
      <c r="B13680" t="s">
        <v>19472</v>
      </c>
      <c r="C13680" t="s">
        <v>138</v>
      </c>
      <c r="D13680" s="254">
        <v>16.850000000000001</v>
      </c>
      <c r="E13680"/>
      <c r="F13680"/>
      <c r="G13680"/>
      <c r="H13680"/>
      <c r="I13680" s="489"/>
      <c r="J13680" s="1362"/>
      <c r="K13680" s="1362"/>
      <c r="L13680" s="1362"/>
    </row>
    <row r="13681" spans="1:12" x14ac:dyDescent="0.25">
      <c r="A13681">
        <v>103996</v>
      </c>
      <c r="B13681" t="s">
        <v>19473</v>
      </c>
      <c r="C13681" t="s">
        <v>138</v>
      </c>
      <c r="D13681" s="254">
        <v>46.12</v>
      </c>
      <c r="E13681"/>
      <c r="F13681"/>
      <c r="G13681"/>
      <c r="H13681"/>
      <c r="I13681" s="489"/>
      <c r="J13681" s="1362"/>
      <c r="K13681" s="1362"/>
      <c r="L13681" s="1362"/>
    </row>
    <row r="13682" spans="1:12" x14ac:dyDescent="0.25">
      <c r="A13682">
        <v>103997</v>
      </c>
      <c r="B13682" t="s">
        <v>19474</v>
      </c>
      <c r="C13682" t="s">
        <v>138</v>
      </c>
      <c r="D13682" s="254">
        <v>50.04</v>
      </c>
      <c r="E13682"/>
      <c r="F13682"/>
      <c r="G13682"/>
      <c r="H13682"/>
      <c r="I13682" s="489"/>
      <c r="J13682" s="1362"/>
      <c r="K13682" s="1362"/>
      <c r="L13682" s="1362"/>
    </row>
    <row r="13683" spans="1:12" x14ac:dyDescent="0.25">
      <c r="A13683">
        <v>103998</v>
      </c>
      <c r="B13683" t="s">
        <v>19475</v>
      </c>
      <c r="C13683" t="s">
        <v>138</v>
      </c>
      <c r="D13683" s="254">
        <v>14.64</v>
      </c>
      <c r="E13683"/>
      <c r="F13683"/>
      <c r="G13683"/>
      <c r="H13683"/>
      <c r="I13683" s="489"/>
      <c r="J13683" s="1362"/>
      <c r="K13683" s="1362"/>
      <c r="L13683" s="1362"/>
    </row>
    <row r="13684" spans="1:12" x14ac:dyDescent="0.25">
      <c r="A13684">
        <v>103999</v>
      </c>
      <c r="B13684" t="s">
        <v>19476</v>
      </c>
      <c r="C13684" t="s">
        <v>138</v>
      </c>
      <c r="D13684" s="254">
        <v>13.77</v>
      </c>
      <c r="E13684"/>
      <c r="F13684"/>
      <c r="G13684"/>
      <c r="H13684"/>
      <c r="I13684" s="489"/>
      <c r="J13684" s="1362"/>
      <c r="K13684" s="1362"/>
      <c r="L13684" s="1362"/>
    </row>
    <row r="13685" spans="1:12" x14ac:dyDescent="0.25">
      <c r="A13685">
        <v>104000</v>
      </c>
      <c r="B13685" t="s">
        <v>19477</v>
      </c>
      <c r="C13685" t="s">
        <v>138</v>
      </c>
      <c r="D13685" s="254">
        <v>40.590000000000003</v>
      </c>
      <c r="E13685"/>
      <c r="F13685"/>
      <c r="G13685"/>
      <c r="H13685"/>
      <c r="I13685" s="489"/>
      <c r="J13685" s="1362"/>
      <c r="K13685" s="1362"/>
      <c r="L13685" s="1362"/>
    </row>
    <row r="13686" spans="1:12" x14ac:dyDescent="0.25">
      <c r="A13686">
        <v>104001</v>
      </c>
      <c r="B13686" t="s">
        <v>19478</v>
      </c>
      <c r="C13686" t="s">
        <v>138</v>
      </c>
      <c r="D13686" s="254">
        <v>15.14</v>
      </c>
      <c r="E13686"/>
      <c r="F13686"/>
      <c r="G13686"/>
      <c r="H13686"/>
      <c r="I13686" s="489"/>
      <c r="J13686" s="1362"/>
      <c r="K13686" s="1362"/>
      <c r="L13686" s="1362"/>
    </row>
    <row r="13687" spans="1:12" x14ac:dyDescent="0.25">
      <c r="A13687">
        <v>104002</v>
      </c>
      <c r="B13687" t="s">
        <v>19479</v>
      </c>
      <c r="C13687" t="s">
        <v>138</v>
      </c>
      <c r="D13687" s="254">
        <v>19.41</v>
      </c>
      <c r="E13687"/>
      <c r="F13687"/>
      <c r="G13687"/>
      <c r="H13687"/>
      <c r="I13687" s="489"/>
      <c r="J13687" s="1362"/>
      <c r="K13687" s="1362"/>
      <c r="L13687" s="1362"/>
    </row>
    <row r="13688" spans="1:12" x14ac:dyDescent="0.25">
      <c r="A13688">
        <v>104003</v>
      </c>
      <c r="B13688" t="s">
        <v>19480</v>
      </c>
      <c r="C13688" t="s">
        <v>138</v>
      </c>
      <c r="D13688" s="254">
        <v>15.84</v>
      </c>
      <c r="E13688"/>
      <c r="F13688"/>
      <c r="G13688"/>
      <c r="H13688"/>
      <c r="I13688" s="489"/>
      <c r="J13688" s="1362"/>
      <c r="K13688" s="1362"/>
      <c r="L13688" s="1362"/>
    </row>
    <row r="13689" spans="1:12" x14ac:dyDescent="0.25">
      <c r="A13689">
        <v>104004</v>
      </c>
      <c r="B13689" t="s">
        <v>19481</v>
      </c>
      <c r="C13689" t="s">
        <v>138</v>
      </c>
      <c r="D13689" s="254">
        <v>33.31</v>
      </c>
      <c r="E13689"/>
      <c r="F13689"/>
      <c r="G13689"/>
      <c r="H13689"/>
      <c r="I13689" s="489"/>
      <c r="J13689" s="1362"/>
      <c r="K13689" s="1362"/>
      <c r="L13689" s="1362"/>
    </row>
    <row r="13690" spans="1:12" x14ac:dyDescent="0.25">
      <c r="A13690">
        <v>104005</v>
      </c>
      <c r="B13690" t="s">
        <v>19482</v>
      </c>
      <c r="C13690" t="s">
        <v>138</v>
      </c>
      <c r="D13690" s="254">
        <v>41.1</v>
      </c>
      <c r="E13690"/>
      <c r="F13690"/>
      <c r="G13690"/>
      <c r="H13690"/>
      <c r="I13690" s="489"/>
      <c r="J13690" s="1362"/>
      <c r="K13690" s="1362"/>
      <c r="L13690" s="1362"/>
    </row>
    <row r="13691" spans="1:12" x14ac:dyDescent="0.25">
      <c r="A13691">
        <v>104006</v>
      </c>
      <c r="B13691" t="s">
        <v>19483</v>
      </c>
      <c r="C13691" t="s">
        <v>138</v>
      </c>
      <c r="D13691" s="254">
        <v>26.55</v>
      </c>
      <c r="E13691"/>
      <c r="F13691"/>
      <c r="G13691"/>
      <c r="H13691"/>
      <c r="I13691" s="489"/>
      <c r="J13691" s="1362"/>
      <c r="K13691" s="1362"/>
      <c r="L13691" s="1362"/>
    </row>
    <row r="13692" spans="1:12" x14ac:dyDescent="0.25">
      <c r="A13692">
        <v>104007</v>
      </c>
      <c r="B13692" t="s">
        <v>19484</v>
      </c>
      <c r="C13692" t="s">
        <v>138</v>
      </c>
      <c r="D13692" s="254">
        <v>27.23</v>
      </c>
      <c r="E13692"/>
      <c r="F13692"/>
      <c r="G13692"/>
      <c r="H13692"/>
      <c r="I13692" s="489"/>
      <c r="J13692" s="1362"/>
      <c r="K13692" s="1362"/>
      <c r="L13692" s="1362"/>
    </row>
    <row r="13693" spans="1:12" x14ac:dyDescent="0.25">
      <c r="A13693">
        <v>104008</v>
      </c>
      <c r="B13693" t="s">
        <v>19485</v>
      </c>
      <c r="C13693" t="s">
        <v>138</v>
      </c>
      <c r="D13693" s="254">
        <v>35.57</v>
      </c>
      <c r="E13693"/>
      <c r="F13693"/>
      <c r="G13693"/>
      <c r="H13693"/>
      <c r="I13693" s="489"/>
      <c r="J13693" s="1362"/>
      <c r="K13693" s="1362"/>
      <c r="L13693" s="1362"/>
    </row>
    <row r="13694" spans="1:12" x14ac:dyDescent="0.25">
      <c r="A13694">
        <v>104009</v>
      </c>
      <c r="B13694" t="s">
        <v>19486</v>
      </c>
      <c r="C13694" t="s">
        <v>138</v>
      </c>
      <c r="D13694" s="254">
        <v>13.95</v>
      </c>
      <c r="E13694"/>
      <c r="F13694"/>
      <c r="G13694"/>
      <c r="H13694"/>
      <c r="I13694" s="489"/>
      <c r="J13694" s="1362"/>
      <c r="K13694" s="1362"/>
      <c r="L13694" s="1362"/>
    </row>
    <row r="13695" spans="1:12" x14ac:dyDescent="0.25">
      <c r="A13695">
        <v>104010</v>
      </c>
      <c r="B13695" t="s">
        <v>19487</v>
      </c>
      <c r="C13695" t="s">
        <v>138</v>
      </c>
      <c r="D13695" s="254">
        <v>13.34</v>
      </c>
      <c r="E13695"/>
      <c r="F13695"/>
      <c r="G13695"/>
      <c r="H13695"/>
      <c r="I13695" s="489"/>
      <c r="J13695" s="1362"/>
      <c r="K13695" s="1362"/>
      <c r="L13695" s="1362"/>
    </row>
    <row r="13696" spans="1:12" x14ac:dyDescent="0.25">
      <c r="A13696">
        <v>104011</v>
      </c>
      <c r="B13696" t="s">
        <v>19488</v>
      </c>
      <c r="C13696" t="s">
        <v>138</v>
      </c>
      <c r="D13696" s="254">
        <v>27.84</v>
      </c>
      <c r="E13696"/>
      <c r="F13696"/>
      <c r="G13696"/>
      <c r="H13696"/>
      <c r="I13696" s="489"/>
      <c r="J13696" s="1362"/>
      <c r="K13696" s="1362"/>
      <c r="L13696" s="1362"/>
    </row>
    <row r="13697" spans="1:12" x14ac:dyDescent="0.25">
      <c r="A13697">
        <v>104012</v>
      </c>
      <c r="B13697" t="s">
        <v>19489</v>
      </c>
      <c r="C13697" t="s">
        <v>138</v>
      </c>
      <c r="D13697" s="254">
        <v>27.78</v>
      </c>
      <c r="E13697"/>
      <c r="F13697"/>
      <c r="G13697"/>
      <c r="H13697"/>
      <c r="I13697" s="489"/>
      <c r="J13697" s="1362"/>
      <c r="K13697" s="1362"/>
      <c r="L13697" s="1362"/>
    </row>
    <row r="13698" spans="1:12" x14ac:dyDescent="0.25">
      <c r="A13698">
        <v>104013</v>
      </c>
      <c r="B13698" t="s">
        <v>19490</v>
      </c>
      <c r="C13698" t="s">
        <v>138</v>
      </c>
      <c r="D13698" s="254">
        <v>11.21</v>
      </c>
      <c r="E13698"/>
      <c r="F13698"/>
      <c r="G13698"/>
      <c r="H13698"/>
      <c r="I13698" s="489"/>
      <c r="J13698" s="1362"/>
      <c r="K13698" s="1362"/>
      <c r="L13698" s="1362"/>
    </row>
    <row r="13699" spans="1:12" x14ac:dyDescent="0.25">
      <c r="A13699">
        <v>104014</v>
      </c>
      <c r="B13699" t="s">
        <v>19491</v>
      </c>
      <c r="C13699" t="s">
        <v>138</v>
      </c>
      <c r="D13699" s="254">
        <v>12.14</v>
      </c>
      <c r="E13699"/>
      <c r="F13699"/>
      <c r="G13699"/>
      <c r="H13699"/>
      <c r="I13699" s="489"/>
      <c r="J13699" s="1362"/>
      <c r="K13699" s="1362"/>
      <c r="L13699" s="1362"/>
    </row>
    <row r="13700" spans="1:12" x14ac:dyDescent="0.25">
      <c r="A13700">
        <v>104015</v>
      </c>
      <c r="B13700" t="s">
        <v>19492</v>
      </c>
      <c r="C13700" t="s">
        <v>138</v>
      </c>
      <c r="D13700" s="254">
        <v>18.47</v>
      </c>
      <c r="E13700"/>
      <c r="F13700"/>
      <c r="G13700"/>
      <c r="H13700"/>
      <c r="I13700" s="489"/>
      <c r="J13700" s="1362"/>
      <c r="K13700" s="1362"/>
      <c r="L13700" s="1362"/>
    </row>
    <row r="13701" spans="1:12" x14ac:dyDescent="0.25">
      <c r="A13701">
        <v>104016</v>
      </c>
      <c r="B13701" t="s">
        <v>19493</v>
      </c>
      <c r="C13701" t="s">
        <v>138</v>
      </c>
      <c r="D13701" s="254">
        <v>24.98</v>
      </c>
      <c r="E13701"/>
      <c r="F13701"/>
      <c r="G13701"/>
      <c r="H13701"/>
      <c r="I13701" s="489"/>
      <c r="J13701" s="1362"/>
      <c r="K13701" s="1362"/>
      <c r="L13701" s="1362"/>
    </row>
    <row r="13702" spans="1:12" x14ac:dyDescent="0.25">
      <c r="A13702">
        <v>104017</v>
      </c>
      <c r="B13702" t="s">
        <v>19494</v>
      </c>
      <c r="C13702" t="s">
        <v>138</v>
      </c>
      <c r="D13702" s="254">
        <v>42.96</v>
      </c>
      <c r="E13702"/>
      <c r="F13702"/>
      <c r="G13702"/>
      <c r="H13702"/>
      <c r="I13702" s="489"/>
      <c r="J13702" s="1362"/>
      <c r="K13702" s="1362"/>
      <c r="L13702" s="1362"/>
    </row>
    <row r="13703" spans="1:12" x14ac:dyDescent="0.25">
      <c r="A13703">
        <v>104018</v>
      </c>
      <c r="B13703" t="s">
        <v>19494</v>
      </c>
      <c r="C13703" t="s">
        <v>138</v>
      </c>
      <c r="D13703" s="254">
        <v>23.86</v>
      </c>
      <c r="E13703"/>
      <c r="F13703"/>
      <c r="G13703"/>
      <c r="H13703"/>
      <c r="I13703" s="489"/>
      <c r="J13703" s="1362"/>
      <c r="K13703" s="1362"/>
      <c r="L13703" s="1362"/>
    </row>
    <row r="13704" spans="1:12" x14ac:dyDescent="0.25">
      <c r="A13704">
        <v>104019</v>
      </c>
      <c r="B13704" t="s">
        <v>19495</v>
      </c>
      <c r="C13704" t="s">
        <v>138</v>
      </c>
      <c r="D13704" s="254">
        <v>41.66</v>
      </c>
      <c r="E13704"/>
      <c r="F13704"/>
      <c r="G13704"/>
      <c r="H13704"/>
      <c r="I13704" s="489"/>
      <c r="J13704" s="1362"/>
      <c r="K13704" s="1362"/>
      <c r="L13704" s="1362"/>
    </row>
    <row r="13705" spans="1:12" x14ac:dyDescent="0.25">
      <c r="A13705">
        <v>104020</v>
      </c>
      <c r="B13705" t="s">
        <v>19496</v>
      </c>
      <c r="C13705" t="s">
        <v>138</v>
      </c>
      <c r="D13705" s="254">
        <v>51.38</v>
      </c>
      <c r="E13705"/>
      <c r="F13705"/>
      <c r="G13705"/>
      <c r="H13705"/>
      <c r="I13705" s="489"/>
      <c r="J13705" s="1362"/>
      <c r="K13705" s="1362"/>
      <c r="L13705" s="1362"/>
    </row>
    <row r="13706" spans="1:12" x14ac:dyDescent="0.25">
      <c r="A13706">
        <v>104022</v>
      </c>
      <c r="B13706" t="s">
        <v>19497</v>
      </c>
      <c r="C13706" t="s">
        <v>138</v>
      </c>
      <c r="D13706" s="254">
        <v>59.74</v>
      </c>
      <c r="E13706"/>
      <c r="F13706"/>
      <c r="G13706"/>
      <c r="H13706"/>
      <c r="I13706" s="489"/>
      <c r="J13706" s="1362"/>
      <c r="K13706" s="1362"/>
      <c r="L13706" s="1362"/>
    </row>
    <row r="13707" spans="1:12" x14ac:dyDescent="0.25">
      <c r="A13707">
        <v>104023</v>
      </c>
      <c r="B13707" t="s">
        <v>19498</v>
      </c>
      <c r="C13707" t="s">
        <v>138</v>
      </c>
      <c r="D13707" s="254">
        <v>38.94</v>
      </c>
      <c r="E13707"/>
      <c r="F13707"/>
      <c r="G13707"/>
      <c r="H13707"/>
      <c r="I13707" s="489"/>
      <c r="J13707" s="1362"/>
      <c r="K13707" s="1362"/>
      <c r="L13707" s="1362"/>
    </row>
    <row r="13708" spans="1:12" x14ac:dyDescent="0.25">
      <c r="A13708">
        <v>104024</v>
      </c>
      <c r="B13708" t="s">
        <v>19499</v>
      </c>
      <c r="C13708" t="s">
        <v>138</v>
      </c>
      <c r="D13708" s="254">
        <v>38.94</v>
      </c>
      <c r="E13708"/>
      <c r="F13708"/>
      <c r="G13708"/>
      <c r="H13708"/>
      <c r="I13708" s="489"/>
      <c r="J13708" s="1362"/>
      <c r="K13708" s="1362"/>
      <c r="L13708" s="1362"/>
    </row>
    <row r="13709" spans="1:12" x14ac:dyDescent="0.25">
      <c r="A13709">
        <v>104025</v>
      </c>
      <c r="B13709" t="s">
        <v>19500</v>
      </c>
      <c r="C13709" t="s">
        <v>138</v>
      </c>
      <c r="D13709" s="254">
        <v>25.17</v>
      </c>
      <c r="E13709"/>
      <c r="F13709"/>
      <c r="G13709"/>
      <c r="H13709"/>
      <c r="I13709" s="489"/>
      <c r="J13709" s="1362"/>
      <c r="K13709" s="1362"/>
      <c r="L13709" s="1362"/>
    </row>
    <row r="13710" spans="1:12" x14ac:dyDescent="0.25">
      <c r="A13710">
        <v>104026</v>
      </c>
      <c r="B13710" t="s">
        <v>19501</v>
      </c>
      <c r="C13710" t="s">
        <v>138</v>
      </c>
      <c r="D13710" s="254">
        <v>38.14</v>
      </c>
      <c r="E13710"/>
      <c r="F13710"/>
      <c r="G13710"/>
      <c r="H13710"/>
      <c r="I13710" s="489"/>
      <c r="J13710" s="1362"/>
      <c r="K13710" s="1362"/>
      <c r="L13710" s="1362"/>
    </row>
    <row r="13711" spans="1:12" x14ac:dyDescent="0.25">
      <c r="A13711">
        <v>104027</v>
      </c>
      <c r="B13711" t="s">
        <v>19502</v>
      </c>
      <c r="C13711" t="s">
        <v>138</v>
      </c>
      <c r="D13711" s="254">
        <v>54.14</v>
      </c>
      <c r="E13711"/>
      <c r="F13711"/>
      <c r="G13711"/>
      <c r="H13711"/>
      <c r="I13711" s="489"/>
      <c r="J13711" s="1362"/>
      <c r="K13711" s="1362"/>
      <c r="L13711" s="1362"/>
    </row>
    <row r="13712" spans="1:12" x14ac:dyDescent="0.25">
      <c r="A13712">
        <v>104028</v>
      </c>
      <c r="B13712" t="s">
        <v>19503</v>
      </c>
      <c r="C13712" t="s">
        <v>138</v>
      </c>
      <c r="D13712" s="254">
        <v>138.13999999999999</v>
      </c>
      <c r="E13712"/>
      <c r="F13712"/>
      <c r="G13712"/>
      <c r="H13712"/>
      <c r="I13712" s="489"/>
      <c r="J13712" s="1362"/>
      <c r="K13712" s="1362"/>
      <c r="L13712" s="1362"/>
    </row>
    <row r="13713" spans="1:12" x14ac:dyDescent="0.25">
      <c r="A13713">
        <v>104029</v>
      </c>
      <c r="B13713" t="s">
        <v>19504</v>
      </c>
      <c r="C13713" t="s">
        <v>138</v>
      </c>
      <c r="D13713" s="254">
        <v>163.88</v>
      </c>
      <c r="E13713"/>
      <c r="F13713"/>
      <c r="G13713"/>
      <c r="H13713"/>
      <c r="I13713" s="489"/>
      <c r="J13713" s="1362"/>
      <c r="K13713" s="1362"/>
      <c r="L13713" s="1362"/>
    </row>
    <row r="13714" spans="1:12" x14ac:dyDescent="0.25">
      <c r="A13714">
        <v>104030</v>
      </c>
      <c r="B13714" t="s">
        <v>19505</v>
      </c>
      <c r="C13714" t="s">
        <v>138</v>
      </c>
      <c r="D13714" s="254">
        <v>57.26</v>
      </c>
      <c r="E13714"/>
      <c r="F13714"/>
      <c r="G13714"/>
      <c r="H13714"/>
      <c r="I13714" s="489"/>
      <c r="J13714" s="1362"/>
      <c r="K13714" s="1362"/>
      <c r="L13714" s="1362"/>
    </row>
    <row r="13715" spans="1:12" x14ac:dyDescent="0.25">
      <c r="A13715">
        <v>104163</v>
      </c>
      <c r="B13715" t="s">
        <v>19506</v>
      </c>
      <c r="C13715" t="s">
        <v>138</v>
      </c>
      <c r="D13715" s="254">
        <v>38.76</v>
      </c>
      <c r="E13715"/>
      <c r="F13715"/>
      <c r="G13715"/>
      <c r="H13715"/>
      <c r="I13715" s="489"/>
      <c r="J13715" s="1362"/>
      <c r="K13715" s="1362"/>
      <c r="L13715" s="1362"/>
    </row>
    <row r="13716" spans="1:12" x14ac:dyDescent="0.25">
      <c r="A13716">
        <v>104164</v>
      </c>
      <c r="B13716" t="s">
        <v>19507</v>
      </c>
      <c r="C13716" t="s">
        <v>138</v>
      </c>
      <c r="D13716" s="254">
        <v>55.83</v>
      </c>
      <c r="E13716"/>
      <c r="F13716"/>
      <c r="G13716"/>
      <c r="H13716"/>
      <c r="I13716" s="489"/>
      <c r="J13716" s="1362"/>
      <c r="K13716" s="1362"/>
      <c r="L13716" s="1362"/>
    </row>
    <row r="13717" spans="1:12" x14ac:dyDescent="0.25">
      <c r="A13717">
        <v>104165</v>
      </c>
      <c r="B13717" t="s">
        <v>19508</v>
      </c>
      <c r="C13717" t="s">
        <v>138</v>
      </c>
      <c r="D13717" s="254">
        <v>82.28</v>
      </c>
      <c r="E13717"/>
      <c r="F13717"/>
      <c r="G13717"/>
      <c r="H13717"/>
      <c r="I13717" s="489"/>
      <c r="J13717" s="1362"/>
      <c r="K13717" s="1362"/>
      <c r="L13717" s="1362"/>
    </row>
    <row r="13718" spans="1:12" x14ac:dyDescent="0.25">
      <c r="A13718">
        <v>104167</v>
      </c>
      <c r="B13718" t="s">
        <v>19509</v>
      </c>
      <c r="C13718" t="s">
        <v>138</v>
      </c>
      <c r="D13718" s="254">
        <v>156.85</v>
      </c>
      <c r="E13718"/>
      <c r="F13718"/>
      <c r="G13718"/>
      <c r="H13718"/>
      <c r="I13718" s="489"/>
      <c r="J13718" s="1362"/>
      <c r="K13718" s="1362"/>
      <c r="L13718" s="1362"/>
    </row>
    <row r="13719" spans="1:12" x14ac:dyDescent="0.25">
      <c r="A13719">
        <v>104168</v>
      </c>
      <c r="B13719" t="s">
        <v>19510</v>
      </c>
      <c r="C13719" t="s">
        <v>138</v>
      </c>
      <c r="D13719" s="254">
        <v>131.79</v>
      </c>
      <c r="E13719"/>
      <c r="F13719"/>
      <c r="G13719"/>
      <c r="H13719"/>
      <c r="I13719" s="489"/>
      <c r="J13719" s="1362"/>
      <c r="K13719" s="1362"/>
      <c r="L13719" s="1362"/>
    </row>
    <row r="13720" spans="1:12" x14ac:dyDescent="0.25">
      <c r="A13720">
        <v>104169</v>
      </c>
      <c r="B13720" t="s">
        <v>19511</v>
      </c>
      <c r="C13720" t="s">
        <v>138</v>
      </c>
      <c r="D13720" s="254">
        <v>204.65</v>
      </c>
      <c r="E13720"/>
      <c r="F13720"/>
      <c r="G13720"/>
      <c r="H13720"/>
      <c r="I13720" s="489"/>
      <c r="J13720" s="1362"/>
      <c r="K13720" s="1362"/>
      <c r="L13720" s="1362"/>
    </row>
    <row r="13721" spans="1:12" x14ac:dyDescent="0.25">
      <c r="A13721">
        <v>104170</v>
      </c>
      <c r="B13721" t="s">
        <v>19512</v>
      </c>
      <c r="C13721" t="s">
        <v>138</v>
      </c>
      <c r="D13721" s="254">
        <v>77.680000000000007</v>
      </c>
      <c r="E13721"/>
      <c r="F13721"/>
      <c r="G13721"/>
      <c r="H13721"/>
      <c r="I13721" s="489"/>
      <c r="J13721" s="1362"/>
      <c r="K13721" s="1362"/>
      <c r="L13721" s="1362"/>
    </row>
    <row r="13722" spans="1:12" x14ac:dyDescent="0.25">
      <c r="A13722">
        <v>104171</v>
      </c>
      <c r="B13722" t="s">
        <v>19513</v>
      </c>
      <c r="C13722" t="s">
        <v>138</v>
      </c>
      <c r="D13722" s="254">
        <v>110.24</v>
      </c>
      <c r="E13722"/>
      <c r="F13722"/>
      <c r="G13722"/>
      <c r="H13722"/>
      <c r="I13722" s="489"/>
      <c r="J13722" s="1362"/>
      <c r="K13722" s="1362"/>
      <c r="L13722" s="1362"/>
    </row>
    <row r="13723" spans="1:12" x14ac:dyDescent="0.25">
      <c r="A13723">
        <v>104172</v>
      </c>
      <c r="B13723" t="s">
        <v>19514</v>
      </c>
      <c r="C13723" t="s">
        <v>138</v>
      </c>
      <c r="D13723" s="254">
        <v>308.27999999999997</v>
      </c>
      <c r="E13723"/>
      <c r="F13723"/>
      <c r="G13723"/>
      <c r="H13723"/>
      <c r="I13723" s="489"/>
      <c r="J13723" s="1362"/>
      <c r="K13723" s="1362"/>
      <c r="L13723" s="1362"/>
    </row>
    <row r="13724" spans="1:12" x14ac:dyDescent="0.25">
      <c r="A13724">
        <v>104173</v>
      </c>
      <c r="B13724" t="s">
        <v>19515</v>
      </c>
      <c r="C13724" t="s">
        <v>138</v>
      </c>
      <c r="D13724" s="254">
        <v>83.46</v>
      </c>
      <c r="E13724"/>
      <c r="F13724"/>
      <c r="G13724"/>
      <c r="H13724"/>
      <c r="I13724" s="489"/>
      <c r="J13724" s="1362"/>
      <c r="K13724" s="1362"/>
      <c r="L13724" s="1362"/>
    </row>
    <row r="13725" spans="1:12" x14ac:dyDescent="0.25">
      <c r="A13725">
        <v>104174</v>
      </c>
      <c r="B13725" t="s">
        <v>19516</v>
      </c>
      <c r="C13725" t="s">
        <v>138</v>
      </c>
      <c r="D13725" s="254">
        <v>221.7</v>
      </c>
      <c r="E13725"/>
      <c r="F13725"/>
      <c r="G13725"/>
      <c r="H13725"/>
      <c r="I13725" s="489"/>
      <c r="J13725" s="1362"/>
      <c r="K13725" s="1362"/>
      <c r="L13725" s="1362"/>
    </row>
    <row r="13726" spans="1:12" x14ac:dyDescent="0.25">
      <c r="A13726">
        <v>104175</v>
      </c>
      <c r="B13726" t="s">
        <v>19517</v>
      </c>
      <c r="C13726" t="s">
        <v>138</v>
      </c>
      <c r="D13726" s="254">
        <v>145.47999999999999</v>
      </c>
      <c r="E13726"/>
      <c r="F13726"/>
      <c r="G13726"/>
      <c r="H13726"/>
      <c r="I13726" s="489"/>
      <c r="J13726" s="1362"/>
      <c r="K13726" s="1362"/>
      <c r="L13726" s="1362"/>
    </row>
    <row r="13727" spans="1:12" x14ac:dyDescent="0.25">
      <c r="A13727">
        <v>104176</v>
      </c>
      <c r="B13727" t="s">
        <v>19518</v>
      </c>
      <c r="C13727" t="s">
        <v>138</v>
      </c>
      <c r="D13727" s="254">
        <v>254.88</v>
      </c>
      <c r="E13727"/>
      <c r="F13727"/>
      <c r="G13727"/>
      <c r="H13727"/>
      <c r="I13727" s="489"/>
      <c r="J13727" s="1362"/>
      <c r="K13727" s="1362"/>
      <c r="L13727" s="1362"/>
    </row>
    <row r="13728" spans="1:12" x14ac:dyDescent="0.25">
      <c r="A13728">
        <v>104177</v>
      </c>
      <c r="B13728" t="s">
        <v>19519</v>
      </c>
      <c r="C13728" t="s">
        <v>138</v>
      </c>
      <c r="D13728" s="254">
        <v>201.72</v>
      </c>
      <c r="E13728"/>
      <c r="F13728"/>
      <c r="G13728"/>
      <c r="H13728"/>
      <c r="I13728" s="489"/>
      <c r="J13728" s="1362"/>
      <c r="K13728" s="1362"/>
      <c r="L13728" s="1362"/>
    </row>
    <row r="13729" spans="1:12" x14ac:dyDescent="0.25">
      <c r="A13729">
        <v>104178</v>
      </c>
      <c r="B13729" t="s">
        <v>19520</v>
      </c>
      <c r="C13729" t="s">
        <v>138</v>
      </c>
      <c r="D13729" s="254">
        <v>25.6</v>
      </c>
      <c r="E13729"/>
      <c r="F13729"/>
      <c r="G13729"/>
      <c r="H13729"/>
      <c r="I13729" s="489"/>
      <c r="J13729" s="1362"/>
      <c r="K13729" s="1362"/>
      <c r="L13729" s="1362"/>
    </row>
    <row r="13730" spans="1:12" x14ac:dyDescent="0.25">
      <c r="A13730">
        <v>104179</v>
      </c>
      <c r="B13730" t="s">
        <v>19521</v>
      </c>
      <c r="C13730" t="s">
        <v>138</v>
      </c>
      <c r="D13730" s="254">
        <v>89.78</v>
      </c>
      <c r="E13730"/>
      <c r="F13730"/>
      <c r="G13730"/>
      <c r="H13730"/>
      <c r="I13730" s="489"/>
      <c r="J13730" s="1362"/>
      <c r="K13730" s="1362"/>
      <c r="L13730" s="1362"/>
    </row>
    <row r="13731" spans="1:12" x14ac:dyDescent="0.25">
      <c r="A13731">
        <v>104191</v>
      </c>
      <c r="B13731" t="s">
        <v>19522</v>
      </c>
      <c r="C13731" t="s">
        <v>138</v>
      </c>
      <c r="D13731" s="254">
        <v>8.83</v>
      </c>
      <c r="E13731"/>
      <c r="F13731"/>
      <c r="G13731"/>
      <c r="H13731"/>
      <c r="I13731" s="489"/>
      <c r="J13731" s="1362"/>
      <c r="K13731" s="1362"/>
      <c r="L13731" s="1362"/>
    </row>
    <row r="13732" spans="1:12" x14ac:dyDescent="0.25">
      <c r="A13732">
        <v>104192</v>
      </c>
      <c r="B13732" t="s">
        <v>19523</v>
      </c>
      <c r="C13732" t="s">
        <v>138</v>
      </c>
      <c r="D13732" s="254">
        <v>19.41</v>
      </c>
      <c r="E13732"/>
      <c r="F13732"/>
      <c r="G13732"/>
      <c r="H13732"/>
      <c r="I13732" s="489"/>
      <c r="J13732" s="1362"/>
      <c r="K13732" s="1362"/>
      <c r="L13732" s="1362"/>
    </row>
    <row r="13733" spans="1:12" x14ac:dyDescent="0.25">
      <c r="A13733">
        <v>104193</v>
      </c>
      <c r="B13733" t="s">
        <v>19524</v>
      </c>
      <c r="C13733" t="s">
        <v>138</v>
      </c>
      <c r="D13733" s="254">
        <v>171.91</v>
      </c>
      <c r="E13733"/>
      <c r="F13733"/>
      <c r="G13733"/>
      <c r="H13733"/>
      <c r="I13733" s="489"/>
      <c r="J13733" s="1362"/>
      <c r="K13733" s="1362"/>
      <c r="L13733" s="1362"/>
    </row>
    <row r="13734" spans="1:12" x14ac:dyDescent="0.25">
      <c r="A13734">
        <v>104196</v>
      </c>
      <c r="B13734" t="s">
        <v>19525</v>
      </c>
      <c r="C13734" t="s">
        <v>138</v>
      </c>
      <c r="D13734" s="254">
        <v>13.12</v>
      </c>
      <c r="E13734"/>
      <c r="F13734"/>
      <c r="G13734"/>
      <c r="H13734"/>
      <c r="I13734" s="489"/>
      <c r="J13734" s="1362"/>
      <c r="K13734" s="1362"/>
      <c r="L13734" s="1362"/>
    </row>
    <row r="13735" spans="1:12" x14ac:dyDescent="0.25">
      <c r="A13735">
        <v>104197</v>
      </c>
      <c r="B13735" t="s">
        <v>19526</v>
      </c>
      <c r="C13735" t="s">
        <v>138</v>
      </c>
      <c r="D13735" s="254">
        <v>26.05</v>
      </c>
      <c r="E13735"/>
      <c r="F13735"/>
      <c r="G13735"/>
      <c r="H13735"/>
      <c r="I13735" s="489"/>
      <c r="J13735" s="1362"/>
      <c r="K13735" s="1362"/>
      <c r="L13735" s="1362"/>
    </row>
    <row r="13736" spans="1:12" x14ac:dyDescent="0.25">
      <c r="A13736">
        <v>104198</v>
      </c>
      <c r="B13736" t="s">
        <v>19527</v>
      </c>
      <c r="C13736" t="s">
        <v>138</v>
      </c>
      <c r="D13736" s="254">
        <v>7.48</v>
      </c>
      <c r="E13736"/>
      <c r="F13736"/>
      <c r="G13736"/>
      <c r="H13736"/>
      <c r="I13736" s="489"/>
      <c r="J13736" s="1362"/>
      <c r="K13736" s="1362"/>
      <c r="L13736" s="1362"/>
    </row>
    <row r="13737" spans="1:12" x14ac:dyDescent="0.25">
      <c r="A13737">
        <v>104199</v>
      </c>
      <c r="B13737" t="s">
        <v>19528</v>
      </c>
      <c r="C13737" t="s">
        <v>138</v>
      </c>
      <c r="D13737" s="254">
        <v>7.82</v>
      </c>
      <c r="E13737"/>
      <c r="F13737"/>
      <c r="G13737"/>
      <c r="H13737"/>
      <c r="I13737" s="489"/>
      <c r="J13737" s="1362"/>
      <c r="K13737" s="1362"/>
      <c r="L13737" s="1362"/>
    </row>
    <row r="13738" spans="1:12" x14ac:dyDescent="0.25">
      <c r="A13738">
        <v>104200</v>
      </c>
      <c r="B13738" t="s">
        <v>19529</v>
      </c>
      <c r="C13738" t="s">
        <v>138</v>
      </c>
      <c r="D13738" s="254">
        <v>5.56</v>
      </c>
      <c r="E13738"/>
      <c r="F13738"/>
      <c r="G13738"/>
      <c r="H13738"/>
      <c r="I13738" s="489"/>
      <c r="J13738" s="1362"/>
      <c r="K13738" s="1362"/>
      <c r="L13738" s="1362"/>
    </row>
    <row r="13739" spans="1:12" x14ac:dyDescent="0.25">
      <c r="A13739">
        <v>104201</v>
      </c>
      <c r="B13739" t="s">
        <v>19530</v>
      </c>
      <c r="C13739" t="s">
        <v>138</v>
      </c>
      <c r="D13739" s="254">
        <v>14.73</v>
      </c>
      <c r="E13739"/>
      <c r="F13739"/>
      <c r="G13739"/>
      <c r="H13739"/>
      <c r="I13739" s="489"/>
      <c r="J13739" s="1362"/>
      <c r="K13739" s="1362"/>
      <c r="L13739" s="1362"/>
    </row>
    <row r="13740" spans="1:12" x14ac:dyDescent="0.25">
      <c r="A13740">
        <v>104202</v>
      </c>
      <c r="B13740" t="s">
        <v>19531</v>
      </c>
      <c r="C13740" t="s">
        <v>138</v>
      </c>
      <c r="D13740" s="254">
        <v>10.41</v>
      </c>
      <c r="E13740"/>
      <c r="F13740"/>
      <c r="G13740"/>
      <c r="H13740"/>
      <c r="I13740" s="489"/>
      <c r="J13740" s="1362"/>
      <c r="K13740" s="1362"/>
      <c r="L13740" s="1362"/>
    </row>
    <row r="13741" spans="1:12" x14ac:dyDescent="0.25">
      <c r="A13741">
        <v>104317</v>
      </c>
      <c r="B13741" t="s">
        <v>19532</v>
      </c>
      <c r="C13741" t="s">
        <v>138</v>
      </c>
      <c r="D13741" s="254">
        <v>7.03</v>
      </c>
      <c r="E13741"/>
      <c r="F13741"/>
      <c r="G13741"/>
      <c r="H13741"/>
      <c r="I13741" s="489"/>
      <c r="J13741" s="1362"/>
      <c r="K13741" s="1362"/>
      <c r="L13741" s="1362"/>
    </row>
    <row r="13742" spans="1:12" x14ac:dyDescent="0.25">
      <c r="A13742">
        <v>104318</v>
      </c>
      <c r="B13742" t="s">
        <v>19533</v>
      </c>
      <c r="C13742" t="s">
        <v>138</v>
      </c>
      <c r="D13742" s="254">
        <v>7.48</v>
      </c>
      <c r="E13742"/>
      <c r="F13742"/>
      <c r="G13742"/>
      <c r="H13742"/>
      <c r="I13742" s="489"/>
      <c r="J13742" s="1362"/>
      <c r="K13742" s="1362"/>
      <c r="L13742" s="1362"/>
    </row>
    <row r="13743" spans="1:12" x14ac:dyDescent="0.25">
      <c r="A13743">
        <v>104319</v>
      </c>
      <c r="B13743" t="s">
        <v>19534</v>
      </c>
      <c r="C13743" t="s">
        <v>138</v>
      </c>
      <c r="D13743" s="254">
        <v>10.49</v>
      </c>
      <c r="E13743"/>
      <c r="F13743"/>
      <c r="G13743"/>
      <c r="H13743"/>
      <c r="I13743" s="489"/>
      <c r="J13743" s="1362"/>
      <c r="K13743" s="1362"/>
      <c r="L13743" s="1362"/>
    </row>
    <row r="13744" spans="1:12" x14ac:dyDescent="0.25">
      <c r="A13744">
        <v>104320</v>
      </c>
      <c r="B13744" t="s">
        <v>19535</v>
      </c>
      <c r="C13744" t="s">
        <v>138</v>
      </c>
      <c r="D13744" s="254">
        <v>13.2</v>
      </c>
      <c r="E13744"/>
      <c r="F13744"/>
      <c r="G13744"/>
      <c r="H13744"/>
      <c r="I13744" s="489"/>
      <c r="J13744" s="1362"/>
      <c r="K13744" s="1362"/>
      <c r="L13744" s="1362"/>
    </row>
    <row r="13745" spans="1:12" x14ac:dyDescent="0.25">
      <c r="A13745">
        <v>104321</v>
      </c>
      <c r="B13745" t="s">
        <v>19536</v>
      </c>
      <c r="C13745" t="s">
        <v>138</v>
      </c>
      <c r="D13745" s="254">
        <v>5.36</v>
      </c>
      <c r="E13745"/>
      <c r="F13745"/>
      <c r="G13745"/>
      <c r="H13745"/>
      <c r="I13745" s="489"/>
      <c r="J13745" s="1362"/>
      <c r="K13745" s="1362"/>
      <c r="L13745" s="1362"/>
    </row>
    <row r="13746" spans="1:12" x14ac:dyDescent="0.25">
      <c r="A13746">
        <v>104322</v>
      </c>
      <c r="B13746" t="s">
        <v>19537</v>
      </c>
      <c r="C13746" t="s">
        <v>138</v>
      </c>
      <c r="D13746" s="254">
        <v>8.11</v>
      </c>
      <c r="E13746"/>
      <c r="F13746"/>
      <c r="G13746"/>
      <c r="H13746"/>
      <c r="I13746" s="489"/>
      <c r="J13746" s="1362"/>
      <c r="K13746" s="1362"/>
      <c r="L13746" s="1362"/>
    </row>
    <row r="13747" spans="1:12" x14ac:dyDescent="0.25">
      <c r="A13747">
        <v>104323</v>
      </c>
      <c r="B13747" t="s">
        <v>19538</v>
      </c>
      <c r="C13747" t="s">
        <v>138</v>
      </c>
      <c r="D13747" s="254">
        <v>9.83</v>
      </c>
      <c r="E13747"/>
      <c r="F13747"/>
      <c r="G13747"/>
      <c r="H13747"/>
      <c r="I13747" s="489"/>
      <c r="J13747" s="1362"/>
      <c r="K13747" s="1362"/>
      <c r="L13747" s="1362"/>
    </row>
    <row r="13748" spans="1:12" x14ac:dyDescent="0.25">
      <c r="A13748">
        <v>104324</v>
      </c>
      <c r="B13748" t="s">
        <v>19539</v>
      </c>
      <c r="C13748" t="s">
        <v>138</v>
      </c>
      <c r="D13748" s="254">
        <v>15.79</v>
      </c>
      <c r="E13748"/>
      <c r="F13748"/>
      <c r="G13748"/>
      <c r="H13748"/>
      <c r="I13748" s="489"/>
      <c r="J13748" s="1362"/>
      <c r="K13748" s="1362"/>
      <c r="L13748" s="1362"/>
    </row>
    <row r="13749" spans="1:12" x14ac:dyDescent="0.25">
      <c r="A13749">
        <v>104331</v>
      </c>
      <c r="B13749" t="s">
        <v>19540</v>
      </c>
      <c r="C13749" t="s">
        <v>138</v>
      </c>
      <c r="D13749" s="254">
        <v>24.49</v>
      </c>
      <c r="E13749"/>
      <c r="F13749"/>
      <c r="G13749"/>
      <c r="H13749"/>
      <c r="I13749" s="489"/>
      <c r="J13749" s="1362"/>
      <c r="K13749" s="1362"/>
      <c r="L13749" s="1362"/>
    </row>
    <row r="13750" spans="1:12" x14ac:dyDescent="0.25">
      <c r="A13750">
        <v>104332</v>
      </c>
      <c r="B13750" t="s">
        <v>19541</v>
      </c>
      <c r="C13750" t="s">
        <v>138</v>
      </c>
      <c r="D13750" s="254">
        <v>56.18</v>
      </c>
      <c r="E13750"/>
      <c r="F13750"/>
      <c r="G13750"/>
      <c r="H13750"/>
      <c r="I13750" s="489"/>
      <c r="J13750" s="1362"/>
      <c r="K13750" s="1362"/>
      <c r="L13750" s="1362"/>
    </row>
    <row r="13751" spans="1:12" x14ac:dyDescent="0.25">
      <c r="A13751">
        <v>104333</v>
      </c>
      <c r="B13751" t="s">
        <v>19542</v>
      </c>
      <c r="C13751" t="s">
        <v>138</v>
      </c>
      <c r="D13751" s="254">
        <v>68.19</v>
      </c>
      <c r="E13751"/>
      <c r="F13751"/>
      <c r="G13751"/>
      <c r="H13751"/>
      <c r="I13751" s="489"/>
      <c r="J13751" s="1362"/>
      <c r="K13751" s="1362"/>
      <c r="L13751" s="1362"/>
    </row>
    <row r="13752" spans="1:12" x14ac:dyDescent="0.25">
      <c r="A13752">
        <v>104334</v>
      </c>
      <c r="B13752" t="s">
        <v>19543</v>
      </c>
      <c r="C13752" t="s">
        <v>138</v>
      </c>
      <c r="D13752" s="254">
        <v>48.52</v>
      </c>
      <c r="E13752"/>
      <c r="F13752"/>
      <c r="G13752"/>
      <c r="H13752"/>
      <c r="I13752" s="489"/>
      <c r="J13752" s="1362"/>
      <c r="K13752" s="1362"/>
      <c r="L13752" s="1362"/>
    </row>
    <row r="13753" spans="1:12" x14ac:dyDescent="0.25">
      <c r="A13753">
        <v>104335</v>
      </c>
      <c r="B13753" t="s">
        <v>19544</v>
      </c>
      <c r="C13753" t="s">
        <v>138</v>
      </c>
      <c r="D13753" s="254">
        <v>19.11</v>
      </c>
      <c r="E13753"/>
      <c r="F13753"/>
      <c r="G13753"/>
      <c r="H13753"/>
      <c r="I13753" s="489"/>
      <c r="J13753" s="1362"/>
      <c r="K13753" s="1362"/>
      <c r="L13753" s="1362"/>
    </row>
    <row r="13754" spans="1:12" x14ac:dyDescent="0.25">
      <c r="A13754">
        <v>104336</v>
      </c>
      <c r="B13754" t="s">
        <v>19545</v>
      </c>
      <c r="C13754" t="s">
        <v>138</v>
      </c>
      <c r="D13754" s="254">
        <v>54.12</v>
      </c>
      <c r="E13754"/>
      <c r="F13754"/>
      <c r="G13754"/>
      <c r="H13754"/>
      <c r="I13754" s="489"/>
      <c r="J13754" s="1362"/>
      <c r="K13754" s="1362"/>
      <c r="L13754" s="1362"/>
    </row>
    <row r="13755" spans="1:12" x14ac:dyDescent="0.25">
      <c r="A13755">
        <v>104337</v>
      </c>
      <c r="B13755" t="s">
        <v>19546</v>
      </c>
      <c r="C13755" t="s">
        <v>138</v>
      </c>
      <c r="D13755" s="254">
        <v>69.47</v>
      </c>
      <c r="E13755"/>
      <c r="F13755"/>
      <c r="G13755"/>
      <c r="H13755"/>
      <c r="I13755" s="489"/>
      <c r="J13755" s="1362"/>
      <c r="K13755" s="1362"/>
      <c r="L13755" s="1362"/>
    </row>
    <row r="13756" spans="1:12" x14ac:dyDescent="0.25">
      <c r="A13756">
        <v>104338</v>
      </c>
      <c r="B13756" t="s">
        <v>19547</v>
      </c>
      <c r="C13756" t="s">
        <v>138</v>
      </c>
      <c r="D13756" s="254">
        <v>49.8</v>
      </c>
      <c r="E13756"/>
      <c r="F13756"/>
      <c r="G13756"/>
      <c r="H13756"/>
      <c r="I13756" s="489"/>
      <c r="J13756" s="1362"/>
      <c r="K13756" s="1362"/>
      <c r="L13756" s="1362"/>
    </row>
    <row r="13757" spans="1:12" x14ac:dyDescent="0.25">
      <c r="A13757">
        <v>104339</v>
      </c>
      <c r="B13757" t="s">
        <v>19548</v>
      </c>
      <c r="C13757" t="s">
        <v>138</v>
      </c>
      <c r="D13757" s="254">
        <v>72.58</v>
      </c>
      <c r="E13757"/>
      <c r="F13757"/>
      <c r="G13757"/>
      <c r="H13757"/>
      <c r="I13757" s="489"/>
      <c r="J13757" s="1362"/>
      <c r="K13757" s="1362"/>
      <c r="L13757" s="1362"/>
    </row>
    <row r="13758" spans="1:12" x14ac:dyDescent="0.25">
      <c r="A13758">
        <v>104340</v>
      </c>
      <c r="B13758" t="s">
        <v>19549</v>
      </c>
      <c r="C13758" t="s">
        <v>138</v>
      </c>
      <c r="D13758" s="254">
        <v>52.91</v>
      </c>
      <c r="E13758"/>
      <c r="F13758"/>
      <c r="G13758"/>
      <c r="H13758"/>
      <c r="I13758" s="489"/>
      <c r="J13758" s="1362"/>
      <c r="K13758" s="1362"/>
      <c r="L13758" s="1362"/>
    </row>
    <row r="13759" spans="1:12" x14ac:dyDescent="0.25">
      <c r="A13759">
        <v>104341</v>
      </c>
      <c r="B13759" t="s">
        <v>19550</v>
      </c>
      <c r="C13759" t="s">
        <v>138</v>
      </c>
      <c r="D13759" s="254">
        <v>10.6</v>
      </c>
      <c r="E13759"/>
      <c r="F13759"/>
      <c r="G13759"/>
      <c r="H13759"/>
      <c r="I13759" s="489"/>
      <c r="J13759" s="1362"/>
      <c r="K13759" s="1362"/>
      <c r="L13759" s="1362"/>
    </row>
    <row r="13760" spans="1:12" x14ac:dyDescent="0.25">
      <c r="A13760">
        <v>104342</v>
      </c>
      <c r="B13760" t="s">
        <v>19551</v>
      </c>
      <c r="C13760" t="s">
        <v>138</v>
      </c>
      <c r="D13760" s="254">
        <v>36</v>
      </c>
      <c r="E13760"/>
      <c r="F13760"/>
      <c r="G13760"/>
      <c r="H13760"/>
      <c r="I13760" s="489"/>
      <c r="J13760" s="1362"/>
      <c r="K13760" s="1362"/>
      <c r="L13760" s="1362"/>
    </row>
    <row r="13761" spans="1:12" x14ac:dyDescent="0.25">
      <c r="A13761">
        <v>104343</v>
      </c>
      <c r="B13761" t="s">
        <v>19552</v>
      </c>
      <c r="C13761" t="s">
        <v>138</v>
      </c>
      <c r="D13761" s="254">
        <v>33.840000000000003</v>
      </c>
      <c r="E13761"/>
      <c r="F13761"/>
      <c r="G13761"/>
      <c r="H13761"/>
      <c r="I13761" s="489"/>
      <c r="J13761" s="1362"/>
      <c r="K13761" s="1362"/>
      <c r="L13761" s="1362"/>
    </row>
    <row r="13762" spans="1:12" x14ac:dyDescent="0.25">
      <c r="A13762">
        <v>104344</v>
      </c>
      <c r="B13762" t="s">
        <v>19553</v>
      </c>
      <c r="C13762" t="s">
        <v>138</v>
      </c>
      <c r="D13762" s="254">
        <v>41.02</v>
      </c>
      <c r="E13762"/>
      <c r="F13762"/>
      <c r="G13762"/>
      <c r="H13762"/>
      <c r="I13762" s="489"/>
      <c r="J13762" s="1362"/>
      <c r="K13762" s="1362"/>
      <c r="L13762" s="1362"/>
    </row>
    <row r="13763" spans="1:12" x14ac:dyDescent="0.25">
      <c r="A13763">
        <v>104345</v>
      </c>
      <c r="B13763" t="s">
        <v>19554</v>
      </c>
      <c r="C13763" t="s">
        <v>138</v>
      </c>
      <c r="D13763" s="254">
        <v>43.37</v>
      </c>
      <c r="E13763"/>
      <c r="F13763"/>
      <c r="G13763"/>
      <c r="H13763"/>
      <c r="I13763" s="489"/>
      <c r="J13763" s="1362"/>
      <c r="K13763" s="1362"/>
      <c r="L13763" s="1362"/>
    </row>
    <row r="13764" spans="1:12" x14ac:dyDescent="0.25">
      <c r="A13764">
        <v>104346</v>
      </c>
      <c r="B13764" t="s">
        <v>19555</v>
      </c>
      <c r="C13764" t="s">
        <v>138</v>
      </c>
      <c r="D13764" s="254">
        <v>43.63</v>
      </c>
      <c r="E13764"/>
      <c r="F13764"/>
      <c r="G13764"/>
      <c r="H13764"/>
      <c r="I13764" s="489"/>
      <c r="J13764" s="1362"/>
      <c r="K13764" s="1362"/>
      <c r="L13764" s="1362"/>
    </row>
    <row r="13765" spans="1:12" x14ac:dyDescent="0.25">
      <c r="A13765">
        <v>104347</v>
      </c>
      <c r="B13765" t="s">
        <v>19556</v>
      </c>
      <c r="C13765" t="s">
        <v>138</v>
      </c>
      <c r="D13765" s="254">
        <v>56.45</v>
      </c>
      <c r="E13765"/>
      <c r="F13765"/>
      <c r="G13765"/>
      <c r="H13765"/>
      <c r="I13765" s="489"/>
      <c r="J13765" s="1362"/>
      <c r="K13765" s="1362"/>
      <c r="L13765" s="1362"/>
    </row>
    <row r="13766" spans="1:12" x14ac:dyDescent="0.25">
      <c r="A13766">
        <v>104348</v>
      </c>
      <c r="B13766" t="s">
        <v>19557</v>
      </c>
      <c r="C13766" t="s">
        <v>138</v>
      </c>
      <c r="D13766" s="254">
        <v>9.4499999999999993</v>
      </c>
      <c r="E13766"/>
      <c r="F13766"/>
      <c r="G13766"/>
      <c r="H13766"/>
      <c r="I13766" s="489"/>
      <c r="J13766" s="1362"/>
      <c r="K13766" s="1362"/>
      <c r="L13766" s="1362"/>
    </row>
    <row r="13767" spans="1:12" x14ac:dyDescent="0.25">
      <c r="A13767">
        <v>104349</v>
      </c>
      <c r="B13767" t="s">
        <v>19558</v>
      </c>
      <c r="C13767" t="s">
        <v>138</v>
      </c>
      <c r="D13767" s="254">
        <v>31.78</v>
      </c>
      <c r="E13767"/>
      <c r="F13767"/>
      <c r="G13767"/>
      <c r="H13767"/>
      <c r="I13767" s="489"/>
      <c r="J13767" s="1362"/>
      <c r="K13767" s="1362"/>
      <c r="L13767" s="1362"/>
    </row>
    <row r="13768" spans="1:12" x14ac:dyDescent="0.25">
      <c r="A13768">
        <v>104350</v>
      </c>
      <c r="B13768" t="s">
        <v>19559</v>
      </c>
      <c r="C13768" t="s">
        <v>138</v>
      </c>
      <c r="D13768" s="254">
        <v>29.62</v>
      </c>
      <c r="E13768"/>
      <c r="F13768"/>
      <c r="G13768"/>
      <c r="H13768"/>
      <c r="I13768" s="489"/>
      <c r="J13768" s="1362"/>
      <c r="K13768" s="1362"/>
      <c r="L13768" s="1362"/>
    </row>
    <row r="13769" spans="1:12" x14ac:dyDescent="0.25">
      <c r="A13769">
        <v>104351</v>
      </c>
      <c r="B13769" t="s">
        <v>19560</v>
      </c>
      <c r="C13769" t="s">
        <v>138</v>
      </c>
      <c r="D13769" s="254">
        <v>17.91</v>
      </c>
      <c r="E13769"/>
      <c r="F13769"/>
      <c r="G13769"/>
      <c r="H13769"/>
      <c r="I13769" s="489"/>
      <c r="J13769" s="1362"/>
      <c r="K13769" s="1362"/>
      <c r="L13769" s="1362"/>
    </row>
    <row r="13770" spans="1:12" x14ac:dyDescent="0.25">
      <c r="A13770">
        <v>104352</v>
      </c>
      <c r="B13770" t="s">
        <v>19561</v>
      </c>
      <c r="C13770" t="s">
        <v>138</v>
      </c>
      <c r="D13770" s="254">
        <v>39.76</v>
      </c>
      <c r="E13770"/>
      <c r="F13770"/>
      <c r="G13770"/>
      <c r="H13770"/>
      <c r="I13770" s="489"/>
      <c r="J13770" s="1362"/>
      <c r="K13770" s="1362"/>
      <c r="L13770" s="1362"/>
    </row>
    <row r="13771" spans="1:12" x14ac:dyDescent="0.25">
      <c r="A13771">
        <v>104353</v>
      </c>
      <c r="B13771" t="s">
        <v>19562</v>
      </c>
      <c r="C13771" t="s">
        <v>138</v>
      </c>
      <c r="D13771" s="254">
        <v>42.11</v>
      </c>
      <c r="E13771"/>
      <c r="F13771"/>
      <c r="G13771"/>
      <c r="H13771"/>
      <c r="I13771" s="489"/>
      <c r="J13771" s="1362"/>
      <c r="K13771" s="1362"/>
      <c r="L13771" s="1362"/>
    </row>
    <row r="13772" spans="1:12" x14ac:dyDescent="0.25">
      <c r="A13772">
        <v>104354</v>
      </c>
      <c r="B13772" t="s">
        <v>19563</v>
      </c>
      <c r="C13772" t="s">
        <v>138</v>
      </c>
      <c r="D13772" s="254">
        <v>43.85</v>
      </c>
      <c r="E13772"/>
      <c r="F13772"/>
      <c r="G13772"/>
      <c r="H13772"/>
      <c r="I13772" s="489"/>
      <c r="J13772" s="1362"/>
      <c r="K13772" s="1362"/>
      <c r="L13772" s="1362"/>
    </row>
    <row r="13773" spans="1:12" x14ac:dyDescent="0.25">
      <c r="A13773">
        <v>104355</v>
      </c>
      <c r="B13773" t="s">
        <v>19564</v>
      </c>
      <c r="C13773" t="s">
        <v>138</v>
      </c>
      <c r="D13773" s="254">
        <v>56.67</v>
      </c>
      <c r="E13773"/>
      <c r="F13773"/>
      <c r="G13773"/>
      <c r="H13773"/>
      <c r="I13773" s="489"/>
      <c r="J13773" s="1362"/>
      <c r="K13773" s="1362"/>
      <c r="L13773" s="1362"/>
    </row>
    <row r="13774" spans="1:12" x14ac:dyDescent="0.25">
      <c r="A13774">
        <v>104356</v>
      </c>
      <c r="B13774" t="s">
        <v>19565</v>
      </c>
      <c r="C13774" t="s">
        <v>138</v>
      </c>
      <c r="D13774" s="254">
        <v>27.85</v>
      </c>
      <c r="E13774"/>
      <c r="F13774"/>
      <c r="G13774"/>
      <c r="H13774"/>
      <c r="I13774" s="489"/>
      <c r="J13774" s="1362"/>
      <c r="K13774" s="1362"/>
      <c r="L13774" s="1362"/>
    </row>
    <row r="13775" spans="1:12" x14ac:dyDescent="0.25">
      <c r="A13775">
        <v>104357</v>
      </c>
      <c r="B13775" t="s">
        <v>19566</v>
      </c>
      <c r="C13775" t="s">
        <v>138</v>
      </c>
      <c r="D13775" s="254">
        <v>19.510000000000002</v>
      </c>
      <c r="E13775"/>
      <c r="F13775"/>
      <c r="G13775"/>
      <c r="H13775"/>
      <c r="I13775" s="489"/>
      <c r="J13775" s="1362"/>
      <c r="K13775" s="1362"/>
      <c r="L13775" s="1362"/>
    </row>
    <row r="13776" spans="1:12" x14ac:dyDescent="0.25">
      <c r="A13776">
        <v>97895</v>
      </c>
      <c r="B13776" t="s">
        <v>5851</v>
      </c>
      <c r="C13776" t="s">
        <v>138</v>
      </c>
      <c r="D13776" s="254">
        <v>169.71</v>
      </c>
      <c r="E13776"/>
      <c r="F13776"/>
      <c r="G13776"/>
      <c r="H13776"/>
      <c r="I13776" s="489"/>
      <c r="J13776" s="1362"/>
      <c r="K13776" s="1362"/>
      <c r="L13776" s="1362"/>
    </row>
    <row r="13777" spans="1:12" x14ac:dyDescent="0.25">
      <c r="A13777">
        <v>97896</v>
      </c>
      <c r="B13777" t="s">
        <v>5852</v>
      </c>
      <c r="C13777" t="s">
        <v>138</v>
      </c>
      <c r="D13777" s="254">
        <v>314.27999999999997</v>
      </c>
      <c r="E13777"/>
      <c r="F13777"/>
      <c r="G13777"/>
      <c r="H13777"/>
      <c r="I13777" s="489"/>
      <c r="J13777" s="1362"/>
      <c r="K13777" s="1362"/>
      <c r="L13777" s="1362"/>
    </row>
    <row r="13778" spans="1:12" x14ac:dyDescent="0.25">
      <c r="A13778">
        <v>97897</v>
      </c>
      <c r="B13778" t="s">
        <v>5853</v>
      </c>
      <c r="C13778" t="s">
        <v>138</v>
      </c>
      <c r="D13778" s="254">
        <v>408.69</v>
      </c>
      <c r="E13778"/>
      <c r="F13778"/>
      <c r="G13778"/>
      <c r="H13778"/>
      <c r="I13778" s="489"/>
      <c r="J13778" s="1362"/>
      <c r="K13778" s="1362"/>
      <c r="L13778" s="1362"/>
    </row>
    <row r="13779" spans="1:12" x14ac:dyDescent="0.25">
      <c r="A13779">
        <v>97898</v>
      </c>
      <c r="B13779" t="s">
        <v>5854</v>
      </c>
      <c r="C13779" t="s">
        <v>138</v>
      </c>
      <c r="D13779" s="254">
        <v>806.75</v>
      </c>
      <c r="E13779"/>
      <c r="F13779"/>
      <c r="G13779"/>
      <c r="H13779"/>
      <c r="I13779" s="489"/>
      <c r="J13779" s="1362"/>
      <c r="K13779" s="1362"/>
      <c r="L13779" s="1362"/>
    </row>
    <row r="13780" spans="1:12" x14ac:dyDescent="0.25">
      <c r="A13780">
        <v>97900</v>
      </c>
      <c r="B13780" t="s">
        <v>5855</v>
      </c>
      <c r="C13780" t="s">
        <v>138</v>
      </c>
      <c r="D13780" s="254">
        <v>207.97</v>
      </c>
      <c r="E13780"/>
      <c r="F13780"/>
      <c r="G13780"/>
      <c r="H13780"/>
      <c r="I13780" s="489"/>
      <c r="J13780" s="1362"/>
      <c r="K13780" s="1362"/>
      <c r="L13780" s="1362"/>
    </row>
    <row r="13781" spans="1:12" x14ac:dyDescent="0.25">
      <c r="A13781">
        <v>97901</v>
      </c>
      <c r="B13781" t="s">
        <v>5856</v>
      </c>
      <c r="C13781" t="s">
        <v>138</v>
      </c>
      <c r="D13781" s="254">
        <v>326.79000000000002</v>
      </c>
      <c r="E13781"/>
      <c r="F13781"/>
      <c r="G13781"/>
      <c r="H13781"/>
      <c r="I13781" s="489"/>
      <c r="J13781" s="1362"/>
      <c r="K13781" s="1362"/>
      <c r="L13781" s="1362"/>
    </row>
    <row r="13782" spans="1:12" x14ac:dyDescent="0.25">
      <c r="A13782">
        <v>97902</v>
      </c>
      <c r="B13782" t="s">
        <v>5857</v>
      </c>
      <c r="C13782" t="s">
        <v>138</v>
      </c>
      <c r="D13782" s="254">
        <v>636.96</v>
      </c>
      <c r="E13782"/>
      <c r="F13782"/>
      <c r="G13782"/>
      <c r="H13782"/>
      <c r="I13782" s="489"/>
      <c r="J13782" s="1362"/>
      <c r="K13782" s="1362"/>
      <c r="L13782" s="1362"/>
    </row>
    <row r="13783" spans="1:12" x14ac:dyDescent="0.25">
      <c r="A13783">
        <v>97903</v>
      </c>
      <c r="B13783" t="s">
        <v>5858</v>
      </c>
      <c r="C13783" t="s">
        <v>138</v>
      </c>
      <c r="D13783" s="254">
        <v>881.17</v>
      </c>
      <c r="E13783"/>
      <c r="F13783"/>
      <c r="G13783"/>
      <c r="H13783"/>
      <c r="I13783" s="489"/>
      <c r="J13783" s="1362"/>
      <c r="K13783" s="1362"/>
      <c r="L13783" s="1362"/>
    </row>
    <row r="13784" spans="1:12" x14ac:dyDescent="0.25">
      <c r="A13784">
        <v>97904</v>
      </c>
      <c r="B13784" t="s">
        <v>5859</v>
      </c>
      <c r="C13784" t="s">
        <v>138</v>
      </c>
      <c r="D13784" s="254">
        <v>1036.97</v>
      </c>
      <c r="E13784"/>
      <c r="F13784"/>
      <c r="G13784"/>
      <c r="H13784"/>
      <c r="I13784" s="489"/>
      <c r="J13784" s="1362"/>
      <c r="K13784" s="1362"/>
      <c r="L13784" s="1362"/>
    </row>
    <row r="13785" spans="1:12" x14ac:dyDescent="0.25">
      <c r="A13785">
        <v>97905</v>
      </c>
      <c r="B13785" t="s">
        <v>5860</v>
      </c>
      <c r="C13785" t="s">
        <v>138</v>
      </c>
      <c r="D13785" s="254">
        <v>251.71</v>
      </c>
      <c r="E13785"/>
      <c r="F13785"/>
      <c r="G13785"/>
      <c r="H13785"/>
      <c r="I13785" s="489"/>
      <c r="J13785" s="1362"/>
      <c r="K13785" s="1362"/>
      <c r="L13785" s="1362"/>
    </row>
    <row r="13786" spans="1:12" x14ac:dyDescent="0.25">
      <c r="A13786">
        <v>97906</v>
      </c>
      <c r="B13786" t="s">
        <v>5861</v>
      </c>
      <c r="C13786" t="s">
        <v>138</v>
      </c>
      <c r="D13786" s="254">
        <v>466.03</v>
      </c>
      <c r="E13786"/>
      <c r="F13786"/>
      <c r="G13786"/>
      <c r="H13786"/>
      <c r="I13786" s="489"/>
      <c r="J13786" s="1362"/>
      <c r="K13786" s="1362"/>
      <c r="L13786" s="1362"/>
    </row>
    <row r="13787" spans="1:12" x14ac:dyDescent="0.25">
      <c r="A13787">
        <v>97907</v>
      </c>
      <c r="B13787" t="s">
        <v>5862</v>
      </c>
      <c r="C13787" t="s">
        <v>138</v>
      </c>
      <c r="D13787" s="254">
        <v>663.04</v>
      </c>
      <c r="E13787"/>
      <c r="F13787"/>
      <c r="G13787"/>
      <c r="H13787"/>
      <c r="I13787" s="489"/>
      <c r="J13787" s="1362"/>
      <c r="K13787" s="1362"/>
      <c r="L13787" s="1362"/>
    </row>
    <row r="13788" spans="1:12" x14ac:dyDescent="0.25">
      <c r="A13788">
        <v>97908</v>
      </c>
      <c r="B13788" t="s">
        <v>5863</v>
      </c>
      <c r="C13788" t="s">
        <v>138</v>
      </c>
      <c r="D13788" s="254">
        <v>778.87</v>
      </c>
      <c r="E13788"/>
      <c r="F13788"/>
      <c r="G13788"/>
      <c r="H13788"/>
      <c r="I13788" s="489"/>
      <c r="J13788" s="1362"/>
      <c r="K13788" s="1362"/>
      <c r="L13788" s="1362"/>
    </row>
    <row r="13789" spans="1:12" x14ac:dyDescent="0.25">
      <c r="A13789">
        <v>98102</v>
      </c>
      <c r="B13789" t="s">
        <v>5864</v>
      </c>
      <c r="C13789" t="s">
        <v>138</v>
      </c>
      <c r="D13789" s="254">
        <v>161.68</v>
      </c>
      <c r="E13789"/>
      <c r="F13789"/>
      <c r="G13789"/>
      <c r="H13789"/>
      <c r="I13789" s="489"/>
      <c r="J13789" s="1362"/>
      <c r="K13789" s="1362"/>
      <c r="L13789" s="1362"/>
    </row>
    <row r="13790" spans="1:12" x14ac:dyDescent="0.25">
      <c r="A13790">
        <v>98104</v>
      </c>
      <c r="B13790" t="s">
        <v>5865</v>
      </c>
      <c r="C13790" t="s">
        <v>138</v>
      </c>
      <c r="D13790" s="254">
        <v>417.22</v>
      </c>
      <c r="E13790"/>
      <c r="F13790"/>
      <c r="G13790"/>
      <c r="H13790"/>
      <c r="I13790" s="489"/>
      <c r="J13790" s="1362"/>
      <c r="K13790" s="1362"/>
      <c r="L13790" s="1362"/>
    </row>
    <row r="13791" spans="1:12" x14ac:dyDescent="0.25">
      <c r="A13791">
        <v>98105</v>
      </c>
      <c r="B13791" t="s">
        <v>5866</v>
      </c>
      <c r="C13791" t="s">
        <v>138</v>
      </c>
      <c r="D13791" s="254">
        <v>722.05</v>
      </c>
      <c r="E13791"/>
      <c r="F13791"/>
      <c r="G13791"/>
      <c r="H13791"/>
      <c r="I13791" s="489"/>
      <c r="J13791" s="1362"/>
      <c r="K13791" s="1362"/>
      <c r="L13791" s="1362"/>
    </row>
    <row r="13792" spans="1:12" x14ac:dyDescent="0.25">
      <c r="A13792">
        <v>98106</v>
      </c>
      <c r="B13792" t="s">
        <v>5867</v>
      </c>
      <c r="C13792" t="s">
        <v>138</v>
      </c>
      <c r="D13792" s="254">
        <v>1193.97</v>
      </c>
      <c r="E13792"/>
      <c r="F13792"/>
      <c r="G13792"/>
      <c r="H13792"/>
      <c r="I13792" s="489"/>
      <c r="J13792" s="1362"/>
      <c r="K13792" s="1362"/>
      <c r="L13792" s="1362"/>
    </row>
    <row r="13793" spans="1:12" x14ac:dyDescent="0.25">
      <c r="A13793">
        <v>98107</v>
      </c>
      <c r="B13793" t="s">
        <v>5868</v>
      </c>
      <c r="C13793" t="s">
        <v>138</v>
      </c>
      <c r="D13793" s="254">
        <v>284.77999999999997</v>
      </c>
      <c r="E13793"/>
      <c r="F13793"/>
      <c r="G13793"/>
      <c r="H13793"/>
      <c r="I13793" s="489"/>
      <c r="J13793" s="1362"/>
      <c r="K13793" s="1362"/>
      <c r="L13793" s="1362"/>
    </row>
    <row r="13794" spans="1:12" x14ac:dyDescent="0.25">
      <c r="A13794">
        <v>98108</v>
      </c>
      <c r="B13794" t="s">
        <v>5869</v>
      </c>
      <c r="C13794" t="s">
        <v>138</v>
      </c>
      <c r="D13794" s="254">
        <v>508.29</v>
      </c>
      <c r="E13794"/>
      <c r="F13794"/>
      <c r="G13794"/>
      <c r="H13794"/>
      <c r="I13794" s="489"/>
      <c r="J13794" s="1362"/>
      <c r="K13794" s="1362"/>
      <c r="L13794" s="1362"/>
    </row>
    <row r="13795" spans="1:12" x14ac:dyDescent="0.25">
      <c r="A13795">
        <v>99250</v>
      </c>
      <c r="B13795" t="s">
        <v>5870</v>
      </c>
      <c r="C13795" t="s">
        <v>138</v>
      </c>
      <c r="D13795" s="254">
        <v>203.81</v>
      </c>
      <c r="E13795"/>
      <c r="F13795"/>
      <c r="G13795"/>
      <c r="H13795"/>
      <c r="I13795" s="489"/>
      <c r="J13795" s="1362"/>
      <c r="K13795" s="1362"/>
      <c r="L13795" s="1362"/>
    </row>
    <row r="13796" spans="1:12" x14ac:dyDescent="0.25">
      <c r="A13796">
        <v>99251</v>
      </c>
      <c r="B13796" t="s">
        <v>5871</v>
      </c>
      <c r="C13796" t="s">
        <v>138</v>
      </c>
      <c r="D13796" s="254">
        <v>319.64</v>
      </c>
      <c r="E13796"/>
      <c r="F13796"/>
      <c r="G13796"/>
      <c r="H13796"/>
      <c r="I13796" s="489"/>
      <c r="J13796" s="1362"/>
      <c r="K13796" s="1362"/>
      <c r="L13796" s="1362"/>
    </row>
    <row r="13797" spans="1:12" x14ac:dyDescent="0.25">
      <c r="A13797">
        <v>99253</v>
      </c>
      <c r="B13797" t="s">
        <v>5872</v>
      </c>
      <c r="C13797" t="s">
        <v>138</v>
      </c>
      <c r="D13797" s="254">
        <v>620.91999999999996</v>
      </c>
      <c r="E13797"/>
      <c r="F13797"/>
      <c r="G13797"/>
      <c r="H13797"/>
      <c r="I13797" s="489"/>
      <c r="J13797" s="1362"/>
      <c r="K13797" s="1362"/>
      <c r="L13797" s="1362"/>
    </row>
    <row r="13798" spans="1:12" x14ac:dyDescent="0.25">
      <c r="A13798">
        <v>99255</v>
      </c>
      <c r="B13798" t="s">
        <v>5873</v>
      </c>
      <c r="C13798" t="s">
        <v>138</v>
      </c>
      <c r="D13798" s="254">
        <v>859.18</v>
      </c>
      <c r="E13798"/>
      <c r="F13798"/>
      <c r="G13798"/>
      <c r="H13798"/>
      <c r="I13798" s="489"/>
      <c r="J13798" s="1362"/>
      <c r="K13798" s="1362"/>
      <c r="L13798" s="1362"/>
    </row>
    <row r="13799" spans="1:12" x14ac:dyDescent="0.25">
      <c r="A13799">
        <v>99257</v>
      </c>
      <c r="B13799" t="s">
        <v>5874</v>
      </c>
      <c r="C13799" t="s">
        <v>138</v>
      </c>
      <c r="D13799" s="254">
        <v>1008.53</v>
      </c>
      <c r="E13799"/>
      <c r="F13799"/>
      <c r="G13799"/>
      <c r="H13799"/>
      <c r="I13799" s="489"/>
      <c r="J13799" s="1362"/>
      <c r="K13799" s="1362"/>
      <c r="L13799" s="1362"/>
    </row>
    <row r="13800" spans="1:12" x14ac:dyDescent="0.25">
      <c r="A13800">
        <v>99258</v>
      </c>
      <c r="B13800" t="s">
        <v>5875</v>
      </c>
      <c r="C13800" t="s">
        <v>138</v>
      </c>
      <c r="D13800" s="254">
        <v>247.17</v>
      </c>
      <c r="E13800"/>
      <c r="F13800"/>
      <c r="G13800"/>
      <c r="H13800"/>
      <c r="I13800" s="489"/>
      <c r="J13800" s="1362"/>
      <c r="K13800" s="1362"/>
      <c r="L13800" s="1362"/>
    </row>
    <row r="13801" spans="1:12" x14ac:dyDescent="0.25">
      <c r="A13801">
        <v>99260</v>
      </c>
      <c r="B13801" t="s">
        <v>5876</v>
      </c>
      <c r="C13801" t="s">
        <v>138</v>
      </c>
      <c r="D13801" s="254">
        <v>455.93</v>
      </c>
      <c r="E13801"/>
      <c r="F13801"/>
      <c r="G13801"/>
      <c r="H13801"/>
      <c r="I13801" s="489"/>
      <c r="J13801" s="1362"/>
      <c r="K13801" s="1362"/>
      <c r="L13801" s="1362"/>
    </row>
    <row r="13802" spans="1:12" x14ac:dyDescent="0.25">
      <c r="A13802">
        <v>99262</v>
      </c>
      <c r="B13802" t="s">
        <v>5877</v>
      </c>
      <c r="C13802" t="s">
        <v>138</v>
      </c>
      <c r="D13802" s="254">
        <v>648.63</v>
      </c>
      <c r="E13802"/>
      <c r="F13802"/>
      <c r="G13802"/>
      <c r="H13802"/>
      <c r="I13802" s="489"/>
      <c r="J13802" s="1362"/>
      <c r="K13802" s="1362"/>
      <c r="L13802" s="1362"/>
    </row>
    <row r="13803" spans="1:12" x14ac:dyDescent="0.25">
      <c r="A13803">
        <v>99264</v>
      </c>
      <c r="B13803" t="s">
        <v>5878</v>
      </c>
      <c r="C13803" t="s">
        <v>138</v>
      </c>
      <c r="D13803" s="254">
        <v>759.4</v>
      </c>
      <c r="E13803"/>
      <c r="F13803"/>
      <c r="G13803"/>
      <c r="H13803"/>
      <c r="I13803" s="489"/>
      <c r="J13803" s="1362"/>
      <c r="K13803" s="1362"/>
      <c r="L13803" s="1362"/>
    </row>
    <row r="13804" spans="1:12" x14ac:dyDescent="0.25">
      <c r="A13804">
        <v>102587</v>
      </c>
      <c r="B13804" t="s">
        <v>6207</v>
      </c>
      <c r="C13804" t="s">
        <v>138</v>
      </c>
      <c r="D13804" s="254">
        <v>3.62</v>
      </c>
      <c r="E13804"/>
      <c r="F13804"/>
      <c r="G13804"/>
      <c r="H13804"/>
      <c r="I13804" s="489"/>
      <c r="J13804" s="1362"/>
      <c r="K13804" s="1362"/>
      <c r="L13804" s="1362"/>
    </row>
    <row r="13805" spans="1:12" x14ac:dyDescent="0.25">
      <c r="A13805">
        <v>102588</v>
      </c>
      <c r="B13805" t="s">
        <v>6208</v>
      </c>
      <c r="C13805" t="s">
        <v>138</v>
      </c>
      <c r="D13805" s="254">
        <v>5.25</v>
      </c>
      <c r="E13805"/>
      <c r="F13805"/>
      <c r="G13805"/>
      <c r="H13805"/>
      <c r="I13805" s="489"/>
      <c r="J13805" s="1362"/>
      <c r="K13805" s="1362"/>
      <c r="L13805" s="1362"/>
    </row>
    <row r="13806" spans="1:12" x14ac:dyDescent="0.25">
      <c r="A13806">
        <v>102589</v>
      </c>
      <c r="B13806" t="s">
        <v>6209</v>
      </c>
      <c r="C13806" t="s">
        <v>138</v>
      </c>
      <c r="D13806" s="254">
        <v>4.0199999999999996</v>
      </c>
      <c r="E13806"/>
      <c r="F13806"/>
      <c r="G13806"/>
      <c r="H13806"/>
      <c r="I13806" s="489"/>
      <c r="J13806" s="1362"/>
      <c r="K13806" s="1362"/>
      <c r="L13806" s="1362"/>
    </row>
    <row r="13807" spans="1:12" x14ac:dyDescent="0.25">
      <c r="A13807">
        <v>102590</v>
      </c>
      <c r="B13807" t="s">
        <v>6210</v>
      </c>
      <c r="C13807" t="s">
        <v>138</v>
      </c>
      <c r="D13807" s="254">
        <v>5.65</v>
      </c>
      <c r="E13807"/>
      <c r="F13807"/>
      <c r="G13807"/>
      <c r="H13807"/>
      <c r="I13807" s="489"/>
      <c r="J13807" s="1362"/>
      <c r="K13807" s="1362"/>
      <c r="L13807" s="1362"/>
    </row>
    <row r="13808" spans="1:12" x14ac:dyDescent="0.25">
      <c r="A13808">
        <v>102591</v>
      </c>
      <c r="B13808" t="s">
        <v>6211</v>
      </c>
      <c r="C13808" t="s">
        <v>138</v>
      </c>
      <c r="D13808" s="254">
        <v>4.4400000000000004</v>
      </c>
      <c r="E13808"/>
      <c r="F13808"/>
      <c r="G13808"/>
      <c r="H13808"/>
      <c r="I13808" s="489"/>
      <c r="J13808" s="1362"/>
      <c r="K13808" s="1362"/>
      <c r="L13808" s="1362"/>
    </row>
    <row r="13809" spans="1:12" x14ac:dyDescent="0.25">
      <c r="A13809">
        <v>102592</v>
      </c>
      <c r="B13809" t="s">
        <v>6212</v>
      </c>
      <c r="C13809" t="s">
        <v>138</v>
      </c>
      <c r="D13809" s="254">
        <v>6.06</v>
      </c>
      <c r="E13809"/>
      <c r="F13809"/>
      <c r="G13809"/>
      <c r="H13809"/>
      <c r="I13809" s="489"/>
      <c r="J13809" s="1362"/>
      <c r="K13809" s="1362"/>
      <c r="L13809" s="1362"/>
    </row>
    <row r="13810" spans="1:12" x14ac:dyDescent="0.25">
      <c r="A13810">
        <v>102593</v>
      </c>
      <c r="B13810" t="s">
        <v>6213</v>
      </c>
      <c r="C13810" t="s">
        <v>138</v>
      </c>
      <c r="D13810" s="254">
        <v>5.01</v>
      </c>
      <c r="E13810"/>
      <c r="F13810"/>
      <c r="G13810"/>
      <c r="H13810"/>
      <c r="I13810" s="489"/>
      <c r="J13810" s="1362"/>
      <c r="K13810" s="1362"/>
      <c r="L13810" s="1362"/>
    </row>
    <row r="13811" spans="1:12" x14ac:dyDescent="0.25">
      <c r="A13811">
        <v>102594</v>
      </c>
      <c r="B13811" t="s">
        <v>6214</v>
      </c>
      <c r="C13811" t="s">
        <v>138</v>
      </c>
      <c r="D13811" s="254">
        <v>6.63</v>
      </c>
      <c r="E13811"/>
      <c r="F13811"/>
      <c r="G13811"/>
      <c r="H13811"/>
      <c r="I13811" s="489"/>
      <c r="J13811" s="1362"/>
      <c r="K13811" s="1362"/>
      <c r="L13811" s="1362"/>
    </row>
    <row r="13812" spans="1:12" x14ac:dyDescent="0.25">
      <c r="A13812">
        <v>102595</v>
      </c>
      <c r="B13812" t="s">
        <v>6215</v>
      </c>
      <c r="C13812" t="s">
        <v>138</v>
      </c>
      <c r="D13812" s="254">
        <v>5.67</v>
      </c>
      <c r="E13812"/>
      <c r="F13812"/>
      <c r="G13812"/>
      <c r="H13812"/>
      <c r="I13812" s="489"/>
      <c r="J13812" s="1362"/>
      <c r="K13812" s="1362"/>
      <c r="L13812" s="1362"/>
    </row>
    <row r="13813" spans="1:12" x14ac:dyDescent="0.25">
      <c r="A13813">
        <v>102596</v>
      </c>
      <c r="B13813" t="s">
        <v>6216</v>
      </c>
      <c r="C13813" t="s">
        <v>138</v>
      </c>
      <c r="D13813" s="254">
        <v>7.29</v>
      </c>
      <c r="E13813"/>
      <c r="F13813"/>
      <c r="G13813"/>
      <c r="H13813"/>
      <c r="I13813" s="489"/>
      <c r="J13813" s="1362"/>
      <c r="K13813" s="1362"/>
      <c r="L13813" s="1362"/>
    </row>
    <row r="13814" spans="1:12" x14ac:dyDescent="0.25">
      <c r="A13814">
        <v>102597</v>
      </c>
      <c r="B13814" t="s">
        <v>6217</v>
      </c>
      <c r="C13814" t="s">
        <v>138</v>
      </c>
      <c r="D13814" s="254">
        <v>6.48</v>
      </c>
      <c r="E13814"/>
      <c r="F13814"/>
      <c r="G13814"/>
      <c r="H13814"/>
      <c r="I13814" s="489"/>
      <c r="J13814" s="1362"/>
      <c r="K13814" s="1362"/>
      <c r="L13814" s="1362"/>
    </row>
    <row r="13815" spans="1:12" x14ac:dyDescent="0.25">
      <c r="A13815">
        <v>102598</v>
      </c>
      <c r="B13815" t="s">
        <v>6218</v>
      </c>
      <c r="C13815" t="s">
        <v>138</v>
      </c>
      <c r="D13815" s="254">
        <v>8.11</v>
      </c>
      <c r="E13815"/>
      <c r="F13815"/>
      <c r="G13815"/>
      <c r="H13815"/>
      <c r="I13815" s="489"/>
      <c r="J13815" s="1362"/>
      <c r="K13815" s="1362"/>
      <c r="L13815" s="1362"/>
    </row>
    <row r="13816" spans="1:12" x14ac:dyDescent="0.25">
      <c r="A13816">
        <v>102599</v>
      </c>
      <c r="B13816" t="s">
        <v>6219</v>
      </c>
      <c r="C13816" t="s">
        <v>138</v>
      </c>
      <c r="D13816" s="254">
        <v>7.3</v>
      </c>
      <c r="E13816"/>
      <c r="F13816"/>
      <c r="G13816"/>
      <c r="H13816"/>
      <c r="I13816" s="489"/>
      <c r="J13816" s="1362"/>
      <c r="K13816" s="1362"/>
      <c r="L13816" s="1362"/>
    </row>
    <row r="13817" spans="1:12" x14ac:dyDescent="0.25">
      <c r="A13817">
        <v>102600</v>
      </c>
      <c r="B13817" t="s">
        <v>6220</v>
      </c>
      <c r="C13817" t="s">
        <v>138</v>
      </c>
      <c r="D13817" s="254">
        <v>8.92</v>
      </c>
      <c r="E13817"/>
      <c r="F13817"/>
      <c r="G13817"/>
      <c r="H13817"/>
      <c r="I13817" s="489"/>
      <c r="J13817" s="1362"/>
      <c r="K13817" s="1362"/>
      <c r="L13817" s="1362"/>
    </row>
    <row r="13818" spans="1:12" x14ac:dyDescent="0.25">
      <c r="A13818">
        <v>102601</v>
      </c>
      <c r="B13818" t="s">
        <v>6221</v>
      </c>
      <c r="C13818" t="s">
        <v>138</v>
      </c>
      <c r="D13818" s="254">
        <v>8.5299999999999994</v>
      </c>
      <c r="E13818"/>
      <c r="F13818"/>
      <c r="G13818"/>
      <c r="H13818"/>
      <c r="I13818" s="489"/>
      <c r="J13818" s="1362"/>
      <c r="K13818" s="1362"/>
      <c r="L13818" s="1362"/>
    </row>
    <row r="13819" spans="1:12" x14ac:dyDescent="0.25">
      <c r="A13819">
        <v>102602</v>
      </c>
      <c r="B13819" t="s">
        <v>6222</v>
      </c>
      <c r="C13819" t="s">
        <v>138</v>
      </c>
      <c r="D13819" s="254">
        <v>10.15</v>
      </c>
      <c r="E13819"/>
      <c r="F13819"/>
      <c r="G13819"/>
      <c r="H13819"/>
      <c r="I13819" s="489"/>
      <c r="J13819" s="1362"/>
      <c r="K13819" s="1362"/>
      <c r="L13819" s="1362"/>
    </row>
    <row r="13820" spans="1:12" x14ac:dyDescent="0.25">
      <c r="A13820">
        <v>102603</v>
      </c>
      <c r="B13820" t="s">
        <v>6223</v>
      </c>
      <c r="C13820" t="s">
        <v>138</v>
      </c>
      <c r="D13820" s="254">
        <v>10.57</v>
      </c>
      <c r="E13820"/>
      <c r="F13820"/>
      <c r="G13820"/>
      <c r="H13820"/>
      <c r="I13820" s="489"/>
      <c r="J13820" s="1362"/>
      <c r="K13820" s="1362"/>
      <c r="L13820" s="1362"/>
    </row>
    <row r="13821" spans="1:12" x14ac:dyDescent="0.25">
      <c r="A13821">
        <v>102604</v>
      </c>
      <c r="B13821" t="s">
        <v>6224</v>
      </c>
      <c r="C13821" t="s">
        <v>138</v>
      </c>
      <c r="D13821" s="254">
        <v>12.19</v>
      </c>
      <c r="E13821"/>
      <c r="F13821"/>
      <c r="G13821"/>
      <c r="H13821"/>
      <c r="I13821" s="489"/>
      <c r="J13821" s="1362"/>
      <c r="K13821" s="1362"/>
      <c r="L13821" s="1362"/>
    </row>
    <row r="13822" spans="1:12" x14ac:dyDescent="0.25">
      <c r="A13822">
        <v>102605</v>
      </c>
      <c r="B13822" t="s">
        <v>6225</v>
      </c>
      <c r="C13822" t="s">
        <v>138</v>
      </c>
      <c r="D13822" s="254">
        <v>234.82</v>
      </c>
      <c r="E13822"/>
      <c r="F13822"/>
      <c r="G13822"/>
      <c r="H13822"/>
      <c r="I13822" s="489"/>
      <c r="J13822" s="1362"/>
      <c r="K13822" s="1362"/>
      <c r="L13822" s="1362"/>
    </row>
    <row r="13823" spans="1:12" x14ac:dyDescent="0.25">
      <c r="A13823">
        <v>102606</v>
      </c>
      <c r="B13823" t="s">
        <v>6226</v>
      </c>
      <c r="C13823" t="s">
        <v>138</v>
      </c>
      <c r="D13823" s="254">
        <v>400.06</v>
      </c>
      <c r="E13823"/>
      <c r="F13823"/>
      <c r="G13823"/>
      <c r="H13823"/>
      <c r="I13823" s="489"/>
      <c r="J13823" s="1362"/>
      <c r="K13823" s="1362"/>
      <c r="L13823" s="1362"/>
    </row>
    <row r="13824" spans="1:12" x14ac:dyDescent="0.25">
      <c r="A13824">
        <v>102607</v>
      </c>
      <c r="B13824" t="s">
        <v>6227</v>
      </c>
      <c r="C13824" t="s">
        <v>138</v>
      </c>
      <c r="D13824" s="254">
        <v>407.33</v>
      </c>
      <c r="E13824"/>
      <c r="F13824"/>
      <c r="G13824"/>
      <c r="H13824"/>
      <c r="I13824" s="489"/>
      <c r="J13824" s="1362"/>
      <c r="K13824" s="1362"/>
      <c r="L13824" s="1362"/>
    </row>
    <row r="13825" spans="1:12" x14ac:dyDescent="0.25">
      <c r="A13825">
        <v>102608</v>
      </c>
      <c r="B13825" t="s">
        <v>6228</v>
      </c>
      <c r="C13825" t="s">
        <v>138</v>
      </c>
      <c r="D13825" s="254">
        <v>821.79</v>
      </c>
      <c r="E13825"/>
      <c r="F13825"/>
      <c r="G13825"/>
      <c r="H13825"/>
      <c r="I13825" s="489"/>
      <c r="J13825" s="1362"/>
      <c r="K13825" s="1362"/>
      <c r="L13825" s="1362"/>
    </row>
    <row r="13826" spans="1:12" x14ac:dyDescent="0.25">
      <c r="A13826">
        <v>102609</v>
      </c>
      <c r="B13826" t="s">
        <v>6229</v>
      </c>
      <c r="C13826" t="s">
        <v>138</v>
      </c>
      <c r="D13826" s="254">
        <v>925.32</v>
      </c>
      <c r="E13826"/>
      <c r="F13826"/>
      <c r="G13826"/>
      <c r="H13826"/>
      <c r="I13826" s="489"/>
      <c r="J13826" s="1362"/>
      <c r="K13826" s="1362"/>
      <c r="L13826" s="1362"/>
    </row>
    <row r="13827" spans="1:12" x14ac:dyDescent="0.25">
      <c r="A13827">
        <v>102611</v>
      </c>
      <c r="B13827" t="s">
        <v>6230</v>
      </c>
      <c r="C13827" t="s">
        <v>138</v>
      </c>
      <c r="D13827" s="254">
        <v>353.97</v>
      </c>
      <c r="E13827"/>
      <c r="F13827"/>
      <c r="G13827"/>
      <c r="H13827"/>
      <c r="I13827" s="489"/>
      <c r="J13827" s="1362"/>
      <c r="K13827" s="1362"/>
      <c r="L13827" s="1362"/>
    </row>
    <row r="13828" spans="1:12" x14ac:dyDescent="0.25">
      <c r="A13828">
        <v>102613</v>
      </c>
      <c r="B13828" t="s">
        <v>6231</v>
      </c>
      <c r="C13828" t="s">
        <v>138</v>
      </c>
      <c r="D13828" s="254">
        <v>486.25</v>
      </c>
      <c r="E13828"/>
      <c r="F13828"/>
      <c r="G13828"/>
      <c r="H13828"/>
      <c r="I13828" s="489"/>
      <c r="J13828" s="1362"/>
      <c r="K13828" s="1362"/>
      <c r="L13828" s="1362"/>
    </row>
    <row r="13829" spans="1:12" x14ac:dyDescent="0.25">
      <c r="A13829">
        <v>102614</v>
      </c>
      <c r="B13829" t="s">
        <v>6232</v>
      </c>
      <c r="C13829" t="s">
        <v>138</v>
      </c>
      <c r="D13829" s="254">
        <v>786.24</v>
      </c>
      <c r="E13829"/>
      <c r="F13829"/>
      <c r="G13829"/>
      <c r="H13829"/>
      <c r="I13829" s="489"/>
      <c r="J13829" s="1362"/>
      <c r="K13829" s="1362"/>
      <c r="L13829" s="1362"/>
    </row>
    <row r="13830" spans="1:12" x14ac:dyDescent="0.25">
      <c r="A13830">
        <v>102615</v>
      </c>
      <c r="B13830" t="s">
        <v>6233</v>
      </c>
      <c r="C13830" t="s">
        <v>138</v>
      </c>
      <c r="D13830" s="254">
        <v>1013.14</v>
      </c>
      <c r="E13830"/>
      <c r="F13830"/>
      <c r="G13830"/>
      <c r="H13830"/>
      <c r="I13830" s="489"/>
      <c r="J13830" s="1362"/>
      <c r="K13830" s="1362"/>
      <c r="L13830" s="1362"/>
    </row>
    <row r="13831" spans="1:12" x14ac:dyDescent="0.25">
      <c r="A13831">
        <v>102617</v>
      </c>
      <c r="B13831" t="s">
        <v>6234</v>
      </c>
      <c r="C13831" t="s">
        <v>138</v>
      </c>
      <c r="D13831" s="254">
        <v>2747.03</v>
      </c>
      <c r="E13831"/>
      <c r="F13831"/>
      <c r="G13831"/>
      <c r="H13831"/>
      <c r="I13831" s="489"/>
      <c r="J13831" s="1362"/>
      <c r="K13831" s="1362"/>
      <c r="L13831" s="1362"/>
    </row>
    <row r="13832" spans="1:12" x14ac:dyDescent="0.25">
      <c r="A13832">
        <v>102619</v>
      </c>
      <c r="B13832" t="s">
        <v>6235</v>
      </c>
      <c r="C13832" t="s">
        <v>138</v>
      </c>
      <c r="D13832" s="254">
        <v>5138.8100000000004</v>
      </c>
      <c r="E13832"/>
      <c r="F13832"/>
      <c r="G13832"/>
      <c r="H13832"/>
      <c r="I13832" s="489"/>
      <c r="J13832" s="1362"/>
      <c r="K13832" s="1362"/>
      <c r="L13832" s="1362"/>
    </row>
    <row r="13833" spans="1:12" x14ac:dyDescent="0.25">
      <c r="A13833">
        <v>102622</v>
      </c>
      <c r="B13833" t="s">
        <v>6236</v>
      </c>
      <c r="C13833" t="s">
        <v>138</v>
      </c>
      <c r="D13833" s="254">
        <v>592.38</v>
      </c>
      <c r="E13833"/>
      <c r="F13833"/>
      <c r="G13833"/>
      <c r="H13833"/>
      <c r="I13833" s="489"/>
      <c r="J13833" s="1362"/>
      <c r="K13833" s="1362"/>
      <c r="L13833" s="1362"/>
    </row>
    <row r="13834" spans="1:12" x14ac:dyDescent="0.25">
      <c r="A13834">
        <v>102623</v>
      </c>
      <c r="B13834" t="s">
        <v>6237</v>
      </c>
      <c r="C13834" t="s">
        <v>138</v>
      </c>
      <c r="D13834" s="254">
        <v>821.91</v>
      </c>
      <c r="E13834"/>
      <c r="F13834"/>
      <c r="G13834"/>
      <c r="H13834"/>
      <c r="I13834" s="489"/>
      <c r="J13834" s="1362"/>
      <c r="K13834" s="1362"/>
      <c r="L13834" s="1362"/>
    </row>
    <row r="13835" spans="1:12" x14ac:dyDescent="0.25">
      <c r="A13835">
        <v>89482</v>
      </c>
      <c r="B13835" t="s">
        <v>19567</v>
      </c>
      <c r="C13835" t="s">
        <v>138</v>
      </c>
      <c r="D13835" s="254">
        <v>44.12</v>
      </c>
      <c r="E13835"/>
      <c r="F13835"/>
      <c r="G13835"/>
      <c r="H13835"/>
      <c r="I13835" s="489"/>
      <c r="J13835" s="1362"/>
      <c r="K13835" s="1362"/>
      <c r="L13835" s="1362"/>
    </row>
    <row r="13836" spans="1:12" x14ac:dyDescent="0.25">
      <c r="A13836">
        <v>89491</v>
      </c>
      <c r="B13836" t="s">
        <v>19568</v>
      </c>
      <c r="C13836" t="s">
        <v>138</v>
      </c>
      <c r="D13836" s="254">
        <v>103.85</v>
      </c>
      <c r="E13836"/>
      <c r="F13836"/>
      <c r="G13836"/>
      <c r="H13836"/>
      <c r="I13836" s="489"/>
      <c r="J13836" s="1362"/>
      <c r="K13836" s="1362"/>
      <c r="L13836" s="1362"/>
    </row>
    <row r="13837" spans="1:12" x14ac:dyDescent="0.25">
      <c r="A13837">
        <v>89495</v>
      </c>
      <c r="B13837" t="s">
        <v>19569</v>
      </c>
      <c r="C13837" t="s">
        <v>138</v>
      </c>
      <c r="D13837" s="254">
        <v>18.88</v>
      </c>
      <c r="E13837"/>
      <c r="F13837"/>
      <c r="G13837"/>
      <c r="H13837"/>
      <c r="I13837" s="489"/>
      <c r="J13837" s="1362"/>
      <c r="K13837" s="1362"/>
      <c r="L13837" s="1362"/>
    </row>
    <row r="13838" spans="1:12" x14ac:dyDescent="0.25">
      <c r="A13838">
        <v>89707</v>
      </c>
      <c r="B13838" t="s">
        <v>19570</v>
      </c>
      <c r="C13838" t="s">
        <v>138</v>
      </c>
      <c r="D13838" s="254">
        <v>50.57</v>
      </c>
      <c r="E13838"/>
      <c r="F13838"/>
      <c r="G13838"/>
      <c r="H13838"/>
      <c r="I13838" s="489"/>
      <c r="J13838" s="1362"/>
      <c r="K13838" s="1362"/>
      <c r="L13838" s="1362"/>
    </row>
    <row r="13839" spans="1:12" x14ac:dyDescent="0.25">
      <c r="A13839">
        <v>89708</v>
      </c>
      <c r="B13839" t="s">
        <v>19571</v>
      </c>
      <c r="C13839" t="s">
        <v>138</v>
      </c>
      <c r="D13839" s="254">
        <v>107.39</v>
      </c>
      <c r="E13839"/>
      <c r="F13839"/>
      <c r="G13839"/>
      <c r="H13839"/>
      <c r="I13839" s="489"/>
      <c r="J13839" s="1362"/>
      <c r="K13839" s="1362"/>
      <c r="L13839" s="1362"/>
    </row>
    <row r="13840" spans="1:12" x14ac:dyDescent="0.25">
      <c r="A13840">
        <v>89709</v>
      </c>
      <c r="B13840" t="s">
        <v>19572</v>
      </c>
      <c r="C13840" t="s">
        <v>138</v>
      </c>
      <c r="D13840" s="254">
        <v>21.72</v>
      </c>
      <c r="E13840"/>
      <c r="F13840"/>
      <c r="G13840"/>
      <c r="H13840"/>
      <c r="I13840" s="489"/>
      <c r="J13840" s="1362"/>
      <c r="K13840" s="1362"/>
      <c r="L13840" s="1362"/>
    </row>
    <row r="13841" spans="1:12" x14ac:dyDescent="0.25">
      <c r="A13841">
        <v>89710</v>
      </c>
      <c r="B13841" t="s">
        <v>19573</v>
      </c>
      <c r="C13841" t="s">
        <v>138</v>
      </c>
      <c r="D13841" s="254">
        <v>19.12</v>
      </c>
      <c r="E13841"/>
      <c r="F13841"/>
      <c r="G13841"/>
      <c r="H13841"/>
      <c r="I13841" s="489"/>
      <c r="J13841" s="1362"/>
      <c r="K13841" s="1362"/>
      <c r="L13841" s="1362"/>
    </row>
    <row r="13842" spans="1:12" x14ac:dyDescent="0.25">
      <c r="A13842">
        <v>104326</v>
      </c>
      <c r="B13842" t="s">
        <v>19574</v>
      </c>
      <c r="C13842" t="s">
        <v>138</v>
      </c>
      <c r="D13842" s="254">
        <v>20.73</v>
      </c>
      <c r="E13842"/>
      <c r="F13842"/>
      <c r="G13842"/>
      <c r="H13842"/>
      <c r="I13842" s="489"/>
      <c r="J13842" s="1362"/>
      <c r="K13842" s="1362"/>
      <c r="L13842" s="1362"/>
    </row>
    <row r="13843" spans="1:12" x14ac:dyDescent="0.25">
      <c r="A13843">
        <v>104327</v>
      </c>
      <c r="B13843" t="s">
        <v>19575</v>
      </c>
      <c r="C13843" t="s">
        <v>138</v>
      </c>
      <c r="D13843" s="254">
        <v>19.78</v>
      </c>
      <c r="E13843"/>
      <c r="F13843"/>
      <c r="G13843"/>
      <c r="H13843"/>
      <c r="I13843" s="489"/>
      <c r="J13843" s="1362"/>
      <c r="K13843" s="1362"/>
      <c r="L13843" s="1362"/>
    </row>
    <row r="13844" spans="1:12" x14ac:dyDescent="0.25">
      <c r="A13844">
        <v>104328</v>
      </c>
      <c r="B13844" t="s">
        <v>19576</v>
      </c>
      <c r="C13844" t="s">
        <v>138</v>
      </c>
      <c r="D13844" s="254">
        <v>72.88</v>
      </c>
      <c r="E13844"/>
      <c r="F13844"/>
      <c r="G13844"/>
      <c r="H13844"/>
      <c r="I13844" s="489"/>
      <c r="J13844" s="1362"/>
      <c r="K13844" s="1362"/>
      <c r="L13844" s="1362"/>
    </row>
    <row r="13845" spans="1:12" x14ac:dyDescent="0.25">
      <c r="A13845">
        <v>104329</v>
      </c>
      <c r="B13845" t="s">
        <v>19577</v>
      </c>
      <c r="C13845" t="s">
        <v>138</v>
      </c>
      <c r="D13845" s="254">
        <v>82.16</v>
      </c>
      <c r="E13845"/>
      <c r="F13845"/>
      <c r="G13845"/>
      <c r="H13845"/>
      <c r="I13845" s="489"/>
      <c r="J13845" s="1362"/>
      <c r="K13845" s="1362"/>
      <c r="L13845" s="1362"/>
    </row>
    <row r="13846" spans="1:12" x14ac:dyDescent="0.25">
      <c r="A13846">
        <v>86872</v>
      </c>
      <c r="B13846" t="s">
        <v>4142</v>
      </c>
      <c r="C13846" t="s">
        <v>138</v>
      </c>
      <c r="D13846" s="254">
        <v>690.36</v>
      </c>
      <c r="E13846"/>
      <c r="F13846"/>
      <c r="G13846"/>
      <c r="H13846"/>
      <c r="I13846" s="489"/>
      <c r="J13846" s="1362"/>
      <c r="K13846" s="1362"/>
      <c r="L13846" s="1362"/>
    </row>
    <row r="13847" spans="1:12" x14ac:dyDescent="0.25">
      <c r="A13847">
        <v>86874</v>
      </c>
      <c r="B13847" t="s">
        <v>4143</v>
      </c>
      <c r="C13847" t="s">
        <v>138</v>
      </c>
      <c r="D13847" s="254">
        <v>477.47</v>
      </c>
      <c r="E13847"/>
      <c r="F13847"/>
      <c r="G13847"/>
      <c r="H13847"/>
      <c r="I13847" s="489"/>
      <c r="J13847" s="1362"/>
      <c r="K13847" s="1362"/>
      <c r="L13847" s="1362"/>
    </row>
    <row r="13848" spans="1:12" x14ac:dyDescent="0.25">
      <c r="A13848">
        <v>86875</v>
      </c>
      <c r="B13848" t="s">
        <v>4144</v>
      </c>
      <c r="C13848" t="s">
        <v>138</v>
      </c>
      <c r="D13848" s="254">
        <v>563.72</v>
      </c>
      <c r="E13848"/>
      <c r="F13848"/>
      <c r="G13848"/>
      <c r="H13848"/>
      <c r="I13848" s="489"/>
      <c r="J13848" s="1362"/>
      <c r="K13848" s="1362"/>
      <c r="L13848" s="1362"/>
    </row>
    <row r="13849" spans="1:12" x14ac:dyDescent="0.25">
      <c r="A13849">
        <v>86876</v>
      </c>
      <c r="B13849" t="s">
        <v>4145</v>
      </c>
      <c r="C13849" t="s">
        <v>138</v>
      </c>
      <c r="D13849" s="254">
        <v>328.81</v>
      </c>
      <c r="E13849"/>
      <c r="F13849"/>
      <c r="G13849"/>
      <c r="H13849"/>
      <c r="I13849" s="489"/>
      <c r="J13849" s="1362"/>
      <c r="K13849" s="1362"/>
      <c r="L13849" s="1362"/>
    </row>
    <row r="13850" spans="1:12" x14ac:dyDescent="0.25">
      <c r="A13850">
        <v>86877</v>
      </c>
      <c r="B13850" t="s">
        <v>4146</v>
      </c>
      <c r="C13850" t="s">
        <v>138</v>
      </c>
      <c r="D13850" s="254">
        <v>75.09</v>
      </c>
      <c r="E13850"/>
      <c r="F13850"/>
      <c r="G13850"/>
      <c r="H13850"/>
      <c r="I13850" s="489"/>
      <c r="J13850" s="1362"/>
      <c r="K13850" s="1362"/>
      <c r="L13850" s="1362"/>
    </row>
    <row r="13851" spans="1:12" x14ac:dyDescent="0.25">
      <c r="A13851">
        <v>86878</v>
      </c>
      <c r="B13851" t="s">
        <v>4147</v>
      </c>
      <c r="C13851" t="s">
        <v>138</v>
      </c>
      <c r="D13851" s="254">
        <v>80.97</v>
      </c>
      <c r="E13851"/>
      <c r="F13851"/>
      <c r="G13851"/>
      <c r="H13851"/>
      <c r="I13851" s="489"/>
      <c r="J13851" s="1362"/>
      <c r="K13851" s="1362"/>
      <c r="L13851" s="1362"/>
    </row>
    <row r="13852" spans="1:12" x14ac:dyDescent="0.25">
      <c r="A13852">
        <v>86879</v>
      </c>
      <c r="B13852" t="s">
        <v>4148</v>
      </c>
      <c r="C13852" t="s">
        <v>138</v>
      </c>
      <c r="D13852" s="254">
        <v>9.7799999999999994</v>
      </c>
      <c r="E13852"/>
      <c r="F13852"/>
      <c r="G13852"/>
      <c r="H13852"/>
      <c r="I13852" s="489"/>
      <c r="J13852" s="1362"/>
      <c r="K13852" s="1362"/>
      <c r="L13852" s="1362"/>
    </row>
    <row r="13853" spans="1:12" x14ac:dyDescent="0.25">
      <c r="A13853">
        <v>86880</v>
      </c>
      <c r="B13853" t="s">
        <v>4149</v>
      </c>
      <c r="C13853" t="s">
        <v>138</v>
      </c>
      <c r="D13853" s="254">
        <v>26.01</v>
      </c>
      <c r="E13853"/>
      <c r="F13853"/>
      <c r="G13853"/>
      <c r="H13853"/>
      <c r="I13853" s="489"/>
      <c r="J13853" s="1362"/>
      <c r="K13853" s="1362"/>
      <c r="L13853" s="1362"/>
    </row>
    <row r="13854" spans="1:12" x14ac:dyDescent="0.25">
      <c r="A13854">
        <v>86881</v>
      </c>
      <c r="B13854" t="s">
        <v>4150</v>
      </c>
      <c r="C13854" t="s">
        <v>138</v>
      </c>
      <c r="D13854" s="254">
        <v>228.21</v>
      </c>
      <c r="E13854"/>
      <c r="F13854"/>
      <c r="G13854"/>
      <c r="H13854"/>
      <c r="I13854" s="489"/>
      <c r="J13854" s="1362"/>
      <c r="K13854" s="1362"/>
      <c r="L13854" s="1362"/>
    </row>
    <row r="13855" spans="1:12" x14ac:dyDescent="0.25">
      <c r="A13855">
        <v>86882</v>
      </c>
      <c r="B13855" t="s">
        <v>4151</v>
      </c>
      <c r="C13855" t="s">
        <v>138</v>
      </c>
      <c r="D13855" s="254">
        <v>22.13</v>
      </c>
      <c r="E13855"/>
      <c r="F13855"/>
      <c r="G13855"/>
      <c r="H13855"/>
      <c r="I13855" s="489"/>
      <c r="J13855" s="1362"/>
      <c r="K13855" s="1362"/>
      <c r="L13855" s="1362"/>
    </row>
    <row r="13856" spans="1:12" x14ac:dyDescent="0.25">
      <c r="A13856">
        <v>86883</v>
      </c>
      <c r="B13856" t="s">
        <v>4152</v>
      </c>
      <c r="C13856" t="s">
        <v>138</v>
      </c>
      <c r="D13856" s="254">
        <v>12.05</v>
      </c>
      <c r="E13856"/>
      <c r="F13856"/>
      <c r="G13856"/>
      <c r="H13856"/>
      <c r="I13856" s="489"/>
      <c r="J13856" s="1362"/>
      <c r="K13856" s="1362"/>
      <c r="L13856" s="1362"/>
    </row>
    <row r="13857" spans="1:12" x14ac:dyDescent="0.25">
      <c r="A13857">
        <v>86884</v>
      </c>
      <c r="B13857" t="s">
        <v>4153</v>
      </c>
      <c r="C13857" t="s">
        <v>138</v>
      </c>
      <c r="D13857" s="254">
        <v>10.95</v>
      </c>
      <c r="E13857"/>
      <c r="F13857"/>
      <c r="G13857"/>
      <c r="H13857"/>
      <c r="I13857" s="489"/>
      <c r="J13857" s="1362"/>
      <c r="K13857" s="1362"/>
      <c r="L13857" s="1362"/>
    </row>
    <row r="13858" spans="1:12" x14ac:dyDescent="0.25">
      <c r="A13858">
        <v>86885</v>
      </c>
      <c r="B13858" t="s">
        <v>4154</v>
      </c>
      <c r="C13858" t="s">
        <v>138</v>
      </c>
      <c r="D13858" s="254">
        <v>12.36</v>
      </c>
      <c r="E13858"/>
      <c r="F13858"/>
      <c r="G13858"/>
      <c r="H13858"/>
      <c r="I13858" s="489"/>
      <c r="J13858" s="1362"/>
      <c r="K13858" s="1362"/>
      <c r="L13858" s="1362"/>
    </row>
    <row r="13859" spans="1:12" x14ac:dyDescent="0.25">
      <c r="A13859">
        <v>86886</v>
      </c>
      <c r="B13859" t="s">
        <v>4155</v>
      </c>
      <c r="C13859" t="s">
        <v>138</v>
      </c>
      <c r="D13859" s="254">
        <v>55.61</v>
      </c>
      <c r="E13859"/>
      <c r="F13859"/>
      <c r="G13859"/>
      <c r="H13859"/>
      <c r="I13859" s="489"/>
      <c r="J13859" s="1362"/>
      <c r="K13859" s="1362"/>
      <c r="L13859" s="1362"/>
    </row>
    <row r="13860" spans="1:12" x14ac:dyDescent="0.25">
      <c r="A13860">
        <v>86887</v>
      </c>
      <c r="B13860" t="s">
        <v>4156</v>
      </c>
      <c r="C13860" t="s">
        <v>138</v>
      </c>
      <c r="D13860" s="254">
        <v>60.35</v>
      </c>
      <c r="E13860"/>
      <c r="F13860"/>
      <c r="G13860"/>
      <c r="H13860"/>
      <c r="I13860" s="489"/>
      <c r="J13860" s="1362"/>
      <c r="K13860" s="1362"/>
      <c r="L13860" s="1362"/>
    </row>
    <row r="13861" spans="1:12" x14ac:dyDescent="0.25">
      <c r="A13861">
        <v>86888</v>
      </c>
      <c r="B13861" t="s">
        <v>4157</v>
      </c>
      <c r="C13861" t="s">
        <v>138</v>
      </c>
      <c r="D13861" s="254">
        <v>450.88</v>
      </c>
      <c r="E13861"/>
      <c r="F13861"/>
      <c r="G13861"/>
      <c r="H13861"/>
      <c r="I13861" s="489"/>
      <c r="J13861" s="1362"/>
      <c r="K13861" s="1362"/>
      <c r="L13861" s="1362"/>
    </row>
    <row r="13862" spans="1:12" x14ac:dyDescent="0.25">
      <c r="A13862">
        <v>86889</v>
      </c>
      <c r="B13862" t="s">
        <v>4344</v>
      </c>
      <c r="C13862" t="s">
        <v>138</v>
      </c>
      <c r="D13862" s="254">
        <v>789.47</v>
      </c>
      <c r="E13862"/>
      <c r="F13862"/>
      <c r="G13862"/>
      <c r="H13862"/>
      <c r="I13862" s="489"/>
      <c r="J13862" s="1362"/>
      <c r="K13862" s="1362"/>
      <c r="L13862" s="1362"/>
    </row>
    <row r="13863" spans="1:12" x14ac:dyDescent="0.25">
      <c r="A13863">
        <v>86893</v>
      </c>
      <c r="B13863" t="s">
        <v>4345</v>
      </c>
      <c r="C13863" t="s">
        <v>138</v>
      </c>
      <c r="D13863" s="254">
        <v>726.55</v>
      </c>
      <c r="E13863"/>
      <c r="F13863"/>
      <c r="G13863"/>
      <c r="H13863"/>
      <c r="I13863" s="489"/>
      <c r="J13863" s="1362"/>
      <c r="K13863" s="1362"/>
      <c r="L13863" s="1362"/>
    </row>
    <row r="13864" spans="1:12" x14ac:dyDescent="0.25">
      <c r="A13864">
        <v>86894</v>
      </c>
      <c r="B13864" t="s">
        <v>4346</v>
      </c>
      <c r="C13864" t="s">
        <v>138</v>
      </c>
      <c r="D13864" s="254">
        <v>313.88</v>
      </c>
      <c r="E13864"/>
      <c r="F13864"/>
      <c r="G13864"/>
      <c r="H13864"/>
      <c r="I13864" s="489"/>
      <c r="J13864" s="1362"/>
      <c r="K13864" s="1362"/>
      <c r="L13864" s="1362"/>
    </row>
    <row r="13865" spans="1:12" x14ac:dyDescent="0.25">
      <c r="A13865">
        <v>86895</v>
      </c>
      <c r="B13865" t="s">
        <v>4347</v>
      </c>
      <c r="C13865" t="s">
        <v>138</v>
      </c>
      <c r="D13865" s="254">
        <v>383.12</v>
      </c>
      <c r="E13865"/>
      <c r="F13865"/>
      <c r="G13865"/>
      <c r="H13865"/>
      <c r="I13865" s="489"/>
      <c r="J13865" s="1362"/>
      <c r="K13865" s="1362"/>
      <c r="L13865" s="1362"/>
    </row>
    <row r="13866" spans="1:12" x14ac:dyDescent="0.25">
      <c r="A13866">
        <v>86899</v>
      </c>
      <c r="B13866" t="s">
        <v>4348</v>
      </c>
      <c r="C13866" t="s">
        <v>138</v>
      </c>
      <c r="D13866" s="254">
        <v>359.51</v>
      </c>
      <c r="E13866"/>
      <c r="F13866"/>
      <c r="G13866"/>
      <c r="H13866"/>
      <c r="I13866" s="489"/>
      <c r="J13866" s="1362"/>
      <c r="K13866" s="1362"/>
      <c r="L13866" s="1362"/>
    </row>
    <row r="13867" spans="1:12" x14ac:dyDescent="0.25">
      <c r="A13867">
        <v>86900</v>
      </c>
      <c r="B13867" t="s">
        <v>4158</v>
      </c>
      <c r="C13867" t="s">
        <v>138</v>
      </c>
      <c r="D13867" s="254">
        <v>193.07</v>
      </c>
      <c r="E13867"/>
      <c r="F13867"/>
      <c r="G13867"/>
      <c r="H13867"/>
      <c r="I13867" s="489"/>
      <c r="J13867" s="1362"/>
      <c r="K13867" s="1362"/>
      <c r="L13867" s="1362"/>
    </row>
    <row r="13868" spans="1:12" x14ac:dyDescent="0.25">
      <c r="A13868">
        <v>86901</v>
      </c>
      <c r="B13868" t="s">
        <v>4159</v>
      </c>
      <c r="C13868" t="s">
        <v>138</v>
      </c>
      <c r="D13868" s="254">
        <v>132.41999999999999</v>
      </c>
      <c r="E13868"/>
      <c r="F13868"/>
      <c r="G13868"/>
      <c r="H13868"/>
      <c r="I13868" s="489"/>
      <c r="J13868" s="1362"/>
      <c r="K13868" s="1362"/>
      <c r="L13868" s="1362"/>
    </row>
    <row r="13869" spans="1:12" x14ac:dyDescent="0.25">
      <c r="A13869">
        <v>86902</v>
      </c>
      <c r="B13869" t="s">
        <v>4160</v>
      </c>
      <c r="C13869" t="s">
        <v>138</v>
      </c>
      <c r="D13869" s="254">
        <v>339.81</v>
      </c>
      <c r="E13869"/>
      <c r="F13869"/>
      <c r="G13869"/>
      <c r="H13869"/>
      <c r="I13869" s="489"/>
      <c r="J13869" s="1362"/>
      <c r="K13869" s="1362"/>
      <c r="L13869" s="1362"/>
    </row>
    <row r="13870" spans="1:12" x14ac:dyDescent="0.25">
      <c r="A13870">
        <v>86903</v>
      </c>
      <c r="B13870" t="s">
        <v>4161</v>
      </c>
      <c r="C13870" t="s">
        <v>138</v>
      </c>
      <c r="D13870" s="254">
        <v>379.07</v>
      </c>
      <c r="E13870"/>
      <c r="F13870"/>
      <c r="G13870"/>
      <c r="H13870"/>
      <c r="I13870" s="489"/>
      <c r="J13870" s="1362"/>
      <c r="K13870" s="1362"/>
      <c r="L13870" s="1362"/>
    </row>
    <row r="13871" spans="1:12" x14ac:dyDescent="0.25">
      <c r="A13871">
        <v>86904</v>
      </c>
      <c r="B13871" t="s">
        <v>4162</v>
      </c>
      <c r="C13871" t="s">
        <v>138</v>
      </c>
      <c r="D13871" s="254">
        <v>150.19999999999999</v>
      </c>
      <c r="E13871"/>
      <c r="F13871"/>
      <c r="G13871"/>
      <c r="H13871"/>
      <c r="I13871" s="489"/>
      <c r="J13871" s="1362"/>
      <c r="K13871" s="1362"/>
      <c r="L13871" s="1362"/>
    </row>
    <row r="13872" spans="1:12" x14ac:dyDescent="0.25">
      <c r="A13872">
        <v>86905</v>
      </c>
      <c r="B13872" t="s">
        <v>4163</v>
      </c>
      <c r="C13872" t="s">
        <v>138</v>
      </c>
      <c r="D13872" s="254">
        <v>353.21</v>
      </c>
      <c r="E13872"/>
      <c r="F13872"/>
      <c r="G13872"/>
      <c r="H13872"/>
      <c r="I13872" s="489"/>
      <c r="J13872" s="1362"/>
      <c r="K13872" s="1362"/>
      <c r="L13872" s="1362"/>
    </row>
    <row r="13873" spans="1:12" x14ac:dyDescent="0.25">
      <c r="A13873">
        <v>86906</v>
      </c>
      <c r="B13873" t="s">
        <v>4164</v>
      </c>
      <c r="C13873" t="s">
        <v>138</v>
      </c>
      <c r="D13873" s="254">
        <v>65.430000000000007</v>
      </c>
      <c r="E13873"/>
      <c r="F13873"/>
      <c r="G13873"/>
      <c r="H13873"/>
      <c r="I13873" s="489"/>
      <c r="J13873" s="1362"/>
      <c r="K13873" s="1362"/>
      <c r="L13873" s="1362"/>
    </row>
    <row r="13874" spans="1:12" x14ac:dyDescent="0.25">
      <c r="A13874">
        <v>86908</v>
      </c>
      <c r="B13874" t="s">
        <v>4165</v>
      </c>
      <c r="C13874" t="s">
        <v>138</v>
      </c>
      <c r="D13874" s="254">
        <v>420.29</v>
      </c>
      <c r="E13874"/>
      <c r="F13874"/>
      <c r="G13874"/>
      <c r="H13874"/>
      <c r="I13874" s="489"/>
      <c r="J13874" s="1362"/>
      <c r="K13874" s="1362"/>
      <c r="L13874" s="1362"/>
    </row>
    <row r="13875" spans="1:12" x14ac:dyDescent="0.25">
      <c r="A13875">
        <v>86909</v>
      </c>
      <c r="B13875" t="s">
        <v>4166</v>
      </c>
      <c r="C13875" t="s">
        <v>138</v>
      </c>
      <c r="D13875" s="254">
        <v>113.62</v>
      </c>
      <c r="E13875"/>
      <c r="F13875"/>
      <c r="G13875"/>
      <c r="H13875"/>
      <c r="I13875" s="489"/>
      <c r="J13875" s="1362"/>
      <c r="K13875" s="1362"/>
      <c r="L13875" s="1362"/>
    </row>
    <row r="13876" spans="1:12" x14ac:dyDescent="0.25">
      <c r="A13876">
        <v>86910</v>
      </c>
      <c r="B13876" t="s">
        <v>4167</v>
      </c>
      <c r="C13876" t="s">
        <v>138</v>
      </c>
      <c r="D13876" s="254">
        <v>111.47</v>
      </c>
      <c r="E13876"/>
      <c r="F13876"/>
      <c r="G13876"/>
      <c r="H13876"/>
      <c r="I13876" s="489"/>
      <c r="J13876" s="1362"/>
      <c r="K13876" s="1362"/>
      <c r="L13876" s="1362"/>
    </row>
    <row r="13877" spans="1:12" x14ac:dyDescent="0.25">
      <c r="A13877">
        <v>86911</v>
      </c>
      <c r="B13877" t="s">
        <v>4168</v>
      </c>
      <c r="C13877" t="s">
        <v>138</v>
      </c>
      <c r="D13877" s="254">
        <v>76.599999999999994</v>
      </c>
      <c r="E13877"/>
      <c r="F13877"/>
      <c r="G13877"/>
      <c r="H13877"/>
      <c r="I13877" s="489"/>
      <c r="J13877" s="1362"/>
      <c r="K13877" s="1362"/>
      <c r="L13877" s="1362"/>
    </row>
    <row r="13878" spans="1:12" x14ac:dyDescent="0.25">
      <c r="A13878">
        <v>86913</v>
      </c>
      <c r="B13878" t="s">
        <v>4169</v>
      </c>
      <c r="C13878" t="s">
        <v>138</v>
      </c>
      <c r="D13878" s="254">
        <v>48.62</v>
      </c>
      <c r="E13878"/>
      <c r="F13878"/>
      <c r="G13878"/>
      <c r="H13878"/>
      <c r="I13878" s="489"/>
      <c r="J13878" s="1362"/>
      <c r="K13878" s="1362"/>
      <c r="L13878" s="1362"/>
    </row>
    <row r="13879" spans="1:12" x14ac:dyDescent="0.25">
      <c r="A13879">
        <v>86914</v>
      </c>
      <c r="B13879" t="s">
        <v>4170</v>
      </c>
      <c r="C13879" t="s">
        <v>138</v>
      </c>
      <c r="D13879" s="254">
        <v>86.19</v>
      </c>
      <c r="E13879"/>
      <c r="F13879"/>
      <c r="G13879"/>
      <c r="H13879"/>
      <c r="I13879" s="489"/>
      <c r="J13879" s="1362"/>
      <c r="K13879" s="1362"/>
      <c r="L13879" s="1362"/>
    </row>
    <row r="13880" spans="1:12" x14ac:dyDescent="0.25">
      <c r="A13880">
        <v>86915</v>
      </c>
      <c r="B13880" t="s">
        <v>4171</v>
      </c>
      <c r="C13880" t="s">
        <v>138</v>
      </c>
      <c r="D13880" s="254">
        <v>124.53</v>
      </c>
      <c r="E13880"/>
      <c r="F13880"/>
      <c r="G13880"/>
      <c r="H13880"/>
      <c r="I13880" s="489"/>
      <c r="J13880" s="1362"/>
      <c r="K13880" s="1362"/>
      <c r="L13880" s="1362"/>
    </row>
    <row r="13881" spans="1:12" x14ac:dyDescent="0.25">
      <c r="A13881">
        <v>86916</v>
      </c>
      <c r="B13881" t="s">
        <v>4172</v>
      </c>
      <c r="C13881" t="s">
        <v>138</v>
      </c>
      <c r="D13881" s="254">
        <v>22.65</v>
      </c>
      <c r="E13881"/>
      <c r="F13881"/>
      <c r="G13881"/>
      <c r="H13881"/>
      <c r="I13881" s="489"/>
      <c r="J13881" s="1362"/>
      <c r="K13881" s="1362"/>
      <c r="L13881" s="1362"/>
    </row>
    <row r="13882" spans="1:12" x14ac:dyDescent="0.25">
      <c r="A13882">
        <v>86919</v>
      </c>
      <c r="B13882" t="s">
        <v>4173</v>
      </c>
      <c r="C13882" t="s">
        <v>138</v>
      </c>
      <c r="D13882" s="254">
        <v>863.69</v>
      </c>
      <c r="E13882"/>
      <c r="F13882"/>
      <c r="G13882"/>
      <c r="H13882"/>
      <c r="I13882" s="489"/>
      <c r="J13882" s="1362"/>
      <c r="K13882" s="1362"/>
      <c r="L13882" s="1362"/>
    </row>
    <row r="13883" spans="1:12" x14ac:dyDescent="0.25">
      <c r="A13883">
        <v>86920</v>
      </c>
      <c r="B13883" t="s">
        <v>4174</v>
      </c>
      <c r="C13883" t="s">
        <v>138</v>
      </c>
      <c r="D13883" s="254">
        <v>760.81</v>
      </c>
      <c r="E13883"/>
      <c r="F13883"/>
      <c r="G13883"/>
      <c r="H13883"/>
      <c r="I13883" s="489"/>
      <c r="J13883" s="1362"/>
      <c r="K13883" s="1362"/>
      <c r="L13883" s="1362"/>
    </row>
    <row r="13884" spans="1:12" x14ac:dyDescent="0.25">
      <c r="A13884">
        <v>86921</v>
      </c>
      <c r="B13884" t="s">
        <v>4175</v>
      </c>
      <c r="C13884" t="s">
        <v>138</v>
      </c>
      <c r="D13884" s="254">
        <v>734.84</v>
      </c>
      <c r="E13884"/>
      <c r="F13884"/>
      <c r="G13884"/>
      <c r="H13884"/>
      <c r="I13884" s="489"/>
      <c r="J13884" s="1362"/>
      <c r="K13884" s="1362"/>
      <c r="L13884" s="1362"/>
    </row>
    <row r="13885" spans="1:12" x14ac:dyDescent="0.25">
      <c r="A13885">
        <v>86922</v>
      </c>
      <c r="B13885" t="s">
        <v>4176</v>
      </c>
      <c r="C13885" t="s">
        <v>138</v>
      </c>
      <c r="D13885" s="254">
        <v>866.96</v>
      </c>
      <c r="E13885"/>
      <c r="F13885"/>
      <c r="G13885"/>
      <c r="H13885"/>
      <c r="I13885" s="489"/>
      <c r="J13885" s="1362"/>
      <c r="K13885" s="1362"/>
      <c r="L13885" s="1362"/>
    </row>
    <row r="13886" spans="1:12" x14ac:dyDescent="0.25">
      <c r="A13886">
        <v>86923</v>
      </c>
      <c r="B13886" t="s">
        <v>4177</v>
      </c>
      <c r="C13886" t="s">
        <v>138</v>
      </c>
      <c r="D13886" s="254">
        <v>558</v>
      </c>
      <c r="E13886"/>
      <c r="F13886"/>
      <c r="G13886"/>
      <c r="H13886"/>
      <c r="I13886" s="489"/>
      <c r="J13886" s="1362"/>
      <c r="K13886" s="1362"/>
      <c r="L13886" s="1362"/>
    </row>
    <row r="13887" spans="1:12" x14ac:dyDescent="0.25">
      <c r="A13887">
        <v>86924</v>
      </c>
      <c r="B13887" t="s">
        <v>4178</v>
      </c>
      <c r="C13887" t="s">
        <v>138</v>
      </c>
      <c r="D13887" s="254">
        <v>532.03</v>
      </c>
      <c r="E13887"/>
      <c r="F13887"/>
      <c r="G13887"/>
      <c r="H13887"/>
      <c r="I13887" s="489"/>
      <c r="J13887" s="1362"/>
      <c r="K13887" s="1362"/>
      <c r="L13887" s="1362"/>
    </row>
    <row r="13888" spans="1:12" x14ac:dyDescent="0.25">
      <c r="A13888">
        <v>86925</v>
      </c>
      <c r="B13888" t="s">
        <v>4179</v>
      </c>
      <c r="C13888" t="s">
        <v>138</v>
      </c>
      <c r="D13888" s="254">
        <v>634.16999999999996</v>
      </c>
      <c r="E13888"/>
      <c r="F13888"/>
      <c r="G13888"/>
      <c r="H13888"/>
      <c r="I13888" s="489"/>
      <c r="J13888" s="1362"/>
      <c r="K13888" s="1362"/>
      <c r="L13888" s="1362"/>
    </row>
    <row r="13889" spans="1:12" x14ac:dyDescent="0.25">
      <c r="A13889">
        <v>86926</v>
      </c>
      <c r="B13889" t="s">
        <v>4180</v>
      </c>
      <c r="C13889" t="s">
        <v>138</v>
      </c>
      <c r="D13889" s="254">
        <v>608.20000000000005</v>
      </c>
      <c r="E13889"/>
      <c r="F13889"/>
      <c r="G13889"/>
      <c r="H13889"/>
      <c r="I13889" s="489"/>
      <c r="J13889" s="1362"/>
      <c r="K13889" s="1362"/>
      <c r="L13889" s="1362"/>
    </row>
    <row r="13890" spans="1:12" x14ac:dyDescent="0.25">
      <c r="A13890">
        <v>86927</v>
      </c>
      <c r="B13890" t="s">
        <v>4181</v>
      </c>
      <c r="C13890" t="s">
        <v>138</v>
      </c>
      <c r="D13890" s="254">
        <v>409.34</v>
      </c>
      <c r="E13890"/>
      <c r="F13890"/>
      <c r="G13890"/>
      <c r="H13890"/>
      <c r="I13890" s="489"/>
      <c r="J13890" s="1362"/>
      <c r="K13890" s="1362"/>
      <c r="L13890" s="1362"/>
    </row>
    <row r="13891" spans="1:12" x14ac:dyDescent="0.25">
      <c r="A13891">
        <v>86928</v>
      </c>
      <c r="B13891" t="s">
        <v>4182</v>
      </c>
      <c r="C13891" t="s">
        <v>138</v>
      </c>
      <c r="D13891" s="254">
        <v>383.37</v>
      </c>
      <c r="E13891"/>
      <c r="F13891"/>
      <c r="G13891"/>
      <c r="H13891"/>
      <c r="I13891" s="489"/>
      <c r="J13891" s="1362"/>
      <c r="K13891" s="1362"/>
      <c r="L13891" s="1362"/>
    </row>
    <row r="13892" spans="1:12" x14ac:dyDescent="0.25">
      <c r="A13892">
        <v>86929</v>
      </c>
      <c r="B13892" t="s">
        <v>4183</v>
      </c>
      <c r="C13892" t="s">
        <v>138</v>
      </c>
      <c r="D13892" s="254">
        <v>399.26</v>
      </c>
      <c r="E13892"/>
      <c r="F13892"/>
      <c r="G13892"/>
      <c r="H13892"/>
      <c r="I13892" s="489"/>
      <c r="J13892" s="1362"/>
      <c r="K13892" s="1362"/>
      <c r="L13892" s="1362"/>
    </row>
    <row r="13893" spans="1:12" x14ac:dyDescent="0.25">
      <c r="A13893">
        <v>86930</v>
      </c>
      <c r="B13893" t="s">
        <v>4184</v>
      </c>
      <c r="C13893" t="s">
        <v>138</v>
      </c>
      <c r="D13893" s="254">
        <v>373.29</v>
      </c>
      <c r="E13893"/>
      <c r="F13893"/>
      <c r="G13893"/>
      <c r="H13893"/>
      <c r="I13893" s="489"/>
      <c r="J13893" s="1362"/>
      <c r="K13893" s="1362"/>
      <c r="L13893" s="1362"/>
    </row>
    <row r="13894" spans="1:12" x14ac:dyDescent="0.25">
      <c r="A13894">
        <v>86931</v>
      </c>
      <c r="B13894" t="s">
        <v>4185</v>
      </c>
      <c r="C13894" t="s">
        <v>138</v>
      </c>
      <c r="D13894" s="254">
        <v>463.24</v>
      </c>
      <c r="E13894"/>
      <c r="F13894"/>
      <c r="G13894"/>
      <c r="H13894"/>
      <c r="I13894" s="489"/>
      <c r="J13894" s="1362"/>
      <c r="K13894" s="1362"/>
      <c r="L13894" s="1362"/>
    </row>
    <row r="13895" spans="1:12" x14ac:dyDescent="0.25">
      <c r="A13895">
        <v>86932</v>
      </c>
      <c r="B13895" t="s">
        <v>4186</v>
      </c>
      <c r="C13895" t="s">
        <v>138</v>
      </c>
      <c r="D13895" s="254">
        <v>511.23</v>
      </c>
      <c r="E13895"/>
      <c r="F13895"/>
      <c r="G13895"/>
      <c r="H13895"/>
      <c r="I13895" s="489"/>
      <c r="J13895" s="1362"/>
      <c r="K13895" s="1362"/>
      <c r="L13895" s="1362"/>
    </row>
    <row r="13896" spans="1:12" x14ac:dyDescent="0.25">
      <c r="A13896">
        <v>86933</v>
      </c>
      <c r="B13896" t="s">
        <v>4187</v>
      </c>
      <c r="C13896" t="s">
        <v>138</v>
      </c>
      <c r="D13896" s="254">
        <v>438.62</v>
      </c>
      <c r="E13896"/>
      <c r="F13896"/>
      <c r="G13896"/>
      <c r="H13896"/>
      <c r="I13896" s="489"/>
      <c r="J13896" s="1362"/>
      <c r="K13896" s="1362"/>
      <c r="L13896" s="1362"/>
    </row>
    <row r="13897" spans="1:12" x14ac:dyDescent="0.25">
      <c r="A13897">
        <v>86934</v>
      </c>
      <c r="B13897" t="s">
        <v>4188</v>
      </c>
      <c r="C13897" t="s">
        <v>138</v>
      </c>
      <c r="D13897" s="254">
        <v>428.54</v>
      </c>
      <c r="E13897"/>
      <c r="F13897"/>
      <c r="G13897"/>
      <c r="H13897"/>
      <c r="I13897" s="489"/>
      <c r="J13897" s="1362"/>
      <c r="K13897" s="1362"/>
      <c r="L13897" s="1362"/>
    </row>
    <row r="13898" spans="1:12" x14ac:dyDescent="0.25">
      <c r="A13898">
        <v>86935</v>
      </c>
      <c r="B13898" t="s">
        <v>4189</v>
      </c>
      <c r="C13898" t="s">
        <v>138</v>
      </c>
      <c r="D13898" s="254">
        <v>286.08999999999997</v>
      </c>
      <c r="E13898"/>
      <c r="F13898"/>
      <c r="G13898"/>
      <c r="H13898"/>
      <c r="I13898" s="489"/>
      <c r="J13898" s="1362"/>
      <c r="K13898" s="1362"/>
      <c r="L13898" s="1362"/>
    </row>
    <row r="13899" spans="1:12" x14ac:dyDescent="0.25">
      <c r="A13899">
        <v>86936</v>
      </c>
      <c r="B13899" t="s">
        <v>4190</v>
      </c>
      <c r="C13899" t="s">
        <v>138</v>
      </c>
      <c r="D13899" s="254">
        <v>502.25</v>
      </c>
      <c r="E13899"/>
      <c r="F13899"/>
      <c r="G13899"/>
      <c r="H13899"/>
      <c r="I13899" s="489"/>
      <c r="J13899" s="1362"/>
      <c r="K13899" s="1362"/>
      <c r="L13899" s="1362"/>
    </row>
    <row r="13900" spans="1:12" x14ac:dyDescent="0.25">
      <c r="A13900">
        <v>86937</v>
      </c>
      <c r="B13900" t="s">
        <v>4191</v>
      </c>
      <c r="C13900" t="s">
        <v>138</v>
      </c>
      <c r="D13900" s="254">
        <v>219.56</v>
      </c>
      <c r="E13900"/>
      <c r="F13900"/>
      <c r="G13900"/>
      <c r="H13900"/>
      <c r="I13900" s="489"/>
      <c r="J13900" s="1362"/>
      <c r="K13900" s="1362"/>
      <c r="L13900" s="1362"/>
    </row>
    <row r="13901" spans="1:12" x14ac:dyDescent="0.25">
      <c r="A13901">
        <v>86938</v>
      </c>
      <c r="B13901" t="s">
        <v>4192</v>
      </c>
      <c r="C13901" t="s">
        <v>138</v>
      </c>
      <c r="D13901" s="254">
        <v>435.72</v>
      </c>
      <c r="E13901"/>
      <c r="F13901"/>
      <c r="G13901"/>
      <c r="H13901"/>
      <c r="I13901" s="489"/>
      <c r="J13901" s="1362"/>
      <c r="K13901" s="1362"/>
      <c r="L13901" s="1362"/>
    </row>
    <row r="13902" spans="1:12" x14ac:dyDescent="0.25">
      <c r="A13902">
        <v>86939</v>
      </c>
      <c r="B13902" t="s">
        <v>4193</v>
      </c>
      <c r="C13902" t="s">
        <v>138</v>
      </c>
      <c r="D13902" s="254">
        <v>438.02</v>
      </c>
      <c r="E13902"/>
      <c r="F13902"/>
      <c r="G13902"/>
      <c r="H13902"/>
      <c r="I13902" s="489"/>
      <c r="J13902" s="1362"/>
      <c r="K13902" s="1362"/>
      <c r="L13902" s="1362"/>
    </row>
    <row r="13903" spans="1:12" x14ac:dyDescent="0.25">
      <c r="A13903">
        <v>86940</v>
      </c>
      <c r="B13903" t="s">
        <v>4194</v>
      </c>
      <c r="C13903" t="s">
        <v>138</v>
      </c>
      <c r="D13903" s="254">
        <v>1156.28</v>
      </c>
      <c r="E13903"/>
      <c r="F13903"/>
      <c r="G13903"/>
      <c r="H13903"/>
      <c r="I13903" s="489"/>
      <c r="J13903" s="1362"/>
      <c r="K13903" s="1362"/>
      <c r="L13903" s="1362"/>
    </row>
    <row r="13904" spans="1:12" x14ac:dyDescent="0.25">
      <c r="A13904">
        <v>86941</v>
      </c>
      <c r="B13904" t="s">
        <v>4195</v>
      </c>
      <c r="C13904" t="s">
        <v>138</v>
      </c>
      <c r="D13904" s="254">
        <v>867.25</v>
      </c>
      <c r="E13904"/>
      <c r="F13904"/>
      <c r="G13904"/>
      <c r="H13904"/>
      <c r="I13904" s="489"/>
      <c r="J13904" s="1362"/>
      <c r="K13904" s="1362"/>
      <c r="L13904" s="1362"/>
    </row>
    <row r="13905" spans="1:12" x14ac:dyDescent="0.25">
      <c r="A13905">
        <v>86942</v>
      </c>
      <c r="B13905" t="s">
        <v>4196</v>
      </c>
      <c r="C13905" t="s">
        <v>138</v>
      </c>
      <c r="D13905" s="254">
        <v>258.49</v>
      </c>
      <c r="E13905"/>
      <c r="F13905"/>
      <c r="G13905"/>
      <c r="H13905"/>
      <c r="I13905" s="489"/>
      <c r="J13905" s="1362"/>
      <c r="K13905" s="1362"/>
      <c r="L13905" s="1362"/>
    </row>
    <row r="13906" spans="1:12" x14ac:dyDescent="0.25">
      <c r="A13906">
        <v>86943</v>
      </c>
      <c r="B13906" t="s">
        <v>4197</v>
      </c>
      <c r="C13906" t="s">
        <v>138</v>
      </c>
      <c r="D13906" s="254">
        <v>248.41</v>
      </c>
      <c r="E13906"/>
      <c r="F13906"/>
      <c r="G13906"/>
      <c r="H13906"/>
      <c r="I13906" s="489"/>
      <c r="J13906" s="1362"/>
      <c r="K13906" s="1362"/>
      <c r="L13906" s="1362"/>
    </row>
    <row r="13907" spans="1:12" x14ac:dyDescent="0.25">
      <c r="A13907">
        <v>86947</v>
      </c>
      <c r="B13907" t="s">
        <v>4198</v>
      </c>
      <c r="C13907" t="s">
        <v>138</v>
      </c>
      <c r="D13907" s="254">
        <v>1269.1400000000001</v>
      </c>
      <c r="E13907"/>
      <c r="F13907"/>
      <c r="G13907"/>
      <c r="H13907"/>
      <c r="I13907" s="489"/>
      <c r="J13907" s="1362"/>
      <c r="K13907" s="1362"/>
      <c r="L13907" s="1362"/>
    </row>
    <row r="13908" spans="1:12" x14ac:dyDescent="0.25">
      <c r="A13908">
        <v>93396</v>
      </c>
      <c r="B13908" t="s">
        <v>4199</v>
      </c>
      <c r="C13908" t="s">
        <v>138</v>
      </c>
      <c r="D13908" s="254">
        <v>679.06</v>
      </c>
      <c r="E13908"/>
      <c r="F13908"/>
      <c r="G13908"/>
      <c r="H13908"/>
      <c r="I13908" s="489"/>
      <c r="J13908" s="1362"/>
      <c r="K13908" s="1362"/>
      <c r="L13908" s="1362"/>
    </row>
    <row r="13909" spans="1:12" x14ac:dyDescent="0.25">
      <c r="A13909">
        <v>93441</v>
      </c>
      <c r="B13909" t="s">
        <v>4200</v>
      </c>
      <c r="C13909" t="s">
        <v>138</v>
      </c>
      <c r="D13909" s="254">
        <v>1163.1099999999999</v>
      </c>
      <c r="E13909"/>
      <c r="F13909"/>
      <c r="G13909"/>
      <c r="H13909"/>
      <c r="I13909" s="489"/>
      <c r="J13909" s="1362"/>
      <c r="K13909" s="1362"/>
      <c r="L13909" s="1362"/>
    </row>
    <row r="13910" spans="1:12" x14ac:dyDescent="0.25">
      <c r="A13910">
        <v>93442</v>
      </c>
      <c r="B13910" t="s">
        <v>4201</v>
      </c>
      <c r="C13910" t="s">
        <v>138</v>
      </c>
      <c r="D13910" s="254">
        <v>1353.37</v>
      </c>
      <c r="E13910"/>
      <c r="F13910"/>
      <c r="G13910"/>
      <c r="H13910"/>
      <c r="I13910" s="489"/>
      <c r="J13910" s="1362"/>
      <c r="K13910" s="1362"/>
      <c r="L13910" s="1362"/>
    </row>
    <row r="13911" spans="1:12" x14ac:dyDescent="0.25">
      <c r="A13911">
        <v>95469</v>
      </c>
      <c r="B13911" t="s">
        <v>4202</v>
      </c>
      <c r="C13911" t="s">
        <v>138</v>
      </c>
      <c r="D13911" s="254">
        <v>287.55</v>
      </c>
      <c r="E13911"/>
      <c r="F13911"/>
      <c r="G13911"/>
      <c r="H13911"/>
      <c r="I13911" s="489"/>
      <c r="J13911" s="1362"/>
      <c r="K13911" s="1362"/>
      <c r="L13911" s="1362"/>
    </row>
    <row r="13912" spans="1:12" x14ac:dyDescent="0.25">
      <c r="A13912">
        <v>95470</v>
      </c>
      <c r="B13912" t="s">
        <v>1823</v>
      </c>
      <c r="C13912" t="s">
        <v>138</v>
      </c>
      <c r="D13912" s="254">
        <v>295.49</v>
      </c>
      <c r="E13912"/>
      <c r="F13912"/>
      <c r="G13912"/>
      <c r="H13912"/>
      <c r="I13912" s="489"/>
      <c r="J13912" s="1362"/>
      <c r="K13912" s="1362"/>
      <c r="L13912" s="1362"/>
    </row>
    <row r="13913" spans="1:12" x14ac:dyDescent="0.25">
      <c r="A13913">
        <v>95471</v>
      </c>
      <c r="B13913" t="s">
        <v>4203</v>
      </c>
      <c r="C13913" t="s">
        <v>138</v>
      </c>
      <c r="D13913" s="254">
        <v>689.35</v>
      </c>
      <c r="E13913"/>
      <c r="F13913"/>
      <c r="G13913"/>
      <c r="H13913"/>
      <c r="I13913" s="489"/>
      <c r="J13913" s="1362"/>
      <c r="K13913" s="1362"/>
      <c r="L13913" s="1362"/>
    </row>
    <row r="13914" spans="1:12" x14ac:dyDescent="0.25">
      <c r="A13914">
        <v>95472</v>
      </c>
      <c r="B13914" t="s">
        <v>4204</v>
      </c>
      <c r="C13914" t="s">
        <v>138</v>
      </c>
      <c r="D13914" s="254">
        <v>697.29</v>
      </c>
      <c r="E13914"/>
      <c r="F13914"/>
      <c r="G13914"/>
      <c r="H13914"/>
      <c r="I13914" s="489"/>
      <c r="J13914" s="1362"/>
      <c r="K13914" s="1362"/>
      <c r="L13914" s="1362"/>
    </row>
    <row r="13915" spans="1:12" x14ac:dyDescent="0.25">
      <c r="A13915">
        <v>95542</v>
      </c>
      <c r="B13915" t="s">
        <v>4205</v>
      </c>
      <c r="C13915" t="s">
        <v>138</v>
      </c>
      <c r="D13915" s="254">
        <v>40.32</v>
      </c>
      <c r="E13915"/>
      <c r="F13915"/>
      <c r="G13915"/>
      <c r="H13915"/>
      <c r="I13915" s="489"/>
      <c r="J13915" s="1362"/>
      <c r="K13915" s="1362"/>
      <c r="L13915" s="1362"/>
    </row>
    <row r="13916" spans="1:12" x14ac:dyDescent="0.25">
      <c r="A13916">
        <v>95543</v>
      </c>
      <c r="B13916" t="s">
        <v>4206</v>
      </c>
      <c r="C13916" t="s">
        <v>138</v>
      </c>
      <c r="D13916" s="254">
        <v>67.86</v>
      </c>
      <c r="E13916"/>
      <c r="F13916"/>
      <c r="G13916"/>
      <c r="H13916"/>
      <c r="I13916" s="489"/>
      <c r="J13916" s="1362"/>
      <c r="K13916" s="1362"/>
      <c r="L13916" s="1362"/>
    </row>
    <row r="13917" spans="1:12" x14ac:dyDescent="0.25">
      <c r="A13917">
        <v>95544</v>
      </c>
      <c r="B13917" t="s">
        <v>4207</v>
      </c>
      <c r="C13917" t="s">
        <v>138</v>
      </c>
      <c r="D13917" s="254">
        <v>49.26</v>
      </c>
      <c r="E13917"/>
      <c r="F13917"/>
      <c r="G13917"/>
      <c r="H13917"/>
      <c r="I13917" s="489"/>
      <c r="J13917" s="1362"/>
      <c r="K13917" s="1362"/>
      <c r="L13917" s="1362"/>
    </row>
    <row r="13918" spans="1:12" x14ac:dyDescent="0.25">
      <c r="A13918">
        <v>95545</v>
      </c>
      <c r="B13918" t="s">
        <v>4208</v>
      </c>
      <c r="C13918" t="s">
        <v>138</v>
      </c>
      <c r="D13918" s="254">
        <v>48.31</v>
      </c>
      <c r="E13918"/>
      <c r="F13918"/>
      <c r="G13918"/>
      <c r="H13918"/>
      <c r="I13918" s="489"/>
      <c r="J13918" s="1362"/>
      <c r="K13918" s="1362"/>
      <c r="L13918" s="1362"/>
    </row>
    <row r="13919" spans="1:12" x14ac:dyDescent="0.25">
      <c r="A13919">
        <v>95546</v>
      </c>
      <c r="B13919" t="s">
        <v>4209</v>
      </c>
      <c r="C13919" t="s">
        <v>138</v>
      </c>
      <c r="D13919" s="254">
        <v>165.79</v>
      </c>
      <c r="E13919"/>
      <c r="F13919"/>
      <c r="G13919"/>
      <c r="H13919"/>
      <c r="I13919" s="489"/>
      <c r="J13919" s="1362"/>
      <c r="K13919" s="1362"/>
      <c r="L13919" s="1362"/>
    </row>
    <row r="13920" spans="1:12" x14ac:dyDescent="0.25">
      <c r="A13920">
        <v>95547</v>
      </c>
      <c r="B13920" t="s">
        <v>4210</v>
      </c>
      <c r="C13920" t="s">
        <v>138</v>
      </c>
      <c r="D13920" s="254">
        <v>59.06</v>
      </c>
      <c r="E13920"/>
      <c r="F13920"/>
      <c r="G13920"/>
      <c r="H13920"/>
      <c r="I13920" s="489"/>
      <c r="J13920" s="1362"/>
      <c r="K13920" s="1362"/>
      <c r="L13920" s="1362"/>
    </row>
    <row r="13921" spans="1:12" x14ac:dyDescent="0.25">
      <c r="A13921">
        <v>100848</v>
      </c>
      <c r="B13921" t="s">
        <v>4211</v>
      </c>
      <c r="C13921" t="s">
        <v>138</v>
      </c>
      <c r="D13921" s="254">
        <v>501.73</v>
      </c>
      <c r="E13921"/>
      <c r="F13921"/>
      <c r="G13921"/>
      <c r="H13921"/>
      <c r="I13921" s="489"/>
      <c r="J13921" s="1362"/>
      <c r="K13921" s="1362"/>
      <c r="L13921" s="1362"/>
    </row>
    <row r="13922" spans="1:12" x14ac:dyDescent="0.25">
      <c r="A13922">
        <v>100849</v>
      </c>
      <c r="B13922" t="s">
        <v>4212</v>
      </c>
      <c r="C13922" t="s">
        <v>138</v>
      </c>
      <c r="D13922" s="254">
        <v>44.45</v>
      </c>
      <c r="E13922"/>
      <c r="F13922"/>
      <c r="G13922"/>
      <c r="H13922"/>
      <c r="I13922" s="489"/>
      <c r="J13922" s="1362"/>
      <c r="K13922" s="1362"/>
      <c r="L13922" s="1362"/>
    </row>
    <row r="13923" spans="1:12" x14ac:dyDescent="0.25">
      <c r="A13923">
        <v>100851</v>
      </c>
      <c r="B13923" t="s">
        <v>4213</v>
      </c>
      <c r="C13923" t="s">
        <v>138</v>
      </c>
      <c r="D13923" s="254">
        <v>88.34</v>
      </c>
      <c r="E13923"/>
      <c r="F13923"/>
      <c r="G13923"/>
      <c r="H13923"/>
      <c r="I13923" s="489"/>
      <c r="J13923" s="1362"/>
      <c r="K13923" s="1362"/>
      <c r="L13923" s="1362"/>
    </row>
    <row r="13924" spans="1:12" x14ac:dyDescent="0.25">
      <c r="A13924">
        <v>100852</v>
      </c>
      <c r="B13924" t="s">
        <v>4214</v>
      </c>
      <c r="C13924" t="s">
        <v>138</v>
      </c>
      <c r="D13924" s="254">
        <v>211.72</v>
      </c>
      <c r="E13924"/>
      <c r="F13924"/>
      <c r="G13924"/>
      <c r="H13924"/>
      <c r="I13924" s="489"/>
      <c r="J13924" s="1362"/>
      <c r="K13924" s="1362"/>
      <c r="L13924" s="1362"/>
    </row>
    <row r="13925" spans="1:12" x14ac:dyDescent="0.25">
      <c r="A13925">
        <v>100853</v>
      </c>
      <c r="B13925" t="s">
        <v>6951</v>
      </c>
      <c r="C13925" t="s">
        <v>138</v>
      </c>
      <c r="D13925" s="254">
        <v>300.74</v>
      </c>
      <c r="E13925"/>
      <c r="F13925"/>
      <c r="G13925"/>
      <c r="H13925"/>
      <c r="I13925" s="489"/>
      <c r="J13925" s="1362"/>
      <c r="K13925" s="1362"/>
      <c r="L13925" s="1362"/>
    </row>
    <row r="13926" spans="1:12" x14ac:dyDescent="0.25">
      <c r="A13926">
        <v>100854</v>
      </c>
      <c r="B13926" t="s">
        <v>4215</v>
      </c>
      <c r="C13926" t="s">
        <v>138</v>
      </c>
      <c r="D13926" s="254">
        <v>1553.22</v>
      </c>
      <c r="E13926"/>
      <c r="F13926"/>
      <c r="G13926"/>
      <c r="H13926"/>
      <c r="I13926" s="489"/>
      <c r="J13926" s="1362"/>
      <c r="K13926" s="1362"/>
      <c r="L13926" s="1362"/>
    </row>
    <row r="13927" spans="1:12" x14ac:dyDescent="0.25">
      <c r="A13927">
        <v>100855</v>
      </c>
      <c r="B13927" t="s">
        <v>4216</v>
      </c>
      <c r="C13927" t="s">
        <v>138</v>
      </c>
      <c r="D13927" s="254">
        <v>48.31</v>
      </c>
      <c r="E13927"/>
      <c r="F13927"/>
      <c r="G13927"/>
      <c r="H13927"/>
      <c r="I13927" s="489"/>
      <c r="J13927" s="1362"/>
      <c r="K13927" s="1362"/>
      <c r="L13927" s="1362"/>
    </row>
    <row r="13928" spans="1:12" x14ac:dyDescent="0.25">
      <c r="A13928">
        <v>100856</v>
      </c>
      <c r="B13928" t="s">
        <v>4217</v>
      </c>
      <c r="C13928" t="s">
        <v>138</v>
      </c>
      <c r="D13928" s="254">
        <v>33.58</v>
      </c>
      <c r="E13928"/>
      <c r="F13928"/>
      <c r="G13928"/>
      <c r="H13928"/>
      <c r="I13928" s="489"/>
      <c r="J13928" s="1362"/>
      <c r="K13928" s="1362"/>
      <c r="L13928" s="1362"/>
    </row>
    <row r="13929" spans="1:12" x14ac:dyDescent="0.25">
      <c r="A13929">
        <v>100857</v>
      </c>
      <c r="B13929" t="s">
        <v>4218</v>
      </c>
      <c r="C13929" t="s">
        <v>138</v>
      </c>
      <c r="D13929" s="254">
        <v>456.46</v>
      </c>
      <c r="E13929"/>
      <c r="F13929"/>
      <c r="G13929"/>
      <c r="H13929"/>
      <c r="I13929" s="489"/>
      <c r="J13929" s="1362"/>
      <c r="K13929" s="1362"/>
      <c r="L13929" s="1362"/>
    </row>
    <row r="13930" spans="1:12" x14ac:dyDescent="0.25">
      <c r="A13930">
        <v>100858</v>
      </c>
      <c r="B13930" t="s">
        <v>4219</v>
      </c>
      <c r="C13930" t="s">
        <v>138</v>
      </c>
      <c r="D13930" s="254">
        <v>594.24</v>
      </c>
      <c r="E13930"/>
      <c r="F13930"/>
      <c r="G13930"/>
      <c r="H13930"/>
      <c r="I13930" s="489"/>
      <c r="J13930" s="1362"/>
      <c r="K13930" s="1362"/>
      <c r="L13930" s="1362"/>
    </row>
    <row r="13931" spans="1:12" x14ac:dyDescent="0.25">
      <c r="A13931">
        <v>100859</v>
      </c>
      <c r="B13931" t="s">
        <v>6624</v>
      </c>
      <c r="C13931" t="s">
        <v>138</v>
      </c>
      <c r="D13931" s="254">
        <v>893.89</v>
      </c>
      <c r="E13931"/>
      <c r="F13931"/>
      <c r="G13931"/>
      <c r="H13931"/>
      <c r="I13931" s="489"/>
      <c r="J13931" s="1362"/>
      <c r="K13931" s="1362"/>
      <c r="L13931" s="1362"/>
    </row>
    <row r="13932" spans="1:12" x14ac:dyDescent="0.25">
      <c r="A13932">
        <v>100860</v>
      </c>
      <c r="B13932" t="s">
        <v>4220</v>
      </c>
      <c r="C13932" t="s">
        <v>138</v>
      </c>
      <c r="D13932" s="254">
        <v>86.09</v>
      </c>
      <c r="E13932"/>
      <c r="F13932"/>
      <c r="G13932"/>
      <c r="H13932"/>
      <c r="I13932" s="489"/>
      <c r="J13932" s="1362"/>
      <c r="K13932" s="1362"/>
      <c r="L13932" s="1362"/>
    </row>
    <row r="13933" spans="1:12" x14ac:dyDescent="0.25">
      <c r="A13933">
        <v>100861</v>
      </c>
      <c r="B13933" t="s">
        <v>4221</v>
      </c>
      <c r="C13933" t="s">
        <v>138</v>
      </c>
      <c r="D13933" s="254">
        <v>47.12</v>
      </c>
      <c r="E13933"/>
      <c r="F13933"/>
      <c r="G13933"/>
      <c r="H13933"/>
      <c r="I13933" s="489"/>
      <c r="J13933" s="1362"/>
      <c r="K13933" s="1362"/>
      <c r="L13933" s="1362"/>
    </row>
    <row r="13934" spans="1:12" x14ac:dyDescent="0.25">
      <c r="A13934">
        <v>100862</v>
      </c>
      <c r="B13934" t="s">
        <v>4222</v>
      </c>
      <c r="C13934" t="s">
        <v>138</v>
      </c>
      <c r="D13934" s="254">
        <v>52.81</v>
      </c>
      <c r="E13934"/>
      <c r="F13934"/>
      <c r="G13934"/>
      <c r="H13934"/>
      <c r="I13934" s="489"/>
      <c r="J13934" s="1362"/>
      <c r="K13934" s="1362"/>
      <c r="L13934" s="1362"/>
    </row>
    <row r="13935" spans="1:12" x14ac:dyDescent="0.25">
      <c r="A13935">
        <v>100863</v>
      </c>
      <c r="B13935" t="s">
        <v>4223</v>
      </c>
      <c r="C13935" t="s">
        <v>138</v>
      </c>
      <c r="D13935" s="254">
        <v>577.91</v>
      </c>
      <c r="E13935"/>
      <c r="F13935"/>
      <c r="G13935"/>
      <c r="H13935"/>
      <c r="I13935" s="489"/>
      <c r="J13935" s="1362"/>
      <c r="K13935" s="1362"/>
      <c r="L13935" s="1362"/>
    </row>
    <row r="13936" spans="1:12" x14ac:dyDescent="0.25">
      <c r="A13936">
        <v>100864</v>
      </c>
      <c r="B13936" t="s">
        <v>4224</v>
      </c>
      <c r="C13936" t="s">
        <v>138</v>
      </c>
      <c r="D13936" s="254">
        <v>620.54</v>
      </c>
      <c r="E13936"/>
      <c r="F13936"/>
      <c r="G13936"/>
      <c r="H13936"/>
      <c r="I13936" s="489"/>
      <c r="J13936" s="1362"/>
      <c r="K13936" s="1362"/>
      <c r="L13936" s="1362"/>
    </row>
    <row r="13937" spans="1:12" x14ac:dyDescent="0.25">
      <c r="A13937">
        <v>100865</v>
      </c>
      <c r="B13937" t="s">
        <v>4225</v>
      </c>
      <c r="C13937" t="s">
        <v>138</v>
      </c>
      <c r="D13937" s="254">
        <v>487.05</v>
      </c>
      <c r="E13937"/>
      <c r="F13937"/>
      <c r="G13937"/>
      <c r="H13937"/>
      <c r="I13937" s="489"/>
      <c r="J13937" s="1362"/>
      <c r="K13937" s="1362"/>
      <c r="L13937" s="1362"/>
    </row>
    <row r="13938" spans="1:12" x14ac:dyDescent="0.25">
      <c r="A13938">
        <v>100866</v>
      </c>
      <c r="B13938" t="s">
        <v>4226</v>
      </c>
      <c r="C13938" t="s">
        <v>138</v>
      </c>
      <c r="D13938" s="254">
        <v>319.89</v>
      </c>
      <c r="E13938"/>
      <c r="F13938"/>
      <c r="G13938"/>
      <c r="H13938"/>
      <c r="I13938" s="489"/>
      <c r="J13938" s="1362"/>
      <c r="K13938" s="1362"/>
      <c r="L13938" s="1362"/>
    </row>
    <row r="13939" spans="1:12" x14ac:dyDescent="0.25">
      <c r="A13939">
        <v>100867</v>
      </c>
      <c r="B13939" t="s">
        <v>4227</v>
      </c>
      <c r="C13939" t="s">
        <v>138</v>
      </c>
      <c r="D13939" s="254">
        <v>333.95</v>
      </c>
      <c r="E13939"/>
      <c r="F13939"/>
      <c r="G13939"/>
      <c r="H13939"/>
      <c r="I13939" s="489"/>
      <c r="J13939" s="1362"/>
      <c r="K13939" s="1362"/>
      <c r="L13939" s="1362"/>
    </row>
    <row r="13940" spans="1:12" x14ac:dyDescent="0.25">
      <c r="A13940">
        <v>100868</v>
      </c>
      <c r="B13940" t="s">
        <v>4228</v>
      </c>
      <c r="C13940" t="s">
        <v>138</v>
      </c>
      <c r="D13940" s="254">
        <v>343.31</v>
      </c>
      <c r="E13940"/>
      <c r="F13940"/>
      <c r="G13940"/>
      <c r="H13940"/>
      <c r="I13940" s="489"/>
      <c r="J13940" s="1362"/>
      <c r="K13940" s="1362"/>
      <c r="L13940" s="1362"/>
    </row>
    <row r="13941" spans="1:12" x14ac:dyDescent="0.25">
      <c r="A13941">
        <v>100869</v>
      </c>
      <c r="B13941" t="s">
        <v>4229</v>
      </c>
      <c r="C13941" t="s">
        <v>138</v>
      </c>
      <c r="D13941" s="254">
        <v>350.48</v>
      </c>
      <c r="E13941"/>
      <c r="F13941"/>
      <c r="G13941"/>
      <c r="H13941"/>
      <c r="I13941" s="489"/>
      <c r="J13941" s="1362"/>
      <c r="K13941" s="1362"/>
      <c r="L13941" s="1362"/>
    </row>
    <row r="13942" spans="1:12" x14ac:dyDescent="0.25">
      <c r="A13942">
        <v>100870</v>
      </c>
      <c r="B13942" t="s">
        <v>4230</v>
      </c>
      <c r="C13942" t="s">
        <v>138</v>
      </c>
      <c r="D13942" s="254">
        <v>329.03</v>
      </c>
      <c r="E13942"/>
      <c r="F13942"/>
      <c r="G13942"/>
      <c r="H13942"/>
      <c r="I13942" s="489"/>
      <c r="J13942" s="1362"/>
      <c r="K13942" s="1362"/>
      <c r="L13942" s="1362"/>
    </row>
    <row r="13943" spans="1:12" x14ac:dyDescent="0.25">
      <c r="A13943">
        <v>100871</v>
      </c>
      <c r="B13943" t="s">
        <v>4231</v>
      </c>
      <c r="C13943" t="s">
        <v>138</v>
      </c>
      <c r="D13943" s="254">
        <v>349.01</v>
      </c>
      <c r="E13943"/>
      <c r="F13943"/>
      <c r="G13943"/>
      <c r="H13943"/>
      <c r="I13943" s="489"/>
      <c r="J13943" s="1362"/>
      <c r="K13943" s="1362"/>
      <c r="L13943" s="1362"/>
    </row>
    <row r="13944" spans="1:12" x14ac:dyDescent="0.25">
      <c r="A13944">
        <v>100872</v>
      </c>
      <c r="B13944" t="s">
        <v>4232</v>
      </c>
      <c r="C13944" t="s">
        <v>138</v>
      </c>
      <c r="D13944" s="254">
        <v>361.77</v>
      </c>
      <c r="E13944"/>
      <c r="F13944"/>
      <c r="G13944"/>
      <c r="H13944"/>
      <c r="I13944" s="489"/>
      <c r="J13944" s="1362"/>
      <c r="K13944" s="1362"/>
      <c r="L13944" s="1362"/>
    </row>
    <row r="13945" spans="1:12" x14ac:dyDescent="0.25">
      <c r="A13945">
        <v>100873</v>
      </c>
      <c r="B13945" t="s">
        <v>4233</v>
      </c>
      <c r="C13945" t="s">
        <v>138</v>
      </c>
      <c r="D13945" s="254">
        <v>369.74</v>
      </c>
      <c r="E13945"/>
      <c r="F13945"/>
      <c r="G13945"/>
      <c r="H13945"/>
      <c r="I13945" s="489"/>
      <c r="J13945" s="1362"/>
      <c r="K13945" s="1362"/>
      <c r="L13945" s="1362"/>
    </row>
    <row r="13946" spans="1:12" x14ac:dyDescent="0.25">
      <c r="A13946">
        <v>100874</v>
      </c>
      <c r="B13946" t="s">
        <v>4234</v>
      </c>
      <c r="C13946" t="s">
        <v>138</v>
      </c>
      <c r="D13946" s="254">
        <v>319.89</v>
      </c>
      <c r="E13946"/>
      <c r="F13946"/>
      <c r="G13946"/>
      <c r="H13946"/>
      <c r="I13946" s="489"/>
      <c r="J13946" s="1362"/>
      <c r="K13946" s="1362"/>
      <c r="L13946" s="1362"/>
    </row>
    <row r="13947" spans="1:12" x14ac:dyDescent="0.25">
      <c r="A13947">
        <v>100875</v>
      </c>
      <c r="B13947" t="s">
        <v>4235</v>
      </c>
      <c r="C13947" t="s">
        <v>138</v>
      </c>
      <c r="D13947" s="254">
        <v>908.93</v>
      </c>
      <c r="E13947"/>
      <c r="F13947"/>
      <c r="G13947"/>
      <c r="H13947"/>
      <c r="I13947" s="489"/>
      <c r="J13947" s="1362"/>
      <c r="K13947" s="1362"/>
      <c r="L13947" s="1362"/>
    </row>
    <row r="13948" spans="1:12" x14ac:dyDescent="0.25">
      <c r="A13948">
        <v>100878</v>
      </c>
      <c r="B13948" t="s">
        <v>6625</v>
      </c>
      <c r="C13948" t="s">
        <v>138</v>
      </c>
      <c r="D13948" s="254">
        <v>596.66</v>
      </c>
      <c r="E13948"/>
      <c r="F13948"/>
      <c r="G13948"/>
      <c r="H13948"/>
      <c r="I13948" s="489"/>
      <c r="J13948" s="1362"/>
      <c r="K13948" s="1362"/>
      <c r="L13948" s="1362"/>
    </row>
    <row r="13949" spans="1:12" x14ac:dyDescent="0.25">
      <c r="A13949">
        <v>98052</v>
      </c>
      <c r="B13949" t="s">
        <v>5879</v>
      </c>
      <c r="C13949" t="s">
        <v>138</v>
      </c>
      <c r="D13949" s="254">
        <v>1949.4</v>
      </c>
      <c r="E13949"/>
      <c r="F13949"/>
      <c r="G13949"/>
      <c r="H13949"/>
      <c r="I13949" s="489"/>
      <c r="J13949" s="1362"/>
      <c r="K13949" s="1362"/>
      <c r="L13949" s="1362"/>
    </row>
    <row r="13950" spans="1:12" x14ac:dyDescent="0.25">
      <c r="A13950">
        <v>98053</v>
      </c>
      <c r="B13950" t="s">
        <v>5880</v>
      </c>
      <c r="C13950" t="s">
        <v>138</v>
      </c>
      <c r="D13950" s="254">
        <v>2677.89</v>
      </c>
      <c r="E13950"/>
      <c r="F13950"/>
      <c r="G13950"/>
      <c r="H13950"/>
      <c r="I13950" s="489"/>
      <c r="J13950" s="1362"/>
      <c r="K13950" s="1362"/>
      <c r="L13950" s="1362"/>
    </row>
    <row r="13951" spans="1:12" x14ac:dyDescent="0.25">
      <c r="A13951">
        <v>98054</v>
      </c>
      <c r="B13951" t="s">
        <v>5881</v>
      </c>
      <c r="C13951" t="s">
        <v>138</v>
      </c>
      <c r="D13951" s="254">
        <v>4300.79</v>
      </c>
      <c r="E13951"/>
      <c r="F13951"/>
      <c r="G13951"/>
      <c r="H13951"/>
      <c r="I13951" s="489"/>
      <c r="J13951" s="1362"/>
      <c r="K13951" s="1362"/>
      <c r="L13951" s="1362"/>
    </row>
    <row r="13952" spans="1:12" x14ac:dyDescent="0.25">
      <c r="A13952">
        <v>98055</v>
      </c>
      <c r="B13952" t="s">
        <v>5882</v>
      </c>
      <c r="C13952" t="s">
        <v>138</v>
      </c>
      <c r="D13952" s="254">
        <v>5852.86</v>
      </c>
      <c r="E13952"/>
      <c r="F13952"/>
      <c r="G13952"/>
      <c r="H13952"/>
      <c r="I13952" s="489"/>
      <c r="J13952" s="1362"/>
      <c r="K13952" s="1362"/>
      <c r="L13952" s="1362"/>
    </row>
    <row r="13953" spans="1:12" x14ac:dyDescent="0.25">
      <c r="A13953">
        <v>98056</v>
      </c>
      <c r="B13953" t="s">
        <v>5883</v>
      </c>
      <c r="C13953" t="s">
        <v>138</v>
      </c>
      <c r="D13953" s="254">
        <v>6805.69</v>
      </c>
      <c r="E13953"/>
      <c r="F13953"/>
      <c r="G13953"/>
      <c r="H13953"/>
      <c r="I13953" s="489"/>
      <c r="J13953" s="1362"/>
      <c r="K13953" s="1362"/>
      <c r="L13953" s="1362"/>
    </row>
    <row r="13954" spans="1:12" x14ac:dyDescent="0.25">
      <c r="A13954">
        <v>98057</v>
      </c>
      <c r="B13954" t="s">
        <v>5884</v>
      </c>
      <c r="C13954" t="s">
        <v>138</v>
      </c>
      <c r="D13954" s="254">
        <v>8124.6</v>
      </c>
      <c r="E13954"/>
      <c r="F13954"/>
      <c r="G13954"/>
      <c r="H13954"/>
      <c r="I13954" s="489"/>
      <c r="J13954" s="1362"/>
      <c r="K13954" s="1362"/>
      <c r="L13954" s="1362"/>
    </row>
    <row r="13955" spans="1:12" x14ac:dyDescent="0.25">
      <c r="A13955">
        <v>98058</v>
      </c>
      <c r="B13955" t="s">
        <v>5885</v>
      </c>
      <c r="C13955" t="s">
        <v>138</v>
      </c>
      <c r="D13955" s="254">
        <v>1711.35</v>
      </c>
      <c r="E13955"/>
      <c r="F13955"/>
      <c r="G13955"/>
      <c r="H13955"/>
      <c r="I13955" s="489"/>
      <c r="J13955" s="1362"/>
      <c r="K13955" s="1362"/>
      <c r="L13955" s="1362"/>
    </row>
    <row r="13956" spans="1:12" x14ac:dyDescent="0.25">
      <c r="A13956">
        <v>98059</v>
      </c>
      <c r="B13956" t="s">
        <v>5886</v>
      </c>
      <c r="C13956" t="s">
        <v>138</v>
      </c>
      <c r="D13956" s="254">
        <v>3641.87</v>
      </c>
      <c r="E13956"/>
      <c r="F13956"/>
      <c r="G13956"/>
      <c r="H13956"/>
      <c r="I13956" s="489"/>
      <c r="J13956" s="1362"/>
      <c r="K13956" s="1362"/>
      <c r="L13956" s="1362"/>
    </row>
    <row r="13957" spans="1:12" x14ac:dyDescent="0.25">
      <c r="A13957">
        <v>98060</v>
      </c>
      <c r="B13957" t="s">
        <v>5887</v>
      </c>
      <c r="C13957" t="s">
        <v>138</v>
      </c>
      <c r="D13957" s="254">
        <v>5102.66</v>
      </c>
      <c r="E13957"/>
      <c r="F13957"/>
      <c r="G13957"/>
      <c r="H13957"/>
      <c r="I13957" s="489"/>
      <c r="J13957" s="1362"/>
      <c r="K13957" s="1362"/>
      <c r="L13957" s="1362"/>
    </row>
    <row r="13958" spans="1:12" x14ac:dyDescent="0.25">
      <c r="A13958">
        <v>98061</v>
      </c>
      <c r="B13958" t="s">
        <v>5888</v>
      </c>
      <c r="C13958" t="s">
        <v>138</v>
      </c>
      <c r="D13958" s="254">
        <v>7116.85</v>
      </c>
      <c r="E13958"/>
      <c r="F13958"/>
      <c r="G13958"/>
      <c r="H13958"/>
      <c r="I13958" s="489"/>
      <c r="J13958" s="1362"/>
      <c r="K13958" s="1362"/>
      <c r="L13958" s="1362"/>
    </row>
    <row r="13959" spans="1:12" x14ac:dyDescent="0.25">
      <c r="A13959">
        <v>98062</v>
      </c>
      <c r="B13959" t="s">
        <v>5889</v>
      </c>
      <c r="C13959" t="s">
        <v>138</v>
      </c>
      <c r="D13959" s="254">
        <v>2886.8</v>
      </c>
      <c r="E13959"/>
      <c r="F13959"/>
      <c r="G13959"/>
      <c r="H13959"/>
      <c r="I13959" s="489"/>
      <c r="J13959" s="1362"/>
      <c r="K13959" s="1362"/>
      <c r="L13959" s="1362"/>
    </row>
    <row r="13960" spans="1:12" x14ac:dyDescent="0.25">
      <c r="A13960">
        <v>98063</v>
      </c>
      <c r="B13960" t="s">
        <v>5890</v>
      </c>
      <c r="C13960" t="s">
        <v>138</v>
      </c>
      <c r="D13960" s="254">
        <v>4396.57</v>
      </c>
      <c r="E13960"/>
      <c r="F13960"/>
      <c r="G13960"/>
      <c r="H13960"/>
      <c r="I13960" s="489"/>
      <c r="J13960" s="1362"/>
      <c r="K13960" s="1362"/>
      <c r="L13960" s="1362"/>
    </row>
    <row r="13961" spans="1:12" x14ac:dyDescent="0.25">
      <c r="A13961">
        <v>98064</v>
      </c>
      <c r="B13961" t="s">
        <v>5891</v>
      </c>
      <c r="C13961" t="s">
        <v>138</v>
      </c>
      <c r="D13961" s="254">
        <v>5059.28</v>
      </c>
      <c r="E13961"/>
      <c r="F13961"/>
      <c r="G13961"/>
      <c r="H13961"/>
      <c r="I13961" s="489"/>
      <c r="J13961" s="1362"/>
      <c r="K13961" s="1362"/>
      <c r="L13961" s="1362"/>
    </row>
    <row r="13962" spans="1:12" x14ac:dyDescent="0.25">
      <c r="A13962">
        <v>98065</v>
      </c>
      <c r="B13962" t="s">
        <v>5892</v>
      </c>
      <c r="C13962" t="s">
        <v>138</v>
      </c>
      <c r="D13962" s="254">
        <v>7022.71</v>
      </c>
      <c r="E13962"/>
      <c r="F13962"/>
      <c r="G13962"/>
      <c r="H13962"/>
      <c r="I13962" s="489"/>
      <c r="J13962" s="1362"/>
      <c r="K13962" s="1362"/>
      <c r="L13962" s="1362"/>
    </row>
    <row r="13963" spans="1:12" x14ac:dyDescent="0.25">
      <c r="A13963">
        <v>98066</v>
      </c>
      <c r="B13963" t="s">
        <v>19578</v>
      </c>
      <c r="C13963" t="s">
        <v>138</v>
      </c>
      <c r="D13963" s="254">
        <v>5343.57</v>
      </c>
      <c r="E13963"/>
      <c r="F13963"/>
      <c r="G13963"/>
      <c r="H13963"/>
      <c r="I13963" s="489"/>
      <c r="J13963" s="1362"/>
      <c r="K13963" s="1362"/>
      <c r="L13963" s="1362"/>
    </row>
    <row r="13964" spans="1:12" x14ac:dyDescent="0.25">
      <c r="A13964">
        <v>98067</v>
      </c>
      <c r="B13964" t="s">
        <v>19579</v>
      </c>
      <c r="C13964" t="s">
        <v>138</v>
      </c>
      <c r="D13964" s="254">
        <v>7125.88</v>
      </c>
      <c r="E13964"/>
      <c r="F13964"/>
      <c r="G13964"/>
      <c r="H13964"/>
      <c r="I13964" s="489"/>
      <c r="J13964" s="1362"/>
      <c r="K13964" s="1362"/>
      <c r="L13964" s="1362"/>
    </row>
    <row r="13965" spans="1:12" x14ac:dyDescent="0.25">
      <c r="A13965">
        <v>98068</v>
      </c>
      <c r="B13965" t="s">
        <v>19580</v>
      </c>
      <c r="C13965" t="s">
        <v>138</v>
      </c>
      <c r="D13965" s="254">
        <v>10060.6</v>
      </c>
      <c r="E13965"/>
      <c r="F13965"/>
      <c r="G13965"/>
      <c r="H13965"/>
      <c r="I13965" s="489"/>
      <c r="J13965" s="1362"/>
      <c r="K13965" s="1362"/>
      <c r="L13965" s="1362"/>
    </row>
    <row r="13966" spans="1:12" x14ac:dyDescent="0.25">
      <c r="A13966">
        <v>98069</v>
      </c>
      <c r="B13966" t="s">
        <v>19581</v>
      </c>
      <c r="C13966" t="s">
        <v>138</v>
      </c>
      <c r="D13966" s="254">
        <v>13478.39</v>
      </c>
      <c r="E13966"/>
      <c r="F13966"/>
      <c r="G13966"/>
      <c r="H13966"/>
      <c r="I13966" s="489"/>
      <c r="J13966" s="1362"/>
      <c r="K13966" s="1362"/>
      <c r="L13966" s="1362"/>
    </row>
    <row r="13967" spans="1:12" x14ac:dyDescent="0.25">
      <c r="A13967">
        <v>98070</v>
      </c>
      <c r="B13967" t="s">
        <v>19582</v>
      </c>
      <c r="C13967" t="s">
        <v>138</v>
      </c>
      <c r="D13967" s="254">
        <v>15434.57</v>
      </c>
      <c r="E13967"/>
      <c r="F13967"/>
      <c r="G13967"/>
      <c r="H13967"/>
      <c r="I13967" s="489"/>
      <c r="J13967" s="1362"/>
      <c r="K13967" s="1362"/>
      <c r="L13967" s="1362"/>
    </row>
    <row r="13968" spans="1:12" x14ac:dyDescent="0.25">
      <c r="A13968">
        <v>98071</v>
      </c>
      <c r="B13968" t="s">
        <v>19583</v>
      </c>
      <c r="C13968" t="s">
        <v>138</v>
      </c>
      <c r="D13968" s="254">
        <v>16920.689999999999</v>
      </c>
      <c r="E13968"/>
      <c r="F13968"/>
      <c r="G13968"/>
      <c r="H13968"/>
      <c r="I13968" s="489"/>
      <c r="J13968" s="1362"/>
      <c r="K13968" s="1362"/>
      <c r="L13968" s="1362"/>
    </row>
    <row r="13969" spans="1:12" x14ac:dyDescent="0.25">
      <c r="A13969">
        <v>98072</v>
      </c>
      <c r="B13969" t="s">
        <v>19584</v>
      </c>
      <c r="C13969" t="s">
        <v>138</v>
      </c>
      <c r="D13969" s="254">
        <v>4466.63</v>
      </c>
      <c r="E13969"/>
      <c r="F13969"/>
      <c r="G13969"/>
      <c r="H13969"/>
      <c r="I13969" s="489"/>
      <c r="J13969" s="1362"/>
      <c r="K13969" s="1362"/>
      <c r="L13969" s="1362"/>
    </row>
    <row r="13970" spans="1:12" x14ac:dyDescent="0.25">
      <c r="A13970">
        <v>98073</v>
      </c>
      <c r="B13970" t="s">
        <v>19585</v>
      </c>
      <c r="C13970" t="s">
        <v>138</v>
      </c>
      <c r="D13970" s="254">
        <v>6954.04</v>
      </c>
      <c r="E13970"/>
      <c r="F13970"/>
      <c r="G13970"/>
      <c r="H13970"/>
      <c r="I13970" s="489"/>
      <c r="J13970" s="1362"/>
      <c r="K13970" s="1362"/>
      <c r="L13970" s="1362"/>
    </row>
    <row r="13971" spans="1:12" x14ac:dyDescent="0.25">
      <c r="A13971">
        <v>98074</v>
      </c>
      <c r="B13971" t="s">
        <v>19586</v>
      </c>
      <c r="C13971" t="s">
        <v>138</v>
      </c>
      <c r="D13971" s="254">
        <v>10751.01</v>
      </c>
      <c r="E13971"/>
      <c r="F13971"/>
      <c r="G13971"/>
      <c r="H13971"/>
      <c r="I13971" s="489"/>
      <c r="J13971" s="1362"/>
      <c r="K13971" s="1362"/>
      <c r="L13971" s="1362"/>
    </row>
    <row r="13972" spans="1:12" x14ac:dyDescent="0.25">
      <c r="A13972">
        <v>98075</v>
      </c>
      <c r="B13972" t="s">
        <v>19587</v>
      </c>
      <c r="C13972" t="s">
        <v>138</v>
      </c>
      <c r="D13972" s="254">
        <v>13956.33</v>
      </c>
      <c r="E13972"/>
      <c r="F13972"/>
      <c r="G13972"/>
      <c r="H13972"/>
      <c r="I13972" s="489"/>
      <c r="J13972" s="1362"/>
      <c r="K13972" s="1362"/>
      <c r="L13972" s="1362"/>
    </row>
    <row r="13973" spans="1:12" x14ac:dyDescent="0.25">
      <c r="A13973">
        <v>98076</v>
      </c>
      <c r="B13973" t="s">
        <v>19588</v>
      </c>
      <c r="C13973" t="s">
        <v>138</v>
      </c>
      <c r="D13973" s="254">
        <v>16052.84</v>
      </c>
      <c r="E13973"/>
      <c r="F13973"/>
      <c r="G13973"/>
      <c r="H13973"/>
      <c r="I13973" s="489"/>
      <c r="J13973" s="1362"/>
      <c r="K13973" s="1362"/>
      <c r="L13973" s="1362"/>
    </row>
    <row r="13974" spans="1:12" x14ac:dyDescent="0.25">
      <c r="A13974">
        <v>98077</v>
      </c>
      <c r="B13974" t="s">
        <v>19589</v>
      </c>
      <c r="C13974" t="s">
        <v>138</v>
      </c>
      <c r="D13974" s="254">
        <v>18882.16</v>
      </c>
      <c r="E13974"/>
      <c r="F13974"/>
      <c r="G13974"/>
      <c r="H13974"/>
      <c r="I13974" s="489"/>
      <c r="J13974" s="1362"/>
      <c r="K13974" s="1362"/>
      <c r="L13974" s="1362"/>
    </row>
    <row r="13975" spans="1:12" x14ac:dyDescent="0.25">
      <c r="A13975">
        <v>98078</v>
      </c>
      <c r="B13975" t="s">
        <v>19590</v>
      </c>
      <c r="C13975" t="s">
        <v>138</v>
      </c>
      <c r="D13975" s="254">
        <v>5171.5200000000004</v>
      </c>
      <c r="E13975"/>
      <c r="F13975"/>
      <c r="G13975"/>
      <c r="H13975"/>
      <c r="I13975" s="489"/>
      <c r="J13975" s="1362"/>
      <c r="K13975" s="1362"/>
      <c r="L13975" s="1362"/>
    </row>
    <row r="13976" spans="1:12" x14ac:dyDescent="0.25">
      <c r="A13976">
        <v>98079</v>
      </c>
      <c r="B13976" t="s">
        <v>19591</v>
      </c>
      <c r="C13976" t="s">
        <v>138</v>
      </c>
      <c r="D13976" s="254">
        <v>9025.27</v>
      </c>
      <c r="E13976"/>
      <c r="F13976"/>
      <c r="G13976"/>
      <c r="H13976"/>
      <c r="I13976" s="489"/>
      <c r="J13976" s="1362"/>
      <c r="K13976" s="1362"/>
      <c r="L13976" s="1362"/>
    </row>
    <row r="13977" spans="1:12" x14ac:dyDescent="0.25">
      <c r="A13977">
        <v>98080</v>
      </c>
      <c r="B13977" t="s">
        <v>19592</v>
      </c>
      <c r="C13977" t="s">
        <v>138</v>
      </c>
      <c r="D13977" s="254">
        <v>11545.4</v>
      </c>
      <c r="E13977"/>
      <c r="F13977"/>
      <c r="G13977"/>
      <c r="H13977"/>
      <c r="I13977" s="489"/>
      <c r="J13977" s="1362"/>
      <c r="K13977" s="1362"/>
      <c r="L13977" s="1362"/>
    </row>
    <row r="13978" spans="1:12" x14ac:dyDescent="0.25">
      <c r="A13978">
        <v>98081</v>
      </c>
      <c r="B13978" t="s">
        <v>19593</v>
      </c>
      <c r="C13978" t="s">
        <v>138</v>
      </c>
      <c r="D13978" s="254">
        <v>17057.650000000001</v>
      </c>
      <c r="E13978"/>
      <c r="F13978"/>
      <c r="G13978"/>
      <c r="H13978"/>
      <c r="I13978" s="489"/>
      <c r="J13978" s="1362"/>
      <c r="K13978" s="1362"/>
      <c r="L13978" s="1362"/>
    </row>
    <row r="13979" spans="1:12" x14ac:dyDescent="0.25">
      <c r="A13979">
        <v>98082</v>
      </c>
      <c r="B13979" t="s">
        <v>19594</v>
      </c>
      <c r="C13979" t="s">
        <v>138</v>
      </c>
      <c r="D13979" s="254">
        <v>3838.7</v>
      </c>
      <c r="E13979"/>
      <c r="F13979"/>
      <c r="G13979"/>
      <c r="H13979"/>
      <c r="I13979" s="489"/>
      <c r="J13979" s="1362"/>
      <c r="K13979" s="1362"/>
      <c r="L13979" s="1362"/>
    </row>
    <row r="13980" spans="1:12" x14ac:dyDescent="0.25">
      <c r="A13980">
        <v>98083</v>
      </c>
      <c r="B13980" t="s">
        <v>19595</v>
      </c>
      <c r="C13980" t="s">
        <v>138</v>
      </c>
      <c r="D13980" s="254">
        <v>5056.93</v>
      </c>
      <c r="E13980"/>
      <c r="F13980"/>
      <c r="G13980"/>
      <c r="H13980"/>
      <c r="I13980" s="489"/>
      <c r="J13980" s="1362"/>
      <c r="K13980" s="1362"/>
      <c r="L13980" s="1362"/>
    </row>
    <row r="13981" spans="1:12" x14ac:dyDescent="0.25">
      <c r="A13981">
        <v>98084</v>
      </c>
      <c r="B13981" t="s">
        <v>19596</v>
      </c>
      <c r="C13981" t="s">
        <v>138</v>
      </c>
      <c r="D13981" s="254">
        <v>7085.34</v>
      </c>
      <c r="E13981"/>
      <c r="F13981"/>
      <c r="G13981"/>
      <c r="H13981"/>
      <c r="I13981" s="489"/>
      <c r="J13981" s="1362"/>
      <c r="K13981" s="1362"/>
      <c r="L13981" s="1362"/>
    </row>
    <row r="13982" spans="1:12" x14ac:dyDescent="0.25">
      <c r="A13982">
        <v>98085</v>
      </c>
      <c r="B13982" t="s">
        <v>19597</v>
      </c>
      <c r="C13982" t="s">
        <v>138</v>
      </c>
      <c r="D13982" s="254">
        <v>9613.92</v>
      </c>
      <c r="E13982"/>
      <c r="F13982"/>
      <c r="G13982"/>
      <c r="H13982"/>
      <c r="I13982" s="489"/>
      <c r="J13982" s="1362"/>
      <c r="K13982" s="1362"/>
      <c r="L13982" s="1362"/>
    </row>
    <row r="13983" spans="1:12" x14ac:dyDescent="0.25">
      <c r="A13983">
        <v>98086</v>
      </c>
      <c r="B13983" t="s">
        <v>19598</v>
      </c>
      <c r="C13983" t="s">
        <v>138</v>
      </c>
      <c r="D13983" s="254">
        <v>10840.02</v>
      </c>
      <c r="E13983"/>
      <c r="F13983"/>
      <c r="G13983"/>
      <c r="H13983"/>
      <c r="I13983" s="489"/>
      <c r="J13983" s="1362"/>
      <c r="K13983" s="1362"/>
      <c r="L13983" s="1362"/>
    </row>
    <row r="13984" spans="1:12" x14ac:dyDescent="0.25">
      <c r="A13984">
        <v>98087</v>
      </c>
      <c r="B13984" t="s">
        <v>19599</v>
      </c>
      <c r="C13984" t="s">
        <v>138</v>
      </c>
      <c r="D13984" s="254">
        <v>11545.04</v>
      </c>
      <c r="E13984"/>
      <c r="F13984"/>
      <c r="G13984"/>
      <c r="H13984"/>
      <c r="I13984" s="489"/>
      <c r="J13984" s="1362"/>
      <c r="K13984" s="1362"/>
      <c r="L13984" s="1362"/>
    </row>
    <row r="13985" spans="1:12" x14ac:dyDescent="0.25">
      <c r="A13985">
        <v>98088</v>
      </c>
      <c r="B13985" t="s">
        <v>19600</v>
      </c>
      <c r="C13985" t="s">
        <v>138</v>
      </c>
      <c r="D13985" s="254">
        <v>3316.24</v>
      </c>
      <c r="E13985"/>
      <c r="F13985"/>
      <c r="G13985"/>
      <c r="H13985"/>
      <c r="I13985" s="489"/>
      <c r="J13985" s="1362"/>
      <c r="K13985" s="1362"/>
      <c r="L13985" s="1362"/>
    </row>
    <row r="13986" spans="1:12" x14ac:dyDescent="0.25">
      <c r="A13986">
        <v>98089</v>
      </c>
      <c r="B13986" t="s">
        <v>19601</v>
      </c>
      <c r="C13986" t="s">
        <v>138</v>
      </c>
      <c r="D13986" s="254">
        <v>5246.9</v>
      </c>
      <c r="E13986"/>
      <c r="F13986"/>
      <c r="G13986"/>
      <c r="H13986"/>
      <c r="I13986" s="489"/>
      <c r="J13986" s="1362"/>
      <c r="K13986" s="1362"/>
      <c r="L13986" s="1362"/>
    </row>
    <row r="13987" spans="1:12" x14ac:dyDescent="0.25">
      <c r="A13987">
        <v>98090</v>
      </c>
      <c r="B13987" t="s">
        <v>19602</v>
      </c>
      <c r="C13987" t="s">
        <v>138</v>
      </c>
      <c r="D13987" s="254">
        <v>8248.25</v>
      </c>
      <c r="E13987"/>
      <c r="F13987"/>
      <c r="G13987"/>
      <c r="H13987"/>
      <c r="I13987" s="489"/>
      <c r="J13987" s="1362"/>
      <c r="K13987" s="1362"/>
      <c r="L13987" s="1362"/>
    </row>
    <row r="13988" spans="1:12" x14ac:dyDescent="0.25">
      <c r="A13988">
        <v>98091</v>
      </c>
      <c r="B13988" t="s">
        <v>19603</v>
      </c>
      <c r="C13988" t="s">
        <v>138</v>
      </c>
      <c r="D13988" s="254">
        <v>10777.18</v>
      </c>
      <c r="E13988"/>
      <c r="F13988"/>
      <c r="G13988"/>
      <c r="H13988"/>
      <c r="I13988" s="489"/>
      <c r="J13988" s="1362"/>
      <c r="K13988" s="1362"/>
      <c r="L13988" s="1362"/>
    </row>
    <row r="13989" spans="1:12" x14ac:dyDescent="0.25">
      <c r="A13989">
        <v>98092</v>
      </c>
      <c r="B13989" t="s">
        <v>19604</v>
      </c>
      <c r="C13989" t="s">
        <v>138</v>
      </c>
      <c r="D13989" s="254">
        <v>12522.74</v>
      </c>
      <c r="E13989"/>
      <c r="F13989"/>
      <c r="G13989"/>
      <c r="H13989"/>
      <c r="I13989" s="489"/>
      <c r="J13989" s="1362"/>
      <c r="K13989" s="1362"/>
      <c r="L13989" s="1362"/>
    </row>
    <row r="13990" spans="1:12" x14ac:dyDescent="0.25">
      <c r="A13990">
        <v>98093</v>
      </c>
      <c r="B13990" t="s">
        <v>19605</v>
      </c>
      <c r="C13990" t="s">
        <v>138</v>
      </c>
      <c r="D13990" s="254">
        <v>14784.11</v>
      </c>
      <c r="E13990"/>
      <c r="F13990"/>
      <c r="G13990"/>
      <c r="H13990"/>
      <c r="I13990" s="489"/>
      <c r="J13990" s="1362"/>
      <c r="K13990" s="1362"/>
      <c r="L13990" s="1362"/>
    </row>
    <row r="13991" spans="1:12" x14ac:dyDescent="0.25">
      <c r="A13991">
        <v>98094</v>
      </c>
      <c r="B13991" t="s">
        <v>19606</v>
      </c>
      <c r="C13991" t="s">
        <v>138</v>
      </c>
      <c r="D13991" s="254">
        <v>2733.33</v>
      </c>
      <c r="E13991"/>
      <c r="F13991"/>
      <c r="G13991"/>
      <c r="H13991"/>
      <c r="I13991" s="489"/>
      <c r="J13991" s="1362"/>
      <c r="K13991" s="1362"/>
      <c r="L13991" s="1362"/>
    </row>
    <row r="13992" spans="1:12" x14ac:dyDescent="0.25">
      <c r="A13992">
        <v>98099</v>
      </c>
      <c r="B13992" t="s">
        <v>19607</v>
      </c>
      <c r="C13992" t="s">
        <v>138</v>
      </c>
      <c r="D13992" s="254">
        <v>4670.1499999999996</v>
      </c>
      <c r="E13992"/>
      <c r="F13992"/>
      <c r="G13992"/>
      <c r="H13992"/>
      <c r="I13992" s="489"/>
      <c r="J13992" s="1362"/>
      <c r="K13992" s="1362"/>
      <c r="L13992" s="1362"/>
    </row>
    <row r="13993" spans="1:12" x14ac:dyDescent="0.25">
      <c r="A13993">
        <v>98100</v>
      </c>
      <c r="B13993" t="s">
        <v>19608</v>
      </c>
      <c r="C13993" t="s">
        <v>138</v>
      </c>
      <c r="D13993" s="254">
        <v>6125.21</v>
      </c>
      <c r="E13993"/>
      <c r="F13993"/>
      <c r="G13993"/>
      <c r="H13993"/>
      <c r="I13993" s="489"/>
      <c r="J13993" s="1362"/>
      <c r="K13993" s="1362"/>
      <c r="L13993" s="1362"/>
    </row>
    <row r="13994" spans="1:12" x14ac:dyDescent="0.25">
      <c r="A13994">
        <v>98101</v>
      </c>
      <c r="B13994" t="s">
        <v>19609</v>
      </c>
      <c r="C13994" t="s">
        <v>138</v>
      </c>
      <c r="D13994" s="254">
        <v>9057</v>
      </c>
      <c r="E13994"/>
      <c r="F13994"/>
      <c r="G13994"/>
      <c r="H13994"/>
      <c r="I13994" s="489"/>
      <c r="J13994" s="1362"/>
      <c r="K13994" s="1362"/>
      <c r="L13994" s="1362"/>
    </row>
    <row r="13995" spans="1:12" x14ac:dyDescent="0.25">
      <c r="A13995">
        <v>98109</v>
      </c>
      <c r="B13995" t="s">
        <v>5893</v>
      </c>
      <c r="C13995" t="s">
        <v>138</v>
      </c>
      <c r="D13995" s="254">
        <v>823.89</v>
      </c>
      <c r="E13995"/>
      <c r="F13995"/>
      <c r="G13995"/>
      <c r="H13995"/>
      <c r="I13995" s="489"/>
      <c r="J13995" s="1362"/>
      <c r="K13995" s="1362"/>
      <c r="L13995" s="1362"/>
    </row>
    <row r="13996" spans="1:12" x14ac:dyDescent="0.25">
      <c r="A13996">
        <v>98110</v>
      </c>
      <c r="B13996" t="s">
        <v>5894</v>
      </c>
      <c r="C13996" t="s">
        <v>138</v>
      </c>
      <c r="D13996" s="254">
        <v>398.92</v>
      </c>
      <c r="E13996"/>
      <c r="F13996"/>
      <c r="G13996"/>
      <c r="H13996"/>
      <c r="I13996" s="489"/>
      <c r="J13996" s="1362"/>
      <c r="K13996" s="1362"/>
      <c r="L13996" s="1362"/>
    </row>
    <row r="13997" spans="1:12" x14ac:dyDescent="0.25">
      <c r="A13997">
        <v>98111</v>
      </c>
      <c r="B13997" t="s">
        <v>5895</v>
      </c>
      <c r="C13997" t="s">
        <v>138</v>
      </c>
      <c r="D13997" s="254">
        <v>54.54</v>
      </c>
      <c r="E13997"/>
      <c r="F13997"/>
      <c r="G13997"/>
      <c r="H13997"/>
      <c r="I13997" s="489"/>
      <c r="J13997" s="1362"/>
      <c r="K13997" s="1362"/>
      <c r="L13997" s="1362"/>
    </row>
    <row r="13998" spans="1:12" x14ac:dyDescent="0.25">
      <c r="A13998">
        <v>98112</v>
      </c>
      <c r="B13998" t="s">
        <v>5896</v>
      </c>
      <c r="C13998" t="s">
        <v>138</v>
      </c>
      <c r="D13998" s="254">
        <v>93.53</v>
      </c>
      <c r="E13998"/>
      <c r="F13998"/>
      <c r="G13998"/>
      <c r="H13998"/>
      <c r="I13998" s="489"/>
      <c r="J13998" s="1362"/>
      <c r="K13998" s="1362"/>
      <c r="L13998" s="1362"/>
    </row>
    <row r="13999" spans="1:12" x14ac:dyDescent="0.25">
      <c r="A13999">
        <v>98114</v>
      </c>
      <c r="B13999" t="s">
        <v>5897</v>
      </c>
      <c r="C13999" t="s">
        <v>138</v>
      </c>
      <c r="D13999" s="254">
        <v>722.56</v>
      </c>
      <c r="E13999"/>
      <c r="F13999"/>
      <c r="G13999"/>
      <c r="H13999"/>
      <c r="I13999" s="489"/>
      <c r="J13999" s="1362"/>
      <c r="K13999" s="1362"/>
      <c r="L13999" s="1362"/>
    </row>
    <row r="14000" spans="1:12" x14ac:dyDescent="0.25">
      <c r="A14000">
        <v>98115</v>
      </c>
      <c r="B14000" t="s">
        <v>19610</v>
      </c>
      <c r="C14000" t="s">
        <v>138</v>
      </c>
      <c r="D14000" s="254">
        <v>104.31</v>
      </c>
      <c r="E14000"/>
      <c r="F14000"/>
      <c r="G14000"/>
      <c r="H14000"/>
      <c r="I14000" s="489"/>
      <c r="J14000" s="1362"/>
      <c r="K14000" s="1362"/>
      <c r="L14000" s="1362"/>
    </row>
    <row r="14001" spans="1:12" x14ac:dyDescent="0.25">
      <c r="A14001">
        <v>89957</v>
      </c>
      <c r="B14001" t="s">
        <v>1824</v>
      </c>
      <c r="C14001" t="s">
        <v>138</v>
      </c>
      <c r="D14001" s="254">
        <v>158.5</v>
      </c>
      <c r="E14001"/>
      <c r="F14001"/>
      <c r="G14001"/>
      <c r="H14001"/>
      <c r="I14001" s="489"/>
      <c r="J14001" s="1362"/>
      <c r="K14001" s="1362"/>
      <c r="L14001" s="1362"/>
    </row>
    <row r="14002" spans="1:12" x14ac:dyDescent="0.25">
      <c r="A14002">
        <v>89959</v>
      </c>
      <c r="B14002" t="s">
        <v>1825</v>
      </c>
      <c r="C14002" t="s">
        <v>138</v>
      </c>
      <c r="D14002" s="254">
        <v>272.85000000000002</v>
      </c>
      <c r="E14002"/>
      <c r="F14002"/>
      <c r="G14002"/>
      <c r="H14002"/>
      <c r="I14002" s="489"/>
      <c r="J14002" s="1362"/>
      <c r="K14002" s="1362"/>
      <c r="L14002" s="1362"/>
    </row>
    <row r="14003" spans="1:12" x14ac:dyDescent="0.25">
      <c r="A14003">
        <v>89349</v>
      </c>
      <c r="B14003" t="s">
        <v>6952</v>
      </c>
      <c r="C14003" t="s">
        <v>138</v>
      </c>
      <c r="D14003" s="254">
        <v>23.48</v>
      </c>
      <c r="E14003"/>
      <c r="F14003"/>
      <c r="G14003"/>
      <c r="H14003"/>
      <c r="I14003" s="489"/>
      <c r="J14003" s="1362"/>
      <c r="K14003" s="1362"/>
      <c r="L14003" s="1362"/>
    </row>
    <row r="14004" spans="1:12" x14ac:dyDescent="0.25">
      <c r="A14004">
        <v>89351</v>
      </c>
      <c r="B14004" t="s">
        <v>6953</v>
      </c>
      <c r="C14004" t="s">
        <v>138</v>
      </c>
      <c r="D14004" s="254">
        <v>29.31</v>
      </c>
      <c r="E14004"/>
      <c r="F14004"/>
      <c r="G14004"/>
      <c r="H14004"/>
      <c r="I14004" s="489"/>
      <c r="J14004" s="1362"/>
      <c r="K14004" s="1362"/>
      <c r="L14004" s="1362"/>
    </row>
    <row r="14005" spans="1:12" x14ac:dyDescent="0.25">
      <c r="A14005">
        <v>89352</v>
      </c>
      <c r="B14005" t="s">
        <v>6954</v>
      </c>
      <c r="C14005" t="s">
        <v>138</v>
      </c>
      <c r="D14005" s="254">
        <v>31.56</v>
      </c>
      <c r="E14005"/>
      <c r="F14005"/>
      <c r="G14005"/>
      <c r="H14005"/>
      <c r="I14005" s="489"/>
      <c r="J14005" s="1362"/>
      <c r="K14005" s="1362"/>
      <c r="L14005" s="1362"/>
    </row>
    <row r="14006" spans="1:12" x14ac:dyDescent="0.25">
      <c r="A14006">
        <v>89353</v>
      </c>
      <c r="B14006" t="s">
        <v>6955</v>
      </c>
      <c r="C14006" t="s">
        <v>138</v>
      </c>
      <c r="D14006" s="254">
        <v>35.1</v>
      </c>
      <c r="E14006"/>
      <c r="F14006"/>
      <c r="G14006"/>
      <c r="H14006"/>
      <c r="I14006" s="489"/>
      <c r="J14006" s="1362"/>
      <c r="K14006" s="1362"/>
      <c r="L14006" s="1362"/>
    </row>
    <row r="14007" spans="1:12" x14ac:dyDescent="0.25">
      <c r="A14007">
        <v>89354</v>
      </c>
      <c r="B14007" t="s">
        <v>6956</v>
      </c>
      <c r="C14007" t="s">
        <v>138</v>
      </c>
      <c r="D14007" s="254">
        <v>476.38</v>
      </c>
      <c r="E14007"/>
      <c r="F14007"/>
      <c r="G14007"/>
      <c r="H14007"/>
      <c r="I14007" s="489"/>
      <c r="J14007" s="1362"/>
      <c r="K14007" s="1362"/>
      <c r="L14007" s="1362"/>
    </row>
    <row r="14008" spans="1:12" x14ac:dyDescent="0.25">
      <c r="A14008">
        <v>89969</v>
      </c>
      <c r="B14008" t="s">
        <v>1826</v>
      </c>
      <c r="C14008" t="s">
        <v>138</v>
      </c>
      <c r="D14008" s="254">
        <v>40.96</v>
      </c>
      <c r="E14008"/>
      <c r="F14008"/>
      <c r="G14008"/>
      <c r="H14008"/>
      <c r="I14008" s="489"/>
      <c r="J14008" s="1362"/>
      <c r="K14008" s="1362"/>
      <c r="L14008" s="1362"/>
    </row>
    <row r="14009" spans="1:12" x14ac:dyDescent="0.25">
      <c r="A14009">
        <v>89970</v>
      </c>
      <c r="B14009" t="s">
        <v>1827</v>
      </c>
      <c r="C14009" t="s">
        <v>138</v>
      </c>
      <c r="D14009" s="254">
        <v>44.38</v>
      </c>
      <c r="E14009"/>
      <c r="F14009"/>
      <c r="G14009"/>
      <c r="H14009"/>
      <c r="I14009" s="489"/>
      <c r="J14009" s="1362"/>
      <c r="K14009" s="1362"/>
      <c r="L14009" s="1362"/>
    </row>
    <row r="14010" spans="1:12" x14ac:dyDescent="0.25">
      <c r="A14010">
        <v>89971</v>
      </c>
      <c r="B14010" t="s">
        <v>1828</v>
      </c>
      <c r="C14010" t="s">
        <v>138</v>
      </c>
      <c r="D14010" s="254">
        <v>43.46</v>
      </c>
      <c r="E14010"/>
      <c r="F14010"/>
      <c r="G14010"/>
      <c r="H14010"/>
      <c r="I14010" s="489"/>
      <c r="J14010" s="1362"/>
      <c r="K14010" s="1362"/>
      <c r="L14010" s="1362"/>
    </row>
    <row r="14011" spans="1:12" x14ac:dyDescent="0.25">
      <c r="A14011">
        <v>89972</v>
      </c>
      <c r="B14011" t="s">
        <v>1829</v>
      </c>
      <c r="C14011" t="s">
        <v>138</v>
      </c>
      <c r="D14011" s="254">
        <v>49.22</v>
      </c>
      <c r="E14011"/>
      <c r="F14011"/>
      <c r="G14011"/>
      <c r="H14011"/>
      <c r="I14011" s="489"/>
      <c r="J14011" s="1362"/>
      <c r="K14011" s="1362"/>
      <c r="L14011" s="1362"/>
    </row>
    <row r="14012" spans="1:12" x14ac:dyDescent="0.25">
      <c r="A14012">
        <v>89973</v>
      </c>
      <c r="B14012" t="s">
        <v>1830</v>
      </c>
      <c r="C14012" t="s">
        <v>138</v>
      </c>
      <c r="D14012" s="254">
        <v>698.36</v>
      </c>
      <c r="E14012"/>
      <c r="F14012"/>
      <c r="G14012"/>
      <c r="H14012"/>
      <c r="I14012" s="489"/>
      <c r="J14012" s="1362"/>
      <c r="K14012" s="1362"/>
      <c r="L14012" s="1362"/>
    </row>
    <row r="14013" spans="1:12" x14ac:dyDescent="0.25">
      <c r="A14013">
        <v>89974</v>
      </c>
      <c r="B14013" t="s">
        <v>1831</v>
      </c>
      <c r="C14013" t="s">
        <v>138</v>
      </c>
      <c r="D14013" s="254">
        <v>298.2</v>
      </c>
      <c r="E14013"/>
      <c r="F14013"/>
      <c r="G14013"/>
      <c r="H14013"/>
      <c r="I14013" s="489"/>
      <c r="J14013" s="1362"/>
      <c r="K14013" s="1362"/>
      <c r="L14013" s="1362"/>
    </row>
    <row r="14014" spans="1:12" x14ac:dyDescent="0.25">
      <c r="A14014">
        <v>89984</v>
      </c>
      <c r="B14014" t="s">
        <v>6957</v>
      </c>
      <c r="C14014" t="s">
        <v>138</v>
      </c>
      <c r="D14014" s="254">
        <v>74.709999999999994</v>
      </c>
      <c r="E14014"/>
      <c r="F14014"/>
      <c r="G14014"/>
      <c r="H14014"/>
      <c r="I14014" s="489"/>
      <c r="J14014" s="1362"/>
      <c r="K14014" s="1362"/>
      <c r="L14014" s="1362"/>
    </row>
    <row r="14015" spans="1:12" x14ac:dyDescent="0.25">
      <c r="A14015">
        <v>89985</v>
      </c>
      <c r="B14015" t="s">
        <v>6958</v>
      </c>
      <c r="C14015" t="s">
        <v>138</v>
      </c>
      <c r="D14015" s="254">
        <v>78.92</v>
      </c>
      <c r="E14015"/>
      <c r="F14015"/>
      <c r="G14015"/>
      <c r="H14015"/>
      <c r="I14015" s="489"/>
      <c r="J14015" s="1362"/>
      <c r="K14015" s="1362"/>
      <c r="L14015" s="1362"/>
    </row>
    <row r="14016" spans="1:12" x14ac:dyDescent="0.25">
      <c r="A14016">
        <v>89986</v>
      </c>
      <c r="B14016" t="s">
        <v>6959</v>
      </c>
      <c r="C14016" t="s">
        <v>138</v>
      </c>
      <c r="D14016" s="254">
        <v>72.849999999999994</v>
      </c>
      <c r="E14016"/>
      <c r="F14016"/>
      <c r="G14016"/>
      <c r="H14016"/>
      <c r="I14016" s="489"/>
      <c r="J14016" s="1362"/>
      <c r="K14016" s="1362"/>
      <c r="L14016" s="1362"/>
    </row>
    <row r="14017" spans="1:12" x14ac:dyDescent="0.25">
      <c r="A14017">
        <v>89987</v>
      </c>
      <c r="B14017" t="s">
        <v>6960</v>
      </c>
      <c r="C14017" t="s">
        <v>138</v>
      </c>
      <c r="D14017" s="254">
        <v>82.98</v>
      </c>
      <c r="E14017"/>
      <c r="F14017"/>
      <c r="G14017"/>
      <c r="H14017"/>
      <c r="I14017" s="489"/>
      <c r="J14017" s="1362"/>
      <c r="K14017" s="1362"/>
      <c r="L14017" s="1362"/>
    </row>
    <row r="14018" spans="1:12" x14ac:dyDescent="0.25">
      <c r="A14018">
        <v>90371</v>
      </c>
      <c r="B14018" t="s">
        <v>6961</v>
      </c>
      <c r="C14018" t="s">
        <v>138</v>
      </c>
      <c r="D14018" s="254">
        <v>30.14</v>
      </c>
      <c r="E14018"/>
      <c r="F14018"/>
      <c r="G14018"/>
      <c r="H14018"/>
      <c r="I14018" s="489"/>
      <c r="J14018" s="1362"/>
      <c r="K14018" s="1362"/>
      <c r="L14018" s="1362"/>
    </row>
    <row r="14019" spans="1:12" x14ac:dyDescent="0.25">
      <c r="A14019">
        <v>94489</v>
      </c>
      <c r="B14019" t="s">
        <v>6962</v>
      </c>
      <c r="C14019" t="s">
        <v>138</v>
      </c>
      <c r="D14019" s="254">
        <v>30.49</v>
      </c>
      <c r="E14019"/>
      <c r="F14019"/>
      <c r="G14019"/>
      <c r="H14019"/>
      <c r="I14019" s="489"/>
      <c r="J14019" s="1362"/>
      <c r="K14019" s="1362"/>
      <c r="L14019" s="1362"/>
    </row>
    <row r="14020" spans="1:12" x14ac:dyDescent="0.25">
      <c r="A14020">
        <v>94490</v>
      </c>
      <c r="B14020" t="s">
        <v>6963</v>
      </c>
      <c r="C14020" t="s">
        <v>138</v>
      </c>
      <c r="D14020" s="254">
        <v>44.97</v>
      </c>
      <c r="E14020"/>
      <c r="F14020"/>
      <c r="G14020"/>
      <c r="H14020"/>
      <c r="I14020" s="489"/>
      <c r="J14020" s="1362"/>
      <c r="K14020" s="1362"/>
      <c r="L14020" s="1362"/>
    </row>
    <row r="14021" spans="1:12" x14ac:dyDescent="0.25">
      <c r="A14021">
        <v>94491</v>
      </c>
      <c r="B14021" t="s">
        <v>6964</v>
      </c>
      <c r="C14021" t="s">
        <v>138</v>
      </c>
      <c r="D14021" s="254">
        <v>61.37</v>
      </c>
      <c r="E14021"/>
      <c r="F14021"/>
      <c r="G14021"/>
      <c r="H14021"/>
      <c r="I14021" s="489"/>
      <c r="J14021" s="1362"/>
      <c r="K14021" s="1362"/>
      <c r="L14021" s="1362"/>
    </row>
    <row r="14022" spans="1:12" x14ac:dyDescent="0.25">
      <c r="A14022">
        <v>94492</v>
      </c>
      <c r="B14022" t="s">
        <v>6965</v>
      </c>
      <c r="C14022" t="s">
        <v>138</v>
      </c>
      <c r="D14022" s="254">
        <v>63.09</v>
      </c>
      <c r="E14022"/>
      <c r="F14022"/>
      <c r="G14022"/>
      <c r="H14022"/>
      <c r="I14022" s="489"/>
      <c r="J14022" s="1362"/>
      <c r="K14022" s="1362"/>
      <c r="L14022" s="1362"/>
    </row>
    <row r="14023" spans="1:12" x14ac:dyDescent="0.25">
      <c r="A14023">
        <v>94493</v>
      </c>
      <c r="B14023" t="s">
        <v>6966</v>
      </c>
      <c r="C14023" t="s">
        <v>138</v>
      </c>
      <c r="D14023" s="254">
        <v>115.55</v>
      </c>
      <c r="E14023"/>
      <c r="F14023"/>
      <c r="G14023"/>
      <c r="H14023"/>
      <c r="I14023" s="489"/>
      <c r="J14023" s="1362"/>
      <c r="K14023" s="1362"/>
      <c r="L14023" s="1362"/>
    </row>
    <row r="14024" spans="1:12" x14ac:dyDescent="0.25">
      <c r="A14024">
        <v>94495</v>
      </c>
      <c r="B14024" t="s">
        <v>6967</v>
      </c>
      <c r="C14024" t="s">
        <v>138</v>
      </c>
      <c r="D14024" s="254">
        <v>54.03</v>
      </c>
      <c r="E14024"/>
      <c r="F14024"/>
      <c r="G14024"/>
      <c r="H14024"/>
      <c r="I14024" s="489"/>
      <c r="J14024" s="1362"/>
      <c r="K14024" s="1362"/>
      <c r="L14024" s="1362"/>
    </row>
    <row r="14025" spans="1:12" x14ac:dyDescent="0.25">
      <c r="A14025">
        <v>94496</v>
      </c>
      <c r="B14025" t="s">
        <v>6968</v>
      </c>
      <c r="C14025" t="s">
        <v>138</v>
      </c>
      <c r="D14025" s="254">
        <v>73.63</v>
      </c>
      <c r="E14025"/>
      <c r="F14025"/>
      <c r="G14025"/>
      <c r="H14025"/>
      <c r="I14025" s="489"/>
      <c r="J14025" s="1362"/>
      <c r="K14025" s="1362"/>
      <c r="L14025" s="1362"/>
    </row>
    <row r="14026" spans="1:12" x14ac:dyDescent="0.25">
      <c r="A14026">
        <v>94497</v>
      </c>
      <c r="B14026" t="s">
        <v>6969</v>
      </c>
      <c r="C14026" t="s">
        <v>138</v>
      </c>
      <c r="D14026" s="254">
        <v>93.36</v>
      </c>
      <c r="E14026"/>
      <c r="F14026"/>
      <c r="G14026"/>
      <c r="H14026"/>
      <c r="I14026" s="489"/>
      <c r="J14026" s="1362"/>
      <c r="K14026" s="1362"/>
      <c r="L14026" s="1362"/>
    </row>
    <row r="14027" spans="1:12" x14ac:dyDescent="0.25">
      <c r="A14027">
        <v>94498</v>
      </c>
      <c r="B14027" t="s">
        <v>6970</v>
      </c>
      <c r="C14027" t="s">
        <v>138</v>
      </c>
      <c r="D14027" s="254">
        <v>128.61000000000001</v>
      </c>
      <c r="E14027"/>
      <c r="F14027"/>
      <c r="G14027"/>
      <c r="H14027"/>
      <c r="I14027" s="489"/>
      <c r="J14027" s="1362"/>
      <c r="K14027" s="1362"/>
      <c r="L14027" s="1362"/>
    </row>
    <row r="14028" spans="1:12" x14ac:dyDescent="0.25">
      <c r="A14028">
        <v>94499</v>
      </c>
      <c r="B14028" t="s">
        <v>6971</v>
      </c>
      <c r="C14028" t="s">
        <v>138</v>
      </c>
      <c r="D14028" s="254">
        <v>253.5</v>
      </c>
      <c r="E14028"/>
      <c r="F14028"/>
      <c r="G14028"/>
      <c r="H14028"/>
      <c r="I14028" s="489"/>
      <c r="J14028" s="1362"/>
      <c r="K14028" s="1362"/>
      <c r="L14028" s="1362"/>
    </row>
    <row r="14029" spans="1:12" x14ac:dyDescent="0.25">
      <c r="A14029">
        <v>94500</v>
      </c>
      <c r="B14029" t="s">
        <v>6972</v>
      </c>
      <c r="C14029" t="s">
        <v>138</v>
      </c>
      <c r="D14029" s="254">
        <v>307.89999999999998</v>
      </c>
      <c r="E14029"/>
      <c r="F14029"/>
      <c r="G14029"/>
      <c r="H14029"/>
      <c r="I14029" s="489"/>
      <c r="J14029" s="1362"/>
      <c r="K14029" s="1362"/>
      <c r="L14029" s="1362"/>
    </row>
    <row r="14030" spans="1:12" x14ac:dyDescent="0.25">
      <c r="A14030">
        <v>94501</v>
      </c>
      <c r="B14030" t="s">
        <v>6973</v>
      </c>
      <c r="C14030" t="s">
        <v>138</v>
      </c>
      <c r="D14030" s="254">
        <v>617.11</v>
      </c>
      <c r="E14030"/>
      <c r="F14030"/>
      <c r="G14030"/>
      <c r="H14030"/>
      <c r="I14030" s="489"/>
      <c r="J14030" s="1362"/>
      <c r="K14030" s="1362"/>
      <c r="L14030" s="1362"/>
    </row>
    <row r="14031" spans="1:12" x14ac:dyDescent="0.25">
      <c r="A14031">
        <v>94792</v>
      </c>
      <c r="B14031" t="s">
        <v>6974</v>
      </c>
      <c r="C14031" t="s">
        <v>138</v>
      </c>
      <c r="D14031" s="254">
        <v>101</v>
      </c>
      <c r="E14031"/>
      <c r="F14031"/>
      <c r="G14031"/>
      <c r="H14031"/>
      <c r="I14031" s="489"/>
      <c r="J14031" s="1362"/>
      <c r="K14031" s="1362"/>
      <c r="L14031" s="1362"/>
    </row>
    <row r="14032" spans="1:12" x14ac:dyDescent="0.25">
      <c r="A14032">
        <v>94793</v>
      </c>
      <c r="B14032" t="s">
        <v>6975</v>
      </c>
      <c r="C14032" t="s">
        <v>138</v>
      </c>
      <c r="D14032" s="254">
        <v>137.93</v>
      </c>
      <c r="E14032"/>
      <c r="F14032"/>
      <c r="G14032"/>
      <c r="H14032"/>
      <c r="I14032" s="489"/>
      <c r="J14032" s="1362"/>
      <c r="K14032" s="1362"/>
      <c r="L14032" s="1362"/>
    </row>
    <row r="14033" spans="1:12" x14ac:dyDescent="0.25">
      <c r="A14033">
        <v>94794</v>
      </c>
      <c r="B14033" t="s">
        <v>6976</v>
      </c>
      <c r="C14033" t="s">
        <v>138</v>
      </c>
      <c r="D14033" s="254">
        <v>146.72999999999999</v>
      </c>
      <c r="E14033"/>
      <c r="F14033"/>
      <c r="G14033"/>
      <c r="H14033"/>
      <c r="I14033" s="489"/>
      <c r="J14033" s="1362"/>
      <c r="K14033" s="1362"/>
      <c r="L14033" s="1362"/>
    </row>
    <row r="14034" spans="1:12" x14ac:dyDescent="0.25">
      <c r="A14034">
        <v>94795</v>
      </c>
      <c r="B14034" t="s">
        <v>6977</v>
      </c>
      <c r="C14034" t="s">
        <v>138</v>
      </c>
      <c r="D14034" s="254">
        <v>35.21</v>
      </c>
      <c r="E14034"/>
      <c r="F14034"/>
      <c r="G14034"/>
      <c r="H14034"/>
      <c r="I14034" s="489"/>
      <c r="J14034" s="1362"/>
      <c r="K14034" s="1362"/>
      <c r="L14034" s="1362"/>
    </row>
    <row r="14035" spans="1:12" x14ac:dyDescent="0.25">
      <c r="A14035">
        <v>94796</v>
      </c>
      <c r="B14035" t="s">
        <v>6978</v>
      </c>
      <c r="C14035" t="s">
        <v>138</v>
      </c>
      <c r="D14035" s="254">
        <v>40.950000000000003</v>
      </c>
      <c r="E14035"/>
      <c r="F14035"/>
      <c r="G14035"/>
      <c r="H14035"/>
      <c r="I14035" s="489"/>
      <c r="J14035" s="1362"/>
      <c r="K14035" s="1362"/>
      <c r="L14035" s="1362"/>
    </row>
    <row r="14036" spans="1:12" x14ac:dyDescent="0.25">
      <c r="A14036">
        <v>94797</v>
      </c>
      <c r="B14036" t="s">
        <v>6979</v>
      </c>
      <c r="C14036" t="s">
        <v>138</v>
      </c>
      <c r="D14036" s="254">
        <v>83.17</v>
      </c>
      <c r="E14036"/>
      <c r="F14036"/>
      <c r="G14036"/>
      <c r="H14036"/>
      <c r="I14036" s="489"/>
      <c r="J14036" s="1362"/>
      <c r="K14036" s="1362"/>
      <c r="L14036" s="1362"/>
    </row>
    <row r="14037" spans="1:12" x14ac:dyDescent="0.25">
      <c r="A14037">
        <v>94798</v>
      </c>
      <c r="B14037" t="s">
        <v>6980</v>
      </c>
      <c r="C14037" t="s">
        <v>138</v>
      </c>
      <c r="D14037" s="254">
        <v>137.04</v>
      </c>
      <c r="E14037"/>
      <c r="F14037"/>
      <c r="G14037"/>
      <c r="H14037"/>
      <c r="I14037" s="489"/>
      <c r="J14037" s="1362"/>
      <c r="K14037" s="1362"/>
      <c r="L14037" s="1362"/>
    </row>
    <row r="14038" spans="1:12" x14ac:dyDescent="0.25">
      <c r="A14038">
        <v>94799</v>
      </c>
      <c r="B14038" t="s">
        <v>6981</v>
      </c>
      <c r="C14038" t="s">
        <v>138</v>
      </c>
      <c r="D14038" s="254">
        <v>168.57</v>
      </c>
      <c r="E14038"/>
      <c r="F14038"/>
      <c r="G14038"/>
      <c r="H14038"/>
      <c r="I14038" s="489"/>
      <c r="J14038" s="1362"/>
      <c r="K14038" s="1362"/>
      <c r="L14038" s="1362"/>
    </row>
    <row r="14039" spans="1:12" x14ac:dyDescent="0.25">
      <c r="A14039">
        <v>94800</v>
      </c>
      <c r="B14039" t="s">
        <v>6982</v>
      </c>
      <c r="C14039" t="s">
        <v>138</v>
      </c>
      <c r="D14039" s="254">
        <v>216.47</v>
      </c>
      <c r="E14039"/>
      <c r="F14039"/>
      <c r="G14039"/>
      <c r="H14039"/>
      <c r="I14039" s="489"/>
      <c r="J14039" s="1362"/>
      <c r="K14039" s="1362"/>
      <c r="L14039" s="1362"/>
    </row>
    <row r="14040" spans="1:12" x14ac:dyDescent="0.25">
      <c r="A14040">
        <v>95248</v>
      </c>
      <c r="B14040" t="s">
        <v>6983</v>
      </c>
      <c r="C14040" t="s">
        <v>138</v>
      </c>
      <c r="D14040" s="254">
        <v>45.4</v>
      </c>
      <c r="E14040"/>
      <c r="F14040"/>
      <c r="G14040"/>
      <c r="H14040"/>
      <c r="I14040" s="489"/>
      <c r="J14040" s="1362"/>
      <c r="K14040" s="1362"/>
      <c r="L14040" s="1362"/>
    </row>
    <row r="14041" spans="1:12" x14ac:dyDescent="0.25">
      <c r="A14041">
        <v>95249</v>
      </c>
      <c r="B14041" t="s">
        <v>6984</v>
      </c>
      <c r="C14041" t="s">
        <v>138</v>
      </c>
      <c r="D14041" s="254">
        <v>53.83</v>
      </c>
      <c r="E14041"/>
      <c r="F14041"/>
      <c r="G14041"/>
      <c r="H14041"/>
      <c r="I14041" s="489"/>
      <c r="J14041" s="1362"/>
      <c r="K14041" s="1362"/>
      <c r="L14041" s="1362"/>
    </row>
    <row r="14042" spans="1:12" x14ac:dyDescent="0.25">
      <c r="A14042">
        <v>95250</v>
      </c>
      <c r="B14042" t="s">
        <v>6985</v>
      </c>
      <c r="C14042" t="s">
        <v>138</v>
      </c>
      <c r="D14042" s="254">
        <v>72.64</v>
      </c>
      <c r="E14042"/>
      <c r="F14042"/>
      <c r="G14042"/>
      <c r="H14042"/>
      <c r="I14042" s="489"/>
      <c r="J14042" s="1362"/>
      <c r="K14042" s="1362"/>
      <c r="L14042" s="1362"/>
    </row>
    <row r="14043" spans="1:12" x14ac:dyDescent="0.25">
      <c r="A14043">
        <v>95251</v>
      </c>
      <c r="B14043" t="s">
        <v>6986</v>
      </c>
      <c r="C14043" t="s">
        <v>138</v>
      </c>
      <c r="D14043" s="254">
        <v>107.27</v>
      </c>
      <c r="E14043"/>
      <c r="F14043"/>
      <c r="G14043"/>
      <c r="H14043"/>
      <c r="I14043" s="489"/>
      <c r="J14043" s="1362"/>
      <c r="K14043" s="1362"/>
      <c r="L14043" s="1362"/>
    </row>
    <row r="14044" spans="1:12" x14ac:dyDescent="0.25">
      <c r="A14044">
        <v>95252</v>
      </c>
      <c r="B14044" t="s">
        <v>6987</v>
      </c>
      <c r="C14044" t="s">
        <v>138</v>
      </c>
      <c r="D14044" s="254">
        <v>130.27000000000001</v>
      </c>
      <c r="E14044"/>
      <c r="F14044"/>
      <c r="G14044"/>
      <c r="H14044"/>
      <c r="I14044" s="489"/>
      <c r="J14044" s="1362"/>
      <c r="K14044" s="1362"/>
      <c r="L14044" s="1362"/>
    </row>
    <row r="14045" spans="1:12" x14ac:dyDescent="0.25">
      <c r="A14045">
        <v>95253</v>
      </c>
      <c r="B14045" t="s">
        <v>6988</v>
      </c>
      <c r="C14045" t="s">
        <v>138</v>
      </c>
      <c r="D14045" s="254">
        <v>197.38</v>
      </c>
      <c r="E14045"/>
      <c r="F14045"/>
      <c r="G14045"/>
      <c r="H14045"/>
      <c r="I14045" s="489"/>
      <c r="J14045" s="1362"/>
      <c r="K14045" s="1362"/>
      <c r="L14045" s="1362"/>
    </row>
    <row r="14046" spans="1:12" x14ac:dyDescent="0.25">
      <c r="A14046">
        <v>99619</v>
      </c>
      <c r="B14046" t="s">
        <v>6989</v>
      </c>
      <c r="C14046" t="s">
        <v>138</v>
      </c>
      <c r="D14046" s="254">
        <v>118.76</v>
      </c>
      <c r="E14046"/>
      <c r="F14046"/>
      <c r="G14046"/>
      <c r="H14046"/>
      <c r="I14046" s="489"/>
      <c r="J14046" s="1362"/>
      <c r="K14046" s="1362"/>
      <c r="L14046" s="1362"/>
    </row>
    <row r="14047" spans="1:12" x14ac:dyDescent="0.25">
      <c r="A14047">
        <v>99620</v>
      </c>
      <c r="B14047" t="s">
        <v>6990</v>
      </c>
      <c r="C14047" t="s">
        <v>138</v>
      </c>
      <c r="D14047" s="254">
        <v>161.33000000000001</v>
      </c>
      <c r="E14047"/>
      <c r="F14047"/>
      <c r="G14047"/>
      <c r="H14047"/>
      <c r="I14047" s="489"/>
      <c r="J14047" s="1362"/>
      <c r="K14047" s="1362"/>
      <c r="L14047" s="1362"/>
    </row>
    <row r="14048" spans="1:12" x14ac:dyDescent="0.25">
      <c r="A14048">
        <v>99621</v>
      </c>
      <c r="B14048" t="s">
        <v>6991</v>
      </c>
      <c r="C14048" t="s">
        <v>138</v>
      </c>
      <c r="D14048" s="254">
        <v>240.45</v>
      </c>
      <c r="E14048"/>
      <c r="F14048"/>
      <c r="G14048"/>
      <c r="H14048"/>
      <c r="I14048" s="489"/>
      <c r="J14048" s="1362"/>
      <c r="K14048" s="1362"/>
      <c r="L14048" s="1362"/>
    </row>
    <row r="14049" spans="1:12" x14ac:dyDescent="0.25">
      <c r="A14049">
        <v>99622</v>
      </c>
      <c r="B14049" t="s">
        <v>6992</v>
      </c>
      <c r="C14049" t="s">
        <v>138</v>
      </c>
      <c r="D14049" s="254">
        <v>270.67</v>
      </c>
      <c r="E14049"/>
      <c r="F14049"/>
      <c r="G14049"/>
      <c r="H14049"/>
      <c r="I14049" s="489"/>
      <c r="J14049" s="1362"/>
      <c r="K14049" s="1362"/>
      <c r="L14049" s="1362"/>
    </row>
    <row r="14050" spans="1:12" x14ac:dyDescent="0.25">
      <c r="A14050">
        <v>99623</v>
      </c>
      <c r="B14050" t="s">
        <v>6993</v>
      </c>
      <c r="C14050" t="s">
        <v>138</v>
      </c>
      <c r="D14050" s="254">
        <v>377.67</v>
      </c>
      <c r="E14050"/>
      <c r="F14050"/>
      <c r="G14050"/>
      <c r="H14050"/>
      <c r="I14050" s="489"/>
      <c r="J14050" s="1362"/>
      <c r="K14050" s="1362"/>
      <c r="L14050" s="1362"/>
    </row>
    <row r="14051" spans="1:12" x14ac:dyDescent="0.25">
      <c r="A14051">
        <v>99624</v>
      </c>
      <c r="B14051" t="s">
        <v>6994</v>
      </c>
      <c r="C14051" t="s">
        <v>138</v>
      </c>
      <c r="D14051" s="254">
        <v>538.39</v>
      </c>
      <c r="E14051"/>
      <c r="F14051"/>
      <c r="G14051"/>
      <c r="H14051"/>
      <c r="I14051" s="489"/>
      <c r="J14051" s="1362"/>
      <c r="K14051" s="1362"/>
      <c r="L14051" s="1362"/>
    </row>
    <row r="14052" spans="1:12" x14ac:dyDescent="0.25">
      <c r="A14052">
        <v>99625</v>
      </c>
      <c r="B14052" t="s">
        <v>6995</v>
      </c>
      <c r="C14052" t="s">
        <v>138</v>
      </c>
      <c r="D14052" s="254">
        <v>740.54</v>
      </c>
      <c r="E14052"/>
      <c r="F14052"/>
      <c r="G14052"/>
      <c r="H14052"/>
      <c r="I14052" s="489"/>
      <c r="J14052" s="1362"/>
      <c r="K14052" s="1362"/>
      <c r="L14052" s="1362"/>
    </row>
    <row r="14053" spans="1:12" x14ac:dyDescent="0.25">
      <c r="A14053">
        <v>99626</v>
      </c>
      <c r="B14053" t="s">
        <v>6996</v>
      </c>
      <c r="C14053" t="s">
        <v>138</v>
      </c>
      <c r="D14053" s="254">
        <v>1140.1199999999999</v>
      </c>
      <c r="E14053"/>
      <c r="F14053"/>
      <c r="G14053"/>
      <c r="H14053"/>
      <c r="I14053" s="489"/>
      <c r="J14053" s="1362"/>
      <c r="K14053" s="1362"/>
      <c r="L14053" s="1362"/>
    </row>
    <row r="14054" spans="1:12" x14ac:dyDescent="0.25">
      <c r="A14054">
        <v>99627</v>
      </c>
      <c r="B14054" t="s">
        <v>6997</v>
      </c>
      <c r="C14054" t="s">
        <v>138</v>
      </c>
      <c r="D14054" s="254">
        <v>71.650000000000006</v>
      </c>
      <c r="E14054"/>
      <c r="F14054"/>
      <c r="G14054"/>
      <c r="H14054"/>
      <c r="I14054" s="489"/>
      <c r="J14054" s="1362"/>
      <c r="K14054" s="1362"/>
      <c r="L14054" s="1362"/>
    </row>
    <row r="14055" spans="1:12" x14ac:dyDescent="0.25">
      <c r="A14055">
        <v>99628</v>
      </c>
      <c r="B14055" t="s">
        <v>6998</v>
      </c>
      <c r="C14055" t="s">
        <v>138</v>
      </c>
      <c r="D14055" s="254">
        <v>78.23</v>
      </c>
      <c r="E14055"/>
      <c r="F14055"/>
      <c r="G14055"/>
      <c r="H14055"/>
      <c r="I14055" s="489"/>
      <c r="J14055" s="1362"/>
      <c r="K14055" s="1362"/>
      <c r="L14055" s="1362"/>
    </row>
    <row r="14056" spans="1:12" x14ac:dyDescent="0.25">
      <c r="A14056">
        <v>99629</v>
      </c>
      <c r="B14056" t="s">
        <v>6999</v>
      </c>
      <c r="C14056" t="s">
        <v>138</v>
      </c>
      <c r="D14056" s="254">
        <v>86.94</v>
      </c>
      <c r="E14056"/>
      <c r="F14056"/>
      <c r="G14056"/>
      <c r="H14056"/>
      <c r="I14056" s="489"/>
      <c r="J14056" s="1362"/>
      <c r="K14056" s="1362"/>
      <c r="L14056" s="1362"/>
    </row>
    <row r="14057" spans="1:12" x14ac:dyDescent="0.25">
      <c r="A14057">
        <v>99630</v>
      </c>
      <c r="B14057" t="s">
        <v>7000</v>
      </c>
      <c r="C14057" t="s">
        <v>138</v>
      </c>
      <c r="D14057" s="254">
        <v>129.34</v>
      </c>
      <c r="E14057"/>
      <c r="F14057"/>
      <c r="G14057"/>
      <c r="H14057"/>
      <c r="I14057" s="489"/>
      <c r="J14057" s="1362"/>
      <c r="K14057" s="1362"/>
      <c r="L14057" s="1362"/>
    </row>
    <row r="14058" spans="1:12" x14ac:dyDescent="0.25">
      <c r="A14058">
        <v>99631</v>
      </c>
      <c r="B14058" t="s">
        <v>7001</v>
      </c>
      <c r="C14058" t="s">
        <v>138</v>
      </c>
      <c r="D14058" s="254">
        <v>150.6</v>
      </c>
      <c r="E14058"/>
      <c r="F14058"/>
      <c r="G14058"/>
      <c r="H14058"/>
      <c r="I14058" s="489"/>
      <c r="J14058" s="1362"/>
      <c r="K14058" s="1362"/>
      <c r="L14058" s="1362"/>
    </row>
    <row r="14059" spans="1:12" x14ac:dyDescent="0.25">
      <c r="A14059">
        <v>99632</v>
      </c>
      <c r="B14059" t="s">
        <v>7002</v>
      </c>
      <c r="C14059" t="s">
        <v>138</v>
      </c>
      <c r="D14059" s="254">
        <v>217.1</v>
      </c>
      <c r="E14059"/>
      <c r="F14059"/>
      <c r="G14059"/>
      <c r="H14059"/>
      <c r="I14059" s="489"/>
      <c r="J14059" s="1362"/>
      <c r="K14059" s="1362"/>
      <c r="L14059" s="1362"/>
    </row>
    <row r="14060" spans="1:12" x14ac:dyDescent="0.25">
      <c r="A14060">
        <v>99633</v>
      </c>
      <c r="B14060" t="s">
        <v>7003</v>
      </c>
      <c r="C14060" t="s">
        <v>138</v>
      </c>
      <c r="D14060" s="254">
        <v>465.83</v>
      </c>
      <c r="E14060"/>
      <c r="F14060"/>
      <c r="G14060"/>
      <c r="H14060"/>
      <c r="I14060" s="489"/>
      <c r="J14060" s="1362"/>
      <c r="K14060" s="1362"/>
      <c r="L14060" s="1362"/>
    </row>
    <row r="14061" spans="1:12" x14ac:dyDescent="0.25">
      <c r="A14061">
        <v>99634</v>
      </c>
      <c r="B14061" t="s">
        <v>7004</v>
      </c>
      <c r="C14061" t="s">
        <v>138</v>
      </c>
      <c r="D14061" s="254">
        <v>794.47</v>
      </c>
      <c r="E14061"/>
      <c r="F14061"/>
      <c r="G14061"/>
      <c r="H14061"/>
      <c r="I14061" s="489"/>
      <c r="J14061" s="1362"/>
      <c r="K14061" s="1362"/>
      <c r="L14061" s="1362"/>
    </row>
    <row r="14062" spans="1:12" x14ac:dyDescent="0.25">
      <c r="A14062">
        <v>99635</v>
      </c>
      <c r="B14062" t="s">
        <v>7005</v>
      </c>
      <c r="C14062" t="s">
        <v>138</v>
      </c>
      <c r="D14062" s="254">
        <v>269.19</v>
      </c>
      <c r="E14062"/>
      <c r="F14062"/>
      <c r="G14062"/>
      <c r="H14062"/>
      <c r="I14062" s="489"/>
      <c r="J14062" s="1362"/>
      <c r="K14062" s="1362"/>
      <c r="L14062" s="1362"/>
    </row>
    <row r="14063" spans="1:12" x14ac:dyDescent="0.25">
      <c r="A14063">
        <v>103008</v>
      </c>
      <c r="B14063" t="s">
        <v>7006</v>
      </c>
      <c r="C14063" t="s">
        <v>138</v>
      </c>
      <c r="D14063" s="254">
        <v>97</v>
      </c>
      <c r="E14063"/>
      <c r="F14063"/>
      <c r="G14063"/>
      <c r="H14063"/>
      <c r="I14063" s="489"/>
      <c r="J14063" s="1362"/>
      <c r="K14063" s="1362"/>
      <c r="L14063" s="1362"/>
    </row>
    <row r="14064" spans="1:12" x14ac:dyDescent="0.25">
      <c r="A14064">
        <v>103009</v>
      </c>
      <c r="B14064" t="s">
        <v>7007</v>
      </c>
      <c r="C14064" t="s">
        <v>138</v>
      </c>
      <c r="D14064" s="254">
        <v>343.11</v>
      </c>
      <c r="E14064"/>
      <c r="F14064"/>
      <c r="G14064"/>
      <c r="H14064"/>
      <c r="I14064" s="489"/>
      <c r="J14064" s="1362"/>
      <c r="K14064" s="1362"/>
      <c r="L14064" s="1362"/>
    </row>
    <row r="14065" spans="1:12" x14ac:dyDescent="0.25">
      <c r="A14065">
        <v>103010</v>
      </c>
      <c r="B14065" t="s">
        <v>7008</v>
      </c>
      <c r="C14065" t="s">
        <v>138</v>
      </c>
      <c r="D14065" s="254">
        <v>73.56</v>
      </c>
      <c r="E14065"/>
      <c r="F14065"/>
      <c r="G14065"/>
      <c r="H14065"/>
      <c r="I14065" s="489"/>
      <c r="J14065" s="1362"/>
      <c r="K14065" s="1362"/>
      <c r="L14065" s="1362"/>
    </row>
    <row r="14066" spans="1:12" x14ac:dyDescent="0.25">
      <c r="A14066">
        <v>103011</v>
      </c>
      <c r="B14066" t="s">
        <v>7009</v>
      </c>
      <c r="C14066" t="s">
        <v>138</v>
      </c>
      <c r="D14066" s="254">
        <v>82.04</v>
      </c>
      <c r="E14066"/>
      <c r="F14066"/>
      <c r="G14066"/>
      <c r="H14066"/>
      <c r="I14066" s="489"/>
      <c r="J14066" s="1362"/>
      <c r="K14066" s="1362"/>
      <c r="L14066" s="1362"/>
    </row>
    <row r="14067" spans="1:12" x14ac:dyDescent="0.25">
      <c r="A14067">
        <v>103012</v>
      </c>
      <c r="B14067" t="s">
        <v>7010</v>
      </c>
      <c r="C14067" t="s">
        <v>138</v>
      </c>
      <c r="D14067" s="254">
        <v>129.34</v>
      </c>
      <c r="E14067"/>
      <c r="F14067"/>
      <c r="G14067"/>
      <c r="H14067"/>
      <c r="I14067" s="489"/>
      <c r="J14067" s="1362"/>
      <c r="K14067" s="1362"/>
      <c r="L14067" s="1362"/>
    </row>
    <row r="14068" spans="1:12" x14ac:dyDescent="0.25">
      <c r="A14068">
        <v>103013</v>
      </c>
      <c r="B14068" t="s">
        <v>7011</v>
      </c>
      <c r="C14068" t="s">
        <v>138</v>
      </c>
      <c r="D14068" s="254">
        <v>139.28</v>
      </c>
      <c r="E14068"/>
      <c r="F14068"/>
      <c r="G14068"/>
      <c r="H14068"/>
      <c r="I14068" s="489"/>
      <c r="J14068" s="1362"/>
      <c r="K14068" s="1362"/>
      <c r="L14068" s="1362"/>
    </row>
    <row r="14069" spans="1:12" x14ac:dyDescent="0.25">
      <c r="A14069">
        <v>103014</v>
      </c>
      <c r="B14069" t="s">
        <v>7012</v>
      </c>
      <c r="C14069" t="s">
        <v>138</v>
      </c>
      <c r="D14069" s="254">
        <v>209.42</v>
      </c>
      <c r="E14069"/>
      <c r="F14069"/>
      <c r="G14069"/>
      <c r="H14069"/>
      <c r="I14069" s="489"/>
      <c r="J14069" s="1362"/>
      <c r="K14069" s="1362"/>
      <c r="L14069" s="1362"/>
    </row>
    <row r="14070" spans="1:12" x14ac:dyDescent="0.25">
      <c r="A14070">
        <v>103015</v>
      </c>
      <c r="B14070" t="s">
        <v>7013</v>
      </c>
      <c r="C14070" t="s">
        <v>138</v>
      </c>
      <c r="D14070" s="254">
        <v>370.2</v>
      </c>
      <c r="E14070"/>
      <c r="F14070"/>
      <c r="G14070"/>
      <c r="H14070"/>
      <c r="I14070" s="489"/>
      <c r="J14070" s="1362"/>
      <c r="K14070" s="1362"/>
      <c r="L14070" s="1362"/>
    </row>
    <row r="14071" spans="1:12" x14ac:dyDescent="0.25">
      <c r="A14071">
        <v>103016</v>
      </c>
      <c r="B14071" t="s">
        <v>7014</v>
      </c>
      <c r="C14071" t="s">
        <v>138</v>
      </c>
      <c r="D14071" s="254">
        <v>506.09</v>
      </c>
      <c r="E14071"/>
      <c r="F14071"/>
      <c r="G14071"/>
      <c r="H14071"/>
      <c r="I14071" s="489"/>
      <c r="J14071" s="1362"/>
      <c r="K14071" s="1362"/>
      <c r="L14071" s="1362"/>
    </row>
    <row r="14072" spans="1:12" x14ac:dyDescent="0.25">
      <c r="A14072">
        <v>103017</v>
      </c>
      <c r="B14072" t="s">
        <v>7015</v>
      </c>
      <c r="C14072" t="s">
        <v>138</v>
      </c>
      <c r="D14072" s="254">
        <v>883.32</v>
      </c>
      <c r="E14072"/>
      <c r="F14072"/>
      <c r="G14072"/>
      <c r="H14072"/>
      <c r="I14072" s="489"/>
      <c r="J14072" s="1362"/>
      <c r="K14072" s="1362"/>
      <c r="L14072" s="1362"/>
    </row>
    <row r="14073" spans="1:12" x14ac:dyDescent="0.25">
      <c r="A14073">
        <v>103018</v>
      </c>
      <c r="B14073" t="s">
        <v>7016</v>
      </c>
      <c r="C14073" t="s">
        <v>138</v>
      </c>
      <c r="D14073" s="254">
        <v>220.83</v>
      </c>
      <c r="E14073"/>
      <c r="F14073"/>
      <c r="G14073"/>
      <c r="H14073"/>
      <c r="I14073" s="489"/>
      <c r="J14073" s="1362"/>
      <c r="K14073" s="1362"/>
      <c r="L14073" s="1362"/>
    </row>
    <row r="14074" spans="1:12" x14ac:dyDescent="0.25">
      <c r="A14074">
        <v>103019</v>
      </c>
      <c r="B14074" t="s">
        <v>7017</v>
      </c>
      <c r="C14074" t="s">
        <v>138</v>
      </c>
      <c r="D14074" s="254">
        <v>133.9</v>
      </c>
      <c r="E14074"/>
      <c r="F14074"/>
      <c r="G14074"/>
      <c r="H14074"/>
      <c r="I14074" s="489"/>
      <c r="J14074" s="1362"/>
      <c r="K14074" s="1362"/>
      <c r="L14074" s="1362"/>
    </row>
    <row r="14075" spans="1:12" x14ac:dyDescent="0.25">
      <c r="A14075">
        <v>103029</v>
      </c>
      <c r="B14075" t="s">
        <v>7018</v>
      </c>
      <c r="C14075" t="s">
        <v>138</v>
      </c>
      <c r="D14075" s="254">
        <v>39.93</v>
      </c>
      <c r="E14075"/>
      <c r="F14075"/>
      <c r="G14075"/>
      <c r="H14075"/>
      <c r="I14075" s="489"/>
      <c r="J14075" s="1362"/>
      <c r="K14075" s="1362"/>
      <c r="L14075" s="1362"/>
    </row>
    <row r="14076" spans="1:12" x14ac:dyDescent="0.25">
      <c r="A14076">
        <v>103036</v>
      </c>
      <c r="B14076" t="s">
        <v>7019</v>
      </c>
      <c r="C14076" t="s">
        <v>138</v>
      </c>
      <c r="D14076" s="254">
        <v>24.1</v>
      </c>
      <c r="E14076"/>
      <c r="F14076"/>
      <c r="G14076"/>
      <c r="H14076"/>
      <c r="I14076" s="489"/>
      <c r="J14076" s="1362"/>
      <c r="K14076" s="1362"/>
      <c r="L14076" s="1362"/>
    </row>
    <row r="14077" spans="1:12" x14ac:dyDescent="0.25">
      <c r="A14077">
        <v>103037</v>
      </c>
      <c r="B14077" t="s">
        <v>7020</v>
      </c>
      <c r="C14077" t="s">
        <v>138</v>
      </c>
      <c r="D14077" s="254">
        <v>47.5</v>
      </c>
      <c r="E14077"/>
      <c r="F14077"/>
      <c r="G14077"/>
      <c r="H14077"/>
      <c r="I14077" s="489"/>
      <c r="J14077" s="1362"/>
      <c r="K14077" s="1362"/>
      <c r="L14077" s="1362"/>
    </row>
    <row r="14078" spans="1:12" x14ac:dyDescent="0.25">
      <c r="A14078">
        <v>103038</v>
      </c>
      <c r="B14078" t="s">
        <v>7021</v>
      </c>
      <c r="C14078" t="s">
        <v>138</v>
      </c>
      <c r="D14078" s="254">
        <v>63.64</v>
      </c>
      <c r="E14078"/>
      <c r="F14078"/>
      <c r="G14078"/>
      <c r="H14078"/>
      <c r="I14078" s="489"/>
      <c r="J14078" s="1362"/>
      <c r="K14078" s="1362"/>
      <c r="L14078" s="1362"/>
    </row>
    <row r="14079" spans="1:12" x14ac:dyDescent="0.25">
      <c r="A14079">
        <v>103039</v>
      </c>
      <c r="B14079" t="s">
        <v>7022</v>
      </c>
      <c r="C14079" t="s">
        <v>138</v>
      </c>
      <c r="D14079" s="254">
        <v>69.5</v>
      </c>
      <c r="E14079"/>
      <c r="F14079"/>
      <c r="G14079"/>
      <c r="H14079"/>
      <c r="I14079" s="489"/>
      <c r="J14079" s="1362"/>
      <c r="K14079" s="1362"/>
      <c r="L14079" s="1362"/>
    </row>
    <row r="14080" spans="1:12" x14ac:dyDescent="0.25">
      <c r="A14080">
        <v>103040</v>
      </c>
      <c r="B14080" t="s">
        <v>7023</v>
      </c>
      <c r="C14080" t="s">
        <v>138</v>
      </c>
      <c r="D14080" s="254">
        <v>103.02</v>
      </c>
      <c r="E14080"/>
      <c r="F14080"/>
      <c r="G14080"/>
      <c r="H14080"/>
      <c r="I14080" s="489"/>
      <c r="J14080" s="1362"/>
      <c r="K14080" s="1362"/>
      <c r="L14080" s="1362"/>
    </row>
    <row r="14081" spans="1:12" x14ac:dyDescent="0.25">
      <c r="A14081">
        <v>103041</v>
      </c>
      <c r="B14081" t="s">
        <v>7024</v>
      </c>
      <c r="C14081" t="s">
        <v>138</v>
      </c>
      <c r="D14081" s="254">
        <v>20.149999999999999</v>
      </c>
      <c r="E14081"/>
      <c r="F14081"/>
      <c r="G14081"/>
      <c r="H14081"/>
      <c r="I14081" s="489"/>
      <c r="J14081" s="1362"/>
      <c r="K14081" s="1362"/>
      <c r="L14081" s="1362"/>
    </row>
    <row r="14082" spans="1:12" x14ac:dyDescent="0.25">
      <c r="A14082">
        <v>103042</v>
      </c>
      <c r="B14082" t="s">
        <v>7025</v>
      </c>
      <c r="C14082" t="s">
        <v>138</v>
      </c>
      <c r="D14082" s="254">
        <v>25.03</v>
      </c>
      <c r="E14082"/>
      <c r="F14082"/>
      <c r="G14082"/>
      <c r="H14082"/>
      <c r="I14082" s="489"/>
      <c r="J14082" s="1362"/>
      <c r="K14082" s="1362"/>
      <c r="L14082" s="1362"/>
    </row>
    <row r="14083" spans="1:12" x14ac:dyDescent="0.25">
      <c r="A14083">
        <v>103043</v>
      </c>
      <c r="B14083" t="s">
        <v>7026</v>
      </c>
      <c r="C14083" t="s">
        <v>138</v>
      </c>
      <c r="D14083" s="254">
        <v>23.21</v>
      </c>
      <c r="E14083"/>
      <c r="F14083"/>
      <c r="G14083"/>
      <c r="H14083"/>
      <c r="I14083" s="489"/>
      <c r="J14083" s="1362"/>
      <c r="K14083" s="1362"/>
      <c r="L14083" s="1362"/>
    </row>
    <row r="14084" spans="1:12" x14ac:dyDescent="0.25">
      <c r="A14084">
        <v>103044</v>
      </c>
      <c r="B14084" t="s">
        <v>7027</v>
      </c>
      <c r="C14084" t="s">
        <v>138</v>
      </c>
      <c r="D14084" s="254">
        <v>31.4</v>
      </c>
      <c r="E14084"/>
      <c r="F14084"/>
      <c r="G14084"/>
      <c r="H14084"/>
      <c r="I14084" s="489"/>
      <c r="J14084" s="1362"/>
      <c r="K14084" s="1362"/>
      <c r="L14084" s="1362"/>
    </row>
    <row r="14085" spans="1:12" x14ac:dyDescent="0.25">
      <c r="A14085">
        <v>103045</v>
      </c>
      <c r="B14085" t="s">
        <v>7028</v>
      </c>
      <c r="C14085" t="s">
        <v>138</v>
      </c>
      <c r="D14085" s="254">
        <v>10.1</v>
      </c>
      <c r="E14085"/>
      <c r="F14085"/>
      <c r="G14085"/>
      <c r="H14085"/>
      <c r="I14085" s="489"/>
      <c r="J14085" s="1362"/>
      <c r="K14085" s="1362"/>
      <c r="L14085" s="1362"/>
    </row>
    <row r="14086" spans="1:12" x14ac:dyDescent="0.25">
      <c r="A14086">
        <v>103046</v>
      </c>
      <c r="B14086" t="s">
        <v>7029</v>
      </c>
      <c r="C14086" t="s">
        <v>138</v>
      </c>
      <c r="D14086" s="254">
        <v>23.75</v>
      </c>
      <c r="E14086"/>
      <c r="F14086"/>
      <c r="G14086"/>
      <c r="H14086"/>
      <c r="I14086" s="489"/>
      <c r="J14086" s="1362"/>
      <c r="K14086" s="1362"/>
      <c r="L14086" s="1362"/>
    </row>
    <row r="14087" spans="1:12" x14ac:dyDescent="0.25">
      <c r="A14087">
        <v>103047</v>
      </c>
      <c r="B14087" t="s">
        <v>7030</v>
      </c>
      <c r="C14087" t="s">
        <v>138</v>
      </c>
      <c r="D14087" s="254">
        <v>24.85</v>
      </c>
      <c r="E14087"/>
      <c r="F14087"/>
      <c r="G14087"/>
      <c r="H14087"/>
      <c r="I14087" s="489"/>
      <c r="J14087" s="1362"/>
      <c r="K14087" s="1362"/>
      <c r="L14087" s="1362"/>
    </row>
    <row r="14088" spans="1:12" x14ac:dyDescent="0.25">
      <c r="A14088">
        <v>103048</v>
      </c>
      <c r="B14088" t="s">
        <v>7031</v>
      </c>
      <c r="C14088" t="s">
        <v>138</v>
      </c>
      <c r="D14088" s="254">
        <v>18.77</v>
      </c>
      <c r="E14088"/>
      <c r="F14088"/>
      <c r="G14088"/>
      <c r="H14088"/>
      <c r="I14088" s="489"/>
      <c r="J14088" s="1362"/>
      <c r="K14088" s="1362"/>
      <c r="L14088" s="1362"/>
    </row>
    <row r="14089" spans="1:12" x14ac:dyDescent="0.25">
      <c r="A14089">
        <v>103049</v>
      </c>
      <c r="B14089" t="s">
        <v>7032</v>
      </c>
      <c r="C14089" t="s">
        <v>138</v>
      </c>
      <c r="D14089" s="254">
        <v>20.36</v>
      </c>
      <c r="E14089"/>
      <c r="F14089"/>
      <c r="G14089"/>
      <c r="H14089"/>
      <c r="I14089" s="489"/>
      <c r="J14089" s="1362"/>
      <c r="K14089" s="1362"/>
      <c r="L14089" s="1362"/>
    </row>
    <row r="14090" spans="1:12" x14ac:dyDescent="0.25">
      <c r="A14090">
        <v>103050</v>
      </c>
      <c r="B14090" t="s">
        <v>7033</v>
      </c>
      <c r="C14090" t="s">
        <v>138</v>
      </c>
      <c r="D14090" s="254">
        <v>26.07</v>
      </c>
      <c r="E14090"/>
      <c r="F14090"/>
      <c r="G14090"/>
      <c r="H14090"/>
      <c r="I14090" s="489"/>
      <c r="J14090" s="1362"/>
      <c r="K14090" s="1362"/>
      <c r="L14090" s="1362"/>
    </row>
    <row r="14091" spans="1:12" x14ac:dyDescent="0.25">
      <c r="A14091">
        <v>103051</v>
      </c>
      <c r="B14091" t="s">
        <v>7034</v>
      </c>
      <c r="C14091" t="s">
        <v>138</v>
      </c>
      <c r="D14091" s="254">
        <v>31.92</v>
      </c>
      <c r="E14091"/>
      <c r="F14091"/>
      <c r="G14091"/>
      <c r="H14091"/>
      <c r="I14091" s="489"/>
      <c r="J14091" s="1362"/>
      <c r="K14091" s="1362"/>
      <c r="L14091" s="1362"/>
    </row>
    <row r="14092" spans="1:12" x14ac:dyDescent="0.25">
      <c r="A14092">
        <v>103052</v>
      </c>
      <c r="B14092" t="s">
        <v>7035</v>
      </c>
      <c r="C14092" t="s">
        <v>138</v>
      </c>
      <c r="D14092" s="254">
        <v>43.54</v>
      </c>
      <c r="E14092"/>
      <c r="F14092"/>
      <c r="G14092"/>
      <c r="H14092"/>
      <c r="I14092" s="489"/>
      <c r="J14092" s="1362"/>
      <c r="K14092" s="1362"/>
      <c r="L14092" s="1362"/>
    </row>
    <row r="14093" spans="1:12" x14ac:dyDescent="0.25">
      <c r="A14093">
        <v>95634</v>
      </c>
      <c r="B14093" t="s">
        <v>3226</v>
      </c>
      <c r="C14093" t="s">
        <v>138</v>
      </c>
      <c r="D14093" s="254">
        <v>185.83</v>
      </c>
      <c r="E14093"/>
      <c r="F14093"/>
      <c r="G14093"/>
      <c r="H14093"/>
      <c r="I14093" s="489"/>
      <c r="J14093" s="1362"/>
      <c r="K14093" s="1362"/>
      <c r="L14093" s="1362"/>
    </row>
    <row r="14094" spans="1:12" x14ac:dyDescent="0.25">
      <c r="A14094">
        <v>95635</v>
      </c>
      <c r="B14094" t="s">
        <v>3227</v>
      </c>
      <c r="C14094" t="s">
        <v>138</v>
      </c>
      <c r="D14094" s="254">
        <v>200.49</v>
      </c>
      <c r="E14094"/>
      <c r="F14094"/>
      <c r="G14094"/>
      <c r="H14094"/>
      <c r="I14094" s="489"/>
      <c r="J14094" s="1362"/>
      <c r="K14094" s="1362"/>
      <c r="L14094" s="1362"/>
    </row>
    <row r="14095" spans="1:12" x14ac:dyDescent="0.25">
      <c r="A14095">
        <v>95636</v>
      </c>
      <c r="B14095" t="s">
        <v>6055</v>
      </c>
      <c r="C14095" t="s">
        <v>138</v>
      </c>
      <c r="D14095" s="254">
        <v>372.4</v>
      </c>
      <c r="E14095"/>
      <c r="F14095"/>
      <c r="G14095"/>
      <c r="H14095"/>
      <c r="I14095" s="489"/>
      <c r="J14095" s="1362"/>
      <c r="K14095" s="1362"/>
      <c r="L14095" s="1362"/>
    </row>
    <row r="14096" spans="1:12" x14ac:dyDescent="0.25">
      <c r="A14096">
        <v>95637</v>
      </c>
      <c r="B14096" t="s">
        <v>1832</v>
      </c>
      <c r="C14096" t="s">
        <v>138</v>
      </c>
      <c r="D14096" s="254">
        <v>582.37</v>
      </c>
      <c r="E14096"/>
      <c r="F14096"/>
      <c r="G14096"/>
      <c r="H14096"/>
      <c r="I14096" s="489"/>
      <c r="J14096" s="1362"/>
      <c r="K14096" s="1362"/>
      <c r="L14096" s="1362"/>
    </row>
    <row r="14097" spans="1:12" x14ac:dyDescent="0.25">
      <c r="A14097">
        <v>95638</v>
      </c>
      <c r="B14097" t="s">
        <v>1833</v>
      </c>
      <c r="C14097" t="s">
        <v>138</v>
      </c>
      <c r="D14097" s="254">
        <v>707.32</v>
      </c>
      <c r="E14097"/>
      <c r="F14097"/>
      <c r="G14097"/>
      <c r="H14097"/>
      <c r="I14097" s="489"/>
      <c r="J14097" s="1362"/>
      <c r="K14097" s="1362"/>
      <c r="L14097" s="1362"/>
    </row>
    <row r="14098" spans="1:12" x14ac:dyDescent="0.25">
      <c r="A14098">
        <v>95639</v>
      </c>
      <c r="B14098" t="s">
        <v>1834</v>
      </c>
      <c r="C14098" t="s">
        <v>138</v>
      </c>
      <c r="D14098" s="254">
        <v>900.84</v>
      </c>
      <c r="E14098"/>
      <c r="F14098"/>
      <c r="G14098"/>
      <c r="H14098"/>
      <c r="I14098" s="489"/>
      <c r="J14098" s="1362"/>
      <c r="K14098" s="1362"/>
      <c r="L14098" s="1362"/>
    </row>
    <row r="14099" spans="1:12" x14ac:dyDescent="0.25">
      <c r="A14099">
        <v>95641</v>
      </c>
      <c r="B14099" t="s">
        <v>1835</v>
      </c>
      <c r="C14099" t="s">
        <v>138</v>
      </c>
      <c r="D14099" s="254">
        <v>319.92</v>
      </c>
      <c r="E14099"/>
      <c r="F14099"/>
      <c r="G14099"/>
      <c r="H14099"/>
      <c r="I14099" s="489"/>
      <c r="J14099" s="1362"/>
      <c r="K14099" s="1362"/>
      <c r="L14099" s="1362"/>
    </row>
    <row r="14100" spans="1:12" x14ac:dyDescent="0.25">
      <c r="A14100">
        <v>95642</v>
      </c>
      <c r="B14100" t="s">
        <v>1836</v>
      </c>
      <c r="C14100" t="s">
        <v>138</v>
      </c>
      <c r="D14100" s="254">
        <v>472.56</v>
      </c>
      <c r="E14100"/>
      <c r="F14100"/>
      <c r="G14100"/>
      <c r="H14100"/>
      <c r="I14100" s="489"/>
      <c r="J14100" s="1362"/>
      <c r="K14100" s="1362"/>
      <c r="L14100" s="1362"/>
    </row>
    <row r="14101" spans="1:12" x14ac:dyDescent="0.25">
      <c r="A14101">
        <v>95643</v>
      </c>
      <c r="B14101" t="s">
        <v>1837</v>
      </c>
      <c r="C14101" t="s">
        <v>138</v>
      </c>
      <c r="D14101" s="254">
        <v>617.99</v>
      </c>
      <c r="E14101"/>
      <c r="F14101"/>
      <c r="G14101"/>
      <c r="H14101"/>
      <c r="I14101" s="489"/>
      <c r="J14101" s="1362"/>
      <c r="K14101" s="1362"/>
      <c r="L14101" s="1362"/>
    </row>
    <row r="14102" spans="1:12" x14ac:dyDescent="0.25">
      <c r="A14102">
        <v>95644</v>
      </c>
      <c r="B14102" t="s">
        <v>1838</v>
      </c>
      <c r="C14102" t="s">
        <v>138</v>
      </c>
      <c r="D14102" s="254">
        <v>233.12</v>
      </c>
      <c r="E14102"/>
      <c r="F14102"/>
      <c r="G14102"/>
      <c r="H14102"/>
      <c r="I14102" s="489"/>
      <c r="J14102" s="1362"/>
      <c r="K14102" s="1362"/>
      <c r="L14102" s="1362"/>
    </row>
    <row r="14103" spans="1:12" x14ac:dyDescent="0.25">
      <c r="A14103">
        <v>95645</v>
      </c>
      <c r="B14103" t="s">
        <v>1839</v>
      </c>
      <c r="C14103" t="s">
        <v>138</v>
      </c>
      <c r="D14103" s="254">
        <v>425.7</v>
      </c>
      <c r="E14103"/>
      <c r="F14103"/>
      <c r="G14103"/>
      <c r="H14103"/>
      <c r="I14103" s="489"/>
      <c r="J14103" s="1362"/>
      <c r="K14103" s="1362"/>
      <c r="L14103" s="1362"/>
    </row>
    <row r="14104" spans="1:12" x14ac:dyDescent="0.25">
      <c r="A14104">
        <v>95646</v>
      </c>
      <c r="B14104" t="s">
        <v>1840</v>
      </c>
      <c r="C14104" t="s">
        <v>138</v>
      </c>
      <c r="D14104" s="254">
        <v>634.14</v>
      </c>
      <c r="E14104"/>
      <c r="F14104"/>
      <c r="G14104"/>
      <c r="H14104"/>
      <c r="I14104" s="489"/>
      <c r="J14104" s="1362"/>
      <c r="K14104" s="1362"/>
      <c r="L14104" s="1362"/>
    </row>
    <row r="14105" spans="1:12" x14ac:dyDescent="0.25">
      <c r="A14105">
        <v>95647</v>
      </c>
      <c r="B14105" t="s">
        <v>1841</v>
      </c>
      <c r="C14105" t="s">
        <v>138</v>
      </c>
      <c r="D14105" s="254">
        <v>831.11</v>
      </c>
      <c r="E14105"/>
      <c r="F14105"/>
      <c r="G14105"/>
      <c r="H14105"/>
      <c r="I14105" s="489"/>
      <c r="J14105" s="1362"/>
      <c r="K14105" s="1362"/>
      <c r="L14105" s="1362"/>
    </row>
    <row r="14106" spans="1:12" x14ac:dyDescent="0.25">
      <c r="A14106">
        <v>95673</v>
      </c>
      <c r="B14106" t="s">
        <v>1842</v>
      </c>
      <c r="C14106" t="s">
        <v>138</v>
      </c>
      <c r="D14106" s="254">
        <v>178.77</v>
      </c>
      <c r="E14106"/>
      <c r="F14106"/>
      <c r="G14106"/>
      <c r="H14106"/>
      <c r="I14106" s="489"/>
      <c r="J14106" s="1362"/>
      <c r="K14106" s="1362"/>
      <c r="L14106" s="1362"/>
    </row>
    <row r="14107" spans="1:12" x14ac:dyDescent="0.25">
      <c r="A14107">
        <v>95674</v>
      </c>
      <c r="B14107" t="s">
        <v>1843</v>
      </c>
      <c r="C14107" t="s">
        <v>138</v>
      </c>
      <c r="D14107" s="254">
        <v>190.16</v>
      </c>
      <c r="E14107"/>
      <c r="F14107"/>
      <c r="G14107"/>
      <c r="H14107"/>
      <c r="I14107" s="489"/>
      <c r="J14107" s="1362"/>
      <c r="K14107" s="1362"/>
      <c r="L14107" s="1362"/>
    </row>
    <row r="14108" spans="1:12" x14ac:dyDescent="0.25">
      <c r="A14108">
        <v>95675</v>
      </c>
      <c r="B14108" t="s">
        <v>1844</v>
      </c>
      <c r="C14108" t="s">
        <v>138</v>
      </c>
      <c r="D14108" s="254">
        <v>232.66</v>
      </c>
      <c r="E14108"/>
      <c r="F14108"/>
      <c r="G14108"/>
      <c r="H14108"/>
      <c r="I14108" s="489"/>
      <c r="J14108" s="1362"/>
      <c r="K14108" s="1362"/>
      <c r="L14108" s="1362"/>
    </row>
    <row r="14109" spans="1:12" x14ac:dyDescent="0.25">
      <c r="A14109">
        <v>95676</v>
      </c>
      <c r="B14109" t="s">
        <v>1845</v>
      </c>
      <c r="C14109" t="s">
        <v>138</v>
      </c>
      <c r="D14109" s="254">
        <v>118.89</v>
      </c>
      <c r="E14109"/>
      <c r="F14109"/>
      <c r="G14109"/>
      <c r="H14109"/>
      <c r="I14109" s="489"/>
      <c r="J14109" s="1362"/>
      <c r="K14109" s="1362"/>
      <c r="L14109" s="1362"/>
    </row>
    <row r="14110" spans="1:12" x14ac:dyDescent="0.25">
      <c r="A14110">
        <v>97741</v>
      </c>
      <c r="B14110" t="s">
        <v>1846</v>
      </c>
      <c r="C14110" t="s">
        <v>138</v>
      </c>
      <c r="D14110" s="254">
        <v>179.64</v>
      </c>
      <c r="E14110"/>
      <c r="F14110"/>
      <c r="G14110"/>
      <c r="H14110"/>
      <c r="I14110" s="489"/>
      <c r="J14110" s="1362"/>
      <c r="K14110" s="1362"/>
      <c r="L14110" s="1362"/>
    </row>
    <row r="14111" spans="1:12" x14ac:dyDescent="0.25">
      <c r="A14111">
        <v>90436</v>
      </c>
      <c r="B14111" t="s">
        <v>1847</v>
      </c>
      <c r="C14111" t="s">
        <v>138</v>
      </c>
      <c r="D14111" s="254">
        <v>16.32</v>
      </c>
      <c r="E14111"/>
      <c r="F14111"/>
      <c r="G14111"/>
      <c r="H14111"/>
      <c r="I14111" s="489"/>
      <c r="J14111" s="1362"/>
      <c r="K14111" s="1362"/>
      <c r="L14111" s="1362"/>
    </row>
    <row r="14112" spans="1:12" x14ac:dyDescent="0.25">
      <c r="A14112">
        <v>90437</v>
      </c>
      <c r="B14112" t="s">
        <v>1848</v>
      </c>
      <c r="C14112" t="s">
        <v>138</v>
      </c>
      <c r="D14112" s="254">
        <v>39.64</v>
      </c>
      <c r="E14112"/>
      <c r="F14112"/>
      <c r="G14112"/>
      <c r="H14112"/>
      <c r="I14112" s="489"/>
      <c r="J14112" s="1362"/>
      <c r="K14112" s="1362"/>
      <c r="L14112" s="1362"/>
    </row>
    <row r="14113" spans="1:12" x14ac:dyDescent="0.25">
      <c r="A14113">
        <v>90438</v>
      </c>
      <c r="B14113" t="s">
        <v>1849</v>
      </c>
      <c r="C14113" t="s">
        <v>138</v>
      </c>
      <c r="D14113" s="254">
        <v>56.81</v>
      </c>
      <c r="E14113"/>
      <c r="F14113"/>
      <c r="G14113"/>
      <c r="H14113"/>
      <c r="I14113" s="489"/>
      <c r="J14113" s="1362"/>
      <c r="K14113" s="1362"/>
      <c r="L14113" s="1362"/>
    </row>
    <row r="14114" spans="1:12" x14ac:dyDescent="0.25">
      <c r="A14114">
        <v>90439</v>
      </c>
      <c r="B14114" t="s">
        <v>1850</v>
      </c>
      <c r="C14114" t="s">
        <v>138</v>
      </c>
      <c r="D14114" s="254">
        <v>66.64</v>
      </c>
      <c r="E14114"/>
      <c r="F14114"/>
      <c r="G14114"/>
      <c r="H14114"/>
      <c r="I14114" s="489"/>
      <c r="J14114" s="1362"/>
      <c r="K14114" s="1362"/>
      <c r="L14114" s="1362"/>
    </row>
    <row r="14115" spans="1:12" x14ac:dyDescent="0.25">
      <c r="A14115">
        <v>90440</v>
      </c>
      <c r="B14115" t="s">
        <v>1851</v>
      </c>
      <c r="C14115" t="s">
        <v>138</v>
      </c>
      <c r="D14115" s="254">
        <v>106.73</v>
      </c>
      <c r="E14115"/>
      <c r="F14115"/>
      <c r="G14115"/>
      <c r="H14115"/>
      <c r="I14115" s="489"/>
      <c r="J14115" s="1362"/>
      <c r="K14115" s="1362"/>
      <c r="L14115" s="1362"/>
    </row>
    <row r="14116" spans="1:12" x14ac:dyDescent="0.25">
      <c r="A14116">
        <v>90441</v>
      </c>
      <c r="B14116" t="s">
        <v>1852</v>
      </c>
      <c r="C14116" t="s">
        <v>138</v>
      </c>
      <c r="D14116" s="254">
        <v>136.33000000000001</v>
      </c>
      <c r="E14116"/>
      <c r="F14116"/>
      <c r="G14116"/>
      <c r="H14116"/>
      <c r="I14116" s="489"/>
      <c r="J14116" s="1362"/>
      <c r="K14116" s="1362"/>
      <c r="L14116" s="1362"/>
    </row>
    <row r="14117" spans="1:12" x14ac:dyDescent="0.25">
      <c r="A14117">
        <v>90443</v>
      </c>
      <c r="B14117" t="s">
        <v>1853</v>
      </c>
      <c r="C14117" t="s">
        <v>151</v>
      </c>
      <c r="D14117" s="254">
        <v>14.83</v>
      </c>
      <c r="E14117"/>
      <c r="F14117"/>
      <c r="G14117"/>
      <c r="H14117"/>
      <c r="I14117" s="489"/>
      <c r="J14117" s="1362"/>
      <c r="K14117" s="1362"/>
      <c r="L14117" s="1362"/>
    </row>
    <row r="14118" spans="1:12" x14ac:dyDescent="0.25">
      <c r="A14118">
        <v>90444</v>
      </c>
      <c r="B14118" t="s">
        <v>1854</v>
      </c>
      <c r="C14118" t="s">
        <v>151</v>
      </c>
      <c r="D14118" s="254">
        <v>28.59</v>
      </c>
      <c r="E14118"/>
      <c r="F14118"/>
      <c r="G14118"/>
      <c r="H14118"/>
      <c r="I14118" s="489"/>
      <c r="J14118" s="1362"/>
      <c r="K14118" s="1362"/>
      <c r="L14118" s="1362"/>
    </row>
    <row r="14119" spans="1:12" x14ac:dyDescent="0.25">
      <c r="A14119">
        <v>90445</v>
      </c>
      <c r="B14119" t="s">
        <v>1855</v>
      </c>
      <c r="C14119" t="s">
        <v>151</v>
      </c>
      <c r="D14119" s="254">
        <v>30.53</v>
      </c>
      <c r="E14119"/>
      <c r="F14119"/>
      <c r="G14119"/>
      <c r="H14119"/>
      <c r="I14119" s="489"/>
      <c r="J14119" s="1362"/>
      <c r="K14119" s="1362"/>
      <c r="L14119" s="1362"/>
    </row>
    <row r="14120" spans="1:12" x14ac:dyDescent="0.25">
      <c r="A14120">
        <v>90446</v>
      </c>
      <c r="B14120" t="s">
        <v>1856</v>
      </c>
      <c r="C14120" t="s">
        <v>151</v>
      </c>
      <c r="D14120" s="254">
        <v>33.17</v>
      </c>
      <c r="E14120"/>
      <c r="F14120"/>
      <c r="G14120"/>
      <c r="H14120"/>
      <c r="I14120" s="489"/>
      <c r="J14120" s="1362"/>
      <c r="K14120" s="1362"/>
      <c r="L14120" s="1362"/>
    </row>
    <row r="14121" spans="1:12" x14ac:dyDescent="0.25">
      <c r="A14121">
        <v>90447</v>
      </c>
      <c r="B14121" t="s">
        <v>1857</v>
      </c>
      <c r="C14121" t="s">
        <v>151</v>
      </c>
      <c r="D14121" s="254">
        <v>8.74</v>
      </c>
      <c r="E14121"/>
      <c r="F14121"/>
      <c r="G14121"/>
      <c r="H14121"/>
      <c r="I14121" s="489"/>
      <c r="J14121" s="1362"/>
      <c r="K14121" s="1362"/>
      <c r="L14121" s="1362"/>
    </row>
    <row r="14122" spans="1:12" x14ac:dyDescent="0.25">
      <c r="A14122">
        <v>90451</v>
      </c>
      <c r="B14122" t="s">
        <v>1858</v>
      </c>
      <c r="C14122" t="s">
        <v>138</v>
      </c>
      <c r="D14122" s="254">
        <v>4.66</v>
      </c>
      <c r="E14122"/>
      <c r="F14122"/>
      <c r="G14122"/>
      <c r="H14122"/>
      <c r="I14122" s="489"/>
      <c r="J14122" s="1362"/>
      <c r="K14122" s="1362"/>
      <c r="L14122" s="1362"/>
    </row>
    <row r="14123" spans="1:12" x14ac:dyDescent="0.25">
      <c r="A14123">
        <v>90452</v>
      </c>
      <c r="B14123" t="s">
        <v>1859</v>
      </c>
      <c r="C14123" t="s">
        <v>138</v>
      </c>
      <c r="D14123" s="254">
        <v>14.9</v>
      </c>
      <c r="E14123"/>
      <c r="F14123"/>
      <c r="G14123"/>
      <c r="H14123"/>
      <c r="I14123" s="489"/>
      <c r="J14123" s="1362"/>
      <c r="K14123" s="1362"/>
      <c r="L14123" s="1362"/>
    </row>
    <row r="14124" spans="1:12" x14ac:dyDescent="0.25">
      <c r="A14124">
        <v>90453</v>
      </c>
      <c r="B14124" t="s">
        <v>1860</v>
      </c>
      <c r="C14124" t="s">
        <v>138</v>
      </c>
      <c r="D14124" s="254">
        <v>3.17</v>
      </c>
      <c r="E14124"/>
      <c r="F14124"/>
      <c r="G14124"/>
      <c r="H14124"/>
      <c r="I14124" s="489"/>
      <c r="J14124" s="1362"/>
      <c r="K14124" s="1362"/>
      <c r="L14124" s="1362"/>
    </row>
    <row r="14125" spans="1:12" x14ac:dyDescent="0.25">
      <c r="A14125">
        <v>90454</v>
      </c>
      <c r="B14125" t="s">
        <v>1861</v>
      </c>
      <c r="C14125" t="s">
        <v>138</v>
      </c>
      <c r="D14125" s="254">
        <v>5.58</v>
      </c>
      <c r="E14125"/>
      <c r="F14125"/>
      <c r="G14125"/>
      <c r="H14125"/>
      <c r="I14125" s="489"/>
      <c r="J14125" s="1362"/>
      <c r="K14125" s="1362"/>
      <c r="L14125" s="1362"/>
    </row>
    <row r="14126" spans="1:12" x14ac:dyDescent="0.25">
      <c r="A14126">
        <v>90455</v>
      </c>
      <c r="B14126" t="s">
        <v>1862</v>
      </c>
      <c r="C14126" t="s">
        <v>138</v>
      </c>
      <c r="D14126" s="254">
        <v>7.37</v>
      </c>
      <c r="E14126"/>
      <c r="F14126"/>
      <c r="G14126"/>
      <c r="H14126"/>
      <c r="I14126" s="489"/>
      <c r="J14126" s="1362"/>
      <c r="K14126" s="1362"/>
      <c r="L14126" s="1362"/>
    </row>
    <row r="14127" spans="1:12" x14ac:dyDescent="0.25">
      <c r="A14127">
        <v>90456</v>
      </c>
      <c r="B14127" t="s">
        <v>1863</v>
      </c>
      <c r="C14127" t="s">
        <v>138</v>
      </c>
      <c r="D14127" s="254">
        <v>4.76</v>
      </c>
      <c r="E14127"/>
      <c r="F14127"/>
      <c r="G14127"/>
      <c r="H14127"/>
      <c r="I14127" s="489"/>
      <c r="J14127" s="1362"/>
      <c r="K14127" s="1362"/>
      <c r="L14127" s="1362"/>
    </row>
    <row r="14128" spans="1:12" x14ac:dyDescent="0.25">
      <c r="A14128">
        <v>90457</v>
      </c>
      <c r="B14128" t="s">
        <v>1864</v>
      </c>
      <c r="C14128" t="s">
        <v>138</v>
      </c>
      <c r="D14128" s="254">
        <v>10.85</v>
      </c>
      <c r="E14128"/>
      <c r="F14128"/>
      <c r="G14128"/>
      <c r="H14128"/>
      <c r="I14128" s="489"/>
      <c r="J14128" s="1362"/>
      <c r="K14128" s="1362"/>
      <c r="L14128" s="1362"/>
    </row>
    <row r="14129" spans="1:12" x14ac:dyDescent="0.25">
      <c r="A14129">
        <v>90458</v>
      </c>
      <c r="B14129" t="s">
        <v>1865</v>
      </c>
      <c r="C14129" t="s">
        <v>138</v>
      </c>
      <c r="D14129" s="254">
        <v>30.8</v>
      </c>
      <c r="E14129"/>
      <c r="F14129"/>
      <c r="G14129"/>
      <c r="H14129"/>
      <c r="I14129" s="489"/>
      <c r="J14129" s="1362"/>
      <c r="K14129" s="1362"/>
      <c r="L14129" s="1362"/>
    </row>
    <row r="14130" spans="1:12" x14ac:dyDescent="0.25">
      <c r="A14130">
        <v>90459</v>
      </c>
      <c r="B14130" t="s">
        <v>1866</v>
      </c>
      <c r="C14130" t="s">
        <v>138</v>
      </c>
      <c r="D14130" s="254">
        <v>43.44</v>
      </c>
      <c r="E14130"/>
      <c r="F14130"/>
      <c r="G14130"/>
      <c r="H14130"/>
      <c r="I14130" s="489"/>
      <c r="J14130" s="1362"/>
      <c r="K14130" s="1362"/>
      <c r="L14130" s="1362"/>
    </row>
    <row r="14131" spans="1:12" x14ac:dyDescent="0.25">
      <c r="A14131">
        <v>90460</v>
      </c>
      <c r="B14131" t="s">
        <v>4349</v>
      </c>
      <c r="C14131" t="s">
        <v>151</v>
      </c>
      <c r="D14131" s="254">
        <v>13.28</v>
      </c>
      <c r="E14131"/>
      <c r="F14131"/>
      <c r="G14131"/>
      <c r="H14131"/>
      <c r="I14131" s="489"/>
      <c r="J14131" s="1362"/>
      <c r="K14131" s="1362"/>
      <c r="L14131" s="1362"/>
    </row>
    <row r="14132" spans="1:12" x14ac:dyDescent="0.25">
      <c r="A14132">
        <v>90461</v>
      </c>
      <c r="B14132" t="s">
        <v>4350</v>
      </c>
      <c r="C14132" t="s">
        <v>151</v>
      </c>
      <c r="D14132" s="254">
        <v>8.51</v>
      </c>
      <c r="E14132"/>
      <c r="F14132"/>
      <c r="G14132"/>
      <c r="H14132"/>
      <c r="I14132" s="489"/>
      <c r="J14132" s="1362"/>
      <c r="K14132" s="1362"/>
      <c r="L14132" s="1362"/>
    </row>
    <row r="14133" spans="1:12" x14ac:dyDescent="0.25">
      <c r="A14133">
        <v>90462</v>
      </c>
      <c r="B14133" t="s">
        <v>4351</v>
      </c>
      <c r="C14133" t="s">
        <v>151</v>
      </c>
      <c r="D14133" s="254">
        <v>1.84</v>
      </c>
      <c r="E14133"/>
      <c r="F14133"/>
      <c r="G14133"/>
      <c r="H14133"/>
      <c r="I14133" s="489"/>
      <c r="J14133" s="1362"/>
      <c r="K14133" s="1362"/>
      <c r="L14133" s="1362"/>
    </row>
    <row r="14134" spans="1:12" x14ac:dyDescent="0.25">
      <c r="A14134">
        <v>90463</v>
      </c>
      <c r="B14134" t="s">
        <v>4352</v>
      </c>
      <c r="C14134" t="s">
        <v>151</v>
      </c>
      <c r="D14134" s="254">
        <v>1.59</v>
      </c>
      <c r="E14134"/>
      <c r="F14134"/>
      <c r="G14134"/>
      <c r="H14134"/>
      <c r="I14134" s="489"/>
      <c r="J14134" s="1362"/>
      <c r="K14134" s="1362"/>
      <c r="L14134" s="1362"/>
    </row>
    <row r="14135" spans="1:12" x14ac:dyDescent="0.25">
      <c r="A14135">
        <v>90466</v>
      </c>
      <c r="B14135" t="s">
        <v>1867</v>
      </c>
      <c r="C14135" t="s">
        <v>151</v>
      </c>
      <c r="D14135" s="254">
        <v>14.88</v>
      </c>
      <c r="E14135"/>
      <c r="F14135"/>
      <c r="G14135"/>
      <c r="H14135"/>
      <c r="I14135" s="489"/>
      <c r="J14135" s="1362"/>
      <c r="K14135" s="1362"/>
      <c r="L14135" s="1362"/>
    </row>
    <row r="14136" spans="1:12" x14ac:dyDescent="0.25">
      <c r="A14136">
        <v>90467</v>
      </c>
      <c r="B14136" t="s">
        <v>1868</v>
      </c>
      <c r="C14136" t="s">
        <v>151</v>
      </c>
      <c r="D14136" s="254">
        <v>23.56</v>
      </c>
      <c r="E14136"/>
      <c r="F14136"/>
      <c r="G14136"/>
      <c r="H14136"/>
      <c r="I14136" s="489"/>
      <c r="J14136" s="1362"/>
      <c r="K14136" s="1362"/>
      <c r="L14136" s="1362"/>
    </row>
    <row r="14137" spans="1:12" x14ac:dyDescent="0.25">
      <c r="A14137">
        <v>90468</v>
      </c>
      <c r="B14137" t="s">
        <v>1869</v>
      </c>
      <c r="C14137" t="s">
        <v>151</v>
      </c>
      <c r="D14137" s="254">
        <v>6.57</v>
      </c>
      <c r="E14137"/>
      <c r="F14137"/>
      <c r="G14137"/>
      <c r="H14137"/>
      <c r="I14137" s="489"/>
      <c r="J14137" s="1362"/>
      <c r="K14137" s="1362"/>
      <c r="L14137" s="1362"/>
    </row>
    <row r="14138" spans="1:12" x14ac:dyDescent="0.25">
      <c r="A14138">
        <v>90469</v>
      </c>
      <c r="B14138" t="s">
        <v>1870</v>
      </c>
      <c r="C14138" t="s">
        <v>151</v>
      </c>
      <c r="D14138" s="254">
        <v>10.54</v>
      </c>
      <c r="E14138"/>
      <c r="F14138"/>
      <c r="G14138"/>
      <c r="H14138"/>
      <c r="I14138" s="489"/>
      <c r="J14138" s="1362"/>
      <c r="K14138" s="1362"/>
      <c r="L14138" s="1362"/>
    </row>
    <row r="14139" spans="1:12" x14ac:dyDescent="0.25">
      <c r="A14139">
        <v>90470</v>
      </c>
      <c r="B14139" t="s">
        <v>1871</v>
      </c>
      <c r="C14139" t="s">
        <v>151</v>
      </c>
      <c r="D14139" s="254">
        <v>14.52</v>
      </c>
      <c r="E14139"/>
      <c r="F14139"/>
      <c r="G14139"/>
      <c r="H14139"/>
      <c r="I14139" s="489"/>
      <c r="J14139" s="1362"/>
      <c r="K14139" s="1362"/>
      <c r="L14139" s="1362"/>
    </row>
    <row r="14140" spans="1:12" x14ac:dyDescent="0.25">
      <c r="A14140">
        <v>91166</v>
      </c>
      <c r="B14140" t="s">
        <v>1872</v>
      </c>
      <c r="C14140" t="s">
        <v>151</v>
      </c>
      <c r="D14140" s="254">
        <v>3.86</v>
      </c>
      <c r="E14140"/>
      <c r="F14140"/>
      <c r="G14140"/>
      <c r="H14140"/>
      <c r="I14140" s="489"/>
      <c r="J14140" s="1362"/>
      <c r="K14140" s="1362"/>
      <c r="L14140" s="1362"/>
    </row>
    <row r="14141" spans="1:12" x14ac:dyDescent="0.25">
      <c r="A14141">
        <v>91167</v>
      </c>
      <c r="B14141" t="s">
        <v>1873</v>
      </c>
      <c r="C14141" t="s">
        <v>151</v>
      </c>
      <c r="D14141" s="254">
        <v>11.49</v>
      </c>
      <c r="E14141"/>
      <c r="F14141"/>
      <c r="G14141"/>
      <c r="H14141"/>
      <c r="I14141" s="489"/>
      <c r="J14141" s="1362"/>
      <c r="K14141" s="1362"/>
      <c r="L14141" s="1362"/>
    </row>
    <row r="14142" spans="1:12" x14ac:dyDescent="0.25">
      <c r="A14142">
        <v>91168</v>
      </c>
      <c r="B14142" t="s">
        <v>1874</v>
      </c>
      <c r="C14142" t="s">
        <v>151</v>
      </c>
      <c r="D14142" s="254">
        <v>8.6300000000000008</v>
      </c>
      <c r="E14142"/>
      <c r="F14142"/>
      <c r="G14142"/>
      <c r="H14142"/>
      <c r="I14142" s="489"/>
      <c r="J14142" s="1362"/>
      <c r="K14142" s="1362"/>
      <c r="L14142" s="1362"/>
    </row>
    <row r="14143" spans="1:12" x14ac:dyDescent="0.25">
      <c r="A14143">
        <v>91169</v>
      </c>
      <c r="B14143" t="s">
        <v>1875</v>
      </c>
      <c r="C14143" t="s">
        <v>151</v>
      </c>
      <c r="D14143" s="254">
        <v>10.24</v>
      </c>
      <c r="E14143"/>
      <c r="F14143"/>
      <c r="G14143"/>
      <c r="H14143"/>
      <c r="I14143" s="489"/>
      <c r="J14143" s="1362"/>
      <c r="K14143" s="1362"/>
      <c r="L14143" s="1362"/>
    </row>
    <row r="14144" spans="1:12" x14ac:dyDescent="0.25">
      <c r="A14144">
        <v>91170</v>
      </c>
      <c r="B14144" t="s">
        <v>1876</v>
      </c>
      <c r="C14144" t="s">
        <v>151</v>
      </c>
      <c r="D14144" s="254">
        <v>2.95</v>
      </c>
      <c r="E14144"/>
      <c r="F14144"/>
      <c r="G14144"/>
      <c r="H14144"/>
      <c r="I14144" s="489"/>
      <c r="J14144" s="1362"/>
      <c r="K14144" s="1362"/>
      <c r="L14144" s="1362"/>
    </row>
    <row r="14145" spans="1:12" x14ac:dyDescent="0.25">
      <c r="A14145">
        <v>91171</v>
      </c>
      <c r="B14145" t="s">
        <v>1877</v>
      </c>
      <c r="C14145" t="s">
        <v>151</v>
      </c>
      <c r="D14145" s="254">
        <v>3.67</v>
      </c>
      <c r="E14145"/>
      <c r="F14145"/>
      <c r="G14145"/>
      <c r="H14145"/>
      <c r="I14145" s="489"/>
      <c r="J14145" s="1362"/>
      <c r="K14145" s="1362"/>
      <c r="L14145" s="1362"/>
    </row>
    <row r="14146" spans="1:12" x14ac:dyDescent="0.25">
      <c r="A14146">
        <v>91172</v>
      </c>
      <c r="B14146" t="s">
        <v>1878</v>
      </c>
      <c r="C14146" t="s">
        <v>151</v>
      </c>
      <c r="D14146" s="254">
        <v>5.4</v>
      </c>
      <c r="E14146"/>
      <c r="F14146"/>
      <c r="G14146"/>
      <c r="H14146"/>
      <c r="I14146" s="489"/>
      <c r="J14146" s="1362"/>
      <c r="K14146" s="1362"/>
      <c r="L14146" s="1362"/>
    </row>
    <row r="14147" spans="1:12" x14ac:dyDescent="0.25">
      <c r="A14147">
        <v>91173</v>
      </c>
      <c r="B14147" t="s">
        <v>1879</v>
      </c>
      <c r="C14147" t="s">
        <v>151</v>
      </c>
      <c r="D14147" s="254">
        <v>1.5</v>
      </c>
      <c r="E14147"/>
      <c r="F14147"/>
      <c r="G14147"/>
      <c r="H14147"/>
      <c r="I14147" s="489"/>
      <c r="J14147" s="1362"/>
      <c r="K14147" s="1362"/>
      <c r="L14147" s="1362"/>
    </row>
    <row r="14148" spans="1:12" x14ac:dyDescent="0.25">
      <c r="A14148">
        <v>91174</v>
      </c>
      <c r="B14148" t="s">
        <v>1880</v>
      </c>
      <c r="C14148" t="s">
        <v>151</v>
      </c>
      <c r="D14148" s="254">
        <v>2.92</v>
      </c>
      <c r="E14148"/>
      <c r="F14148"/>
      <c r="G14148"/>
      <c r="H14148"/>
      <c r="I14148" s="489"/>
      <c r="J14148" s="1362"/>
      <c r="K14148" s="1362"/>
      <c r="L14148" s="1362"/>
    </row>
    <row r="14149" spans="1:12" x14ac:dyDescent="0.25">
      <c r="A14149">
        <v>91175</v>
      </c>
      <c r="B14149" t="s">
        <v>1881</v>
      </c>
      <c r="C14149" t="s">
        <v>151</v>
      </c>
      <c r="D14149" s="254">
        <v>4.76</v>
      </c>
      <c r="E14149"/>
      <c r="F14149"/>
      <c r="G14149"/>
      <c r="H14149"/>
      <c r="I14149" s="489"/>
      <c r="J14149" s="1362"/>
      <c r="K14149" s="1362"/>
      <c r="L14149" s="1362"/>
    </row>
    <row r="14150" spans="1:12" x14ac:dyDescent="0.25">
      <c r="A14150">
        <v>91176</v>
      </c>
      <c r="B14150" t="s">
        <v>1882</v>
      </c>
      <c r="C14150" t="s">
        <v>151</v>
      </c>
      <c r="D14150" s="254">
        <v>30.75</v>
      </c>
      <c r="E14150"/>
      <c r="F14150"/>
      <c r="G14150"/>
      <c r="H14150"/>
      <c r="I14150" s="489"/>
      <c r="J14150" s="1362"/>
      <c r="K14150" s="1362"/>
      <c r="L14150" s="1362"/>
    </row>
    <row r="14151" spans="1:12" x14ac:dyDescent="0.25">
      <c r="A14151">
        <v>91177</v>
      </c>
      <c r="B14151" t="s">
        <v>1883</v>
      </c>
      <c r="C14151" t="s">
        <v>151</v>
      </c>
      <c r="D14151" s="254">
        <v>14.96</v>
      </c>
      <c r="E14151"/>
      <c r="F14151"/>
      <c r="G14151"/>
      <c r="H14151"/>
      <c r="I14151" s="489"/>
      <c r="J14151" s="1362"/>
      <c r="K14151" s="1362"/>
      <c r="L14151" s="1362"/>
    </row>
    <row r="14152" spans="1:12" x14ac:dyDescent="0.25">
      <c r="A14152">
        <v>91178</v>
      </c>
      <c r="B14152" t="s">
        <v>1884</v>
      </c>
      <c r="C14152" t="s">
        <v>151</v>
      </c>
      <c r="D14152" s="254">
        <v>15.69</v>
      </c>
      <c r="E14152"/>
      <c r="F14152"/>
      <c r="G14152"/>
      <c r="H14152"/>
      <c r="I14152" s="489"/>
      <c r="J14152" s="1362"/>
      <c r="K14152" s="1362"/>
      <c r="L14152" s="1362"/>
    </row>
    <row r="14153" spans="1:12" x14ac:dyDescent="0.25">
      <c r="A14153">
        <v>91179</v>
      </c>
      <c r="B14153" t="s">
        <v>1885</v>
      </c>
      <c r="C14153" t="s">
        <v>151</v>
      </c>
      <c r="D14153" s="254">
        <v>7.89</v>
      </c>
      <c r="E14153"/>
      <c r="F14153"/>
      <c r="G14153"/>
      <c r="H14153"/>
      <c r="I14153" s="489"/>
      <c r="J14153" s="1362"/>
      <c r="K14153" s="1362"/>
      <c r="L14153" s="1362"/>
    </row>
    <row r="14154" spans="1:12" x14ac:dyDescent="0.25">
      <c r="A14154">
        <v>91180</v>
      </c>
      <c r="B14154" t="s">
        <v>1886</v>
      </c>
      <c r="C14154" t="s">
        <v>151</v>
      </c>
      <c r="D14154" s="254">
        <v>6.84</v>
      </c>
      <c r="E14154"/>
      <c r="F14154"/>
      <c r="G14154"/>
      <c r="H14154"/>
      <c r="I14154" s="489"/>
      <c r="J14154" s="1362"/>
      <c r="K14154" s="1362"/>
      <c r="L14154" s="1362"/>
    </row>
    <row r="14155" spans="1:12" x14ac:dyDescent="0.25">
      <c r="A14155">
        <v>91181</v>
      </c>
      <c r="B14155" t="s">
        <v>1887</v>
      </c>
      <c r="C14155" t="s">
        <v>151</v>
      </c>
      <c r="D14155" s="254">
        <v>7.79</v>
      </c>
      <c r="E14155"/>
      <c r="F14155"/>
      <c r="G14155"/>
      <c r="H14155"/>
      <c r="I14155" s="489"/>
      <c r="J14155" s="1362"/>
      <c r="K14155" s="1362"/>
      <c r="L14155" s="1362"/>
    </row>
    <row r="14156" spans="1:12" x14ac:dyDescent="0.25">
      <c r="A14156">
        <v>91182</v>
      </c>
      <c r="B14156" t="s">
        <v>1888</v>
      </c>
      <c r="C14156" t="s">
        <v>151</v>
      </c>
      <c r="D14156" s="254">
        <v>32.94</v>
      </c>
      <c r="E14156"/>
      <c r="F14156"/>
      <c r="G14156"/>
      <c r="H14156"/>
      <c r="I14156" s="489"/>
      <c r="J14156" s="1362"/>
      <c r="K14156" s="1362"/>
      <c r="L14156" s="1362"/>
    </row>
    <row r="14157" spans="1:12" x14ac:dyDescent="0.25">
      <c r="A14157">
        <v>91183</v>
      </c>
      <c r="B14157" t="s">
        <v>1889</v>
      </c>
      <c r="C14157" t="s">
        <v>151</v>
      </c>
      <c r="D14157" s="254">
        <v>16.010000000000002</v>
      </c>
      <c r="E14157"/>
      <c r="F14157"/>
      <c r="G14157"/>
      <c r="H14157"/>
      <c r="I14157" s="489"/>
      <c r="J14157" s="1362"/>
      <c r="K14157" s="1362"/>
      <c r="L14157" s="1362"/>
    </row>
    <row r="14158" spans="1:12" x14ac:dyDescent="0.25">
      <c r="A14158">
        <v>91184</v>
      </c>
      <c r="B14158" t="s">
        <v>1890</v>
      </c>
      <c r="C14158" t="s">
        <v>151</v>
      </c>
      <c r="D14158" s="254">
        <v>14.79</v>
      </c>
      <c r="E14158"/>
      <c r="F14158"/>
      <c r="G14158"/>
      <c r="H14158"/>
      <c r="I14158" s="489"/>
      <c r="J14158" s="1362"/>
      <c r="K14158" s="1362"/>
      <c r="L14158" s="1362"/>
    </row>
    <row r="14159" spans="1:12" x14ac:dyDescent="0.25">
      <c r="A14159">
        <v>91185</v>
      </c>
      <c r="B14159" t="s">
        <v>1891</v>
      </c>
      <c r="C14159" t="s">
        <v>151</v>
      </c>
      <c r="D14159" s="254">
        <v>8.4499999999999993</v>
      </c>
      <c r="E14159"/>
      <c r="F14159"/>
      <c r="G14159"/>
      <c r="H14159"/>
      <c r="I14159" s="489"/>
      <c r="J14159" s="1362"/>
      <c r="K14159" s="1362"/>
      <c r="L14159" s="1362"/>
    </row>
    <row r="14160" spans="1:12" x14ac:dyDescent="0.25">
      <c r="A14160">
        <v>91186</v>
      </c>
      <c r="B14160" t="s">
        <v>1892</v>
      </c>
      <c r="C14160" t="s">
        <v>151</v>
      </c>
      <c r="D14160" s="254">
        <v>6.83</v>
      </c>
      <c r="E14160"/>
      <c r="F14160"/>
      <c r="G14160"/>
      <c r="H14160"/>
      <c r="I14160" s="489"/>
      <c r="J14160" s="1362"/>
      <c r="K14160" s="1362"/>
      <c r="L14160" s="1362"/>
    </row>
    <row r="14161" spans="1:12" x14ac:dyDescent="0.25">
      <c r="A14161">
        <v>91187</v>
      </c>
      <c r="B14161" t="s">
        <v>1893</v>
      </c>
      <c r="C14161" t="s">
        <v>151</v>
      </c>
      <c r="D14161" s="254">
        <v>7.81</v>
      </c>
      <c r="E14161"/>
      <c r="F14161"/>
      <c r="G14161"/>
      <c r="H14161"/>
      <c r="I14161" s="489"/>
      <c r="J14161" s="1362"/>
      <c r="K14161" s="1362"/>
      <c r="L14161" s="1362"/>
    </row>
    <row r="14162" spans="1:12" x14ac:dyDescent="0.25">
      <c r="A14162">
        <v>91188</v>
      </c>
      <c r="B14162" t="s">
        <v>1894</v>
      </c>
      <c r="C14162" t="s">
        <v>138</v>
      </c>
      <c r="D14162" s="254">
        <v>8.4700000000000006</v>
      </c>
      <c r="E14162"/>
      <c r="F14162"/>
      <c r="G14162"/>
      <c r="H14162"/>
      <c r="I14162" s="489"/>
      <c r="J14162" s="1362"/>
      <c r="K14162" s="1362"/>
      <c r="L14162" s="1362"/>
    </row>
    <row r="14163" spans="1:12" x14ac:dyDescent="0.25">
      <c r="A14163">
        <v>91189</v>
      </c>
      <c r="B14163" t="s">
        <v>1895</v>
      </c>
      <c r="C14163" t="s">
        <v>138</v>
      </c>
      <c r="D14163" s="254">
        <v>62.02</v>
      </c>
      <c r="E14163"/>
      <c r="F14163"/>
      <c r="G14163"/>
      <c r="H14163"/>
      <c r="I14163" s="489"/>
      <c r="J14163" s="1362"/>
      <c r="K14163" s="1362"/>
      <c r="L14163" s="1362"/>
    </row>
    <row r="14164" spans="1:12" x14ac:dyDescent="0.25">
      <c r="A14164">
        <v>91190</v>
      </c>
      <c r="B14164" t="s">
        <v>1896</v>
      </c>
      <c r="C14164" t="s">
        <v>138</v>
      </c>
      <c r="D14164" s="254">
        <v>5.77</v>
      </c>
      <c r="E14164"/>
      <c r="F14164"/>
      <c r="G14164"/>
      <c r="H14164"/>
      <c r="I14164" s="489"/>
      <c r="J14164" s="1362"/>
      <c r="K14164" s="1362"/>
      <c r="L14164" s="1362"/>
    </row>
    <row r="14165" spans="1:12" x14ac:dyDescent="0.25">
      <c r="A14165">
        <v>91191</v>
      </c>
      <c r="B14165" t="s">
        <v>1897</v>
      </c>
      <c r="C14165" t="s">
        <v>138</v>
      </c>
      <c r="D14165" s="254">
        <v>6.11</v>
      </c>
      <c r="E14165"/>
      <c r="F14165"/>
      <c r="G14165"/>
      <c r="H14165"/>
      <c r="I14165" s="489"/>
      <c r="J14165" s="1362"/>
      <c r="K14165" s="1362"/>
      <c r="L14165" s="1362"/>
    </row>
    <row r="14166" spans="1:12" x14ac:dyDescent="0.25">
      <c r="A14166">
        <v>91192</v>
      </c>
      <c r="B14166" t="s">
        <v>1898</v>
      </c>
      <c r="C14166" t="s">
        <v>138</v>
      </c>
      <c r="D14166" s="254">
        <v>6.77</v>
      </c>
      <c r="E14166"/>
      <c r="F14166"/>
      <c r="G14166"/>
      <c r="H14166"/>
      <c r="I14166" s="489"/>
      <c r="J14166" s="1362"/>
      <c r="K14166" s="1362"/>
      <c r="L14166" s="1362"/>
    </row>
    <row r="14167" spans="1:12" x14ac:dyDescent="0.25">
      <c r="A14167">
        <v>91222</v>
      </c>
      <c r="B14167" t="s">
        <v>1899</v>
      </c>
      <c r="C14167" t="s">
        <v>151</v>
      </c>
      <c r="D14167" s="254">
        <v>15.96</v>
      </c>
      <c r="E14167"/>
      <c r="F14167"/>
      <c r="G14167"/>
      <c r="H14167"/>
      <c r="I14167" s="489"/>
      <c r="J14167" s="1362"/>
      <c r="K14167" s="1362"/>
      <c r="L14167" s="1362"/>
    </row>
    <row r="14168" spans="1:12" x14ac:dyDescent="0.25">
      <c r="A14168">
        <v>94480</v>
      </c>
      <c r="B14168" t="s">
        <v>1900</v>
      </c>
      <c r="C14168" t="s">
        <v>138</v>
      </c>
      <c r="D14168" s="254">
        <v>2857.51</v>
      </c>
      <c r="E14168"/>
      <c r="F14168"/>
      <c r="G14168"/>
      <c r="H14168"/>
      <c r="I14168" s="489"/>
      <c r="J14168" s="1362"/>
      <c r="K14168" s="1362"/>
      <c r="L14168" s="1362"/>
    </row>
    <row r="14169" spans="1:12" x14ac:dyDescent="0.25">
      <c r="A14169">
        <v>94481</v>
      </c>
      <c r="B14169" t="s">
        <v>1901</v>
      </c>
      <c r="C14169" t="s">
        <v>138</v>
      </c>
      <c r="D14169" s="254">
        <v>2019.03</v>
      </c>
      <c r="E14169"/>
      <c r="F14169"/>
      <c r="G14169"/>
      <c r="H14169"/>
      <c r="I14169" s="489"/>
      <c r="J14169" s="1362"/>
      <c r="K14169" s="1362"/>
      <c r="L14169" s="1362"/>
    </row>
    <row r="14170" spans="1:12" x14ac:dyDescent="0.25">
      <c r="A14170">
        <v>94482</v>
      </c>
      <c r="B14170" t="s">
        <v>1902</v>
      </c>
      <c r="C14170" t="s">
        <v>138</v>
      </c>
      <c r="D14170" s="254">
        <v>1599.33</v>
      </c>
      <c r="E14170"/>
      <c r="F14170"/>
      <c r="G14170"/>
      <c r="H14170"/>
      <c r="I14170" s="489"/>
      <c r="J14170" s="1362"/>
      <c r="K14170" s="1362"/>
      <c r="L14170" s="1362"/>
    </row>
    <row r="14171" spans="1:12" x14ac:dyDescent="0.25">
      <c r="A14171">
        <v>94483</v>
      </c>
      <c r="B14171" t="s">
        <v>1903</v>
      </c>
      <c r="C14171" t="s">
        <v>138</v>
      </c>
      <c r="D14171" s="254">
        <v>1349.8</v>
      </c>
      <c r="E14171"/>
      <c r="F14171"/>
      <c r="G14171"/>
      <c r="H14171"/>
      <c r="I14171" s="489"/>
      <c r="J14171" s="1362"/>
      <c r="K14171" s="1362"/>
      <c r="L14171" s="1362"/>
    </row>
    <row r="14172" spans="1:12" x14ac:dyDescent="0.25">
      <c r="A14172">
        <v>95541</v>
      </c>
      <c r="B14172" t="s">
        <v>1904</v>
      </c>
      <c r="C14172" t="s">
        <v>138</v>
      </c>
      <c r="D14172" s="254">
        <v>5.29</v>
      </c>
      <c r="E14172"/>
      <c r="F14172"/>
      <c r="G14172"/>
      <c r="H14172"/>
      <c r="I14172" s="489"/>
      <c r="J14172" s="1362"/>
      <c r="K14172" s="1362"/>
      <c r="L14172" s="1362"/>
    </row>
    <row r="14173" spans="1:12" x14ac:dyDescent="0.25">
      <c r="A14173">
        <v>96559</v>
      </c>
      <c r="B14173" t="s">
        <v>4353</v>
      </c>
      <c r="C14173" t="s">
        <v>297</v>
      </c>
      <c r="D14173" s="254">
        <v>37</v>
      </c>
      <c r="E14173"/>
      <c r="F14173"/>
      <c r="G14173"/>
      <c r="H14173"/>
      <c r="I14173" s="489"/>
      <c r="J14173" s="1362"/>
      <c r="K14173" s="1362"/>
      <c r="L14173" s="1362"/>
    </row>
    <row r="14174" spans="1:12" x14ac:dyDescent="0.25">
      <c r="A14174">
        <v>96560</v>
      </c>
      <c r="B14174" t="s">
        <v>4354</v>
      </c>
      <c r="C14174" t="s">
        <v>297</v>
      </c>
      <c r="D14174" s="254">
        <v>24.47</v>
      </c>
      <c r="E14174"/>
      <c r="F14174"/>
      <c r="G14174"/>
      <c r="H14174"/>
      <c r="I14174" s="489"/>
      <c r="J14174" s="1362"/>
      <c r="K14174" s="1362"/>
      <c r="L14174" s="1362"/>
    </row>
    <row r="14175" spans="1:12" x14ac:dyDescent="0.25">
      <c r="A14175">
        <v>96561</v>
      </c>
      <c r="B14175" t="s">
        <v>4355</v>
      </c>
      <c r="C14175" t="s">
        <v>297</v>
      </c>
      <c r="D14175" s="254">
        <v>17.829999999999998</v>
      </c>
      <c r="E14175"/>
      <c r="F14175"/>
      <c r="G14175"/>
      <c r="H14175"/>
      <c r="I14175" s="489"/>
      <c r="J14175" s="1362"/>
      <c r="K14175" s="1362"/>
      <c r="L14175" s="1362"/>
    </row>
    <row r="14176" spans="1:12" x14ac:dyDescent="0.25">
      <c r="A14176">
        <v>96562</v>
      </c>
      <c r="B14176" t="s">
        <v>4356</v>
      </c>
      <c r="C14176" t="s">
        <v>151</v>
      </c>
      <c r="D14176" s="254">
        <v>22.84</v>
      </c>
      <c r="E14176"/>
      <c r="F14176"/>
      <c r="G14176"/>
      <c r="H14176"/>
      <c r="I14176" s="489"/>
      <c r="J14176" s="1362"/>
      <c r="K14176" s="1362"/>
      <c r="L14176" s="1362"/>
    </row>
    <row r="14177" spans="1:12" x14ac:dyDescent="0.25">
      <c r="A14177">
        <v>96563</v>
      </c>
      <c r="B14177" t="s">
        <v>7036</v>
      </c>
      <c r="C14177" t="s">
        <v>151</v>
      </c>
      <c r="D14177" s="254">
        <v>28.58</v>
      </c>
      <c r="E14177"/>
      <c r="F14177"/>
      <c r="G14177"/>
      <c r="H14177"/>
      <c r="I14177" s="489"/>
      <c r="J14177" s="1362"/>
      <c r="K14177" s="1362"/>
      <c r="L14177" s="1362"/>
    </row>
    <row r="14178" spans="1:12" x14ac:dyDescent="0.25">
      <c r="A14178">
        <v>101802</v>
      </c>
      <c r="B14178" t="s">
        <v>5898</v>
      </c>
      <c r="C14178" t="s">
        <v>138</v>
      </c>
      <c r="D14178" s="254">
        <v>1779.11</v>
      </c>
      <c r="E14178"/>
      <c r="F14178"/>
      <c r="G14178"/>
      <c r="H14178"/>
      <c r="I14178" s="489"/>
      <c r="J14178" s="1362"/>
      <c r="K14178" s="1362"/>
      <c r="L14178" s="1362"/>
    </row>
    <row r="14179" spans="1:12" x14ac:dyDescent="0.25">
      <c r="A14179">
        <v>101803</v>
      </c>
      <c r="B14179" t="s">
        <v>5899</v>
      </c>
      <c r="C14179" t="s">
        <v>138</v>
      </c>
      <c r="D14179" s="254">
        <v>1132.45</v>
      </c>
      <c r="E14179"/>
      <c r="F14179"/>
      <c r="G14179"/>
      <c r="H14179"/>
      <c r="I14179" s="489"/>
      <c r="J14179" s="1362"/>
      <c r="K14179" s="1362"/>
      <c r="L14179" s="1362"/>
    </row>
    <row r="14180" spans="1:12" x14ac:dyDescent="0.25">
      <c r="A14180">
        <v>101804</v>
      </c>
      <c r="B14180" t="s">
        <v>5900</v>
      </c>
      <c r="C14180" t="s">
        <v>138</v>
      </c>
      <c r="D14180" s="254">
        <v>1421.6</v>
      </c>
      <c r="E14180"/>
      <c r="F14180"/>
      <c r="G14180"/>
      <c r="H14180"/>
      <c r="I14180" s="489"/>
      <c r="J14180" s="1362"/>
      <c r="K14180" s="1362"/>
      <c r="L14180" s="1362"/>
    </row>
    <row r="14181" spans="1:12" x14ac:dyDescent="0.25">
      <c r="A14181">
        <v>101805</v>
      </c>
      <c r="B14181" t="s">
        <v>5901</v>
      </c>
      <c r="C14181" t="s">
        <v>138</v>
      </c>
      <c r="D14181" s="254">
        <v>1809.77</v>
      </c>
      <c r="E14181"/>
      <c r="F14181"/>
      <c r="G14181"/>
      <c r="H14181"/>
      <c r="I14181" s="489"/>
      <c r="J14181" s="1362"/>
      <c r="K14181" s="1362"/>
      <c r="L14181" s="1362"/>
    </row>
    <row r="14182" spans="1:12" x14ac:dyDescent="0.25">
      <c r="A14182">
        <v>102111</v>
      </c>
      <c r="B14182" t="s">
        <v>5902</v>
      </c>
      <c r="C14182" t="s">
        <v>138</v>
      </c>
      <c r="D14182" s="254">
        <v>904.43</v>
      </c>
      <c r="E14182"/>
      <c r="F14182"/>
      <c r="G14182"/>
      <c r="H14182"/>
      <c r="I14182" s="489"/>
      <c r="J14182" s="1362"/>
      <c r="K14182" s="1362"/>
      <c r="L14182" s="1362"/>
    </row>
    <row r="14183" spans="1:12" x14ac:dyDescent="0.25">
      <c r="A14183">
        <v>102112</v>
      </c>
      <c r="B14183" t="s">
        <v>5903</v>
      </c>
      <c r="C14183" t="s">
        <v>138</v>
      </c>
      <c r="D14183" s="254">
        <v>153.68</v>
      </c>
      <c r="E14183"/>
      <c r="F14183"/>
      <c r="G14183"/>
      <c r="H14183"/>
      <c r="I14183" s="489"/>
      <c r="J14183" s="1362"/>
      <c r="K14183" s="1362"/>
      <c r="L14183" s="1362"/>
    </row>
    <row r="14184" spans="1:12" x14ac:dyDescent="0.25">
      <c r="A14184">
        <v>102113</v>
      </c>
      <c r="B14184" t="s">
        <v>5904</v>
      </c>
      <c r="C14184" t="s">
        <v>138</v>
      </c>
      <c r="D14184" s="254">
        <v>1422.95</v>
      </c>
      <c r="E14184"/>
      <c r="F14184"/>
      <c r="G14184"/>
      <c r="H14184"/>
      <c r="I14184" s="489"/>
      <c r="J14184" s="1362"/>
      <c r="K14184" s="1362"/>
      <c r="L14184" s="1362"/>
    </row>
    <row r="14185" spans="1:12" x14ac:dyDescent="0.25">
      <c r="A14185">
        <v>102114</v>
      </c>
      <c r="B14185" t="s">
        <v>5905</v>
      </c>
      <c r="C14185" t="s">
        <v>138</v>
      </c>
      <c r="D14185" s="254">
        <v>157.43</v>
      </c>
      <c r="E14185"/>
      <c r="F14185"/>
      <c r="G14185"/>
      <c r="H14185"/>
      <c r="I14185" s="489"/>
      <c r="J14185" s="1362"/>
      <c r="K14185" s="1362"/>
      <c r="L14185" s="1362"/>
    </row>
    <row r="14186" spans="1:12" x14ac:dyDescent="0.25">
      <c r="A14186">
        <v>102115</v>
      </c>
      <c r="B14186" t="s">
        <v>5906</v>
      </c>
      <c r="C14186" t="s">
        <v>138</v>
      </c>
      <c r="D14186" s="254">
        <v>2469.67</v>
      </c>
      <c r="E14186"/>
      <c r="F14186"/>
      <c r="G14186"/>
      <c r="H14186"/>
      <c r="I14186" s="489"/>
      <c r="J14186" s="1362"/>
      <c r="K14186" s="1362"/>
      <c r="L14186" s="1362"/>
    </row>
    <row r="14187" spans="1:12" x14ac:dyDescent="0.25">
      <c r="A14187">
        <v>102116</v>
      </c>
      <c r="B14187" t="s">
        <v>5907</v>
      </c>
      <c r="C14187" t="s">
        <v>138</v>
      </c>
      <c r="D14187" s="254">
        <v>1518.6</v>
      </c>
      <c r="E14187"/>
      <c r="F14187"/>
      <c r="G14187"/>
      <c r="H14187"/>
      <c r="I14187" s="489"/>
      <c r="J14187" s="1362"/>
      <c r="K14187" s="1362"/>
      <c r="L14187" s="1362"/>
    </row>
    <row r="14188" spans="1:12" x14ac:dyDescent="0.25">
      <c r="A14188">
        <v>102117</v>
      </c>
      <c r="B14188" t="s">
        <v>5908</v>
      </c>
      <c r="C14188" t="s">
        <v>138</v>
      </c>
      <c r="D14188" s="254">
        <v>161.97</v>
      </c>
      <c r="E14188"/>
      <c r="F14188"/>
      <c r="G14188"/>
      <c r="H14188"/>
      <c r="I14188" s="489"/>
      <c r="J14188" s="1362"/>
      <c r="K14188" s="1362"/>
      <c r="L14188" s="1362"/>
    </row>
    <row r="14189" spans="1:12" x14ac:dyDescent="0.25">
      <c r="A14189">
        <v>102118</v>
      </c>
      <c r="B14189" t="s">
        <v>5909</v>
      </c>
      <c r="C14189" t="s">
        <v>138</v>
      </c>
      <c r="D14189" s="254">
        <v>2058.8000000000002</v>
      </c>
      <c r="E14189"/>
      <c r="F14189"/>
      <c r="G14189"/>
      <c r="H14189"/>
      <c r="I14189" s="489"/>
      <c r="J14189" s="1362"/>
      <c r="K14189" s="1362"/>
      <c r="L14189" s="1362"/>
    </row>
    <row r="14190" spans="1:12" x14ac:dyDescent="0.25">
      <c r="A14190">
        <v>102119</v>
      </c>
      <c r="B14190" t="s">
        <v>5910</v>
      </c>
      <c r="C14190" t="s">
        <v>138</v>
      </c>
      <c r="D14190" s="254">
        <v>165.87</v>
      </c>
      <c r="E14190"/>
      <c r="F14190"/>
      <c r="G14190"/>
      <c r="H14190"/>
      <c r="I14190" s="489"/>
      <c r="J14190" s="1362"/>
      <c r="K14190" s="1362"/>
      <c r="L14190" s="1362"/>
    </row>
    <row r="14191" spans="1:12" x14ac:dyDescent="0.25">
      <c r="A14191">
        <v>102121</v>
      </c>
      <c r="B14191" t="s">
        <v>5911</v>
      </c>
      <c r="C14191" t="s">
        <v>138</v>
      </c>
      <c r="D14191" s="254">
        <v>206.74</v>
      </c>
      <c r="E14191"/>
      <c r="F14191"/>
      <c r="G14191"/>
      <c r="H14191"/>
      <c r="I14191" s="489"/>
      <c r="J14191" s="1362"/>
      <c r="K14191" s="1362"/>
      <c r="L14191" s="1362"/>
    </row>
    <row r="14192" spans="1:12" x14ac:dyDescent="0.25">
      <c r="A14192">
        <v>102122</v>
      </c>
      <c r="B14192" t="s">
        <v>5912</v>
      </c>
      <c r="C14192" t="s">
        <v>138</v>
      </c>
      <c r="D14192" s="254">
        <v>6894.47</v>
      </c>
      <c r="E14192"/>
      <c r="F14192"/>
      <c r="G14192"/>
      <c r="H14192"/>
      <c r="I14192" s="489"/>
      <c r="J14192" s="1362"/>
      <c r="K14192" s="1362"/>
      <c r="L14192" s="1362"/>
    </row>
    <row r="14193" spans="1:12" x14ac:dyDescent="0.25">
      <c r="A14193">
        <v>102123</v>
      </c>
      <c r="B14193" t="s">
        <v>5913</v>
      </c>
      <c r="C14193" t="s">
        <v>138</v>
      </c>
      <c r="D14193" s="254">
        <v>218.38</v>
      </c>
      <c r="E14193"/>
      <c r="F14193"/>
      <c r="G14193"/>
      <c r="H14193"/>
      <c r="I14193" s="489"/>
      <c r="J14193" s="1362"/>
      <c r="K14193" s="1362"/>
      <c r="L14193" s="1362"/>
    </row>
    <row r="14194" spans="1:12" x14ac:dyDescent="0.25">
      <c r="A14194">
        <v>102136</v>
      </c>
      <c r="B14194" t="s">
        <v>5914</v>
      </c>
      <c r="C14194" t="s">
        <v>138</v>
      </c>
      <c r="D14194" s="254">
        <v>89.99</v>
      </c>
      <c r="E14194"/>
      <c r="F14194"/>
      <c r="G14194"/>
      <c r="H14194"/>
      <c r="I14194" s="489"/>
      <c r="J14194" s="1362"/>
      <c r="K14194" s="1362"/>
      <c r="L14194" s="1362"/>
    </row>
    <row r="14195" spans="1:12" x14ac:dyDescent="0.25">
      <c r="A14195">
        <v>102137</v>
      </c>
      <c r="B14195" t="s">
        <v>5915</v>
      </c>
      <c r="C14195" t="s">
        <v>138</v>
      </c>
      <c r="D14195" s="254">
        <v>93.76</v>
      </c>
      <c r="E14195"/>
      <c r="F14195"/>
      <c r="G14195"/>
      <c r="H14195"/>
      <c r="I14195" s="489"/>
      <c r="J14195" s="1362"/>
      <c r="K14195" s="1362"/>
      <c r="L14195" s="1362"/>
    </row>
    <row r="14196" spans="1:12" x14ac:dyDescent="0.25">
      <c r="A14196">
        <v>102138</v>
      </c>
      <c r="B14196" t="s">
        <v>5916</v>
      </c>
      <c r="C14196" t="s">
        <v>138</v>
      </c>
      <c r="D14196" s="254">
        <v>237.33</v>
      </c>
      <c r="E14196"/>
      <c r="F14196"/>
      <c r="G14196"/>
      <c r="H14196"/>
      <c r="I14196" s="489"/>
      <c r="J14196" s="1362"/>
      <c r="K14196" s="1362"/>
      <c r="L14196" s="1362"/>
    </row>
    <row r="14197" spans="1:12" x14ac:dyDescent="0.25">
      <c r="A14197">
        <v>103517</v>
      </c>
      <c r="B14197" t="s">
        <v>7452</v>
      </c>
      <c r="C14197" t="s">
        <v>138</v>
      </c>
      <c r="D14197" s="254">
        <v>3312.76</v>
      </c>
      <c r="E14197"/>
      <c r="F14197"/>
      <c r="G14197"/>
      <c r="H14197"/>
      <c r="I14197" s="489"/>
      <c r="J14197" s="1362"/>
      <c r="K14197" s="1362"/>
      <c r="L14197" s="1362"/>
    </row>
    <row r="14198" spans="1:12" x14ac:dyDescent="0.25">
      <c r="A14198">
        <v>103519</v>
      </c>
      <c r="B14198" t="s">
        <v>7453</v>
      </c>
      <c r="C14198" t="s">
        <v>138</v>
      </c>
      <c r="D14198" s="254">
        <v>11.44</v>
      </c>
      <c r="E14198"/>
      <c r="F14198"/>
      <c r="G14198"/>
      <c r="H14198"/>
      <c r="I14198" s="489"/>
      <c r="J14198" s="1362"/>
      <c r="K14198" s="1362"/>
      <c r="L14198" s="1362"/>
    </row>
    <row r="14199" spans="1:12" x14ac:dyDescent="0.25">
      <c r="A14199">
        <v>103520</v>
      </c>
      <c r="B14199" t="s">
        <v>7454</v>
      </c>
      <c r="C14199" t="s">
        <v>138</v>
      </c>
      <c r="D14199" s="254">
        <v>5449.17</v>
      </c>
      <c r="E14199"/>
      <c r="F14199"/>
      <c r="G14199"/>
      <c r="H14199"/>
      <c r="I14199" s="489"/>
      <c r="J14199" s="1362"/>
      <c r="K14199" s="1362"/>
      <c r="L14199" s="1362"/>
    </row>
    <row r="14200" spans="1:12" x14ac:dyDescent="0.25">
      <c r="A14200">
        <v>103521</v>
      </c>
      <c r="B14200" t="s">
        <v>7455</v>
      </c>
      <c r="C14200" t="s">
        <v>138</v>
      </c>
      <c r="D14200" s="254">
        <v>7235.68</v>
      </c>
      <c r="E14200"/>
      <c r="F14200"/>
      <c r="G14200"/>
      <c r="H14200"/>
      <c r="I14200" s="489"/>
      <c r="J14200" s="1362"/>
      <c r="K14200" s="1362"/>
      <c r="L14200" s="1362"/>
    </row>
    <row r="14201" spans="1:12" x14ac:dyDescent="0.25">
      <c r="A14201">
        <v>103522</v>
      </c>
      <c r="B14201" t="s">
        <v>7456</v>
      </c>
      <c r="C14201" t="s">
        <v>138</v>
      </c>
      <c r="D14201" s="254">
        <v>7284.64</v>
      </c>
      <c r="E14201"/>
      <c r="F14201"/>
      <c r="G14201"/>
      <c r="H14201"/>
      <c r="I14201" s="489"/>
      <c r="J14201" s="1362"/>
      <c r="K14201" s="1362"/>
      <c r="L14201" s="1362"/>
    </row>
    <row r="14202" spans="1:12" x14ac:dyDescent="0.25">
      <c r="A14202">
        <v>103523</v>
      </c>
      <c r="B14202" t="s">
        <v>7457</v>
      </c>
      <c r="C14202" t="s">
        <v>138</v>
      </c>
      <c r="D14202" s="254">
        <v>10965.56</v>
      </c>
      <c r="E14202"/>
      <c r="F14202"/>
      <c r="G14202"/>
      <c r="H14202"/>
      <c r="I14202" s="489"/>
      <c r="J14202" s="1362"/>
      <c r="K14202" s="1362"/>
      <c r="L14202" s="1362"/>
    </row>
    <row r="14203" spans="1:12" x14ac:dyDescent="0.25">
      <c r="A14203">
        <v>104031</v>
      </c>
      <c r="B14203" t="s">
        <v>19611</v>
      </c>
      <c r="C14203" t="s">
        <v>138</v>
      </c>
      <c r="D14203" s="254">
        <v>21.24</v>
      </c>
      <c r="E14203"/>
      <c r="F14203"/>
      <c r="G14203"/>
      <c r="H14203"/>
      <c r="I14203" s="489"/>
      <c r="J14203" s="1362"/>
      <c r="K14203" s="1362"/>
      <c r="L14203" s="1362"/>
    </row>
    <row r="14204" spans="1:12" x14ac:dyDescent="0.25">
      <c r="A14204">
        <v>104032</v>
      </c>
      <c r="B14204" t="s">
        <v>19612</v>
      </c>
      <c r="C14204" t="s">
        <v>138</v>
      </c>
      <c r="D14204" s="254">
        <v>27.14</v>
      </c>
      <c r="E14204"/>
      <c r="F14204"/>
      <c r="G14204"/>
      <c r="H14204"/>
      <c r="I14204" s="489"/>
      <c r="J14204" s="1362"/>
      <c r="K14204" s="1362"/>
      <c r="L14204" s="1362"/>
    </row>
    <row r="14205" spans="1:12" x14ac:dyDescent="0.25">
      <c r="A14205">
        <v>104033</v>
      </c>
      <c r="B14205" t="s">
        <v>19613</v>
      </c>
      <c r="C14205" t="s">
        <v>138</v>
      </c>
      <c r="D14205" s="254">
        <v>24.57</v>
      </c>
      <c r="E14205"/>
      <c r="F14205"/>
      <c r="G14205"/>
      <c r="H14205"/>
      <c r="I14205" s="489"/>
      <c r="J14205" s="1362"/>
      <c r="K14205" s="1362"/>
      <c r="L14205" s="1362"/>
    </row>
    <row r="14206" spans="1:12" x14ac:dyDescent="0.25">
      <c r="A14206">
        <v>104034</v>
      </c>
      <c r="B14206" t="s">
        <v>19614</v>
      </c>
      <c r="C14206" t="s">
        <v>138</v>
      </c>
      <c r="D14206" s="254">
        <v>32.56</v>
      </c>
      <c r="E14206"/>
      <c r="F14206"/>
      <c r="G14206"/>
      <c r="H14206"/>
      <c r="I14206" s="489"/>
      <c r="J14206" s="1362"/>
      <c r="K14206" s="1362"/>
      <c r="L14206" s="1362"/>
    </row>
    <row r="14207" spans="1:12" x14ac:dyDescent="0.25">
      <c r="A14207">
        <v>104035</v>
      </c>
      <c r="B14207" t="s">
        <v>19615</v>
      </c>
      <c r="C14207" t="s">
        <v>138</v>
      </c>
      <c r="D14207" s="254">
        <v>42.01</v>
      </c>
      <c r="E14207"/>
      <c r="F14207"/>
      <c r="G14207"/>
      <c r="H14207"/>
      <c r="I14207" s="489"/>
      <c r="J14207" s="1362"/>
      <c r="K14207" s="1362"/>
      <c r="L14207" s="1362"/>
    </row>
    <row r="14208" spans="1:12" x14ac:dyDescent="0.25">
      <c r="A14208">
        <v>104036</v>
      </c>
      <c r="B14208" t="s">
        <v>19616</v>
      </c>
      <c r="C14208" t="s">
        <v>138</v>
      </c>
      <c r="D14208" s="254">
        <v>43.32</v>
      </c>
      <c r="E14208"/>
      <c r="F14208"/>
      <c r="G14208"/>
      <c r="H14208"/>
      <c r="I14208" s="489"/>
      <c r="J14208" s="1362"/>
      <c r="K14208" s="1362"/>
      <c r="L14208" s="1362"/>
    </row>
    <row r="14209" spans="1:12" x14ac:dyDescent="0.25">
      <c r="A14209">
        <v>104039</v>
      </c>
      <c r="B14209" t="s">
        <v>19617</v>
      </c>
      <c r="C14209" t="s">
        <v>138</v>
      </c>
      <c r="D14209" s="254">
        <v>86.22</v>
      </c>
      <c r="E14209"/>
      <c r="F14209"/>
      <c r="G14209"/>
      <c r="H14209"/>
      <c r="I14209" s="489"/>
      <c r="J14209" s="1362"/>
      <c r="K14209" s="1362"/>
      <c r="L14209" s="1362"/>
    </row>
    <row r="14210" spans="1:12" x14ac:dyDescent="0.25">
      <c r="A14210">
        <v>104043</v>
      </c>
      <c r="B14210" t="s">
        <v>19618</v>
      </c>
      <c r="C14210" t="s">
        <v>138</v>
      </c>
      <c r="D14210" s="254">
        <v>9.4600000000000009</v>
      </c>
      <c r="E14210"/>
      <c r="F14210"/>
      <c r="G14210"/>
      <c r="H14210"/>
      <c r="I14210" s="489"/>
      <c r="J14210" s="1362"/>
      <c r="K14210" s="1362"/>
      <c r="L14210" s="1362"/>
    </row>
    <row r="14211" spans="1:12" x14ac:dyDescent="0.25">
      <c r="A14211">
        <v>104044</v>
      </c>
      <c r="B14211" t="s">
        <v>19619</v>
      </c>
      <c r="C14211" t="s">
        <v>138</v>
      </c>
      <c r="D14211" s="254">
        <v>9.92</v>
      </c>
      <c r="E14211"/>
      <c r="F14211"/>
      <c r="G14211"/>
      <c r="H14211"/>
      <c r="I14211" s="489"/>
      <c r="J14211" s="1362"/>
      <c r="K14211" s="1362"/>
      <c r="L14211" s="1362"/>
    </row>
    <row r="14212" spans="1:12" x14ac:dyDescent="0.25">
      <c r="A14212">
        <v>104045</v>
      </c>
      <c r="B14212" t="s">
        <v>19620</v>
      </c>
      <c r="C14212" t="s">
        <v>138</v>
      </c>
      <c r="D14212" s="254">
        <v>16.09</v>
      </c>
      <c r="E14212"/>
      <c r="F14212"/>
      <c r="G14212"/>
      <c r="H14212"/>
      <c r="I14212" s="489"/>
      <c r="J14212" s="1362"/>
      <c r="K14212" s="1362"/>
      <c r="L14212" s="1362"/>
    </row>
    <row r="14213" spans="1:12" x14ac:dyDescent="0.25">
      <c r="A14213">
        <v>104046</v>
      </c>
      <c r="B14213" t="s">
        <v>19621</v>
      </c>
      <c r="C14213" t="s">
        <v>138</v>
      </c>
      <c r="D14213" s="254">
        <v>8.99</v>
      </c>
      <c r="E14213"/>
      <c r="F14213"/>
      <c r="G14213"/>
      <c r="H14213"/>
      <c r="I14213" s="489"/>
      <c r="J14213" s="1362"/>
      <c r="K14213" s="1362"/>
      <c r="L14213" s="1362"/>
    </row>
    <row r="14214" spans="1:12" x14ac:dyDescent="0.25">
      <c r="A14214">
        <v>104047</v>
      </c>
      <c r="B14214" t="s">
        <v>19622</v>
      </c>
      <c r="C14214" t="s">
        <v>138</v>
      </c>
      <c r="D14214" s="254">
        <v>10.4</v>
      </c>
      <c r="E14214"/>
      <c r="F14214"/>
      <c r="G14214"/>
      <c r="H14214"/>
      <c r="I14214" s="489"/>
      <c r="J14214" s="1362"/>
      <c r="K14214" s="1362"/>
      <c r="L14214" s="1362"/>
    </row>
    <row r="14215" spans="1:12" x14ac:dyDescent="0.25">
      <c r="A14215">
        <v>104048</v>
      </c>
      <c r="B14215" t="s">
        <v>19623</v>
      </c>
      <c r="C14215" t="s">
        <v>138</v>
      </c>
      <c r="D14215" s="254">
        <v>15.67</v>
      </c>
      <c r="E14215"/>
      <c r="F14215"/>
      <c r="G14215"/>
      <c r="H14215"/>
      <c r="I14215" s="489"/>
      <c r="J14215" s="1362"/>
      <c r="K14215" s="1362"/>
      <c r="L14215" s="1362"/>
    </row>
    <row r="14216" spans="1:12" x14ac:dyDescent="0.25">
      <c r="A14216">
        <v>104049</v>
      </c>
      <c r="B14216" t="s">
        <v>19624</v>
      </c>
      <c r="C14216" t="s">
        <v>138</v>
      </c>
      <c r="D14216" s="254">
        <v>5.81</v>
      </c>
      <c r="E14216"/>
      <c r="F14216"/>
      <c r="G14216"/>
      <c r="H14216"/>
      <c r="I14216" s="489"/>
      <c r="J14216" s="1362"/>
      <c r="K14216" s="1362"/>
      <c r="L14216" s="1362"/>
    </row>
    <row r="14217" spans="1:12" x14ac:dyDescent="0.25">
      <c r="A14217">
        <v>104050</v>
      </c>
      <c r="B14217" t="s">
        <v>19625</v>
      </c>
      <c r="C14217" t="s">
        <v>138</v>
      </c>
      <c r="D14217" s="254">
        <v>9.1</v>
      </c>
      <c r="E14217"/>
      <c r="F14217"/>
      <c r="G14217"/>
      <c r="H14217"/>
      <c r="I14217" s="489"/>
      <c r="J14217" s="1362"/>
      <c r="K14217" s="1362"/>
      <c r="L14217" s="1362"/>
    </row>
    <row r="14218" spans="1:12" x14ac:dyDescent="0.25">
      <c r="A14218">
        <v>104051</v>
      </c>
      <c r="B14218" t="s">
        <v>19626</v>
      </c>
      <c r="C14218" t="s">
        <v>138</v>
      </c>
      <c r="D14218" s="254">
        <v>8.39</v>
      </c>
      <c r="E14218"/>
      <c r="F14218"/>
      <c r="G14218"/>
      <c r="H14218"/>
      <c r="I14218" s="489"/>
      <c r="J14218" s="1362"/>
      <c r="K14218" s="1362"/>
      <c r="L14218" s="1362"/>
    </row>
    <row r="14219" spans="1:12" x14ac:dyDescent="0.25">
      <c r="A14219">
        <v>104052</v>
      </c>
      <c r="B14219" t="s">
        <v>19627</v>
      </c>
      <c r="C14219" t="s">
        <v>138</v>
      </c>
      <c r="D14219" s="254">
        <v>11.79</v>
      </c>
      <c r="E14219"/>
      <c r="F14219"/>
      <c r="G14219"/>
      <c r="H14219"/>
      <c r="I14219" s="489"/>
      <c r="J14219" s="1362"/>
      <c r="K14219" s="1362"/>
      <c r="L14219" s="1362"/>
    </row>
    <row r="14220" spans="1:12" x14ac:dyDescent="0.25">
      <c r="A14220">
        <v>104053</v>
      </c>
      <c r="B14220" t="s">
        <v>19628</v>
      </c>
      <c r="C14220" t="s">
        <v>138</v>
      </c>
      <c r="D14220" s="254">
        <v>9.94</v>
      </c>
      <c r="E14220"/>
      <c r="F14220"/>
      <c r="G14220"/>
      <c r="H14220"/>
      <c r="I14220" s="489"/>
      <c r="J14220" s="1362"/>
      <c r="K14220" s="1362"/>
      <c r="L14220" s="1362"/>
    </row>
    <row r="14221" spans="1:12" x14ac:dyDescent="0.25">
      <c r="A14221">
        <v>104054</v>
      </c>
      <c r="B14221" t="s">
        <v>19629</v>
      </c>
      <c r="C14221" t="s">
        <v>138</v>
      </c>
      <c r="D14221" s="254">
        <v>20.32</v>
      </c>
      <c r="E14221"/>
      <c r="F14221"/>
      <c r="G14221"/>
      <c r="H14221"/>
      <c r="I14221" s="489"/>
      <c r="J14221" s="1362"/>
      <c r="K14221" s="1362"/>
      <c r="L14221" s="1362"/>
    </row>
    <row r="14222" spans="1:12" x14ac:dyDescent="0.25">
      <c r="A14222">
        <v>104055</v>
      </c>
      <c r="B14222" t="s">
        <v>19630</v>
      </c>
      <c r="C14222" t="s">
        <v>138</v>
      </c>
      <c r="D14222" s="254">
        <v>15.82</v>
      </c>
      <c r="E14222"/>
      <c r="F14222"/>
      <c r="G14222"/>
      <c r="H14222"/>
      <c r="I14222" s="489"/>
      <c r="J14222" s="1362"/>
      <c r="K14222" s="1362"/>
      <c r="L14222" s="1362"/>
    </row>
    <row r="14223" spans="1:12" x14ac:dyDescent="0.25">
      <c r="A14223">
        <v>104056</v>
      </c>
      <c r="B14223" t="s">
        <v>19631</v>
      </c>
      <c r="C14223" t="s">
        <v>138</v>
      </c>
      <c r="D14223" s="254">
        <v>23.76</v>
      </c>
      <c r="E14223"/>
      <c r="F14223"/>
      <c r="G14223"/>
      <c r="H14223"/>
      <c r="I14223" s="489"/>
      <c r="J14223" s="1362"/>
      <c r="K14223" s="1362"/>
      <c r="L14223" s="1362"/>
    </row>
    <row r="14224" spans="1:12" x14ac:dyDescent="0.25">
      <c r="A14224">
        <v>104058</v>
      </c>
      <c r="B14224" t="s">
        <v>19632</v>
      </c>
      <c r="C14224" t="s">
        <v>138</v>
      </c>
      <c r="D14224" s="254">
        <v>7.91</v>
      </c>
      <c r="E14224"/>
      <c r="F14224"/>
      <c r="G14224"/>
      <c r="H14224"/>
      <c r="I14224" s="489"/>
      <c r="J14224" s="1362"/>
      <c r="K14224" s="1362"/>
      <c r="L14224" s="1362"/>
    </row>
    <row r="14225" spans="1:12" x14ac:dyDescent="0.25">
      <c r="A14225">
        <v>104059</v>
      </c>
      <c r="B14225" t="s">
        <v>19633</v>
      </c>
      <c r="C14225" t="s">
        <v>138</v>
      </c>
      <c r="D14225" s="254">
        <v>10.7</v>
      </c>
      <c r="E14225"/>
      <c r="F14225"/>
      <c r="G14225"/>
      <c r="H14225"/>
      <c r="I14225" s="489"/>
      <c r="J14225" s="1362"/>
      <c r="K14225" s="1362"/>
      <c r="L14225" s="1362"/>
    </row>
    <row r="14226" spans="1:12" x14ac:dyDescent="0.25">
      <c r="A14226">
        <v>104060</v>
      </c>
      <c r="B14226" t="s">
        <v>19634</v>
      </c>
      <c r="C14226" t="s">
        <v>151</v>
      </c>
      <c r="D14226" s="254">
        <v>9.3000000000000007</v>
      </c>
      <c r="E14226"/>
      <c r="F14226"/>
      <c r="G14226"/>
      <c r="H14226"/>
      <c r="I14226" s="489"/>
      <c r="J14226" s="1362"/>
      <c r="K14226" s="1362"/>
      <c r="L14226" s="1362"/>
    </row>
    <row r="14227" spans="1:12" x14ac:dyDescent="0.25">
      <c r="A14227">
        <v>104061</v>
      </c>
      <c r="B14227" t="s">
        <v>19635</v>
      </c>
      <c r="C14227" t="s">
        <v>151</v>
      </c>
      <c r="D14227" s="254">
        <v>16.760000000000002</v>
      </c>
      <c r="E14227"/>
      <c r="F14227"/>
      <c r="G14227"/>
      <c r="H14227"/>
      <c r="I14227" s="489"/>
      <c r="J14227" s="1362"/>
      <c r="K14227" s="1362"/>
      <c r="L14227" s="1362"/>
    </row>
    <row r="14228" spans="1:12" x14ac:dyDescent="0.25">
      <c r="A14228">
        <v>104112</v>
      </c>
      <c r="B14228" t="s">
        <v>19636</v>
      </c>
      <c r="C14228" t="s">
        <v>138</v>
      </c>
      <c r="D14228" s="254">
        <v>164.06</v>
      </c>
      <c r="E14228"/>
      <c r="F14228"/>
      <c r="G14228"/>
      <c r="H14228"/>
      <c r="I14228" s="489"/>
      <c r="J14228" s="1362"/>
      <c r="K14228" s="1362"/>
      <c r="L14228" s="1362"/>
    </row>
    <row r="14229" spans="1:12" x14ac:dyDescent="0.25">
      <c r="A14229">
        <v>104114</v>
      </c>
      <c r="B14229" t="s">
        <v>19637</v>
      </c>
      <c r="C14229" t="s">
        <v>138</v>
      </c>
      <c r="D14229" s="254">
        <v>244.89</v>
      </c>
      <c r="E14229"/>
      <c r="F14229"/>
      <c r="G14229"/>
      <c r="H14229"/>
      <c r="I14229" s="489"/>
      <c r="J14229" s="1362"/>
      <c r="K14229" s="1362"/>
      <c r="L14229" s="1362"/>
    </row>
    <row r="14230" spans="1:12" x14ac:dyDescent="0.25">
      <c r="A14230">
        <v>104116</v>
      </c>
      <c r="B14230" t="s">
        <v>19638</v>
      </c>
      <c r="C14230" t="s">
        <v>138</v>
      </c>
      <c r="D14230" s="254">
        <v>325.73</v>
      </c>
      <c r="E14230"/>
      <c r="F14230"/>
      <c r="G14230"/>
      <c r="H14230"/>
      <c r="I14230" s="489"/>
      <c r="J14230" s="1362"/>
      <c r="K14230" s="1362"/>
      <c r="L14230" s="1362"/>
    </row>
    <row r="14231" spans="1:12" x14ac:dyDescent="0.25">
      <c r="A14231">
        <v>104118</v>
      </c>
      <c r="B14231" t="s">
        <v>19639</v>
      </c>
      <c r="C14231" t="s">
        <v>138</v>
      </c>
      <c r="D14231" s="254">
        <v>263.23</v>
      </c>
      <c r="E14231"/>
      <c r="F14231"/>
      <c r="G14231"/>
      <c r="H14231"/>
      <c r="I14231" s="489"/>
      <c r="J14231" s="1362"/>
      <c r="K14231" s="1362"/>
      <c r="L14231" s="1362"/>
    </row>
    <row r="14232" spans="1:12" x14ac:dyDescent="0.25">
      <c r="A14232">
        <v>104120</v>
      </c>
      <c r="B14232" t="s">
        <v>19640</v>
      </c>
      <c r="C14232" t="s">
        <v>138</v>
      </c>
      <c r="D14232" s="254">
        <v>413.11</v>
      </c>
      <c r="E14232"/>
      <c r="F14232"/>
      <c r="G14232"/>
      <c r="H14232"/>
      <c r="I14232" s="489"/>
      <c r="J14232" s="1362"/>
      <c r="K14232" s="1362"/>
      <c r="L14232" s="1362"/>
    </row>
    <row r="14233" spans="1:12" x14ac:dyDescent="0.25">
      <c r="A14233">
        <v>104122</v>
      </c>
      <c r="B14233" t="s">
        <v>19641</v>
      </c>
      <c r="C14233" t="s">
        <v>138</v>
      </c>
      <c r="D14233" s="254">
        <v>562.98</v>
      </c>
      <c r="E14233"/>
      <c r="F14233"/>
      <c r="G14233"/>
      <c r="H14233"/>
      <c r="I14233" s="489"/>
      <c r="J14233" s="1362"/>
      <c r="K14233" s="1362"/>
      <c r="L14233" s="1362"/>
    </row>
    <row r="14234" spans="1:12" x14ac:dyDescent="0.25">
      <c r="A14234">
        <v>104062</v>
      </c>
      <c r="B14234" t="s">
        <v>19642</v>
      </c>
      <c r="C14234" t="s">
        <v>138</v>
      </c>
      <c r="D14234" s="254">
        <v>79.87</v>
      </c>
      <c r="E14234"/>
      <c r="F14234"/>
      <c r="G14234"/>
      <c r="H14234"/>
      <c r="I14234" s="489"/>
      <c r="J14234" s="1362"/>
      <c r="K14234" s="1362"/>
      <c r="L14234" s="1362"/>
    </row>
    <row r="14235" spans="1:12" x14ac:dyDescent="0.25">
      <c r="A14235">
        <v>104063</v>
      </c>
      <c r="B14235" t="s">
        <v>19643</v>
      </c>
      <c r="C14235" t="s">
        <v>138</v>
      </c>
      <c r="D14235" s="254">
        <v>59.14</v>
      </c>
      <c r="E14235"/>
      <c r="F14235"/>
      <c r="G14235"/>
      <c r="H14235"/>
      <c r="I14235" s="489"/>
      <c r="J14235" s="1362"/>
      <c r="K14235" s="1362"/>
      <c r="L14235" s="1362"/>
    </row>
    <row r="14236" spans="1:12" x14ac:dyDescent="0.25">
      <c r="A14236">
        <v>104064</v>
      </c>
      <c r="B14236" t="s">
        <v>19644</v>
      </c>
      <c r="C14236" t="s">
        <v>138</v>
      </c>
      <c r="D14236" s="254">
        <v>265.26</v>
      </c>
      <c r="E14236"/>
      <c r="F14236"/>
      <c r="G14236"/>
      <c r="H14236"/>
      <c r="I14236" s="489"/>
      <c r="J14236" s="1362"/>
      <c r="K14236" s="1362"/>
      <c r="L14236" s="1362"/>
    </row>
    <row r="14237" spans="1:12" x14ac:dyDescent="0.25">
      <c r="A14237">
        <v>104065</v>
      </c>
      <c r="B14237" t="s">
        <v>19645</v>
      </c>
      <c r="C14237" t="s">
        <v>138</v>
      </c>
      <c r="D14237" s="254">
        <v>191.38</v>
      </c>
      <c r="E14237"/>
      <c r="F14237"/>
      <c r="G14237"/>
      <c r="H14237"/>
      <c r="I14237" s="489"/>
      <c r="J14237" s="1362"/>
      <c r="K14237" s="1362"/>
      <c r="L14237" s="1362"/>
    </row>
    <row r="14238" spans="1:12" x14ac:dyDescent="0.25">
      <c r="A14238">
        <v>104066</v>
      </c>
      <c r="B14238" t="s">
        <v>19646</v>
      </c>
      <c r="C14238" t="s">
        <v>138</v>
      </c>
      <c r="D14238" s="254">
        <v>45.26</v>
      </c>
      <c r="E14238"/>
      <c r="F14238"/>
      <c r="G14238"/>
      <c r="H14238"/>
      <c r="I14238" s="489"/>
      <c r="J14238" s="1362"/>
      <c r="K14238" s="1362"/>
      <c r="L14238" s="1362"/>
    </row>
    <row r="14239" spans="1:12" x14ac:dyDescent="0.25">
      <c r="A14239">
        <v>104067</v>
      </c>
      <c r="B14239" t="s">
        <v>19647</v>
      </c>
      <c r="C14239" t="s">
        <v>138</v>
      </c>
      <c r="D14239" s="254">
        <v>126.02</v>
      </c>
      <c r="E14239"/>
      <c r="F14239"/>
      <c r="G14239"/>
      <c r="H14239"/>
      <c r="I14239" s="489"/>
      <c r="J14239" s="1362"/>
      <c r="K14239" s="1362"/>
      <c r="L14239" s="1362"/>
    </row>
    <row r="14240" spans="1:12" x14ac:dyDescent="0.25">
      <c r="A14240">
        <v>104068</v>
      </c>
      <c r="B14240" t="s">
        <v>19648</v>
      </c>
      <c r="C14240" t="s">
        <v>138</v>
      </c>
      <c r="D14240" s="254">
        <v>155.13999999999999</v>
      </c>
      <c r="E14240"/>
      <c r="F14240"/>
      <c r="G14240"/>
      <c r="H14240"/>
      <c r="I14240" s="489"/>
      <c r="J14240" s="1362"/>
      <c r="K14240" s="1362"/>
      <c r="L14240" s="1362"/>
    </row>
    <row r="14241" spans="1:12" x14ac:dyDescent="0.25">
      <c r="A14241">
        <v>104069</v>
      </c>
      <c r="B14241" t="s">
        <v>19649</v>
      </c>
      <c r="C14241" t="s">
        <v>138</v>
      </c>
      <c r="D14241" s="254">
        <v>289.49</v>
      </c>
      <c r="E14241"/>
      <c r="F14241"/>
      <c r="G14241"/>
      <c r="H14241"/>
      <c r="I14241" s="489"/>
      <c r="J14241" s="1362"/>
      <c r="K14241" s="1362"/>
      <c r="L14241" s="1362"/>
    </row>
    <row r="14242" spans="1:12" x14ac:dyDescent="0.25">
      <c r="A14242">
        <v>104070</v>
      </c>
      <c r="B14242" t="s">
        <v>19650</v>
      </c>
      <c r="C14242" t="s">
        <v>138</v>
      </c>
      <c r="D14242" s="254">
        <v>100.96</v>
      </c>
      <c r="E14242"/>
      <c r="F14242"/>
      <c r="G14242"/>
      <c r="H14242"/>
      <c r="I14242" s="489"/>
      <c r="J14242" s="1362"/>
      <c r="K14242" s="1362"/>
      <c r="L14242" s="1362"/>
    </row>
    <row r="14243" spans="1:12" x14ac:dyDescent="0.25">
      <c r="A14243">
        <v>104071</v>
      </c>
      <c r="B14243" t="s">
        <v>19651</v>
      </c>
      <c r="C14243" t="s">
        <v>138</v>
      </c>
      <c r="D14243" s="254">
        <v>218.06</v>
      </c>
      <c r="E14243"/>
      <c r="F14243"/>
      <c r="G14243"/>
      <c r="H14243"/>
      <c r="I14243" s="489"/>
      <c r="J14243" s="1362"/>
      <c r="K14243" s="1362"/>
      <c r="L14243" s="1362"/>
    </row>
    <row r="14244" spans="1:12" x14ac:dyDescent="0.25">
      <c r="A14244">
        <v>104072</v>
      </c>
      <c r="B14244" t="s">
        <v>19652</v>
      </c>
      <c r="C14244" t="s">
        <v>138</v>
      </c>
      <c r="D14244" s="254">
        <v>309.11</v>
      </c>
      <c r="E14244"/>
      <c r="F14244"/>
      <c r="G14244"/>
      <c r="H14244"/>
      <c r="I14244" s="489"/>
      <c r="J14244" s="1362"/>
      <c r="K14244" s="1362"/>
      <c r="L14244" s="1362"/>
    </row>
    <row r="14245" spans="1:12" x14ac:dyDescent="0.25">
      <c r="A14245">
        <v>104076</v>
      </c>
      <c r="B14245" t="s">
        <v>19653</v>
      </c>
      <c r="C14245" t="s">
        <v>138</v>
      </c>
      <c r="D14245" s="254">
        <v>49.98</v>
      </c>
      <c r="E14245"/>
      <c r="F14245"/>
      <c r="G14245"/>
      <c r="H14245"/>
      <c r="I14245" s="489"/>
      <c r="J14245" s="1362"/>
      <c r="K14245" s="1362"/>
      <c r="L14245" s="1362"/>
    </row>
    <row r="14246" spans="1:12" x14ac:dyDescent="0.25">
      <c r="A14246">
        <v>104077</v>
      </c>
      <c r="B14246" t="s">
        <v>19654</v>
      </c>
      <c r="C14246" t="s">
        <v>138</v>
      </c>
      <c r="D14246" s="254">
        <v>72.09</v>
      </c>
      <c r="E14246"/>
      <c r="F14246"/>
      <c r="G14246"/>
      <c r="H14246"/>
      <c r="I14246" s="489"/>
      <c r="J14246" s="1362"/>
      <c r="K14246" s="1362"/>
      <c r="L14246" s="1362"/>
    </row>
    <row r="14247" spans="1:12" x14ac:dyDescent="0.25">
      <c r="A14247">
        <v>104078</v>
      </c>
      <c r="B14247" t="s">
        <v>19655</v>
      </c>
      <c r="C14247" t="s">
        <v>138</v>
      </c>
      <c r="D14247" s="254">
        <v>119.69</v>
      </c>
      <c r="E14247"/>
      <c r="F14247"/>
      <c r="G14247"/>
      <c r="H14247"/>
      <c r="I14247" s="489"/>
      <c r="J14247" s="1362"/>
      <c r="K14247" s="1362"/>
      <c r="L14247" s="1362"/>
    </row>
    <row r="14248" spans="1:12" x14ac:dyDescent="0.25">
      <c r="A14248">
        <v>104079</v>
      </c>
      <c r="B14248" t="s">
        <v>19656</v>
      </c>
      <c r="C14248" t="s">
        <v>138</v>
      </c>
      <c r="D14248" s="254">
        <v>153.31</v>
      </c>
      <c r="E14248"/>
      <c r="F14248"/>
      <c r="G14248"/>
      <c r="H14248"/>
      <c r="I14248" s="489"/>
      <c r="J14248" s="1362"/>
      <c r="K14248" s="1362"/>
      <c r="L14248" s="1362"/>
    </row>
    <row r="14249" spans="1:12" x14ac:dyDescent="0.25">
      <c r="A14249">
        <v>104080</v>
      </c>
      <c r="B14249" t="s">
        <v>19657</v>
      </c>
      <c r="C14249" t="s">
        <v>138</v>
      </c>
      <c r="D14249" s="254">
        <v>161.05000000000001</v>
      </c>
      <c r="E14249"/>
      <c r="F14249"/>
      <c r="G14249"/>
      <c r="H14249"/>
      <c r="I14249" s="489"/>
      <c r="J14249" s="1362"/>
      <c r="K14249" s="1362"/>
      <c r="L14249" s="1362"/>
    </row>
    <row r="14250" spans="1:12" x14ac:dyDescent="0.25">
      <c r="A14250">
        <v>104081</v>
      </c>
      <c r="B14250" t="s">
        <v>19658</v>
      </c>
      <c r="C14250" t="s">
        <v>138</v>
      </c>
      <c r="D14250" s="254">
        <v>331.28</v>
      </c>
      <c r="E14250"/>
      <c r="F14250"/>
      <c r="G14250"/>
      <c r="H14250"/>
      <c r="I14250" s="489"/>
      <c r="J14250" s="1362"/>
      <c r="K14250" s="1362"/>
      <c r="L14250" s="1362"/>
    </row>
    <row r="14251" spans="1:12" x14ac:dyDescent="0.25">
      <c r="A14251">
        <v>104082</v>
      </c>
      <c r="B14251" t="s">
        <v>19659</v>
      </c>
      <c r="C14251" t="s">
        <v>138</v>
      </c>
      <c r="D14251" s="254">
        <v>48.13</v>
      </c>
      <c r="E14251"/>
      <c r="F14251"/>
      <c r="G14251"/>
      <c r="H14251"/>
      <c r="I14251" s="489"/>
      <c r="J14251" s="1362"/>
      <c r="K14251" s="1362"/>
      <c r="L14251" s="1362"/>
    </row>
    <row r="14252" spans="1:12" x14ac:dyDescent="0.25">
      <c r="A14252">
        <v>104083</v>
      </c>
      <c r="B14252" t="s">
        <v>19660</v>
      </c>
      <c r="C14252" t="s">
        <v>138</v>
      </c>
      <c r="D14252" s="254">
        <v>106.56</v>
      </c>
      <c r="E14252"/>
      <c r="F14252"/>
      <c r="G14252"/>
      <c r="H14252"/>
      <c r="I14252" s="489"/>
      <c r="J14252" s="1362"/>
      <c r="K14252" s="1362"/>
      <c r="L14252" s="1362"/>
    </row>
    <row r="14253" spans="1:12" x14ac:dyDescent="0.25">
      <c r="A14253">
        <v>104084</v>
      </c>
      <c r="B14253" t="s">
        <v>19661</v>
      </c>
      <c r="C14253" t="s">
        <v>138</v>
      </c>
      <c r="D14253" s="254">
        <v>118.12</v>
      </c>
      <c r="E14253"/>
      <c r="F14253"/>
      <c r="G14253"/>
      <c r="H14253"/>
      <c r="I14253" s="489"/>
      <c r="J14253" s="1362"/>
      <c r="K14253" s="1362"/>
      <c r="L14253" s="1362"/>
    </row>
    <row r="14254" spans="1:12" x14ac:dyDescent="0.25">
      <c r="A14254">
        <v>104085</v>
      </c>
      <c r="B14254" t="s">
        <v>19662</v>
      </c>
      <c r="C14254" t="s">
        <v>151</v>
      </c>
      <c r="D14254" s="254">
        <v>54.37</v>
      </c>
      <c r="E14254"/>
      <c r="F14254"/>
      <c r="G14254"/>
      <c r="H14254"/>
      <c r="I14254" s="489"/>
      <c r="J14254" s="1362"/>
      <c r="K14254" s="1362"/>
      <c r="L14254" s="1362"/>
    </row>
    <row r="14255" spans="1:12" x14ac:dyDescent="0.25">
      <c r="A14255">
        <v>104086</v>
      </c>
      <c r="B14255" t="s">
        <v>19663</v>
      </c>
      <c r="C14255" t="s">
        <v>151</v>
      </c>
      <c r="D14255" s="254">
        <v>105.69</v>
      </c>
      <c r="E14255"/>
      <c r="F14255"/>
      <c r="G14255"/>
      <c r="H14255"/>
      <c r="I14255" s="489"/>
      <c r="J14255" s="1362"/>
      <c r="K14255" s="1362"/>
      <c r="L14255" s="1362"/>
    </row>
    <row r="14256" spans="1:12" x14ac:dyDescent="0.25">
      <c r="A14256">
        <v>104124</v>
      </c>
      <c r="B14256" t="s">
        <v>19664</v>
      </c>
      <c r="C14256" t="s">
        <v>138</v>
      </c>
      <c r="D14256" s="254">
        <v>364.9</v>
      </c>
      <c r="E14256"/>
      <c r="F14256"/>
      <c r="G14256"/>
      <c r="H14256"/>
      <c r="I14256" s="489"/>
      <c r="J14256" s="1362"/>
      <c r="K14256" s="1362"/>
      <c r="L14256" s="1362"/>
    </row>
    <row r="14257" spans="1:12" x14ac:dyDescent="0.25">
      <c r="A14257">
        <v>104125</v>
      </c>
      <c r="B14257" t="s">
        <v>19665</v>
      </c>
      <c r="C14257" t="s">
        <v>138</v>
      </c>
      <c r="D14257" s="254">
        <v>489.37</v>
      </c>
      <c r="E14257"/>
      <c r="F14257"/>
      <c r="G14257"/>
      <c r="H14257"/>
      <c r="I14257" s="489"/>
      <c r="J14257" s="1362"/>
      <c r="K14257" s="1362"/>
      <c r="L14257" s="1362"/>
    </row>
    <row r="14258" spans="1:12" x14ac:dyDescent="0.25">
      <c r="A14258">
        <v>104127</v>
      </c>
      <c r="B14258" t="s">
        <v>19666</v>
      </c>
      <c r="C14258" t="s">
        <v>138</v>
      </c>
      <c r="D14258" s="254">
        <v>834.72</v>
      </c>
      <c r="E14258"/>
      <c r="F14258"/>
      <c r="G14258"/>
      <c r="H14258"/>
      <c r="I14258" s="489"/>
      <c r="J14258" s="1362"/>
      <c r="K14258" s="1362"/>
      <c r="L14258" s="1362"/>
    </row>
    <row r="14259" spans="1:12" x14ac:dyDescent="0.25">
      <c r="A14259">
        <v>104130</v>
      </c>
      <c r="B14259" t="s">
        <v>19667</v>
      </c>
      <c r="C14259" t="s">
        <v>138</v>
      </c>
      <c r="D14259" s="254">
        <v>554.86</v>
      </c>
      <c r="E14259"/>
      <c r="F14259"/>
      <c r="G14259"/>
      <c r="H14259"/>
      <c r="I14259" s="489"/>
      <c r="J14259" s="1362"/>
      <c r="K14259" s="1362"/>
      <c r="L14259" s="1362"/>
    </row>
    <row r="14260" spans="1:12" x14ac:dyDescent="0.25">
      <c r="A14260">
        <v>104131</v>
      </c>
      <c r="B14260" t="s">
        <v>19668</v>
      </c>
      <c r="C14260" t="s">
        <v>138</v>
      </c>
      <c r="D14260" s="254">
        <v>679.54</v>
      </c>
      <c r="E14260"/>
      <c r="F14260"/>
      <c r="G14260"/>
      <c r="H14260"/>
      <c r="I14260" s="489"/>
      <c r="J14260" s="1362"/>
      <c r="K14260" s="1362"/>
      <c r="L14260" s="1362"/>
    </row>
    <row r="14261" spans="1:12" x14ac:dyDescent="0.25">
      <c r="A14261">
        <v>104133</v>
      </c>
      <c r="B14261" t="s">
        <v>19669</v>
      </c>
      <c r="C14261" t="s">
        <v>138</v>
      </c>
      <c r="D14261" s="254">
        <v>1129.78</v>
      </c>
      <c r="E14261"/>
      <c r="F14261"/>
      <c r="G14261"/>
      <c r="H14261"/>
      <c r="I14261" s="489"/>
      <c r="J14261" s="1362"/>
      <c r="K14261" s="1362"/>
      <c r="L14261" s="1362"/>
    </row>
    <row r="14262" spans="1:12" x14ac:dyDescent="0.25">
      <c r="A14262">
        <v>104136</v>
      </c>
      <c r="B14262" t="s">
        <v>19670</v>
      </c>
      <c r="C14262" t="s">
        <v>138</v>
      </c>
      <c r="D14262" s="254">
        <v>746.06</v>
      </c>
      <c r="E14262"/>
      <c r="F14262"/>
      <c r="G14262"/>
      <c r="H14262"/>
      <c r="I14262" s="489"/>
      <c r="J14262" s="1362"/>
      <c r="K14262" s="1362"/>
      <c r="L14262" s="1362"/>
    </row>
    <row r="14263" spans="1:12" x14ac:dyDescent="0.25">
      <c r="A14263">
        <v>104137</v>
      </c>
      <c r="B14263" t="s">
        <v>19671</v>
      </c>
      <c r="C14263" t="s">
        <v>138</v>
      </c>
      <c r="D14263" s="254">
        <v>870.95</v>
      </c>
      <c r="E14263"/>
      <c r="F14263"/>
      <c r="G14263"/>
      <c r="H14263"/>
      <c r="I14263" s="489"/>
      <c r="J14263" s="1362"/>
      <c r="K14263" s="1362"/>
      <c r="L14263" s="1362"/>
    </row>
    <row r="14264" spans="1:12" x14ac:dyDescent="0.25">
      <c r="A14264">
        <v>104139</v>
      </c>
      <c r="B14264" t="s">
        <v>19672</v>
      </c>
      <c r="C14264" t="s">
        <v>138</v>
      </c>
      <c r="D14264" s="254">
        <v>1426.07</v>
      </c>
      <c r="E14264"/>
      <c r="F14264"/>
      <c r="G14264"/>
      <c r="H14264"/>
      <c r="I14264" s="489"/>
      <c r="J14264" s="1362"/>
      <c r="K14264" s="1362"/>
      <c r="L14264" s="1362"/>
    </row>
    <row r="14265" spans="1:12" x14ac:dyDescent="0.25">
      <c r="A14265">
        <v>104142</v>
      </c>
      <c r="B14265" t="s">
        <v>19673</v>
      </c>
      <c r="C14265" t="s">
        <v>138</v>
      </c>
      <c r="D14265" s="254">
        <v>509.75</v>
      </c>
      <c r="E14265"/>
      <c r="F14265"/>
      <c r="G14265"/>
      <c r="H14265"/>
      <c r="I14265" s="489"/>
      <c r="J14265" s="1362"/>
      <c r="K14265" s="1362"/>
      <c r="L14265" s="1362"/>
    </row>
    <row r="14266" spans="1:12" x14ac:dyDescent="0.25">
      <c r="A14266">
        <v>104143</v>
      </c>
      <c r="B14266" t="s">
        <v>19674</v>
      </c>
      <c r="C14266" t="s">
        <v>138</v>
      </c>
      <c r="D14266" s="254">
        <v>664.08</v>
      </c>
      <c r="E14266"/>
      <c r="F14266"/>
      <c r="G14266"/>
      <c r="H14266"/>
      <c r="I14266" s="489"/>
      <c r="J14266" s="1362"/>
      <c r="K14266" s="1362"/>
      <c r="L14266" s="1362"/>
    </row>
    <row r="14267" spans="1:12" x14ac:dyDescent="0.25">
      <c r="A14267">
        <v>104145</v>
      </c>
      <c r="B14267" t="s">
        <v>19675</v>
      </c>
      <c r="C14267" t="s">
        <v>138</v>
      </c>
      <c r="D14267" s="254">
        <v>985.33</v>
      </c>
      <c r="E14267"/>
      <c r="F14267"/>
      <c r="G14267"/>
      <c r="H14267"/>
      <c r="I14267" s="489"/>
      <c r="J14267" s="1362"/>
      <c r="K14267" s="1362"/>
      <c r="L14267" s="1362"/>
    </row>
    <row r="14268" spans="1:12" x14ac:dyDescent="0.25">
      <c r="A14268">
        <v>104148</v>
      </c>
      <c r="B14268" t="s">
        <v>19676</v>
      </c>
      <c r="C14268" t="s">
        <v>138</v>
      </c>
      <c r="D14268" s="254">
        <v>796.25</v>
      </c>
      <c r="E14268"/>
      <c r="F14268"/>
      <c r="G14268"/>
      <c r="H14268"/>
      <c r="I14268" s="489"/>
      <c r="J14268" s="1362"/>
      <c r="K14268" s="1362"/>
      <c r="L14268" s="1362"/>
    </row>
    <row r="14269" spans="1:12" x14ac:dyDescent="0.25">
      <c r="A14269">
        <v>104149</v>
      </c>
      <c r="B14269" t="s">
        <v>19677</v>
      </c>
      <c r="C14269" t="s">
        <v>138</v>
      </c>
      <c r="D14269" s="254">
        <v>951.08</v>
      </c>
      <c r="E14269"/>
      <c r="F14269"/>
      <c r="G14269"/>
      <c r="H14269"/>
      <c r="I14269" s="489"/>
      <c r="J14269" s="1362"/>
      <c r="K14269" s="1362"/>
      <c r="L14269" s="1362"/>
    </row>
    <row r="14270" spans="1:12" x14ac:dyDescent="0.25">
      <c r="A14270">
        <v>104151</v>
      </c>
      <c r="B14270" t="s">
        <v>19678</v>
      </c>
      <c r="C14270" t="s">
        <v>138</v>
      </c>
      <c r="D14270" s="254">
        <v>1381.26</v>
      </c>
      <c r="E14270"/>
      <c r="F14270"/>
      <c r="G14270"/>
      <c r="H14270"/>
      <c r="I14270" s="489"/>
      <c r="J14270" s="1362"/>
      <c r="K14270" s="1362"/>
      <c r="L14270" s="1362"/>
    </row>
    <row r="14271" spans="1:12" x14ac:dyDescent="0.25">
      <c r="A14271">
        <v>104154</v>
      </c>
      <c r="B14271" t="s">
        <v>19679</v>
      </c>
      <c r="C14271" t="s">
        <v>138</v>
      </c>
      <c r="D14271" s="254">
        <v>1085.72</v>
      </c>
      <c r="E14271"/>
      <c r="F14271"/>
      <c r="G14271"/>
      <c r="H14271"/>
      <c r="I14271" s="489"/>
      <c r="J14271" s="1362"/>
      <c r="K14271" s="1362"/>
      <c r="L14271" s="1362"/>
    </row>
    <row r="14272" spans="1:12" x14ac:dyDescent="0.25">
      <c r="A14272">
        <v>104155</v>
      </c>
      <c r="B14272" t="s">
        <v>19680</v>
      </c>
      <c r="C14272" t="s">
        <v>138</v>
      </c>
      <c r="D14272" s="254">
        <v>1241.05</v>
      </c>
      <c r="E14272"/>
      <c r="F14272"/>
      <c r="G14272"/>
      <c r="H14272"/>
      <c r="I14272" s="489"/>
      <c r="J14272" s="1362"/>
      <c r="K14272" s="1362"/>
      <c r="L14272" s="1362"/>
    </row>
    <row r="14273" spans="1:12" x14ac:dyDescent="0.25">
      <c r="A14273">
        <v>104157</v>
      </c>
      <c r="B14273" t="s">
        <v>19681</v>
      </c>
      <c r="C14273" t="s">
        <v>138</v>
      </c>
      <c r="D14273" s="254">
        <v>1780.17</v>
      </c>
      <c r="E14273"/>
      <c r="F14273"/>
      <c r="G14273"/>
      <c r="H14273"/>
      <c r="I14273" s="489"/>
      <c r="J14273" s="1362"/>
      <c r="K14273" s="1362"/>
      <c r="L14273" s="1362"/>
    </row>
    <row r="14274" spans="1:12" x14ac:dyDescent="0.25">
      <c r="A14274">
        <v>96520</v>
      </c>
      <c r="B14274" t="s">
        <v>7037</v>
      </c>
      <c r="C14274" t="s">
        <v>1159</v>
      </c>
      <c r="D14274" s="254">
        <v>107.09</v>
      </c>
      <c r="E14274"/>
      <c r="F14274"/>
      <c r="G14274"/>
      <c r="H14274"/>
      <c r="I14274" s="489"/>
      <c r="J14274" s="1362"/>
      <c r="K14274" s="1362"/>
      <c r="L14274" s="1362"/>
    </row>
    <row r="14275" spans="1:12" x14ac:dyDescent="0.25">
      <c r="A14275">
        <v>96521</v>
      </c>
      <c r="B14275" t="s">
        <v>7038</v>
      </c>
      <c r="C14275" t="s">
        <v>1159</v>
      </c>
      <c r="D14275" s="254">
        <v>46.02</v>
      </c>
      <c r="E14275"/>
      <c r="F14275"/>
      <c r="G14275"/>
      <c r="H14275"/>
      <c r="I14275" s="489"/>
      <c r="J14275" s="1362"/>
      <c r="K14275" s="1362"/>
      <c r="L14275" s="1362"/>
    </row>
    <row r="14276" spans="1:12" x14ac:dyDescent="0.25">
      <c r="A14276">
        <v>96522</v>
      </c>
      <c r="B14276" t="s">
        <v>7039</v>
      </c>
      <c r="C14276" t="s">
        <v>1159</v>
      </c>
      <c r="D14276" s="254">
        <v>158.19999999999999</v>
      </c>
      <c r="E14276"/>
      <c r="F14276"/>
      <c r="G14276"/>
      <c r="H14276"/>
      <c r="I14276" s="489"/>
      <c r="J14276" s="1362"/>
      <c r="K14276" s="1362"/>
      <c r="L14276" s="1362"/>
    </row>
    <row r="14277" spans="1:12" x14ac:dyDescent="0.25">
      <c r="A14277">
        <v>96523</v>
      </c>
      <c r="B14277" t="s">
        <v>7040</v>
      </c>
      <c r="C14277" t="s">
        <v>1159</v>
      </c>
      <c r="D14277" s="254">
        <v>99.75</v>
      </c>
      <c r="E14277"/>
      <c r="F14277"/>
      <c r="G14277"/>
      <c r="H14277"/>
      <c r="I14277" s="489"/>
      <c r="J14277" s="1362"/>
      <c r="K14277" s="1362"/>
      <c r="L14277" s="1362"/>
    </row>
    <row r="14278" spans="1:12" x14ac:dyDescent="0.25">
      <c r="A14278">
        <v>96524</v>
      </c>
      <c r="B14278" t="s">
        <v>7041</v>
      </c>
      <c r="C14278" t="s">
        <v>1159</v>
      </c>
      <c r="D14278" s="254">
        <v>191.63</v>
      </c>
      <c r="E14278"/>
      <c r="F14278"/>
      <c r="G14278"/>
      <c r="H14278"/>
      <c r="I14278" s="489"/>
      <c r="J14278" s="1362"/>
      <c r="K14278" s="1362"/>
      <c r="L14278" s="1362"/>
    </row>
    <row r="14279" spans="1:12" x14ac:dyDescent="0.25">
      <c r="A14279">
        <v>96525</v>
      </c>
      <c r="B14279" t="s">
        <v>7042</v>
      </c>
      <c r="C14279" t="s">
        <v>1159</v>
      </c>
      <c r="D14279" s="254">
        <v>39.619999999999997</v>
      </c>
      <c r="E14279"/>
      <c r="F14279"/>
      <c r="G14279"/>
      <c r="H14279"/>
      <c r="I14279" s="489"/>
      <c r="J14279" s="1362"/>
      <c r="K14279" s="1362"/>
      <c r="L14279" s="1362"/>
    </row>
    <row r="14280" spans="1:12" x14ac:dyDescent="0.25">
      <c r="A14280">
        <v>96526</v>
      </c>
      <c r="B14280" t="s">
        <v>7043</v>
      </c>
      <c r="C14280" t="s">
        <v>1159</v>
      </c>
      <c r="D14280" s="254">
        <v>320.76</v>
      </c>
      <c r="E14280"/>
      <c r="F14280"/>
      <c r="G14280"/>
      <c r="H14280"/>
      <c r="I14280" s="489"/>
      <c r="J14280" s="1362"/>
      <c r="K14280" s="1362"/>
      <c r="L14280" s="1362"/>
    </row>
    <row r="14281" spans="1:12" x14ac:dyDescent="0.25">
      <c r="A14281">
        <v>96527</v>
      </c>
      <c r="B14281" t="s">
        <v>7044</v>
      </c>
      <c r="C14281" t="s">
        <v>1159</v>
      </c>
      <c r="D14281" s="254">
        <v>130.56</v>
      </c>
      <c r="E14281"/>
      <c r="F14281"/>
      <c r="G14281"/>
      <c r="H14281"/>
      <c r="I14281" s="489"/>
      <c r="J14281" s="1362"/>
      <c r="K14281" s="1362"/>
      <c r="L14281" s="1362"/>
    </row>
    <row r="14282" spans="1:12" x14ac:dyDescent="0.25">
      <c r="A14282">
        <v>96528</v>
      </c>
      <c r="B14282" t="s">
        <v>1905</v>
      </c>
      <c r="C14282" t="s">
        <v>297</v>
      </c>
      <c r="D14282" s="254">
        <v>256.31</v>
      </c>
      <c r="E14282"/>
      <c r="F14282"/>
      <c r="G14282"/>
      <c r="H14282"/>
      <c r="I14282" s="489"/>
      <c r="J14282" s="1362"/>
      <c r="K14282" s="1362"/>
      <c r="L14282" s="1362"/>
    </row>
    <row r="14283" spans="1:12" x14ac:dyDescent="0.25">
      <c r="A14283">
        <v>101114</v>
      </c>
      <c r="B14283" t="s">
        <v>4843</v>
      </c>
      <c r="C14283" t="s">
        <v>1159</v>
      </c>
      <c r="D14283" s="254">
        <v>4.49</v>
      </c>
      <c r="E14283"/>
      <c r="F14283"/>
      <c r="G14283"/>
      <c r="H14283"/>
      <c r="I14283" s="489"/>
      <c r="J14283" s="1362"/>
      <c r="K14283" s="1362"/>
      <c r="L14283" s="1362"/>
    </row>
    <row r="14284" spans="1:12" x14ac:dyDescent="0.25">
      <c r="A14284">
        <v>101115</v>
      </c>
      <c r="B14284" t="s">
        <v>4844</v>
      </c>
      <c r="C14284" t="s">
        <v>1159</v>
      </c>
      <c r="D14284" s="254">
        <v>3.81</v>
      </c>
      <c r="E14284"/>
      <c r="F14284"/>
      <c r="G14284"/>
      <c r="H14284"/>
      <c r="I14284" s="489"/>
      <c r="J14284" s="1362"/>
      <c r="K14284" s="1362"/>
      <c r="L14284" s="1362"/>
    </row>
    <row r="14285" spans="1:12" x14ac:dyDescent="0.25">
      <c r="A14285">
        <v>101116</v>
      </c>
      <c r="B14285" t="s">
        <v>4845</v>
      </c>
      <c r="C14285" t="s">
        <v>1159</v>
      </c>
      <c r="D14285" s="254">
        <v>2.38</v>
      </c>
      <c r="E14285"/>
      <c r="F14285"/>
      <c r="G14285"/>
      <c r="H14285"/>
      <c r="I14285" s="489"/>
      <c r="J14285" s="1362"/>
      <c r="K14285" s="1362"/>
      <c r="L14285" s="1362"/>
    </row>
    <row r="14286" spans="1:12" x14ac:dyDescent="0.25">
      <c r="A14286">
        <v>101117</v>
      </c>
      <c r="B14286" t="s">
        <v>4846</v>
      </c>
      <c r="C14286" t="s">
        <v>1159</v>
      </c>
      <c r="D14286" s="254">
        <v>3.41</v>
      </c>
      <c r="E14286"/>
      <c r="F14286"/>
      <c r="G14286"/>
      <c r="H14286"/>
      <c r="I14286" s="489"/>
      <c r="J14286" s="1362"/>
      <c r="K14286" s="1362"/>
      <c r="L14286" s="1362"/>
    </row>
    <row r="14287" spans="1:12" x14ac:dyDescent="0.25">
      <c r="A14287">
        <v>101118</v>
      </c>
      <c r="B14287" t="s">
        <v>4847</v>
      </c>
      <c r="C14287" t="s">
        <v>1159</v>
      </c>
      <c r="D14287" s="254">
        <v>3.88</v>
      </c>
      <c r="E14287"/>
      <c r="F14287"/>
      <c r="G14287"/>
      <c r="H14287"/>
      <c r="I14287" s="489"/>
      <c r="J14287" s="1362"/>
      <c r="K14287" s="1362"/>
      <c r="L14287" s="1362"/>
    </row>
    <row r="14288" spans="1:12" x14ac:dyDescent="0.25">
      <c r="A14288">
        <v>101119</v>
      </c>
      <c r="B14288" t="s">
        <v>4848</v>
      </c>
      <c r="C14288" t="s">
        <v>1159</v>
      </c>
      <c r="D14288" s="254">
        <v>8.58</v>
      </c>
      <c r="E14288"/>
      <c r="F14288"/>
      <c r="G14288"/>
      <c r="H14288"/>
      <c r="I14288" s="489"/>
      <c r="J14288" s="1362"/>
      <c r="K14288" s="1362"/>
      <c r="L14288" s="1362"/>
    </row>
    <row r="14289" spans="1:12" x14ac:dyDescent="0.25">
      <c r="A14289">
        <v>101120</v>
      </c>
      <c r="B14289" t="s">
        <v>4849</v>
      </c>
      <c r="C14289" t="s">
        <v>1159</v>
      </c>
      <c r="D14289" s="254">
        <v>7.29</v>
      </c>
      <c r="E14289"/>
      <c r="F14289"/>
      <c r="G14289"/>
      <c r="H14289"/>
      <c r="I14289" s="489"/>
      <c r="J14289" s="1362"/>
      <c r="K14289" s="1362"/>
      <c r="L14289" s="1362"/>
    </row>
    <row r="14290" spans="1:12" x14ac:dyDescent="0.25">
      <c r="A14290">
        <v>101121</v>
      </c>
      <c r="B14290" t="s">
        <v>4850</v>
      </c>
      <c r="C14290" t="s">
        <v>1159</v>
      </c>
      <c r="D14290" s="254">
        <v>4.5599999999999996</v>
      </c>
      <c r="E14290"/>
      <c r="F14290"/>
      <c r="G14290"/>
      <c r="H14290"/>
      <c r="I14290" s="489"/>
      <c r="J14290" s="1362"/>
      <c r="K14290" s="1362"/>
      <c r="L14290" s="1362"/>
    </row>
    <row r="14291" spans="1:12" x14ac:dyDescent="0.25">
      <c r="A14291">
        <v>101122</v>
      </c>
      <c r="B14291" t="s">
        <v>4851</v>
      </c>
      <c r="C14291" t="s">
        <v>1159</v>
      </c>
      <c r="D14291" s="254">
        <v>6.53</v>
      </c>
      <c r="E14291"/>
      <c r="F14291"/>
      <c r="G14291"/>
      <c r="H14291"/>
      <c r="I14291" s="489"/>
      <c r="J14291" s="1362"/>
      <c r="K14291" s="1362"/>
      <c r="L14291" s="1362"/>
    </row>
    <row r="14292" spans="1:12" x14ac:dyDescent="0.25">
      <c r="A14292">
        <v>101123</v>
      </c>
      <c r="B14292" t="s">
        <v>4852</v>
      </c>
      <c r="C14292" t="s">
        <v>1159</v>
      </c>
      <c r="D14292" s="254">
        <v>7.41</v>
      </c>
      <c r="E14292"/>
      <c r="F14292"/>
      <c r="G14292"/>
      <c r="H14292"/>
      <c r="I14292" s="489"/>
      <c r="J14292" s="1362"/>
      <c r="K14292" s="1362"/>
      <c r="L14292" s="1362"/>
    </row>
    <row r="14293" spans="1:12" x14ac:dyDescent="0.25">
      <c r="A14293">
        <v>101124</v>
      </c>
      <c r="B14293" t="s">
        <v>4853</v>
      </c>
      <c r="C14293" t="s">
        <v>1159</v>
      </c>
      <c r="D14293" s="254">
        <v>15.16</v>
      </c>
      <c r="E14293"/>
      <c r="F14293"/>
      <c r="G14293"/>
      <c r="H14293"/>
      <c r="I14293" s="489"/>
      <c r="J14293" s="1362"/>
      <c r="K14293" s="1362"/>
      <c r="L14293" s="1362"/>
    </row>
    <row r="14294" spans="1:12" x14ac:dyDescent="0.25">
      <c r="A14294">
        <v>101125</v>
      </c>
      <c r="B14294" t="s">
        <v>4854</v>
      </c>
      <c r="C14294" t="s">
        <v>1159</v>
      </c>
      <c r="D14294" s="254">
        <v>14.48</v>
      </c>
      <c r="E14294"/>
      <c r="F14294"/>
      <c r="G14294"/>
      <c r="H14294"/>
      <c r="I14294" s="489"/>
      <c r="J14294" s="1362"/>
      <c r="K14294" s="1362"/>
      <c r="L14294" s="1362"/>
    </row>
    <row r="14295" spans="1:12" x14ac:dyDescent="0.25">
      <c r="A14295">
        <v>101126</v>
      </c>
      <c r="B14295" t="s">
        <v>4855</v>
      </c>
      <c r="C14295" t="s">
        <v>1159</v>
      </c>
      <c r="D14295" s="254">
        <v>13.05</v>
      </c>
      <c r="E14295"/>
      <c r="F14295"/>
      <c r="G14295"/>
      <c r="H14295"/>
      <c r="I14295" s="489"/>
      <c r="J14295" s="1362"/>
      <c r="K14295" s="1362"/>
      <c r="L14295" s="1362"/>
    </row>
    <row r="14296" spans="1:12" x14ac:dyDescent="0.25">
      <c r="A14296">
        <v>101127</v>
      </c>
      <c r="B14296" t="s">
        <v>4856</v>
      </c>
      <c r="C14296" t="s">
        <v>1159</v>
      </c>
      <c r="D14296" s="254">
        <v>14.08</v>
      </c>
      <c r="E14296"/>
      <c r="F14296"/>
      <c r="G14296"/>
      <c r="H14296"/>
      <c r="I14296" s="489"/>
      <c r="J14296" s="1362"/>
      <c r="K14296" s="1362"/>
      <c r="L14296" s="1362"/>
    </row>
    <row r="14297" spans="1:12" x14ac:dyDescent="0.25">
      <c r="A14297">
        <v>101128</v>
      </c>
      <c r="B14297" t="s">
        <v>4857</v>
      </c>
      <c r="C14297" t="s">
        <v>1159</v>
      </c>
      <c r="D14297" s="254">
        <v>14.55</v>
      </c>
      <c r="E14297"/>
      <c r="F14297"/>
      <c r="G14297"/>
      <c r="H14297"/>
      <c r="I14297" s="489"/>
      <c r="J14297" s="1362"/>
      <c r="K14297" s="1362"/>
      <c r="L14297" s="1362"/>
    </row>
    <row r="14298" spans="1:12" x14ac:dyDescent="0.25">
      <c r="A14298">
        <v>101129</v>
      </c>
      <c r="B14298" t="s">
        <v>4858</v>
      </c>
      <c r="C14298" t="s">
        <v>1159</v>
      </c>
      <c r="D14298" s="254">
        <v>19.68</v>
      </c>
      <c r="E14298"/>
      <c r="F14298"/>
      <c r="G14298"/>
      <c r="H14298"/>
      <c r="I14298" s="489"/>
      <c r="J14298" s="1362"/>
      <c r="K14298" s="1362"/>
      <c r="L14298" s="1362"/>
    </row>
    <row r="14299" spans="1:12" x14ac:dyDescent="0.25">
      <c r="A14299">
        <v>101130</v>
      </c>
      <c r="B14299" t="s">
        <v>4859</v>
      </c>
      <c r="C14299" t="s">
        <v>1159</v>
      </c>
      <c r="D14299" s="254">
        <v>18.39</v>
      </c>
      <c r="E14299"/>
      <c r="F14299"/>
      <c r="G14299"/>
      <c r="H14299"/>
      <c r="I14299" s="489"/>
      <c r="J14299" s="1362"/>
      <c r="K14299" s="1362"/>
      <c r="L14299" s="1362"/>
    </row>
    <row r="14300" spans="1:12" x14ac:dyDescent="0.25">
      <c r="A14300">
        <v>101131</v>
      </c>
      <c r="B14300" t="s">
        <v>4860</v>
      </c>
      <c r="C14300" t="s">
        <v>1159</v>
      </c>
      <c r="D14300" s="254">
        <v>15.66</v>
      </c>
      <c r="E14300"/>
      <c r="F14300"/>
      <c r="G14300"/>
      <c r="H14300"/>
      <c r="I14300" s="489"/>
      <c r="J14300" s="1362"/>
      <c r="K14300" s="1362"/>
      <c r="L14300" s="1362"/>
    </row>
    <row r="14301" spans="1:12" x14ac:dyDescent="0.25">
      <c r="A14301">
        <v>101132</v>
      </c>
      <c r="B14301" t="s">
        <v>4861</v>
      </c>
      <c r="C14301" t="s">
        <v>1159</v>
      </c>
      <c r="D14301" s="254">
        <v>17.63</v>
      </c>
      <c r="E14301"/>
      <c r="F14301"/>
      <c r="G14301"/>
      <c r="H14301"/>
      <c r="I14301" s="489"/>
      <c r="J14301" s="1362"/>
      <c r="K14301" s="1362"/>
      <c r="L14301" s="1362"/>
    </row>
    <row r="14302" spans="1:12" x14ac:dyDescent="0.25">
      <c r="A14302">
        <v>101133</v>
      </c>
      <c r="B14302" t="s">
        <v>4862</v>
      </c>
      <c r="C14302" t="s">
        <v>1159</v>
      </c>
      <c r="D14302" s="254">
        <v>18.510000000000002</v>
      </c>
      <c r="E14302"/>
      <c r="F14302"/>
      <c r="G14302"/>
      <c r="H14302"/>
      <c r="I14302" s="489"/>
      <c r="J14302" s="1362"/>
      <c r="K14302" s="1362"/>
      <c r="L14302" s="1362"/>
    </row>
    <row r="14303" spans="1:12" x14ac:dyDescent="0.25">
      <c r="A14303">
        <v>101134</v>
      </c>
      <c r="B14303" t="s">
        <v>4863</v>
      </c>
      <c r="C14303" t="s">
        <v>1159</v>
      </c>
      <c r="D14303" s="254">
        <v>15.8</v>
      </c>
      <c r="E14303"/>
      <c r="F14303"/>
      <c r="G14303"/>
      <c r="H14303"/>
      <c r="I14303" s="489"/>
      <c r="J14303" s="1362"/>
      <c r="K14303" s="1362"/>
      <c r="L14303" s="1362"/>
    </row>
    <row r="14304" spans="1:12" x14ac:dyDescent="0.25">
      <c r="A14304">
        <v>101135</v>
      </c>
      <c r="B14304" t="s">
        <v>4864</v>
      </c>
      <c r="C14304" t="s">
        <v>1159</v>
      </c>
      <c r="D14304" s="254">
        <v>15.12</v>
      </c>
      <c r="E14304"/>
      <c r="F14304"/>
      <c r="G14304"/>
      <c r="H14304"/>
      <c r="I14304" s="489"/>
      <c r="J14304" s="1362"/>
      <c r="K14304" s="1362"/>
      <c r="L14304" s="1362"/>
    </row>
    <row r="14305" spans="1:12" x14ac:dyDescent="0.25">
      <c r="A14305">
        <v>101136</v>
      </c>
      <c r="B14305" t="s">
        <v>4865</v>
      </c>
      <c r="C14305" t="s">
        <v>1159</v>
      </c>
      <c r="D14305" s="254">
        <v>13.69</v>
      </c>
      <c r="E14305"/>
      <c r="F14305"/>
      <c r="G14305"/>
      <c r="H14305"/>
      <c r="I14305" s="489"/>
      <c r="J14305" s="1362"/>
      <c r="K14305" s="1362"/>
      <c r="L14305" s="1362"/>
    </row>
    <row r="14306" spans="1:12" x14ac:dyDescent="0.25">
      <c r="A14306">
        <v>101137</v>
      </c>
      <c r="B14306" t="s">
        <v>4866</v>
      </c>
      <c r="C14306" t="s">
        <v>1159</v>
      </c>
      <c r="D14306" s="254">
        <v>14.72</v>
      </c>
      <c r="E14306"/>
      <c r="F14306"/>
      <c r="G14306"/>
      <c r="H14306"/>
      <c r="I14306" s="489"/>
      <c r="J14306" s="1362"/>
      <c r="K14306" s="1362"/>
      <c r="L14306" s="1362"/>
    </row>
    <row r="14307" spans="1:12" x14ac:dyDescent="0.25">
      <c r="A14307">
        <v>101138</v>
      </c>
      <c r="B14307" t="s">
        <v>4867</v>
      </c>
      <c r="C14307" t="s">
        <v>1159</v>
      </c>
      <c r="D14307" s="254">
        <v>15.19</v>
      </c>
      <c r="E14307"/>
      <c r="F14307"/>
      <c r="G14307"/>
      <c r="H14307"/>
      <c r="I14307" s="489"/>
      <c r="J14307" s="1362"/>
      <c r="K14307" s="1362"/>
      <c r="L14307" s="1362"/>
    </row>
    <row r="14308" spans="1:12" x14ac:dyDescent="0.25">
      <c r="A14308">
        <v>101139</v>
      </c>
      <c r="B14308" t="s">
        <v>4868</v>
      </c>
      <c r="C14308" t="s">
        <v>1159</v>
      </c>
      <c r="D14308" s="254">
        <v>20.350000000000001</v>
      </c>
      <c r="E14308"/>
      <c r="F14308"/>
      <c r="G14308"/>
      <c r="H14308"/>
      <c r="I14308" s="489"/>
      <c r="J14308" s="1362"/>
      <c r="K14308" s="1362"/>
      <c r="L14308" s="1362"/>
    </row>
    <row r="14309" spans="1:12" x14ac:dyDescent="0.25">
      <c r="A14309">
        <v>101140</v>
      </c>
      <c r="B14309" t="s">
        <v>4869</v>
      </c>
      <c r="C14309" t="s">
        <v>1159</v>
      </c>
      <c r="D14309" s="254">
        <v>19.059999999999999</v>
      </c>
      <c r="E14309"/>
      <c r="F14309"/>
      <c r="G14309"/>
      <c r="H14309"/>
      <c r="I14309" s="489"/>
      <c r="J14309" s="1362"/>
      <c r="K14309" s="1362"/>
      <c r="L14309" s="1362"/>
    </row>
    <row r="14310" spans="1:12" x14ac:dyDescent="0.25">
      <c r="A14310">
        <v>101141</v>
      </c>
      <c r="B14310" t="s">
        <v>4870</v>
      </c>
      <c r="C14310" t="s">
        <v>1159</v>
      </c>
      <c r="D14310" s="254">
        <v>16.329999999999998</v>
      </c>
      <c r="E14310"/>
      <c r="F14310"/>
      <c r="G14310"/>
      <c r="H14310"/>
      <c r="I14310" s="489"/>
      <c r="J14310" s="1362"/>
      <c r="K14310" s="1362"/>
      <c r="L14310" s="1362"/>
    </row>
    <row r="14311" spans="1:12" x14ac:dyDescent="0.25">
      <c r="A14311">
        <v>101142</v>
      </c>
      <c r="B14311" t="s">
        <v>4871</v>
      </c>
      <c r="C14311" t="s">
        <v>1159</v>
      </c>
      <c r="D14311" s="254">
        <v>18.3</v>
      </c>
      <c r="E14311"/>
      <c r="F14311"/>
      <c r="G14311"/>
      <c r="H14311"/>
      <c r="I14311" s="489"/>
      <c r="J14311" s="1362"/>
      <c r="K14311" s="1362"/>
      <c r="L14311" s="1362"/>
    </row>
    <row r="14312" spans="1:12" x14ac:dyDescent="0.25">
      <c r="A14312">
        <v>101143</v>
      </c>
      <c r="B14312" t="s">
        <v>4872</v>
      </c>
      <c r="C14312" t="s">
        <v>1159</v>
      </c>
      <c r="D14312" s="254">
        <v>19.18</v>
      </c>
      <c r="E14312"/>
      <c r="F14312"/>
      <c r="G14312"/>
      <c r="H14312"/>
      <c r="I14312" s="489"/>
      <c r="J14312" s="1362"/>
      <c r="K14312" s="1362"/>
      <c r="L14312" s="1362"/>
    </row>
    <row r="14313" spans="1:12" x14ac:dyDescent="0.25">
      <c r="A14313">
        <v>101144</v>
      </c>
      <c r="B14313" t="s">
        <v>4873</v>
      </c>
      <c r="C14313" t="s">
        <v>1159</v>
      </c>
      <c r="D14313" s="254">
        <v>15.57</v>
      </c>
      <c r="E14313"/>
      <c r="F14313"/>
      <c r="G14313"/>
      <c r="H14313"/>
      <c r="I14313" s="489"/>
      <c r="J14313" s="1362"/>
      <c r="K14313" s="1362"/>
      <c r="L14313" s="1362"/>
    </row>
    <row r="14314" spans="1:12" x14ac:dyDescent="0.25">
      <c r="A14314">
        <v>101145</v>
      </c>
      <c r="B14314" t="s">
        <v>4874</v>
      </c>
      <c r="C14314" t="s">
        <v>1159</v>
      </c>
      <c r="D14314" s="254">
        <v>14.89</v>
      </c>
      <c r="E14314"/>
      <c r="F14314"/>
      <c r="G14314"/>
      <c r="H14314"/>
      <c r="I14314" s="489"/>
      <c r="J14314" s="1362"/>
      <c r="K14314" s="1362"/>
      <c r="L14314" s="1362"/>
    </row>
    <row r="14315" spans="1:12" x14ac:dyDescent="0.25">
      <c r="A14315">
        <v>101146</v>
      </c>
      <c r="B14315" t="s">
        <v>4875</v>
      </c>
      <c r="C14315" t="s">
        <v>1159</v>
      </c>
      <c r="D14315" s="254">
        <v>13.46</v>
      </c>
      <c r="E14315"/>
      <c r="F14315"/>
      <c r="G14315"/>
      <c r="H14315"/>
      <c r="I14315" s="489"/>
      <c r="J14315" s="1362"/>
      <c r="K14315" s="1362"/>
      <c r="L14315" s="1362"/>
    </row>
    <row r="14316" spans="1:12" x14ac:dyDescent="0.25">
      <c r="A14316">
        <v>101147</v>
      </c>
      <c r="B14316" t="s">
        <v>4876</v>
      </c>
      <c r="C14316" t="s">
        <v>1159</v>
      </c>
      <c r="D14316" s="254">
        <v>14.49</v>
      </c>
      <c r="E14316"/>
      <c r="F14316"/>
      <c r="G14316"/>
      <c r="H14316"/>
      <c r="I14316" s="489"/>
      <c r="J14316" s="1362"/>
      <c r="K14316" s="1362"/>
      <c r="L14316" s="1362"/>
    </row>
    <row r="14317" spans="1:12" x14ac:dyDescent="0.25">
      <c r="A14317">
        <v>101148</v>
      </c>
      <c r="B14317" t="s">
        <v>4877</v>
      </c>
      <c r="C14317" t="s">
        <v>1159</v>
      </c>
      <c r="D14317" s="254">
        <v>14.96</v>
      </c>
      <c r="E14317"/>
      <c r="F14317"/>
      <c r="G14317"/>
      <c r="H14317"/>
      <c r="I14317" s="489"/>
      <c r="J14317" s="1362"/>
      <c r="K14317" s="1362"/>
      <c r="L14317" s="1362"/>
    </row>
    <row r="14318" spans="1:12" x14ac:dyDescent="0.25">
      <c r="A14318">
        <v>101149</v>
      </c>
      <c r="B14318" t="s">
        <v>4878</v>
      </c>
      <c r="C14318" t="s">
        <v>1159</v>
      </c>
      <c r="D14318" s="254">
        <v>20.100000000000001</v>
      </c>
      <c r="E14318"/>
      <c r="F14318"/>
      <c r="G14318"/>
      <c r="H14318"/>
      <c r="I14318" s="489"/>
      <c r="J14318" s="1362"/>
      <c r="K14318" s="1362"/>
      <c r="L14318" s="1362"/>
    </row>
    <row r="14319" spans="1:12" x14ac:dyDescent="0.25">
      <c r="A14319">
        <v>101150</v>
      </c>
      <c r="B14319" t="s">
        <v>4879</v>
      </c>
      <c r="C14319" t="s">
        <v>1159</v>
      </c>
      <c r="D14319" s="254">
        <v>18.809999999999999</v>
      </c>
      <c r="E14319"/>
      <c r="F14319"/>
      <c r="G14319"/>
      <c r="H14319"/>
      <c r="I14319" s="489"/>
      <c r="J14319" s="1362"/>
      <c r="K14319" s="1362"/>
      <c r="L14319" s="1362"/>
    </row>
    <row r="14320" spans="1:12" x14ac:dyDescent="0.25">
      <c r="A14320">
        <v>101151</v>
      </c>
      <c r="B14320" t="s">
        <v>4880</v>
      </c>
      <c r="C14320" t="s">
        <v>1159</v>
      </c>
      <c r="D14320" s="254">
        <v>16.079999999999998</v>
      </c>
      <c r="E14320"/>
      <c r="F14320"/>
      <c r="G14320"/>
      <c r="H14320"/>
      <c r="I14320" s="489"/>
      <c r="J14320" s="1362"/>
      <c r="K14320" s="1362"/>
      <c r="L14320" s="1362"/>
    </row>
    <row r="14321" spans="1:12" x14ac:dyDescent="0.25">
      <c r="A14321">
        <v>101152</v>
      </c>
      <c r="B14321" t="s">
        <v>4881</v>
      </c>
      <c r="C14321" t="s">
        <v>1159</v>
      </c>
      <c r="D14321" s="254">
        <v>18.05</v>
      </c>
      <c r="E14321"/>
      <c r="F14321"/>
      <c r="G14321"/>
      <c r="H14321"/>
      <c r="I14321" s="489"/>
      <c r="J14321" s="1362"/>
      <c r="K14321" s="1362"/>
      <c r="L14321" s="1362"/>
    </row>
    <row r="14322" spans="1:12" x14ac:dyDescent="0.25">
      <c r="A14322">
        <v>101153</v>
      </c>
      <c r="B14322" t="s">
        <v>4882</v>
      </c>
      <c r="C14322" t="s">
        <v>1159</v>
      </c>
      <c r="D14322" s="254">
        <v>18.93</v>
      </c>
      <c r="E14322"/>
      <c r="F14322"/>
      <c r="G14322"/>
      <c r="H14322"/>
      <c r="I14322" s="489"/>
      <c r="J14322" s="1362"/>
      <c r="K14322" s="1362"/>
      <c r="L14322" s="1362"/>
    </row>
    <row r="14323" spans="1:12" x14ac:dyDescent="0.25">
      <c r="A14323">
        <v>101206</v>
      </c>
      <c r="B14323" t="s">
        <v>4357</v>
      </c>
      <c r="C14323" t="s">
        <v>1159</v>
      </c>
      <c r="D14323" s="254">
        <v>11.92</v>
      </c>
      <c r="E14323"/>
      <c r="F14323"/>
      <c r="G14323"/>
      <c r="H14323"/>
      <c r="I14323" s="489"/>
      <c r="J14323" s="1362"/>
      <c r="K14323" s="1362"/>
      <c r="L14323" s="1362"/>
    </row>
    <row r="14324" spans="1:12" x14ac:dyDescent="0.25">
      <c r="A14324">
        <v>101207</v>
      </c>
      <c r="B14324" t="s">
        <v>4358</v>
      </c>
      <c r="C14324" t="s">
        <v>1159</v>
      </c>
      <c r="D14324" s="254">
        <v>10.56</v>
      </c>
      <c r="E14324"/>
      <c r="F14324"/>
      <c r="G14324"/>
      <c r="H14324"/>
      <c r="I14324" s="489"/>
      <c r="J14324" s="1362"/>
      <c r="K14324" s="1362"/>
      <c r="L14324" s="1362"/>
    </row>
    <row r="14325" spans="1:12" x14ac:dyDescent="0.25">
      <c r="A14325">
        <v>101208</v>
      </c>
      <c r="B14325" t="s">
        <v>4359</v>
      </c>
      <c r="C14325" t="s">
        <v>1159</v>
      </c>
      <c r="D14325" s="254">
        <v>10.17</v>
      </c>
      <c r="E14325"/>
      <c r="F14325"/>
      <c r="G14325"/>
      <c r="H14325"/>
      <c r="I14325" s="489"/>
      <c r="J14325" s="1362"/>
      <c r="K14325" s="1362"/>
      <c r="L14325" s="1362"/>
    </row>
    <row r="14326" spans="1:12" x14ac:dyDescent="0.25">
      <c r="A14326">
        <v>101209</v>
      </c>
      <c r="B14326" t="s">
        <v>4360</v>
      </c>
      <c r="C14326" t="s">
        <v>1159</v>
      </c>
      <c r="D14326" s="254">
        <v>9.48</v>
      </c>
      <c r="E14326"/>
      <c r="F14326"/>
      <c r="G14326"/>
      <c r="H14326"/>
      <c r="I14326" s="489"/>
      <c r="J14326" s="1362"/>
      <c r="K14326" s="1362"/>
      <c r="L14326" s="1362"/>
    </row>
    <row r="14327" spans="1:12" x14ac:dyDescent="0.25">
      <c r="A14327">
        <v>101210</v>
      </c>
      <c r="B14327" t="s">
        <v>4361</v>
      </c>
      <c r="C14327" t="s">
        <v>1159</v>
      </c>
      <c r="D14327" s="254">
        <v>16.88</v>
      </c>
      <c r="E14327"/>
      <c r="F14327"/>
      <c r="G14327"/>
      <c r="H14327"/>
      <c r="I14327" s="489"/>
      <c r="J14327" s="1362"/>
      <c r="K14327" s="1362"/>
      <c r="L14327" s="1362"/>
    </row>
    <row r="14328" spans="1:12" x14ac:dyDescent="0.25">
      <c r="A14328">
        <v>101211</v>
      </c>
      <c r="B14328" t="s">
        <v>4362</v>
      </c>
      <c r="C14328" t="s">
        <v>1159</v>
      </c>
      <c r="D14328" s="254">
        <v>18.11</v>
      </c>
      <c r="E14328"/>
      <c r="F14328"/>
      <c r="G14328"/>
      <c r="H14328"/>
      <c r="I14328" s="489"/>
      <c r="J14328" s="1362"/>
      <c r="K14328" s="1362"/>
      <c r="L14328" s="1362"/>
    </row>
    <row r="14329" spans="1:12" x14ac:dyDescent="0.25">
      <c r="A14329">
        <v>101212</v>
      </c>
      <c r="B14329" t="s">
        <v>4363</v>
      </c>
      <c r="C14329" t="s">
        <v>1159</v>
      </c>
      <c r="D14329" s="254">
        <v>21.04</v>
      </c>
      <c r="E14329"/>
      <c r="F14329"/>
      <c r="G14329"/>
      <c r="H14329"/>
      <c r="I14329" s="489"/>
      <c r="J14329" s="1362"/>
      <c r="K14329" s="1362"/>
      <c r="L14329" s="1362"/>
    </row>
    <row r="14330" spans="1:12" x14ac:dyDescent="0.25">
      <c r="A14330">
        <v>101213</v>
      </c>
      <c r="B14330" t="s">
        <v>4364</v>
      </c>
      <c r="C14330" t="s">
        <v>1159</v>
      </c>
      <c r="D14330" s="254">
        <v>23.39</v>
      </c>
      <c r="E14330"/>
      <c r="F14330"/>
      <c r="G14330"/>
      <c r="H14330"/>
      <c r="I14330" s="489"/>
      <c r="J14330" s="1362"/>
      <c r="K14330" s="1362"/>
      <c r="L14330" s="1362"/>
    </row>
    <row r="14331" spans="1:12" x14ac:dyDescent="0.25">
      <c r="A14331">
        <v>101214</v>
      </c>
      <c r="B14331" t="s">
        <v>4365</v>
      </c>
      <c r="C14331" t="s">
        <v>1159</v>
      </c>
      <c r="D14331" s="254">
        <v>28.39</v>
      </c>
      <c r="E14331"/>
      <c r="F14331"/>
      <c r="G14331"/>
      <c r="H14331"/>
      <c r="I14331" s="489"/>
      <c r="J14331" s="1362"/>
      <c r="K14331" s="1362"/>
      <c r="L14331" s="1362"/>
    </row>
    <row r="14332" spans="1:12" x14ac:dyDescent="0.25">
      <c r="A14332">
        <v>101215</v>
      </c>
      <c r="B14332" t="s">
        <v>4366</v>
      </c>
      <c r="C14332" t="s">
        <v>1159</v>
      </c>
      <c r="D14332" s="254">
        <v>16.16</v>
      </c>
      <c r="E14332"/>
      <c r="F14332"/>
      <c r="G14332"/>
      <c r="H14332"/>
      <c r="I14332" s="489"/>
      <c r="J14332" s="1362"/>
      <c r="K14332" s="1362"/>
      <c r="L14332" s="1362"/>
    </row>
    <row r="14333" spans="1:12" x14ac:dyDescent="0.25">
      <c r="A14333">
        <v>101216</v>
      </c>
      <c r="B14333" t="s">
        <v>4367</v>
      </c>
      <c r="C14333" t="s">
        <v>1159</v>
      </c>
      <c r="D14333" s="254">
        <v>17.02</v>
      </c>
      <c r="E14333"/>
      <c r="F14333"/>
      <c r="G14333"/>
      <c r="H14333"/>
      <c r="I14333" s="489"/>
      <c r="J14333" s="1362"/>
      <c r="K14333" s="1362"/>
      <c r="L14333" s="1362"/>
    </row>
    <row r="14334" spans="1:12" x14ac:dyDescent="0.25">
      <c r="A14334">
        <v>101217</v>
      </c>
      <c r="B14334" t="s">
        <v>4368</v>
      </c>
      <c r="C14334" t="s">
        <v>1159</v>
      </c>
      <c r="D14334" s="254">
        <v>19.72</v>
      </c>
      <c r="E14334"/>
      <c r="F14334"/>
      <c r="G14334"/>
      <c r="H14334"/>
      <c r="I14334" s="489"/>
      <c r="J14334" s="1362"/>
      <c r="K14334" s="1362"/>
      <c r="L14334" s="1362"/>
    </row>
    <row r="14335" spans="1:12" x14ac:dyDescent="0.25">
      <c r="A14335">
        <v>101218</v>
      </c>
      <c r="B14335" t="s">
        <v>4369</v>
      </c>
      <c r="C14335" t="s">
        <v>1159</v>
      </c>
      <c r="D14335" s="254">
        <v>20.98</v>
      </c>
      <c r="E14335"/>
      <c r="F14335"/>
      <c r="G14335"/>
      <c r="H14335"/>
      <c r="I14335" s="489"/>
      <c r="J14335" s="1362"/>
      <c r="K14335" s="1362"/>
      <c r="L14335" s="1362"/>
    </row>
    <row r="14336" spans="1:12" x14ac:dyDescent="0.25">
      <c r="A14336">
        <v>101219</v>
      </c>
      <c r="B14336" t="s">
        <v>4370</v>
      </c>
      <c r="C14336" t="s">
        <v>1159</v>
      </c>
      <c r="D14336" s="254">
        <v>25.49</v>
      </c>
      <c r="E14336"/>
      <c r="F14336"/>
      <c r="G14336"/>
      <c r="H14336"/>
      <c r="I14336" s="489"/>
      <c r="J14336" s="1362"/>
      <c r="K14336" s="1362"/>
      <c r="L14336" s="1362"/>
    </row>
    <row r="14337" spans="1:12" x14ac:dyDescent="0.25">
      <c r="A14337">
        <v>101220</v>
      </c>
      <c r="B14337" t="s">
        <v>4371</v>
      </c>
      <c r="C14337" t="s">
        <v>1159</v>
      </c>
      <c r="D14337" s="254">
        <v>15.84</v>
      </c>
      <c r="E14337"/>
      <c r="F14337"/>
      <c r="G14337"/>
      <c r="H14337"/>
      <c r="I14337" s="489"/>
      <c r="J14337" s="1362"/>
      <c r="K14337" s="1362"/>
      <c r="L14337" s="1362"/>
    </row>
    <row r="14338" spans="1:12" x14ac:dyDescent="0.25">
      <c r="A14338">
        <v>101221</v>
      </c>
      <c r="B14338" t="s">
        <v>4372</v>
      </c>
      <c r="C14338" t="s">
        <v>1159</v>
      </c>
      <c r="D14338" s="254">
        <v>16.82</v>
      </c>
      <c r="E14338"/>
      <c r="F14338"/>
      <c r="G14338"/>
      <c r="H14338"/>
      <c r="I14338" s="489"/>
      <c r="J14338" s="1362"/>
      <c r="K14338" s="1362"/>
      <c r="L14338" s="1362"/>
    </row>
    <row r="14339" spans="1:12" x14ac:dyDescent="0.25">
      <c r="A14339">
        <v>101222</v>
      </c>
      <c r="B14339" t="s">
        <v>4373</v>
      </c>
      <c r="C14339" t="s">
        <v>1159</v>
      </c>
      <c r="D14339" s="254">
        <v>19.52</v>
      </c>
      <c r="E14339"/>
      <c r="F14339"/>
      <c r="G14339"/>
      <c r="H14339"/>
      <c r="I14339" s="489"/>
      <c r="J14339" s="1362"/>
      <c r="K14339" s="1362"/>
      <c r="L14339" s="1362"/>
    </row>
    <row r="14340" spans="1:12" x14ac:dyDescent="0.25">
      <c r="A14340">
        <v>101223</v>
      </c>
      <c r="B14340" t="s">
        <v>4374</v>
      </c>
      <c r="C14340" t="s">
        <v>1159</v>
      </c>
      <c r="D14340" s="254">
        <v>21.66</v>
      </c>
      <c r="E14340"/>
      <c r="F14340"/>
      <c r="G14340"/>
      <c r="H14340"/>
      <c r="I14340" s="489"/>
      <c r="J14340" s="1362"/>
      <c r="K14340" s="1362"/>
      <c r="L14340" s="1362"/>
    </row>
    <row r="14341" spans="1:12" x14ac:dyDescent="0.25">
      <c r="A14341">
        <v>101224</v>
      </c>
      <c r="B14341" t="s">
        <v>4375</v>
      </c>
      <c r="C14341" t="s">
        <v>1159</v>
      </c>
      <c r="D14341" s="254">
        <v>27.12</v>
      </c>
      <c r="E14341"/>
      <c r="F14341"/>
      <c r="G14341"/>
      <c r="H14341"/>
      <c r="I14341" s="489"/>
      <c r="J14341" s="1362"/>
      <c r="K14341" s="1362"/>
      <c r="L14341" s="1362"/>
    </row>
    <row r="14342" spans="1:12" x14ac:dyDescent="0.25">
      <c r="A14342">
        <v>101225</v>
      </c>
      <c r="B14342" t="s">
        <v>4376</v>
      </c>
      <c r="C14342" t="s">
        <v>1159</v>
      </c>
      <c r="D14342" s="254">
        <v>14.58</v>
      </c>
      <c r="E14342"/>
      <c r="F14342"/>
      <c r="G14342"/>
      <c r="H14342"/>
      <c r="I14342" s="489"/>
      <c r="J14342" s="1362"/>
      <c r="K14342" s="1362"/>
      <c r="L14342" s="1362"/>
    </row>
    <row r="14343" spans="1:12" x14ac:dyDescent="0.25">
      <c r="A14343">
        <v>101226</v>
      </c>
      <c r="B14343" t="s">
        <v>4377</v>
      </c>
      <c r="C14343" t="s">
        <v>1159</v>
      </c>
      <c r="D14343" s="254">
        <v>15.45</v>
      </c>
      <c r="E14343"/>
      <c r="F14343"/>
      <c r="G14343"/>
      <c r="H14343"/>
      <c r="I14343" s="489"/>
      <c r="J14343" s="1362"/>
      <c r="K14343" s="1362"/>
      <c r="L14343" s="1362"/>
    </row>
    <row r="14344" spans="1:12" x14ac:dyDescent="0.25">
      <c r="A14344">
        <v>101227</v>
      </c>
      <c r="B14344" t="s">
        <v>4378</v>
      </c>
      <c r="C14344" t="s">
        <v>1159</v>
      </c>
      <c r="D14344" s="254">
        <v>17.87</v>
      </c>
      <c r="E14344"/>
      <c r="F14344"/>
      <c r="G14344"/>
      <c r="H14344"/>
      <c r="I14344" s="489"/>
      <c r="J14344" s="1362"/>
      <c r="K14344" s="1362"/>
      <c r="L14344" s="1362"/>
    </row>
    <row r="14345" spans="1:12" x14ac:dyDescent="0.25">
      <c r="A14345">
        <v>101228</v>
      </c>
      <c r="B14345" t="s">
        <v>4379</v>
      </c>
      <c r="C14345" t="s">
        <v>1159</v>
      </c>
      <c r="D14345" s="254">
        <v>19.170000000000002</v>
      </c>
      <c r="E14345"/>
      <c r="F14345"/>
      <c r="G14345"/>
      <c r="H14345"/>
      <c r="I14345" s="489"/>
      <c r="J14345" s="1362"/>
      <c r="K14345" s="1362"/>
      <c r="L14345" s="1362"/>
    </row>
    <row r="14346" spans="1:12" x14ac:dyDescent="0.25">
      <c r="A14346">
        <v>101229</v>
      </c>
      <c r="B14346" t="s">
        <v>4380</v>
      </c>
      <c r="C14346" t="s">
        <v>1159</v>
      </c>
      <c r="D14346" s="254">
        <v>24.08</v>
      </c>
      <c r="E14346"/>
      <c r="F14346"/>
      <c r="G14346"/>
      <c r="H14346"/>
      <c r="I14346" s="489"/>
      <c r="J14346" s="1362"/>
      <c r="K14346" s="1362"/>
      <c r="L14346" s="1362"/>
    </row>
    <row r="14347" spans="1:12" x14ac:dyDescent="0.25">
      <c r="A14347">
        <v>101230</v>
      </c>
      <c r="B14347" t="s">
        <v>4381</v>
      </c>
      <c r="C14347" t="s">
        <v>1159</v>
      </c>
      <c r="D14347" s="254">
        <v>10.55</v>
      </c>
      <c r="E14347"/>
      <c r="F14347"/>
      <c r="G14347"/>
      <c r="H14347"/>
      <c r="I14347" s="489"/>
      <c r="J14347" s="1362"/>
      <c r="K14347" s="1362"/>
      <c r="L14347" s="1362"/>
    </row>
    <row r="14348" spans="1:12" x14ac:dyDescent="0.25">
      <c r="A14348">
        <v>101231</v>
      </c>
      <c r="B14348" t="s">
        <v>4382</v>
      </c>
      <c r="C14348" t="s">
        <v>1159</v>
      </c>
      <c r="D14348" s="254">
        <v>10.06</v>
      </c>
      <c r="E14348"/>
      <c r="F14348"/>
      <c r="G14348"/>
      <c r="H14348"/>
      <c r="I14348" s="489"/>
      <c r="J14348" s="1362"/>
      <c r="K14348" s="1362"/>
      <c r="L14348" s="1362"/>
    </row>
    <row r="14349" spans="1:12" x14ac:dyDescent="0.25">
      <c r="A14349">
        <v>101232</v>
      </c>
      <c r="B14349" t="s">
        <v>4383</v>
      </c>
      <c r="C14349" t="s">
        <v>1159</v>
      </c>
      <c r="D14349" s="254">
        <v>9.1300000000000008</v>
      </c>
      <c r="E14349"/>
      <c r="F14349"/>
      <c r="G14349"/>
      <c r="H14349"/>
      <c r="I14349" s="489"/>
      <c r="J14349" s="1362"/>
      <c r="K14349" s="1362"/>
      <c r="L14349" s="1362"/>
    </row>
    <row r="14350" spans="1:12" x14ac:dyDescent="0.25">
      <c r="A14350">
        <v>101233</v>
      </c>
      <c r="B14350" t="s">
        <v>4384</v>
      </c>
      <c r="C14350" t="s">
        <v>1159</v>
      </c>
      <c r="D14350" s="254">
        <v>8.4499999999999993</v>
      </c>
      <c r="E14350"/>
      <c r="F14350"/>
      <c r="G14350"/>
      <c r="H14350"/>
      <c r="I14350" s="489"/>
      <c r="J14350" s="1362"/>
      <c r="K14350" s="1362"/>
      <c r="L14350" s="1362"/>
    </row>
    <row r="14351" spans="1:12" x14ac:dyDescent="0.25">
      <c r="A14351">
        <v>101234</v>
      </c>
      <c r="B14351" t="s">
        <v>4385</v>
      </c>
      <c r="C14351" t="s">
        <v>1159</v>
      </c>
      <c r="D14351" s="254">
        <v>16.36</v>
      </c>
      <c r="E14351"/>
      <c r="F14351"/>
      <c r="G14351"/>
      <c r="H14351"/>
      <c r="I14351" s="489"/>
      <c r="J14351" s="1362"/>
      <c r="K14351" s="1362"/>
      <c r="L14351" s="1362"/>
    </row>
    <row r="14352" spans="1:12" x14ac:dyDescent="0.25">
      <c r="A14352">
        <v>101235</v>
      </c>
      <c r="B14352" t="s">
        <v>4386</v>
      </c>
      <c r="C14352" t="s">
        <v>1159</v>
      </c>
      <c r="D14352" s="254">
        <v>17.32</v>
      </c>
      <c r="E14352"/>
      <c r="F14352"/>
      <c r="G14352"/>
      <c r="H14352"/>
      <c r="I14352" s="489"/>
      <c r="J14352" s="1362"/>
      <c r="K14352" s="1362"/>
      <c r="L14352" s="1362"/>
    </row>
    <row r="14353" spans="1:12" x14ac:dyDescent="0.25">
      <c r="A14353">
        <v>101236</v>
      </c>
      <c r="B14353" t="s">
        <v>4387</v>
      </c>
      <c r="C14353" t="s">
        <v>1159</v>
      </c>
      <c r="D14353" s="254">
        <v>20.13</v>
      </c>
      <c r="E14353"/>
      <c r="F14353"/>
      <c r="G14353"/>
      <c r="H14353"/>
      <c r="I14353" s="489"/>
      <c r="J14353" s="1362"/>
      <c r="K14353" s="1362"/>
      <c r="L14353" s="1362"/>
    </row>
    <row r="14354" spans="1:12" x14ac:dyDescent="0.25">
      <c r="A14354">
        <v>101237</v>
      </c>
      <c r="B14354" t="s">
        <v>4388</v>
      </c>
      <c r="C14354" t="s">
        <v>1159</v>
      </c>
      <c r="D14354" s="254">
        <v>21.57</v>
      </c>
      <c r="E14354"/>
      <c r="F14354"/>
      <c r="G14354"/>
      <c r="H14354"/>
      <c r="I14354" s="489"/>
      <c r="J14354" s="1362"/>
      <c r="K14354" s="1362"/>
      <c r="L14354" s="1362"/>
    </row>
    <row r="14355" spans="1:12" x14ac:dyDescent="0.25">
      <c r="A14355">
        <v>101238</v>
      </c>
      <c r="B14355" t="s">
        <v>4389</v>
      </c>
      <c r="C14355" t="s">
        <v>1159</v>
      </c>
      <c r="D14355" s="254">
        <v>27.19</v>
      </c>
      <c r="E14355"/>
      <c r="F14355"/>
      <c r="G14355"/>
      <c r="H14355"/>
      <c r="I14355" s="489"/>
      <c r="J14355" s="1362"/>
      <c r="K14355" s="1362"/>
      <c r="L14355" s="1362"/>
    </row>
    <row r="14356" spans="1:12" x14ac:dyDescent="0.25">
      <c r="A14356">
        <v>101239</v>
      </c>
      <c r="B14356" t="s">
        <v>4390</v>
      </c>
      <c r="C14356" t="s">
        <v>1159</v>
      </c>
      <c r="D14356" s="254">
        <v>14.58</v>
      </c>
      <c r="E14356"/>
      <c r="F14356"/>
      <c r="G14356"/>
      <c r="H14356"/>
      <c r="I14356" s="489"/>
      <c r="J14356" s="1362"/>
      <c r="K14356" s="1362"/>
      <c r="L14356" s="1362"/>
    </row>
    <row r="14357" spans="1:12" x14ac:dyDescent="0.25">
      <c r="A14357">
        <v>101240</v>
      </c>
      <c r="B14357" t="s">
        <v>4391</v>
      </c>
      <c r="C14357" t="s">
        <v>1159</v>
      </c>
      <c r="D14357" s="254">
        <v>15.47</v>
      </c>
      <c r="E14357"/>
      <c r="F14357"/>
      <c r="G14357"/>
      <c r="H14357"/>
      <c r="I14357" s="489"/>
      <c r="J14357" s="1362"/>
      <c r="K14357" s="1362"/>
      <c r="L14357" s="1362"/>
    </row>
    <row r="14358" spans="1:12" x14ac:dyDescent="0.25">
      <c r="A14358">
        <v>101241</v>
      </c>
      <c r="B14358" t="s">
        <v>4392</v>
      </c>
      <c r="C14358" t="s">
        <v>1159</v>
      </c>
      <c r="D14358" s="254">
        <v>18</v>
      </c>
      <c r="E14358"/>
      <c r="F14358"/>
      <c r="G14358"/>
      <c r="H14358"/>
      <c r="I14358" s="489"/>
      <c r="J14358" s="1362"/>
      <c r="K14358" s="1362"/>
      <c r="L14358" s="1362"/>
    </row>
    <row r="14359" spans="1:12" x14ac:dyDescent="0.25">
      <c r="A14359">
        <v>101242</v>
      </c>
      <c r="B14359" t="s">
        <v>4393</v>
      </c>
      <c r="C14359" t="s">
        <v>1159</v>
      </c>
      <c r="D14359" s="254">
        <v>20.010000000000002</v>
      </c>
      <c r="E14359"/>
      <c r="F14359"/>
      <c r="G14359"/>
      <c r="H14359"/>
      <c r="I14359" s="489"/>
      <c r="J14359" s="1362"/>
      <c r="K14359" s="1362"/>
      <c r="L14359" s="1362"/>
    </row>
    <row r="14360" spans="1:12" x14ac:dyDescent="0.25">
      <c r="A14360">
        <v>101243</v>
      </c>
      <c r="B14360" t="s">
        <v>4394</v>
      </c>
      <c r="C14360" t="s">
        <v>1159</v>
      </c>
      <c r="D14360" s="254">
        <v>24.36</v>
      </c>
      <c r="E14360"/>
      <c r="F14360"/>
      <c r="G14360"/>
      <c r="H14360"/>
      <c r="I14360" s="489"/>
      <c r="J14360" s="1362"/>
      <c r="K14360" s="1362"/>
      <c r="L14360" s="1362"/>
    </row>
    <row r="14361" spans="1:12" x14ac:dyDescent="0.25">
      <c r="A14361">
        <v>101244</v>
      </c>
      <c r="B14361" t="s">
        <v>4395</v>
      </c>
      <c r="C14361" t="s">
        <v>1159</v>
      </c>
      <c r="D14361" s="254">
        <v>15.17</v>
      </c>
      <c r="E14361"/>
      <c r="F14361"/>
      <c r="G14361"/>
      <c r="H14361"/>
      <c r="I14361" s="489"/>
      <c r="J14361" s="1362"/>
      <c r="K14361" s="1362"/>
      <c r="L14361" s="1362"/>
    </row>
    <row r="14362" spans="1:12" x14ac:dyDescent="0.25">
      <c r="A14362">
        <v>101245</v>
      </c>
      <c r="B14362" t="s">
        <v>4396</v>
      </c>
      <c r="C14362" t="s">
        <v>1159</v>
      </c>
      <c r="D14362" s="254">
        <v>16.14</v>
      </c>
      <c r="E14362"/>
      <c r="F14362"/>
      <c r="G14362"/>
      <c r="H14362"/>
      <c r="I14362" s="489"/>
      <c r="J14362" s="1362"/>
      <c r="K14362" s="1362"/>
      <c r="L14362" s="1362"/>
    </row>
    <row r="14363" spans="1:12" x14ac:dyDescent="0.25">
      <c r="A14363">
        <v>101246</v>
      </c>
      <c r="B14363" t="s">
        <v>4397</v>
      </c>
      <c r="C14363" t="s">
        <v>1159</v>
      </c>
      <c r="D14363" s="254">
        <v>18.75</v>
      </c>
      <c r="E14363"/>
      <c r="F14363"/>
      <c r="G14363"/>
      <c r="H14363"/>
      <c r="I14363" s="489"/>
      <c r="J14363" s="1362"/>
      <c r="K14363" s="1362"/>
      <c r="L14363" s="1362"/>
    </row>
    <row r="14364" spans="1:12" x14ac:dyDescent="0.25">
      <c r="A14364">
        <v>101247</v>
      </c>
      <c r="B14364" t="s">
        <v>4398</v>
      </c>
      <c r="C14364" t="s">
        <v>1159</v>
      </c>
      <c r="D14364" s="254">
        <v>20.78</v>
      </c>
      <c r="E14364"/>
      <c r="F14364"/>
      <c r="G14364"/>
      <c r="H14364"/>
      <c r="I14364" s="489"/>
      <c r="J14364" s="1362"/>
      <c r="K14364" s="1362"/>
      <c r="L14364" s="1362"/>
    </row>
    <row r="14365" spans="1:12" x14ac:dyDescent="0.25">
      <c r="A14365">
        <v>101248</v>
      </c>
      <c r="B14365" t="s">
        <v>4399</v>
      </c>
      <c r="C14365" t="s">
        <v>1159</v>
      </c>
      <c r="D14365" s="254">
        <v>26.03</v>
      </c>
      <c r="E14365"/>
      <c r="F14365"/>
      <c r="G14365"/>
      <c r="H14365"/>
      <c r="I14365" s="489"/>
      <c r="J14365" s="1362"/>
      <c r="K14365" s="1362"/>
      <c r="L14365" s="1362"/>
    </row>
    <row r="14366" spans="1:12" x14ac:dyDescent="0.25">
      <c r="A14366">
        <v>101249</v>
      </c>
      <c r="B14366" t="s">
        <v>4400</v>
      </c>
      <c r="C14366" t="s">
        <v>1159</v>
      </c>
      <c r="D14366" s="254">
        <v>13.37</v>
      </c>
      <c r="E14366"/>
      <c r="F14366"/>
      <c r="G14366"/>
      <c r="H14366"/>
      <c r="I14366" s="489"/>
      <c r="J14366" s="1362"/>
      <c r="K14366" s="1362"/>
      <c r="L14366" s="1362"/>
    </row>
    <row r="14367" spans="1:12" x14ac:dyDescent="0.25">
      <c r="A14367">
        <v>101250</v>
      </c>
      <c r="B14367" t="s">
        <v>4401</v>
      </c>
      <c r="C14367" t="s">
        <v>1159</v>
      </c>
      <c r="D14367" s="254">
        <v>14.76</v>
      </c>
      <c r="E14367"/>
      <c r="F14367"/>
      <c r="G14367"/>
      <c r="H14367"/>
      <c r="I14367" s="489"/>
      <c r="J14367" s="1362"/>
      <c r="K14367" s="1362"/>
      <c r="L14367" s="1362"/>
    </row>
    <row r="14368" spans="1:12" x14ac:dyDescent="0.25">
      <c r="A14368">
        <v>101251</v>
      </c>
      <c r="B14368" t="s">
        <v>4402</v>
      </c>
      <c r="C14368" t="s">
        <v>1159</v>
      </c>
      <c r="D14368" s="254">
        <v>16.93</v>
      </c>
      <c r="E14368"/>
      <c r="F14368"/>
      <c r="G14368"/>
      <c r="H14368"/>
      <c r="I14368" s="489"/>
      <c r="J14368" s="1362"/>
      <c r="K14368" s="1362"/>
      <c r="L14368" s="1362"/>
    </row>
    <row r="14369" spans="1:12" x14ac:dyDescent="0.25">
      <c r="A14369">
        <v>101252</v>
      </c>
      <c r="B14369" t="s">
        <v>4403</v>
      </c>
      <c r="C14369" t="s">
        <v>1159</v>
      </c>
      <c r="D14369" s="254">
        <v>18.36</v>
      </c>
      <c r="E14369"/>
      <c r="F14369"/>
      <c r="G14369"/>
      <c r="H14369"/>
      <c r="I14369" s="489"/>
      <c r="J14369" s="1362"/>
      <c r="K14369" s="1362"/>
      <c r="L14369" s="1362"/>
    </row>
    <row r="14370" spans="1:12" x14ac:dyDescent="0.25">
      <c r="A14370">
        <v>101253</v>
      </c>
      <c r="B14370" t="s">
        <v>4404</v>
      </c>
      <c r="C14370" t="s">
        <v>1159</v>
      </c>
      <c r="D14370" s="254">
        <v>23.1</v>
      </c>
      <c r="E14370"/>
      <c r="F14370"/>
      <c r="G14370"/>
      <c r="H14370"/>
      <c r="I14370" s="489"/>
      <c r="J14370" s="1362"/>
      <c r="K14370" s="1362"/>
      <c r="L14370" s="1362"/>
    </row>
    <row r="14371" spans="1:12" x14ac:dyDescent="0.25">
      <c r="A14371">
        <v>101254</v>
      </c>
      <c r="B14371" t="s">
        <v>4405</v>
      </c>
      <c r="C14371" t="s">
        <v>1159</v>
      </c>
      <c r="D14371" s="254">
        <v>12.45</v>
      </c>
      <c r="E14371"/>
      <c r="F14371"/>
      <c r="G14371"/>
      <c r="H14371"/>
      <c r="I14371" s="489"/>
      <c r="J14371" s="1362"/>
      <c r="K14371" s="1362"/>
      <c r="L14371" s="1362"/>
    </row>
    <row r="14372" spans="1:12" x14ac:dyDescent="0.25">
      <c r="A14372">
        <v>101255</v>
      </c>
      <c r="B14372" t="s">
        <v>4406</v>
      </c>
      <c r="C14372" t="s">
        <v>1159</v>
      </c>
      <c r="D14372" s="254">
        <v>11.1</v>
      </c>
      <c r="E14372"/>
      <c r="F14372"/>
      <c r="G14372"/>
      <c r="H14372"/>
      <c r="I14372" s="489"/>
      <c r="J14372" s="1362"/>
      <c r="K14372" s="1362"/>
      <c r="L14372" s="1362"/>
    </row>
    <row r="14373" spans="1:12" x14ac:dyDescent="0.25">
      <c r="A14373">
        <v>101256</v>
      </c>
      <c r="B14373" t="s">
        <v>4407</v>
      </c>
      <c r="C14373" t="s">
        <v>1159</v>
      </c>
      <c r="D14373" s="254">
        <v>19.2</v>
      </c>
      <c r="E14373"/>
      <c r="F14373"/>
      <c r="G14373"/>
      <c r="H14373"/>
      <c r="I14373" s="489"/>
      <c r="J14373" s="1362"/>
      <c r="K14373" s="1362"/>
      <c r="L14373" s="1362"/>
    </row>
    <row r="14374" spans="1:12" x14ac:dyDescent="0.25">
      <c r="A14374">
        <v>101257</v>
      </c>
      <c r="B14374" t="s">
        <v>4408</v>
      </c>
      <c r="C14374" t="s">
        <v>1159</v>
      </c>
      <c r="D14374" s="254">
        <v>20.34</v>
      </c>
      <c r="E14374"/>
      <c r="F14374"/>
      <c r="G14374"/>
      <c r="H14374"/>
      <c r="I14374" s="489"/>
      <c r="J14374" s="1362"/>
      <c r="K14374" s="1362"/>
      <c r="L14374" s="1362"/>
    </row>
    <row r="14375" spans="1:12" x14ac:dyDescent="0.25">
      <c r="A14375">
        <v>101258</v>
      </c>
      <c r="B14375" t="s">
        <v>4409</v>
      </c>
      <c r="C14375" t="s">
        <v>1159</v>
      </c>
      <c r="D14375" s="254">
        <v>23.56</v>
      </c>
      <c r="E14375"/>
      <c r="F14375"/>
      <c r="G14375"/>
      <c r="H14375"/>
      <c r="I14375" s="489"/>
      <c r="J14375" s="1362"/>
      <c r="K14375" s="1362"/>
      <c r="L14375" s="1362"/>
    </row>
    <row r="14376" spans="1:12" x14ac:dyDescent="0.25">
      <c r="A14376">
        <v>101259</v>
      </c>
      <c r="B14376" t="s">
        <v>4410</v>
      </c>
      <c r="C14376" t="s">
        <v>1159</v>
      </c>
      <c r="D14376" s="254">
        <v>26.09</v>
      </c>
      <c r="E14376"/>
      <c r="F14376"/>
      <c r="G14376"/>
      <c r="H14376"/>
      <c r="I14376" s="489"/>
      <c r="J14376" s="1362"/>
      <c r="K14376" s="1362"/>
      <c r="L14376" s="1362"/>
    </row>
    <row r="14377" spans="1:12" x14ac:dyDescent="0.25">
      <c r="A14377">
        <v>101260</v>
      </c>
      <c r="B14377" t="s">
        <v>4411</v>
      </c>
      <c r="C14377" t="s">
        <v>1159</v>
      </c>
      <c r="D14377" s="254">
        <v>32.58</v>
      </c>
      <c r="E14377"/>
      <c r="F14377"/>
      <c r="G14377"/>
      <c r="H14377"/>
      <c r="I14377" s="489"/>
      <c r="J14377" s="1362"/>
      <c r="K14377" s="1362"/>
      <c r="L14377" s="1362"/>
    </row>
    <row r="14378" spans="1:12" x14ac:dyDescent="0.25">
      <c r="A14378">
        <v>101261</v>
      </c>
      <c r="B14378" t="s">
        <v>4412</v>
      </c>
      <c r="C14378" t="s">
        <v>1159</v>
      </c>
      <c r="D14378" s="254">
        <v>18.190000000000001</v>
      </c>
      <c r="E14378"/>
      <c r="F14378"/>
      <c r="G14378"/>
      <c r="H14378"/>
      <c r="I14378" s="489"/>
      <c r="J14378" s="1362"/>
      <c r="K14378" s="1362"/>
      <c r="L14378" s="1362"/>
    </row>
    <row r="14379" spans="1:12" x14ac:dyDescent="0.25">
      <c r="A14379">
        <v>101262</v>
      </c>
      <c r="B14379" t="s">
        <v>4413</v>
      </c>
      <c r="C14379" t="s">
        <v>1159</v>
      </c>
      <c r="D14379" s="254">
        <v>19.3</v>
      </c>
      <c r="E14379"/>
      <c r="F14379"/>
      <c r="G14379"/>
      <c r="H14379"/>
      <c r="I14379" s="489"/>
      <c r="J14379" s="1362"/>
      <c r="K14379" s="1362"/>
      <c r="L14379" s="1362"/>
    </row>
    <row r="14380" spans="1:12" x14ac:dyDescent="0.25">
      <c r="A14380">
        <v>101263</v>
      </c>
      <c r="B14380" t="s">
        <v>4414</v>
      </c>
      <c r="C14380" t="s">
        <v>1159</v>
      </c>
      <c r="D14380" s="254">
        <v>22.34</v>
      </c>
      <c r="E14380"/>
      <c r="F14380"/>
      <c r="G14380"/>
      <c r="H14380"/>
      <c r="I14380" s="489"/>
      <c r="J14380" s="1362"/>
      <c r="K14380" s="1362"/>
      <c r="L14380" s="1362"/>
    </row>
    <row r="14381" spans="1:12" x14ac:dyDescent="0.25">
      <c r="A14381">
        <v>101264</v>
      </c>
      <c r="B14381" t="s">
        <v>4415</v>
      </c>
      <c r="C14381" t="s">
        <v>1159</v>
      </c>
      <c r="D14381" s="254">
        <v>24.71</v>
      </c>
      <c r="E14381"/>
      <c r="F14381"/>
      <c r="G14381"/>
      <c r="H14381"/>
      <c r="I14381" s="489"/>
      <c r="J14381" s="1362"/>
      <c r="K14381" s="1362"/>
      <c r="L14381" s="1362"/>
    </row>
    <row r="14382" spans="1:12" x14ac:dyDescent="0.25">
      <c r="A14382">
        <v>101265</v>
      </c>
      <c r="B14382" t="s">
        <v>4416</v>
      </c>
      <c r="C14382" t="s">
        <v>1159</v>
      </c>
      <c r="D14382" s="254">
        <v>30.83</v>
      </c>
      <c r="E14382"/>
      <c r="F14382"/>
      <c r="G14382"/>
      <c r="H14382"/>
      <c r="I14382" s="489"/>
      <c r="J14382" s="1362"/>
      <c r="K14382" s="1362"/>
      <c r="L14382" s="1362"/>
    </row>
    <row r="14383" spans="1:12" x14ac:dyDescent="0.25">
      <c r="A14383">
        <v>101266</v>
      </c>
      <c r="B14383" t="s">
        <v>4417</v>
      </c>
      <c r="C14383" t="s">
        <v>1159</v>
      </c>
      <c r="D14383" s="254">
        <v>11.12</v>
      </c>
      <c r="E14383"/>
      <c r="F14383"/>
      <c r="G14383"/>
      <c r="H14383"/>
      <c r="I14383" s="489"/>
      <c r="J14383" s="1362"/>
      <c r="K14383" s="1362"/>
      <c r="L14383" s="1362"/>
    </row>
    <row r="14384" spans="1:12" x14ac:dyDescent="0.25">
      <c r="A14384">
        <v>101267</v>
      </c>
      <c r="B14384" t="s">
        <v>4418</v>
      </c>
      <c r="C14384" t="s">
        <v>1159</v>
      </c>
      <c r="D14384" s="254">
        <v>10.63</v>
      </c>
      <c r="E14384"/>
      <c r="F14384"/>
      <c r="G14384"/>
      <c r="H14384"/>
      <c r="I14384" s="489"/>
      <c r="J14384" s="1362"/>
      <c r="K14384" s="1362"/>
      <c r="L14384" s="1362"/>
    </row>
    <row r="14385" spans="1:12" x14ac:dyDescent="0.25">
      <c r="A14385">
        <v>101268</v>
      </c>
      <c r="B14385" t="s">
        <v>4419</v>
      </c>
      <c r="C14385" t="s">
        <v>1159</v>
      </c>
      <c r="D14385" s="254">
        <v>17.559999999999999</v>
      </c>
      <c r="E14385"/>
      <c r="F14385"/>
      <c r="G14385"/>
      <c r="H14385"/>
      <c r="I14385" s="489"/>
      <c r="J14385" s="1362"/>
      <c r="K14385" s="1362"/>
      <c r="L14385" s="1362"/>
    </row>
    <row r="14386" spans="1:12" x14ac:dyDescent="0.25">
      <c r="A14386">
        <v>101269</v>
      </c>
      <c r="B14386" t="s">
        <v>4420</v>
      </c>
      <c r="C14386" t="s">
        <v>1159</v>
      </c>
      <c r="D14386" s="254">
        <v>19.45</v>
      </c>
      <c r="E14386"/>
      <c r="F14386"/>
      <c r="G14386"/>
      <c r="H14386"/>
      <c r="I14386" s="489"/>
      <c r="J14386" s="1362"/>
      <c r="K14386" s="1362"/>
      <c r="L14386" s="1362"/>
    </row>
    <row r="14387" spans="1:12" x14ac:dyDescent="0.25">
      <c r="A14387">
        <v>101270</v>
      </c>
      <c r="B14387" t="s">
        <v>4421</v>
      </c>
      <c r="C14387" t="s">
        <v>1159</v>
      </c>
      <c r="D14387" s="254">
        <v>22.54</v>
      </c>
      <c r="E14387"/>
      <c r="F14387"/>
      <c r="G14387"/>
      <c r="H14387"/>
      <c r="I14387" s="489"/>
      <c r="J14387" s="1362"/>
      <c r="K14387" s="1362"/>
      <c r="L14387" s="1362"/>
    </row>
    <row r="14388" spans="1:12" x14ac:dyDescent="0.25">
      <c r="A14388">
        <v>101271</v>
      </c>
      <c r="B14388" t="s">
        <v>4422</v>
      </c>
      <c r="C14388" t="s">
        <v>1159</v>
      </c>
      <c r="D14388" s="254">
        <v>24.95</v>
      </c>
      <c r="E14388"/>
      <c r="F14388"/>
      <c r="G14388"/>
      <c r="H14388"/>
      <c r="I14388" s="489"/>
      <c r="J14388" s="1362"/>
      <c r="K14388" s="1362"/>
      <c r="L14388" s="1362"/>
    </row>
    <row r="14389" spans="1:12" x14ac:dyDescent="0.25">
      <c r="A14389">
        <v>101272</v>
      </c>
      <c r="B14389" t="s">
        <v>4423</v>
      </c>
      <c r="C14389" t="s">
        <v>1159</v>
      </c>
      <c r="D14389" s="254">
        <v>31.17</v>
      </c>
      <c r="E14389"/>
      <c r="F14389"/>
      <c r="G14389"/>
      <c r="H14389"/>
      <c r="I14389" s="489"/>
      <c r="J14389" s="1362"/>
      <c r="K14389" s="1362"/>
      <c r="L14389" s="1362"/>
    </row>
    <row r="14390" spans="1:12" x14ac:dyDescent="0.25">
      <c r="A14390">
        <v>101273</v>
      </c>
      <c r="B14390" t="s">
        <v>4424</v>
      </c>
      <c r="C14390" t="s">
        <v>1159</v>
      </c>
      <c r="D14390" s="254">
        <v>16.8</v>
      </c>
      <c r="E14390"/>
      <c r="F14390"/>
      <c r="G14390"/>
      <c r="H14390"/>
      <c r="I14390" s="489"/>
      <c r="J14390" s="1362"/>
      <c r="K14390" s="1362"/>
      <c r="L14390" s="1362"/>
    </row>
    <row r="14391" spans="1:12" x14ac:dyDescent="0.25">
      <c r="A14391">
        <v>101274</v>
      </c>
      <c r="B14391" t="s">
        <v>4425</v>
      </c>
      <c r="C14391" t="s">
        <v>1159</v>
      </c>
      <c r="D14391" s="254">
        <v>18.510000000000002</v>
      </c>
      <c r="E14391"/>
      <c r="F14391"/>
      <c r="G14391"/>
      <c r="H14391"/>
      <c r="I14391" s="489"/>
      <c r="J14391" s="1362"/>
      <c r="K14391" s="1362"/>
      <c r="L14391" s="1362"/>
    </row>
    <row r="14392" spans="1:12" x14ac:dyDescent="0.25">
      <c r="A14392">
        <v>101275</v>
      </c>
      <c r="B14392" t="s">
        <v>4426</v>
      </c>
      <c r="C14392" t="s">
        <v>1159</v>
      </c>
      <c r="D14392" s="254">
        <v>21.47</v>
      </c>
      <c r="E14392"/>
      <c r="F14392"/>
      <c r="G14392"/>
      <c r="H14392"/>
      <c r="I14392" s="489"/>
      <c r="J14392" s="1362"/>
      <c r="K14392" s="1362"/>
      <c r="L14392" s="1362"/>
    </row>
    <row r="14393" spans="1:12" x14ac:dyDescent="0.25">
      <c r="A14393">
        <v>101276</v>
      </c>
      <c r="B14393" t="s">
        <v>4427</v>
      </c>
      <c r="C14393" t="s">
        <v>1159</v>
      </c>
      <c r="D14393" s="254">
        <v>23.71</v>
      </c>
      <c r="E14393"/>
      <c r="F14393"/>
      <c r="G14393"/>
      <c r="H14393"/>
      <c r="I14393" s="489"/>
      <c r="J14393" s="1362"/>
      <c r="K14393" s="1362"/>
      <c r="L14393" s="1362"/>
    </row>
    <row r="14394" spans="1:12" x14ac:dyDescent="0.25">
      <c r="A14394">
        <v>101277</v>
      </c>
      <c r="B14394" t="s">
        <v>4428</v>
      </c>
      <c r="C14394" t="s">
        <v>1159</v>
      </c>
      <c r="D14394" s="254">
        <v>30.23</v>
      </c>
      <c r="E14394"/>
      <c r="F14394"/>
      <c r="G14394"/>
      <c r="H14394"/>
      <c r="I14394" s="489"/>
      <c r="J14394" s="1362"/>
      <c r="K14394" s="1362"/>
      <c r="L14394" s="1362"/>
    </row>
    <row r="14395" spans="1:12" x14ac:dyDescent="0.25">
      <c r="A14395">
        <v>102354</v>
      </c>
      <c r="B14395" t="s">
        <v>6056</v>
      </c>
      <c r="C14395" t="s">
        <v>1159</v>
      </c>
      <c r="D14395" s="254">
        <v>154.41999999999999</v>
      </c>
      <c r="E14395"/>
      <c r="F14395"/>
      <c r="G14395"/>
      <c r="H14395"/>
      <c r="I14395" s="489"/>
      <c r="J14395" s="1362"/>
      <c r="K14395" s="1362"/>
      <c r="L14395" s="1362"/>
    </row>
    <row r="14396" spans="1:12" x14ac:dyDescent="0.25">
      <c r="A14396">
        <v>102355</v>
      </c>
      <c r="B14396" t="s">
        <v>6057</v>
      </c>
      <c r="C14396" t="s">
        <v>1159</v>
      </c>
      <c r="D14396" s="254">
        <v>178.79</v>
      </c>
      <c r="E14396"/>
      <c r="F14396"/>
      <c r="G14396"/>
      <c r="H14396"/>
      <c r="I14396" s="489"/>
      <c r="J14396" s="1362"/>
      <c r="K14396" s="1362"/>
      <c r="L14396" s="1362"/>
    </row>
    <row r="14397" spans="1:12" x14ac:dyDescent="0.25">
      <c r="A14397">
        <v>102360</v>
      </c>
      <c r="B14397" t="s">
        <v>6058</v>
      </c>
      <c r="C14397" t="s">
        <v>1159</v>
      </c>
      <c r="D14397" s="254">
        <v>23.17</v>
      </c>
      <c r="E14397"/>
      <c r="F14397"/>
      <c r="G14397"/>
      <c r="H14397"/>
      <c r="I14397" s="489"/>
      <c r="J14397" s="1362"/>
      <c r="K14397" s="1362"/>
      <c r="L14397" s="1362"/>
    </row>
    <row r="14398" spans="1:12" x14ac:dyDescent="0.25">
      <c r="A14398">
        <v>102361</v>
      </c>
      <c r="B14398" t="s">
        <v>6059</v>
      </c>
      <c r="C14398" t="s">
        <v>1159</v>
      </c>
      <c r="D14398" s="254">
        <v>34.36</v>
      </c>
      <c r="E14398"/>
      <c r="F14398"/>
      <c r="G14398"/>
      <c r="H14398"/>
      <c r="I14398" s="489"/>
      <c r="J14398" s="1362"/>
      <c r="K14398" s="1362"/>
      <c r="L14398" s="1362"/>
    </row>
    <row r="14399" spans="1:12" x14ac:dyDescent="0.25">
      <c r="A14399">
        <v>90082</v>
      </c>
      <c r="B14399" t="s">
        <v>7045</v>
      </c>
      <c r="C14399" t="s">
        <v>1159</v>
      </c>
      <c r="D14399" s="254">
        <v>11.25</v>
      </c>
      <c r="E14399"/>
      <c r="F14399"/>
      <c r="G14399"/>
      <c r="H14399"/>
      <c r="I14399" s="489"/>
      <c r="J14399" s="1362"/>
      <c r="K14399" s="1362"/>
      <c r="L14399" s="1362"/>
    </row>
    <row r="14400" spans="1:12" x14ac:dyDescent="0.25">
      <c r="A14400">
        <v>90084</v>
      </c>
      <c r="B14400" t="s">
        <v>7046</v>
      </c>
      <c r="C14400" t="s">
        <v>1159</v>
      </c>
      <c r="D14400" s="254">
        <v>10.9</v>
      </c>
      <c r="E14400"/>
      <c r="F14400"/>
      <c r="G14400"/>
      <c r="H14400"/>
      <c r="I14400" s="489"/>
      <c r="J14400" s="1362"/>
      <c r="K14400" s="1362"/>
      <c r="L14400" s="1362"/>
    </row>
    <row r="14401" spans="1:12" x14ac:dyDescent="0.25">
      <c r="A14401">
        <v>90086</v>
      </c>
      <c r="B14401" t="s">
        <v>7047</v>
      </c>
      <c r="C14401" t="s">
        <v>1159</v>
      </c>
      <c r="D14401" s="254">
        <v>10.3</v>
      </c>
      <c r="E14401"/>
      <c r="F14401"/>
      <c r="G14401"/>
      <c r="H14401"/>
      <c r="I14401" s="489"/>
      <c r="J14401" s="1362"/>
      <c r="K14401" s="1362"/>
      <c r="L14401" s="1362"/>
    </row>
    <row r="14402" spans="1:12" x14ac:dyDescent="0.25">
      <c r="A14402">
        <v>90087</v>
      </c>
      <c r="B14402" t="s">
        <v>7048</v>
      </c>
      <c r="C14402" t="s">
        <v>1159</v>
      </c>
      <c r="D14402" s="254">
        <v>9.4700000000000006</v>
      </c>
      <c r="E14402"/>
      <c r="F14402"/>
      <c r="G14402"/>
      <c r="H14402"/>
      <c r="I14402" s="489"/>
      <c r="J14402" s="1362"/>
      <c r="K14402" s="1362"/>
      <c r="L14402" s="1362"/>
    </row>
    <row r="14403" spans="1:12" x14ac:dyDescent="0.25">
      <c r="A14403">
        <v>90090</v>
      </c>
      <c r="B14403" t="s">
        <v>7049</v>
      </c>
      <c r="C14403" t="s">
        <v>1159</v>
      </c>
      <c r="D14403" s="254">
        <v>9.27</v>
      </c>
      <c r="E14403"/>
      <c r="F14403"/>
      <c r="G14403"/>
      <c r="H14403"/>
      <c r="I14403" s="489"/>
      <c r="J14403" s="1362"/>
      <c r="K14403" s="1362"/>
      <c r="L14403" s="1362"/>
    </row>
    <row r="14404" spans="1:12" x14ac:dyDescent="0.25">
      <c r="A14404">
        <v>90091</v>
      </c>
      <c r="B14404" t="s">
        <v>7050</v>
      </c>
      <c r="C14404" t="s">
        <v>1159</v>
      </c>
      <c r="D14404" s="254">
        <v>6.08</v>
      </c>
      <c r="E14404"/>
      <c r="F14404"/>
      <c r="G14404"/>
      <c r="H14404"/>
      <c r="I14404" s="489"/>
      <c r="J14404" s="1362"/>
      <c r="K14404" s="1362"/>
      <c r="L14404" s="1362"/>
    </row>
    <row r="14405" spans="1:12" x14ac:dyDescent="0.25">
      <c r="A14405">
        <v>90092</v>
      </c>
      <c r="B14405" t="s">
        <v>7051</v>
      </c>
      <c r="C14405" t="s">
        <v>1159</v>
      </c>
      <c r="D14405" s="254">
        <v>6</v>
      </c>
      <c r="E14405"/>
      <c r="F14405"/>
      <c r="G14405"/>
      <c r="H14405"/>
      <c r="I14405" s="489"/>
      <c r="J14405" s="1362"/>
      <c r="K14405" s="1362"/>
      <c r="L14405" s="1362"/>
    </row>
    <row r="14406" spans="1:12" x14ac:dyDescent="0.25">
      <c r="A14406">
        <v>90094</v>
      </c>
      <c r="B14406" t="s">
        <v>7052</v>
      </c>
      <c r="C14406" t="s">
        <v>1159</v>
      </c>
      <c r="D14406" s="254">
        <v>5.68</v>
      </c>
      <c r="E14406"/>
      <c r="F14406"/>
      <c r="G14406"/>
      <c r="H14406"/>
      <c r="I14406" s="489"/>
      <c r="J14406" s="1362"/>
      <c r="K14406" s="1362"/>
      <c r="L14406" s="1362"/>
    </row>
    <row r="14407" spans="1:12" x14ac:dyDescent="0.25">
      <c r="A14407">
        <v>90095</v>
      </c>
      <c r="B14407" t="s">
        <v>7053</v>
      </c>
      <c r="C14407" t="s">
        <v>1159</v>
      </c>
      <c r="D14407" s="254">
        <v>5.22</v>
      </c>
      <c r="E14407"/>
      <c r="F14407"/>
      <c r="G14407"/>
      <c r="H14407"/>
      <c r="I14407" s="489"/>
      <c r="J14407" s="1362"/>
      <c r="K14407" s="1362"/>
      <c r="L14407" s="1362"/>
    </row>
    <row r="14408" spans="1:12" x14ac:dyDescent="0.25">
      <c r="A14408">
        <v>90098</v>
      </c>
      <c r="B14408" t="s">
        <v>7054</v>
      </c>
      <c r="C14408" t="s">
        <v>1159</v>
      </c>
      <c r="D14408" s="254">
        <v>5.12</v>
      </c>
      <c r="E14408"/>
      <c r="F14408"/>
      <c r="G14408"/>
      <c r="H14408"/>
      <c r="I14408" s="489"/>
      <c r="J14408" s="1362"/>
      <c r="K14408" s="1362"/>
      <c r="L14408" s="1362"/>
    </row>
    <row r="14409" spans="1:12" x14ac:dyDescent="0.25">
      <c r="A14409">
        <v>90099</v>
      </c>
      <c r="B14409" t="s">
        <v>7055</v>
      </c>
      <c r="C14409" t="s">
        <v>1159</v>
      </c>
      <c r="D14409" s="254">
        <v>15.54</v>
      </c>
      <c r="E14409"/>
      <c r="F14409"/>
      <c r="G14409"/>
      <c r="H14409"/>
      <c r="I14409" s="489"/>
      <c r="J14409" s="1362"/>
      <c r="K14409" s="1362"/>
      <c r="L14409" s="1362"/>
    </row>
    <row r="14410" spans="1:12" x14ac:dyDescent="0.25">
      <c r="A14410">
        <v>90100</v>
      </c>
      <c r="B14410" t="s">
        <v>7056</v>
      </c>
      <c r="C14410" t="s">
        <v>1159</v>
      </c>
      <c r="D14410" s="254">
        <v>13.19</v>
      </c>
      <c r="E14410"/>
      <c r="F14410"/>
      <c r="G14410"/>
      <c r="H14410"/>
      <c r="I14410" s="489"/>
      <c r="J14410" s="1362"/>
      <c r="K14410" s="1362"/>
      <c r="L14410" s="1362"/>
    </row>
    <row r="14411" spans="1:12" x14ac:dyDescent="0.25">
      <c r="A14411">
        <v>90101</v>
      </c>
      <c r="B14411" t="s">
        <v>7057</v>
      </c>
      <c r="C14411" t="s">
        <v>1159</v>
      </c>
      <c r="D14411" s="254">
        <v>13.03</v>
      </c>
      <c r="E14411"/>
      <c r="F14411"/>
      <c r="G14411"/>
      <c r="H14411"/>
      <c r="I14411" s="489"/>
      <c r="J14411" s="1362"/>
      <c r="K14411" s="1362"/>
      <c r="L14411" s="1362"/>
    </row>
    <row r="14412" spans="1:12" x14ac:dyDescent="0.25">
      <c r="A14412">
        <v>90102</v>
      </c>
      <c r="B14412" t="s">
        <v>7058</v>
      </c>
      <c r="C14412" t="s">
        <v>1159</v>
      </c>
      <c r="D14412" s="254">
        <v>11.87</v>
      </c>
      <c r="E14412"/>
      <c r="F14412"/>
      <c r="G14412"/>
      <c r="H14412"/>
      <c r="I14412" s="489"/>
      <c r="J14412" s="1362"/>
      <c r="K14412" s="1362"/>
      <c r="L14412" s="1362"/>
    </row>
    <row r="14413" spans="1:12" x14ac:dyDescent="0.25">
      <c r="A14413">
        <v>90105</v>
      </c>
      <c r="B14413" t="s">
        <v>7059</v>
      </c>
      <c r="C14413" t="s">
        <v>1159</v>
      </c>
      <c r="D14413" s="254">
        <v>8.57</v>
      </c>
      <c r="E14413"/>
      <c r="F14413"/>
      <c r="G14413"/>
      <c r="H14413"/>
      <c r="I14413" s="489"/>
      <c r="J14413" s="1362"/>
      <c r="K14413" s="1362"/>
      <c r="L14413" s="1362"/>
    </row>
    <row r="14414" spans="1:12" x14ac:dyDescent="0.25">
      <c r="A14414">
        <v>90106</v>
      </c>
      <c r="B14414" t="s">
        <v>7060</v>
      </c>
      <c r="C14414" t="s">
        <v>1159</v>
      </c>
      <c r="D14414" s="254">
        <v>7.28</v>
      </c>
      <c r="E14414"/>
      <c r="F14414"/>
      <c r="G14414"/>
      <c r="H14414"/>
      <c r="I14414" s="489"/>
      <c r="J14414" s="1362"/>
      <c r="K14414" s="1362"/>
      <c r="L14414" s="1362"/>
    </row>
    <row r="14415" spans="1:12" x14ac:dyDescent="0.25">
      <c r="A14415">
        <v>90107</v>
      </c>
      <c r="B14415" t="s">
        <v>7061</v>
      </c>
      <c r="C14415" t="s">
        <v>1159</v>
      </c>
      <c r="D14415" s="254">
        <v>7.19</v>
      </c>
      <c r="E14415"/>
      <c r="F14415"/>
      <c r="G14415"/>
      <c r="H14415"/>
      <c r="I14415" s="489"/>
      <c r="J14415" s="1362"/>
      <c r="K14415" s="1362"/>
      <c r="L14415" s="1362"/>
    </row>
    <row r="14416" spans="1:12" x14ac:dyDescent="0.25">
      <c r="A14416">
        <v>90108</v>
      </c>
      <c r="B14416" t="s">
        <v>7062</v>
      </c>
      <c r="C14416" t="s">
        <v>1159</v>
      </c>
      <c r="D14416" s="254">
        <v>6.54</v>
      </c>
      <c r="E14416"/>
      <c r="F14416"/>
      <c r="G14416"/>
      <c r="H14416"/>
      <c r="I14416" s="489"/>
      <c r="J14416" s="1362"/>
      <c r="K14416" s="1362"/>
      <c r="L14416" s="1362"/>
    </row>
    <row r="14417" spans="1:12" x14ac:dyDescent="0.25">
      <c r="A14417">
        <v>93358</v>
      </c>
      <c r="B14417" t="s">
        <v>6003</v>
      </c>
      <c r="C14417" t="s">
        <v>1159</v>
      </c>
      <c r="D14417" s="254">
        <v>82.36</v>
      </c>
      <c r="E14417"/>
      <c r="F14417"/>
      <c r="G14417"/>
      <c r="H14417"/>
      <c r="I14417" s="489"/>
      <c r="J14417" s="1362"/>
      <c r="K14417" s="1362"/>
      <c r="L14417" s="1362"/>
    </row>
    <row r="14418" spans="1:12" x14ac:dyDescent="0.25">
      <c r="A14418">
        <v>102276</v>
      </c>
      <c r="B14418" t="s">
        <v>7063</v>
      </c>
      <c r="C14418" t="s">
        <v>1159</v>
      </c>
      <c r="D14418" s="254">
        <v>12.65</v>
      </c>
      <c r="E14418"/>
      <c r="F14418"/>
      <c r="G14418"/>
      <c r="H14418"/>
      <c r="I14418" s="489"/>
      <c r="J14418" s="1362"/>
      <c r="K14418" s="1362"/>
      <c r="L14418" s="1362"/>
    </row>
    <row r="14419" spans="1:12" x14ac:dyDescent="0.25">
      <c r="A14419">
        <v>102277</v>
      </c>
      <c r="B14419" t="s">
        <v>7064</v>
      </c>
      <c r="C14419" t="s">
        <v>1159</v>
      </c>
      <c r="D14419" s="254">
        <v>9.99</v>
      </c>
      <c r="E14419"/>
      <c r="F14419"/>
      <c r="G14419"/>
      <c r="H14419"/>
      <c r="I14419" s="489"/>
      <c r="J14419" s="1362"/>
      <c r="K14419" s="1362"/>
      <c r="L14419" s="1362"/>
    </row>
    <row r="14420" spans="1:12" x14ac:dyDescent="0.25">
      <c r="A14420">
        <v>102278</v>
      </c>
      <c r="B14420" t="s">
        <v>7065</v>
      </c>
      <c r="C14420" t="s">
        <v>1159</v>
      </c>
      <c r="D14420" s="254">
        <v>9.86</v>
      </c>
      <c r="E14420"/>
      <c r="F14420"/>
      <c r="G14420"/>
      <c r="H14420"/>
      <c r="I14420" s="489"/>
      <c r="J14420" s="1362"/>
      <c r="K14420" s="1362"/>
      <c r="L14420" s="1362"/>
    </row>
    <row r="14421" spans="1:12" x14ac:dyDescent="0.25">
      <c r="A14421">
        <v>102279</v>
      </c>
      <c r="B14421" t="s">
        <v>7066</v>
      </c>
      <c r="C14421" t="s">
        <v>1159</v>
      </c>
      <c r="D14421" s="254">
        <v>6.97</v>
      </c>
      <c r="E14421"/>
      <c r="F14421"/>
      <c r="G14421"/>
      <c r="H14421"/>
      <c r="I14421" s="489"/>
      <c r="J14421" s="1362"/>
      <c r="K14421" s="1362"/>
      <c r="L14421" s="1362"/>
    </row>
    <row r="14422" spans="1:12" x14ac:dyDescent="0.25">
      <c r="A14422">
        <v>102280</v>
      </c>
      <c r="B14422" t="s">
        <v>7067</v>
      </c>
      <c r="C14422" t="s">
        <v>1159</v>
      </c>
      <c r="D14422" s="254">
        <v>5.51</v>
      </c>
      <c r="E14422"/>
      <c r="F14422"/>
      <c r="G14422"/>
      <c r="H14422"/>
      <c r="I14422" s="489"/>
      <c r="J14422" s="1362"/>
      <c r="K14422" s="1362"/>
      <c r="L14422" s="1362"/>
    </row>
    <row r="14423" spans="1:12" x14ac:dyDescent="0.25">
      <c r="A14423">
        <v>102281</v>
      </c>
      <c r="B14423" t="s">
        <v>7068</v>
      </c>
      <c r="C14423" t="s">
        <v>1159</v>
      </c>
      <c r="D14423" s="254">
        <v>5.44</v>
      </c>
      <c r="E14423"/>
      <c r="F14423"/>
      <c r="G14423"/>
      <c r="H14423"/>
      <c r="I14423" s="489"/>
      <c r="J14423" s="1362"/>
      <c r="K14423" s="1362"/>
      <c r="L14423" s="1362"/>
    </row>
    <row r="14424" spans="1:12" x14ac:dyDescent="0.25">
      <c r="A14424">
        <v>102282</v>
      </c>
      <c r="B14424" t="s">
        <v>7069</v>
      </c>
      <c r="C14424" t="s">
        <v>1159</v>
      </c>
      <c r="D14424" s="254">
        <v>14.05</v>
      </c>
      <c r="E14424"/>
      <c r="F14424"/>
      <c r="G14424"/>
      <c r="H14424"/>
      <c r="I14424" s="489"/>
      <c r="J14424" s="1362"/>
      <c r="K14424" s="1362"/>
      <c r="L14424" s="1362"/>
    </row>
    <row r="14425" spans="1:12" x14ac:dyDescent="0.25">
      <c r="A14425">
        <v>102283</v>
      </c>
      <c r="B14425" t="s">
        <v>7070</v>
      </c>
      <c r="C14425" t="s">
        <v>1159</v>
      </c>
      <c r="D14425" s="254">
        <v>12.49</v>
      </c>
      <c r="E14425"/>
      <c r="F14425"/>
      <c r="G14425"/>
      <c r="H14425"/>
      <c r="I14425" s="489"/>
      <c r="J14425" s="1362"/>
      <c r="K14425" s="1362"/>
      <c r="L14425" s="1362"/>
    </row>
    <row r="14426" spans="1:12" x14ac:dyDescent="0.25">
      <c r="A14426">
        <v>102284</v>
      </c>
      <c r="B14426" t="s">
        <v>7071</v>
      </c>
      <c r="C14426" t="s">
        <v>1159</v>
      </c>
      <c r="D14426" s="254">
        <v>12.09</v>
      </c>
      <c r="E14426"/>
      <c r="F14426"/>
      <c r="G14426"/>
      <c r="H14426"/>
      <c r="I14426" s="489"/>
      <c r="J14426" s="1362"/>
      <c r="K14426" s="1362"/>
      <c r="L14426" s="1362"/>
    </row>
    <row r="14427" spans="1:12" x14ac:dyDescent="0.25">
      <c r="A14427">
        <v>102285</v>
      </c>
      <c r="B14427" t="s">
        <v>7072</v>
      </c>
      <c r="C14427" t="s">
        <v>1159</v>
      </c>
      <c r="D14427" s="254">
        <v>11.44</v>
      </c>
      <c r="E14427"/>
      <c r="F14427"/>
      <c r="G14427"/>
      <c r="H14427"/>
      <c r="I14427" s="489"/>
      <c r="J14427" s="1362"/>
      <c r="K14427" s="1362"/>
      <c r="L14427" s="1362"/>
    </row>
    <row r="14428" spans="1:12" x14ac:dyDescent="0.25">
      <c r="A14428">
        <v>102286</v>
      </c>
      <c r="B14428" t="s">
        <v>7073</v>
      </c>
      <c r="C14428" t="s">
        <v>1159</v>
      </c>
      <c r="D14428" s="254">
        <v>11.11</v>
      </c>
      <c r="E14428"/>
      <c r="F14428"/>
      <c r="G14428"/>
      <c r="H14428"/>
      <c r="I14428" s="489"/>
      <c r="J14428" s="1362"/>
      <c r="K14428" s="1362"/>
      <c r="L14428" s="1362"/>
    </row>
    <row r="14429" spans="1:12" x14ac:dyDescent="0.25">
      <c r="A14429">
        <v>102287</v>
      </c>
      <c r="B14429" t="s">
        <v>7074</v>
      </c>
      <c r="C14429" t="s">
        <v>1159</v>
      </c>
      <c r="D14429" s="254">
        <v>10.98</v>
      </c>
      <c r="E14429"/>
      <c r="F14429"/>
      <c r="G14429"/>
      <c r="H14429"/>
      <c r="I14429" s="489"/>
      <c r="J14429" s="1362"/>
      <c r="K14429" s="1362"/>
      <c r="L14429" s="1362"/>
    </row>
    <row r="14430" spans="1:12" x14ac:dyDescent="0.25">
      <c r="A14430">
        <v>102288</v>
      </c>
      <c r="B14430" t="s">
        <v>7075</v>
      </c>
      <c r="C14430" t="s">
        <v>1159</v>
      </c>
      <c r="D14430" s="254">
        <v>10.53</v>
      </c>
      <c r="E14430"/>
      <c r="F14430"/>
      <c r="G14430"/>
      <c r="H14430"/>
      <c r="I14430" s="489"/>
      <c r="J14430" s="1362"/>
      <c r="K14430" s="1362"/>
      <c r="L14430" s="1362"/>
    </row>
    <row r="14431" spans="1:12" x14ac:dyDescent="0.25">
      <c r="A14431">
        <v>102289</v>
      </c>
      <c r="B14431" t="s">
        <v>7076</v>
      </c>
      <c r="C14431" t="s">
        <v>1159</v>
      </c>
      <c r="D14431" s="254">
        <v>10.3</v>
      </c>
      <c r="E14431"/>
      <c r="F14431"/>
      <c r="G14431"/>
      <c r="H14431"/>
      <c r="I14431" s="489"/>
      <c r="J14431" s="1362"/>
      <c r="K14431" s="1362"/>
      <c r="L14431" s="1362"/>
    </row>
    <row r="14432" spans="1:12" x14ac:dyDescent="0.25">
      <c r="A14432">
        <v>102290</v>
      </c>
      <c r="B14432" t="s">
        <v>7077</v>
      </c>
      <c r="C14432" t="s">
        <v>1159</v>
      </c>
      <c r="D14432" s="254">
        <v>7.75</v>
      </c>
      <c r="E14432"/>
      <c r="F14432"/>
      <c r="G14432"/>
      <c r="H14432"/>
      <c r="I14432" s="489"/>
      <c r="J14432" s="1362"/>
      <c r="K14432" s="1362"/>
      <c r="L14432" s="1362"/>
    </row>
    <row r="14433" spans="1:12" x14ac:dyDescent="0.25">
      <c r="A14433">
        <v>102291</v>
      </c>
      <c r="B14433" t="s">
        <v>7078</v>
      </c>
      <c r="C14433" t="s">
        <v>1159</v>
      </c>
      <c r="D14433" s="254">
        <v>6.89</v>
      </c>
      <c r="E14433"/>
      <c r="F14433"/>
      <c r="G14433"/>
      <c r="H14433"/>
      <c r="I14433" s="489"/>
      <c r="J14433" s="1362"/>
      <c r="K14433" s="1362"/>
      <c r="L14433" s="1362"/>
    </row>
    <row r="14434" spans="1:12" x14ac:dyDescent="0.25">
      <c r="A14434">
        <v>102292</v>
      </c>
      <c r="B14434" t="s">
        <v>7079</v>
      </c>
      <c r="C14434" t="s">
        <v>1159</v>
      </c>
      <c r="D14434" s="254">
        <v>6.68</v>
      </c>
      <c r="E14434"/>
      <c r="F14434"/>
      <c r="G14434"/>
      <c r="H14434"/>
      <c r="I14434" s="489"/>
      <c r="J14434" s="1362"/>
      <c r="K14434" s="1362"/>
      <c r="L14434" s="1362"/>
    </row>
    <row r="14435" spans="1:12" x14ac:dyDescent="0.25">
      <c r="A14435">
        <v>102293</v>
      </c>
      <c r="B14435" t="s">
        <v>7080</v>
      </c>
      <c r="C14435" t="s">
        <v>1159</v>
      </c>
      <c r="D14435" s="254">
        <v>6.32</v>
      </c>
      <c r="E14435"/>
      <c r="F14435"/>
      <c r="G14435"/>
      <c r="H14435"/>
      <c r="I14435" s="489"/>
      <c r="J14435" s="1362"/>
      <c r="K14435" s="1362"/>
      <c r="L14435" s="1362"/>
    </row>
    <row r="14436" spans="1:12" x14ac:dyDescent="0.25">
      <c r="A14436">
        <v>102294</v>
      </c>
      <c r="B14436" t="s">
        <v>7081</v>
      </c>
      <c r="C14436" t="s">
        <v>1159</v>
      </c>
      <c r="D14436" s="254">
        <v>6.14</v>
      </c>
      <c r="E14436"/>
      <c r="F14436"/>
      <c r="G14436"/>
      <c r="H14436"/>
      <c r="I14436" s="489"/>
      <c r="J14436" s="1362"/>
      <c r="K14436" s="1362"/>
      <c r="L14436" s="1362"/>
    </row>
    <row r="14437" spans="1:12" x14ac:dyDescent="0.25">
      <c r="A14437">
        <v>102295</v>
      </c>
      <c r="B14437" t="s">
        <v>7082</v>
      </c>
      <c r="C14437" t="s">
        <v>1159</v>
      </c>
      <c r="D14437" s="254">
        <v>6.05</v>
      </c>
      <c r="E14437"/>
      <c r="F14437"/>
      <c r="G14437"/>
      <c r="H14437"/>
      <c r="I14437" s="489"/>
      <c r="J14437" s="1362"/>
      <c r="K14437" s="1362"/>
      <c r="L14437" s="1362"/>
    </row>
    <row r="14438" spans="1:12" x14ac:dyDescent="0.25">
      <c r="A14438">
        <v>102296</v>
      </c>
      <c r="B14438" t="s">
        <v>7083</v>
      </c>
      <c r="C14438" t="s">
        <v>1159</v>
      </c>
      <c r="D14438" s="254">
        <v>5.8</v>
      </c>
      <c r="E14438"/>
      <c r="F14438"/>
      <c r="G14438"/>
      <c r="H14438"/>
      <c r="I14438" s="489"/>
      <c r="J14438" s="1362"/>
      <c r="K14438" s="1362"/>
      <c r="L14438" s="1362"/>
    </row>
    <row r="14439" spans="1:12" x14ac:dyDescent="0.25">
      <c r="A14439">
        <v>102297</v>
      </c>
      <c r="B14439" t="s">
        <v>7084</v>
      </c>
      <c r="C14439" t="s">
        <v>1159</v>
      </c>
      <c r="D14439" s="254">
        <v>5.68</v>
      </c>
      <c r="E14439"/>
      <c r="F14439"/>
      <c r="G14439"/>
      <c r="H14439"/>
      <c r="I14439" s="489"/>
      <c r="J14439" s="1362"/>
      <c r="K14439" s="1362"/>
      <c r="L14439" s="1362"/>
    </row>
    <row r="14440" spans="1:12" x14ac:dyDescent="0.25">
      <c r="A14440">
        <v>102298</v>
      </c>
      <c r="B14440" t="s">
        <v>7085</v>
      </c>
      <c r="C14440" t="s">
        <v>1159</v>
      </c>
      <c r="D14440" s="254">
        <v>17.27</v>
      </c>
      <c r="E14440"/>
      <c r="F14440"/>
      <c r="G14440"/>
      <c r="H14440"/>
      <c r="I14440" s="489"/>
      <c r="J14440" s="1362"/>
      <c r="K14440" s="1362"/>
      <c r="L14440" s="1362"/>
    </row>
    <row r="14441" spans="1:12" x14ac:dyDescent="0.25">
      <c r="A14441">
        <v>102299</v>
      </c>
      <c r="B14441" t="s">
        <v>7086</v>
      </c>
      <c r="C14441" t="s">
        <v>1159</v>
      </c>
      <c r="D14441" s="254">
        <v>14.67</v>
      </c>
      <c r="E14441"/>
      <c r="F14441"/>
      <c r="G14441"/>
      <c r="H14441"/>
      <c r="I14441" s="489"/>
      <c r="J14441" s="1362"/>
      <c r="K14441" s="1362"/>
      <c r="L14441" s="1362"/>
    </row>
    <row r="14442" spans="1:12" x14ac:dyDescent="0.25">
      <c r="A14442">
        <v>102300</v>
      </c>
      <c r="B14442" t="s">
        <v>7087</v>
      </c>
      <c r="C14442" t="s">
        <v>1159</v>
      </c>
      <c r="D14442" s="254">
        <v>14.48</v>
      </c>
      <c r="E14442"/>
      <c r="F14442"/>
      <c r="G14442"/>
      <c r="H14442"/>
      <c r="I14442" s="489"/>
      <c r="J14442" s="1362"/>
      <c r="K14442" s="1362"/>
      <c r="L14442" s="1362"/>
    </row>
    <row r="14443" spans="1:12" x14ac:dyDescent="0.25">
      <c r="A14443">
        <v>102301</v>
      </c>
      <c r="B14443" t="s">
        <v>7088</v>
      </c>
      <c r="C14443" t="s">
        <v>1159</v>
      </c>
      <c r="D14443" s="254">
        <v>13.17</v>
      </c>
      <c r="E14443"/>
      <c r="F14443"/>
      <c r="G14443"/>
      <c r="H14443"/>
      <c r="I14443" s="489"/>
      <c r="J14443" s="1362"/>
      <c r="K14443" s="1362"/>
      <c r="L14443" s="1362"/>
    </row>
    <row r="14444" spans="1:12" x14ac:dyDescent="0.25">
      <c r="A14444">
        <v>102302</v>
      </c>
      <c r="B14444" t="s">
        <v>7089</v>
      </c>
      <c r="C14444" t="s">
        <v>1159</v>
      </c>
      <c r="D14444" s="254">
        <v>9.52</v>
      </c>
      <c r="E14444"/>
      <c r="F14444"/>
      <c r="G14444"/>
      <c r="H14444"/>
      <c r="I14444" s="489"/>
      <c r="J14444" s="1362"/>
      <c r="K14444" s="1362"/>
      <c r="L14444" s="1362"/>
    </row>
    <row r="14445" spans="1:12" x14ac:dyDescent="0.25">
      <c r="A14445">
        <v>102303</v>
      </c>
      <c r="B14445" t="s">
        <v>7090</v>
      </c>
      <c r="C14445" t="s">
        <v>1159</v>
      </c>
      <c r="D14445" s="254">
        <v>8.08</v>
      </c>
      <c r="E14445"/>
      <c r="F14445"/>
      <c r="G14445"/>
      <c r="H14445"/>
      <c r="I14445" s="489"/>
      <c r="J14445" s="1362"/>
      <c r="K14445" s="1362"/>
      <c r="L14445" s="1362"/>
    </row>
    <row r="14446" spans="1:12" x14ac:dyDescent="0.25">
      <c r="A14446">
        <v>102304</v>
      </c>
      <c r="B14446" t="s">
        <v>7091</v>
      </c>
      <c r="C14446" t="s">
        <v>1159</v>
      </c>
      <c r="D14446" s="254">
        <v>7.98</v>
      </c>
      <c r="E14446"/>
      <c r="F14446"/>
      <c r="G14446"/>
      <c r="H14446"/>
      <c r="I14446" s="489"/>
      <c r="J14446" s="1362"/>
      <c r="K14446" s="1362"/>
      <c r="L14446" s="1362"/>
    </row>
    <row r="14447" spans="1:12" x14ac:dyDescent="0.25">
      <c r="A14447">
        <v>102305</v>
      </c>
      <c r="B14447" t="s">
        <v>7092</v>
      </c>
      <c r="C14447" t="s">
        <v>1159</v>
      </c>
      <c r="D14447" s="254">
        <v>7.26</v>
      </c>
      <c r="E14447"/>
      <c r="F14447"/>
      <c r="G14447"/>
      <c r="H14447"/>
      <c r="I14447" s="489"/>
      <c r="J14447" s="1362"/>
      <c r="K14447" s="1362"/>
      <c r="L14447" s="1362"/>
    </row>
    <row r="14448" spans="1:12" x14ac:dyDescent="0.25">
      <c r="A14448">
        <v>102306</v>
      </c>
      <c r="B14448" t="s">
        <v>7093</v>
      </c>
      <c r="C14448" t="s">
        <v>1159</v>
      </c>
      <c r="D14448" s="254">
        <v>15.83</v>
      </c>
      <c r="E14448"/>
      <c r="F14448"/>
      <c r="G14448"/>
      <c r="H14448"/>
      <c r="I14448" s="489"/>
      <c r="J14448" s="1362"/>
      <c r="K14448" s="1362"/>
      <c r="L14448" s="1362"/>
    </row>
    <row r="14449" spans="1:12" x14ac:dyDescent="0.25">
      <c r="A14449">
        <v>102307</v>
      </c>
      <c r="B14449" t="s">
        <v>7094</v>
      </c>
      <c r="C14449" t="s">
        <v>1159</v>
      </c>
      <c r="D14449" s="254">
        <v>14.05</v>
      </c>
      <c r="E14449"/>
      <c r="F14449"/>
      <c r="G14449"/>
      <c r="H14449"/>
      <c r="I14449" s="489"/>
      <c r="J14449" s="1362"/>
      <c r="K14449" s="1362"/>
      <c r="L14449" s="1362"/>
    </row>
    <row r="14450" spans="1:12" x14ac:dyDescent="0.25">
      <c r="A14450">
        <v>102308</v>
      </c>
      <c r="B14450" t="s">
        <v>7095</v>
      </c>
      <c r="C14450" t="s">
        <v>1159</v>
      </c>
      <c r="D14450" s="254">
        <v>13.62</v>
      </c>
      <c r="E14450"/>
      <c r="F14450"/>
      <c r="G14450"/>
      <c r="H14450"/>
      <c r="I14450" s="489"/>
      <c r="J14450" s="1362"/>
      <c r="K14450" s="1362"/>
      <c r="L14450" s="1362"/>
    </row>
    <row r="14451" spans="1:12" x14ac:dyDescent="0.25">
      <c r="A14451">
        <v>102309</v>
      </c>
      <c r="B14451" t="s">
        <v>7096</v>
      </c>
      <c r="C14451" t="s">
        <v>1159</v>
      </c>
      <c r="D14451" s="254">
        <v>12.89</v>
      </c>
      <c r="E14451"/>
      <c r="F14451"/>
      <c r="G14451"/>
      <c r="H14451"/>
      <c r="I14451" s="489"/>
      <c r="J14451" s="1362"/>
      <c r="K14451" s="1362"/>
      <c r="L14451" s="1362"/>
    </row>
    <row r="14452" spans="1:12" x14ac:dyDescent="0.25">
      <c r="A14452">
        <v>102310</v>
      </c>
      <c r="B14452" t="s">
        <v>7097</v>
      </c>
      <c r="C14452" t="s">
        <v>1159</v>
      </c>
      <c r="D14452" s="254">
        <v>12.51</v>
      </c>
      <c r="E14452"/>
      <c r="F14452"/>
      <c r="G14452"/>
      <c r="H14452"/>
      <c r="I14452" s="489"/>
      <c r="J14452" s="1362"/>
      <c r="K14452" s="1362"/>
      <c r="L14452" s="1362"/>
    </row>
    <row r="14453" spans="1:12" x14ac:dyDescent="0.25">
      <c r="A14453">
        <v>102311</v>
      </c>
      <c r="B14453" t="s">
        <v>7098</v>
      </c>
      <c r="C14453" t="s">
        <v>1159</v>
      </c>
      <c r="D14453" s="254">
        <v>12.33</v>
      </c>
      <c r="E14453"/>
      <c r="F14453"/>
      <c r="G14453"/>
      <c r="H14453"/>
      <c r="I14453" s="489"/>
      <c r="J14453" s="1362"/>
      <c r="K14453" s="1362"/>
      <c r="L14453" s="1362"/>
    </row>
    <row r="14454" spans="1:12" x14ac:dyDescent="0.25">
      <c r="A14454">
        <v>102312</v>
      </c>
      <c r="B14454" t="s">
        <v>7099</v>
      </c>
      <c r="C14454" t="s">
        <v>1159</v>
      </c>
      <c r="D14454" s="254">
        <v>11.85</v>
      </c>
      <c r="E14454"/>
      <c r="F14454"/>
      <c r="G14454"/>
      <c r="H14454"/>
      <c r="I14454" s="489"/>
      <c r="J14454" s="1362"/>
      <c r="K14454" s="1362"/>
      <c r="L14454" s="1362"/>
    </row>
    <row r="14455" spans="1:12" x14ac:dyDescent="0.25">
      <c r="A14455">
        <v>102313</v>
      </c>
      <c r="B14455" t="s">
        <v>7100</v>
      </c>
      <c r="C14455" t="s">
        <v>1159</v>
      </c>
      <c r="D14455" s="254">
        <v>11.58</v>
      </c>
      <c r="E14455"/>
      <c r="F14455"/>
      <c r="G14455"/>
      <c r="H14455"/>
      <c r="I14455" s="489"/>
      <c r="J14455" s="1362"/>
      <c r="K14455" s="1362"/>
      <c r="L14455" s="1362"/>
    </row>
    <row r="14456" spans="1:12" x14ac:dyDescent="0.25">
      <c r="A14456">
        <v>102314</v>
      </c>
      <c r="B14456" t="s">
        <v>7101</v>
      </c>
      <c r="C14456" t="s">
        <v>1159</v>
      </c>
      <c r="D14456" s="254">
        <v>8.73</v>
      </c>
      <c r="E14456"/>
      <c r="F14456"/>
      <c r="G14456"/>
      <c r="H14456"/>
      <c r="I14456" s="489"/>
      <c r="J14456" s="1362"/>
      <c r="K14456" s="1362"/>
      <c r="L14456" s="1362"/>
    </row>
    <row r="14457" spans="1:12" x14ac:dyDescent="0.25">
      <c r="A14457">
        <v>102315</v>
      </c>
      <c r="B14457" t="s">
        <v>7102</v>
      </c>
      <c r="C14457" t="s">
        <v>1159</v>
      </c>
      <c r="D14457" s="254">
        <v>7.75</v>
      </c>
      <c r="E14457"/>
      <c r="F14457"/>
      <c r="G14457"/>
      <c r="H14457"/>
      <c r="I14457" s="489"/>
      <c r="J14457" s="1362"/>
      <c r="K14457" s="1362"/>
      <c r="L14457" s="1362"/>
    </row>
    <row r="14458" spans="1:12" x14ac:dyDescent="0.25">
      <c r="A14458">
        <v>102316</v>
      </c>
      <c r="B14458" t="s">
        <v>7103</v>
      </c>
      <c r="C14458" t="s">
        <v>1159</v>
      </c>
      <c r="D14458" s="254">
        <v>7.51</v>
      </c>
      <c r="E14458"/>
      <c r="F14458"/>
      <c r="G14458"/>
      <c r="H14458"/>
      <c r="I14458" s="489"/>
      <c r="J14458" s="1362"/>
      <c r="K14458" s="1362"/>
      <c r="L14458" s="1362"/>
    </row>
    <row r="14459" spans="1:12" x14ac:dyDescent="0.25">
      <c r="A14459">
        <v>102317</v>
      </c>
      <c r="B14459" t="s">
        <v>7104</v>
      </c>
      <c r="C14459" t="s">
        <v>1159</v>
      </c>
      <c r="D14459" s="254">
        <v>7.09</v>
      </c>
      <c r="E14459"/>
      <c r="F14459"/>
      <c r="G14459"/>
      <c r="H14459"/>
      <c r="I14459" s="489"/>
      <c r="J14459" s="1362"/>
      <c r="K14459" s="1362"/>
      <c r="L14459" s="1362"/>
    </row>
    <row r="14460" spans="1:12" x14ac:dyDescent="0.25">
      <c r="A14460">
        <v>102318</v>
      </c>
      <c r="B14460" t="s">
        <v>7105</v>
      </c>
      <c r="C14460" t="s">
        <v>1159</v>
      </c>
      <c r="D14460" s="254">
        <v>6.91</v>
      </c>
      <c r="E14460"/>
      <c r="F14460"/>
      <c r="G14460"/>
      <c r="H14460"/>
      <c r="I14460" s="489"/>
      <c r="J14460" s="1362"/>
      <c r="K14460" s="1362"/>
      <c r="L14460" s="1362"/>
    </row>
    <row r="14461" spans="1:12" x14ac:dyDescent="0.25">
      <c r="A14461">
        <v>102319</v>
      </c>
      <c r="B14461" t="s">
        <v>7106</v>
      </c>
      <c r="C14461" t="s">
        <v>1159</v>
      </c>
      <c r="D14461" s="254">
        <v>6.8</v>
      </c>
      <c r="E14461"/>
      <c r="F14461"/>
      <c r="G14461"/>
      <c r="H14461"/>
      <c r="I14461" s="489"/>
      <c r="J14461" s="1362"/>
      <c r="K14461" s="1362"/>
      <c r="L14461" s="1362"/>
    </row>
    <row r="14462" spans="1:12" x14ac:dyDescent="0.25">
      <c r="A14462">
        <v>102320</v>
      </c>
      <c r="B14462" t="s">
        <v>7107</v>
      </c>
      <c r="C14462" t="s">
        <v>1159</v>
      </c>
      <c r="D14462" s="254">
        <v>6.53</v>
      </c>
      <c r="E14462"/>
      <c r="F14462"/>
      <c r="G14462"/>
      <c r="H14462"/>
      <c r="I14462" s="489"/>
      <c r="J14462" s="1362"/>
      <c r="K14462" s="1362"/>
      <c r="L14462" s="1362"/>
    </row>
    <row r="14463" spans="1:12" x14ac:dyDescent="0.25">
      <c r="A14463">
        <v>102321</v>
      </c>
      <c r="B14463" t="s">
        <v>7108</v>
      </c>
      <c r="C14463" t="s">
        <v>1159</v>
      </c>
      <c r="D14463" s="254">
        <v>6.39</v>
      </c>
      <c r="E14463"/>
      <c r="F14463"/>
      <c r="G14463"/>
      <c r="H14463"/>
      <c r="I14463" s="489"/>
      <c r="J14463" s="1362"/>
      <c r="K14463" s="1362"/>
      <c r="L14463" s="1362"/>
    </row>
    <row r="14464" spans="1:12" x14ac:dyDescent="0.25">
      <c r="A14464">
        <v>102322</v>
      </c>
      <c r="B14464" t="s">
        <v>7109</v>
      </c>
      <c r="C14464" t="s">
        <v>1159</v>
      </c>
      <c r="D14464" s="254">
        <v>19.43</v>
      </c>
      <c r="E14464"/>
      <c r="F14464"/>
      <c r="G14464"/>
      <c r="H14464"/>
      <c r="I14464" s="489"/>
      <c r="J14464" s="1362"/>
      <c r="K14464" s="1362"/>
      <c r="L14464" s="1362"/>
    </row>
    <row r="14465" spans="1:12" x14ac:dyDescent="0.25">
      <c r="A14465">
        <v>102323</v>
      </c>
      <c r="B14465" t="s">
        <v>7110</v>
      </c>
      <c r="C14465" t="s">
        <v>1159</v>
      </c>
      <c r="D14465" s="254">
        <v>16.489999999999998</v>
      </c>
      <c r="E14465"/>
      <c r="F14465"/>
      <c r="G14465"/>
      <c r="H14465"/>
      <c r="I14465" s="489"/>
      <c r="J14465" s="1362"/>
      <c r="K14465" s="1362"/>
      <c r="L14465" s="1362"/>
    </row>
    <row r="14466" spans="1:12" x14ac:dyDescent="0.25">
      <c r="A14466">
        <v>102324</v>
      </c>
      <c r="B14466" t="s">
        <v>7111</v>
      </c>
      <c r="C14466" t="s">
        <v>1159</v>
      </c>
      <c r="D14466" s="254">
        <v>16.29</v>
      </c>
      <c r="E14466"/>
      <c r="F14466"/>
      <c r="G14466"/>
      <c r="H14466"/>
      <c r="I14466" s="489"/>
      <c r="J14466" s="1362"/>
      <c r="K14466" s="1362"/>
      <c r="L14466" s="1362"/>
    </row>
    <row r="14467" spans="1:12" x14ac:dyDescent="0.25">
      <c r="A14467">
        <v>102325</v>
      </c>
      <c r="B14467" t="s">
        <v>7112</v>
      </c>
      <c r="C14467" t="s">
        <v>1159</v>
      </c>
      <c r="D14467" s="254">
        <v>14.82</v>
      </c>
      <c r="E14467"/>
      <c r="F14467"/>
      <c r="G14467"/>
      <c r="H14467"/>
      <c r="I14467" s="489"/>
      <c r="J14467" s="1362"/>
      <c r="K14467" s="1362"/>
      <c r="L14467" s="1362"/>
    </row>
    <row r="14468" spans="1:12" x14ac:dyDescent="0.25">
      <c r="A14468">
        <v>102326</v>
      </c>
      <c r="B14468" t="s">
        <v>7113</v>
      </c>
      <c r="C14468" t="s">
        <v>1159</v>
      </c>
      <c r="D14468" s="254">
        <v>10.72</v>
      </c>
      <c r="E14468"/>
      <c r="F14468"/>
      <c r="G14468"/>
      <c r="H14468"/>
      <c r="I14468" s="489"/>
      <c r="J14468" s="1362"/>
      <c r="K14468" s="1362"/>
      <c r="L14468" s="1362"/>
    </row>
    <row r="14469" spans="1:12" x14ac:dyDescent="0.25">
      <c r="A14469">
        <v>102327</v>
      </c>
      <c r="B14469" t="s">
        <v>7114</v>
      </c>
      <c r="C14469" t="s">
        <v>1159</v>
      </c>
      <c r="D14469" s="254">
        <v>9.11</v>
      </c>
      <c r="E14469"/>
      <c r="F14469"/>
      <c r="G14469"/>
      <c r="H14469"/>
      <c r="I14469" s="489"/>
      <c r="J14469" s="1362"/>
      <c r="K14469" s="1362"/>
      <c r="L14469" s="1362"/>
    </row>
    <row r="14470" spans="1:12" x14ac:dyDescent="0.25">
      <c r="A14470">
        <v>102328</v>
      </c>
      <c r="B14470" t="s">
        <v>7115</v>
      </c>
      <c r="C14470" t="s">
        <v>1159</v>
      </c>
      <c r="D14470" s="254">
        <v>8.99</v>
      </c>
      <c r="E14470"/>
      <c r="F14470"/>
      <c r="G14470"/>
      <c r="H14470"/>
      <c r="I14470" s="489"/>
      <c r="J14470" s="1362"/>
      <c r="K14470" s="1362"/>
      <c r="L14470" s="1362"/>
    </row>
    <row r="14471" spans="1:12" x14ac:dyDescent="0.25">
      <c r="A14471">
        <v>102329</v>
      </c>
      <c r="B14471" t="s">
        <v>7116</v>
      </c>
      <c r="C14471" t="s">
        <v>1159</v>
      </c>
      <c r="D14471" s="254">
        <v>8.18</v>
      </c>
      <c r="E14471"/>
      <c r="F14471"/>
      <c r="G14471"/>
      <c r="H14471"/>
      <c r="I14471" s="489"/>
      <c r="J14471" s="1362"/>
      <c r="K14471" s="1362"/>
      <c r="L14471" s="1362"/>
    </row>
    <row r="14472" spans="1:12" x14ac:dyDescent="0.25">
      <c r="A14472">
        <v>94304</v>
      </c>
      <c r="B14472" t="s">
        <v>1906</v>
      </c>
      <c r="C14472" t="s">
        <v>1159</v>
      </c>
      <c r="D14472" s="254">
        <v>91.23</v>
      </c>
      <c r="E14472"/>
      <c r="F14472"/>
      <c r="G14472"/>
      <c r="H14472"/>
      <c r="I14472" s="489"/>
      <c r="J14472" s="1362"/>
      <c r="K14472" s="1362"/>
      <c r="L14472" s="1362"/>
    </row>
    <row r="14473" spans="1:12" x14ac:dyDescent="0.25">
      <c r="A14473">
        <v>94305</v>
      </c>
      <c r="B14473" t="s">
        <v>1907</v>
      </c>
      <c r="C14473" t="s">
        <v>1159</v>
      </c>
      <c r="D14473" s="254">
        <v>87.29</v>
      </c>
      <c r="E14473"/>
      <c r="F14473"/>
      <c r="G14473"/>
      <c r="H14473"/>
      <c r="I14473" s="489"/>
      <c r="J14473" s="1362"/>
      <c r="K14473" s="1362"/>
      <c r="L14473" s="1362"/>
    </row>
    <row r="14474" spans="1:12" x14ac:dyDescent="0.25">
      <c r="A14474">
        <v>94306</v>
      </c>
      <c r="B14474" t="s">
        <v>1908</v>
      </c>
      <c r="C14474" t="s">
        <v>1159</v>
      </c>
      <c r="D14474" s="254">
        <v>82.32</v>
      </c>
      <c r="E14474"/>
      <c r="F14474"/>
      <c r="G14474"/>
      <c r="H14474"/>
      <c r="I14474" s="489"/>
      <c r="J14474" s="1362"/>
      <c r="K14474" s="1362"/>
      <c r="L14474" s="1362"/>
    </row>
    <row r="14475" spans="1:12" x14ac:dyDescent="0.25">
      <c r="A14475">
        <v>94307</v>
      </c>
      <c r="B14475" t="s">
        <v>1909</v>
      </c>
      <c r="C14475" t="s">
        <v>1159</v>
      </c>
      <c r="D14475" s="254">
        <v>83.46</v>
      </c>
      <c r="E14475"/>
      <c r="F14475"/>
      <c r="G14475"/>
      <c r="H14475"/>
      <c r="I14475" s="489"/>
      <c r="J14475" s="1362"/>
      <c r="K14475" s="1362"/>
      <c r="L14475" s="1362"/>
    </row>
    <row r="14476" spans="1:12" x14ac:dyDescent="0.25">
      <c r="A14476">
        <v>94308</v>
      </c>
      <c r="B14476" t="s">
        <v>1910</v>
      </c>
      <c r="C14476" t="s">
        <v>1159</v>
      </c>
      <c r="D14476" s="254">
        <v>80.39</v>
      </c>
      <c r="E14476"/>
      <c r="F14476"/>
      <c r="G14476"/>
      <c r="H14476"/>
      <c r="I14476" s="489"/>
      <c r="J14476" s="1362"/>
      <c r="K14476" s="1362"/>
      <c r="L14476" s="1362"/>
    </row>
    <row r="14477" spans="1:12" x14ac:dyDescent="0.25">
      <c r="A14477">
        <v>94309</v>
      </c>
      <c r="B14477" t="s">
        <v>1911</v>
      </c>
      <c r="C14477" t="s">
        <v>1159</v>
      </c>
      <c r="D14477" s="254">
        <v>81.790000000000006</v>
      </c>
      <c r="E14477"/>
      <c r="F14477"/>
      <c r="G14477"/>
      <c r="H14477"/>
      <c r="I14477" s="489"/>
      <c r="J14477" s="1362"/>
      <c r="K14477" s="1362"/>
      <c r="L14477" s="1362"/>
    </row>
    <row r="14478" spans="1:12" x14ac:dyDescent="0.25">
      <c r="A14478">
        <v>94310</v>
      </c>
      <c r="B14478" t="s">
        <v>1912</v>
      </c>
      <c r="C14478" t="s">
        <v>1159</v>
      </c>
      <c r="D14478" s="254">
        <v>79.400000000000006</v>
      </c>
      <c r="E14478"/>
      <c r="F14478"/>
      <c r="G14478"/>
      <c r="H14478"/>
      <c r="I14478" s="489"/>
      <c r="J14478" s="1362"/>
      <c r="K14478" s="1362"/>
      <c r="L14478" s="1362"/>
    </row>
    <row r="14479" spans="1:12" x14ac:dyDescent="0.25">
      <c r="A14479">
        <v>94315</v>
      </c>
      <c r="B14479" t="s">
        <v>1913</v>
      </c>
      <c r="C14479" t="s">
        <v>1159</v>
      </c>
      <c r="D14479" s="254">
        <v>98.35</v>
      </c>
      <c r="E14479"/>
      <c r="F14479"/>
      <c r="G14479"/>
      <c r="H14479"/>
      <c r="I14479" s="489"/>
      <c r="J14479" s="1362"/>
      <c r="K14479" s="1362"/>
      <c r="L14479" s="1362"/>
    </row>
    <row r="14480" spans="1:12" x14ac:dyDescent="0.25">
      <c r="A14480">
        <v>94316</v>
      </c>
      <c r="B14480" t="s">
        <v>1914</v>
      </c>
      <c r="C14480" t="s">
        <v>1159</v>
      </c>
      <c r="D14480" s="254">
        <v>89.43</v>
      </c>
      <c r="E14480"/>
      <c r="F14480"/>
      <c r="G14480"/>
      <c r="H14480"/>
      <c r="I14480" s="489"/>
      <c r="J14480" s="1362"/>
      <c r="K14480" s="1362"/>
      <c r="L14480" s="1362"/>
    </row>
    <row r="14481" spans="1:12" x14ac:dyDescent="0.25">
      <c r="A14481">
        <v>94317</v>
      </c>
      <c r="B14481" t="s">
        <v>1915</v>
      </c>
      <c r="C14481" t="s">
        <v>1159</v>
      </c>
      <c r="D14481" s="254">
        <v>85.48</v>
      </c>
      <c r="E14481"/>
      <c r="F14481"/>
      <c r="G14481"/>
      <c r="H14481"/>
      <c r="I14481" s="489"/>
      <c r="J14481" s="1362"/>
      <c r="K14481" s="1362"/>
      <c r="L14481" s="1362"/>
    </row>
    <row r="14482" spans="1:12" x14ac:dyDescent="0.25">
      <c r="A14482">
        <v>94318</v>
      </c>
      <c r="B14482" t="s">
        <v>1916</v>
      </c>
      <c r="C14482" t="s">
        <v>1159</v>
      </c>
      <c r="D14482" s="254">
        <v>80.38</v>
      </c>
      <c r="E14482"/>
      <c r="F14482"/>
      <c r="G14482"/>
      <c r="H14482"/>
      <c r="I14482" s="489"/>
      <c r="J14482" s="1362"/>
      <c r="K14482" s="1362"/>
      <c r="L14482" s="1362"/>
    </row>
    <row r="14483" spans="1:12" x14ac:dyDescent="0.25">
      <c r="A14483">
        <v>94319</v>
      </c>
      <c r="B14483" t="s">
        <v>1917</v>
      </c>
      <c r="C14483" t="s">
        <v>1159</v>
      </c>
      <c r="D14483" s="254">
        <v>101.78</v>
      </c>
      <c r="E14483"/>
      <c r="F14483"/>
      <c r="G14483"/>
      <c r="H14483"/>
      <c r="I14483" s="489"/>
      <c r="J14483" s="1362"/>
      <c r="K14483" s="1362"/>
      <c r="L14483" s="1362"/>
    </row>
    <row r="14484" spans="1:12" x14ac:dyDescent="0.25">
      <c r="A14484">
        <v>94327</v>
      </c>
      <c r="B14484" t="s">
        <v>1918</v>
      </c>
      <c r="C14484" t="s">
        <v>1159</v>
      </c>
      <c r="D14484" s="254">
        <v>115</v>
      </c>
      <c r="E14484"/>
      <c r="F14484"/>
      <c r="G14484"/>
      <c r="H14484"/>
      <c r="I14484" s="489"/>
      <c r="J14484" s="1362"/>
      <c r="K14484" s="1362"/>
      <c r="L14484" s="1362"/>
    </row>
    <row r="14485" spans="1:12" x14ac:dyDescent="0.25">
      <c r="A14485">
        <v>94328</v>
      </c>
      <c r="B14485" t="s">
        <v>1919</v>
      </c>
      <c r="C14485" t="s">
        <v>1159</v>
      </c>
      <c r="D14485" s="254">
        <v>111.06</v>
      </c>
      <c r="E14485"/>
      <c r="F14485"/>
      <c r="G14485"/>
      <c r="H14485"/>
      <c r="I14485" s="489"/>
      <c r="J14485" s="1362"/>
      <c r="K14485" s="1362"/>
      <c r="L14485" s="1362"/>
    </row>
    <row r="14486" spans="1:12" x14ac:dyDescent="0.25">
      <c r="A14486">
        <v>94329</v>
      </c>
      <c r="B14486" t="s">
        <v>1920</v>
      </c>
      <c r="C14486" t="s">
        <v>1159</v>
      </c>
      <c r="D14486" s="254">
        <v>106.09</v>
      </c>
      <c r="E14486"/>
      <c r="F14486"/>
      <c r="G14486"/>
      <c r="H14486"/>
      <c r="I14486" s="489"/>
      <c r="J14486" s="1362"/>
      <c r="K14486" s="1362"/>
      <c r="L14486" s="1362"/>
    </row>
    <row r="14487" spans="1:12" x14ac:dyDescent="0.25">
      <c r="A14487">
        <v>94330</v>
      </c>
      <c r="B14487" t="s">
        <v>1921</v>
      </c>
      <c r="C14487" t="s">
        <v>1159</v>
      </c>
      <c r="D14487" s="254">
        <v>107.23</v>
      </c>
      <c r="E14487"/>
      <c r="F14487"/>
      <c r="G14487"/>
      <c r="H14487"/>
      <c r="I14487" s="489"/>
      <c r="J14487" s="1362"/>
      <c r="K14487" s="1362"/>
      <c r="L14487" s="1362"/>
    </row>
    <row r="14488" spans="1:12" x14ac:dyDescent="0.25">
      <c r="A14488">
        <v>94331</v>
      </c>
      <c r="B14488" t="s">
        <v>1922</v>
      </c>
      <c r="C14488" t="s">
        <v>1159</v>
      </c>
      <c r="D14488" s="254">
        <v>104.16</v>
      </c>
      <c r="E14488"/>
      <c r="F14488"/>
      <c r="G14488"/>
      <c r="H14488"/>
      <c r="I14488" s="489"/>
      <c r="J14488" s="1362"/>
      <c r="K14488" s="1362"/>
      <c r="L14488" s="1362"/>
    </row>
    <row r="14489" spans="1:12" x14ac:dyDescent="0.25">
      <c r="A14489">
        <v>94332</v>
      </c>
      <c r="B14489" t="s">
        <v>1923</v>
      </c>
      <c r="C14489" t="s">
        <v>1159</v>
      </c>
      <c r="D14489" s="254">
        <v>105.56</v>
      </c>
      <c r="E14489"/>
      <c r="F14489"/>
      <c r="G14489"/>
      <c r="H14489"/>
      <c r="I14489" s="489"/>
      <c r="J14489" s="1362"/>
      <c r="K14489" s="1362"/>
      <c r="L14489" s="1362"/>
    </row>
    <row r="14490" spans="1:12" x14ac:dyDescent="0.25">
      <c r="A14490">
        <v>94333</v>
      </c>
      <c r="B14490" t="s">
        <v>1924</v>
      </c>
      <c r="C14490" t="s">
        <v>1159</v>
      </c>
      <c r="D14490" s="254">
        <v>103.17</v>
      </c>
      <c r="E14490"/>
      <c r="F14490"/>
      <c r="G14490"/>
      <c r="H14490"/>
      <c r="I14490" s="489"/>
      <c r="J14490" s="1362"/>
      <c r="K14490" s="1362"/>
      <c r="L14490" s="1362"/>
    </row>
    <row r="14491" spans="1:12" x14ac:dyDescent="0.25">
      <c r="A14491">
        <v>94338</v>
      </c>
      <c r="B14491" t="s">
        <v>1925</v>
      </c>
      <c r="C14491" t="s">
        <v>1159</v>
      </c>
      <c r="D14491" s="254">
        <v>122.12</v>
      </c>
      <c r="E14491"/>
      <c r="F14491"/>
      <c r="G14491"/>
      <c r="H14491"/>
      <c r="I14491" s="489"/>
      <c r="J14491" s="1362"/>
      <c r="K14491" s="1362"/>
      <c r="L14491" s="1362"/>
    </row>
    <row r="14492" spans="1:12" x14ac:dyDescent="0.25">
      <c r="A14492">
        <v>94339</v>
      </c>
      <c r="B14492" t="s">
        <v>1926</v>
      </c>
      <c r="C14492" t="s">
        <v>1159</v>
      </c>
      <c r="D14492" s="254">
        <v>113.2</v>
      </c>
      <c r="E14492"/>
      <c r="F14492"/>
      <c r="G14492"/>
      <c r="H14492"/>
      <c r="I14492" s="489"/>
      <c r="J14492" s="1362"/>
      <c r="K14492" s="1362"/>
      <c r="L14492" s="1362"/>
    </row>
    <row r="14493" spans="1:12" x14ac:dyDescent="0.25">
      <c r="A14493">
        <v>94340</v>
      </c>
      <c r="B14493" t="s">
        <v>1927</v>
      </c>
      <c r="C14493" t="s">
        <v>1159</v>
      </c>
      <c r="D14493" s="254">
        <v>109.25</v>
      </c>
      <c r="E14493"/>
      <c r="F14493"/>
      <c r="G14493"/>
      <c r="H14493"/>
      <c r="I14493" s="489"/>
      <c r="J14493" s="1362"/>
      <c r="K14493" s="1362"/>
      <c r="L14493" s="1362"/>
    </row>
    <row r="14494" spans="1:12" x14ac:dyDescent="0.25">
      <c r="A14494">
        <v>94341</v>
      </c>
      <c r="B14494" t="s">
        <v>1928</v>
      </c>
      <c r="C14494" t="s">
        <v>1159</v>
      </c>
      <c r="D14494" s="254">
        <v>104.15</v>
      </c>
      <c r="E14494"/>
      <c r="F14494"/>
      <c r="G14494"/>
      <c r="H14494"/>
      <c r="I14494" s="489"/>
      <c r="J14494" s="1362"/>
      <c r="K14494" s="1362"/>
      <c r="L14494" s="1362"/>
    </row>
    <row r="14495" spans="1:12" x14ac:dyDescent="0.25">
      <c r="A14495">
        <v>94342</v>
      </c>
      <c r="B14495" t="s">
        <v>1929</v>
      </c>
      <c r="C14495" t="s">
        <v>1159</v>
      </c>
      <c r="D14495" s="254">
        <v>125.55</v>
      </c>
      <c r="E14495"/>
      <c r="F14495"/>
      <c r="G14495"/>
      <c r="H14495"/>
      <c r="I14495" s="489"/>
      <c r="J14495" s="1362"/>
      <c r="K14495" s="1362"/>
      <c r="L14495" s="1362"/>
    </row>
    <row r="14496" spans="1:12" x14ac:dyDescent="0.25">
      <c r="A14496">
        <v>96385</v>
      </c>
      <c r="B14496" t="s">
        <v>3718</v>
      </c>
      <c r="C14496" t="s">
        <v>1159</v>
      </c>
      <c r="D14496" s="254">
        <v>10.75</v>
      </c>
      <c r="E14496"/>
      <c r="F14496"/>
      <c r="G14496"/>
      <c r="H14496"/>
      <c r="I14496" s="489"/>
      <c r="J14496" s="1362"/>
      <c r="K14496" s="1362"/>
      <c r="L14496" s="1362"/>
    </row>
    <row r="14497" spans="1:12" x14ac:dyDescent="0.25">
      <c r="A14497">
        <v>96386</v>
      </c>
      <c r="B14497" t="s">
        <v>3719</v>
      </c>
      <c r="C14497" t="s">
        <v>1159</v>
      </c>
      <c r="D14497" s="254">
        <v>7.68</v>
      </c>
      <c r="E14497"/>
      <c r="F14497"/>
      <c r="G14497"/>
      <c r="H14497"/>
      <c r="I14497" s="489"/>
      <c r="J14497" s="1362"/>
      <c r="K14497" s="1362"/>
      <c r="L14497" s="1362"/>
    </row>
    <row r="14498" spans="1:12" x14ac:dyDescent="0.25">
      <c r="A14498">
        <v>93360</v>
      </c>
      <c r="B14498" t="s">
        <v>3148</v>
      </c>
      <c r="C14498" t="s">
        <v>1159</v>
      </c>
      <c r="D14498" s="254">
        <v>22.7</v>
      </c>
      <c r="E14498"/>
      <c r="F14498"/>
      <c r="G14498"/>
      <c r="H14498"/>
      <c r="I14498" s="489"/>
      <c r="J14498" s="1362"/>
      <c r="K14498" s="1362"/>
      <c r="L14498" s="1362"/>
    </row>
    <row r="14499" spans="1:12" x14ac:dyDescent="0.25">
      <c r="A14499">
        <v>93361</v>
      </c>
      <c r="B14499" t="s">
        <v>3149</v>
      </c>
      <c r="C14499" t="s">
        <v>1159</v>
      </c>
      <c r="D14499" s="254">
        <v>18.91</v>
      </c>
      <c r="E14499"/>
      <c r="F14499"/>
      <c r="G14499"/>
      <c r="H14499"/>
      <c r="I14499" s="489"/>
      <c r="J14499" s="1362"/>
      <c r="K14499" s="1362"/>
      <c r="L14499" s="1362"/>
    </row>
    <row r="14500" spans="1:12" x14ac:dyDescent="0.25">
      <c r="A14500">
        <v>93362</v>
      </c>
      <c r="B14500" t="s">
        <v>3150</v>
      </c>
      <c r="C14500" t="s">
        <v>1159</v>
      </c>
      <c r="D14500" s="254">
        <v>13.82</v>
      </c>
      <c r="E14500"/>
      <c r="F14500"/>
      <c r="G14500"/>
      <c r="H14500"/>
      <c r="I14500" s="489"/>
      <c r="J14500" s="1362"/>
      <c r="K14500" s="1362"/>
      <c r="L14500" s="1362"/>
    </row>
    <row r="14501" spans="1:12" x14ac:dyDescent="0.25">
      <c r="A14501">
        <v>93363</v>
      </c>
      <c r="B14501" t="s">
        <v>3151</v>
      </c>
      <c r="C14501" t="s">
        <v>1159</v>
      </c>
      <c r="D14501" s="254">
        <v>14.95</v>
      </c>
      <c r="E14501"/>
      <c r="F14501"/>
      <c r="G14501"/>
      <c r="H14501"/>
      <c r="I14501" s="489"/>
      <c r="J14501" s="1362"/>
      <c r="K14501" s="1362"/>
      <c r="L14501" s="1362"/>
    </row>
    <row r="14502" spans="1:12" x14ac:dyDescent="0.25">
      <c r="A14502">
        <v>93364</v>
      </c>
      <c r="B14502" t="s">
        <v>1930</v>
      </c>
      <c r="C14502" t="s">
        <v>1159</v>
      </c>
      <c r="D14502" s="254">
        <v>11.87</v>
      </c>
      <c r="E14502"/>
      <c r="F14502"/>
      <c r="G14502"/>
      <c r="H14502"/>
      <c r="I14502" s="489"/>
      <c r="J14502" s="1362"/>
      <c r="K14502" s="1362"/>
      <c r="L14502" s="1362"/>
    </row>
    <row r="14503" spans="1:12" x14ac:dyDescent="0.25">
      <c r="A14503">
        <v>93365</v>
      </c>
      <c r="B14503" t="s">
        <v>3152</v>
      </c>
      <c r="C14503" t="s">
        <v>1159</v>
      </c>
      <c r="D14503" s="254">
        <v>13.2</v>
      </c>
      <c r="E14503"/>
      <c r="F14503"/>
      <c r="G14503"/>
      <c r="H14503"/>
      <c r="I14503" s="489"/>
      <c r="J14503" s="1362"/>
      <c r="K14503" s="1362"/>
      <c r="L14503" s="1362"/>
    </row>
    <row r="14504" spans="1:12" x14ac:dyDescent="0.25">
      <c r="A14504">
        <v>93366</v>
      </c>
      <c r="B14504" t="s">
        <v>3153</v>
      </c>
      <c r="C14504" t="s">
        <v>1159</v>
      </c>
      <c r="D14504" s="254">
        <v>10.91</v>
      </c>
      <c r="E14504"/>
      <c r="F14504"/>
      <c r="G14504"/>
      <c r="H14504"/>
      <c r="I14504" s="489"/>
      <c r="J14504" s="1362"/>
      <c r="K14504" s="1362"/>
      <c r="L14504" s="1362"/>
    </row>
    <row r="14505" spans="1:12" x14ac:dyDescent="0.25">
      <c r="A14505">
        <v>93367</v>
      </c>
      <c r="B14505" t="s">
        <v>3154</v>
      </c>
      <c r="C14505" t="s">
        <v>1159</v>
      </c>
      <c r="D14505" s="254">
        <v>21.22</v>
      </c>
      <c r="E14505"/>
      <c r="F14505"/>
      <c r="G14505"/>
      <c r="H14505"/>
      <c r="I14505" s="489"/>
      <c r="J14505" s="1362"/>
      <c r="K14505" s="1362"/>
      <c r="L14505" s="1362"/>
    </row>
    <row r="14506" spans="1:12" x14ac:dyDescent="0.25">
      <c r="A14506">
        <v>93368</v>
      </c>
      <c r="B14506" t="s">
        <v>3155</v>
      </c>
      <c r="C14506" t="s">
        <v>1159</v>
      </c>
      <c r="D14506" s="254">
        <v>17.3</v>
      </c>
      <c r="E14506"/>
      <c r="F14506"/>
      <c r="G14506"/>
      <c r="H14506"/>
      <c r="I14506" s="489"/>
      <c r="J14506" s="1362"/>
      <c r="K14506" s="1362"/>
      <c r="L14506" s="1362"/>
    </row>
    <row r="14507" spans="1:12" x14ac:dyDescent="0.25">
      <c r="A14507">
        <v>93369</v>
      </c>
      <c r="B14507" t="s">
        <v>1931</v>
      </c>
      <c r="C14507" t="s">
        <v>1159</v>
      </c>
      <c r="D14507" s="254">
        <v>12.33</v>
      </c>
      <c r="E14507"/>
      <c r="F14507"/>
      <c r="G14507"/>
      <c r="H14507"/>
      <c r="I14507" s="489"/>
      <c r="J14507" s="1362"/>
      <c r="K14507" s="1362"/>
      <c r="L14507" s="1362"/>
    </row>
    <row r="14508" spans="1:12" x14ac:dyDescent="0.25">
      <c r="A14508">
        <v>93370</v>
      </c>
      <c r="B14508" t="s">
        <v>3156</v>
      </c>
      <c r="C14508" t="s">
        <v>1159</v>
      </c>
      <c r="D14508" s="254">
        <v>13.48</v>
      </c>
      <c r="E14508"/>
      <c r="F14508"/>
      <c r="G14508"/>
      <c r="H14508"/>
      <c r="I14508" s="489"/>
      <c r="J14508" s="1362"/>
      <c r="K14508" s="1362"/>
      <c r="L14508" s="1362"/>
    </row>
    <row r="14509" spans="1:12" x14ac:dyDescent="0.25">
      <c r="A14509">
        <v>93371</v>
      </c>
      <c r="B14509" t="s">
        <v>1932</v>
      </c>
      <c r="C14509" t="s">
        <v>1159</v>
      </c>
      <c r="D14509" s="254">
        <v>10.4</v>
      </c>
      <c r="E14509"/>
      <c r="F14509"/>
      <c r="G14509"/>
      <c r="H14509"/>
      <c r="I14509" s="489"/>
      <c r="J14509" s="1362"/>
      <c r="K14509" s="1362"/>
      <c r="L14509" s="1362"/>
    </row>
    <row r="14510" spans="1:12" x14ac:dyDescent="0.25">
      <c r="A14510">
        <v>93372</v>
      </c>
      <c r="B14510" t="s">
        <v>3157</v>
      </c>
      <c r="C14510" t="s">
        <v>1159</v>
      </c>
      <c r="D14510" s="254">
        <v>11.8</v>
      </c>
      <c r="E14510"/>
      <c r="F14510"/>
      <c r="G14510"/>
      <c r="H14510"/>
      <c r="I14510" s="489"/>
      <c r="J14510" s="1362"/>
      <c r="K14510" s="1362"/>
      <c r="L14510" s="1362"/>
    </row>
    <row r="14511" spans="1:12" x14ac:dyDescent="0.25">
      <c r="A14511">
        <v>93373</v>
      </c>
      <c r="B14511" t="s">
        <v>1933</v>
      </c>
      <c r="C14511" t="s">
        <v>1159</v>
      </c>
      <c r="D14511" s="254">
        <v>9.44</v>
      </c>
      <c r="E14511"/>
      <c r="F14511"/>
      <c r="G14511"/>
      <c r="H14511"/>
      <c r="I14511" s="489"/>
      <c r="J14511" s="1362"/>
      <c r="K14511" s="1362"/>
      <c r="L14511" s="1362"/>
    </row>
    <row r="14512" spans="1:12" x14ac:dyDescent="0.25">
      <c r="A14512">
        <v>93374</v>
      </c>
      <c r="B14512" t="s">
        <v>1934</v>
      </c>
      <c r="C14512" t="s">
        <v>1159</v>
      </c>
      <c r="D14512" s="254">
        <v>26</v>
      </c>
      <c r="E14512"/>
      <c r="F14512"/>
      <c r="G14512"/>
      <c r="H14512"/>
      <c r="I14512" s="489"/>
      <c r="J14512" s="1362"/>
      <c r="K14512" s="1362"/>
      <c r="L14512" s="1362"/>
    </row>
    <row r="14513" spans="1:12" x14ac:dyDescent="0.25">
      <c r="A14513">
        <v>93375</v>
      </c>
      <c r="B14513" t="s">
        <v>3158</v>
      </c>
      <c r="C14513" t="s">
        <v>1159</v>
      </c>
      <c r="D14513" s="254">
        <v>20.07</v>
      </c>
      <c r="E14513"/>
      <c r="F14513"/>
      <c r="G14513"/>
      <c r="H14513"/>
      <c r="I14513" s="489"/>
      <c r="J14513" s="1362"/>
      <c r="K14513" s="1362"/>
      <c r="L14513" s="1362"/>
    </row>
    <row r="14514" spans="1:12" x14ac:dyDescent="0.25">
      <c r="A14514">
        <v>93376</v>
      </c>
      <c r="B14514" t="s">
        <v>3159</v>
      </c>
      <c r="C14514" t="s">
        <v>1159</v>
      </c>
      <c r="D14514" s="254">
        <v>16.46</v>
      </c>
      <c r="E14514"/>
      <c r="F14514"/>
      <c r="G14514"/>
      <c r="H14514"/>
      <c r="I14514" s="489"/>
      <c r="J14514" s="1362"/>
      <c r="K14514" s="1362"/>
      <c r="L14514" s="1362"/>
    </row>
    <row r="14515" spans="1:12" x14ac:dyDescent="0.25">
      <c r="A14515">
        <v>93377</v>
      </c>
      <c r="B14515" t="s">
        <v>1935</v>
      </c>
      <c r="C14515" t="s">
        <v>1159</v>
      </c>
      <c r="D14515" s="254">
        <v>11.1</v>
      </c>
      <c r="E14515"/>
      <c r="F14515"/>
      <c r="G14515"/>
      <c r="H14515"/>
      <c r="I14515" s="489"/>
      <c r="J14515" s="1362"/>
      <c r="K14515" s="1362"/>
      <c r="L14515" s="1362"/>
    </row>
    <row r="14516" spans="1:12" x14ac:dyDescent="0.25">
      <c r="A14516">
        <v>93378</v>
      </c>
      <c r="B14516" t="s">
        <v>3160</v>
      </c>
      <c r="C14516" t="s">
        <v>1159</v>
      </c>
      <c r="D14516" s="254">
        <v>24.32</v>
      </c>
      <c r="E14516"/>
      <c r="F14516"/>
      <c r="G14516"/>
      <c r="H14516"/>
      <c r="I14516" s="489"/>
      <c r="J14516" s="1362"/>
      <c r="K14516" s="1362"/>
      <c r="L14516" s="1362"/>
    </row>
    <row r="14517" spans="1:12" x14ac:dyDescent="0.25">
      <c r="A14517">
        <v>93379</v>
      </c>
      <c r="B14517" t="s">
        <v>3161</v>
      </c>
      <c r="C14517" t="s">
        <v>1159</v>
      </c>
      <c r="D14517" s="254">
        <v>18.8</v>
      </c>
      <c r="E14517"/>
      <c r="F14517"/>
      <c r="G14517"/>
      <c r="H14517"/>
      <c r="I14517" s="489"/>
      <c r="J14517" s="1362"/>
      <c r="K14517" s="1362"/>
      <c r="L14517" s="1362"/>
    </row>
    <row r="14518" spans="1:12" x14ac:dyDescent="0.25">
      <c r="A14518">
        <v>93380</v>
      </c>
      <c r="B14518" t="s">
        <v>3162</v>
      </c>
      <c r="C14518" t="s">
        <v>1159</v>
      </c>
      <c r="D14518" s="254">
        <v>15.47</v>
      </c>
      <c r="E14518"/>
      <c r="F14518"/>
      <c r="G14518"/>
      <c r="H14518"/>
      <c r="I14518" s="489"/>
      <c r="J14518" s="1362"/>
      <c r="K14518" s="1362"/>
      <c r="L14518" s="1362"/>
    </row>
    <row r="14519" spans="1:12" x14ac:dyDescent="0.25">
      <c r="A14519">
        <v>93381</v>
      </c>
      <c r="B14519" t="s">
        <v>1936</v>
      </c>
      <c r="C14519" t="s">
        <v>1159</v>
      </c>
      <c r="D14519" s="254">
        <v>10.4</v>
      </c>
      <c r="E14519"/>
      <c r="F14519"/>
      <c r="G14519"/>
      <c r="H14519"/>
      <c r="I14519" s="489"/>
      <c r="J14519" s="1362"/>
      <c r="K14519" s="1362"/>
      <c r="L14519" s="1362"/>
    </row>
    <row r="14520" spans="1:12" x14ac:dyDescent="0.25">
      <c r="A14520">
        <v>93382</v>
      </c>
      <c r="B14520" t="s">
        <v>1937</v>
      </c>
      <c r="C14520" t="s">
        <v>1159</v>
      </c>
      <c r="D14520" s="254">
        <v>31.79</v>
      </c>
      <c r="E14520"/>
      <c r="F14520"/>
      <c r="G14520"/>
      <c r="H14520"/>
      <c r="I14520" s="489"/>
      <c r="J14520" s="1362"/>
      <c r="K14520" s="1362"/>
      <c r="L14520" s="1362"/>
    </row>
    <row r="14521" spans="1:12" x14ac:dyDescent="0.25">
      <c r="A14521">
        <v>96995</v>
      </c>
      <c r="B14521" t="s">
        <v>1938</v>
      </c>
      <c r="C14521" t="s">
        <v>1159</v>
      </c>
      <c r="D14521" s="254">
        <v>49.93</v>
      </c>
      <c r="E14521"/>
      <c r="F14521"/>
      <c r="G14521"/>
      <c r="H14521"/>
      <c r="I14521" s="489"/>
      <c r="J14521" s="1362"/>
      <c r="K14521" s="1362"/>
      <c r="L14521" s="1362"/>
    </row>
    <row r="14522" spans="1:12" x14ac:dyDescent="0.25">
      <c r="A14522">
        <v>97916</v>
      </c>
      <c r="B14522" t="s">
        <v>4883</v>
      </c>
      <c r="C14522" t="s">
        <v>1939</v>
      </c>
      <c r="D14522" s="254">
        <v>2.3199999999999998</v>
      </c>
      <c r="E14522"/>
      <c r="F14522"/>
      <c r="G14522"/>
      <c r="H14522"/>
      <c r="I14522" s="489"/>
      <c r="J14522" s="1362"/>
      <c r="K14522" s="1362"/>
      <c r="L14522" s="1362"/>
    </row>
    <row r="14523" spans="1:12" x14ac:dyDescent="0.25">
      <c r="A14523">
        <v>97917</v>
      </c>
      <c r="B14523" t="s">
        <v>4884</v>
      </c>
      <c r="C14523" t="s">
        <v>1939</v>
      </c>
      <c r="D14523" s="254">
        <v>2</v>
      </c>
      <c r="E14523"/>
      <c r="F14523"/>
      <c r="G14523"/>
      <c r="H14523"/>
      <c r="I14523" s="489"/>
      <c r="J14523" s="1362"/>
      <c r="K14523" s="1362"/>
      <c r="L14523" s="1362"/>
    </row>
    <row r="14524" spans="1:12" x14ac:dyDescent="0.25">
      <c r="A14524">
        <v>97918</v>
      </c>
      <c r="B14524" t="s">
        <v>4885</v>
      </c>
      <c r="C14524" t="s">
        <v>1939</v>
      </c>
      <c r="D14524" s="254">
        <v>1.84</v>
      </c>
      <c r="E14524"/>
      <c r="F14524"/>
      <c r="G14524"/>
      <c r="H14524"/>
      <c r="I14524" s="489"/>
      <c r="J14524" s="1362"/>
      <c r="K14524" s="1362"/>
      <c r="L14524" s="1362"/>
    </row>
    <row r="14525" spans="1:12" x14ac:dyDescent="0.25">
      <c r="A14525">
        <v>97919</v>
      </c>
      <c r="B14525" t="s">
        <v>4886</v>
      </c>
      <c r="C14525" t="s">
        <v>1939</v>
      </c>
      <c r="D14525" s="254">
        <v>0.72</v>
      </c>
      <c r="E14525"/>
      <c r="F14525"/>
      <c r="G14525"/>
      <c r="H14525"/>
      <c r="I14525" s="489"/>
      <c r="J14525" s="1362"/>
      <c r="K14525" s="1362"/>
      <c r="L14525" s="1362"/>
    </row>
    <row r="14526" spans="1:12" x14ac:dyDescent="0.25">
      <c r="A14526">
        <v>101616</v>
      </c>
      <c r="B14526" t="s">
        <v>4887</v>
      </c>
      <c r="C14526" t="s">
        <v>297</v>
      </c>
      <c r="D14526" s="254">
        <v>6.48</v>
      </c>
      <c r="E14526"/>
      <c r="F14526"/>
      <c r="G14526"/>
      <c r="H14526"/>
      <c r="I14526" s="489"/>
      <c r="J14526" s="1362"/>
      <c r="K14526" s="1362"/>
      <c r="L14526" s="1362"/>
    </row>
    <row r="14527" spans="1:12" x14ac:dyDescent="0.25">
      <c r="A14527">
        <v>101617</v>
      </c>
      <c r="B14527" t="s">
        <v>4888</v>
      </c>
      <c r="C14527" t="s">
        <v>297</v>
      </c>
      <c r="D14527" s="254">
        <v>3.21</v>
      </c>
      <c r="E14527"/>
      <c r="F14527"/>
      <c r="G14527"/>
      <c r="H14527"/>
      <c r="I14527" s="489"/>
      <c r="J14527" s="1362"/>
      <c r="K14527" s="1362"/>
      <c r="L14527" s="1362"/>
    </row>
    <row r="14528" spans="1:12" x14ac:dyDescent="0.25">
      <c r="A14528">
        <v>101618</v>
      </c>
      <c r="B14528" t="s">
        <v>4889</v>
      </c>
      <c r="C14528" t="s">
        <v>1159</v>
      </c>
      <c r="D14528" s="254">
        <v>293.86</v>
      </c>
      <c r="E14528"/>
      <c r="F14528"/>
      <c r="G14528"/>
      <c r="H14528"/>
      <c r="I14528" s="489"/>
      <c r="J14528" s="1362"/>
      <c r="K14528" s="1362"/>
      <c r="L14528" s="1362"/>
    </row>
    <row r="14529" spans="1:12" x14ac:dyDescent="0.25">
      <c r="A14529">
        <v>101619</v>
      </c>
      <c r="B14529" t="s">
        <v>4890</v>
      </c>
      <c r="C14529" t="s">
        <v>1159</v>
      </c>
      <c r="D14529" s="254">
        <v>287.45999999999998</v>
      </c>
      <c r="E14529"/>
      <c r="F14529"/>
      <c r="G14529"/>
      <c r="H14529"/>
      <c r="I14529" s="489"/>
      <c r="J14529" s="1362"/>
      <c r="K14529" s="1362"/>
      <c r="L14529" s="1362"/>
    </row>
    <row r="14530" spans="1:12" x14ac:dyDescent="0.25">
      <c r="A14530">
        <v>101620</v>
      </c>
      <c r="B14530" t="s">
        <v>4891</v>
      </c>
      <c r="C14530" t="s">
        <v>1159</v>
      </c>
      <c r="D14530" s="254">
        <v>267.83999999999997</v>
      </c>
      <c r="E14530"/>
      <c r="F14530"/>
      <c r="G14530"/>
      <c r="H14530"/>
      <c r="I14530" s="489"/>
      <c r="J14530" s="1362"/>
      <c r="K14530" s="1362"/>
      <c r="L14530" s="1362"/>
    </row>
    <row r="14531" spans="1:12" x14ac:dyDescent="0.25">
      <c r="A14531">
        <v>101621</v>
      </c>
      <c r="B14531" t="s">
        <v>4892</v>
      </c>
      <c r="C14531" t="s">
        <v>1159</v>
      </c>
      <c r="D14531" s="254">
        <v>261.43</v>
      </c>
      <c r="E14531"/>
      <c r="F14531"/>
      <c r="G14531"/>
      <c r="H14531"/>
      <c r="I14531" s="489"/>
      <c r="J14531" s="1362"/>
      <c r="K14531" s="1362"/>
      <c r="L14531" s="1362"/>
    </row>
    <row r="14532" spans="1:12" x14ac:dyDescent="0.25">
      <c r="A14532">
        <v>101622</v>
      </c>
      <c r="B14532" t="s">
        <v>4893</v>
      </c>
      <c r="C14532" t="s">
        <v>1159</v>
      </c>
      <c r="D14532" s="254">
        <v>260.69</v>
      </c>
      <c r="E14532"/>
      <c r="F14532"/>
      <c r="G14532"/>
      <c r="H14532"/>
      <c r="I14532" s="489"/>
      <c r="J14532" s="1362"/>
      <c r="K14532" s="1362"/>
      <c r="L14532" s="1362"/>
    </row>
    <row r="14533" spans="1:12" x14ac:dyDescent="0.25">
      <c r="A14533">
        <v>101623</v>
      </c>
      <c r="B14533" t="s">
        <v>4894</v>
      </c>
      <c r="C14533" t="s">
        <v>1159</v>
      </c>
      <c r="D14533" s="254">
        <v>246.57</v>
      </c>
      <c r="E14533"/>
      <c r="F14533"/>
      <c r="G14533"/>
      <c r="H14533"/>
      <c r="I14533" s="489"/>
      <c r="J14533" s="1362"/>
      <c r="K14533" s="1362"/>
      <c r="L14533" s="1362"/>
    </row>
    <row r="14534" spans="1:12" x14ac:dyDescent="0.25">
      <c r="A14534">
        <v>101624</v>
      </c>
      <c r="B14534" t="s">
        <v>4895</v>
      </c>
      <c r="C14534" t="s">
        <v>1159</v>
      </c>
      <c r="D14534" s="254">
        <v>201.45</v>
      </c>
      <c r="E14534"/>
      <c r="F14534"/>
      <c r="G14534"/>
      <c r="H14534"/>
      <c r="I14534" s="489"/>
      <c r="J14534" s="1362"/>
      <c r="K14534" s="1362"/>
      <c r="L14534" s="1362"/>
    </row>
    <row r="14535" spans="1:12" x14ac:dyDescent="0.25">
      <c r="A14535">
        <v>101625</v>
      </c>
      <c r="B14535" t="s">
        <v>4896</v>
      </c>
      <c r="C14535" t="s">
        <v>1159</v>
      </c>
      <c r="D14535" s="254">
        <v>221.27</v>
      </c>
      <c r="E14535"/>
      <c r="F14535"/>
      <c r="G14535"/>
      <c r="H14535"/>
      <c r="I14535" s="489"/>
      <c r="J14535" s="1362"/>
      <c r="K14535" s="1362"/>
      <c r="L14535" s="1362"/>
    </row>
    <row r="14536" spans="1:12" x14ac:dyDescent="0.25">
      <c r="A14536">
        <v>95606</v>
      </c>
      <c r="B14536" t="s">
        <v>1942</v>
      </c>
      <c r="C14536" t="s">
        <v>1159</v>
      </c>
      <c r="D14536" s="254">
        <v>2.29</v>
      </c>
      <c r="E14536"/>
      <c r="F14536"/>
      <c r="G14536"/>
      <c r="H14536"/>
      <c r="I14536" s="489"/>
      <c r="J14536" s="1362"/>
      <c r="K14536" s="1362"/>
      <c r="L14536" s="1362"/>
    </row>
    <row r="14537" spans="1:12" x14ac:dyDescent="0.25">
      <c r="A14537">
        <v>101159</v>
      </c>
      <c r="B14537" t="s">
        <v>4429</v>
      </c>
      <c r="C14537" t="s">
        <v>297</v>
      </c>
      <c r="D14537" s="254">
        <v>168.31</v>
      </c>
      <c r="E14537"/>
      <c r="F14537"/>
      <c r="G14537"/>
      <c r="H14537"/>
      <c r="I14537" s="489"/>
      <c r="J14537" s="1362"/>
      <c r="K14537" s="1362"/>
      <c r="L14537" s="1362"/>
    </row>
    <row r="14538" spans="1:12" x14ac:dyDescent="0.25">
      <c r="A14538">
        <v>103322</v>
      </c>
      <c r="B14538" t="s">
        <v>7458</v>
      </c>
      <c r="C14538" t="s">
        <v>297</v>
      </c>
      <c r="D14538" s="254">
        <v>72.56</v>
      </c>
      <c r="E14538"/>
      <c r="F14538"/>
      <c r="G14538"/>
      <c r="H14538"/>
      <c r="I14538" s="489"/>
      <c r="J14538" s="1362"/>
      <c r="K14538" s="1362"/>
      <c r="L14538" s="1362"/>
    </row>
    <row r="14539" spans="1:12" x14ac:dyDescent="0.25">
      <c r="A14539">
        <v>103323</v>
      </c>
      <c r="B14539" t="s">
        <v>7459</v>
      </c>
      <c r="C14539" t="s">
        <v>297</v>
      </c>
      <c r="D14539" s="254">
        <v>73.89</v>
      </c>
      <c r="E14539"/>
      <c r="F14539"/>
      <c r="G14539"/>
      <c r="H14539"/>
      <c r="I14539" s="489"/>
      <c r="J14539" s="1362"/>
      <c r="K14539" s="1362"/>
      <c r="L14539" s="1362"/>
    </row>
    <row r="14540" spans="1:12" x14ac:dyDescent="0.25">
      <c r="A14540">
        <v>103324</v>
      </c>
      <c r="B14540" t="s">
        <v>7460</v>
      </c>
      <c r="C14540" t="s">
        <v>297</v>
      </c>
      <c r="D14540" s="254">
        <v>96.34</v>
      </c>
      <c r="E14540"/>
      <c r="F14540"/>
      <c r="G14540"/>
      <c r="H14540"/>
      <c r="I14540" s="489"/>
      <c r="J14540" s="1362"/>
      <c r="K14540" s="1362"/>
      <c r="L14540" s="1362"/>
    </row>
    <row r="14541" spans="1:12" x14ac:dyDescent="0.25">
      <c r="A14541">
        <v>103325</v>
      </c>
      <c r="B14541" t="s">
        <v>7461</v>
      </c>
      <c r="C14541" t="s">
        <v>297</v>
      </c>
      <c r="D14541" s="254">
        <v>97.84</v>
      </c>
      <c r="E14541"/>
      <c r="F14541"/>
      <c r="G14541"/>
      <c r="H14541"/>
      <c r="I14541" s="489"/>
      <c r="J14541" s="1362"/>
      <c r="K14541" s="1362"/>
      <c r="L14541" s="1362"/>
    </row>
    <row r="14542" spans="1:12" x14ac:dyDescent="0.25">
      <c r="A14542">
        <v>103326</v>
      </c>
      <c r="B14542" t="s">
        <v>7462</v>
      </c>
      <c r="C14542" t="s">
        <v>297</v>
      </c>
      <c r="D14542" s="254">
        <v>116.84</v>
      </c>
      <c r="E14542"/>
      <c r="F14542"/>
      <c r="G14542"/>
      <c r="H14542"/>
      <c r="I14542" s="489"/>
      <c r="J14542" s="1362"/>
      <c r="K14542" s="1362"/>
      <c r="L14542" s="1362"/>
    </row>
    <row r="14543" spans="1:12" x14ac:dyDescent="0.25">
      <c r="A14543">
        <v>103327</v>
      </c>
      <c r="B14543" t="s">
        <v>7463</v>
      </c>
      <c r="C14543" t="s">
        <v>297</v>
      </c>
      <c r="D14543" s="254">
        <v>118.6</v>
      </c>
      <c r="E14543"/>
      <c r="F14543"/>
      <c r="G14543"/>
      <c r="H14543"/>
      <c r="I14543" s="489"/>
      <c r="J14543" s="1362"/>
      <c r="K14543" s="1362"/>
      <c r="L14543" s="1362"/>
    </row>
    <row r="14544" spans="1:12" x14ac:dyDescent="0.25">
      <c r="A14544">
        <v>103328</v>
      </c>
      <c r="B14544" t="s">
        <v>7464</v>
      </c>
      <c r="C14544" t="s">
        <v>297</v>
      </c>
      <c r="D14544" s="254">
        <v>105.43</v>
      </c>
      <c r="E14544"/>
      <c r="F14544"/>
      <c r="G14544"/>
      <c r="H14544"/>
      <c r="I14544" s="489"/>
      <c r="J14544" s="1362"/>
      <c r="K14544" s="1362"/>
      <c r="L14544" s="1362"/>
    </row>
    <row r="14545" spans="1:12" x14ac:dyDescent="0.25">
      <c r="A14545">
        <v>103329</v>
      </c>
      <c r="B14545" t="s">
        <v>7465</v>
      </c>
      <c r="C14545" t="s">
        <v>297</v>
      </c>
      <c r="D14545" s="254">
        <v>106.59</v>
      </c>
      <c r="E14545"/>
      <c r="F14545"/>
      <c r="G14545"/>
      <c r="H14545"/>
      <c r="I14545" s="489"/>
      <c r="J14545" s="1362"/>
      <c r="K14545" s="1362"/>
      <c r="L14545" s="1362"/>
    </row>
    <row r="14546" spans="1:12" x14ac:dyDescent="0.25">
      <c r="A14546">
        <v>103330</v>
      </c>
      <c r="B14546" t="s">
        <v>7466</v>
      </c>
      <c r="C14546" t="s">
        <v>297</v>
      </c>
      <c r="D14546" s="254">
        <v>100.67</v>
      </c>
      <c r="E14546"/>
      <c r="F14546"/>
      <c r="G14546"/>
      <c r="H14546"/>
      <c r="I14546" s="489"/>
      <c r="J14546" s="1362"/>
      <c r="K14546" s="1362"/>
      <c r="L14546" s="1362"/>
    </row>
    <row r="14547" spans="1:12" x14ac:dyDescent="0.25">
      <c r="A14547">
        <v>103331</v>
      </c>
      <c r="B14547" t="s">
        <v>7467</v>
      </c>
      <c r="C14547" t="s">
        <v>297</v>
      </c>
      <c r="D14547" s="254">
        <v>101.92</v>
      </c>
      <c r="E14547"/>
      <c r="F14547"/>
      <c r="G14547"/>
      <c r="H14547"/>
      <c r="I14547" s="489"/>
      <c r="J14547" s="1362"/>
      <c r="K14547" s="1362"/>
      <c r="L14547" s="1362"/>
    </row>
    <row r="14548" spans="1:12" x14ac:dyDescent="0.25">
      <c r="A14548">
        <v>103332</v>
      </c>
      <c r="B14548" t="s">
        <v>7468</v>
      </c>
      <c r="C14548" t="s">
        <v>297</v>
      </c>
      <c r="D14548" s="254">
        <v>137.74</v>
      </c>
      <c r="E14548"/>
      <c r="F14548"/>
      <c r="G14548"/>
      <c r="H14548"/>
      <c r="I14548" s="489"/>
      <c r="J14548" s="1362"/>
      <c r="K14548" s="1362"/>
      <c r="L14548" s="1362"/>
    </row>
    <row r="14549" spans="1:12" x14ac:dyDescent="0.25">
      <c r="A14549">
        <v>103333</v>
      </c>
      <c r="B14549" t="s">
        <v>7469</v>
      </c>
      <c r="C14549" t="s">
        <v>297</v>
      </c>
      <c r="D14549" s="254">
        <v>139.08000000000001</v>
      </c>
      <c r="E14549"/>
      <c r="F14549"/>
      <c r="G14549"/>
      <c r="H14549"/>
      <c r="I14549" s="489"/>
      <c r="J14549" s="1362"/>
      <c r="K14549" s="1362"/>
      <c r="L14549" s="1362"/>
    </row>
    <row r="14550" spans="1:12" x14ac:dyDescent="0.25">
      <c r="A14550">
        <v>103334</v>
      </c>
      <c r="B14550" t="s">
        <v>7470</v>
      </c>
      <c r="C14550" t="s">
        <v>297</v>
      </c>
      <c r="D14550" s="254">
        <v>169.63</v>
      </c>
      <c r="E14550"/>
      <c r="F14550"/>
      <c r="G14550"/>
      <c r="H14550"/>
      <c r="I14550" s="489"/>
      <c r="J14550" s="1362"/>
      <c r="K14550" s="1362"/>
      <c r="L14550" s="1362"/>
    </row>
    <row r="14551" spans="1:12" x14ac:dyDescent="0.25">
      <c r="A14551">
        <v>103335</v>
      </c>
      <c r="B14551" t="s">
        <v>7471</v>
      </c>
      <c r="C14551" t="s">
        <v>297</v>
      </c>
      <c r="D14551" s="254">
        <v>171.97</v>
      </c>
      <c r="E14551"/>
      <c r="F14551"/>
      <c r="G14551"/>
      <c r="H14551"/>
      <c r="I14551" s="489"/>
      <c r="J14551" s="1362"/>
      <c r="K14551" s="1362"/>
      <c r="L14551" s="1362"/>
    </row>
    <row r="14552" spans="1:12" x14ac:dyDescent="0.25">
      <c r="A14552">
        <v>103350</v>
      </c>
      <c r="B14552" t="s">
        <v>7472</v>
      </c>
      <c r="C14552" t="s">
        <v>297</v>
      </c>
      <c r="D14552" s="254">
        <v>210.51</v>
      </c>
      <c r="E14552"/>
      <c r="F14552"/>
      <c r="G14552"/>
      <c r="H14552"/>
      <c r="I14552" s="489"/>
      <c r="J14552" s="1362"/>
      <c r="K14552" s="1362"/>
      <c r="L14552" s="1362"/>
    </row>
    <row r="14553" spans="1:12" x14ac:dyDescent="0.25">
      <c r="A14553">
        <v>103351</v>
      </c>
      <c r="B14553" t="s">
        <v>7473</v>
      </c>
      <c r="C14553" t="s">
        <v>297</v>
      </c>
      <c r="D14553" s="254">
        <v>212.22</v>
      </c>
      <c r="E14553"/>
      <c r="F14553"/>
      <c r="G14553"/>
      <c r="H14553"/>
      <c r="I14553" s="489"/>
      <c r="J14553" s="1362"/>
      <c r="K14553" s="1362"/>
      <c r="L14553" s="1362"/>
    </row>
    <row r="14554" spans="1:12" x14ac:dyDescent="0.25">
      <c r="A14554">
        <v>103356</v>
      </c>
      <c r="B14554" t="s">
        <v>7474</v>
      </c>
      <c r="C14554" t="s">
        <v>297</v>
      </c>
      <c r="D14554" s="254">
        <v>67.77</v>
      </c>
      <c r="E14554"/>
      <c r="F14554"/>
      <c r="G14554"/>
      <c r="H14554"/>
      <c r="I14554" s="489"/>
      <c r="J14554" s="1362"/>
      <c r="K14554" s="1362"/>
      <c r="L14554" s="1362"/>
    </row>
    <row r="14555" spans="1:12" x14ac:dyDescent="0.25">
      <c r="A14555">
        <v>103357</v>
      </c>
      <c r="B14555" t="s">
        <v>7475</v>
      </c>
      <c r="C14555" t="s">
        <v>297</v>
      </c>
      <c r="D14555" s="254">
        <v>68.75</v>
      </c>
      <c r="E14555"/>
      <c r="F14555"/>
      <c r="G14555"/>
      <c r="H14555"/>
      <c r="I14555" s="489"/>
      <c r="J14555" s="1362"/>
      <c r="K14555" s="1362"/>
      <c r="L14555" s="1362"/>
    </row>
    <row r="14556" spans="1:12" x14ac:dyDescent="0.25">
      <c r="A14556">
        <v>89282</v>
      </c>
      <c r="B14556" t="s">
        <v>1943</v>
      </c>
      <c r="C14556" t="s">
        <v>297</v>
      </c>
      <c r="D14556" s="254">
        <v>95.75</v>
      </c>
      <c r="E14556"/>
      <c r="F14556"/>
      <c r="G14556"/>
      <c r="H14556"/>
      <c r="I14556" s="489"/>
      <c r="J14556" s="1362"/>
      <c r="K14556" s="1362"/>
      <c r="L14556" s="1362"/>
    </row>
    <row r="14557" spans="1:12" x14ac:dyDescent="0.25">
      <c r="A14557">
        <v>89283</v>
      </c>
      <c r="B14557" t="s">
        <v>1944</v>
      </c>
      <c r="C14557" t="s">
        <v>297</v>
      </c>
      <c r="D14557" s="254">
        <v>97.28</v>
      </c>
      <c r="E14557"/>
      <c r="F14557"/>
      <c r="G14557"/>
      <c r="H14557"/>
      <c r="I14557" s="489"/>
      <c r="J14557" s="1362"/>
      <c r="K14557" s="1362"/>
      <c r="L14557" s="1362"/>
    </row>
    <row r="14558" spans="1:12" x14ac:dyDescent="0.25">
      <c r="A14558">
        <v>89284</v>
      </c>
      <c r="B14558" t="s">
        <v>1945</v>
      </c>
      <c r="C14558" t="s">
        <v>297</v>
      </c>
      <c r="D14558" s="254">
        <v>88.52</v>
      </c>
      <c r="E14558"/>
      <c r="F14558"/>
      <c r="G14558"/>
      <c r="H14558"/>
      <c r="I14558" s="489"/>
      <c r="J14558" s="1362"/>
      <c r="K14558" s="1362"/>
      <c r="L14558" s="1362"/>
    </row>
    <row r="14559" spans="1:12" x14ac:dyDescent="0.25">
      <c r="A14559">
        <v>89285</v>
      </c>
      <c r="B14559" t="s">
        <v>1946</v>
      </c>
      <c r="C14559" t="s">
        <v>297</v>
      </c>
      <c r="D14559" s="254">
        <v>90.05</v>
      </c>
      <c r="E14559"/>
      <c r="F14559"/>
      <c r="G14559"/>
      <c r="H14559"/>
      <c r="I14559" s="489"/>
      <c r="J14559" s="1362"/>
      <c r="K14559" s="1362"/>
      <c r="L14559" s="1362"/>
    </row>
    <row r="14560" spans="1:12" x14ac:dyDescent="0.25">
      <c r="A14560">
        <v>89286</v>
      </c>
      <c r="B14560" t="s">
        <v>1947</v>
      </c>
      <c r="C14560" t="s">
        <v>297</v>
      </c>
      <c r="D14560" s="254">
        <v>101.99</v>
      </c>
      <c r="E14560"/>
      <c r="F14560"/>
      <c r="G14560"/>
      <c r="H14560"/>
      <c r="I14560" s="489"/>
      <c r="J14560" s="1362"/>
      <c r="K14560" s="1362"/>
      <c r="L14560" s="1362"/>
    </row>
    <row r="14561" spans="1:12" x14ac:dyDescent="0.25">
      <c r="A14561">
        <v>89287</v>
      </c>
      <c r="B14561" t="s">
        <v>1948</v>
      </c>
      <c r="C14561" t="s">
        <v>297</v>
      </c>
      <c r="D14561" s="254">
        <v>103.52</v>
      </c>
      <c r="E14561"/>
      <c r="F14561"/>
      <c r="G14561"/>
      <c r="H14561"/>
      <c r="I14561" s="489"/>
      <c r="J14561" s="1362"/>
      <c r="K14561" s="1362"/>
      <c r="L14561" s="1362"/>
    </row>
    <row r="14562" spans="1:12" x14ac:dyDescent="0.25">
      <c r="A14562">
        <v>89288</v>
      </c>
      <c r="B14562" t="s">
        <v>1949</v>
      </c>
      <c r="C14562" t="s">
        <v>297</v>
      </c>
      <c r="D14562" s="254">
        <v>92</v>
      </c>
      <c r="E14562"/>
      <c r="F14562"/>
      <c r="G14562"/>
      <c r="H14562"/>
      <c r="I14562" s="489"/>
      <c r="J14562" s="1362"/>
      <c r="K14562" s="1362"/>
      <c r="L14562" s="1362"/>
    </row>
    <row r="14563" spans="1:12" x14ac:dyDescent="0.25">
      <c r="A14563">
        <v>89289</v>
      </c>
      <c r="B14563" t="s">
        <v>1950</v>
      </c>
      <c r="C14563" t="s">
        <v>297</v>
      </c>
      <c r="D14563" s="254">
        <v>93.53</v>
      </c>
      <c r="E14563"/>
      <c r="F14563"/>
      <c r="G14563"/>
      <c r="H14563"/>
      <c r="I14563" s="489"/>
      <c r="J14563" s="1362"/>
      <c r="K14563" s="1362"/>
      <c r="L14563" s="1362"/>
    </row>
    <row r="14564" spans="1:12" x14ac:dyDescent="0.25">
      <c r="A14564">
        <v>89290</v>
      </c>
      <c r="B14564" t="s">
        <v>1951</v>
      </c>
      <c r="C14564" t="s">
        <v>297</v>
      </c>
      <c r="D14564" s="254">
        <v>108.23</v>
      </c>
      <c r="E14564"/>
      <c r="F14564"/>
      <c r="G14564"/>
      <c r="H14564"/>
      <c r="I14564" s="489"/>
      <c r="J14564" s="1362"/>
      <c r="K14564" s="1362"/>
      <c r="L14564" s="1362"/>
    </row>
    <row r="14565" spans="1:12" x14ac:dyDescent="0.25">
      <c r="A14565">
        <v>89291</v>
      </c>
      <c r="B14565" t="s">
        <v>1952</v>
      </c>
      <c r="C14565" t="s">
        <v>297</v>
      </c>
      <c r="D14565" s="254">
        <v>109.93</v>
      </c>
      <c r="E14565"/>
      <c r="F14565"/>
      <c r="G14565"/>
      <c r="H14565"/>
      <c r="I14565" s="489"/>
      <c r="J14565" s="1362"/>
      <c r="K14565" s="1362"/>
      <c r="L14565" s="1362"/>
    </row>
    <row r="14566" spans="1:12" x14ac:dyDescent="0.25">
      <c r="A14566">
        <v>89292</v>
      </c>
      <c r="B14566" t="s">
        <v>1953</v>
      </c>
      <c r="C14566" t="s">
        <v>297</v>
      </c>
      <c r="D14566" s="254">
        <v>100.94</v>
      </c>
      <c r="E14566"/>
      <c r="F14566"/>
      <c r="G14566"/>
      <c r="H14566"/>
      <c r="I14566" s="489"/>
      <c r="J14566" s="1362"/>
      <c r="K14566" s="1362"/>
      <c r="L14566" s="1362"/>
    </row>
    <row r="14567" spans="1:12" x14ac:dyDescent="0.25">
      <c r="A14567">
        <v>89293</v>
      </c>
      <c r="B14567" t="s">
        <v>1954</v>
      </c>
      <c r="C14567" t="s">
        <v>297</v>
      </c>
      <c r="D14567" s="254">
        <v>102.64</v>
      </c>
      <c r="E14567"/>
      <c r="F14567"/>
      <c r="G14567"/>
      <c r="H14567"/>
      <c r="I14567" s="489"/>
      <c r="J14567" s="1362"/>
      <c r="K14567" s="1362"/>
      <c r="L14567" s="1362"/>
    </row>
    <row r="14568" spans="1:12" x14ac:dyDescent="0.25">
      <c r="A14568">
        <v>89294</v>
      </c>
      <c r="B14568" t="s">
        <v>1955</v>
      </c>
      <c r="C14568" t="s">
        <v>297</v>
      </c>
      <c r="D14568" s="254">
        <v>117.19</v>
      </c>
      <c r="E14568"/>
      <c r="F14568"/>
      <c r="G14568"/>
      <c r="H14568"/>
      <c r="I14568" s="489"/>
      <c r="J14568" s="1362"/>
      <c r="K14568" s="1362"/>
      <c r="L14568" s="1362"/>
    </row>
    <row r="14569" spans="1:12" x14ac:dyDescent="0.25">
      <c r="A14569">
        <v>89295</v>
      </c>
      <c r="B14569" t="s">
        <v>1956</v>
      </c>
      <c r="C14569" t="s">
        <v>297</v>
      </c>
      <c r="D14569" s="254">
        <v>118.89</v>
      </c>
      <c r="E14569"/>
      <c r="F14569"/>
      <c r="G14569"/>
      <c r="H14569"/>
      <c r="I14569" s="489"/>
      <c r="J14569" s="1362"/>
      <c r="K14569" s="1362"/>
      <c r="L14569" s="1362"/>
    </row>
    <row r="14570" spans="1:12" x14ac:dyDescent="0.25">
      <c r="A14570">
        <v>89296</v>
      </c>
      <c r="B14570" t="s">
        <v>1957</v>
      </c>
      <c r="C14570" t="s">
        <v>297</v>
      </c>
      <c r="D14570" s="254">
        <v>105.76</v>
      </c>
      <c r="E14570"/>
      <c r="F14570"/>
      <c r="G14570"/>
      <c r="H14570"/>
      <c r="I14570" s="489"/>
      <c r="J14570" s="1362"/>
      <c r="K14570" s="1362"/>
      <c r="L14570" s="1362"/>
    </row>
    <row r="14571" spans="1:12" x14ac:dyDescent="0.25">
      <c r="A14571">
        <v>89297</v>
      </c>
      <c r="B14571" t="s">
        <v>1958</v>
      </c>
      <c r="C14571" t="s">
        <v>297</v>
      </c>
      <c r="D14571" s="254">
        <v>107.46</v>
      </c>
      <c r="E14571"/>
      <c r="F14571"/>
      <c r="G14571"/>
      <c r="H14571"/>
      <c r="I14571" s="489"/>
      <c r="J14571" s="1362"/>
      <c r="K14571" s="1362"/>
      <c r="L14571" s="1362"/>
    </row>
    <row r="14572" spans="1:12" x14ac:dyDescent="0.25">
      <c r="A14572">
        <v>89298</v>
      </c>
      <c r="B14572" t="s">
        <v>1959</v>
      </c>
      <c r="C14572" t="s">
        <v>297</v>
      </c>
      <c r="D14572" s="254">
        <v>110.55</v>
      </c>
      <c r="E14572"/>
      <c r="F14572"/>
      <c r="G14572"/>
      <c r="H14572"/>
      <c r="I14572" s="489"/>
      <c r="J14572" s="1362"/>
      <c r="K14572" s="1362"/>
      <c r="L14572" s="1362"/>
    </row>
    <row r="14573" spans="1:12" x14ac:dyDescent="0.25">
      <c r="A14573">
        <v>89299</v>
      </c>
      <c r="B14573" t="s">
        <v>1960</v>
      </c>
      <c r="C14573" t="s">
        <v>297</v>
      </c>
      <c r="D14573" s="254">
        <v>112.72</v>
      </c>
      <c r="E14573"/>
      <c r="F14573"/>
      <c r="G14573"/>
      <c r="H14573"/>
      <c r="I14573" s="489"/>
      <c r="J14573" s="1362"/>
      <c r="K14573" s="1362"/>
      <c r="L14573" s="1362"/>
    </row>
    <row r="14574" spans="1:12" x14ac:dyDescent="0.25">
      <c r="A14574">
        <v>89300</v>
      </c>
      <c r="B14574" t="s">
        <v>1961</v>
      </c>
      <c r="C14574" t="s">
        <v>297</v>
      </c>
      <c r="D14574" s="254">
        <v>103.33</v>
      </c>
      <c r="E14574"/>
      <c r="F14574"/>
      <c r="G14574"/>
      <c r="H14574"/>
      <c r="I14574" s="489"/>
      <c r="J14574" s="1362"/>
      <c r="K14574" s="1362"/>
      <c r="L14574" s="1362"/>
    </row>
    <row r="14575" spans="1:12" x14ac:dyDescent="0.25">
      <c r="A14575">
        <v>89301</v>
      </c>
      <c r="B14575" t="s">
        <v>1962</v>
      </c>
      <c r="C14575" t="s">
        <v>297</v>
      </c>
      <c r="D14575" s="254">
        <v>105.5</v>
      </c>
      <c r="E14575"/>
      <c r="F14575"/>
      <c r="G14575"/>
      <c r="H14575"/>
      <c r="I14575" s="489"/>
      <c r="J14575" s="1362"/>
      <c r="K14575" s="1362"/>
      <c r="L14575" s="1362"/>
    </row>
    <row r="14576" spans="1:12" x14ac:dyDescent="0.25">
      <c r="A14576">
        <v>89302</v>
      </c>
      <c r="B14576" t="s">
        <v>1963</v>
      </c>
      <c r="C14576" t="s">
        <v>297</v>
      </c>
      <c r="D14576" s="254">
        <v>121.1</v>
      </c>
      <c r="E14576"/>
      <c r="F14576"/>
      <c r="G14576"/>
      <c r="H14576"/>
      <c r="I14576" s="489"/>
      <c r="J14576" s="1362"/>
      <c r="K14576" s="1362"/>
      <c r="L14576" s="1362"/>
    </row>
    <row r="14577" spans="1:12" x14ac:dyDescent="0.25">
      <c r="A14577">
        <v>89303</v>
      </c>
      <c r="B14577" t="s">
        <v>1964</v>
      </c>
      <c r="C14577" t="s">
        <v>297</v>
      </c>
      <c r="D14577" s="254">
        <v>123.27</v>
      </c>
      <c r="E14577"/>
      <c r="F14577"/>
      <c r="G14577"/>
      <c r="H14577"/>
      <c r="I14577" s="489"/>
      <c r="J14577" s="1362"/>
      <c r="K14577" s="1362"/>
      <c r="L14577" s="1362"/>
    </row>
    <row r="14578" spans="1:12" x14ac:dyDescent="0.25">
      <c r="A14578">
        <v>89304</v>
      </c>
      <c r="B14578" t="s">
        <v>1965</v>
      </c>
      <c r="C14578" t="s">
        <v>297</v>
      </c>
      <c r="D14578" s="254">
        <v>109.48</v>
      </c>
      <c r="E14578"/>
      <c r="F14578"/>
      <c r="G14578"/>
      <c r="H14578"/>
      <c r="I14578" s="489"/>
      <c r="J14578" s="1362"/>
      <c r="K14578" s="1362"/>
      <c r="L14578" s="1362"/>
    </row>
    <row r="14579" spans="1:12" x14ac:dyDescent="0.25">
      <c r="A14579">
        <v>89305</v>
      </c>
      <c r="B14579" t="s">
        <v>1966</v>
      </c>
      <c r="C14579" t="s">
        <v>297</v>
      </c>
      <c r="D14579" s="254">
        <v>111.65</v>
      </c>
      <c r="E14579"/>
      <c r="F14579"/>
      <c r="G14579"/>
      <c r="H14579"/>
      <c r="I14579" s="489"/>
      <c r="J14579" s="1362"/>
      <c r="K14579" s="1362"/>
      <c r="L14579" s="1362"/>
    </row>
    <row r="14580" spans="1:12" x14ac:dyDescent="0.25">
      <c r="A14580">
        <v>89306</v>
      </c>
      <c r="B14580" t="s">
        <v>1967</v>
      </c>
      <c r="C14580" t="s">
        <v>297</v>
      </c>
      <c r="D14580" s="254">
        <v>123.4</v>
      </c>
      <c r="E14580"/>
      <c r="F14580"/>
      <c r="G14580"/>
      <c r="H14580"/>
      <c r="I14580" s="489"/>
      <c r="J14580" s="1362"/>
      <c r="K14580" s="1362"/>
      <c r="L14580" s="1362"/>
    </row>
    <row r="14581" spans="1:12" x14ac:dyDescent="0.25">
      <c r="A14581">
        <v>89307</v>
      </c>
      <c r="B14581" t="s">
        <v>1968</v>
      </c>
      <c r="C14581" t="s">
        <v>297</v>
      </c>
      <c r="D14581" s="254">
        <v>125.81</v>
      </c>
      <c r="E14581"/>
      <c r="F14581"/>
      <c r="G14581"/>
      <c r="H14581"/>
      <c r="I14581" s="489"/>
      <c r="J14581" s="1362"/>
      <c r="K14581" s="1362"/>
      <c r="L14581" s="1362"/>
    </row>
    <row r="14582" spans="1:12" x14ac:dyDescent="0.25">
      <c r="A14582">
        <v>89308</v>
      </c>
      <c r="B14582" t="s">
        <v>1969</v>
      </c>
      <c r="C14582" t="s">
        <v>297</v>
      </c>
      <c r="D14582" s="254">
        <v>116.11</v>
      </c>
      <c r="E14582"/>
      <c r="F14582"/>
      <c r="G14582"/>
      <c r="H14582"/>
      <c r="I14582" s="489"/>
      <c r="J14582" s="1362"/>
      <c r="K14582" s="1362"/>
      <c r="L14582" s="1362"/>
    </row>
    <row r="14583" spans="1:12" x14ac:dyDescent="0.25">
      <c r="A14583">
        <v>89309</v>
      </c>
      <c r="B14583" t="s">
        <v>1970</v>
      </c>
      <c r="C14583" t="s">
        <v>297</v>
      </c>
      <c r="D14583" s="254">
        <v>118.52</v>
      </c>
      <c r="E14583"/>
      <c r="F14583"/>
      <c r="G14583"/>
      <c r="H14583"/>
      <c r="I14583" s="489"/>
      <c r="J14583" s="1362"/>
      <c r="K14583" s="1362"/>
      <c r="L14583" s="1362"/>
    </row>
    <row r="14584" spans="1:12" x14ac:dyDescent="0.25">
      <c r="A14584">
        <v>89310</v>
      </c>
      <c r="B14584" t="s">
        <v>1971</v>
      </c>
      <c r="C14584" t="s">
        <v>297</v>
      </c>
      <c r="D14584" s="254">
        <v>139.33000000000001</v>
      </c>
      <c r="E14584"/>
      <c r="F14584"/>
      <c r="G14584"/>
      <c r="H14584"/>
      <c r="I14584" s="489"/>
      <c r="J14584" s="1362"/>
      <c r="K14584" s="1362"/>
      <c r="L14584" s="1362"/>
    </row>
    <row r="14585" spans="1:12" x14ac:dyDescent="0.25">
      <c r="A14585">
        <v>89311</v>
      </c>
      <c r="B14585" t="s">
        <v>1972</v>
      </c>
      <c r="C14585" t="s">
        <v>297</v>
      </c>
      <c r="D14585" s="254">
        <v>141.74</v>
      </c>
      <c r="E14585"/>
      <c r="F14585"/>
      <c r="G14585"/>
      <c r="H14585"/>
      <c r="I14585" s="489"/>
      <c r="J14585" s="1362"/>
      <c r="K14585" s="1362"/>
      <c r="L14585" s="1362"/>
    </row>
    <row r="14586" spans="1:12" x14ac:dyDescent="0.25">
      <c r="A14586">
        <v>89312</v>
      </c>
      <c r="B14586" t="s">
        <v>1973</v>
      </c>
      <c r="C14586" t="s">
        <v>297</v>
      </c>
      <c r="D14586" s="254">
        <v>123.59</v>
      </c>
      <c r="E14586"/>
      <c r="F14586"/>
      <c r="G14586"/>
      <c r="H14586"/>
      <c r="I14586" s="489"/>
      <c r="J14586" s="1362"/>
      <c r="K14586" s="1362"/>
      <c r="L14586" s="1362"/>
    </row>
    <row r="14587" spans="1:12" x14ac:dyDescent="0.25">
      <c r="A14587">
        <v>89313</v>
      </c>
      <c r="B14587" t="s">
        <v>1974</v>
      </c>
      <c r="C14587" t="s">
        <v>297</v>
      </c>
      <c r="D14587" s="254">
        <v>126</v>
      </c>
      <c r="E14587"/>
      <c r="F14587"/>
      <c r="G14587"/>
      <c r="H14587"/>
      <c r="I14587" s="489"/>
      <c r="J14587" s="1362"/>
      <c r="K14587" s="1362"/>
      <c r="L14587" s="1362"/>
    </row>
    <row r="14588" spans="1:12" x14ac:dyDescent="0.25">
      <c r="A14588">
        <v>101157</v>
      </c>
      <c r="B14588" t="s">
        <v>7117</v>
      </c>
      <c r="C14588" t="s">
        <v>297</v>
      </c>
      <c r="D14588" s="254">
        <v>69.319999999999993</v>
      </c>
      <c r="E14588"/>
      <c r="F14588"/>
      <c r="G14588"/>
      <c r="H14588"/>
      <c r="I14588" s="489"/>
      <c r="J14588" s="1362"/>
      <c r="K14588" s="1362"/>
      <c r="L14588" s="1362"/>
    </row>
    <row r="14589" spans="1:12" x14ac:dyDescent="0.25">
      <c r="A14589">
        <v>101158</v>
      </c>
      <c r="B14589" t="s">
        <v>7118</v>
      </c>
      <c r="C14589" t="s">
        <v>297</v>
      </c>
      <c r="D14589" s="254">
        <v>90.73</v>
      </c>
      <c r="E14589"/>
      <c r="F14589"/>
      <c r="G14589"/>
      <c r="H14589"/>
      <c r="I14589" s="489"/>
      <c r="J14589" s="1362"/>
      <c r="K14589" s="1362"/>
      <c r="L14589" s="1362"/>
    </row>
    <row r="14590" spans="1:12" x14ac:dyDescent="0.25">
      <c r="A14590">
        <v>101162</v>
      </c>
      <c r="B14590" t="s">
        <v>4430</v>
      </c>
      <c r="C14590" t="s">
        <v>297</v>
      </c>
      <c r="D14590" s="254">
        <v>190.16</v>
      </c>
      <c r="E14590"/>
      <c r="F14590"/>
      <c r="G14590"/>
      <c r="H14590"/>
      <c r="I14590" s="489"/>
      <c r="J14590" s="1362"/>
      <c r="K14590" s="1362"/>
      <c r="L14590" s="1362"/>
    </row>
    <row r="14591" spans="1:12" x14ac:dyDescent="0.25">
      <c r="A14591">
        <v>103316</v>
      </c>
      <c r="B14591" t="s">
        <v>7476</v>
      </c>
      <c r="C14591" t="s">
        <v>297</v>
      </c>
      <c r="D14591" s="254">
        <v>78.02</v>
      </c>
      <c r="E14591"/>
      <c r="F14591"/>
      <c r="G14591"/>
      <c r="H14591"/>
      <c r="I14591" s="489"/>
      <c r="J14591" s="1362"/>
      <c r="K14591" s="1362"/>
      <c r="L14591" s="1362"/>
    </row>
    <row r="14592" spans="1:12" x14ac:dyDescent="0.25">
      <c r="A14592">
        <v>103317</v>
      </c>
      <c r="B14592" t="s">
        <v>7477</v>
      </c>
      <c r="C14592" t="s">
        <v>297</v>
      </c>
      <c r="D14592" s="254">
        <v>79.13</v>
      </c>
      <c r="E14592"/>
      <c r="F14592"/>
      <c r="G14592"/>
      <c r="H14592"/>
      <c r="I14592" s="489"/>
      <c r="J14592" s="1362"/>
      <c r="K14592" s="1362"/>
      <c r="L14592" s="1362"/>
    </row>
    <row r="14593" spans="1:12" x14ac:dyDescent="0.25">
      <c r="A14593">
        <v>103318</v>
      </c>
      <c r="B14593" t="s">
        <v>7478</v>
      </c>
      <c r="C14593" t="s">
        <v>297</v>
      </c>
      <c r="D14593" s="254">
        <v>101.31</v>
      </c>
      <c r="E14593"/>
      <c r="F14593"/>
      <c r="G14593"/>
      <c r="H14593"/>
      <c r="I14593" s="489"/>
      <c r="J14593" s="1362"/>
      <c r="K14593" s="1362"/>
      <c r="L14593" s="1362"/>
    </row>
    <row r="14594" spans="1:12" x14ac:dyDescent="0.25">
      <c r="A14594">
        <v>103319</v>
      </c>
      <c r="B14594" t="s">
        <v>7479</v>
      </c>
      <c r="C14594" t="s">
        <v>297</v>
      </c>
      <c r="D14594" s="254">
        <v>102.62</v>
      </c>
      <c r="E14594"/>
      <c r="F14594"/>
      <c r="G14594"/>
      <c r="H14594"/>
      <c r="I14594" s="489"/>
      <c r="J14594" s="1362"/>
      <c r="K14594" s="1362"/>
      <c r="L14594" s="1362"/>
    </row>
    <row r="14595" spans="1:12" x14ac:dyDescent="0.25">
      <c r="A14595">
        <v>103320</v>
      </c>
      <c r="B14595" t="s">
        <v>7480</v>
      </c>
      <c r="C14595" t="s">
        <v>297</v>
      </c>
      <c r="D14595" s="254">
        <v>121.87</v>
      </c>
      <c r="E14595"/>
      <c r="F14595"/>
      <c r="G14595"/>
      <c r="H14595"/>
      <c r="I14595" s="489"/>
      <c r="J14595" s="1362"/>
      <c r="K14595" s="1362"/>
      <c r="L14595" s="1362"/>
    </row>
    <row r="14596" spans="1:12" x14ac:dyDescent="0.25">
      <c r="A14596">
        <v>103321</v>
      </c>
      <c r="B14596" t="s">
        <v>7481</v>
      </c>
      <c r="C14596" t="s">
        <v>297</v>
      </c>
      <c r="D14596" s="254">
        <v>123.51</v>
      </c>
      <c r="E14596"/>
      <c r="F14596"/>
      <c r="G14596"/>
      <c r="H14596"/>
      <c r="I14596" s="489"/>
      <c r="J14596" s="1362"/>
      <c r="K14596" s="1362"/>
      <c r="L14596" s="1362"/>
    </row>
    <row r="14597" spans="1:12" x14ac:dyDescent="0.25">
      <c r="A14597">
        <v>103336</v>
      </c>
      <c r="B14597" t="s">
        <v>7482</v>
      </c>
      <c r="C14597" t="s">
        <v>297</v>
      </c>
      <c r="D14597" s="254">
        <v>87.82</v>
      </c>
      <c r="E14597"/>
      <c r="F14597"/>
      <c r="G14597"/>
      <c r="H14597"/>
      <c r="I14597" s="489"/>
      <c r="J14597" s="1362"/>
      <c r="K14597" s="1362"/>
      <c r="L14597" s="1362"/>
    </row>
    <row r="14598" spans="1:12" x14ac:dyDescent="0.25">
      <c r="A14598">
        <v>103337</v>
      </c>
      <c r="B14598" t="s">
        <v>7483</v>
      </c>
      <c r="C14598" t="s">
        <v>297</v>
      </c>
      <c r="D14598" s="254">
        <v>88.93</v>
      </c>
      <c r="E14598"/>
      <c r="F14598"/>
      <c r="G14598"/>
      <c r="H14598"/>
      <c r="I14598" s="489"/>
      <c r="J14598" s="1362"/>
      <c r="K14598" s="1362"/>
      <c r="L14598" s="1362"/>
    </row>
    <row r="14599" spans="1:12" x14ac:dyDescent="0.25">
      <c r="A14599">
        <v>103338</v>
      </c>
      <c r="B14599" t="s">
        <v>7484</v>
      </c>
      <c r="C14599" t="s">
        <v>297</v>
      </c>
      <c r="D14599" s="254">
        <v>115.6</v>
      </c>
      <c r="E14599"/>
      <c r="F14599"/>
      <c r="G14599"/>
      <c r="H14599"/>
      <c r="I14599" s="489"/>
      <c r="J14599" s="1362"/>
      <c r="K14599" s="1362"/>
      <c r="L14599" s="1362"/>
    </row>
    <row r="14600" spans="1:12" x14ac:dyDescent="0.25">
      <c r="A14600">
        <v>103339</v>
      </c>
      <c r="B14600" t="s">
        <v>7485</v>
      </c>
      <c r="C14600" t="s">
        <v>297</v>
      </c>
      <c r="D14600" s="254">
        <v>116.91</v>
      </c>
      <c r="E14600"/>
      <c r="F14600"/>
      <c r="G14600"/>
      <c r="H14600"/>
      <c r="I14600" s="489"/>
      <c r="J14600" s="1362"/>
      <c r="K14600" s="1362"/>
      <c r="L14600" s="1362"/>
    </row>
    <row r="14601" spans="1:12" x14ac:dyDescent="0.25">
      <c r="A14601">
        <v>103340</v>
      </c>
      <c r="B14601" t="s">
        <v>7486</v>
      </c>
      <c r="C14601" t="s">
        <v>297</v>
      </c>
      <c r="D14601" s="254">
        <v>139.97</v>
      </c>
      <c r="E14601"/>
      <c r="F14601"/>
      <c r="G14601"/>
      <c r="H14601"/>
      <c r="I14601" s="489"/>
      <c r="J14601" s="1362"/>
      <c r="K14601" s="1362"/>
      <c r="L14601" s="1362"/>
    </row>
    <row r="14602" spans="1:12" x14ac:dyDescent="0.25">
      <c r="A14602">
        <v>103341</v>
      </c>
      <c r="B14602" t="s">
        <v>7487</v>
      </c>
      <c r="C14602" t="s">
        <v>297</v>
      </c>
      <c r="D14602" s="254">
        <v>141.61000000000001</v>
      </c>
      <c r="E14602"/>
      <c r="F14602"/>
      <c r="G14602"/>
      <c r="H14602"/>
      <c r="I14602" s="489"/>
      <c r="J14602" s="1362"/>
      <c r="K14602" s="1362"/>
      <c r="L14602" s="1362"/>
    </row>
    <row r="14603" spans="1:12" x14ac:dyDescent="0.25">
      <c r="A14603">
        <v>103342</v>
      </c>
      <c r="B14603" t="s">
        <v>7488</v>
      </c>
      <c r="C14603" t="s">
        <v>297</v>
      </c>
      <c r="D14603" s="254">
        <v>118.17</v>
      </c>
      <c r="E14603"/>
      <c r="F14603"/>
      <c r="G14603"/>
      <c r="H14603"/>
      <c r="I14603" s="489"/>
      <c r="J14603" s="1362"/>
      <c r="K14603" s="1362"/>
      <c r="L14603" s="1362"/>
    </row>
    <row r="14604" spans="1:12" x14ac:dyDescent="0.25">
      <c r="A14604">
        <v>103343</v>
      </c>
      <c r="B14604" t="s">
        <v>7489</v>
      </c>
      <c r="C14604" t="s">
        <v>297</v>
      </c>
      <c r="D14604" s="254">
        <v>119.61</v>
      </c>
      <c r="E14604"/>
      <c r="F14604"/>
      <c r="G14604"/>
      <c r="H14604"/>
      <c r="I14604" s="489"/>
      <c r="J14604" s="1362"/>
      <c r="K14604" s="1362"/>
      <c r="L14604" s="1362"/>
    </row>
    <row r="14605" spans="1:12" x14ac:dyDescent="0.25">
      <c r="A14605">
        <v>89453</v>
      </c>
      <c r="B14605" t="s">
        <v>1975</v>
      </c>
      <c r="C14605" t="s">
        <v>297</v>
      </c>
      <c r="D14605" s="254">
        <v>91.51</v>
      </c>
      <c r="E14605"/>
      <c r="F14605"/>
      <c r="G14605"/>
      <c r="H14605"/>
      <c r="I14605" s="489"/>
      <c r="J14605" s="1362"/>
      <c r="K14605" s="1362"/>
      <c r="L14605" s="1362"/>
    </row>
    <row r="14606" spans="1:12" x14ac:dyDescent="0.25">
      <c r="A14606">
        <v>89454</v>
      </c>
      <c r="B14606" t="s">
        <v>1976</v>
      </c>
      <c r="C14606" t="s">
        <v>297</v>
      </c>
      <c r="D14606" s="254">
        <v>87.43</v>
      </c>
      <c r="E14606"/>
      <c r="F14606"/>
      <c r="G14606"/>
      <c r="H14606"/>
      <c r="I14606" s="489"/>
      <c r="J14606" s="1362"/>
      <c r="K14606" s="1362"/>
      <c r="L14606" s="1362"/>
    </row>
    <row r="14607" spans="1:12" x14ac:dyDescent="0.25">
      <c r="A14607">
        <v>89455</v>
      </c>
      <c r="B14607" t="s">
        <v>1977</v>
      </c>
      <c r="C14607" t="s">
        <v>297</v>
      </c>
      <c r="D14607" s="254">
        <v>113.83</v>
      </c>
      <c r="E14607"/>
      <c r="F14607"/>
      <c r="G14607"/>
      <c r="H14607"/>
      <c r="I14607" s="489"/>
      <c r="J14607" s="1362"/>
      <c r="K14607" s="1362"/>
      <c r="L14607" s="1362"/>
    </row>
    <row r="14608" spans="1:12" x14ac:dyDescent="0.25">
      <c r="A14608">
        <v>89456</v>
      </c>
      <c r="B14608" t="s">
        <v>1978</v>
      </c>
      <c r="C14608" t="s">
        <v>297</v>
      </c>
      <c r="D14608" s="254">
        <v>109.14</v>
      </c>
      <c r="E14608"/>
      <c r="F14608"/>
      <c r="G14608"/>
      <c r="H14608"/>
      <c r="I14608" s="489"/>
      <c r="J14608" s="1362"/>
      <c r="K14608" s="1362"/>
      <c r="L14608" s="1362"/>
    </row>
    <row r="14609" spans="1:12" x14ac:dyDescent="0.25">
      <c r="A14609">
        <v>89457</v>
      </c>
      <c r="B14609" t="s">
        <v>1979</v>
      </c>
      <c r="C14609" t="s">
        <v>297</v>
      </c>
      <c r="D14609" s="254">
        <v>96.88</v>
      </c>
      <c r="E14609"/>
      <c r="F14609"/>
      <c r="G14609"/>
      <c r="H14609"/>
      <c r="I14609" s="489"/>
      <c r="J14609" s="1362"/>
      <c r="K14609" s="1362"/>
      <c r="L14609" s="1362"/>
    </row>
    <row r="14610" spans="1:12" x14ac:dyDescent="0.25">
      <c r="A14610">
        <v>89458</v>
      </c>
      <c r="B14610" t="s">
        <v>1980</v>
      </c>
      <c r="C14610" t="s">
        <v>297</v>
      </c>
      <c r="D14610" s="254">
        <v>90.54</v>
      </c>
      <c r="E14610"/>
      <c r="F14610"/>
      <c r="G14610"/>
      <c r="H14610"/>
      <c r="I14610" s="489"/>
      <c r="J14610" s="1362"/>
      <c r="K14610" s="1362"/>
      <c r="L14610" s="1362"/>
    </row>
    <row r="14611" spans="1:12" x14ac:dyDescent="0.25">
      <c r="A14611">
        <v>89459</v>
      </c>
      <c r="B14611" t="s">
        <v>1981</v>
      </c>
      <c r="C14611" t="s">
        <v>297</v>
      </c>
      <c r="D14611" s="254">
        <v>119.7</v>
      </c>
      <c r="E14611"/>
      <c r="F14611"/>
      <c r="G14611"/>
      <c r="H14611"/>
      <c r="I14611" s="489"/>
      <c r="J14611" s="1362"/>
      <c r="K14611" s="1362"/>
      <c r="L14611" s="1362"/>
    </row>
    <row r="14612" spans="1:12" x14ac:dyDescent="0.25">
      <c r="A14612">
        <v>89460</v>
      </c>
      <c r="B14612" t="s">
        <v>1982</v>
      </c>
      <c r="C14612" t="s">
        <v>297</v>
      </c>
      <c r="D14612" s="254">
        <v>112.66</v>
      </c>
      <c r="E14612"/>
      <c r="F14612"/>
      <c r="G14612"/>
      <c r="H14612"/>
      <c r="I14612" s="489"/>
      <c r="J14612" s="1362"/>
      <c r="K14612" s="1362"/>
      <c r="L14612" s="1362"/>
    </row>
    <row r="14613" spans="1:12" x14ac:dyDescent="0.25">
      <c r="A14613">
        <v>89462</v>
      </c>
      <c r="B14613" t="s">
        <v>1983</v>
      </c>
      <c r="C14613" t="s">
        <v>297</v>
      </c>
      <c r="D14613" s="254">
        <v>109.86</v>
      </c>
      <c r="E14613"/>
      <c r="F14613"/>
      <c r="G14613"/>
      <c r="H14613"/>
      <c r="I14613" s="489"/>
      <c r="J14613" s="1362"/>
      <c r="K14613" s="1362"/>
      <c r="L14613" s="1362"/>
    </row>
    <row r="14614" spans="1:12" x14ac:dyDescent="0.25">
      <c r="A14614">
        <v>89463</v>
      </c>
      <c r="B14614" t="s">
        <v>1984</v>
      </c>
      <c r="C14614" t="s">
        <v>297</v>
      </c>
      <c r="D14614" s="254">
        <v>105.74</v>
      </c>
      <c r="E14614"/>
      <c r="F14614"/>
      <c r="G14614"/>
      <c r="H14614"/>
      <c r="I14614" s="489"/>
      <c r="J14614" s="1362"/>
      <c r="K14614" s="1362"/>
      <c r="L14614" s="1362"/>
    </row>
    <row r="14615" spans="1:12" x14ac:dyDescent="0.25">
      <c r="A14615">
        <v>89464</v>
      </c>
      <c r="B14615" t="s">
        <v>1985</v>
      </c>
      <c r="C14615" t="s">
        <v>297</v>
      </c>
      <c r="D14615" s="254">
        <v>132.36000000000001</v>
      </c>
      <c r="E14615"/>
      <c r="F14615"/>
      <c r="G14615"/>
      <c r="H14615"/>
      <c r="I14615" s="489"/>
      <c r="J14615" s="1362"/>
      <c r="K14615" s="1362"/>
      <c r="L14615" s="1362"/>
    </row>
    <row r="14616" spans="1:12" x14ac:dyDescent="0.25">
      <c r="A14616">
        <v>89465</v>
      </c>
      <c r="B14616" t="s">
        <v>1986</v>
      </c>
      <c r="C14616" t="s">
        <v>297</v>
      </c>
      <c r="D14616" s="254">
        <v>127.76</v>
      </c>
      <c r="E14616"/>
      <c r="F14616"/>
      <c r="G14616"/>
      <c r="H14616"/>
      <c r="I14616" s="489"/>
      <c r="J14616" s="1362"/>
      <c r="K14616" s="1362"/>
      <c r="L14616" s="1362"/>
    </row>
    <row r="14617" spans="1:12" x14ac:dyDescent="0.25">
      <c r="A14617">
        <v>89466</v>
      </c>
      <c r="B14617" t="s">
        <v>1987</v>
      </c>
      <c r="C14617" t="s">
        <v>297</v>
      </c>
      <c r="D14617" s="254">
        <v>117.3</v>
      </c>
      <c r="E14617"/>
      <c r="F14617"/>
      <c r="G14617"/>
      <c r="H14617"/>
      <c r="I14617" s="489"/>
      <c r="J14617" s="1362"/>
      <c r="K14617" s="1362"/>
      <c r="L14617" s="1362"/>
    </row>
    <row r="14618" spans="1:12" x14ac:dyDescent="0.25">
      <c r="A14618">
        <v>89467</v>
      </c>
      <c r="B14618" t="s">
        <v>1988</v>
      </c>
      <c r="C14618" t="s">
        <v>297</v>
      </c>
      <c r="D14618" s="254">
        <v>110.11</v>
      </c>
      <c r="E14618"/>
      <c r="F14618"/>
      <c r="G14618"/>
      <c r="H14618"/>
      <c r="I14618" s="489"/>
      <c r="J14618" s="1362"/>
      <c r="K14618" s="1362"/>
      <c r="L14618" s="1362"/>
    </row>
    <row r="14619" spans="1:12" x14ac:dyDescent="0.25">
      <c r="A14619">
        <v>89468</v>
      </c>
      <c r="B14619" t="s">
        <v>1989</v>
      </c>
      <c r="C14619" t="s">
        <v>297</v>
      </c>
      <c r="D14619" s="254">
        <v>140.13</v>
      </c>
      <c r="E14619"/>
      <c r="F14619"/>
      <c r="G14619"/>
      <c r="H14619"/>
      <c r="I14619" s="489"/>
      <c r="J14619" s="1362"/>
      <c r="K14619" s="1362"/>
      <c r="L14619" s="1362"/>
    </row>
    <row r="14620" spans="1:12" x14ac:dyDescent="0.25">
      <c r="A14620">
        <v>89469</v>
      </c>
      <c r="B14620" t="s">
        <v>1990</v>
      </c>
      <c r="C14620" t="s">
        <v>297</v>
      </c>
      <c r="D14620" s="254">
        <v>132.46</v>
      </c>
      <c r="E14620"/>
      <c r="F14620"/>
      <c r="G14620"/>
      <c r="H14620"/>
      <c r="I14620" s="489"/>
      <c r="J14620" s="1362"/>
      <c r="K14620" s="1362"/>
      <c r="L14620" s="1362"/>
    </row>
    <row r="14621" spans="1:12" x14ac:dyDescent="0.25">
      <c r="A14621">
        <v>89470</v>
      </c>
      <c r="B14621" t="s">
        <v>1991</v>
      </c>
      <c r="C14621" t="s">
        <v>297</v>
      </c>
      <c r="D14621" s="254">
        <v>108.41</v>
      </c>
      <c r="E14621"/>
      <c r="F14621"/>
      <c r="G14621"/>
      <c r="H14621"/>
      <c r="I14621" s="489"/>
      <c r="J14621" s="1362"/>
      <c r="K14621" s="1362"/>
      <c r="L14621" s="1362"/>
    </row>
    <row r="14622" spans="1:12" x14ac:dyDescent="0.25">
      <c r="A14622">
        <v>89471</v>
      </c>
      <c r="B14622" t="s">
        <v>1992</v>
      </c>
      <c r="C14622" t="s">
        <v>297</v>
      </c>
      <c r="D14622" s="254">
        <v>104.33</v>
      </c>
      <c r="E14622"/>
      <c r="F14622"/>
      <c r="G14622"/>
      <c r="H14622"/>
      <c r="I14622" s="489"/>
      <c r="J14622" s="1362"/>
      <c r="K14622" s="1362"/>
      <c r="L14622" s="1362"/>
    </row>
    <row r="14623" spans="1:12" x14ac:dyDescent="0.25">
      <c r="A14623">
        <v>89472</v>
      </c>
      <c r="B14623" t="s">
        <v>1993</v>
      </c>
      <c r="C14623" t="s">
        <v>297</v>
      </c>
      <c r="D14623" s="254">
        <v>130.66</v>
      </c>
      <c r="E14623"/>
      <c r="F14623"/>
      <c r="G14623"/>
      <c r="H14623"/>
      <c r="I14623" s="489"/>
      <c r="J14623" s="1362"/>
      <c r="K14623" s="1362"/>
      <c r="L14623" s="1362"/>
    </row>
    <row r="14624" spans="1:12" x14ac:dyDescent="0.25">
      <c r="A14624">
        <v>89473</v>
      </c>
      <c r="B14624" t="s">
        <v>1994</v>
      </c>
      <c r="C14624" t="s">
        <v>297</v>
      </c>
      <c r="D14624" s="254">
        <v>126.27</v>
      </c>
      <c r="E14624"/>
      <c r="F14624"/>
      <c r="G14624"/>
      <c r="H14624"/>
      <c r="I14624" s="489"/>
      <c r="J14624" s="1362"/>
      <c r="K14624" s="1362"/>
      <c r="L14624" s="1362"/>
    </row>
    <row r="14625" spans="1:12" x14ac:dyDescent="0.25">
      <c r="A14625">
        <v>89474</v>
      </c>
      <c r="B14625" t="s">
        <v>1995</v>
      </c>
      <c r="C14625" t="s">
        <v>297</v>
      </c>
      <c r="D14625" s="254">
        <v>118.48</v>
      </c>
      <c r="E14625"/>
      <c r="F14625"/>
      <c r="G14625"/>
      <c r="H14625"/>
      <c r="I14625" s="489"/>
      <c r="J14625" s="1362"/>
      <c r="K14625" s="1362"/>
      <c r="L14625" s="1362"/>
    </row>
    <row r="14626" spans="1:12" x14ac:dyDescent="0.25">
      <c r="A14626">
        <v>89475</v>
      </c>
      <c r="B14626" t="s">
        <v>1996</v>
      </c>
      <c r="C14626" t="s">
        <v>297</v>
      </c>
      <c r="D14626" s="254">
        <v>110</v>
      </c>
      <c r="E14626"/>
      <c r="F14626"/>
      <c r="G14626"/>
      <c r="H14626"/>
      <c r="I14626" s="489"/>
      <c r="J14626" s="1362"/>
      <c r="K14626" s="1362"/>
      <c r="L14626" s="1362"/>
    </row>
    <row r="14627" spans="1:12" x14ac:dyDescent="0.25">
      <c r="A14627">
        <v>89476</v>
      </c>
      <c r="B14627" t="s">
        <v>1997</v>
      </c>
      <c r="C14627" t="s">
        <v>297</v>
      </c>
      <c r="D14627" s="254">
        <v>141.54</v>
      </c>
      <c r="E14627"/>
      <c r="F14627"/>
      <c r="G14627"/>
      <c r="H14627"/>
      <c r="I14627" s="489"/>
      <c r="J14627" s="1362"/>
      <c r="K14627" s="1362"/>
      <c r="L14627" s="1362"/>
    </row>
    <row r="14628" spans="1:12" x14ac:dyDescent="0.25">
      <c r="A14628">
        <v>89477</v>
      </c>
      <c r="B14628" t="s">
        <v>1998</v>
      </c>
      <c r="C14628" t="s">
        <v>297</v>
      </c>
      <c r="D14628" s="254">
        <v>132.66</v>
      </c>
      <c r="E14628"/>
      <c r="F14628"/>
      <c r="G14628"/>
      <c r="H14628"/>
      <c r="I14628" s="489"/>
      <c r="J14628" s="1362"/>
      <c r="K14628" s="1362"/>
      <c r="L14628" s="1362"/>
    </row>
    <row r="14629" spans="1:12" x14ac:dyDescent="0.25">
      <c r="A14629">
        <v>89478</v>
      </c>
      <c r="B14629" t="s">
        <v>1999</v>
      </c>
      <c r="C14629" t="s">
        <v>297</v>
      </c>
      <c r="D14629" s="254">
        <v>127.08</v>
      </c>
      <c r="E14629"/>
      <c r="F14629"/>
      <c r="G14629"/>
      <c r="H14629"/>
      <c r="I14629" s="489"/>
      <c r="J14629" s="1362"/>
      <c r="K14629" s="1362"/>
      <c r="L14629" s="1362"/>
    </row>
    <row r="14630" spans="1:12" x14ac:dyDescent="0.25">
      <c r="A14630">
        <v>89479</v>
      </c>
      <c r="B14630" t="s">
        <v>2000</v>
      </c>
      <c r="C14630" t="s">
        <v>297</v>
      </c>
      <c r="D14630" s="254">
        <v>122.96</v>
      </c>
      <c r="E14630"/>
      <c r="F14630"/>
      <c r="G14630"/>
      <c r="H14630"/>
      <c r="I14630" s="489"/>
      <c r="J14630" s="1362"/>
      <c r="K14630" s="1362"/>
      <c r="L14630" s="1362"/>
    </row>
    <row r="14631" spans="1:12" x14ac:dyDescent="0.25">
      <c r="A14631">
        <v>89480</v>
      </c>
      <c r="B14631" t="s">
        <v>2001</v>
      </c>
      <c r="C14631" t="s">
        <v>297</v>
      </c>
      <c r="D14631" s="254">
        <v>149.54</v>
      </c>
      <c r="E14631"/>
      <c r="F14631"/>
      <c r="G14631"/>
      <c r="H14631"/>
      <c r="I14631" s="489"/>
      <c r="J14631" s="1362"/>
      <c r="K14631" s="1362"/>
      <c r="L14631" s="1362"/>
    </row>
    <row r="14632" spans="1:12" x14ac:dyDescent="0.25">
      <c r="A14632">
        <v>89483</v>
      </c>
      <c r="B14632" t="s">
        <v>2002</v>
      </c>
      <c r="C14632" t="s">
        <v>297</v>
      </c>
      <c r="D14632" s="254">
        <v>145.24</v>
      </c>
      <c r="E14632"/>
      <c r="F14632"/>
      <c r="G14632"/>
      <c r="H14632"/>
      <c r="I14632" s="489"/>
      <c r="J14632" s="1362"/>
      <c r="K14632" s="1362"/>
      <c r="L14632" s="1362"/>
    </row>
    <row r="14633" spans="1:12" x14ac:dyDescent="0.25">
      <c r="A14633">
        <v>89484</v>
      </c>
      <c r="B14633" t="s">
        <v>2003</v>
      </c>
      <c r="C14633" t="s">
        <v>297</v>
      </c>
      <c r="D14633" s="254">
        <v>139.24</v>
      </c>
      <c r="E14633"/>
      <c r="F14633"/>
      <c r="G14633"/>
      <c r="H14633"/>
      <c r="I14633" s="489"/>
      <c r="J14633" s="1362"/>
      <c r="K14633" s="1362"/>
      <c r="L14633" s="1362"/>
    </row>
    <row r="14634" spans="1:12" x14ac:dyDescent="0.25">
      <c r="A14634">
        <v>89486</v>
      </c>
      <c r="B14634" t="s">
        <v>2004</v>
      </c>
      <c r="C14634" t="s">
        <v>297</v>
      </c>
      <c r="D14634" s="254">
        <v>130.19999999999999</v>
      </c>
      <c r="E14634"/>
      <c r="F14634"/>
      <c r="G14634"/>
      <c r="H14634"/>
      <c r="I14634" s="489"/>
      <c r="J14634" s="1362"/>
      <c r="K14634" s="1362"/>
      <c r="L14634" s="1362"/>
    </row>
    <row r="14635" spans="1:12" x14ac:dyDescent="0.25">
      <c r="A14635">
        <v>89487</v>
      </c>
      <c r="B14635" t="s">
        <v>2005</v>
      </c>
      <c r="C14635" t="s">
        <v>297</v>
      </c>
      <c r="D14635" s="254">
        <v>162.32</v>
      </c>
      <c r="E14635"/>
      <c r="F14635"/>
      <c r="G14635"/>
      <c r="H14635"/>
      <c r="I14635" s="489"/>
      <c r="J14635" s="1362"/>
      <c r="K14635" s="1362"/>
      <c r="L14635" s="1362"/>
    </row>
    <row r="14636" spans="1:12" x14ac:dyDescent="0.25">
      <c r="A14636">
        <v>89488</v>
      </c>
      <c r="B14636" t="s">
        <v>2006</v>
      </c>
      <c r="C14636" t="s">
        <v>297</v>
      </c>
      <c r="D14636" s="254">
        <v>152.82</v>
      </c>
      <c r="E14636"/>
      <c r="F14636"/>
      <c r="G14636"/>
      <c r="H14636"/>
      <c r="I14636" s="489"/>
      <c r="J14636" s="1362"/>
      <c r="K14636" s="1362"/>
      <c r="L14636" s="1362"/>
    </row>
    <row r="14637" spans="1:12" x14ac:dyDescent="0.25">
      <c r="A14637">
        <v>91815</v>
      </c>
      <c r="B14637" t="s">
        <v>2007</v>
      </c>
      <c r="C14637" t="s">
        <v>297</v>
      </c>
      <c r="D14637" s="254">
        <v>91.42</v>
      </c>
      <c r="E14637"/>
      <c r="F14637"/>
      <c r="G14637"/>
      <c r="H14637"/>
      <c r="I14637" s="489"/>
      <c r="J14637" s="1362"/>
      <c r="K14637" s="1362"/>
      <c r="L14637" s="1362"/>
    </row>
    <row r="14638" spans="1:12" x14ac:dyDescent="0.25">
      <c r="A14638">
        <v>91816</v>
      </c>
      <c r="B14638" t="s">
        <v>2008</v>
      </c>
      <c r="C14638" t="s">
        <v>297</v>
      </c>
      <c r="D14638" s="254">
        <v>110.47</v>
      </c>
      <c r="E14638"/>
      <c r="F14638"/>
      <c r="G14638"/>
      <c r="H14638"/>
      <c r="I14638" s="489"/>
      <c r="J14638" s="1362"/>
      <c r="K14638" s="1362"/>
      <c r="L14638" s="1362"/>
    </row>
    <row r="14639" spans="1:12" x14ac:dyDescent="0.25">
      <c r="A14639">
        <v>101161</v>
      </c>
      <c r="B14639" t="s">
        <v>4431</v>
      </c>
      <c r="C14639" t="s">
        <v>297</v>
      </c>
      <c r="D14639" s="254">
        <v>232.69</v>
      </c>
      <c r="E14639"/>
      <c r="F14639"/>
      <c r="G14639"/>
      <c r="H14639"/>
      <c r="I14639" s="489"/>
      <c r="J14639" s="1362"/>
      <c r="K14639" s="1362"/>
      <c r="L14639" s="1362"/>
    </row>
    <row r="14640" spans="1:12" x14ac:dyDescent="0.25">
      <c r="A14640">
        <v>101163</v>
      </c>
      <c r="B14640" t="s">
        <v>4432</v>
      </c>
      <c r="C14640" t="s">
        <v>297</v>
      </c>
      <c r="D14640" s="254">
        <v>729.98</v>
      </c>
      <c r="E14640"/>
      <c r="F14640"/>
      <c r="G14640"/>
      <c r="H14640"/>
      <c r="I14640" s="489"/>
      <c r="J14640" s="1362"/>
      <c r="K14640" s="1362"/>
      <c r="L14640" s="1362"/>
    </row>
    <row r="14641" spans="1:12" x14ac:dyDescent="0.25">
      <c r="A14641">
        <v>101164</v>
      </c>
      <c r="B14641" t="s">
        <v>4433</v>
      </c>
      <c r="C14641" t="s">
        <v>297</v>
      </c>
      <c r="D14641" s="254">
        <v>740.56</v>
      </c>
      <c r="E14641"/>
      <c r="F14641"/>
      <c r="G14641"/>
      <c r="H14641"/>
      <c r="I14641" s="489"/>
      <c r="J14641" s="1362"/>
      <c r="K14641" s="1362"/>
      <c r="L14641" s="1362"/>
    </row>
    <row r="14642" spans="1:12" x14ac:dyDescent="0.25">
      <c r="A14642">
        <v>96358</v>
      </c>
      <c r="B14642" t="s">
        <v>19682</v>
      </c>
      <c r="C14642" t="s">
        <v>297</v>
      </c>
      <c r="D14642" s="254">
        <v>106.96</v>
      </c>
      <c r="E14642"/>
      <c r="F14642"/>
      <c r="G14642"/>
      <c r="H14642"/>
      <c r="I14642" s="489"/>
      <c r="J14642" s="1362"/>
      <c r="K14642" s="1362"/>
      <c r="L14642" s="1362"/>
    </row>
    <row r="14643" spans="1:12" x14ac:dyDescent="0.25">
      <c r="A14643">
        <v>96359</v>
      </c>
      <c r="B14643" t="s">
        <v>19683</v>
      </c>
      <c r="C14643" t="s">
        <v>297</v>
      </c>
      <c r="D14643" s="254">
        <v>121.88</v>
      </c>
      <c r="E14643"/>
      <c r="F14643"/>
      <c r="G14643"/>
      <c r="H14643"/>
      <c r="I14643" s="489"/>
      <c r="J14643" s="1362"/>
      <c r="K14643" s="1362"/>
      <c r="L14643" s="1362"/>
    </row>
    <row r="14644" spans="1:12" x14ac:dyDescent="0.25">
      <c r="A14644">
        <v>96360</v>
      </c>
      <c r="B14644" t="s">
        <v>19684</v>
      </c>
      <c r="C14644" t="s">
        <v>297</v>
      </c>
      <c r="D14644" s="254">
        <v>145.61000000000001</v>
      </c>
      <c r="E14644"/>
      <c r="F14644"/>
      <c r="G14644"/>
      <c r="H14644"/>
      <c r="I14644" s="489"/>
      <c r="J14644" s="1362"/>
      <c r="K14644" s="1362"/>
      <c r="L14644" s="1362"/>
    </row>
    <row r="14645" spans="1:12" x14ac:dyDescent="0.25">
      <c r="A14645">
        <v>96361</v>
      </c>
      <c r="B14645" t="s">
        <v>19685</v>
      </c>
      <c r="C14645" t="s">
        <v>297</v>
      </c>
      <c r="D14645" s="254">
        <v>174.82</v>
      </c>
      <c r="E14645"/>
      <c r="F14645"/>
      <c r="G14645"/>
      <c r="H14645"/>
      <c r="I14645" s="489"/>
      <c r="J14645" s="1362"/>
      <c r="K14645" s="1362"/>
      <c r="L14645" s="1362"/>
    </row>
    <row r="14646" spans="1:12" x14ac:dyDescent="0.25">
      <c r="A14646">
        <v>96362</v>
      </c>
      <c r="B14646" t="s">
        <v>19686</v>
      </c>
      <c r="C14646" t="s">
        <v>297</v>
      </c>
      <c r="D14646" s="254">
        <v>137.52000000000001</v>
      </c>
      <c r="E14646"/>
      <c r="F14646"/>
      <c r="G14646"/>
      <c r="H14646"/>
      <c r="I14646" s="489"/>
      <c r="J14646" s="1362"/>
      <c r="K14646" s="1362"/>
      <c r="L14646" s="1362"/>
    </row>
    <row r="14647" spans="1:12" x14ac:dyDescent="0.25">
      <c r="A14647">
        <v>96363</v>
      </c>
      <c r="B14647" t="s">
        <v>19687</v>
      </c>
      <c r="C14647" t="s">
        <v>297</v>
      </c>
      <c r="D14647" s="254">
        <v>152.85</v>
      </c>
      <c r="E14647"/>
      <c r="F14647"/>
      <c r="G14647"/>
      <c r="H14647"/>
      <c r="I14647" s="489"/>
      <c r="J14647" s="1362"/>
      <c r="K14647" s="1362"/>
      <c r="L14647" s="1362"/>
    </row>
    <row r="14648" spans="1:12" x14ac:dyDescent="0.25">
      <c r="A14648">
        <v>96364</v>
      </c>
      <c r="B14648" t="s">
        <v>19688</v>
      </c>
      <c r="C14648" t="s">
        <v>297</v>
      </c>
      <c r="D14648" s="254">
        <v>176.18</v>
      </c>
      <c r="E14648"/>
      <c r="F14648"/>
      <c r="G14648"/>
      <c r="H14648"/>
      <c r="I14648" s="489"/>
      <c r="J14648" s="1362"/>
      <c r="K14648" s="1362"/>
      <c r="L14648" s="1362"/>
    </row>
    <row r="14649" spans="1:12" x14ac:dyDescent="0.25">
      <c r="A14649">
        <v>96365</v>
      </c>
      <c r="B14649" t="s">
        <v>19689</v>
      </c>
      <c r="C14649" t="s">
        <v>297</v>
      </c>
      <c r="D14649" s="254">
        <v>205.77</v>
      </c>
      <c r="E14649"/>
      <c r="F14649"/>
      <c r="G14649"/>
      <c r="H14649"/>
      <c r="I14649" s="489"/>
      <c r="J14649" s="1362"/>
      <c r="K14649" s="1362"/>
      <c r="L14649" s="1362"/>
    </row>
    <row r="14650" spans="1:12" x14ac:dyDescent="0.25">
      <c r="A14650">
        <v>96366</v>
      </c>
      <c r="B14650" t="s">
        <v>19690</v>
      </c>
      <c r="C14650" t="s">
        <v>297</v>
      </c>
      <c r="D14650" s="254">
        <v>168.09</v>
      </c>
      <c r="E14650"/>
      <c r="F14650"/>
      <c r="G14650"/>
      <c r="H14650"/>
      <c r="I14650" s="489"/>
      <c r="J14650" s="1362"/>
      <c r="K14650" s="1362"/>
      <c r="L14650" s="1362"/>
    </row>
    <row r="14651" spans="1:12" x14ac:dyDescent="0.25">
      <c r="A14651">
        <v>96367</v>
      </c>
      <c r="B14651" t="s">
        <v>19691</v>
      </c>
      <c r="C14651" t="s">
        <v>297</v>
      </c>
      <c r="D14651" s="254">
        <v>183.78</v>
      </c>
      <c r="E14651"/>
      <c r="F14651"/>
      <c r="G14651"/>
      <c r="H14651"/>
      <c r="I14651" s="489"/>
      <c r="J14651" s="1362"/>
      <c r="K14651" s="1362"/>
      <c r="L14651" s="1362"/>
    </row>
    <row r="14652" spans="1:12" x14ac:dyDescent="0.25">
      <c r="A14652">
        <v>96368</v>
      </c>
      <c r="B14652" t="s">
        <v>2009</v>
      </c>
      <c r="C14652" t="s">
        <v>297</v>
      </c>
      <c r="D14652" s="254">
        <v>206.74</v>
      </c>
      <c r="E14652"/>
      <c r="F14652"/>
      <c r="G14652"/>
      <c r="H14652"/>
      <c r="I14652" s="489"/>
      <c r="J14652" s="1362"/>
      <c r="K14652" s="1362"/>
      <c r="L14652" s="1362"/>
    </row>
    <row r="14653" spans="1:12" x14ac:dyDescent="0.25">
      <c r="A14653">
        <v>96369</v>
      </c>
      <c r="B14653" t="s">
        <v>19692</v>
      </c>
      <c r="C14653" t="s">
        <v>297</v>
      </c>
      <c r="D14653" s="254">
        <v>236.73</v>
      </c>
      <c r="E14653"/>
      <c r="F14653"/>
      <c r="G14653"/>
      <c r="H14653"/>
      <c r="I14653" s="489"/>
      <c r="J14653" s="1362"/>
      <c r="K14653" s="1362"/>
      <c r="L14653" s="1362"/>
    </row>
    <row r="14654" spans="1:12" x14ac:dyDescent="0.25">
      <c r="A14654">
        <v>96370</v>
      </c>
      <c r="B14654" t="s">
        <v>19693</v>
      </c>
      <c r="C14654" t="s">
        <v>297</v>
      </c>
      <c r="D14654" s="254">
        <v>73.47</v>
      </c>
      <c r="E14654"/>
      <c r="F14654"/>
      <c r="G14654"/>
      <c r="H14654"/>
      <c r="I14654" s="489"/>
      <c r="J14654" s="1362"/>
      <c r="K14654" s="1362"/>
      <c r="L14654" s="1362"/>
    </row>
    <row r="14655" spans="1:12" x14ac:dyDescent="0.25">
      <c r="A14655">
        <v>96371</v>
      </c>
      <c r="B14655" t="s">
        <v>19694</v>
      </c>
      <c r="C14655" t="s">
        <v>297</v>
      </c>
      <c r="D14655" s="254">
        <v>88.17</v>
      </c>
      <c r="E14655"/>
      <c r="F14655"/>
      <c r="G14655"/>
      <c r="H14655"/>
      <c r="I14655" s="489"/>
      <c r="J14655" s="1362"/>
      <c r="K14655" s="1362"/>
      <c r="L14655" s="1362"/>
    </row>
    <row r="14656" spans="1:12" x14ac:dyDescent="0.25">
      <c r="A14656">
        <v>96373</v>
      </c>
      <c r="B14656" t="s">
        <v>2010</v>
      </c>
      <c r="C14656" t="s">
        <v>151</v>
      </c>
      <c r="D14656" s="254">
        <v>15.22</v>
      </c>
      <c r="E14656"/>
      <c r="F14656"/>
      <c r="G14656"/>
      <c r="H14656"/>
      <c r="I14656" s="489"/>
      <c r="J14656" s="1362"/>
      <c r="K14656" s="1362"/>
      <c r="L14656" s="1362"/>
    </row>
    <row r="14657" spans="1:12" x14ac:dyDescent="0.25">
      <c r="A14657">
        <v>96374</v>
      </c>
      <c r="B14657" t="s">
        <v>2011</v>
      </c>
      <c r="C14657" t="s">
        <v>151</v>
      </c>
      <c r="D14657" s="254">
        <v>41.21</v>
      </c>
      <c r="E14657"/>
      <c r="F14657"/>
      <c r="G14657"/>
      <c r="H14657"/>
      <c r="I14657" s="489"/>
      <c r="J14657" s="1362"/>
      <c r="K14657" s="1362"/>
      <c r="L14657" s="1362"/>
    </row>
    <row r="14658" spans="1:12" x14ac:dyDescent="0.25">
      <c r="A14658">
        <v>102235</v>
      </c>
      <c r="B14658" t="s">
        <v>6004</v>
      </c>
      <c r="C14658" t="s">
        <v>297</v>
      </c>
      <c r="D14658" s="254">
        <v>405.67</v>
      </c>
      <c r="E14658"/>
      <c r="F14658"/>
      <c r="G14658"/>
      <c r="H14658"/>
      <c r="I14658" s="489"/>
      <c r="J14658" s="1362"/>
      <c r="K14658" s="1362"/>
      <c r="L14658" s="1362"/>
    </row>
    <row r="14659" spans="1:12" x14ac:dyDescent="0.25">
      <c r="A14659">
        <v>102253</v>
      </c>
      <c r="B14659" t="s">
        <v>6005</v>
      </c>
      <c r="C14659" t="s">
        <v>297</v>
      </c>
      <c r="D14659" s="254">
        <v>846.5</v>
      </c>
      <c r="E14659"/>
      <c r="F14659"/>
      <c r="G14659"/>
      <c r="H14659"/>
      <c r="I14659" s="489"/>
      <c r="J14659" s="1362"/>
      <c r="K14659" s="1362"/>
      <c r="L14659" s="1362"/>
    </row>
    <row r="14660" spans="1:12" x14ac:dyDescent="0.25">
      <c r="A14660">
        <v>102254</v>
      </c>
      <c r="B14660" t="s">
        <v>6006</v>
      </c>
      <c r="C14660" t="s">
        <v>297</v>
      </c>
      <c r="D14660" s="254">
        <v>868.97</v>
      </c>
      <c r="E14660"/>
      <c r="F14660"/>
      <c r="G14660"/>
      <c r="H14660"/>
      <c r="I14660" s="489"/>
      <c r="J14660" s="1362"/>
      <c r="K14660" s="1362"/>
      <c r="L14660" s="1362"/>
    </row>
    <row r="14661" spans="1:12" x14ac:dyDescent="0.25">
      <c r="A14661">
        <v>102255</v>
      </c>
      <c r="B14661" t="s">
        <v>6007</v>
      </c>
      <c r="C14661" t="s">
        <v>297</v>
      </c>
      <c r="D14661" s="254">
        <v>867.9</v>
      </c>
      <c r="E14661"/>
      <c r="F14661"/>
      <c r="G14661"/>
      <c r="H14661"/>
      <c r="I14661" s="489"/>
      <c r="J14661" s="1362"/>
      <c r="K14661" s="1362"/>
      <c r="L14661" s="1362"/>
    </row>
    <row r="14662" spans="1:12" x14ac:dyDescent="0.25">
      <c r="A14662">
        <v>102256</v>
      </c>
      <c r="B14662" t="s">
        <v>6008</v>
      </c>
      <c r="C14662" t="s">
        <v>297</v>
      </c>
      <c r="D14662" s="254">
        <v>1035.52</v>
      </c>
      <c r="E14662"/>
      <c r="F14662"/>
      <c r="G14662"/>
      <c r="H14662"/>
      <c r="I14662" s="489"/>
      <c r="J14662" s="1362"/>
      <c r="K14662" s="1362"/>
      <c r="L14662" s="1362"/>
    </row>
    <row r="14663" spans="1:12" x14ac:dyDescent="0.25">
      <c r="A14663">
        <v>102257</v>
      </c>
      <c r="B14663" t="s">
        <v>6009</v>
      </c>
      <c r="C14663" t="s">
        <v>297</v>
      </c>
      <c r="D14663" s="254">
        <v>341.31</v>
      </c>
      <c r="E14663"/>
      <c r="F14663"/>
      <c r="G14663"/>
      <c r="H14663"/>
      <c r="I14663" s="489"/>
      <c r="J14663" s="1362"/>
      <c r="K14663" s="1362"/>
      <c r="L14663" s="1362"/>
    </row>
    <row r="14664" spans="1:12" x14ac:dyDescent="0.25">
      <c r="A14664">
        <v>102258</v>
      </c>
      <c r="B14664" t="s">
        <v>6010</v>
      </c>
      <c r="C14664" t="s">
        <v>297</v>
      </c>
      <c r="D14664" s="254">
        <v>379.8</v>
      </c>
      <c r="E14664"/>
      <c r="F14664"/>
      <c r="G14664"/>
      <c r="H14664"/>
      <c r="I14664" s="489"/>
      <c r="J14664" s="1362"/>
      <c r="K14664" s="1362"/>
      <c r="L14664" s="1362"/>
    </row>
    <row r="14665" spans="1:12" x14ac:dyDescent="0.25">
      <c r="A14665">
        <v>101154</v>
      </c>
      <c r="B14665" t="s">
        <v>4434</v>
      </c>
      <c r="C14665" t="s">
        <v>297</v>
      </c>
      <c r="D14665" s="254">
        <v>97.66</v>
      </c>
      <c r="E14665"/>
      <c r="F14665"/>
      <c r="G14665"/>
      <c r="H14665"/>
      <c r="I14665" s="489"/>
      <c r="J14665" s="1362"/>
      <c r="K14665" s="1362"/>
      <c r="L14665" s="1362"/>
    </row>
    <row r="14666" spans="1:12" x14ac:dyDescent="0.25">
      <c r="A14666">
        <v>101155</v>
      </c>
      <c r="B14666" t="s">
        <v>4435</v>
      </c>
      <c r="C14666" t="s">
        <v>297</v>
      </c>
      <c r="D14666" s="254">
        <v>135.16999999999999</v>
      </c>
      <c r="E14666"/>
      <c r="F14666"/>
      <c r="G14666"/>
      <c r="H14666"/>
      <c r="I14666" s="489"/>
      <c r="J14666" s="1362"/>
      <c r="K14666" s="1362"/>
      <c r="L14666" s="1362"/>
    </row>
    <row r="14667" spans="1:12" x14ac:dyDescent="0.25">
      <c r="A14667">
        <v>101156</v>
      </c>
      <c r="B14667" t="s">
        <v>4436</v>
      </c>
      <c r="C14667" t="s">
        <v>297</v>
      </c>
      <c r="D14667" s="254">
        <v>196</v>
      </c>
      <c r="E14667"/>
      <c r="F14667"/>
      <c r="G14667"/>
      <c r="H14667"/>
      <c r="I14667" s="489"/>
      <c r="J14667" s="1362"/>
      <c r="K14667" s="1362"/>
      <c r="L14667" s="1362"/>
    </row>
    <row r="14668" spans="1:12" x14ac:dyDescent="0.25">
      <c r="A14668">
        <v>101814</v>
      </c>
      <c r="B14668" t="s">
        <v>6109</v>
      </c>
      <c r="C14668" t="s">
        <v>297</v>
      </c>
      <c r="D14668" s="254">
        <v>50.88</v>
      </c>
      <c r="E14668"/>
      <c r="F14668"/>
      <c r="G14668"/>
      <c r="H14668"/>
      <c r="I14668" s="489"/>
      <c r="J14668" s="1362"/>
      <c r="K14668" s="1362"/>
      <c r="L14668" s="1362"/>
    </row>
    <row r="14669" spans="1:12" x14ac:dyDescent="0.25">
      <c r="A14669">
        <v>101816</v>
      </c>
      <c r="B14669" t="s">
        <v>6110</v>
      </c>
      <c r="C14669" t="s">
        <v>297</v>
      </c>
      <c r="D14669" s="254">
        <v>77.349999999999994</v>
      </c>
      <c r="E14669"/>
      <c r="F14669"/>
      <c r="G14669"/>
      <c r="H14669"/>
      <c r="I14669" s="489"/>
      <c r="J14669" s="1362"/>
      <c r="K14669" s="1362"/>
      <c r="L14669" s="1362"/>
    </row>
    <row r="14670" spans="1:12" x14ac:dyDescent="0.25">
      <c r="A14670">
        <v>101817</v>
      </c>
      <c r="B14670" t="s">
        <v>6111</v>
      </c>
      <c r="C14670" t="s">
        <v>297</v>
      </c>
      <c r="D14670" s="254">
        <v>54.95</v>
      </c>
      <c r="E14670"/>
      <c r="F14670"/>
      <c r="G14670"/>
      <c r="H14670"/>
      <c r="I14670" s="489"/>
      <c r="J14670" s="1362"/>
      <c r="K14670" s="1362"/>
      <c r="L14670" s="1362"/>
    </row>
    <row r="14671" spans="1:12" x14ac:dyDescent="0.25">
      <c r="A14671">
        <v>101819</v>
      </c>
      <c r="B14671" t="s">
        <v>6112</v>
      </c>
      <c r="C14671" t="s">
        <v>297</v>
      </c>
      <c r="D14671" s="254">
        <v>69.510000000000005</v>
      </c>
      <c r="E14671"/>
      <c r="F14671"/>
      <c r="G14671"/>
      <c r="H14671"/>
      <c r="I14671" s="489"/>
      <c r="J14671" s="1362"/>
      <c r="K14671" s="1362"/>
      <c r="L14671" s="1362"/>
    </row>
    <row r="14672" spans="1:12" x14ac:dyDescent="0.25">
      <c r="A14672">
        <v>101820</v>
      </c>
      <c r="B14672" t="s">
        <v>6113</v>
      </c>
      <c r="C14672" t="s">
        <v>297</v>
      </c>
      <c r="D14672" s="254">
        <v>45.34</v>
      </c>
      <c r="E14672"/>
      <c r="F14672"/>
      <c r="G14672"/>
      <c r="H14672"/>
      <c r="I14672" s="489"/>
      <c r="J14672" s="1362"/>
      <c r="K14672" s="1362"/>
      <c r="L14672" s="1362"/>
    </row>
    <row r="14673" spans="1:12" x14ac:dyDescent="0.25">
      <c r="A14673">
        <v>101822</v>
      </c>
      <c r="B14673" t="s">
        <v>6114</v>
      </c>
      <c r="C14673" t="s">
        <v>1159</v>
      </c>
      <c r="D14673" s="254">
        <v>117.14</v>
      </c>
      <c r="E14673"/>
      <c r="F14673"/>
      <c r="G14673"/>
      <c r="H14673"/>
      <c r="I14673" s="489"/>
      <c r="J14673" s="1362"/>
      <c r="K14673" s="1362"/>
      <c r="L14673" s="1362"/>
    </row>
    <row r="14674" spans="1:12" x14ac:dyDescent="0.25">
      <c r="A14674">
        <v>101823</v>
      </c>
      <c r="B14674" t="s">
        <v>6115</v>
      </c>
      <c r="C14674" t="s">
        <v>1159</v>
      </c>
      <c r="D14674" s="254">
        <v>153.75</v>
      </c>
      <c r="E14674"/>
      <c r="F14674"/>
      <c r="G14674"/>
      <c r="H14674"/>
      <c r="I14674" s="489"/>
      <c r="J14674" s="1362"/>
      <c r="K14674" s="1362"/>
      <c r="L14674" s="1362"/>
    </row>
    <row r="14675" spans="1:12" x14ac:dyDescent="0.25">
      <c r="A14675">
        <v>101824</v>
      </c>
      <c r="B14675" t="s">
        <v>6116</v>
      </c>
      <c r="C14675" t="s">
        <v>1159</v>
      </c>
      <c r="D14675" s="254">
        <v>187.83</v>
      </c>
      <c r="E14675"/>
      <c r="F14675"/>
      <c r="G14675"/>
      <c r="H14675"/>
      <c r="I14675" s="489"/>
      <c r="J14675" s="1362"/>
      <c r="K14675" s="1362"/>
      <c r="L14675" s="1362"/>
    </row>
    <row r="14676" spans="1:12" x14ac:dyDescent="0.25">
      <c r="A14676">
        <v>101825</v>
      </c>
      <c r="B14676" t="s">
        <v>6117</v>
      </c>
      <c r="C14676" t="s">
        <v>1159</v>
      </c>
      <c r="D14676" s="254">
        <v>221</v>
      </c>
      <c r="E14676"/>
      <c r="F14676"/>
      <c r="G14676"/>
      <c r="H14676"/>
      <c r="I14676" s="489"/>
      <c r="J14676" s="1362"/>
      <c r="K14676" s="1362"/>
      <c r="L14676" s="1362"/>
    </row>
    <row r="14677" spans="1:12" x14ac:dyDescent="0.25">
      <c r="A14677">
        <v>101826</v>
      </c>
      <c r="B14677" t="s">
        <v>6118</v>
      </c>
      <c r="C14677" t="s">
        <v>1159</v>
      </c>
      <c r="D14677" s="254">
        <v>253.73</v>
      </c>
      <c r="E14677"/>
      <c r="F14677"/>
      <c r="G14677"/>
      <c r="H14677"/>
      <c r="I14677" s="489"/>
      <c r="J14677" s="1362"/>
      <c r="K14677" s="1362"/>
      <c r="L14677" s="1362"/>
    </row>
    <row r="14678" spans="1:12" x14ac:dyDescent="0.25">
      <c r="A14678">
        <v>101827</v>
      </c>
      <c r="B14678" t="s">
        <v>6119</v>
      </c>
      <c r="C14678" t="s">
        <v>1159</v>
      </c>
      <c r="D14678" s="254">
        <v>201.27</v>
      </c>
      <c r="E14678"/>
      <c r="F14678"/>
      <c r="G14678"/>
      <c r="H14678"/>
      <c r="I14678" s="489"/>
      <c r="J14678" s="1362"/>
      <c r="K14678" s="1362"/>
      <c r="L14678" s="1362"/>
    </row>
    <row r="14679" spans="1:12" x14ac:dyDescent="0.25">
      <c r="A14679">
        <v>101828</v>
      </c>
      <c r="B14679" t="s">
        <v>6120</v>
      </c>
      <c r="C14679" t="s">
        <v>1159</v>
      </c>
      <c r="D14679" s="254">
        <v>187.25</v>
      </c>
      <c r="E14679"/>
      <c r="F14679"/>
      <c r="G14679"/>
      <c r="H14679"/>
      <c r="I14679" s="489"/>
      <c r="J14679" s="1362"/>
      <c r="K14679" s="1362"/>
      <c r="L14679" s="1362"/>
    </row>
    <row r="14680" spans="1:12" x14ac:dyDescent="0.25">
      <c r="A14680">
        <v>101829</v>
      </c>
      <c r="B14680" t="s">
        <v>7490</v>
      </c>
      <c r="C14680" t="s">
        <v>1159</v>
      </c>
      <c r="D14680" s="254">
        <v>268.60000000000002</v>
      </c>
      <c r="E14680"/>
      <c r="F14680"/>
      <c r="G14680"/>
      <c r="H14680"/>
      <c r="I14680" s="489"/>
      <c r="J14680" s="1362"/>
      <c r="K14680" s="1362"/>
      <c r="L14680" s="1362"/>
    </row>
    <row r="14681" spans="1:12" x14ac:dyDescent="0.25">
      <c r="A14681">
        <v>101830</v>
      </c>
      <c r="B14681" t="s">
        <v>7491</v>
      </c>
      <c r="C14681" t="s">
        <v>1159</v>
      </c>
      <c r="D14681" s="254">
        <v>300.08999999999997</v>
      </c>
      <c r="E14681"/>
      <c r="F14681"/>
      <c r="G14681"/>
      <c r="H14681"/>
      <c r="I14681" s="489"/>
      <c r="J14681" s="1362"/>
      <c r="K14681" s="1362"/>
      <c r="L14681" s="1362"/>
    </row>
    <row r="14682" spans="1:12" x14ac:dyDescent="0.25">
      <c r="A14682">
        <v>101831</v>
      </c>
      <c r="B14682" t="s">
        <v>7492</v>
      </c>
      <c r="C14682" t="s">
        <v>1159</v>
      </c>
      <c r="D14682" s="254">
        <v>331.13</v>
      </c>
      <c r="E14682"/>
      <c r="F14682"/>
      <c r="G14682"/>
      <c r="H14682"/>
      <c r="I14682" s="489"/>
      <c r="J14682" s="1362"/>
      <c r="K14682" s="1362"/>
      <c r="L14682" s="1362"/>
    </row>
    <row r="14683" spans="1:12" x14ac:dyDescent="0.25">
      <c r="A14683">
        <v>101832</v>
      </c>
      <c r="B14683" t="s">
        <v>6121</v>
      </c>
      <c r="C14683" t="s">
        <v>1159</v>
      </c>
      <c r="D14683" s="254">
        <v>255.14</v>
      </c>
      <c r="E14683"/>
      <c r="F14683"/>
      <c r="G14683"/>
      <c r="H14683"/>
      <c r="I14683" s="489"/>
      <c r="J14683" s="1362"/>
      <c r="K14683" s="1362"/>
      <c r="L14683" s="1362"/>
    </row>
    <row r="14684" spans="1:12" x14ac:dyDescent="0.25">
      <c r="A14684">
        <v>101833</v>
      </c>
      <c r="B14684" t="s">
        <v>6122</v>
      </c>
      <c r="C14684" t="s">
        <v>1159</v>
      </c>
      <c r="D14684" s="254">
        <v>286.89999999999998</v>
      </c>
      <c r="E14684"/>
      <c r="F14684"/>
      <c r="G14684"/>
      <c r="H14684"/>
      <c r="I14684" s="489"/>
      <c r="J14684" s="1362"/>
      <c r="K14684" s="1362"/>
      <c r="L14684" s="1362"/>
    </row>
    <row r="14685" spans="1:12" x14ac:dyDescent="0.25">
      <c r="A14685">
        <v>101834</v>
      </c>
      <c r="B14685" t="s">
        <v>6123</v>
      </c>
      <c r="C14685" t="s">
        <v>1159</v>
      </c>
      <c r="D14685" s="254">
        <v>318.24</v>
      </c>
      <c r="E14685"/>
      <c r="F14685"/>
      <c r="G14685"/>
      <c r="H14685"/>
      <c r="I14685" s="489"/>
      <c r="J14685" s="1362"/>
      <c r="K14685" s="1362"/>
      <c r="L14685" s="1362"/>
    </row>
    <row r="14686" spans="1:12" x14ac:dyDescent="0.25">
      <c r="A14686">
        <v>101835</v>
      </c>
      <c r="B14686" t="s">
        <v>6124</v>
      </c>
      <c r="C14686" t="s">
        <v>1159</v>
      </c>
      <c r="D14686" s="254">
        <v>278.99</v>
      </c>
      <c r="E14686"/>
      <c r="F14686"/>
      <c r="G14686"/>
      <c r="H14686"/>
      <c r="I14686" s="489"/>
      <c r="J14686" s="1362"/>
      <c r="K14686" s="1362"/>
      <c r="L14686" s="1362"/>
    </row>
    <row r="14687" spans="1:12" x14ac:dyDescent="0.25">
      <c r="A14687">
        <v>101836</v>
      </c>
      <c r="B14687" t="s">
        <v>6125</v>
      </c>
      <c r="C14687" t="s">
        <v>1159</v>
      </c>
      <c r="D14687" s="254">
        <v>23.1</v>
      </c>
      <c r="E14687"/>
      <c r="F14687"/>
      <c r="G14687"/>
      <c r="H14687"/>
      <c r="I14687" s="489"/>
      <c r="J14687" s="1362"/>
      <c r="K14687" s="1362"/>
      <c r="L14687" s="1362"/>
    </row>
    <row r="14688" spans="1:12" x14ac:dyDescent="0.25">
      <c r="A14688">
        <v>101837</v>
      </c>
      <c r="B14688" t="s">
        <v>6126</v>
      </c>
      <c r="C14688" t="s">
        <v>1159</v>
      </c>
      <c r="D14688" s="254">
        <v>59.71</v>
      </c>
      <c r="E14688"/>
      <c r="F14688"/>
      <c r="G14688"/>
      <c r="H14688"/>
      <c r="I14688" s="489"/>
      <c r="J14688" s="1362"/>
      <c r="K14688" s="1362"/>
      <c r="L14688" s="1362"/>
    </row>
    <row r="14689" spans="1:12" x14ac:dyDescent="0.25">
      <c r="A14689">
        <v>101838</v>
      </c>
      <c r="B14689" t="s">
        <v>6127</v>
      </c>
      <c r="C14689" t="s">
        <v>1159</v>
      </c>
      <c r="D14689" s="254">
        <v>93.79</v>
      </c>
      <c r="E14689"/>
      <c r="F14689"/>
      <c r="G14689"/>
      <c r="H14689"/>
      <c r="I14689" s="489"/>
      <c r="J14689" s="1362"/>
      <c r="K14689" s="1362"/>
      <c r="L14689" s="1362"/>
    </row>
    <row r="14690" spans="1:12" x14ac:dyDescent="0.25">
      <c r="A14690">
        <v>101839</v>
      </c>
      <c r="B14690" t="s">
        <v>6128</v>
      </c>
      <c r="C14690" t="s">
        <v>1159</v>
      </c>
      <c r="D14690" s="254">
        <v>126.95</v>
      </c>
      <c r="E14690"/>
      <c r="F14690"/>
      <c r="G14690"/>
      <c r="H14690"/>
      <c r="I14690" s="489"/>
      <c r="J14690" s="1362"/>
      <c r="K14690" s="1362"/>
      <c r="L14690" s="1362"/>
    </row>
    <row r="14691" spans="1:12" x14ac:dyDescent="0.25">
      <c r="A14691">
        <v>101840</v>
      </c>
      <c r="B14691" t="s">
        <v>6129</v>
      </c>
      <c r="C14691" t="s">
        <v>1159</v>
      </c>
      <c r="D14691" s="254">
        <v>204.18</v>
      </c>
      <c r="E14691"/>
      <c r="F14691"/>
      <c r="G14691"/>
      <c r="H14691"/>
      <c r="I14691" s="489"/>
      <c r="J14691" s="1362"/>
      <c r="K14691" s="1362"/>
      <c r="L14691" s="1362"/>
    </row>
    <row r="14692" spans="1:12" x14ac:dyDescent="0.25">
      <c r="A14692">
        <v>101841</v>
      </c>
      <c r="B14692" t="s">
        <v>6130</v>
      </c>
      <c r="C14692" t="s">
        <v>1159</v>
      </c>
      <c r="D14692" s="254">
        <v>107.23</v>
      </c>
      <c r="E14692"/>
      <c r="F14692"/>
      <c r="G14692"/>
      <c r="H14692"/>
      <c r="I14692" s="489"/>
      <c r="J14692" s="1362"/>
      <c r="K14692" s="1362"/>
      <c r="L14692" s="1362"/>
    </row>
    <row r="14693" spans="1:12" x14ac:dyDescent="0.25">
      <c r="A14693">
        <v>101842</v>
      </c>
      <c r="B14693" t="s">
        <v>6131</v>
      </c>
      <c r="C14693" t="s">
        <v>1159</v>
      </c>
      <c r="D14693" s="254">
        <v>93.21</v>
      </c>
      <c r="E14693"/>
      <c r="F14693"/>
      <c r="G14693"/>
      <c r="H14693"/>
      <c r="I14693" s="489"/>
      <c r="J14693" s="1362"/>
      <c r="K14693" s="1362"/>
      <c r="L14693" s="1362"/>
    </row>
    <row r="14694" spans="1:12" x14ac:dyDescent="0.25">
      <c r="A14694">
        <v>101843</v>
      </c>
      <c r="B14694" t="s">
        <v>7493</v>
      </c>
      <c r="C14694" t="s">
        <v>1159</v>
      </c>
      <c r="D14694" s="254">
        <v>174.56</v>
      </c>
      <c r="E14694"/>
      <c r="F14694"/>
      <c r="G14694"/>
      <c r="H14694"/>
      <c r="I14694" s="489"/>
      <c r="J14694" s="1362"/>
      <c r="K14694" s="1362"/>
      <c r="L14694" s="1362"/>
    </row>
    <row r="14695" spans="1:12" x14ac:dyDescent="0.25">
      <c r="A14695">
        <v>101844</v>
      </c>
      <c r="B14695" t="s">
        <v>7494</v>
      </c>
      <c r="C14695" t="s">
        <v>1159</v>
      </c>
      <c r="D14695" s="254">
        <v>206.05</v>
      </c>
      <c r="E14695"/>
      <c r="F14695"/>
      <c r="G14695"/>
      <c r="H14695"/>
      <c r="I14695" s="489"/>
      <c r="J14695" s="1362"/>
      <c r="K14695" s="1362"/>
      <c r="L14695" s="1362"/>
    </row>
    <row r="14696" spans="1:12" x14ac:dyDescent="0.25">
      <c r="A14696">
        <v>101845</v>
      </c>
      <c r="B14696" t="s">
        <v>7495</v>
      </c>
      <c r="C14696" t="s">
        <v>1159</v>
      </c>
      <c r="D14696" s="254">
        <v>237.09</v>
      </c>
      <c r="E14696"/>
      <c r="F14696"/>
      <c r="G14696"/>
      <c r="H14696"/>
      <c r="I14696" s="489"/>
      <c r="J14696" s="1362"/>
      <c r="K14696" s="1362"/>
      <c r="L14696" s="1362"/>
    </row>
    <row r="14697" spans="1:12" x14ac:dyDescent="0.25">
      <c r="A14697">
        <v>101846</v>
      </c>
      <c r="B14697" t="s">
        <v>6132</v>
      </c>
      <c r="C14697" t="s">
        <v>1159</v>
      </c>
      <c r="D14697" s="254">
        <v>161.1</v>
      </c>
      <c r="E14697"/>
      <c r="F14697"/>
      <c r="G14697"/>
      <c r="H14697"/>
      <c r="I14697" s="489"/>
      <c r="J14697" s="1362"/>
      <c r="K14697" s="1362"/>
      <c r="L14697" s="1362"/>
    </row>
    <row r="14698" spans="1:12" x14ac:dyDescent="0.25">
      <c r="A14698">
        <v>101847</v>
      </c>
      <c r="B14698" t="s">
        <v>6133</v>
      </c>
      <c r="C14698" t="s">
        <v>1159</v>
      </c>
      <c r="D14698" s="254">
        <v>192.86</v>
      </c>
      <c r="E14698"/>
      <c r="F14698"/>
      <c r="G14698"/>
      <c r="H14698"/>
      <c r="I14698" s="489"/>
      <c r="J14698" s="1362"/>
      <c r="K14698" s="1362"/>
      <c r="L14698" s="1362"/>
    </row>
    <row r="14699" spans="1:12" x14ac:dyDescent="0.25">
      <c r="A14699">
        <v>101848</v>
      </c>
      <c r="B14699" t="s">
        <v>6134</v>
      </c>
      <c r="C14699" t="s">
        <v>1159</v>
      </c>
      <c r="D14699" s="254">
        <v>224.2</v>
      </c>
      <c r="E14699"/>
      <c r="F14699"/>
      <c r="G14699"/>
      <c r="H14699"/>
      <c r="I14699" s="489"/>
      <c r="J14699" s="1362"/>
      <c r="K14699" s="1362"/>
      <c r="L14699" s="1362"/>
    </row>
    <row r="14700" spans="1:12" x14ac:dyDescent="0.25">
      <c r="A14700">
        <v>101849</v>
      </c>
      <c r="B14700" t="s">
        <v>6135</v>
      </c>
      <c r="C14700" t="s">
        <v>1159</v>
      </c>
      <c r="D14700" s="254">
        <v>184.95</v>
      </c>
      <c r="E14700"/>
      <c r="F14700"/>
      <c r="G14700"/>
      <c r="H14700"/>
      <c r="I14700" s="489"/>
      <c r="J14700" s="1362"/>
      <c r="K14700" s="1362"/>
      <c r="L14700" s="1362"/>
    </row>
    <row r="14701" spans="1:12" x14ac:dyDescent="0.25">
      <c r="A14701">
        <v>101850</v>
      </c>
      <c r="B14701" t="s">
        <v>6136</v>
      </c>
      <c r="C14701" t="s">
        <v>297</v>
      </c>
      <c r="D14701" s="254">
        <v>64.44</v>
      </c>
      <c r="E14701"/>
      <c r="F14701"/>
      <c r="G14701"/>
      <c r="H14701"/>
      <c r="I14701" s="489"/>
      <c r="J14701" s="1362"/>
      <c r="K14701" s="1362"/>
      <c r="L14701" s="1362"/>
    </row>
    <row r="14702" spans="1:12" x14ac:dyDescent="0.25">
      <c r="A14702">
        <v>101852</v>
      </c>
      <c r="B14702" t="s">
        <v>6137</v>
      </c>
      <c r="C14702" t="s">
        <v>297</v>
      </c>
      <c r="D14702" s="254">
        <v>79.45</v>
      </c>
      <c r="E14702"/>
      <c r="F14702"/>
      <c r="G14702"/>
      <c r="H14702"/>
      <c r="I14702" s="489"/>
      <c r="J14702" s="1362"/>
      <c r="K14702" s="1362"/>
      <c r="L14702" s="1362"/>
    </row>
    <row r="14703" spans="1:12" x14ac:dyDescent="0.25">
      <c r="A14703">
        <v>101853</v>
      </c>
      <c r="B14703" t="s">
        <v>6138</v>
      </c>
      <c r="C14703" t="s">
        <v>297</v>
      </c>
      <c r="D14703" s="254">
        <v>58.43</v>
      </c>
      <c r="E14703"/>
      <c r="F14703"/>
      <c r="G14703"/>
      <c r="H14703"/>
      <c r="I14703" s="489"/>
      <c r="J14703" s="1362"/>
      <c r="K14703" s="1362"/>
      <c r="L14703" s="1362"/>
    </row>
    <row r="14704" spans="1:12" x14ac:dyDescent="0.25">
      <c r="A14704">
        <v>101855</v>
      </c>
      <c r="B14704" t="s">
        <v>6139</v>
      </c>
      <c r="C14704" t="s">
        <v>297</v>
      </c>
      <c r="D14704" s="254">
        <v>85.25</v>
      </c>
      <c r="E14704"/>
      <c r="F14704"/>
      <c r="G14704"/>
      <c r="H14704"/>
      <c r="I14704" s="489"/>
      <c r="J14704" s="1362"/>
      <c r="K14704" s="1362"/>
      <c r="L14704" s="1362"/>
    </row>
    <row r="14705" spans="1:12" x14ac:dyDescent="0.25">
      <c r="A14705">
        <v>101856</v>
      </c>
      <c r="B14705" t="s">
        <v>6140</v>
      </c>
      <c r="C14705" t="s">
        <v>297</v>
      </c>
      <c r="D14705" s="254">
        <v>30.96</v>
      </c>
      <c r="E14705"/>
      <c r="F14705"/>
      <c r="G14705"/>
      <c r="H14705"/>
      <c r="I14705" s="489"/>
      <c r="J14705" s="1362"/>
      <c r="K14705" s="1362"/>
      <c r="L14705" s="1362"/>
    </row>
    <row r="14706" spans="1:12" x14ac:dyDescent="0.25">
      <c r="A14706">
        <v>101857</v>
      </c>
      <c r="B14706" t="s">
        <v>6141</v>
      </c>
      <c r="C14706" t="s">
        <v>297</v>
      </c>
      <c r="D14706" s="254">
        <v>38.090000000000003</v>
      </c>
      <c r="E14706"/>
      <c r="F14706"/>
      <c r="G14706"/>
      <c r="H14706"/>
      <c r="I14706" s="489"/>
      <c r="J14706" s="1362"/>
      <c r="K14706" s="1362"/>
      <c r="L14706" s="1362"/>
    </row>
    <row r="14707" spans="1:12" x14ac:dyDescent="0.25">
      <c r="A14707">
        <v>101858</v>
      </c>
      <c r="B14707" t="s">
        <v>6142</v>
      </c>
      <c r="C14707" t="s">
        <v>297</v>
      </c>
      <c r="D14707" s="254">
        <v>31.56</v>
      </c>
      <c r="E14707"/>
      <c r="F14707"/>
      <c r="G14707"/>
      <c r="H14707"/>
      <c r="I14707" s="489"/>
      <c r="J14707" s="1362"/>
      <c r="K14707" s="1362"/>
      <c r="L14707" s="1362"/>
    </row>
    <row r="14708" spans="1:12" x14ac:dyDescent="0.25">
      <c r="A14708">
        <v>101859</v>
      </c>
      <c r="B14708" t="s">
        <v>6143</v>
      </c>
      <c r="C14708" t="s">
        <v>297</v>
      </c>
      <c r="D14708" s="254">
        <v>34.619999999999997</v>
      </c>
      <c r="E14708"/>
      <c r="F14708"/>
      <c r="G14708"/>
      <c r="H14708"/>
      <c r="I14708" s="489"/>
      <c r="J14708" s="1362"/>
      <c r="K14708" s="1362"/>
      <c r="L14708" s="1362"/>
    </row>
    <row r="14709" spans="1:12" x14ac:dyDescent="0.25">
      <c r="A14709">
        <v>101860</v>
      </c>
      <c r="B14709" t="s">
        <v>6144</v>
      </c>
      <c r="C14709" t="s">
        <v>297</v>
      </c>
      <c r="D14709" s="254">
        <v>39.44</v>
      </c>
      <c r="E14709"/>
      <c r="F14709"/>
      <c r="G14709"/>
      <c r="H14709"/>
      <c r="I14709" s="489"/>
      <c r="J14709" s="1362"/>
      <c r="K14709" s="1362"/>
      <c r="L14709" s="1362"/>
    </row>
    <row r="14710" spans="1:12" x14ac:dyDescent="0.25">
      <c r="A14710">
        <v>101861</v>
      </c>
      <c r="B14710" t="s">
        <v>6145</v>
      </c>
      <c r="C14710" t="s">
        <v>297</v>
      </c>
      <c r="D14710" s="254">
        <v>37.06</v>
      </c>
      <c r="E14710"/>
      <c r="F14710"/>
      <c r="G14710"/>
      <c r="H14710"/>
      <c r="I14710" s="489"/>
      <c r="J14710" s="1362"/>
      <c r="K14710" s="1362"/>
      <c r="L14710" s="1362"/>
    </row>
    <row r="14711" spans="1:12" x14ac:dyDescent="0.25">
      <c r="A14711">
        <v>101862</v>
      </c>
      <c r="B14711" t="s">
        <v>6146</v>
      </c>
      <c r="C14711" t="s">
        <v>297</v>
      </c>
      <c r="D14711" s="254">
        <v>40.17</v>
      </c>
      <c r="E14711"/>
      <c r="F14711"/>
      <c r="G14711"/>
      <c r="H14711"/>
      <c r="I14711" s="489"/>
      <c r="J14711" s="1362"/>
      <c r="K14711" s="1362"/>
      <c r="L14711" s="1362"/>
    </row>
    <row r="14712" spans="1:12" x14ac:dyDescent="0.25">
      <c r="A14712">
        <v>101863</v>
      </c>
      <c r="B14712" t="s">
        <v>6147</v>
      </c>
      <c r="C14712" t="s">
        <v>297</v>
      </c>
      <c r="D14712" s="254">
        <v>32</v>
      </c>
      <c r="E14712"/>
      <c r="F14712"/>
      <c r="G14712"/>
      <c r="H14712"/>
      <c r="I14712" s="489"/>
      <c r="J14712" s="1362"/>
      <c r="K14712" s="1362"/>
      <c r="L14712" s="1362"/>
    </row>
    <row r="14713" spans="1:12" x14ac:dyDescent="0.25">
      <c r="A14713">
        <v>101864</v>
      </c>
      <c r="B14713" t="s">
        <v>6148</v>
      </c>
      <c r="C14713" t="s">
        <v>297</v>
      </c>
      <c r="D14713" s="254">
        <v>36.799999999999997</v>
      </c>
      <c r="E14713"/>
      <c r="F14713"/>
      <c r="G14713"/>
      <c r="H14713"/>
      <c r="I14713" s="489"/>
      <c r="J14713" s="1362"/>
      <c r="K14713" s="1362"/>
      <c r="L14713" s="1362"/>
    </row>
    <row r="14714" spans="1:12" x14ac:dyDescent="0.25">
      <c r="A14714">
        <v>101865</v>
      </c>
      <c r="B14714" t="s">
        <v>6149</v>
      </c>
      <c r="C14714" t="s">
        <v>297</v>
      </c>
      <c r="D14714" s="254">
        <v>41.61</v>
      </c>
      <c r="E14714"/>
      <c r="F14714"/>
      <c r="G14714"/>
      <c r="H14714"/>
      <c r="I14714" s="489"/>
      <c r="J14714" s="1362"/>
      <c r="K14714" s="1362"/>
      <c r="L14714" s="1362"/>
    </row>
    <row r="14715" spans="1:12" x14ac:dyDescent="0.25">
      <c r="A14715">
        <v>101866</v>
      </c>
      <c r="B14715" t="s">
        <v>6150</v>
      </c>
      <c r="C14715" t="s">
        <v>297</v>
      </c>
      <c r="D14715" s="254">
        <v>37.299999999999997</v>
      </c>
      <c r="E14715"/>
      <c r="F14715"/>
      <c r="G14715"/>
      <c r="H14715"/>
      <c r="I14715" s="489"/>
      <c r="J14715" s="1362"/>
      <c r="K14715" s="1362"/>
      <c r="L14715" s="1362"/>
    </row>
    <row r="14716" spans="1:12" x14ac:dyDescent="0.25">
      <c r="A14716">
        <v>101867</v>
      </c>
      <c r="B14716" t="s">
        <v>6151</v>
      </c>
      <c r="C14716" t="s">
        <v>297</v>
      </c>
      <c r="D14716" s="254">
        <v>42.11</v>
      </c>
      <c r="E14716"/>
      <c r="F14716"/>
      <c r="G14716"/>
      <c r="H14716"/>
      <c r="I14716" s="489"/>
      <c r="J14716" s="1362"/>
      <c r="K14716" s="1362"/>
      <c r="L14716" s="1362"/>
    </row>
    <row r="14717" spans="1:12" x14ac:dyDescent="0.25">
      <c r="A14717">
        <v>101868</v>
      </c>
      <c r="B14717" t="s">
        <v>6152</v>
      </c>
      <c r="C14717" t="s">
        <v>297</v>
      </c>
      <c r="D14717" s="254">
        <v>33.93</v>
      </c>
      <c r="E14717"/>
      <c r="F14717"/>
      <c r="G14717"/>
      <c r="H14717"/>
      <c r="I14717" s="489"/>
      <c r="J14717" s="1362"/>
      <c r="K14717" s="1362"/>
      <c r="L14717" s="1362"/>
    </row>
    <row r="14718" spans="1:12" x14ac:dyDescent="0.25">
      <c r="A14718">
        <v>101869</v>
      </c>
      <c r="B14718" t="s">
        <v>6153</v>
      </c>
      <c r="C14718" t="s">
        <v>297</v>
      </c>
      <c r="D14718" s="254">
        <v>38.74</v>
      </c>
      <c r="E14718"/>
      <c r="F14718"/>
      <c r="G14718"/>
      <c r="H14718"/>
      <c r="I14718" s="489"/>
      <c r="J14718" s="1362"/>
      <c r="K14718" s="1362"/>
      <c r="L14718" s="1362"/>
    </row>
    <row r="14719" spans="1:12" x14ac:dyDescent="0.25">
      <c r="A14719">
        <v>101870</v>
      </c>
      <c r="B14719" t="s">
        <v>6154</v>
      </c>
      <c r="C14719" t="s">
        <v>297</v>
      </c>
      <c r="D14719" s="254">
        <v>43.55</v>
      </c>
      <c r="E14719"/>
      <c r="F14719"/>
      <c r="G14719"/>
      <c r="H14719"/>
      <c r="I14719" s="489"/>
      <c r="J14719" s="1362"/>
      <c r="K14719" s="1362"/>
      <c r="L14719" s="1362"/>
    </row>
    <row r="14720" spans="1:12" x14ac:dyDescent="0.25">
      <c r="A14720">
        <v>102098</v>
      </c>
      <c r="B14720" t="s">
        <v>6155</v>
      </c>
      <c r="C14720" t="s">
        <v>1159</v>
      </c>
      <c r="D14720" s="254">
        <v>1995.05</v>
      </c>
      <c r="E14720"/>
      <c r="F14720"/>
      <c r="G14720"/>
      <c r="H14720"/>
      <c r="I14720" s="489"/>
      <c r="J14720" s="1362"/>
      <c r="K14720" s="1362"/>
      <c r="L14720" s="1362"/>
    </row>
    <row r="14721" spans="1:12" x14ac:dyDescent="0.25">
      <c r="A14721">
        <v>102988</v>
      </c>
      <c r="B14721" t="s">
        <v>7119</v>
      </c>
      <c r="C14721" t="s">
        <v>297</v>
      </c>
      <c r="D14721" s="254">
        <v>58.74</v>
      </c>
      <c r="E14721"/>
      <c r="F14721"/>
      <c r="G14721"/>
      <c r="H14721"/>
      <c r="I14721" s="489"/>
      <c r="J14721" s="1362"/>
      <c r="K14721" s="1362"/>
      <c r="L14721" s="1362"/>
    </row>
    <row r="14722" spans="1:12" x14ac:dyDescent="0.25">
      <c r="A14722">
        <v>100576</v>
      </c>
      <c r="B14722" t="s">
        <v>3720</v>
      </c>
      <c r="C14722" t="s">
        <v>297</v>
      </c>
      <c r="D14722" s="254">
        <v>2.2799999999999998</v>
      </c>
      <c r="E14722"/>
      <c r="F14722"/>
      <c r="G14722"/>
      <c r="H14722"/>
      <c r="I14722" s="489"/>
      <c r="J14722" s="1362"/>
      <c r="K14722" s="1362"/>
      <c r="L14722" s="1362"/>
    </row>
    <row r="14723" spans="1:12" x14ac:dyDescent="0.25">
      <c r="A14723">
        <v>100577</v>
      </c>
      <c r="B14723" t="s">
        <v>3721</v>
      </c>
      <c r="C14723" t="s">
        <v>297</v>
      </c>
      <c r="D14723" s="254">
        <v>1.08</v>
      </c>
      <c r="E14723"/>
      <c r="F14723"/>
      <c r="G14723"/>
      <c r="H14723"/>
      <c r="I14723" s="489"/>
      <c r="J14723" s="1362"/>
      <c r="K14723" s="1362"/>
      <c r="L14723" s="1362"/>
    </row>
    <row r="14724" spans="1:12" x14ac:dyDescent="0.25">
      <c r="A14724">
        <v>96388</v>
      </c>
      <c r="B14724" t="s">
        <v>3722</v>
      </c>
      <c r="C14724" t="s">
        <v>1159</v>
      </c>
      <c r="D14724" s="254">
        <v>10.65</v>
      </c>
      <c r="E14724"/>
      <c r="F14724"/>
      <c r="G14724"/>
      <c r="H14724"/>
      <c r="I14724" s="489"/>
      <c r="J14724" s="1362"/>
      <c r="K14724" s="1362"/>
      <c r="L14724" s="1362"/>
    </row>
    <row r="14725" spans="1:12" x14ac:dyDescent="0.25">
      <c r="A14725">
        <v>96389</v>
      </c>
      <c r="B14725" t="s">
        <v>4437</v>
      </c>
      <c r="C14725" t="s">
        <v>1159</v>
      </c>
      <c r="D14725" s="254">
        <v>52.32</v>
      </c>
      <c r="E14725"/>
      <c r="F14725"/>
      <c r="G14725"/>
      <c r="H14725"/>
      <c r="I14725" s="489"/>
      <c r="J14725" s="1362"/>
      <c r="K14725" s="1362"/>
      <c r="L14725" s="1362"/>
    </row>
    <row r="14726" spans="1:12" x14ac:dyDescent="0.25">
      <c r="A14726">
        <v>96390</v>
      </c>
      <c r="B14726" t="s">
        <v>4438</v>
      </c>
      <c r="C14726" t="s">
        <v>1159</v>
      </c>
      <c r="D14726" s="254">
        <v>84.38</v>
      </c>
      <c r="E14726"/>
      <c r="F14726"/>
      <c r="G14726"/>
      <c r="H14726"/>
      <c r="I14726" s="489"/>
      <c r="J14726" s="1362"/>
      <c r="K14726" s="1362"/>
      <c r="L14726" s="1362"/>
    </row>
    <row r="14727" spans="1:12" x14ac:dyDescent="0.25">
      <c r="A14727">
        <v>96391</v>
      </c>
      <c r="B14727" t="s">
        <v>3723</v>
      </c>
      <c r="C14727" t="s">
        <v>1159</v>
      </c>
      <c r="D14727" s="254">
        <v>118.34</v>
      </c>
      <c r="E14727"/>
      <c r="F14727"/>
      <c r="G14727"/>
      <c r="H14727"/>
      <c r="I14727" s="489"/>
      <c r="J14727" s="1362"/>
      <c r="K14727" s="1362"/>
      <c r="L14727" s="1362"/>
    </row>
    <row r="14728" spans="1:12" x14ac:dyDescent="0.25">
      <c r="A14728">
        <v>96392</v>
      </c>
      <c r="B14728" t="s">
        <v>3724</v>
      </c>
      <c r="C14728" t="s">
        <v>1159</v>
      </c>
      <c r="D14728" s="254">
        <v>151.07</v>
      </c>
      <c r="E14728"/>
      <c r="F14728"/>
      <c r="G14728"/>
      <c r="H14728"/>
      <c r="I14728" s="489"/>
      <c r="J14728" s="1362"/>
      <c r="K14728" s="1362"/>
      <c r="L14728" s="1362"/>
    </row>
    <row r="14729" spans="1:12" x14ac:dyDescent="0.25">
      <c r="A14729">
        <v>96396</v>
      </c>
      <c r="B14729" t="s">
        <v>3725</v>
      </c>
      <c r="C14729" t="s">
        <v>1159</v>
      </c>
      <c r="D14729" s="254">
        <v>173.56</v>
      </c>
      <c r="E14729"/>
      <c r="F14729"/>
      <c r="G14729"/>
      <c r="H14729"/>
      <c r="I14729" s="489"/>
      <c r="J14729" s="1362"/>
      <c r="K14729" s="1362"/>
      <c r="L14729" s="1362"/>
    </row>
    <row r="14730" spans="1:12" x14ac:dyDescent="0.25">
      <c r="A14730">
        <v>96397</v>
      </c>
      <c r="B14730" t="s">
        <v>3726</v>
      </c>
      <c r="C14730" t="s">
        <v>1159</v>
      </c>
      <c r="D14730" s="254">
        <v>238.61</v>
      </c>
      <c r="E14730"/>
      <c r="F14730"/>
      <c r="G14730"/>
      <c r="H14730"/>
      <c r="I14730" s="489"/>
      <c r="J14730" s="1362"/>
      <c r="K14730" s="1362"/>
      <c r="L14730" s="1362"/>
    </row>
    <row r="14731" spans="1:12" x14ac:dyDescent="0.25">
      <c r="A14731">
        <v>96398</v>
      </c>
      <c r="B14731" t="s">
        <v>3727</v>
      </c>
      <c r="C14731" t="s">
        <v>1159</v>
      </c>
      <c r="D14731" s="254">
        <v>325.45</v>
      </c>
      <c r="E14731"/>
      <c r="F14731"/>
      <c r="G14731"/>
      <c r="H14731"/>
      <c r="I14731" s="489"/>
      <c r="J14731" s="1362"/>
      <c r="K14731" s="1362"/>
      <c r="L14731" s="1362"/>
    </row>
    <row r="14732" spans="1:12" x14ac:dyDescent="0.25">
      <c r="A14732">
        <v>96399</v>
      </c>
      <c r="B14732" t="s">
        <v>4439</v>
      </c>
      <c r="C14732" t="s">
        <v>1159</v>
      </c>
      <c r="D14732" s="254">
        <v>118.32</v>
      </c>
      <c r="E14732"/>
      <c r="F14732"/>
      <c r="G14732"/>
      <c r="H14732"/>
      <c r="I14732" s="489"/>
      <c r="J14732" s="1362"/>
      <c r="K14732" s="1362"/>
      <c r="L14732" s="1362"/>
    </row>
    <row r="14733" spans="1:12" x14ac:dyDescent="0.25">
      <c r="A14733">
        <v>96400</v>
      </c>
      <c r="B14733" t="s">
        <v>3728</v>
      </c>
      <c r="C14733" t="s">
        <v>1159</v>
      </c>
      <c r="D14733" s="254">
        <v>155.13</v>
      </c>
      <c r="E14733"/>
      <c r="F14733"/>
      <c r="G14733"/>
      <c r="H14733"/>
      <c r="I14733" s="489"/>
      <c r="J14733" s="1362"/>
      <c r="K14733" s="1362"/>
      <c r="L14733" s="1362"/>
    </row>
    <row r="14734" spans="1:12" x14ac:dyDescent="0.25">
      <c r="A14734">
        <v>100564</v>
      </c>
      <c r="B14734" t="s">
        <v>3729</v>
      </c>
      <c r="C14734" t="s">
        <v>1159</v>
      </c>
      <c r="D14734" s="254">
        <v>104.73</v>
      </c>
      <c r="E14734"/>
      <c r="F14734"/>
      <c r="G14734"/>
      <c r="H14734"/>
      <c r="I14734" s="489"/>
      <c r="J14734" s="1362"/>
      <c r="K14734" s="1362"/>
      <c r="L14734" s="1362"/>
    </row>
    <row r="14735" spans="1:12" x14ac:dyDescent="0.25">
      <c r="A14735">
        <v>100565</v>
      </c>
      <c r="B14735" t="s">
        <v>3730</v>
      </c>
      <c r="C14735" t="s">
        <v>1159</v>
      </c>
      <c r="D14735" s="254">
        <v>90.76</v>
      </c>
      <c r="E14735"/>
      <c r="F14735"/>
      <c r="G14735"/>
      <c r="H14735"/>
      <c r="I14735" s="489"/>
      <c r="J14735" s="1362"/>
      <c r="K14735" s="1362"/>
      <c r="L14735" s="1362"/>
    </row>
    <row r="14736" spans="1:12" x14ac:dyDescent="0.25">
      <c r="A14736">
        <v>100566</v>
      </c>
      <c r="B14736" t="s">
        <v>3731</v>
      </c>
      <c r="C14736" t="s">
        <v>1159</v>
      </c>
      <c r="D14736" s="254">
        <v>172.06</v>
      </c>
      <c r="E14736"/>
      <c r="F14736"/>
      <c r="G14736"/>
      <c r="H14736"/>
      <c r="I14736" s="489"/>
      <c r="J14736" s="1362"/>
      <c r="K14736" s="1362"/>
      <c r="L14736" s="1362"/>
    </row>
    <row r="14737" spans="1:12" x14ac:dyDescent="0.25">
      <c r="A14737">
        <v>100567</v>
      </c>
      <c r="B14737" t="s">
        <v>3732</v>
      </c>
      <c r="C14737" t="s">
        <v>1159</v>
      </c>
      <c r="D14737" s="254">
        <v>203.6</v>
      </c>
      <c r="E14737"/>
      <c r="F14737"/>
      <c r="G14737"/>
      <c r="H14737"/>
      <c r="I14737" s="489"/>
      <c r="J14737" s="1362"/>
      <c r="K14737" s="1362"/>
      <c r="L14737" s="1362"/>
    </row>
    <row r="14738" spans="1:12" x14ac:dyDescent="0.25">
      <c r="A14738">
        <v>100568</v>
      </c>
      <c r="B14738" t="s">
        <v>3733</v>
      </c>
      <c r="C14738" t="s">
        <v>1159</v>
      </c>
      <c r="D14738" s="254">
        <v>234.59</v>
      </c>
      <c r="E14738"/>
      <c r="F14738"/>
      <c r="G14738"/>
      <c r="H14738"/>
      <c r="I14738" s="489"/>
      <c r="J14738" s="1362"/>
      <c r="K14738" s="1362"/>
      <c r="L14738" s="1362"/>
    </row>
    <row r="14739" spans="1:12" x14ac:dyDescent="0.25">
      <c r="A14739">
        <v>100569</v>
      </c>
      <c r="B14739" t="s">
        <v>3734</v>
      </c>
      <c r="C14739" t="s">
        <v>1159</v>
      </c>
      <c r="D14739" s="254">
        <v>158.6</v>
      </c>
      <c r="E14739"/>
      <c r="F14739"/>
      <c r="G14739"/>
      <c r="H14739"/>
      <c r="I14739" s="489"/>
      <c r="J14739" s="1362"/>
      <c r="K14739" s="1362"/>
      <c r="L14739" s="1362"/>
    </row>
    <row r="14740" spans="1:12" x14ac:dyDescent="0.25">
      <c r="A14740">
        <v>100570</v>
      </c>
      <c r="B14740" t="s">
        <v>3735</v>
      </c>
      <c r="C14740" t="s">
        <v>1159</v>
      </c>
      <c r="D14740" s="254">
        <v>192.35</v>
      </c>
      <c r="E14740"/>
      <c r="F14740"/>
      <c r="G14740"/>
      <c r="H14740"/>
      <c r="I14740" s="489"/>
      <c r="J14740" s="1362"/>
      <c r="K14740" s="1362"/>
      <c r="L14740" s="1362"/>
    </row>
    <row r="14741" spans="1:12" x14ac:dyDescent="0.25">
      <c r="A14741">
        <v>100571</v>
      </c>
      <c r="B14741" t="s">
        <v>3736</v>
      </c>
      <c r="C14741" t="s">
        <v>1159</v>
      </c>
      <c r="D14741" s="254">
        <v>221.75</v>
      </c>
      <c r="E14741"/>
      <c r="F14741"/>
      <c r="G14741"/>
      <c r="H14741"/>
      <c r="I14741" s="489"/>
      <c r="J14741" s="1362"/>
      <c r="K14741" s="1362"/>
      <c r="L14741" s="1362"/>
    </row>
    <row r="14742" spans="1:12" x14ac:dyDescent="0.25">
      <c r="A14742">
        <v>100572</v>
      </c>
      <c r="B14742" t="s">
        <v>3737</v>
      </c>
      <c r="C14742" t="s">
        <v>1159</v>
      </c>
      <c r="D14742" s="254">
        <v>109.52</v>
      </c>
      <c r="E14742"/>
      <c r="F14742"/>
      <c r="G14742"/>
      <c r="H14742"/>
      <c r="I14742" s="489"/>
      <c r="J14742" s="1362"/>
      <c r="K14742" s="1362"/>
      <c r="L14742" s="1362"/>
    </row>
    <row r="14743" spans="1:12" x14ac:dyDescent="0.25">
      <c r="A14743">
        <v>100573</v>
      </c>
      <c r="B14743" t="s">
        <v>3738</v>
      </c>
      <c r="C14743" t="s">
        <v>1159</v>
      </c>
      <c r="D14743" s="254">
        <v>95.55</v>
      </c>
      <c r="E14743"/>
      <c r="F14743"/>
      <c r="G14743"/>
      <c r="H14743"/>
      <c r="I14743" s="489"/>
      <c r="J14743" s="1362"/>
      <c r="K14743" s="1362"/>
      <c r="L14743" s="1362"/>
    </row>
    <row r="14744" spans="1:12" x14ac:dyDescent="0.25">
      <c r="A14744">
        <v>100574</v>
      </c>
      <c r="B14744" t="s">
        <v>3739</v>
      </c>
      <c r="C14744" t="s">
        <v>1159</v>
      </c>
      <c r="D14744" s="254">
        <v>1.53</v>
      </c>
      <c r="E14744"/>
      <c r="F14744"/>
      <c r="G14744"/>
      <c r="H14744"/>
      <c r="I14744" s="489"/>
      <c r="J14744" s="1362"/>
      <c r="K14744" s="1362"/>
      <c r="L14744" s="1362"/>
    </row>
    <row r="14745" spans="1:12" x14ac:dyDescent="0.25">
      <c r="A14745">
        <v>100575</v>
      </c>
      <c r="B14745" t="s">
        <v>3740</v>
      </c>
      <c r="C14745" t="s">
        <v>297</v>
      </c>
      <c r="D14745" s="254">
        <v>0.13</v>
      </c>
      <c r="E14745"/>
      <c r="F14745"/>
      <c r="G14745"/>
      <c r="H14745"/>
      <c r="I14745" s="489"/>
      <c r="J14745" s="1362"/>
      <c r="K14745" s="1362"/>
      <c r="L14745" s="1362"/>
    </row>
    <row r="14746" spans="1:12" x14ac:dyDescent="0.25">
      <c r="A14746">
        <v>101767</v>
      </c>
      <c r="B14746" t="s">
        <v>4897</v>
      </c>
      <c r="C14746" t="s">
        <v>1159</v>
      </c>
      <c r="D14746" s="254">
        <v>25.36</v>
      </c>
      <c r="E14746"/>
      <c r="F14746"/>
      <c r="G14746"/>
      <c r="H14746"/>
      <c r="I14746" s="489"/>
      <c r="J14746" s="1362"/>
      <c r="K14746" s="1362"/>
      <c r="L14746" s="1362"/>
    </row>
    <row r="14747" spans="1:12" x14ac:dyDescent="0.25">
      <c r="A14747">
        <v>101768</v>
      </c>
      <c r="B14747" t="s">
        <v>4898</v>
      </c>
      <c r="C14747" t="s">
        <v>1159</v>
      </c>
      <c r="D14747" s="254">
        <v>41.07</v>
      </c>
      <c r="E14747"/>
      <c r="F14747"/>
      <c r="G14747"/>
      <c r="H14747"/>
      <c r="I14747" s="489"/>
      <c r="J14747" s="1362"/>
      <c r="K14747" s="1362"/>
      <c r="L14747" s="1362"/>
    </row>
    <row r="14748" spans="1:12" x14ac:dyDescent="0.25">
      <c r="A14748">
        <v>92391</v>
      </c>
      <c r="B14748" t="s">
        <v>2012</v>
      </c>
      <c r="C14748" t="s">
        <v>297</v>
      </c>
      <c r="D14748" s="254">
        <v>56.17</v>
      </c>
      <c r="E14748"/>
      <c r="F14748"/>
      <c r="G14748"/>
      <c r="H14748"/>
      <c r="I14748" s="489"/>
      <c r="J14748" s="1362"/>
      <c r="K14748" s="1362"/>
      <c r="L14748" s="1362"/>
    </row>
    <row r="14749" spans="1:12" x14ac:dyDescent="0.25">
      <c r="A14749">
        <v>92392</v>
      </c>
      <c r="B14749" t="s">
        <v>2013</v>
      </c>
      <c r="C14749" t="s">
        <v>297</v>
      </c>
      <c r="D14749" s="254">
        <v>109.72</v>
      </c>
      <c r="E14749"/>
      <c r="F14749"/>
      <c r="G14749"/>
      <c r="H14749"/>
      <c r="I14749" s="489"/>
      <c r="J14749" s="1362"/>
      <c r="K14749" s="1362"/>
      <c r="L14749" s="1362"/>
    </row>
    <row r="14750" spans="1:12" x14ac:dyDescent="0.25">
      <c r="A14750">
        <v>92393</v>
      </c>
      <c r="B14750" t="s">
        <v>2014</v>
      </c>
      <c r="C14750" t="s">
        <v>297</v>
      </c>
      <c r="D14750" s="254">
        <v>56.48</v>
      </c>
      <c r="E14750"/>
      <c r="F14750"/>
      <c r="G14750"/>
      <c r="H14750"/>
      <c r="I14750" s="489"/>
      <c r="J14750" s="1362"/>
      <c r="K14750" s="1362"/>
      <c r="L14750" s="1362"/>
    </row>
    <row r="14751" spans="1:12" x14ac:dyDescent="0.25">
      <c r="A14751">
        <v>92394</v>
      </c>
      <c r="B14751" t="s">
        <v>2015</v>
      </c>
      <c r="C14751" t="s">
        <v>297</v>
      </c>
      <c r="D14751" s="254">
        <v>70.13</v>
      </c>
      <c r="E14751"/>
      <c r="F14751"/>
      <c r="G14751"/>
      <c r="H14751"/>
      <c r="I14751" s="489"/>
      <c r="J14751" s="1362"/>
      <c r="K14751" s="1362"/>
      <c r="L14751" s="1362"/>
    </row>
    <row r="14752" spans="1:12" x14ac:dyDescent="0.25">
      <c r="A14752">
        <v>92395</v>
      </c>
      <c r="B14752" t="s">
        <v>2016</v>
      </c>
      <c r="C14752" t="s">
        <v>297</v>
      </c>
      <c r="D14752" s="254">
        <v>85.25</v>
      </c>
      <c r="E14752"/>
      <c r="F14752"/>
      <c r="G14752"/>
      <c r="H14752"/>
      <c r="I14752" s="489"/>
      <c r="J14752" s="1362"/>
      <c r="K14752" s="1362"/>
      <c r="L14752" s="1362"/>
    </row>
    <row r="14753" spans="1:12" x14ac:dyDescent="0.25">
      <c r="A14753">
        <v>92396</v>
      </c>
      <c r="B14753" t="s">
        <v>2017</v>
      </c>
      <c r="C14753" t="s">
        <v>297</v>
      </c>
      <c r="D14753" s="254">
        <v>71.790000000000006</v>
      </c>
      <c r="E14753"/>
      <c r="F14753"/>
      <c r="G14753"/>
      <c r="H14753"/>
      <c r="I14753" s="489"/>
      <c r="J14753" s="1362"/>
      <c r="K14753" s="1362"/>
      <c r="L14753" s="1362"/>
    </row>
    <row r="14754" spans="1:12" x14ac:dyDescent="0.25">
      <c r="A14754">
        <v>92397</v>
      </c>
      <c r="B14754" t="s">
        <v>2018</v>
      </c>
      <c r="C14754" t="s">
        <v>297</v>
      </c>
      <c r="D14754" s="254">
        <v>57.3</v>
      </c>
      <c r="E14754"/>
      <c r="F14754"/>
      <c r="G14754"/>
      <c r="H14754"/>
      <c r="I14754" s="489"/>
      <c r="J14754" s="1362"/>
      <c r="K14754" s="1362"/>
      <c r="L14754" s="1362"/>
    </row>
    <row r="14755" spans="1:12" x14ac:dyDescent="0.25">
      <c r="A14755">
        <v>92398</v>
      </c>
      <c r="B14755" t="s">
        <v>2019</v>
      </c>
      <c r="C14755" t="s">
        <v>297</v>
      </c>
      <c r="D14755" s="254">
        <v>72.849999999999994</v>
      </c>
      <c r="E14755"/>
      <c r="F14755"/>
      <c r="G14755"/>
      <c r="H14755"/>
      <c r="I14755" s="489"/>
      <c r="J14755" s="1362"/>
      <c r="K14755" s="1362"/>
      <c r="L14755" s="1362"/>
    </row>
    <row r="14756" spans="1:12" x14ac:dyDescent="0.25">
      <c r="A14756">
        <v>92399</v>
      </c>
      <c r="B14756" t="s">
        <v>2020</v>
      </c>
      <c r="C14756" t="s">
        <v>297</v>
      </c>
      <c r="D14756" s="254">
        <v>74.319999999999993</v>
      </c>
      <c r="E14756"/>
      <c r="F14756"/>
      <c r="G14756"/>
      <c r="H14756"/>
      <c r="I14756" s="489"/>
      <c r="J14756" s="1362"/>
      <c r="K14756" s="1362"/>
      <c r="L14756" s="1362"/>
    </row>
    <row r="14757" spans="1:12" x14ac:dyDescent="0.25">
      <c r="A14757">
        <v>92400</v>
      </c>
      <c r="B14757" t="s">
        <v>2021</v>
      </c>
      <c r="C14757" t="s">
        <v>297</v>
      </c>
      <c r="D14757" s="254">
        <v>86.93</v>
      </c>
      <c r="E14757"/>
      <c r="F14757"/>
      <c r="G14757"/>
      <c r="H14757"/>
      <c r="I14757" s="489"/>
      <c r="J14757" s="1362"/>
      <c r="K14757" s="1362"/>
      <c r="L14757" s="1362"/>
    </row>
    <row r="14758" spans="1:12" x14ac:dyDescent="0.25">
      <c r="A14758">
        <v>92401</v>
      </c>
      <c r="B14758" t="s">
        <v>2022</v>
      </c>
      <c r="C14758" t="s">
        <v>297</v>
      </c>
      <c r="D14758" s="254">
        <v>88.5</v>
      </c>
      <c r="E14758"/>
      <c r="F14758"/>
      <c r="G14758"/>
      <c r="H14758"/>
      <c r="I14758" s="489"/>
      <c r="J14758" s="1362"/>
      <c r="K14758" s="1362"/>
      <c r="L14758" s="1362"/>
    </row>
    <row r="14759" spans="1:12" x14ac:dyDescent="0.25">
      <c r="A14759">
        <v>92402</v>
      </c>
      <c r="B14759" t="s">
        <v>2023</v>
      </c>
      <c r="C14759" t="s">
        <v>297</v>
      </c>
      <c r="D14759" s="254">
        <v>73.92</v>
      </c>
      <c r="E14759"/>
      <c r="F14759"/>
      <c r="G14759"/>
      <c r="H14759"/>
      <c r="I14759" s="489"/>
      <c r="J14759" s="1362"/>
      <c r="K14759" s="1362"/>
      <c r="L14759" s="1362"/>
    </row>
    <row r="14760" spans="1:12" x14ac:dyDescent="0.25">
      <c r="A14760">
        <v>92403</v>
      </c>
      <c r="B14760" t="s">
        <v>2024</v>
      </c>
      <c r="C14760" t="s">
        <v>297</v>
      </c>
      <c r="D14760" s="254">
        <v>59.31</v>
      </c>
      <c r="E14760"/>
      <c r="F14760"/>
      <c r="G14760"/>
      <c r="H14760"/>
      <c r="I14760" s="489"/>
      <c r="J14760" s="1362"/>
      <c r="K14760" s="1362"/>
      <c r="L14760" s="1362"/>
    </row>
    <row r="14761" spans="1:12" x14ac:dyDescent="0.25">
      <c r="A14761">
        <v>92404</v>
      </c>
      <c r="B14761" t="s">
        <v>2025</v>
      </c>
      <c r="C14761" t="s">
        <v>297</v>
      </c>
      <c r="D14761" s="254">
        <v>74.88</v>
      </c>
      <c r="E14761"/>
      <c r="F14761"/>
      <c r="G14761"/>
      <c r="H14761"/>
      <c r="I14761" s="489"/>
      <c r="J14761" s="1362"/>
      <c r="K14761" s="1362"/>
      <c r="L14761" s="1362"/>
    </row>
    <row r="14762" spans="1:12" x14ac:dyDescent="0.25">
      <c r="A14762">
        <v>92405</v>
      </c>
      <c r="B14762" t="s">
        <v>2026</v>
      </c>
      <c r="C14762" t="s">
        <v>297</v>
      </c>
      <c r="D14762" s="254">
        <v>76.319999999999993</v>
      </c>
      <c r="E14762"/>
      <c r="F14762"/>
      <c r="G14762"/>
      <c r="H14762"/>
      <c r="I14762" s="489"/>
      <c r="J14762" s="1362"/>
      <c r="K14762" s="1362"/>
      <c r="L14762" s="1362"/>
    </row>
    <row r="14763" spans="1:12" x14ac:dyDescent="0.25">
      <c r="A14763">
        <v>92406</v>
      </c>
      <c r="B14763" t="s">
        <v>2027</v>
      </c>
      <c r="C14763" t="s">
        <v>297</v>
      </c>
      <c r="D14763" s="254">
        <v>88.99</v>
      </c>
      <c r="E14763"/>
      <c r="F14763"/>
      <c r="G14763"/>
      <c r="H14763"/>
      <c r="I14763" s="489"/>
      <c r="J14763" s="1362"/>
      <c r="K14763" s="1362"/>
      <c r="L14763" s="1362"/>
    </row>
    <row r="14764" spans="1:12" x14ac:dyDescent="0.25">
      <c r="A14764">
        <v>92407</v>
      </c>
      <c r="B14764" t="s">
        <v>2028</v>
      </c>
      <c r="C14764" t="s">
        <v>297</v>
      </c>
      <c r="D14764" s="254">
        <v>90.51</v>
      </c>
      <c r="E14764"/>
      <c r="F14764"/>
      <c r="G14764"/>
      <c r="H14764"/>
      <c r="I14764" s="489"/>
      <c r="J14764" s="1362"/>
      <c r="K14764" s="1362"/>
      <c r="L14764" s="1362"/>
    </row>
    <row r="14765" spans="1:12" x14ac:dyDescent="0.25">
      <c r="A14765">
        <v>93679</v>
      </c>
      <c r="B14765" t="s">
        <v>2029</v>
      </c>
      <c r="C14765" t="s">
        <v>297</v>
      </c>
      <c r="D14765" s="254">
        <v>78.39</v>
      </c>
      <c r="E14765"/>
      <c r="F14765"/>
      <c r="G14765"/>
      <c r="H14765"/>
      <c r="I14765" s="489"/>
      <c r="J14765" s="1362"/>
      <c r="K14765" s="1362"/>
      <c r="L14765" s="1362"/>
    </row>
    <row r="14766" spans="1:12" x14ac:dyDescent="0.25">
      <c r="A14766">
        <v>93680</v>
      </c>
      <c r="B14766" t="s">
        <v>2030</v>
      </c>
      <c r="C14766" t="s">
        <v>297</v>
      </c>
      <c r="D14766" s="254">
        <v>63.61</v>
      </c>
      <c r="E14766"/>
      <c r="F14766"/>
      <c r="G14766"/>
      <c r="H14766"/>
      <c r="I14766" s="489"/>
      <c r="J14766" s="1362"/>
      <c r="K14766" s="1362"/>
      <c r="L14766" s="1362"/>
    </row>
    <row r="14767" spans="1:12" x14ac:dyDescent="0.25">
      <c r="A14767">
        <v>93681</v>
      </c>
      <c r="B14767" t="s">
        <v>2031</v>
      </c>
      <c r="C14767" t="s">
        <v>297</v>
      </c>
      <c r="D14767" s="254">
        <v>77.91</v>
      </c>
      <c r="E14767"/>
      <c r="F14767"/>
      <c r="G14767"/>
      <c r="H14767"/>
      <c r="I14767" s="489"/>
      <c r="J14767" s="1362"/>
      <c r="K14767" s="1362"/>
      <c r="L14767" s="1362"/>
    </row>
    <row r="14768" spans="1:12" x14ac:dyDescent="0.25">
      <c r="A14768">
        <v>93682</v>
      </c>
      <c r="B14768" t="s">
        <v>2032</v>
      </c>
      <c r="C14768" t="s">
        <v>297</v>
      </c>
      <c r="D14768" s="254">
        <v>79.430000000000007</v>
      </c>
      <c r="E14768"/>
      <c r="F14768"/>
      <c r="G14768"/>
      <c r="H14768"/>
      <c r="I14768" s="489"/>
      <c r="J14768" s="1362"/>
      <c r="K14768" s="1362"/>
      <c r="L14768" s="1362"/>
    </row>
    <row r="14769" spans="1:12" x14ac:dyDescent="0.25">
      <c r="A14769">
        <v>97104</v>
      </c>
      <c r="B14769" t="s">
        <v>19695</v>
      </c>
      <c r="C14769" t="s">
        <v>297</v>
      </c>
      <c r="D14769" s="254">
        <v>133.30000000000001</v>
      </c>
      <c r="E14769"/>
      <c r="F14769"/>
      <c r="G14769"/>
      <c r="H14769"/>
      <c r="I14769" s="489"/>
      <c r="J14769" s="1362"/>
      <c r="K14769" s="1362"/>
      <c r="L14769" s="1362"/>
    </row>
    <row r="14770" spans="1:12" x14ac:dyDescent="0.25">
      <c r="A14770">
        <v>97105</v>
      </c>
      <c r="B14770" t="s">
        <v>19696</v>
      </c>
      <c r="C14770" t="s">
        <v>297</v>
      </c>
      <c r="D14770" s="254">
        <v>150.55000000000001</v>
      </c>
      <c r="E14770"/>
      <c r="F14770"/>
      <c r="G14770"/>
      <c r="H14770"/>
      <c r="I14770" s="489"/>
      <c r="J14770" s="1362"/>
      <c r="K14770" s="1362"/>
      <c r="L14770" s="1362"/>
    </row>
    <row r="14771" spans="1:12" x14ac:dyDescent="0.25">
      <c r="A14771">
        <v>97106</v>
      </c>
      <c r="B14771" t="s">
        <v>19697</v>
      </c>
      <c r="C14771" t="s">
        <v>297</v>
      </c>
      <c r="D14771" s="254">
        <v>166.71</v>
      </c>
      <c r="E14771"/>
      <c r="F14771"/>
      <c r="G14771"/>
      <c r="H14771"/>
      <c r="I14771" s="489"/>
      <c r="J14771" s="1362"/>
      <c r="K14771" s="1362"/>
      <c r="L14771" s="1362"/>
    </row>
    <row r="14772" spans="1:12" x14ac:dyDescent="0.25">
      <c r="A14772">
        <v>97107</v>
      </c>
      <c r="B14772" t="s">
        <v>19698</v>
      </c>
      <c r="C14772" t="s">
        <v>297</v>
      </c>
      <c r="D14772" s="254">
        <v>191.02</v>
      </c>
      <c r="E14772"/>
      <c r="F14772"/>
      <c r="G14772"/>
      <c r="H14772"/>
      <c r="I14772" s="489"/>
      <c r="J14772" s="1362"/>
      <c r="K14772" s="1362"/>
      <c r="L14772" s="1362"/>
    </row>
    <row r="14773" spans="1:12" x14ac:dyDescent="0.25">
      <c r="A14773">
        <v>97108</v>
      </c>
      <c r="B14773" t="s">
        <v>19699</v>
      </c>
      <c r="C14773" t="s">
        <v>297</v>
      </c>
      <c r="D14773" s="254">
        <v>218.9</v>
      </c>
      <c r="E14773"/>
      <c r="F14773"/>
      <c r="G14773"/>
      <c r="H14773"/>
      <c r="I14773" s="489"/>
      <c r="J14773" s="1362"/>
      <c r="K14773" s="1362"/>
      <c r="L14773" s="1362"/>
    </row>
    <row r="14774" spans="1:12" x14ac:dyDescent="0.25">
      <c r="A14774">
        <v>97109</v>
      </c>
      <c r="B14774" t="s">
        <v>19700</v>
      </c>
      <c r="C14774" t="s">
        <v>297</v>
      </c>
      <c r="D14774" s="254">
        <v>242.28</v>
      </c>
      <c r="E14774"/>
      <c r="F14774"/>
      <c r="G14774"/>
      <c r="H14774"/>
      <c r="I14774" s="489"/>
      <c r="J14774" s="1362"/>
      <c r="K14774" s="1362"/>
      <c r="L14774" s="1362"/>
    </row>
    <row r="14775" spans="1:12" x14ac:dyDescent="0.25">
      <c r="A14775">
        <v>97111</v>
      </c>
      <c r="B14775" t="s">
        <v>19701</v>
      </c>
      <c r="C14775" t="s">
        <v>297</v>
      </c>
      <c r="D14775" s="254">
        <v>281.87</v>
      </c>
      <c r="E14775"/>
      <c r="F14775"/>
      <c r="G14775"/>
      <c r="H14775"/>
      <c r="I14775" s="489"/>
      <c r="J14775" s="1362"/>
      <c r="K14775" s="1362"/>
      <c r="L14775" s="1362"/>
    </row>
    <row r="14776" spans="1:12" x14ac:dyDescent="0.25">
      <c r="A14776">
        <v>97112</v>
      </c>
      <c r="B14776" t="s">
        <v>19702</v>
      </c>
      <c r="C14776" t="s">
        <v>297</v>
      </c>
      <c r="D14776" s="254">
        <v>240.89</v>
      </c>
      <c r="E14776"/>
      <c r="F14776"/>
      <c r="G14776"/>
      <c r="H14776"/>
      <c r="I14776" s="489"/>
      <c r="J14776" s="1362"/>
      <c r="K14776" s="1362"/>
      <c r="L14776" s="1362"/>
    </row>
    <row r="14777" spans="1:12" x14ac:dyDescent="0.25">
      <c r="A14777">
        <v>97113</v>
      </c>
      <c r="B14777" t="s">
        <v>19703</v>
      </c>
      <c r="C14777" t="s">
        <v>297</v>
      </c>
      <c r="D14777" s="254">
        <v>2.08</v>
      </c>
      <c r="E14777"/>
      <c r="F14777"/>
      <c r="G14777"/>
      <c r="H14777"/>
      <c r="I14777" s="489"/>
      <c r="J14777" s="1362"/>
      <c r="K14777" s="1362"/>
      <c r="L14777" s="1362"/>
    </row>
    <row r="14778" spans="1:12" x14ac:dyDescent="0.25">
      <c r="A14778">
        <v>97114</v>
      </c>
      <c r="B14778" t="s">
        <v>19704</v>
      </c>
      <c r="C14778" t="s">
        <v>151</v>
      </c>
      <c r="D14778" s="254">
        <v>0.39</v>
      </c>
      <c r="E14778"/>
      <c r="F14778"/>
      <c r="G14778"/>
      <c r="H14778"/>
      <c r="I14778" s="489"/>
      <c r="J14778" s="1362"/>
      <c r="K14778" s="1362"/>
      <c r="L14778" s="1362"/>
    </row>
    <row r="14779" spans="1:12" x14ac:dyDescent="0.25">
      <c r="A14779">
        <v>97115</v>
      </c>
      <c r="B14779" t="s">
        <v>19705</v>
      </c>
      <c r="C14779" t="s">
        <v>282</v>
      </c>
      <c r="D14779" s="254">
        <v>71.44</v>
      </c>
      <c r="E14779"/>
      <c r="F14779"/>
      <c r="G14779"/>
      <c r="H14779"/>
      <c r="I14779" s="489"/>
      <c r="J14779" s="1362"/>
      <c r="K14779" s="1362"/>
      <c r="L14779" s="1362"/>
    </row>
    <row r="14780" spans="1:12" x14ac:dyDescent="0.25">
      <c r="A14780">
        <v>97116</v>
      </c>
      <c r="B14780" t="s">
        <v>19706</v>
      </c>
      <c r="C14780" t="s">
        <v>282</v>
      </c>
      <c r="D14780" s="254">
        <v>26.21</v>
      </c>
      <c r="E14780"/>
      <c r="F14780"/>
      <c r="G14780"/>
      <c r="H14780"/>
      <c r="I14780" s="489"/>
      <c r="J14780" s="1362"/>
      <c r="K14780" s="1362"/>
      <c r="L14780" s="1362"/>
    </row>
    <row r="14781" spans="1:12" x14ac:dyDescent="0.25">
      <c r="A14781">
        <v>97117</v>
      </c>
      <c r="B14781" t="s">
        <v>19707</v>
      </c>
      <c r="C14781" t="s">
        <v>282</v>
      </c>
      <c r="D14781" s="254">
        <v>23</v>
      </c>
      <c r="E14781"/>
      <c r="F14781"/>
      <c r="G14781"/>
      <c r="H14781"/>
      <c r="I14781" s="489"/>
      <c r="J14781" s="1362"/>
      <c r="K14781" s="1362"/>
      <c r="L14781" s="1362"/>
    </row>
    <row r="14782" spans="1:12" x14ac:dyDescent="0.25">
      <c r="A14782">
        <v>97118</v>
      </c>
      <c r="B14782" t="s">
        <v>19708</v>
      </c>
      <c r="C14782" t="s">
        <v>282</v>
      </c>
      <c r="D14782" s="254">
        <v>19.12</v>
      </c>
      <c r="E14782"/>
      <c r="F14782"/>
      <c r="G14782"/>
      <c r="H14782"/>
      <c r="I14782" s="489"/>
      <c r="J14782" s="1362"/>
      <c r="K14782" s="1362"/>
      <c r="L14782" s="1362"/>
    </row>
    <row r="14783" spans="1:12" x14ac:dyDescent="0.25">
      <c r="A14783">
        <v>97119</v>
      </c>
      <c r="B14783" t="s">
        <v>19709</v>
      </c>
      <c r="C14783" t="s">
        <v>282</v>
      </c>
      <c r="D14783" s="254">
        <v>17.3</v>
      </c>
      <c r="E14783"/>
      <c r="F14783"/>
      <c r="G14783"/>
      <c r="H14783"/>
      <c r="I14783" s="489"/>
      <c r="J14783" s="1362"/>
      <c r="K14783" s="1362"/>
      <c r="L14783" s="1362"/>
    </row>
    <row r="14784" spans="1:12" x14ac:dyDescent="0.25">
      <c r="A14784">
        <v>97120</v>
      </c>
      <c r="B14784" t="s">
        <v>19710</v>
      </c>
      <c r="C14784" t="s">
        <v>282</v>
      </c>
      <c r="D14784" s="254">
        <v>11.19</v>
      </c>
      <c r="E14784"/>
      <c r="F14784"/>
      <c r="G14784"/>
      <c r="H14784"/>
      <c r="I14784" s="489"/>
      <c r="J14784" s="1362"/>
      <c r="K14784" s="1362"/>
      <c r="L14784" s="1362"/>
    </row>
    <row r="14785" spans="1:12" x14ac:dyDescent="0.25">
      <c r="A14785">
        <v>101167</v>
      </c>
      <c r="B14785" t="s">
        <v>4440</v>
      </c>
      <c r="C14785" t="s">
        <v>297</v>
      </c>
      <c r="D14785" s="254">
        <v>133.77000000000001</v>
      </c>
      <c r="E14785"/>
      <c r="F14785"/>
      <c r="G14785"/>
      <c r="H14785"/>
      <c r="I14785" s="489"/>
      <c r="J14785" s="1362"/>
      <c r="K14785" s="1362"/>
      <c r="L14785" s="1362"/>
    </row>
    <row r="14786" spans="1:12" x14ac:dyDescent="0.25">
      <c r="A14786">
        <v>101169</v>
      </c>
      <c r="B14786" t="s">
        <v>4441</v>
      </c>
      <c r="C14786" t="s">
        <v>297</v>
      </c>
      <c r="D14786" s="254">
        <v>148.83000000000001</v>
      </c>
      <c r="E14786"/>
      <c r="F14786"/>
      <c r="G14786"/>
      <c r="H14786"/>
      <c r="I14786" s="489"/>
      <c r="J14786" s="1362"/>
      <c r="K14786" s="1362"/>
      <c r="L14786" s="1362"/>
    </row>
    <row r="14787" spans="1:12" x14ac:dyDescent="0.25">
      <c r="A14787">
        <v>101170</v>
      </c>
      <c r="B14787" t="s">
        <v>4442</v>
      </c>
      <c r="C14787" t="s">
        <v>297</v>
      </c>
      <c r="D14787" s="254">
        <v>52.35</v>
      </c>
      <c r="E14787"/>
      <c r="F14787"/>
      <c r="G14787"/>
      <c r="H14787"/>
      <c r="I14787" s="489"/>
      <c r="J14787" s="1362"/>
      <c r="K14787" s="1362"/>
      <c r="L14787" s="1362"/>
    </row>
    <row r="14788" spans="1:12" x14ac:dyDescent="0.25">
      <c r="A14788">
        <v>101172</v>
      </c>
      <c r="B14788" t="s">
        <v>4443</v>
      </c>
      <c r="C14788" t="s">
        <v>297</v>
      </c>
      <c r="D14788" s="254">
        <v>79.319999999999993</v>
      </c>
      <c r="E14788"/>
      <c r="F14788"/>
      <c r="G14788"/>
      <c r="H14788"/>
      <c r="I14788" s="489"/>
      <c r="J14788" s="1362"/>
      <c r="K14788" s="1362"/>
      <c r="L14788" s="1362"/>
    </row>
    <row r="14789" spans="1:12" x14ac:dyDescent="0.25">
      <c r="A14789">
        <v>103904</v>
      </c>
      <c r="B14789" t="s">
        <v>19711</v>
      </c>
      <c r="C14789" t="s">
        <v>297</v>
      </c>
      <c r="D14789" s="254">
        <v>129.69999999999999</v>
      </c>
      <c r="E14789"/>
      <c r="F14789"/>
      <c r="G14789"/>
      <c r="H14789"/>
      <c r="I14789" s="489"/>
      <c r="J14789" s="1362"/>
      <c r="K14789" s="1362"/>
      <c r="L14789" s="1362"/>
    </row>
    <row r="14790" spans="1:12" x14ac:dyDescent="0.25">
      <c r="A14790">
        <v>103905</v>
      </c>
      <c r="B14790" t="s">
        <v>19712</v>
      </c>
      <c r="C14790" t="s">
        <v>297</v>
      </c>
      <c r="D14790" s="254">
        <v>136.97999999999999</v>
      </c>
      <c r="E14790"/>
      <c r="F14790"/>
      <c r="G14790"/>
      <c r="H14790"/>
      <c r="I14790" s="489"/>
      <c r="J14790" s="1362"/>
      <c r="K14790" s="1362"/>
      <c r="L14790" s="1362"/>
    </row>
    <row r="14791" spans="1:12" x14ac:dyDescent="0.25">
      <c r="A14791">
        <v>103906</v>
      </c>
      <c r="B14791" t="s">
        <v>19713</v>
      </c>
      <c r="C14791" t="s">
        <v>297</v>
      </c>
      <c r="D14791" s="254">
        <v>171.42</v>
      </c>
      <c r="E14791"/>
      <c r="F14791"/>
      <c r="G14791"/>
      <c r="H14791"/>
      <c r="I14791" s="489"/>
      <c r="J14791" s="1362"/>
      <c r="K14791" s="1362"/>
      <c r="L14791" s="1362"/>
    </row>
    <row r="14792" spans="1:12" x14ac:dyDescent="0.25">
      <c r="A14792">
        <v>103907</v>
      </c>
      <c r="B14792" t="s">
        <v>19714</v>
      </c>
      <c r="C14792" t="s">
        <v>297</v>
      </c>
      <c r="D14792" s="254">
        <v>144.37</v>
      </c>
      <c r="E14792"/>
      <c r="F14792"/>
      <c r="G14792"/>
      <c r="H14792"/>
      <c r="I14792" s="489"/>
      <c r="J14792" s="1362"/>
      <c r="K14792" s="1362"/>
      <c r="L14792" s="1362"/>
    </row>
    <row r="14793" spans="1:12" x14ac:dyDescent="0.25">
      <c r="A14793">
        <v>103908</v>
      </c>
      <c r="B14793" t="s">
        <v>19715</v>
      </c>
      <c r="C14793" t="s">
        <v>297</v>
      </c>
      <c r="D14793" s="254">
        <v>161.91</v>
      </c>
      <c r="E14793"/>
      <c r="F14793"/>
      <c r="G14793"/>
      <c r="H14793"/>
      <c r="I14793" s="489"/>
      <c r="J14793" s="1362"/>
      <c r="K14793" s="1362"/>
      <c r="L14793" s="1362"/>
    </row>
    <row r="14794" spans="1:12" x14ac:dyDescent="0.25">
      <c r="A14794">
        <v>103909</v>
      </c>
      <c r="B14794" t="s">
        <v>19716</v>
      </c>
      <c r="C14794" t="s">
        <v>297</v>
      </c>
      <c r="D14794" s="254">
        <v>185.62</v>
      </c>
      <c r="E14794"/>
      <c r="F14794"/>
      <c r="G14794"/>
      <c r="H14794"/>
      <c r="I14794" s="489"/>
      <c r="J14794" s="1362"/>
      <c r="K14794" s="1362"/>
      <c r="L14794" s="1362"/>
    </row>
    <row r="14795" spans="1:12" x14ac:dyDescent="0.25">
      <c r="A14795">
        <v>103911</v>
      </c>
      <c r="B14795" t="s">
        <v>19717</v>
      </c>
      <c r="C14795" t="s">
        <v>297</v>
      </c>
      <c r="D14795" s="254">
        <v>212.9</v>
      </c>
      <c r="E14795"/>
      <c r="F14795"/>
      <c r="G14795"/>
      <c r="H14795"/>
      <c r="I14795" s="489"/>
      <c r="J14795" s="1362"/>
      <c r="K14795" s="1362"/>
      <c r="L14795" s="1362"/>
    </row>
    <row r="14796" spans="1:12" x14ac:dyDescent="0.25">
      <c r="A14796">
        <v>103912</v>
      </c>
      <c r="B14796" t="s">
        <v>19718</v>
      </c>
      <c r="C14796" t="s">
        <v>297</v>
      </c>
      <c r="D14796" s="254">
        <v>98.2</v>
      </c>
      <c r="E14796"/>
      <c r="F14796"/>
      <c r="G14796"/>
      <c r="H14796"/>
      <c r="I14796" s="489"/>
      <c r="J14796" s="1362"/>
      <c r="K14796" s="1362"/>
      <c r="L14796" s="1362"/>
    </row>
    <row r="14797" spans="1:12" x14ac:dyDescent="0.25">
      <c r="A14797">
        <v>103913</v>
      </c>
      <c r="B14797" t="s">
        <v>19719</v>
      </c>
      <c r="C14797" t="s">
        <v>297</v>
      </c>
      <c r="D14797" s="254">
        <v>129.52000000000001</v>
      </c>
      <c r="E14797"/>
      <c r="F14797"/>
      <c r="G14797"/>
      <c r="H14797"/>
      <c r="I14797" s="489"/>
      <c r="J14797" s="1362"/>
      <c r="K14797" s="1362"/>
      <c r="L14797" s="1362"/>
    </row>
    <row r="14798" spans="1:12" x14ac:dyDescent="0.25">
      <c r="A14798">
        <v>103914</v>
      </c>
      <c r="B14798" t="s">
        <v>19720</v>
      </c>
      <c r="C14798" t="s">
        <v>297</v>
      </c>
      <c r="D14798" s="254">
        <v>151.11000000000001</v>
      </c>
      <c r="E14798"/>
      <c r="F14798"/>
      <c r="G14798"/>
      <c r="H14798"/>
      <c r="I14798" s="489"/>
      <c r="J14798" s="1362"/>
      <c r="K14798" s="1362"/>
      <c r="L14798" s="1362"/>
    </row>
    <row r="14799" spans="1:12" x14ac:dyDescent="0.25">
      <c r="A14799">
        <v>103915</v>
      </c>
      <c r="B14799" t="s">
        <v>19721</v>
      </c>
      <c r="C14799" t="s">
        <v>297</v>
      </c>
      <c r="D14799" s="254">
        <v>165.58</v>
      </c>
      <c r="E14799"/>
      <c r="F14799"/>
      <c r="G14799"/>
      <c r="H14799"/>
      <c r="I14799" s="489"/>
      <c r="J14799" s="1362"/>
      <c r="K14799" s="1362"/>
      <c r="L14799" s="1362"/>
    </row>
    <row r="14800" spans="1:12" x14ac:dyDescent="0.25">
      <c r="A14800">
        <v>103916</v>
      </c>
      <c r="B14800" t="s">
        <v>19722</v>
      </c>
      <c r="C14800" t="s">
        <v>297</v>
      </c>
      <c r="D14800" s="254">
        <v>189.04</v>
      </c>
      <c r="E14800"/>
      <c r="F14800"/>
      <c r="G14800"/>
      <c r="H14800"/>
      <c r="I14800" s="489"/>
      <c r="J14800" s="1362"/>
      <c r="K14800" s="1362"/>
      <c r="L14800" s="1362"/>
    </row>
    <row r="14801" spans="1:12" x14ac:dyDescent="0.25">
      <c r="A14801">
        <v>103917</v>
      </c>
      <c r="B14801" t="s">
        <v>19723</v>
      </c>
      <c r="C14801" t="s">
        <v>297</v>
      </c>
      <c r="D14801" s="254">
        <v>218.96</v>
      </c>
      <c r="E14801"/>
      <c r="F14801"/>
      <c r="G14801"/>
      <c r="H14801"/>
      <c r="I14801" s="489"/>
      <c r="J14801" s="1362"/>
      <c r="K14801" s="1362"/>
      <c r="L14801" s="1362"/>
    </row>
    <row r="14802" spans="1:12" x14ac:dyDescent="0.25">
      <c r="A14802">
        <v>103918</v>
      </c>
      <c r="B14802" t="s">
        <v>19724</v>
      </c>
      <c r="C14802" t="s">
        <v>297</v>
      </c>
      <c r="D14802" s="254">
        <v>230.81</v>
      </c>
      <c r="E14802"/>
      <c r="F14802"/>
      <c r="G14802"/>
      <c r="H14802"/>
      <c r="I14802" s="489"/>
      <c r="J14802" s="1362"/>
      <c r="K14802" s="1362"/>
      <c r="L14802" s="1362"/>
    </row>
    <row r="14803" spans="1:12" x14ac:dyDescent="0.25">
      <c r="A14803">
        <v>103694</v>
      </c>
      <c r="B14803" t="s">
        <v>13597</v>
      </c>
      <c r="C14803" t="s">
        <v>138</v>
      </c>
      <c r="D14803" s="254">
        <v>110.68</v>
      </c>
      <c r="E14803"/>
      <c r="F14803"/>
      <c r="G14803"/>
      <c r="H14803"/>
      <c r="I14803" s="489"/>
      <c r="J14803" s="1362"/>
      <c r="K14803" s="1362"/>
      <c r="L14803" s="1362"/>
    </row>
    <row r="14804" spans="1:12" x14ac:dyDescent="0.25">
      <c r="A14804">
        <v>103695</v>
      </c>
      <c r="B14804" t="s">
        <v>19725</v>
      </c>
      <c r="C14804" t="s">
        <v>138</v>
      </c>
      <c r="D14804" s="254">
        <v>99.14</v>
      </c>
      <c r="E14804"/>
      <c r="F14804"/>
      <c r="G14804"/>
      <c r="H14804"/>
      <c r="I14804" s="489"/>
      <c r="J14804" s="1362"/>
      <c r="K14804" s="1362"/>
      <c r="L14804" s="1362"/>
    </row>
    <row r="14805" spans="1:12" x14ac:dyDescent="0.25">
      <c r="A14805">
        <v>103696</v>
      </c>
      <c r="B14805" t="s">
        <v>13598</v>
      </c>
      <c r="C14805" t="s">
        <v>138</v>
      </c>
      <c r="D14805" s="254">
        <v>138.21</v>
      </c>
      <c r="E14805"/>
      <c r="F14805"/>
      <c r="G14805"/>
      <c r="H14805"/>
      <c r="I14805" s="489"/>
      <c r="J14805" s="1362"/>
      <c r="K14805" s="1362"/>
      <c r="L14805" s="1362"/>
    </row>
    <row r="14806" spans="1:12" x14ac:dyDescent="0.25">
      <c r="A14806">
        <v>103697</v>
      </c>
      <c r="B14806" t="s">
        <v>19726</v>
      </c>
      <c r="C14806" t="s">
        <v>138</v>
      </c>
      <c r="D14806" s="254">
        <v>126.67</v>
      </c>
      <c r="E14806"/>
      <c r="F14806"/>
      <c r="G14806"/>
      <c r="H14806"/>
      <c r="I14806" s="489"/>
      <c r="J14806" s="1362"/>
      <c r="K14806" s="1362"/>
      <c r="L14806" s="1362"/>
    </row>
    <row r="14807" spans="1:12" x14ac:dyDescent="0.25">
      <c r="A14807">
        <v>95995</v>
      </c>
      <c r="B14807" t="s">
        <v>3741</v>
      </c>
      <c r="C14807" t="s">
        <v>1159</v>
      </c>
      <c r="D14807" s="254">
        <v>1616.69</v>
      </c>
      <c r="E14807"/>
      <c r="F14807"/>
      <c r="G14807"/>
      <c r="H14807"/>
      <c r="I14807" s="489"/>
      <c r="J14807" s="1362"/>
      <c r="K14807" s="1362"/>
      <c r="L14807" s="1362"/>
    </row>
    <row r="14808" spans="1:12" x14ac:dyDescent="0.25">
      <c r="A14808">
        <v>95996</v>
      </c>
      <c r="B14808" t="s">
        <v>3742</v>
      </c>
      <c r="C14808" t="s">
        <v>1159</v>
      </c>
      <c r="D14808" s="254">
        <v>1400.69</v>
      </c>
      <c r="E14808"/>
      <c r="F14808"/>
      <c r="G14808"/>
      <c r="H14808"/>
      <c r="I14808" s="489"/>
      <c r="J14808" s="1362"/>
      <c r="K14808" s="1362"/>
      <c r="L14808" s="1362"/>
    </row>
    <row r="14809" spans="1:12" x14ac:dyDescent="0.25">
      <c r="A14809">
        <v>96001</v>
      </c>
      <c r="B14809" t="s">
        <v>3743</v>
      </c>
      <c r="C14809" t="s">
        <v>297</v>
      </c>
      <c r="D14809" s="254">
        <v>7.64</v>
      </c>
      <c r="E14809"/>
      <c r="F14809"/>
      <c r="G14809"/>
      <c r="H14809"/>
      <c r="I14809" s="489"/>
      <c r="J14809" s="1362"/>
      <c r="K14809" s="1362"/>
      <c r="L14809" s="1362"/>
    </row>
    <row r="14810" spans="1:12" x14ac:dyDescent="0.25">
      <c r="A14810">
        <v>96393</v>
      </c>
      <c r="B14810" t="s">
        <v>4444</v>
      </c>
      <c r="C14810" t="s">
        <v>1159</v>
      </c>
      <c r="D14810" s="254">
        <v>161.85</v>
      </c>
      <c r="E14810"/>
      <c r="F14810"/>
      <c r="G14810"/>
      <c r="H14810"/>
      <c r="I14810" s="489"/>
      <c r="J14810" s="1362"/>
      <c r="K14810" s="1362"/>
      <c r="L14810" s="1362"/>
    </row>
    <row r="14811" spans="1:12" x14ac:dyDescent="0.25">
      <c r="A14811">
        <v>96394</v>
      </c>
      <c r="B14811" t="s">
        <v>4445</v>
      </c>
      <c r="C14811" t="s">
        <v>1159</v>
      </c>
      <c r="D14811" s="254">
        <v>225.4</v>
      </c>
      <c r="E14811"/>
      <c r="F14811"/>
      <c r="G14811"/>
      <c r="H14811"/>
      <c r="I14811" s="489"/>
      <c r="J14811" s="1362"/>
      <c r="K14811" s="1362"/>
      <c r="L14811" s="1362"/>
    </row>
    <row r="14812" spans="1:12" x14ac:dyDescent="0.25">
      <c r="A14812">
        <v>96395</v>
      </c>
      <c r="B14812" t="s">
        <v>4446</v>
      </c>
      <c r="C14812" t="s">
        <v>1159</v>
      </c>
      <c r="D14812" s="254">
        <v>313.74</v>
      </c>
      <c r="E14812"/>
      <c r="F14812"/>
      <c r="G14812"/>
      <c r="H14812"/>
      <c r="I14812" s="489"/>
      <c r="J14812" s="1362"/>
      <c r="K14812" s="1362"/>
      <c r="L14812" s="1362"/>
    </row>
    <row r="14813" spans="1:12" x14ac:dyDescent="0.25">
      <c r="A14813">
        <v>88411</v>
      </c>
      <c r="B14813" t="s">
        <v>2033</v>
      </c>
      <c r="C14813" t="s">
        <v>297</v>
      </c>
      <c r="D14813" s="254">
        <v>2.79</v>
      </c>
      <c r="E14813"/>
      <c r="F14813"/>
      <c r="G14813"/>
      <c r="H14813"/>
      <c r="I14813" s="489"/>
      <c r="J14813" s="1362"/>
      <c r="K14813" s="1362"/>
      <c r="L14813" s="1362"/>
    </row>
    <row r="14814" spans="1:12" x14ac:dyDescent="0.25">
      <c r="A14814">
        <v>88412</v>
      </c>
      <c r="B14814" t="s">
        <v>2034</v>
      </c>
      <c r="C14814" t="s">
        <v>297</v>
      </c>
      <c r="D14814" s="254">
        <v>2</v>
      </c>
      <c r="E14814"/>
      <c r="F14814"/>
      <c r="G14814"/>
      <c r="H14814"/>
      <c r="I14814" s="489"/>
      <c r="J14814" s="1362"/>
      <c r="K14814" s="1362"/>
      <c r="L14814" s="1362"/>
    </row>
    <row r="14815" spans="1:12" x14ac:dyDescent="0.25">
      <c r="A14815">
        <v>88413</v>
      </c>
      <c r="B14815" t="s">
        <v>2035</v>
      </c>
      <c r="C14815" t="s">
        <v>297</v>
      </c>
      <c r="D14815" s="254">
        <v>4.38</v>
      </c>
      <c r="E14815"/>
      <c r="F14815"/>
      <c r="G14815"/>
      <c r="H14815"/>
      <c r="I14815" s="489"/>
      <c r="J14815" s="1362"/>
      <c r="K14815" s="1362"/>
      <c r="L14815" s="1362"/>
    </row>
    <row r="14816" spans="1:12" x14ac:dyDescent="0.25">
      <c r="A14816">
        <v>88414</v>
      </c>
      <c r="B14816" t="s">
        <v>2036</v>
      </c>
      <c r="C14816" t="s">
        <v>297</v>
      </c>
      <c r="D14816" s="254">
        <v>4.8899999999999997</v>
      </c>
      <c r="E14816"/>
      <c r="F14816"/>
      <c r="G14816"/>
      <c r="H14816"/>
      <c r="I14816" s="489"/>
      <c r="J14816" s="1362"/>
      <c r="K14816" s="1362"/>
      <c r="L14816" s="1362"/>
    </row>
    <row r="14817" spans="1:12" x14ac:dyDescent="0.25">
      <c r="A14817">
        <v>88415</v>
      </c>
      <c r="B14817" t="s">
        <v>2037</v>
      </c>
      <c r="C14817" t="s">
        <v>297</v>
      </c>
      <c r="D14817" s="254">
        <v>3.05</v>
      </c>
      <c r="E14817"/>
      <c r="F14817"/>
      <c r="G14817"/>
      <c r="H14817"/>
      <c r="I14817" s="489"/>
      <c r="J14817" s="1362"/>
      <c r="K14817" s="1362"/>
      <c r="L14817" s="1362"/>
    </row>
    <row r="14818" spans="1:12" x14ac:dyDescent="0.25">
      <c r="A14818">
        <v>88416</v>
      </c>
      <c r="B14818" t="s">
        <v>2038</v>
      </c>
      <c r="C14818" t="s">
        <v>297</v>
      </c>
      <c r="D14818" s="254">
        <v>17.38</v>
      </c>
      <c r="E14818"/>
      <c r="F14818"/>
      <c r="G14818"/>
      <c r="H14818"/>
      <c r="I14818" s="489"/>
      <c r="J14818" s="1362"/>
      <c r="K14818" s="1362"/>
      <c r="L14818" s="1362"/>
    </row>
    <row r="14819" spans="1:12" x14ac:dyDescent="0.25">
      <c r="A14819">
        <v>88417</v>
      </c>
      <c r="B14819" t="s">
        <v>2039</v>
      </c>
      <c r="C14819" t="s">
        <v>297</v>
      </c>
      <c r="D14819" s="254">
        <v>14.57</v>
      </c>
      <c r="E14819"/>
      <c r="F14819"/>
      <c r="G14819"/>
      <c r="H14819"/>
      <c r="I14819" s="489"/>
      <c r="J14819" s="1362"/>
      <c r="K14819" s="1362"/>
      <c r="L14819" s="1362"/>
    </row>
    <row r="14820" spans="1:12" x14ac:dyDescent="0.25">
      <c r="A14820">
        <v>88420</v>
      </c>
      <c r="B14820" t="s">
        <v>2040</v>
      </c>
      <c r="C14820" t="s">
        <v>297</v>
      </c>
      <c r="D14820" s="254">
        <v>23.05</v>
      </c>
      <c r="E14820"/>
      <c r="F14820"/>
      <c r="G14820"/>
      <c r="H14820"/>
      <c r="I14820" s="489"/>
      <c r="J14820" s="1362"/>
      <c r="K14820" s="1362"/>
      <c r="L14820" s="1362"/>
    </row>
    <row r="14821" spans="1:12" x14ac:dyDescent="0.25">
      <c r="A14821">
        <v>88421</v>
      </c>
      <c r="B14821" t="s">
        <v>2041</v>
      </c>
      <c r="C14821" t="s">
        <v>297</v>
      </c>
      <c r="D14821" s="254">
        <v>24.84</v>
      </c>
      <c r="E14821"/>
      <c r="F14821"/>
      <c r="G14821"/>
      <c r="H14821"/>
      <c r="I14821" s="489"/>
      <c r="J14821" s="1362"/>
      <c r="K14821" s="1362"/>
      <c r="L14821" s="1362"/>
    </row>
    <row r="14822" spans="1:12" x14ac:dyDescent="0.25">
      <c r="A14822">
        <v>88423</v>
      </c>
      <c r="B14822" t="s">
        <v>2042</v>
      </c>
      <c r="C14822" t="s">
        <v>297</v>
      </c>
      <c r="D14822" s="254">
        <v>18.260000000000002</v>
      </c>
      <c r="E14822"/>
      <c r="F14822"/>
      <c r="G14822"/>
      <c r="H14822"/>
      <c r="I14822" s="489"/>
      <c r="J14822" s="1362"/>
      <c r="K14822" s="1362"/>
      <c r="L14822" s="1362"/>
    </row>
    <row r="14823" spans="1:12" x14ac:dyDescent="0.25">
      <c r="A14823">
        <v>88424</v>
      </c>
      <c r="B14823" t="s">
        <v>2043</v>
      </c>
      <c r="C14823" t="s">
        <v>297</v>
      </c>
      <c r="D14823" s="254">
        <v>21.24</v>
      </c>
      <c r="E14823"/>
      <c r="F14823"/>
      <c r="G14823"/>
      <c r="H14823"/>
      <c r="I14823" s="489"/>
      <c r="J14823" s="1362"/>
      <c r="K14823" s="1362"/>
      <c r="L14823" s="1362"/>
    </row>
    <row r="14824" spans="1:12" x14ac:dyDescent="0.25">
      <c r="A14824">
        <v>88426</v>
      </c>
      <c r="B14824" t="s">
        <v>2044</v>
      </c>
      <c r="C14824" t="s">
        <v>297</v>
      </c>
      <c r="D14824" s="254">
        <v>16.38</v>
      </c>
      <c r="E14824"/>
      <c r="F14824"/>
      <c r="G14824"/>
      <c r="H14824"/>
      <c r="I14824" s="489"/>
      <c r="J14824" s="1362"/>
      <c r="K14824" s="1362"/>
      <c r="L14824" s="1362"/>
    </row>
    <row r="14825" spans="1:12" x14ac:dyDescent="0.25">
      <c r="A14825">
        <v>88428</v>
      </c>
      <c r="B14825" t="s">
        <v>2045</v>
      </c>
      <c r="C14825" t="s">
        <v>297</v>
      </c>
      <c r="D14825" s="254">
        <v>30.98</v>
      </c>
      <c r="E14825"/>
      <c r="F14825"/>
      <c r="G14825"/>
      <c r="H14825"/>
      <c r="I14825" s="489"/>
      <c r="J14825" s="1362"/>
      <c r="K14825" s="1362"/>
      <c r="L14825" s="1362"/>
    </row>
    <row r="14826" spans="1:12" x14ac:dyDescent="0.25">
      <c r="A14826">
        <v>88429</v>
      </c>
      <c r="B14826" t="s">
        <v>2046</v>
      </c>
      <c r="C14826" t="s">
        <v>297</v>
      </c>
      <c r="D14826" s="254">
        <v>34.1</v>
      </c>
      <c r="E14826"/>
      <c r="F14826"/>
      <c r="G14826"/>
      <c r="H14826"/>
      <c r="I14826" s="489"/>
      <c r="J14826" s="1362"/>
      <c r="K14826" s="1362"/>
      <c r="L14826" s="1362"/>
    </row>
    <row r="14827" spans="1:12" x14ac:dyDescent="0.25">
      <c r="A14827">
        <v>88431</v>
      </c>
      <c r="B14827" t="s">
        <v>2047</v>
      </c>
      <c r="C14827" t="s">
        <v>297</v>
      </c>
      <c r="D14827" s="254">
        <v>22.77</v>
      </c>
      <c r="E14827"/>
      <c r="F14827"/>
      <c r="G14827"/>
      <c r="H14827"/>
      <c r="I14827" s="489"/>
      <c r="J14827" s="1362"/>
      <c r="K14827" s="1362"/>
      <c r="L14827" s="1362"/>
    </row>
    <row r="14828" spans="1:12" x14ac:dyDescent="0.25">
      <c r="A14828">
        <v>88432</v>
      </c>
      <c r="B14828" t="s">
        <v>2048</v>
      </c>
      <c r="C14828" t="s">
        <v>297</v>
      </c>
      <c r="D14828" s="254">
        <v>18.079999999999998</v>
      </c>
      <c r="E14828"/>
      <c r="F14828"/>
      <c r="G14828"/>
      <c r="H14828"/>
      <c r="I14828" s="489"/>
      <c r="J14828" s="1362"/>
      <c r="K14828" s="1362"/>
      <c r="L14828" s="1362"/>
    </row>
    <row r="14829" spans="1:12" x14ac:dyDescent="0.25">
      <c r="A14829">
        <v>88484</v>
      </c>
      <c r="B14829" t="s">
        <v>2049</v>
      </c>
      <c r="C14829" t="s">
        <v>297</v>
      </c>
      <c r="D14829" s="254">
        <v>3.06</v>
      </c>
      <c r="E14829"/>
      <c r="F14829"/>
      <c r="G14829"/>
      <c r="H14829"/>
      <c r="I14829" s="489"/>
      <c r="J14829" s="1362"/>
      <c r="K14829" s="1362"/>
      <c r="L14829" s="1362"/>
    </row>
    <row r="14830" spans="1:12" x14ac:dyDescent="0.25">
      <c r="A14830">
        <v>88485</v>
      </c>
      <c r="B14830" t="s">
        <v>2050</v>
      </c>
      <c r="C14830" t="s">
        <v>297</v>
      </c>
      <c r="D14830" s="254">
        <v>2.59</v>
      </c>
      <c r="E14830"/>
      <c r="F14830"/>
      <c r="G14830"/>
      <c r="H14830"/>
      <c r="I14830" s="489"/>
      <c r="J14830" s="1362"/>
      <c r="K14830" s="1362"/>
      <c r="L14830" s="1362"/>
    </row>
    <row r="14831" spans="1:12" x14ac:dyDescent="0.25">
      <c r="A14831">
        <v>88488</v>
      </c>
      <c r="B14831" t="s">
        <v>2051</v>
      </c>
      <c r="C14831" t="s">
        <v>297</v>
      </c>
      <c r="D14831" s="254">
        <v>17.809999999999999</v>
      </c>
      <c r="E14831"/>
      <c r="F14831"/>
      <c r="G14831"/>
      <c r="H14831"/>
      <c r="I14831" s="489"/>
      <c r="J14831" s="1362"/>
      <c r="K14831" s="1362"/>
      <c r="L14831" s="1362"/>
    </row>
    <row r="14832" spans="1:12" x14ac:dyDescent="0.25">
      <c r="A14832">
        <v>88489</v>
      </c>
      <c r="B14832" t="s">
        <v>2052</v>
      </c>
      <c r="C14832" t="s">
        <v>297</v>
      </c>
      <c r="D14832" s="254">
        <v>15.67</v>
      </c>
      <c r="E14832"/>
      <c r="F14832"/>
      <c r="G14832"/>
      <c r="H14832"/>
      <c r="I14832" s="489"/>
      <c r="J14832" s="1362"/>
      <c r="K14832" s="1362"/>
      <c r="L14832" s="1362"/>
    </row>
    <row r="14833" spans="1:12" x14ac:dyDescent="0.25">
      <c r="A14833">
        <v>88494</v>
      </c>
      <c r="B14833" t="s">
        <v>2053</v>
      </c>
      <c r="C14833" t="s">
        <v>297</v>
      </c>
      <c r="D14833" s="254">
        <v>23.58</v>
      </c>
      <c r="E14833"/>
      <c r="F14833"/>
      <c r="G14833"/>
      <c r="H14833"/>
      <c r="I14833" s="489"/>
      <c r="J14833" s="1362"/>
      <c r="K14833" s="1362"/>
      <c r="L14833" s="1362"/>
    </row>
    <row r="14834" spans="1:12" x14ac:dyDescent="0.25">
      <c r="A14834">
        <v>88495</v>
      </c>
      <c r="B14834" t="s">
        <v>2054</v>
      </c>
      <c r="C14834" t="s">
        <v>297</v>
      </c>
      <c r="D14834" s="254">
        <v>13.35</v>
      </c>
      <c r="E14834"/>
      <c r="F14834"/>
      <c r="G14834"/>
      <c r="H14834"/>
      <c r="I14834" s="489"/>
      <c r="J14834" s="1362"/>
      <c r="K14834" s="1362"/>
      <c r="L14834" s="1362"/>
    </row>
    <row r="14835" spans="1:12" x14ac:dyDescent="0.25">
      <c r="A14835">
        <v>88496</v>
      </c>
      <c r="B14835" t="s">
        <v>2055</v>
      </c>
      <c r="C14835" t="s">
        <v>297</v>
      </c>
      <c r="D14835" s="254">
        <v>32.17</v>
      </c>
      <c r="E14835"/>
      <c r="F14835"/>
      <c r="G14835"/>
      <c r="H14835"/>
      <c r="I14835" s="489"/>
      <c r="J14835" s="1362"/>
      <c r="K14835" s="1362"/>
      <c r="L14835" s="1362"/>
    </row>
    <row r="14836" spans="1:12" x14ac:dyDescent="0.25">
      <c r="A14836">
        <v>88497</v>
      </c>
      <c r="B14836" t="s">
        <v>2056</v>
      </c>
      <c r="C14836" t="s">
        <v>297</v>
      </c>
      <c r="D14836" s="254">
        <v>18.510000000000002</v>
      </c>
      <c r="E14836"/>
      <c r="F14836"/>
      <c r="G14836"/>
      <c r="H14836"/>
      <c r="I14836" s="489"/>
      <c r="J14836" s="1362"/>
      <c r="K14836" s="1362"/>
      <c r="L14836" s="1362"/>
    </row>
    <row r="14837" spans="1:12" x14ac:dyDescent="0.25">
      <c r="A14837">
        <v>95305</v>
      </c>
      <c r="B14837" t="s">
        <v>2057</v>
      </c>
      <c r="C14837" t="s">
        <v>297</v>
      </c>
      <c r="D14837" s="254">
        <v>14.18</v>
      </c>
      <c r="E14837"/>
      <c r="F14837"/>
      <c r="G14837"/>
      <c r="H14837"/>
      <c r="I14837" s="489"/>
      <c r="J14837" s="1362"/>
      <c r="K14837" s="1362"/>
      <c r="L14837" s="1362"/>
    </row>
    <row r="14838" spans="1:12" x14ac:dyDescent="0.25">
      <c r="A14838">
        <v>95306</v>
      </c>
      <c r="B14838" t="s">
        <v>2058</v>
      </c>
      <c r="C14838" t="s">
        <v>297</v>
      </c>
      <c r="D14838" s="254">
        <v>16.89</v>
      </c>
      <c r="E14838"/>
      <c r="F14838"/>
      <c r="G14838"/>
      <c r="H14838"/>
      <c r="I14838" s="489"/>
      <c r="J14838" s="1362"/>
      <c r="K14838" s="1362"/>
      <c r="L14838" s="1362"/>
    </row>
    <row r="14839" spans="1:12" x14ac:dyDescent="0.25">
      <c r="A14839">
        <v>95622</v>
      </c>
      <c r="B14839" t="s">
        <v>2059</v>
      </c>
      <c r="C14839" t="s">
        <v>297</v>
      </c>
      <c r="D14839" s="254">
        <v>16.14</v>
      </c>
      <c r="E14839"/>
      <c r="F14839"/>
      <c r="G14839"/>
      <c r="H14839"/>
      <c r="I14839" s="489"/>
      <c r="J14839" s="1362"/>
      <c r="K14839" s="1362"/>
      <c r="L14839" s="1362"/>
    </row>
    <row r="14840" spans="1:12" x14ac:dyDescent="0.25">
      <c r="A14840">
        <v>95623</v>
      </c>
      <c r="B14840" t="s">
        <v>2060</v>
      </c>
      <c r="C14840" t="s">
        <v>297</v>
      </c>
      <c r="D14840" s="254">
        <v>12.31</v>
      </c>
      <c r="E14840"/>
      <c r="F14840"/>
      <c r="G14840"/>
      <c r="H14840"/>
      <c r="I14840" s="489"/>
      <c r="J14840" s="1362"/>
      <c r="K14840" s="1362"/>
      <c r="L14840" s="1362"/>
    </row>
    <row r="14841" spans="1:12" x14ac:dyDescent="0.25">
      <c r="A14841">
        <v>95624</v>
      </c>
      <c r="B14841" t="s">
        <v>2061</v>
      </c>
      <c r="C14841" t="s">
        <v>297</v>
      </c>
      <c r="D14841" s="254">
        <v>23.93</v>
      </c>
      <c r="E14841"/>
      <c r="F14841"/>
      <c r="G14841"/>
      <c r="H14841"/>
      <c r="I14841" s="489"/>
      <c r="J14841" s="1362"/>
      <c r="K14841" s="1362"/>
      <c r="L14841" s="1362"/>
    </row>
    <row r="14842" spans="1:12" x14ac:dyDescent="0.25">
      <c r="A14842">
        <v>95625</v>
      </c>
      <c r="B14842" t="s">
        <v>2062</v>
      </c>
      <c r="C14842" t="s">
        <v>297</v>
      </c>
      <c r="D14842" s="254">
        <v>26.4</v>
      </c>
      <c r="E14842"/>
      <c r="F14842"/>
      <c r="G14842"/>
      <c r="H14842"/>
      <c r="I14842" s="489"/>
      <c r="J14842" s="1362"/>
      <c r="K14842" s="1362"/>
      <c r="L14842" s="1362"/>
    </row>
    <row r="14843" spans="1:12" x14ac:dyDescent="0.25">
      <c r="A14843">
        <v>95626</v>
      </c>
      <c r="B14843" t="s">
        <v>2063</v>
      </c>
      <c r="C14843" t="s">
        <v>297</v>
      </c>
      <c r="D14843" s="254">
        <v>17.39</v>
      </c>
      <c r="E14843"/>
      <c r="F14843"/>
      <c r="G14843"/>
      <c r="H14843"/>
      <c r="I14843" s="489"/>
      <c r="J14843" s="1362"/>
      <c r="K14843" s="1362"/>
      <c r="L14843" s="1362"/>
    </row>
    <row r="14844" spans="1:12" x14ac:dyDescent="0.25">
      <c r="A14844">
        <v>96126</v>
      </c>
      <c r="B14844" t="s">
        <v>2064</v>
      </c>
      <c r="C14844" t="s">
        <v>297</v>
      </c>
      <c r="D14844" s="254">
        <v>21.69</v>
      </c>
      <c r="E14844"/>
      <c r="F14844"/>
      <c r="G14844"/>
      <c r="H14844"/>
      <c r="I14844" s="489"/>
      <c r="J14844" s="1362"/>
      <c r="K14844" s="1362"/>
      <c r="L14844" s="1362"/>
    </row>
    <row r="14845" spans="1:12" x14ac:dyDescent="0.25">
      <c r="A14845">
        <v>96127</v>
      </c>
      <c r="B14845" t="s">
        <v>2065</v>
      </c>
      <c r="C14845" t="s">
        <v>297</v>
      </c>
      <c r="D14845" s="254">
        <v>16.91</v>
      </c>
      <c r="E14845"/>
      <c r="F14845"/>
      <c r="G14845"/>
      <c r="H14845"/>
      <c r="I14845" s="489"/>
      <c r="J14845" s="1362"/>
      <c r="K14845" s="1362"/>
      <c r="L14845" s="1362"/>
    </row>
    <row r="14846" spans="1:12" x14ac:dyDescent="0.25">
      <c r="A14846">
        <v>96128</v>
      </c>
      <c r="B14846" t="s">
        <v>2066</v>
      </c>
      <c r="C14846" t="s">
        <v>297</v>
      </c>
      <c r="D14846" s="254">
        <v>31.39</v>
      </c>
      <c r="E14846"/>
      <c r="F14846"/>
      <c r="G14846"/>
      <c r="H14846"/>
      <c r="I14846" s="489"/>
      <c r="J14846" s="1362"/>
      <c r="K14846" s="1362"/>
      <c r="L14846" s="1362"/>
    </row>
    <row r="14847" spans="1:12" x14ac:dyDescent="0.25">
      <c r="A14847">
        <v>96129</v>
      </c>
      <c r="B14847" t="s">
        <v>2067</v>
      </c>
      <c r="C14847" t="s">
        <v>297</v>
      </c>
      <c r="D14847" s="254">
        <v>34.479999999999997</v>
      </c>
      <c r="E14847"/>
      <c r="F14847"/>
      <c r="G14847"/>
      <c r="H14847"/>
      <c r="I14847" s="489"/>
      <c r="J14847" s="1362"/>
      <c r="K14847" s="1362"/>
      <c r="L14847" s="1362"/>
    </row>
    <row r="14848" spans="1:12" x14ac:dyDescent="0.25">
      <c r="A14848">
        <v>96130</v>
      </c>
      <c r="B14848" t="s">
        <v>2068</v>
      </c>
      <c r="C14848" t="s">
        <v>297</v>
      </c>
      <c r="D14848" s="254">
        <v>23.2</v>
      </c>
      <c r="E14848"/>
      <c r="F14848"/>
      <c r="G14848"/>
      <c r="H14848"/>
      <c r="I14848" s="489"/>
      <c r="J14848" s="1362"/>
      <c r="K14848" s="1362"/>
      <c r="L14848" s="1362"/>
    </row>
    <row r="14849" spans="1:12" x14ac:dyDescent="0.25">
      <c r="A14849">
        <v>96131</v>
      </c>
      <c r="B14849" t="s">
        <v>2069</v>
      </c>
      <c r="C14849" t="s">
        <v>297</v>
      </c>
      <c r="D14849" s="254">
        <v>30.14</v>
      </c>
      <c r="E14849"/>
      <c r="F14849"/>
      <c r="G14849"/>
      <c r="H14849"/>
      <c r="I14849" s="489"/>
      <c r="J14849" s="1362"/>
      <c r="K14849" s="1362"/>
      <c r="L14849" s="1362"/>
    </row>
    <row r="14850" spans="1:12" x14ac:dyDescent="0.25">
      <c r="A14850">
        <v>96132</v>
      </c>
      <c r="B14850" t="s">
        <v>2070</v>
      </c>
      <c r="C14850" t="s">
        <v>297</v>
      </c>
      <c r="D14850" s="254">
        <v>23.76</v>
      </c>
      <c r="E14850"/>
      <c r="F14850"/>
      <c r="G14850"/>
      <c r="H14850"/>
      <c r="I14850" s="489"/>
      <c r="J14850" s="1362"/>
      <c r="K14850" s="1362"/>
      <c r="L14850" s="1362"/>
    </row>
    <row r="14851" spans="1:12" x14ac:dyDescent="0.25">
      <c r="A14851">
        <v>96133</v>
      </c>
      <c r="B14851" t="s">
        <v>2071</v>
      </c>
      <c r="C14851" t="s">
        <v>297</v>
      </c>
      <c r="D14851" s="254">
        <v>43.04</v>
      </c>
      <c r="E14851"/>
      <c r="F14851"/>
      <c r="G14851"/>
      <c r="H14851"/>
      <c r="I14851" s="489"/>
      <c r="J14851" s="1362"/>
      <c r="K14851" s="1362"/>
      <c r="L14851" s="1362"/>
    </row>
    <row r="14852" spans="1:12" x14ac:dyDescent="0.25">
      <c r="A14852">
        <v>96134</v>
      </c>
      <c r="B14852" t="s">
        <v>2072</v>
      </c>
      <c r="C14852" t="s">
        <v>297</v>
      </c>
      <c r="D14852" s="254">
        <v>47.15</v>
      </c>
      <c r="E14852"/>
      <c r="F14852"/>
      <c r="G14852"/>
      <c r="H14852"/>
      <c r="I14852" s="489"/>
      <c r="J14852" s="1362"/>
      <c r="K14852" s="1362"/>
      <c r="L14852" s="1362"/>
    </row>
    <row r="14853" spans="1:12" x14ac:dyDescent="0.25">
      <c r="A14853">
        <v>96135</v>
      </c>
      <c r="B14853" t="s">
        <v>2073</v>
      </c>
      <c r="C14853" t="s">
        <v>297</v>
      </c>
      <c r="D14853" s="254">
        <v>32.17</v>
      </c>
      <c r="E14853"/>
      <c r="F14853"/>
      <c r="G14853"/>
      <c r="H14853"/>
      <c r="I14853" s="489"/>
      <c r="J14853" s="1362"/>
      <c r="K14853" s="1362"/>
      <c r="L14853" s="1362"/>
    </row>
    <row r="14854" spans="1:12" x14ac:dyDescent="0.25">
      <c r="A14854">
        <v>102193</v>
      </c>
      <c r="B14854" t="s">
        <v>6011</v>
      </c>
      <c r="C14854" t="s">
        <v>297</v>
      </c>
      <c r="D14854" s="254">
        <v>2.2000000000000002</v>
      </c>
      <c r="E14854"/>
      <c r="F14854"/>
      <c r="G14854"/>
      <c r="H14854"/>
      <c r="I14854" s="489"/>
      <c r="J14854" s="1362"/>
      <c r="K14854" s="1362"/>
      <c r="L14854" s="1362"/>
    </row>
    <row r="14855" spans="1:12" x14ac:dyDescent="0.25">
      <c r="A14855">
        <v>102194</v>
      </c>
      <c r="B14855" t="s">
        <v>6012</v>
      </c>
      <c r="C14855" t="s">
        <v>297</v>
      </c>
      <c r="D14855" s="254">
        <v>8.59</v>
      </c>
      <c r="E14855"/>
      <c r="F14855"/>
      <c r="G14855"/>
      <c r="H14855"/>
      <c r="I14855" s="489"/>
      <c r="J14855" s="1362"/>
      <c r="K14855" s="1362"/>
      <c r="L14855" s="1362"/>
    </row>
    <row r="14856" spans="1:12" x14ac:dyDescent="0.25">
      <c r="A14856">
        <v>102197</v>
      </c>
      <c r="B14856" t="s">
        <v>6013</v>
      </c>
      <c r="C14856" t="s">
        <v>297</v>
      </c>
      <c r="D14856" s="254">
        <v>30.25</v>
      </c>
      <c r="E14856"/>
      <c r="F14856"/>
      <c r="G14856"/>
      <c r="H14856"/>
      <c r="I14856" s="489"/>
      <c r="J14856" s="1362"/>
      <c r="K14856" s="1362"/>
      <c r="L14856" s="1362"/>
    </row>
    <row r="14857" spans="1:12" x14ac:dyDescent="0.25">
      <c r="A14857">
        <v>102200</v>
      </c>
      <c r="B14857" t="s">
        <v>6014</v>
      </c>
      <c r="C14857" t="s">
        <v>297</v>
      </c>
      <c r="D14857" s="254">
        <v>23.14</v>
      </c>
      <c r="E14857"/>
      <c r="F14857"/>
      <c r="G14857"/>
      <c r="H14857"/>
      <c r="I14857" s="489"/>
      <c r="J14857" s="1362"/>
      <c r="K14857" s="1362"/>
      <c r="L14857" s="1362"/>
    </row>
    <row r="14858" spans="1:12" x14ac:dyDescent="0.25">
      <c r="A14858">
        <v>102201</v>
      </c>
      <c r="B14858" t="s">
        <v>13523</v>
      </c>
      <c r="C14858" t="s">
        <v>297</v>
      </c>
      <c r="D14858" s="254">
        <v>20.77</v>
      </c>
      <c r="E14858"/>
      <c r="F14858"/>
      <c r="G14858"/>
      <c r="H14858"/>
      <c r="I14858" s="489"/>
      <c r="J14858" s="1362"/>
      <c r="K14858" s="1362"/>
      <c r="L14858" s="1362"/>
    </row>
    <row r="14859" spans="1:12" x14ac:dyDescent="0.25">
      <c r="A14859">
        <v>102202</v>
      </c>
      <c r="B14859" t="s">
        <v>6015</v>
      </c>
      <c r="C14859" t="s">
        <v>297</v>
      </c>
      <c r="D14859" s="254">
        <v>58.61</v>
      </c>
      <c r="E14859"/>
      <c r="F14859"/>
      <c r="G14859"/>
      <c r="H14859"/>
      <c r="I14859" s="489"/>
      <c r="J14859" s="1362"/>
      <c r="K14859" s="1362"/>
      <c r="L14859" s="1362"/>
    </row>
    <row r="14860" spans="1:12" x14ac:dyDescent="0.25">
      <c r="A14860">
        <v>102203</v>
      </c>
      <c r="B14860" t="s">
        <v>6016</v>
      </c>
      <c r="C14860" t="s">
        <v>297</v>
      </c>
      <c r="D14860" s="254">
        <v>10.29</v>
      </c>
      <c r="E14860"/>
      <c r="F14860"/>
      <c r="G14860"/>
      <c r="H14860"/>
      <c r="I14860" s="489"/>
      <c r="J14860" s="1362"/>
      <c r="K14860" s="1362"/>
      <c r="L14860" s="1362"/>
    </row>
    <row r="14861" spans="1:12" x14ac:dyDescent="0.25">
      <c r="A14861">
        <v>102204</v>
      </c>
      <c r="B14861" t="s">
        <v>6017</v>
      </c>
      <c r="C14861" t="s">
        <v>297</v>
      </c>
      <c r="D14861" s="254">
        <v>10.59</v>
      </c>
      <c r="E14861"/>
      <c r="F14861"/>
      <c r="G14861"/>
      <c r="H14861"/>
      <c r="I14861" s="489"/>
      <c r="J14861" s="1362"/>
      <c r="K14861" s="1362"/>
      <c r="L14861" s="1362"/>
    </row>
    <row r="14862" spans="1:12" x14ac:dyDescent="0.25">
      <c r="A14862">
        <v>102205</v>
      </c>
      <c r="B14862" t="s">
        <v>6018</v>
      </c>
      <c r="C14862" t="s">
        <v>297</v>
      </c>
      <c r="D14862" s="254">
        <v>9.65</v>
      </c>
      <c r="E14862"/>
      <c r="F14862"/>
      <c r="G14862"/>
      <c r="H14862"/>
      <c r="I14862" s="489"/>
      <c r="J14862" s="1362"/>
      <c r="K14862" s="1362"/>
      <c r="L14862" s="1362"/>
    </row>
    <row r="14863" spans="1:12" x14ac:dyDescent="0.25">
      <c r="A14863">
        <v>102207</v>
      </c>
      <c r="B14863" t="s">
        <v>6019</v>
      </c>
      <c r="C14863" t="s">
        <v>297</v>
      </c>
      <c r="D14863" s="254">
        <v>8.86</v>
      </c>
      <c r="E14863"/>
      <c r="F14863"/>
      <c r="G14863"/>
      <c r="H14863"/>
      <c r="I14863" s="489"/>
      <c r="J14863" s="1362"/>
      <c r="K14863" s="1362"/>
      <c r="L14863" s="1362"/>
    </row>
    <row r="14864" spans="1:12" x14ac:dyDescent="0.25">
      <c r="A14864">
        <v>102208</v>
      </c>
      <c r="B14864" t="s">
        <v>6020</v>
      </c>
      <c r="C14864" t="s">
        <v>297</v>
      </c>
      <c r="D14864" s="254">
        <v>8.4600000000000009</v>
      </c>
      <c r="E14864"/>
      <c r="F14864"/>
      <c r="G14864"/>
      <c r="H14864"/>
      <c r="I14864" s="489"/>
      <c r="J14864" s="1362"/>
      <c r="K14864" s="1362"/>
      <c r="L14864" s="1362"/>
    </row>
    <row r="14865" spans="1:12" x14ac:dyDescent="0.25">
      <c r="A14865">
        <v>102209</v>
      </c>
      <c r="B14865" t="s">
        <v>6021</v>
      </c>
      <c r="C14865" t="s">
        <v>297</v>
      </c>
      <c r="D14865" s="254">
        <v>8.7200000000000006</v>
      </c>
      <c r="E14865"/>
      <c r="F14865"/>
      <c r="G14865"/>
      <c r="H14865"/>
      <c r="I14865" s="489"/>
      <c r="J14865" s="1362"/>
      <c r="K14865" s="1362"/>
      <c r="L14865" s="1362"/>
    </row>
    <row r="14866" spans="1:12" x14ac:dyDescent="0.25">
      <c r="A14866">
        <v>102210</v>
      </c>
      <c r="B14866" t="s">
        <v>6022</v>
      </c>
      <c r="C14866" t="s">
        <v>297</v>
      </c>
      <c r="D14866" s="254">
        <v>8.32</v>
      </c>
      <c r="E14866"/>
      <c r="F14866"/>
      <c r="G14866"/>
      <c r="H14866"/>
      <c r="I14866" s="489"/>
      <c r="J14866" s="1362"/>
      <c r="K14866" s="1362"/>
      <c r="L14866" s="1362"/>
    </row>
    <row r="14867" spans="1:12" x14ac:dyDescent="0.25">
      <c r="A14867">
        <v>102213</v>
      </c>
      <c r="B14867" t="s">
        <v>6023</v>
      </c>
      <c r="C14867" t="s">
        <v>297</v>
      </c>
      <c r="D14867" s="254">
        <v>20.6</v>
      </c>
      <c r="E14867"/>
      <c r="F14867"/>
      <c r="G14867"/>
      <c r="H14867"/>
      <c r="I14867" s="489"/>
      <c r="J14867" s="1362"/>
      <c r="K14867" s="1362"/>
      <c r="L14867" s="1362"/>
    </row>
    <row r="14868" spans="1:12" x14ac:dyDescent="0.25">
      <c r="A14868">
        <v>102214</v>
      </c>
      <c r="B14868" t="s">
        <v>6024</v>
      </c>
      <c r="C14868" t="s">
        <v>297</v>
      </c>
      <c r="D14868" s="254">
        <v>21.18</v>
      </c>
      <c r="E14868"/>
      <c r="F14868"/>
      <c r="G14868"/>
      <c r="H14868"/>
      <c r="I14868" s="489"/>
      <c r="J14868" s="1362"/>
      <c r="K14868" s="1362"/>
      <c r="L14868" s="1362"/>
    </row>
    <row r="14869" spans="1:12" x14ac:dyDescent="0.25">
      <c r="A14869">
        <v>102215</v>
      </c>
      <c r="B14869" t="s">
        <v>6025</v>
      </c>
      <c r="C14869" t="s">
        <v>297</v>
      </c>
      <c r="D14869" s="254">
        <v>19.32</v>
      </c>
      <c r="E14869"/>
      <c r="F14869"/>
      <c r="G14869"/>
      <c r="H14869"/>
      <c r="I14869" s="489"/>
      <c r="J14869" s="1362"/>
      <c r="K14869" s="1362"/>
      <c r="L14869" s="1362"/>
    </row>
    <row r="14870" spans="1:12" x14ac:dyDescent="0.25">
      <c r="A14870">
        <v>102217</v>
      </c>
      <c r="B14870" t="s">
        <v>6026</v>
      </c>
      <c r="C14870" t="s">
        <v>297</v>
      </c>
      <c r="D14870" s="254">
        <v>17.73</v>
      </c>
      <c r="E14870"/>
      <c r="F14870"/>
      <c r="G14870"/>
      <c r="H14870"/>
      <c r="I14870" s="489"/>
      <c r="J14870" s="1362"/>
      <c r="K14870" s="1362"/>
      <c r="L14870" s="1362"/>
    </row>
    <row r="14871" spans="1:12" x14ac:dyDescent="0.25">
      <c r="A14871">
        <v>102218</v>
      </c>
      <c r="B14871" t="s">
        <v>6027</v>
      </c>
      <c r="C14871" t="s">
        <v>297</v>
      </c>
      <c r="D14871" s="254">
        <v>16.920000000000002</v>
      </c>
      <c r="E14871"/>
      <c r="F14871"/>
      <c r="G14871"/>
      <c r="H14871"/>
      <c r="I14871" s="489"/>
      <c r="J14871" s="1362"/>
      <c r="K14871" s="1362"/>
      <c r="L14871" s="1362"/>
    </row>
    <row r="14872" spans="1:12" x14ac:dyDescent="0.25">
      <c r="A14872">
        <v>102219</v>
      </c>
      <c r="B14872" t="s">
        <v>6028</v>
      </c>
      <c r="C14872" t="s">
        <v>297</v>
      </c>
      <c r="D14872" s="254">
        <v>17.45</v>
      </c>
      <c r="E14872"/>
      <c r="F14872"/>
      <c r="G14872"/>
      <c r="H14872"/>
      <c r="I14872" s="489"/>
      <c r="J14872" s="1362"/>
      <c r="K14872" s="1362"/>
      <c r="L14872" s="1362"/>
    </row>
    <row r="14873" spans="1:12" x14ac:dyDescent="0.25">
      <c r="A14873">
        <v>102220</v>
      </c>
      <c r="B14873" t="s">
        <v>6029</v>
      </c>
      <c r="C14873" t="s">
        <v>297</v>
      </c>
      <c r="D14873" s="254">
        <v>16.649999999999999</v>
      </c>
      <c r="E14873"/>
      <c r="F14873"/>
      <c r="G14873"/>
      <c r="H14873"/>
      <c r="I14873" s="489"/>
      <c r="J14873" s="1362"/>
      <c r="K14873" s="1362"/>
      <c r="L14873" s="1362"/>
    </row>
    <row r="14874" spans="1:12" x14ac:dyDescent="0.25">
      <c r="A14874">
        <v>102223</v>
      </c>
      <c r="B14874" t="s">
        <v>6030</v>
      </c>
      <c r="C14874" t="s">
        <v>297</v>
      </c>
      <c r="D14874" s="254">
        <v>30.91</v>
      </c>
      <c r="E14874"/>
      <c r="F14874"/>
      <c r="G14874"/>
      <c r="H14874"/>
      <c r="I14874" s="489"/>
      <c r="J14874" s="1362"/>
      <c r="K14874" s="1362"/>
      <c r="L14874" s="1362"/>
    </row>
    <row r="14875" spans="1:12" x14ac:dyDescent="0.25">
      <c r="A14875">
        <v>102224</v>
      </c>
      <c r="B14875" t="s">
        <v>6031</v>
      </c>
      <c r="C14875" t="s">
        <v>297</v>
      </c>
      <c r="D14875" s="254">
        <v>31.78</v>
      </c>
      <c r="E14875"/>
      <c r="F14875"/>
      <c r="G14875"/>
      <c r="H14875"/>
      <c r="I14875" s="489"/>
      <c r="J14875" s="1362"/>
      <c r="K14875" s="1362"/>
      <c r="L14875" s="1362"/>
    </row>
    <row r="14876" spans="1:12" x14ac:dyDescent="0.25">
      <c r="A14876">
        <v>102225</v>
      </c>
      <c r="B14876" t="s">
        <v>6032</v>
      </c>
      <c r="C14876" t="s">
        <v>297</v>
      </c>
      <c r="D14876" s="254">
        <v>28.98</v>
      </c>
      <c r="E14876"/>
      <c r="F14876"/>
      <c r="G14876"/>
      <c r="H14876"/>
      <c r="I14876" s="489"/>
      <c r="J14876" s="1362"/>
      <c r="K14876" s="1362"/>
      <c r="L14876" s="1362"/>
    </row>
    <row r="14877" spans="1:12" x14ac:dyDescent="0.25">
      <c r="A14877">
        <v>102227</v>
      </c>
      <c r="B14877" t="s">
        <v>6033</v>
      </c>
      <c r="C14877" t="s">
        <v>297</v>
      </c>
      <c r="D14877" s="254">
        <v>26.61</v>
      </c>
      <c r="E14877"/>
      <c r="F14877"/>
      <c r="G14877"/>
      <c r="H14877"/>
      <c r="I14877" s="489"/>
      <c r="J14877" s="1362"/>
      <c r="K14877" s="1362"/>
      <c r="L14877" s="1362"/>
    </row>
    <row r="14878" spans="1:12" x14ac:dyDescent="0.25">
      <c r="A14878">
        <v>102228</v>
      </c>
      <c r="B14878" t="s">
        <v>6034</v>
      </c>
      <c r="C14878" t="s">
        <v>297</v>
      </c>
      <c r="D14878" s="254">
        <v>25.41</v>
      </c>
      <c r="E14878"/>
      <c r="F14878"/>
      <c r="G14878"/>
      <c r="H14878"/>
      <c r="I14878" s="489"/>
      <c r="J14878" s="1362"/>
      <c r="K14878" s="1362"/>
      <c r="L14878" s="1362"/>
    </row>
    <row r="14879" spans="1:12" x14ac:dyDescent="0.25">
      <c r="A14879">
        <v>102229</v>
      </c>
      <c r="B14879" t="s">
        <v>6035</v>
      </c>
      <c r="C14879" t="s">
        <v>297</v>
      </c>
      <c r="D14879" s="254">
        <v>26.2</v>
      </c>
      <c r="E14879"/>
      <c r="F14879"/>
      <c r="G14879"/>
      <c r="H14879"/>
      <c r="I14879" s="489"/>
      <c r="J14879" s="1362"/>
      <c r="K14879" s="1362"/>
      <c r="L14879" s="1362"/>
    </row>
    <row r="14880" spans="1:12" x14ac:dyDescent="0.25">
      <c r="A14880">
        <v>102230</v>
      </c>
      <c r="B14880" t="s">
        <v>6036</v>
      </c>
      <c r="C14880" t="s">
        <v>297</v>
      </c>
      <c r="D14880" s="254">
        <v>24.99</v>
      </c>
      <c r="E14880"/>
      <c r="F14880"/>
      <c r="G14880"/>
      <c r="H14880"/>
      <c r="I14880" s="489"/>
      <c r="J14880" s="1362"/>
      <c r="K14880" s="1362"/>
      <c r="L14880" s="1362"/>
    </row>
    <row r="14881" spans="1:12" x14ac:dyDescent="0.25">
      <c r="A14881">
        <v>102233</v>
      </c>
      <c r="B14881" t="s">
        <v>6037</v>
      </c>
      <c r="C14881" t="s">
        <v>297</v>
      </c>
      <c r="D14881" s="254">
        <v>11.08</v>
      </c>
      <c r="E14881"/>
      <c r="F14881"/>
      <c r="G14881"/>
      <c r="H14881"/>
      <c r="I14881" s="489"/>
      <c r="J14881" s="1362"/>
      <c r="K14881" s="1362"/>
      <c r="L14881" s="1362"/>
    </row>
    <row r="14882" spans="1:12" x14ac:dyDescent="0.25">
      <c r="A14882">
        <v>102234</v>
      </c>
      <c r="B14882" t="s">
        <v>6038</v>
      </c>
      <c r="C14882" t="s">
        <v>297</v>
      </c>
      <c r="D14882" s="254">
        <v>22.16</v>
      </c>
      <c r="E14882"/>
      <c r="F14882"/>
      <c r="G14882"/>
      <c r="H14882"/>
      <c r="I14882" s="489"/>
      <c r="J14882" s="1362"/>
      <c r="K14882" s="1362"/>
      <c r="L14882" s="1362"/>
    </row>
    <row r="14883" spans="1:12" x14ac:dyDescent="0.25">
      <c r="A14883">
        <v>100716</v>
      </c>
      <c r="B14883" t="s">
        <v>4236</v>
      </c>
      <c r="C14883" t="s">
        <v>297</v>
      </c>
      <c r="D14883" s="254">
        <v>27.34</v>
      </c>
      <c r="E14883"/>
      <c r="F14883"/>
      <c r="G14883"/>
      <c r="H14883"/>
      <c r="I14883" s="489"/>
      <c r="J14883" s="1362"/>
      <c r="K14883" s="1362"/>
      <c r="L14883" s="1362"/>
    </row>
    <row r="14884" spans="1:12" x14ac:dyDescent="0.25">
      <c r="A14884">
        <v>100717</v>
      </c>
      <c r="B14884" t="s">
        <v>4237</v>
      </c>
      <c r="C14884" t="s">
        <v>297</v>
      </c>
      <c r="D14884" s="254">
        <v>10.3</v>
      </c>
      <c r="E14884"/>
      <c r="F14884"/>
      <c r="G14884"/>
      <c r="H14884"/>
      <c r="I14884" s="489"/>
      <c r="J14884" s="1362"/>
      <c r="K14884" s="1362"/>
      <c r="L14884" s="1362"/>
    </row>
    <row r="14885" spans="1:12" x14ac:dyDescent="0.25">
      <c r="A14885">
        <v>100718</v>
      </c>
      <c r="B14885" t="s">
        <v>4238</v>
      </c>
      <c r="C14885" t="s">
        <v>151</v>
      </c>
      <c r="D14885" s="254">
        <v>1.42</v>
      </c>
      <c r="E14885"/>
      <c r="F14885"/>
      <c r="G14885"/>
      <c r="H14885"/>
      <c r="I14885" s="489"/>
      <c r="J14885" s="1362"/>
      <c r="K14885" s="1362"/>
      <c r="L14885" s="1362"/>
    </row>
    <row r="14886" spans="1:12" x14ac:dyDescent="0.25">
      <c r="A14886">
        <v>100719</v>
      </c>
      <c r="B14886" t="s">
        <v>6156</v>
      </c>
      <c r="C14886" t="s">
        <v>297</v>
      </c>
      <c r="D14886" s="254">
        <v>11.14</v>
      </c>
      <c r="E14886"/>
      <c r="F14886"/>
      <c r="G14886"/>
      <c r="H14886"/>
      <c r="I14886" s="489"/>
      <c r="J14886" s="1362"/>
      <c r="K14886" s="1362"/>
      <c r="L14886" s="1362"/>
    </row>
    <row r="14887" spans="1:12" x14ac:dyDescent="0.25">
      <c r="A14887">
        <v>100720</v>
      </c>
      <c r="B14887" t="s">
        <v>4239</v>
      </c>
      <c r="C14887" t="s">
        <v>297</v>
      </c>
      <c r="D14887" s="254">
        <v>11.18</v>
      </c>
      <c r="E14887"/>
      <c r="F14887"/>
      <c r="G14887"/>
      <c r="H14887"/>
      <c r="I14887" s="489"/>
      <c r="J14887" s="1362"/>
      <c r="K14887" s="1362"/>
      <c r="L14887" s="1362"/>
    </row>
    <row r="14888" spans="1:12" x14ac:dyDescent="0.25">
      <c r="A14888">
        <v>100721</v>
      </c>
      <c r="B14888" t="s">
        <v>6157</v>
      </c>
      <c r="C14888" t="s">
        <v>297</v>
      </c>
      <c r="D14888" s="254">
        <v>25.93</v>
      </c>
      <c r="E14888"/>
      <c r="F14888"/>
      <c r="G14888"/>
      <c r="H14888"/>
      <c r="I14888" s="489"/>
      <c r="J14888" s="1362"/>
      <c r="K14888" s="1362"/>
      <c r="L14888" s="1362"/>
    </row>
    <row r="14889" spans="1:12" x14ac:dyDescent="0.25">
      <c r="A14889">
        <v>100722</v>
      </c>
      <c r="B14889" t="s">
        <v>4240</v>
      </c>
      <c r="C14889" t="s">
        <v>297</v>
      </c>
      <c r="D14889" s="254">
        <v>25.34</v>
      </c>
      <c r="E14889"/>
      <c r="F14889"/>
      <c r="G14889"/>
      <c r="H14889"/>
      <c r="I14889" s="489"/>
      <c r="J14889" s="1362"/>
      <c r="K14889" s="1362"/>
      <c r="L14889" s="1362"/>
    </row>
    <row r="14890" spans="1:12" x14ac:dyDescent="0.25">
      <c r="A14890">
        <v>100723</v>
      </c>
      <c r="B14890" t="s">
        <v>6238</v>
      </c>
      <c r="C14890" t="s">
        <v>297</v>
      </c>
      <c r="D14890" s="254">
        <v>11.97</v>
      </c>
      <c r="E14890"/>
      <c r="F14890"/>
      <c r="G14890"/>
      <c r="H14890"/>
      <c r="I14890" s="489"/>
      <c r="J14890" s="1362"/>
      <c r="K14890" s="1362"/>
      <c r="L14890" s="1362"/>
    </row>
    <row r="14891" spans="1:12" x14ac:dyDescent="0.25">
      <c r="A14891">
        <v>100724</v>
      </c>
      <c r="B14891" t="s">
        <v>4241</v>
      </c>
      <c r="C14891" t="s">
        <v>297</v>
      </c>
      <c r="D14891" s="254">
        <v>14.48</v>
      </c>
      <c r="E14891"/>
      <c r="F14891"/>
      <c r="G14891"/>
      <c r="H14891"/>
      <c r="I14891" s="489"/>
      <c r="J14891" s="1362"/>
      <c r="K14891" s="1362"/>
      <c r="L14891" s="1362"/>
    </row>
    <row r="14892" spans="1:12" x14ac:dyDescent="0.25">
      <c r="A14892">
        <v>100725</v>
      </c>
      <c r="B14892" t="s">
        <v>6158</v>
      </c>
      <c r="C14892" t="s">
        <v>297</v>
      </c>
      <c r="D14892" s="254">
        <v>26.2</v>
      </c>
      <c r="E14892"/>
      <c r="F14892"/>
      <c r="G14892"/>
      <c r="H14892"/>
      <c r="I14892" s="489"/>
      <c r="J14892" s="1362"/>
      <c r="K14892" s="1362"/>
      <c r="L14892" s="1362"/>
    </row>
    <row r="14893" spans="1:12" x14ac:dyDescent="0.25">
      <c r="A14893">
        <v>100726</v>
      </c>
      <c r="B14893" t="s">
        <v>4242</v>
      </c>
      <c r="C14893" t="s">
        <v>297</v>
      </c>
      <c r="D14893" s="254">
        <v>28.54</v>
      </c>
      <c r="E14893"/>
      <c r="F14893"/>
      <c r="G14893"/>
      <c r="H14893"/>
      <c r="I14893" s="489"/>
      <c r="J14893" s="1362"/>
      <c r="K14893" s="1362"/>
      <c r="L14893" s="1362"/>
    </row>
    <row r="14894" spans="1:12" x14ac:dyDescent="0.25">
      <c r="A14894">
        <v>100727</v>
      </c>
      <c r="B14894" t="s">
        <v>6159</v>
      </c>
      <c r="C14894" t="s">
        <v>297</v>
      </c>
      <c r="D14894" s="254">
        <v>27.29</v>
      </c>
      <c r="E14894"/>
      <c r="F14894"/>
      <c r="G14894"/>
      <c r="H14894"/>
      <c r="I14894" s="489"/>
      <c r="J14894" s="1362"/>
      <c r="K14894" s="1362"/>
      <c r="L14894" s="1362"/>
    </row>
    <row r="14895" spans="1:12" x14ac:dyDescent="0.25">
      <c r="A14895">
        <v>100728</v>
      </c>
      <c r="B14895" t="s">
        <v>4243</v>
      </c>
      <c r="C14895" t="s">
        <v>297</v>
      </c>
      <c r="D14895" s="254">
        <v>24.64</v>
      </c>
      <c r="E14895"/>
      <c r="F14895"/>
      <c r="G14895"/>
      <c r="H14895"/>
      <c r="I14895" s="489"/>
      <c r="J14895" s="1362"/>
      <c r="K14895" s="1362"/>
      <c r="L14895" s="1362"/>
    </row>
    <row r="14896" spans="1:12" x14ac:dyDescent="0.25">
      <c r="A14896">
        <v>100729</v>
      </c>
      <c r="B14896" t="s">
        <v>6160</v>
      </c>
      <c r="C14896" t="s">
        <v>297</v>
      </c>
      <c r="D14896" s="254">
        <v>20.62</v>
      </c>
      <c r="E14896"/>
      <c r="F14896"/>
      <c r="G14896"/>
      <c r="H14896"/>
      <c r="I14896" s="489"/>
      <c r="J14896" s="1362"/>
      <c r="K14896" s="1362"/>
      <c r="L14896" s="1362"/>
    </row>
    <row r="14897" spans="1:12" x14ac:dyDescent="0.25">
      <c r="A14897">
        <v>100730</v>
      </c>
      <c r="B14897" t="s">
        <v>4244</v>
      </c>
      <c r="C14897" t="s">
        <v>297</v>
      </c>
      <c r="D14897" s="254">
        <v>24.21</v>
      </c>
      <c r="E14897"/>
      <c r="F14897"/>
      <c r="G14897"/>
      <c r="H14897"/>
      <c r="I14897" s="489"/>
      <c r="J14897" s="1362"/>
      <c r="K14897" s="1362"/>
      <c r="L14897" s="1362"/>
    </row>
    <row r="14898" spans="1:12" x14ac:dyDescent="0.25">
      <c r="A14898">
        <v>100733</v>
      </c>
      <c r="B14898" t="s">
        <v>6161</v>
      </c>
      <c r="C14898" t="s">
        <v>297</v>
      </c>
      <c r="D14898" s="254">
        <v>11.8</v>
      </c>
      <c r="E14898"/>
      <c r="F14898"/>
      <c r="G14898"/>
      <c r="H14898"/>
      <c r="I14898" s="489"/>
      <c r="J14898" s="1362"/>
      <c r="K14898" s="1362"/>
      <c r="L14898" s="1362"/>
    </row>
    <row r="14899" spans="1:12" x14ac:dyDescent="0.25">
      <c r="A14899">
        <v>100734</v>
      </c>
      <c r="B14899" t="s">
        <v>4245</v>
      </c>
      <c r="C14899" t="s">
        <v>297</v>
      </c>
      <c r="D14899" s="254">
        <v>15.71</v>
      </c>
      <c r="E14899"/>
      <c r="F14899"/>
      <c r="G14899"/>
      <c r="H14899"/>
      <c r="I14899" s="489"/>
      <c r="J14899" s="1362"/>
      <c r="K14899" s="1362"/>
      <c r="L14899" s="1362"/>
    </row>
    <row r="14900" spans="1:12" x14ac:dyDescent="0.25">
      <c r="A14900">
        <v>100735</v>
      </c>
      <c r="B14900" t="s">
        <v>6162</v>
      </c>
      <c r="C14900" t="s">
        <v>297</v>
      </c>
      <c r="D14900" s="254">
        <v>11.57</v>
      </c>
      <c r="E14900"/>
      <c r="F14900"/>
      <c r="G14900"/>
      <c r="H14900"/>
      <c r="I14900" s="489"/>
      <c r="J14900" s="1362"/>
      <c r="K14900" s="1362"/>
      <c r="L14900" s="1362"/>
    </row>
    <row r="14901" spans="1:12" x14ac:dyDescent="0.25">
      <c r="A14901">
        <v>100736</v>
      </c>
      <c r="B14901" t="s">
        <v>4246</v>
      </c>
      <c r="C14901" t="s">
        <v>297</v>
      </c>
      <c r="D14901" s="254">
        <v>15.4</v>
      </c>
      <c r="E14901"/>
      <c r="F14901"/>
      <c r="G14901"/>
      <c r="H14901"/>
      <c r="I14901" s="489"/>
      <c r="J14901" s="1362"/>
      <c r="K14901" s="1362"/>
      <c r="L14901" s="1362"/>
    </row>
    <row r="14902" spans="1:12" x14ac:dyDescent="0.25">
      <c r="A14902">
        <v>100739</v>
      </c>
      <c r="B14902" t="s">
        <v>6163</v>
      </c>
      <c r="C14902" t="s">
        <v>297</v>
      </c>
      <c r="D14902" s="254">
        <v>10.97</v>
      </c>
      <c r="E14902"/>
      <c r="F14902"/>
      <c r="G14902"/>
      <c r="H14902"/>
      <c r="I14902" s="489"/>
      <c r="J14902" s="1362"/>
      <c r="K14902" s="1362"/>
      <c r="L14902" s="1362"/>
    </row>
    <row r="14903" spans="1:12" x14ac:dyDescent="0.25">
      <c r="A14903">
        <v>100740</v>
      </c>
      <c r="B14903" t="s">
        <v>4247</v>
      </c>
      <c r="C14903" t="s">
        <v>297</v>
      </c>
      <c r="D14903" s="254">
        <v>11.76</v>
      </c>
      <c r="E14903"/>
      <c r="F14903"/>
      <c r="G14903"/>
      <c r="H14903"/>
      <c r="I14903" s="489"/>
      <c r="J14903" s="1362"/>
      <c r="K14903" s="1362"/>
      <c r="L14903" s="1362"/>
    </row>
    <row r="14904" spans="1:12" x14ac:dyDescent="0.25">
      <c r="A14904">
        <v>100741</v>
      </c>
      <c r="B14904" t="s">
        <v>6164</v>
      </c>
      <c r="C14904" t="s">
        <v>297</v>
      </c>
      <c r="D14904" s="254">
        <v>25.55</v>
      </c>
      <c r="E14904"/>
      <c r="F14904"/>
      <c r="G14904"/>
      <c r="H14904"/>
      <c r="I14904" s="489"/>
      <c r="J14904" s="1362"/>
      <c r="K14904" s="1362"/>
      <c r="L14904" s="1362"/>
    </row>
    <row r="14905" spans="1:12" x14ac:dyDescent="0.25">
      <c r="A14905">
        <v>100742</v>
      </c>
      <c r="B14905" t="s">
        <v>4248</v>
      </c>
      <c r="C14905" t="s">
        <v>297</v>
      </c>
      <c r="D14905" s="254">
        <v>25.9</v>
      </c>
      <c r="E14905"/>
      <c r="F14905"/>
      <c r="G14905"/>
      <c r="H14905"/>
      <c r="I14905" s="489"/>
      <c r="J14905" s="1362"/>
      <c r="K14905" s="1362"/>
      <c r="L14905" s="1362"/>
    </row>
    <row r="14906" spans="1:12" x14ac:dyDescent="0.25">
      <c r="A14906">
        <v>100743</v>
      </c>
      <c r="B14906" t="s">
        <v>6165</v>
      </c>
      <c r="C14906" t="s">
        <v>297</v>
      </c>
      <c r="D14906" s="254">
        <v>10.72</v>
      </c>
      <c r="E14906"/>
      <c r="F14906"/>
      <c r="G14906"/>
      <c r="H14906"/>
      <c r="I14906" s="489"/>
      <c r="J14906" s="1362"/>
      <c r="K14906" s="1362"/>
      <c r="L14906" s="1362"/>
    </row>
    <row r="14907" spans="1:12" x14ac:dyDescent="0.25">
      <c r="A14907">
        <v>100744</v>
      </c>
      <c r="B14907" t="s">
        <v>4249</v>
      </c>
      <c r="C14907" t="s">
        <v>297</v>
      </c>
      <c r="D14907" s="254">
        <v>11.6</v>
      </c>
      <c r="E14907"/>
      <c r="F14907"/>
      <c r="G14907"/>
      <c r="H14907"/>
      <c r="I14907" s="489"/>
      <c r="J14907" s="1362"/>
      <c r="K14907" s="1362"/>
      <c r="L14907" s="1362"/>
    </row>
    <row r="14908" spans="1:12" x14ac:dyDescent="0.25">
      <c r="A14908">
        <v>100745</v>
      </c>
      <c r="B14908" t="s">
        <v>6166</v>
      </c>
      <c r="C14908" t="s">
        <v>297</v>
      </c>
      <c r="D14908" s="254">
        <v>25.28</v>
      </c>
      <c r="E14908"/>
      <c r="F14908"/>
      <c r="G14908"/>
      <c r="H14908"/>
      <c r="I14908" s="489"/>
      <c r="J14908" s="1362"/>
      <c r="K14908" s="1362"/>
      <c r="L14908" s="1362"/>
    </row>
    <row r="14909" spans="1:12" x14ac:dyDescent="0.25">
      <c r="A14909">
        <v>100746</v>
      </c>
      <c r="B14909" t="s">
        <v>4250</v>
      </c>
      <c r="C14909" t="s">
        <v>297</v>
      </c>
      <c r="D14909" s="254">
        <v>25.73</v>
      </c>
      <c r="E14909"/>
      <c r="F14909"/>
      <c r="G14909"/>
      <c r="H14909"/>
      <c r="I14909" s="489"/>
      <c r="J14909" s="1362"/>
      <c r="K14909" s="1362"/>
      <c r="L14909" s="1362"/>
    </row>
    <row r="14910" spans="1:12" x14ac:dyDescent="0.25">
      <c r="A14910">
        <v>100747</v>
      </c>
      <c r="B14910" t="s">
        <v>6167</v>
      </c>
      <c r="C14910" t="s">
        <v>297</v>
      </c>
      <c r="D14910" s="254">
        <v>10.83</v>
      </c>
      <c r="E14910"/>
      <c r="F14910"/>
      <c r="G14910"/>
      <c r="H14910"/>
      <c r="I14910" s="489"/>
      <c r="J14910" s="1362"/>
      <c r="K14910" s="1362"/>
      <c r="L14910" s="1362"/>
    </row>
    <row r="14911" spans="1:12" x14ac:dyDescent="0.25">
      <c r="A14911">
        <v>100748</v>
      </c>
      <c r="B14911" t="s">
        <v>4251</v>
      </c>
      <c r="C14911" t="s">
        <v>297</v>
      </c>
      <c r="D14911" s="254">
        <v>11.67</v>
      </c>
      <c r="E14911"/>
      <c r="F14911"/>
      <c r="G14911"/>
      <c r="H14911"/>
      <c r="I14911" s="489"/>
      <c r="J14911" s="1362"/>
      <c r="K14911" s="1362"/>
      <c r="L14911" s="1362"/>
    </row>
    <row r="14912" spans="1:12" x14ac:dyDescent="0.25">
      <c r="A14912">
        <v>100749</v>
      </c>
      <c r="B14912" t="s">
        <v>6168</v>
      </c>
      <c r="C14912" t="s">
        <v>297</v>
      </c>
      <c r="D14912" s="254">
        <v>25.39</v>
      </c>
      <c r="E14912"/>
      <c r="F14912"/>
      <c r="G14912"/>
      <c r="H14912"/>
      <c r="I14912" s="489"/>
      <c r="J14912" s="1362"/>
      <c r="K14912" s="1362"/>
      <c r="L14912" s="1362"/>
    </row>
    <row r="14913" spans="1:12" x14ac:dyDescent="0.25">
      <c r="A14913">
        <v>100750</v>
      </c>
      <c r="B14913" t="s">
        <v>4252</v>
      </c>
      <c r="C14913" t="s">
        <v>297</v>
      </c>
      <c r="D14913" s="254">
        <v>25.8</v>
      </c>
      <c r="E14913"/>
      <c r="F14913"/>
      <c r="G14913"/>
      <c r="H14913"/>
      <c r="I14913" s="489"/>
      <c r="J14913" s="1362"/>
      <c r="K14913" s="1362"/>
      <c r="L14913" s="1362"/>
    </row>
    <row r="14914" spans="1:12" x14ac:dyDescent="0.25">
      <c r="A14914">
        <v>100751</v>
      </c>
      <c r="B14914" t="s">
        <v>6169</v>
      </c>
      <c r="C14914" t="s">
        <v>297</v>
      </c>
      <c r="D14914" s="254">
        <v>41.23</v>
      </c>
      <c r="E14914"/>
      <c r="F14914"/>
      <c r="G14914"/>
      <c r="H14914"/>
      <c r="I14914" s="489"/>
      <c r="J14914" s="1362"/>
      <c r="K14914" s="1362"/>
      <c r="L14914" s="1362"/>
    </row>
    <row r="14915" spans="1:12" x14ac:dyDescent="0.25">
      <c r="A14915">
        <v>100752</v>
      </c>
      <c r="B14915" t="s">
        <v>4253</v>
      </c>
      <c r="C14915" t="s">
        <v>297</v>
      </c>
      <c r="D14915" s="254">
        <v>48.45</v>
      </c>
      <c r="E14915"/>
      <c r="F14915"/>
      <c r="G14915"/>
      <c r="H14915"/>
      <c r="I14915" s="489"/>
      <c r="J14915" s="1362"/>
      <c r="K14915" s="1362"/>
      <c r="L14915" s="1362"/>
    </row>
    <row r="14916" spans="1:12" x14ac:dyDescent="0.25">
      <c r="A14916">
        <v>100753</v>
      </c>
      <c r="B14916" t="s">
        <v>6170</v>
      </c>
      <c r="C14916" t="s">
        <v>297</v>
      </c>
      <c r="D14916" s="254">
        <v>23.15</v>
      </c>
      <c r="E14916"/>
      <c r="F14916"/>
      <c r="G14916"/>
      <c r="H14916"/>
      <c r="I14916" s="489"/>
      <c r="J14916" s="1362"/>
      <c r="K14916" s="1362"/>
      <c r="L14916" s="1362"/>
    </row>
    <row r="14917" spans="1:12" x14ac:dyDescent="0.25">
      <c r="A14917">
        <v>100754</v>
      </c>
      <c r="B14917" t="s">
        <v>4254</v>
      </c>
      <c r="C14917" t="s">
        <v>297</v>
      </c>
      <c r="D14917" s="254">
        <v>30.8</v>
      </c>
      <c r="E14917"/>
      <c r="F14917"/>
      <c r="G14917"/>
      <c r="H14917"/>
      <c r="I14917" s="489"/>
      <c r="J14917" s="1362"/>
      <c r="K14917" s="1362"/>
      <c r="L14917" s="1362"/>
    </row>
    <row r="14918" spans="1:12" x14ac:dyDescent="0.25">
      <c r="A14918">
        <v>100757</v>
      </c>
      <c r="B14918" t="s">
        <v>6171</v>
      </c>
      <c r="C14918" t="s">
        <v>297</v>
      </c>
      <c r="D14918" s="254">
        <v>51.1</v>
      </c>
      <c r="E14918"/>
      <c r="F14918"/>
      <c r="G14918"/>
      <c r="H14918"/>
      <c r="I14918" s="489"/>
      <c r="J14918" s="1362"/>
      <c r="K14918" s="1362"/>
      <c r="L14918" s="1362"/>
    </row>
    <row r="14919" spans="1:12" x14ac:dyDescent="0.25">
      <c r="A14919">
        <v>100758</v>
      </c>
      <c r="B14919" t="s">
        <v>4255</v>
      </c>
      <c r="C14919" t="s">
        <v>297</v>
      </c>
      <c r="D14919" s="254">
        <v>51.83</v>
      </c>
      <c r="E14919"/>
      <c r="F14919"/>
      <c r="G14919"/>
      <c r="H14919"/>
      <c r="I14919" s="489"/>
      <c r="J14919" s="1362"/>
      <c r="K14919" s="1362"/>
      <c r="L14919" s="1362"/>
    </row>
    <row r="14920" spans="1:12" x14ac:dyDescent="0.25">
      <c r="A14920">
        <v>100759</v>
      </c>
      <c r="B14920" t="s">
        <v>6172</v>
      </c>
      <c r="C14920" t="s">
        <v>297</v>
      </c>
      <c r="D14920" s="254">
        <v>50.56</v>
      </c>
      <c r="E14920"/>
      <c r="F14920"/>
      <c r="G14920"/>
      <c r="H14920"/>
      <c r="I14920" s="489"/>
      <c r="J14920" s="1362"/>
      <c r="K14920" s="1362"/>
      <c r="L14920" s="1362"/>
    </row>
    <row r="14921" spans="1:12" x14ac:dyDescent="0.25">
      <c r="A14921">
        <v>100760</v>
      </c>
      <c r="B14921" t="s">
        <v>4256</v>
      </c>
      <c r="C14921" t="s">
        <v>297</v>
      </c>
      <c r="D14921" s="254">
        <v>51.5</v>
      </c>
      <c r="E14921"/>
      <c r="F14921"/>
      <c r="G14921"/>
      <c r="H14921"/>
      <c r="I14921" s="489"/>
      <c r="J14921" s="1362"/>
      <c r="K14921" s="1362"/>
      <c r="L14921" s="1362"/>
    </row>
    <row r="14922" spans="1:12" x14ac:dyDescent="0.25">
      <c r="A14922">
        <v>100761</v>
      </c>
      <c r="B14922" t="s">
        <v>6173</v>
      </c>
      <c r="C14922" t="s">
        <v>297</v>
      </c>
      <c r="D14922" s="254">
        <v>50.79</v>
      </c>
      <c r="E14922"/>
      <c r="F14922"/>
      <c r="G14922"/>
      <c r="H14922"/>
      <c r="I14922" s="489"/>
      <c r="J14922" s="1362"/>
      <c r="K14922" s="1362"/>
      <c r="L14922" s="1362"/>
    </row>
    <row r="14923" spans="1:12" x14ac:dyDescent="0.25">
      <c r="A14923">
        <v>100762</v>
      </c>
      <c r="B14923" t="s">
        <v>4257</v>
      </c>
      <c r="C14923" t="s">
        <v>297</v>
      </c>
      <c r="D14923" s="254">
        <v>51.63</v>
      </c>
      <c r="E14923"/>
      <c r="F14923"/>
      <c r="G14923"/>
      <c r="H14923"/>
      <c r="I14923" s="489"/>
      <c r="J14923" s="1362"/>
      <c r="K14923" s="1362"/>
      <c r="L14923" s="1362"/>
    </row>
    <row r="14924" spans="1:12" x14ac:dyDescent="0.25">
      <c r="A14924">
        <v>102488</v>
      </c>
      <c r="B14924" t="s">
        <v>6174</v>
      </c>
      <c r="C14924" t="s">
        <v>297</v>
      </c>
      <c r="D14924" s="254">
        <v>3.82</v>
      </c>
      <c r="E14924"/>
      <c r="F14924"/>
      <c r="G14924"/>
      <c r="H14924"/>
      <c r="I14924" s="489"/>
      <c r="J14924" s="1362"/>
      <c r="K14924" s="1362"/>
      <c r="L14924" s="1362"/>
    </row>
    <row r="14925" spans="1:12" x14ac:dyDescent="0.25">
      <c r="A14925">
        <v>102489</v>
      </c>
      <c r="B14925" t="s">
        <v>6175</v>
      </c>
      <c r="C14925" t="s">
        <v>297</v>
      </c>
      <c r="D14925" s="254">
        <v>26.94</v>
      </c>
      <c r="E14925"/>
      <c r="F14925"/>
      <c r="G14925"/>
      <c r="H14925"/>
      <c r="I14925" s="489"/>
      <c r="J14925" s="1362"/>
      <c r="K14925" s="1362"/>
      <c r="L14925" s="1362"/>
    </row>
    <row r="14926" spans="1:12" x14ac:dyDescent="0.25">
      <c r="A14926">
        <v>102491</v>
      </c>
      <c r="B14926" t="s">
        <v>6176</v>
      </c>
      <c r="C14926" t="s">
        <v>297</v>
      </c>
      <c r="D14926" s="254">
        <v>19.37</v>
      </c>
      <c r="E14926"/>
      <c r="F14926"/>
      <c r="G14926"/>
      <c r="H14926"/>
      <c r="I14926" s="489"/>
      <c r="J14926" s="1362"/>
      <c r="K14926" s="1362"/>
      <c r="L14926" s="1362"/>
    </row>
    <row r="14927" spans="1:12" x14ac:dyDescent="0.25">
      <c r="A14927">
        <v>102492</v>
      </c>
      <c r="B14927" t="s">
        <v>6177</v>
      </c>
      <c r="C14927" t="s">
        <v>297</v>
      </c>
      <c r="D14927" s="254">
        <v>24.73</v>
      </c>
      <c r="E14927"/>
      <c r="F14927"/>
      <c r="G14927"/>
      <c r="H14927"/>
      <c r="I14927" s="489"/>
      <c r="J14927" s="1362"/>
      <c r="K14927" s="1362"/>
      <c r="L14927" s="1362"/>
    </row>
    <row r="14928" spans="1:12" x14ac:dyDescent="0.25">
      <c r="A14928">
        <v>102494</v>
      </c>
      <c r="B14928" t="s">
        <v>6178</v>
      </c>
      <c r="C14928" t="s">
        <v>297</v>
      </c>
      <c r="D14928" s="254">
        <v>64.31</v>
      </c>
      <c r="E14928"/>
      <c r="F14928"/>
      <c r="G14928"/>
      <c r="H14928"/>
      <c r="I14928" s="489"/>
      <c r="J14928" s="1362"/>
      <c r="K14928" s="1362"/>
      <c r="L14928" s="1362"/>
    </row>
    <row r="14929" spans="1:12" x14ac:dyDescent="0.25">
      <c r="A14929">
        <v>102496</v>
      </c>
      <c r="B14929" t="s">
        <v>6179</v>
      </c>
      <c r="C14929" t="s">
        <v>151</v>
      </c>
      <c r="D14929" s="254">
        <v>13.52</v>
      </c>
      <c r="E14929"/>
      <c r="F14929"/>
      <c r="G14929"/>
      <c r="H14929"/>
      <c r="I14929" s="489"/>
      <c r="J14929" s="1362"/>
      <c r="K14929" s="1362"/>
      <c r="L14929" s="1362"/>
    </row>
    <row r="14930" spans="1:12" x14ac:dyDescent="0.25">
      <c r="A14930">
        <v>102497</v>
      </c>
      <c r="B14930" t="s">
        <v>6180</v>
      </c>
      <c r="C14930" t="s">
        <v>151</v>
      </c>
      <c r="D14930" s="254">
        <v>4.8899999999999997</v>
      </c>
      <c r="E14930"/>
      <c r="F14930"/>
      <c r="G14930"/>
      <c r="H14930"/>
      <c r="I14930" s="489"/>
      <c r="J14930" s="1362"/>
      <c r="K14930" s="1362"/>
      <c r="L14930" s="1362"/>
    </row>
    <row r="14931" spans="1:12" x14ac:dyDescent="0.25">
      <c r="A14931">
        <v>102498</v>
      </c>
      <c r="B14931" t="s">
        <v>6181</v>
      </c>
      <c r="C14931" t="s">
        <v>151</v>
      </c>
      <c r="D14931" s="254">
        <v>1.58</v>
      </c>
      <c r="E14931"/>
      <c r="F14931"/>
      <c r="G14931"/>
      <c r="H14931"/>
      <c r="I14931" s="489"/>
      <c r="J14931" s="1362"/>
      <c r="K14931" s="1362"/>
      <c r="L14931" s="1362"/>
    </row>
    <row r="14932" spans="1:12" x14ac:dyDescent="0.25">
      <c r="A14932">
        <v>102499</v>
      </c>
      <c r="B14932" t="s">
        <v>6182</v>
      </c>
      <c r="C14932" t="s">
        <v>297</v>
      </c>
      <c r="D14932" s="254">
        <v>3.16</v>
      </c>
      <c r="E14932"/>
      <c r="F14932"/>
      <c r="G14932"/>
      <c r="H14932"/>
      <c r="I14932" s="489"/>
      <c r="J14932" s="1362"/>
      <c r="K14932" s="1362"/>
      <c r="L14932" s="1362"/>
    </row>
    <row r="14933" spans="1:12" x14ac:dyDescent="0.25">
      <c r="A14933">
        <v>102500</v>
      </c>
      <c r="B14933" t="s">
        <v>6183</v>
      </c>
      <c r="C14933" t="s">
        <v>151</v>
      </c>
      <c r="D14933" s="254">
        <v>4.33</v>
      </c>
      <c r="E14933"/>
      <c r="F14933"/>
      <c r="G14933"/>
      <c r="H14933"/>
      <c r="I14933" s="489"/>
      <c r="J14933" s="1362"/>
      <c r="K14933" s="1362"/>
      <c r="L14933" s="1362"/>
    </row>
    <row r="14934" spans="1:12" x14ac:dyDescent="0.25">
      <c r="A14934">
        <v>102501</v>
      </c>
      <c r="B14934" t="s">
        <v>6184</v>
      </c>
      <c r="C14934" t="s">
        <v>297</v>
      </c>
      <c r="D14934" s="254">
        <v>24.36</v>
      </c>
      <c r="E14934"/>
      <c r="F14934"/>
      <c r="G14934"/>
      <c r="H14934"/>
      <c r="I14934" s="489"/>
      <c r="J14934" s="1362"/>
      <c r="K14934" s="1362"/>
      <c r="L14934" s="1362"/>
    </row>
    <row r="14935" spans="1:12" x14ac:dyDescent="0.25">
      <c r="A14935">
        <v>102504</v>
      </c>
      <c r="B14935" t="s">
        <v>6185</v>
      </c>
      <c r="C14935" t="s">
        <v>151</v>
      </c>
      <c r="D14935" s="254">
        <v>10.02</v>
      </c>
      <c r="E14935"/>
      <c r="F14935"/>
      <c r="G14935"/>
      <c r="H14935"/>
      <c r="I14935" s="489"/>
      <c r="J14935" s="1362"/>
      <c r="K14935" s="1362"/>
      <c r="L14935" s="1362"/>
    </row>
    <row r="14936" spans="1:12" x14ac:dyDescent="0.25">
      <c r="A14936">
        <v>102505</v>
      </c>
      <c r="B14936" t="s">
        <v>6186</v>
      </c>
      <c r="C14936" t="s">
        <v>151</v>
      </c>
      <c r="D14936" s="254">
        <v>10.28</v>
      </c>
      <c r="E14936"/>
      <c r="F14936"/>
      <c r="G14936"/>
      <c r="H14936"/>
      <c r="I14936" s="489"/>
      <c r="J14936" s="1362"/>
      <c r="K14936" s="1362"/>
      <c r="L14936" s="1362"/>
    </row>
    <row r="14937" spans="1:12" x14ac:dyDescent="0.25">
      <c r="A14937">
        <v>102506</v>
      </c>
      <c r="B14937" t="s">
        <v>6187</v>
      </c>
      <c r="C14937" t="s">
        <v>151</v>
      </c>
      <c r="D14937" s="254">
        <v>11.09</v>
      </c>
      <c r="E14937"/>
      <c r="F14937"/>
      <c r="G14937"/>
      <c r="H14937"/>
      <c r="I14937" s="489"/>
      <c r="J14937" s="1362"/>
      <c r="K14937" s="1362"/>
      <c r="L14937" s="1362"/>
    </row>
    <row r="14938" spans="1:12" x14ac:dyDescent="0.25">
      <c r="A14938">
        <v>102507</v>
      </c>
      <c r="B14938" t="s">
        <v>6188</v>
      </c>
      <c r="C14938" t="s">
        <v>151</v>
      </c>
      <c r="D14938" s="254">
        <v>6.44</v>
      </c>
      <c r="E14938"/>
      <c r="F14938"/>
      <c r="G14938"/>
      <c r="H14938"/>
      <c r="I14938" s="489"/>
      <c r="J14938" s="1362"/>
      <c r="K14938" s="1362"/>
      <c r="L14938" s="1362"/>
    </row>
    <row r="14939" spans="1:12" x14ac:dyDescent="0.25">
      <c r="A14939">
        <v>102508</v>
      </c>
      <c r="B14939" t="s">
        <v>6189</v>
      </c>
      <c r="C14939" t="s">
        <v>297</v>
      </c>
      <c r="D14939" s="254">
        <v>45.91</v>
      </c>
      <c r="E14939"/>
      <c r="F14939"/>
      <c r="G14939"/>
      <c r="H14939"/>
      <c r="I14939" s="489"/>
      <c r="J14939" s="1362"/>
      <c r="K14939" s="1362"/>
      <c r="L14939" s="1362"/>
    </row>
    <row r="14940" spans="1:12" x14ac:dyDescent="0.25">
      <c r="A14940">
        <v>102509</v>
      </c>
      <c r="B14940" t="s">
        <v>6190</v>
      </c>
      <c r="C14940" t="s">
        <v>297</v>
      </c>
      <c r="D14940" s="254">
        <v>24.82</v>
      </c>
      <c r="E14940"/>
      <c r="F14940"/>
      <c r="G14940"/>
      <c r="H14940"/>
      <c r="I14940" s="489"/>
      <c r="J14940" s="1362"/>
      <c r="K14940" s="1362"/>
      <c r="L14940" s="1362"/>
    </row>
    <row r="14941" spans="1:12" x14ac:dyDescent="0.25">
      <c r="A14941">
        <v>102512</v>
      </c>
      <c r="B14941" t="s">
        <v>6191</v>
      </c>
      <c r="C14941" t="s">
        <v>151</v>
      </c>
      <c r="D14941" s="254">
        <v>5.22</v>
      </c>
      <c r="E14941"/>
      <c r="F14941"/>
      <c r="G14941"/>
      <c r="H14941"/>
      <c r="I14941" s="489"/>
      <c r="J14941" s="1362"/>
      <c r="K14941" s="1362"/>
      <c r="L14941" s="1362"/>
    </row>
    <row r="14942" spans="1:12" x14ac:dyDescent="0.25">
      <c r="A14942">
        <v>102513</v>
      </c>
      <c r="B14942" t="s">
        <v>6192</v>
      </c>
      <c r="C14942" t="s">
        <v>297</v>
      </c>
      <c r="D14942" s="254">
        <v>46.9</v>
      </c>
      <c r="E14942"/>
      <c r="F14942"/>
      <c r="G14942"/>
      <c r="H14942"/>
      <c r="I14942" s="489"/>
      <c r="J14942" s="1362"/>
      <c r="K14942" s="1362"/>
      <c r="L14942" s="1362"/>
    </row>
    <row r="14943" spans="1:12" x14ac:dyDescent="0.25">
      <c r="A14943">
        <v>102520</v>
      </c>
      <c r="B14943" t="s">
        <v>6193</v>
      </c>
      <c r="C14943" t="s">
        <v>297</v>
      </c>
      <c r="D14943" s="254">
        <v>81.13</v>
      </c>
      <c r="E14943"/>
      <c r="F14943"/>
      <c r="G14943"/>
      <c r="H14943"/>
      <c r="I14943" s="489"/>
      <c r="J14943" s="1362"/>
      <c r="K14943" s="1362"/>
      <c r="L14943" s="1362"/>
    </row>
    <row r="14944" spans="1:12" x14ac:dyDescent="0.25">
      <c r="A14944">
        <v>101749</v>
      </c>
      <c r="B14944" t="s">
        <v>4899</v>
      </c>
      <c r="C14944" t="s">
        <v>297</v>
      </c>
      <c r="D14944" s="254">
        <v>57.82</v>
      </c>
      <c r="E14944"/>
      <c r="F14944"/>
      <c r="G14944"/>
      <c r="H14944"/>
      <c r="I14944" s="489"/>
      <c r="J14944" s="1362"/>
      <c r="K14944" s="1362"/>
      <c r="L14944" s="1362"/>
    </row>
    <row r="14945" spans="1:12" x14ac:dyDescent="0.25">
      <c r="A14945">
        <v>101750</v>
      </c>
      <c r="B14945" t="s">
        <v>4900</v>
      </c>
      <c r="C14945" t="s">
        <v>297</v>
      </c>
      <c r="D14945" s="254">
        <v>55.14</v>
      </c>
      <c r="E14945"/>
      <c r="F14945"/>
      <c r="G14945"/>
      <c r="H14945"/>
      <c r="I14945" s="489"/>
      <c r="J14945" s="1362"/>
      <c r="K14945" s="1362"/>
      <c r="L14945" s="1362"/>
    </row>
    <row r="14946" spans="1:12" x14ac:dyDescent="0.25">
      <c r="A14946">
        <v>101729</v>
      </c>
      <c r="B14946" t="s">
        <v>4901</v>
      </c>
      <c r="C14946" t="s">
        <v>297</v>
      </c>
      <c r="D14946" s="254">
        <v>146.28</v>
      </c>
      <c r="E14946"/>
      <c r="F14946"/>
      <c r="G14946"/>
      <c r="H14946"/>
      <c r="I14946" s="489"/>
      <c r="J14946" s="1362"/>
      <c r="K14946" s="1362"/>
      <c r="L14946" s="1362"/>
    </row>
    <row r="14947" spans="1:12" x14ac:dyDescent="0.25">
      <c r="A14947">
        <v>101746</v>
      </c>
      <c r="B14947" t="s">
        <v>4902</v>
      </c>
      <c r="C14947" t="s">
        <v>297</v>
      </c>
      <c r="D14947" s="254">
        <v>222.35</v>
      </c>
      <c r="E14947"/>
      <c r="F14947"/>
      <c r="G14947"/>
      <c r="H14947"/>
      <c r="I14947" s="489"/>
      <c r="J14947" s="1362"/>
      <c r="K14947" s="1362"/>
      <c r="L14947" s="1362"/>
    </row>
    <row r="14948" spans="1:12" x14ac:dyDescent="0.25">
      <c r="A14948">
        <v>101751</v>
      </c>
      <c r="B14948" t="s">
        <v>4903</v>
      </c>
      <c r="C14948" t="s">
        <v>297</v>
      </c>
      <c r="D14948" s="254">
        <v>153.01</v>
      </c>
      <c r="E14948"/>
      <c r="F14948"/>
      <c r="G14948"/>
      <c r="H14948"/>
      <c r="I14948" s="489"/>
      <c r="J14948" s="1362"/>
      <c r="K14948" s="1362"/>
      <c r="L14948" s="1362"/>
    </row>
    <row r="14949" spans="1:12" x14ac:dyDescent="0.25">
      <c r="A14949">
        <v>87246</v>
      </c>
      <c r="B14949" t="s">
        <v>2074</v>
      </c>
      <c r="C14949" t="s">
        <v>297</v>
      </c>
      <c r="D14949" s="254">
        <v>57.71</v>
      </c>
      <c r="E14949"/>
      <c r="F14949"/>
      <c r="G14949"/>
      <c r="H14949"/>
      <c r="I14949" s="489"/>
      <c r="J14949" s="1362"/>
      <c r="K14949" s="1362"/>
      <c r="L14949" s="1362"/>
    </row>
    <row r="14950" spans="1:12" x14ac:dyDescent="0.25">
      <c r="A14950">
        <v>87247</v>
      </c>
      <c r="B14950" t="s">
        <v>2075</v>
      </c>
      <c r="C14950" t="s">
        <v>297</v>
      </c>
      <c r="D14950" s="254">
        <v>49.55</v>
      </c>
      <c r="E14950"/>
      <c r="F14950"/>
      <c r="G14950"/>
      <c r="H14950"/>
      <c r="I14950" s="489"/>
      <c r="J14950" s="1362"/>
      <c r="K14950" s="1362"/>
      <c r="L14950" s="1362"/>
    </row>
    <row r="14951" spans="1:12" x14ac:dyDescent="0.25">
      <c r="A14951">
        <v>87248</v>
      </c>
      <c r="B14951" t="s">
        <v>2076</v>
      </c>
      <c r="C14951" t="s">
        <v>297</v>
      </c>
      <c r="D14951" s="254">
        <v>42.76</v>
      </c>
      <c r="E14951"/>
      <c r="F14951"/>
      <c r="G14951"/>
      <c r="H14951"/>
      <c r="I14951" s="489"/>
      <c r="J14951" s="1362"/>
      <c r="K14951" s="1362"/>
      <c r="L14951" s="1362"/>
    </row>
    <row r="14952" spans="1:12" x14ac:dyDescent="0.25">
      <c r="A14952">
        <v>87249</v>
      </c>
      <c r="B14952" t="s">
        <v>2077</v>
      </c>
      <c r="C14952" t="s">
        <v>297</v>
      </c>
      <c r="D14952" s="254">
        <v>65.33</v>
      </c>
      <c r="E14952"/>
      <c r="F14952"/>
      <c r="G14952"/>
      <c r="H14952"/>
      <c r="I14952" s="489"/>
      <c r="J14952" s="1362"/>
      <c r="K14952" s="1362"/>
      <c r="L14952" s="1362"/>
    </row>
    <row r="14953" spans="1:12" x14ac:dyDescent="0.25">
      <c r="A14953">
        <v>87250</v>
      </c>
      <c r="B14953" t="s">
        <v>2078</v>
      </c>
      <c r="C14953" t="s">
        <v>297</v>
      </c>
      <c r="D14953" s="254">
        <v>52.44</v>
      </c>
      <c r="E14953"/>
      <c r="F14953"/>
      <c r="G14953"/>
      <c r="H14953"/>
      <c r="I14953" s="489"/>
      <c r="J14953" s="1362"/>
      <c r="K14953" s="1362"/>
      <c r="L14953" s="1362"/>
    </row>
    <row r="14954" spans="1:12" x14ac:dyDescent="0.25">
      <c r="A14954">
        <v>87251</v>
      </c>
      <c r="B14954" t="s">
        <v>2079</v>
      </c>
      <c r="C14954" t="s">
        <v>297</v>
      </c>
      <c r="D14954" s="254">
        <v>43.95</v>
      </c>
      <c r="E14954"/>
      <c r="F14954"/>
      <c r="G14954"/>
      <c r="H14954"/>
      <c r="I14954" s="489"/>
      <c r="J14954" s="1362"/>
      <c r="K14954" s="1362"/>
      <c r="L14954" s="1362"/>
    </row>
    <row r="14955" spans="1:12" x14ac:dyDescent="0.25">
      <c r="A14955">
        <v>87255</v>
      </c>
      <c r="B14955" t="s">
        <v>2080</v>
      </c>
      <c r="C14955" t="s">
        <v>297</v>
      </c>
      <c r="D14955" s="254">
        <v>102.54</v>
      </c>
      <c r="E14955"/>
      <c r="F14955"/>
      <c r="G14955"/>
      <c r="H14955"/>
      <c r="I14955" s="489"/>
      <c r="J14955" s="1362"/>
      <c r="K14955" s="1362"/>
      <c r="L14955" s="1362"/>
    </row>
    <row r="14956" spans="1:12" x14ac:dyDescent="0.25">
      <c r="A14956">
        <v>87256</v>
      </c>
      <c r="B14956" t="s">
        <v>2081</v>
      </c>
      <c r="C14956" t="s">
        <v>297</v>
      </c>
      <c r="D14956" s="254">
        <v>87.36</v>
      </c>
      <c r="E14956"/>
      <c r="F14956"/>
      <c r="G14956"/>
      <c r="H14956"/>
      <c r="I14956" s="489"/>
      <c r="J14956" s="1362"/>
      <c r="K14956" s="1362"/>
      <c r="L14956" s="1362"/>
    </row>
    <row r="14957" spans="1:12" x14ac:dyDescent="0.25">
      <c r="A14957">
        <v>87257</v>
      </c>
      <c r="B14957" t="s">
        <v>2082</v>
      </c>
      <c r="C14957" t="s">
        <v>297</v>
      </c>
      <c r="D14957" s="254">
        <v>77.47</v>
      </c>
      <c r="E14957"/>
      <c r="F14957"/>
      <c r="G14957"/>
      <c r="H14957"/>
      <c r="I14957" s="489"/>
      <c r="J14957" s="1362"/>
      <c r="K14957" s="1362"/>
      <c r="L14957" s="1362"/>
    </row>
    <row r="14958" spans="1:12" x14ac:dyDescent="0.25">
      <c r="A14958">
        <v>87258</v>
      </c>
      <c r="B14958" t="s">
        <v>2083</v>
      </c>
      <c r="C14958" t="s">
        <v>297</v>
      </c>
      <c r="D14958" s="254">
        <v>133.24</v>
      </c>
      <c r="E14958"/>
      <c r="F14958"/>
      <c r="G14958"/>
      <c r="H14958"/>
      <c r="I14958" s="489"/>
      <c r="J14958" s="1362"/>
      <c r="K14958" s="1362"/>
      <c r="L14958" s="1362"/>
    </row>
    <row r="14959" spans="1:12" x14ac:dyDescent="0.25">
      <c r="A14959">
        <v>87259</v>
      </c>
      <c r="B14959" t="s">
        <v>2084</v>
      </c>
      <c r="C14959" t="s">
        <v>297</v>
      </c>
      <c r="D14959" s="254">
        <v>118.87</v>
      </c>
      <c r="E14959"/>
      <c r="F14959"/>
      <c r="G14959"/>
      <c r="H14959"/>
      <c r="I14959" s="489"/>
      <c r="J14959" s="1362"/>
      <c r="K14959" s="1362"/>
      <c r="L14959" s="1362"/>
    </row>
    <row r="14960" spans="1:12" x14ac:dyDescent="0.25">
      <c r="A14960">
        <v>87260</v>
      </c>
      <c r="B14960" t="s">
        <v>2085</v>
      </c>
      <c r="C14960" t="s">
        <v>297</v>
      </c>
      <c r="D14960" s="254">
        <v>110.22</v>
      </c>
      <c r="E14960"/>
      <c r="F14960"/>
      <c r="G14960"/>
      <c r="H14960"/>
      <c r="I14960" s="489"/>
      <c r="J14960" s="1362"/>
      <c r="K14960" s="1362"/>
      <c r="L14960" s="1362"/>
    </row>
    <row r="14961" spans="1:12" x14ac:dyDescent="0.25">
      <c r="A14961">
        <v>87261</v>
      </c>
      <c r="B14961" t="s">
        <v>2086</v>
      </c>
      <c r="C14961" t="s">
        <v>297</v>
      </c>
      <c r="D14961" s="254">
        <v>153.19</v>
      </c>
      <c r="E14961"/>
      <c r="F14961"/>
      <c r="G14961"/>
      <c r="H14961"/>
      <c r="I14961" s="489"/>
      <c r="J14961" s="1362"/>
      <c r="K14961" s="1362"/>
      <c r="L14961" s="1362"/>
    </row>
    <row r="14962" spans="1:12" x14ac:dyDescent="0.25">
      <c r="A14962">
        <v>87262</v>
      </c>
      <c r="B14962" t="s">
        <v>2087</v>
      </c>
      <c r="C14962" t="s">
        <v>297</v>
      </c>
      <c r="D14962" s="254">
        <v>136.75</v>
      </c>
      <c r="E14962"/>
      <c r="F14962"/>
      <c r="G14962"/>
      <c r="H14962"/>
      <c r="I14962" s="489"/>
      <c r="J14962" s="1362"/>
      <c r="K14962" s="1362"/>
      <c r="L14962" s="1362"/>
    </row>
    <row r="14963" spans="1:12" x14ac:dyDescent="0.25">
      <c r="A14963">
        <v>87263</v>
      </c>
      <c r="B14963" t="s">
        <v>2088</v>
      </c>
      <c r="C14963" t="s">
        <v>297</v>
      </c>
      <c r="D14963" s="254">
        <v>126.54</v>
      </c>
      <c r="E14963"/>
      <c r="F14963"/>
      <c r="G14963"/>
      <c r="H14963"/>
      <c r="I14963" s="489"/>
      <c r="J14963" s="1362"/>
      <c r="K14963" s="1362"/>
      <c r="L14963" s="1362"/>
    </row>
    <row r="14964" spans="1:12" x14ac:dyDescent="0.25">
      <c r="A14964">
        <v>89046</v>
      </c>
      <c r="B14964" t="s">
        <v>5672</v>
      </c>
      <c r="C14964" t="s">
        <v>297</v>
      </c>
      <c r="D14964" s="254">
        <v>49.14</v>
      </c>
      <c r="E14964"/>
      <c r="F14964"/>
      <c r="G14964"/>
      <c r="H14964"/>
      <c r="I14964" s="489"/>
      <c r="J14964" s="1362"/>
      <c r="K14964" s="1362"/>
      <c r="L14964" s="1362"/>
    </row>
    <row r="14965" spans="1:12" x14ac:dyDescent="0.25">
      <c r="A14965">
        <v>89171</v>
      </c>
      <c r="B14965" t="s">
        <v>5673</v>
      </c>
      <c r="C14965" t="s">
        <v>297</v>
      </c>
      <c r="D14965" s="254">
        <v>45.85</v>
      </c>
      <c r="E14965"/>
      <c r="F14965"/>
      <c r="G14965"/>
      <c r="H14965"/>
      <c r="I14965" s="489"/>
      <c r="J14965" s="1362"/>
      <c r="K14965" s="1362"/>
      <c r="L14965" s="1362"/>
    </row>
    <row r="14966" spans="1:12" x14ac:dyDescent="0.25">
      <c r="A14966">
        <v>93389</v>
      </c>
      <c r="B14966" t="s">
        <v>2089</v>
      </c>
      <c r="C14966" t="s">
        <v>297</v>
      </c>
      <c r="D14966" s="254">
        <v>52.73</v>
      </c>
      <c r="E14966"/>
      <c r="F14966"/>
      <c r="G14966"/>
      <c r="H14966"/>
      <c r="I14966" s="489"/>
      <c r="J14966" s="1362"/>
      <c r="K14966" s="1362"/>
      <c r="L14966" s="1362"/>
    </row>
    <row r="14967" spans="1:12" x14ac:dyDescent="0.25">
      <c r="A14967">
        <v>93390</v>
      </c>
      <c r="B14967" t="s">
        <v>2090</v>
      </c>
      <c r="C14967" t="s">
        <v>297</v>
      </c>
      <c r="D14967" s="254">
        <v>44.66</v>
      </c>
      <c r="E14967"/>
      <c r="F14967"/>
      <c r="G14967"/>
      <c r="H14967"/>
      <c r="I14967" s="489"/>
      <c r="J14967" s="1362"/>
      <c r="K14967" s="1362"/>
      <c r="L14967" s="1362"/>
    </row>
    <row r="14968" spans="1:12" x14ac:dyDescent="0.25">
      <c r="A14968">
        <v>93391</v>
      </c>
      <c r="B14968" t="s">
        <v>2091</v>
      </c>
      <c r="C14968" t="s">
        <v>297</v>
      </c>
      <c r="D14968" s="254">
        <v>37.869999999999997</v>
      </c>
      <c r="E14968"/>
      <c r="F14968"/>
      <c r="G14968"/>
      <c r="H14968"/>
      <c r="I14968" s="489"/>
      <c r="J14968" s="1362"/>
      <c r="K14968" s="1362"/>
      <c r="L14968" s="1362"/>
    </row>
    <row r="14969" spans="1:12" x14ac:dyDescent="0.25">
      <c r="A14969">
        <v>98671</v>
      </c>
      <c r="B14969" t="s">
        <v>4904</v>
      </c>
      <c r="C14969" t="s">
        <v>297</v>
      </c>
      <c r="D14969" s="254">
        <v>424.17</v>
      </c>
      <c r="E14969"/>
      <c r="F14969"/>
      <c r="G14969"/>
      <c r="H14969"/>
      <c r="I14969" s="489"/>
      <c r="J14969" s="1362"/>
      <c r="K14969" s="1362"/>
      <c r="L14969" s="1362"/>
    </row>
    <row r="14970" spans="1:12" x14ac:dyDescent="0.25">
      <c r="A14970">
        <v>98672</v>
      </c>
      <c r="B14970" t="s">
        <v>4905</v>
      </c>
      <c r="C14970" t="s">
        <v>297</v>
      </c>
      <c r="D14970" s="254">
        <v>607.48</v>
      </c>
      <c r="E14970"/>
      <c r="F14970"/>
      <c r="G14970"/>
      <c r="H14970"/>
      <c r="I14970" s="489"/>
      <c r="J14970" s="1362"/>
      <c r="K14970" s="1362"/>
      <c r="L14970" s="1362"/>
    </row>
    <row r="14971" spans="1:12" x14ac:dyDescent="0.25">
      <c r="A14971">
        <v>98678</v>
      </c>
      <c r="B14971" t="s">
        <v>4906</v>
      </c>
      <c r="C14971" t="s">
        <v>297</v>
      </c>
      <c r="D14971" s="254">
        <v>455.68</v>
      </c>
      <c r="E14971"/>
      <c r="F14971"/>
      <c r="G14971"/>
      <c r="H14971"/>
      <c r="I14971" s="489"/>
      <c r="J14971" s="1362"/>
      <c r="K14971" s="1362"/>
      <c r="L14971" s="1362"/>
    </row>
    <row r="14972" spans="1:12" x14ac:dyDescent="0.25">
      <c r="A14972">
        <v>98679</v>
      </c>
      <c r="B14972" t="s">
        <v>4907</v>
      </c>
      <c r="C14972" t="s">
        <v>297</v>
      </c>
      <c r="D14972" s="254">
        <v>39.35</v>
      </c>
      <c r="E14972"/>
      <c r="F14972"/>
      <c r="G14972"/>
      <c r="H14972"/>
      <c r="I14972" s="489"/>
      <c r="J14972" s="1362"/>
      <c r="K14972" s="1362"/>
      <c r="L14972" s="1362"/>
    </row>
    <row r="14973" spans="1:12" x14ac:dyDescent="0.25">
      <c r="A14973">
        <v>98680</v>
      </c>
      <c r="B14973" t="s">
        <v>4908</v>
      </c>
      <c r="C14973" t="s">
        <v>297</v>
      </c>
      <c r="D14973" s="254">
        <v>49.51</v>
      </c>
      <c r="E14973"/>
      <c r="F14973"/>
      <c r="G14973"/>
      <c r="H14973"/>
      <c r="I14973" s="489"/>
      <c r="J14973" s="1362"/>
      <c r="K14973" s="1362"/>
      <c r="L14973" s="1362"/>
    </row>
    <row r="14974" spans="1:12" x14ac:dyDescent="0.25">
      <c r="A14974">
        <v>98681</v>
      </c>
      <c r="B14974" t="s">
        <v>4909</v>
      </c>
      <c r="C14974" t="s">
        <v>297</v>
      </c>
      <c r="D14974" s="254">
        <v>36.69</v>
      </c>
      <c r="E14974"/>
      <c r="F14974"/>
      <c r="G14974"/>
      <c r="H14974"/>
      <c r="I14974" s="489"/>
      <c r="J14974" s="1362"/>
      <c r="K14974" s="1362"/>
      <c r="L14974" s="1362"/>
    </row>
    <row r="14975" spans="1:12" x14ac:dyDescent="0.25">
      <c r="A14975">
        <v>98682</v>
      </c>
      <c r="B14975" t="s">
        <v>4910</v>
      </c>
      <c r="C14975" t="s">
        <v>297</v>
      </c>
      <c r="D14975" s="254">
        <v>46.84</v>
      </c>
      <c r="E14975"/>
      <c r="F14975"/>
      <c r="G14975"/>
      <c r="H14975"/>
      <c r="I14975" s="489"/>
      <c r="J14975" s="1362"/>
      <c r="K14975" s="1362"/>
      <c r="L14975" s="1362"/>
    </row>
    <row r="14976" spans="1:12" x14ac:dyDescent="0.25">
      <c r="A14976">
        <v>98685</v>
      </c>
      <c r="B14976" t="s">
        <v>4911</v>
      </c>
      <c r="C14976" t="s">
        <v>151</v>
      </c>
      <c r="D14976" s="254">
        <v>77.12</v>
      </c>
      <c r="E14976"/>
      <c r="F14976"/>
      <c r="G14976"/>
      <c r="H14976"/>
      <c r="I14976" s="489"/>
      <c r="J14976" s="1362"/>
      <c r="K14976" s="1362"/>
      <c r="L14976" s="1362"/>
    </row>
    <row r="14977" spans="1:12" x14ac:dyDescent="0.25">
      <c r="A14977">
        <v>98686</v>
      </c>
      <c r="B14977" t="s">
        <v>4912</v>
      </c>
      <c r="C14977" t="s">
        <v>151</v>
      </c>
      <c r="D14977" s="254">
        <v>43.71</v>
      </c>
      <c r="E14977"/>
      <c r="F14977"/>
      <c r="G14977"/>
      <c r="H14977"/>
      <c r="I14977" s="489"/>
      <c r="J14977" s="1362"/>
      <c r="K14977" s="1362"/>
      <c r="L14977" s="1362"/>
    </row>
    <row r="14978" spans="1:12" x14ac:dyDescent="0.25">
      <c r="A14978">
        <v>98688</v>
      </c>
      <c r="B14978" t="s">
        <v>4913</v>
      </c>
      <c r="C14978" t="s">
        <v>151</v>
      </c>
      <c r="D14978" s="254">
        <v>51.6</v>
      </c>
      <c r="E14978"/>
      <c r="F14978"/>
      <c r="G14978"/>
      <c r="H14978"/>
      <c r="I14978" s="489"/>
      <c r="J14978" s="1362"/>
      <c r="K14978" s="1362"/>
      <c r="L14978" s="1362"/>
    </row>
    <row r="14979" spans="1:12" x14ac:dyDescent="0.25">
      <c r="A14979">
        <v>98689</v>
      </c>
      <c r="B14979" t="s">
        <v>4914</v>
      </c>
      <c r="C14979" t="s">
        <v>151</v>
      </c>
      <c r="D14979" s="254">
        <v>109.32</v>
      </c>
      <c r="E14979"/>
      <c r="F14979"/>
      <c r="G14979"/>
      <c r="H14979"/>
      <c r="I14979" s="489"/>
      <c r="J14979" s="1362"/>
      <c r="K14979" s="1362"/>
      <c r="L14979" s="1362"/>
    </row>
    <row r="14980" spans="1:12" x14ac:dyDescent="0.25">
      <c r="A14980">
        <v>101090</v>
      </c>
      <c r="B14980" t="s">
        <v>4447</v>
      </c>
      <c r="C14980" t="s">
        <v>297</v>
      </c>
      <c r="D14980" s="254">
        <v>220.8</v>
      </c>
      <c r="E14980"/>
      <c r="F14980"/>
      <c r="G14980"/>
      <c r="H14980"/>
      <c r="I14980" s="489"/>
      <c r="J14980" s="1362"/>
      <c r="K14980" s="1362"/>
      <c r="L14980" s="1362"/>
    </row>
    <row r="14981" spans="1:12" x14ac:dyDescent="0.25">
      <c r="A14981">
        <v>101091</v>
      </c>
      <c r="B14981" t="s">
        <v>4448</v>
      </c>
      <c r="C14981" t="s">
        <v>297</v>
      </c>
      <c r="D14981" s="254">
        <v>139.1</v>
      </c>
      <c r="E14981"/>
      <c r="F14981"/>
      <c r="G14981"/>
      <c r="H14981"/>
      <c r="I14981" s="489"/>
      <c r="J14981" s="1362"/>
      <c r="K14981" s="1362"/>
      <c r="L14981" s="1362"/>
    </row>
    <row r="14982" spans="1:12" x14ac:dyDescent="0.25">
      <c r="A14982">
        <v>101725</v>
      </c>
      <c r="B14982" t="s">
        <v>4915</v>
      </c>
      <c r="C14982" t="s">
        <v>297</v>
      </c>
      <c r="D14982" s="254">
        <v>279.92</v>
      </c>
      <c r="E14982"/>
      <c r="F14982"/>
      <c r="G14982"/>
      <c r="H14982"/>
      <c r="I14982" s="489"/>
      <c r="J14982" s="1362"/>
      <c r="K14982" s="1362"/>
      <c r="L14982" s="1362"/>
    </row>
    <row r="14983" spans="1:12" x14ac:dyDescent="0.25">
      <c r="A14983">
        <v>101726</v>
      </c>
      <c r="B14983" t="s">
        <v>4916</v>
      </c>
      <c r="C14983" t="s">
        <v>297</v>
      </c>
      <c r="D14983" s="254">
        <v>182.43</v>
      </c>
      <c r="E14983"/>
      <c r="F14983"/>
      <c r="G14983"/>
      <c r="H14983"/>
      <c r="I14983" s="489"/>
      <c r="J14983" s="1362"/>
      <c r="K14983" s="1362"/>
      <c r="L14983" s="1362"/>
    </row>
    <row r="14984" spans="1:12" x14ac:dyDescent="0.25">
      <c r="A14984">
        <v>101731</v>
      </c>
      <c r="B14984" t="s">
        <v>4917</v>
      </c>
      <c r="C14984" t="s">
        <v>297</v>
      </c>
      <c r="D14984" s="254">
        <v>317.33</v>
      </c>
      <c r="E14984"/>
      <c r="F14984"/>
      <c r="G14984"/>
      <c r="H14984"/>
      <c r="I14984" s="489"/>
      <c r="J14984" s="1362"/>
      <c r="K14984" s="1362"/>
      <c r="L14984" s="1362"/>
    </row>
    <row r="14985" spans="1:12" x14ac:dyDescent="0.25">
      <c r="A14985">
        <v>101732</v>
      </c>
      <c r="B14985" t="s">
        <v>4918</v>
      </c>
      <c r="C14985" t="s">
        <v>297</v>
      </c>
      <c r="D14985" s="254">
        <v>99.45</v>
      </c>
      <c r="E14985"/>
      <c r="F14985"/>
      <c r="G14985"/>
      <c r="H14985"/>
      <c r="I14985" s="489"/>
      <c r="J14985" s="1362"/>
      <c r="K14985" s="1362"/>
      <c r="L14985" s="1362"/>
    </row>
    <row r="14986" spans="1:12" x14ac:dyDescent="0.25">
      <c r="A14986">
        <v>101094</v>
      </c>
      <c r="B14986" t="s">
        <v>19727</v>
      </c>
      <c r="C14986" t="s">
        <v>151</v>
      </c>
      <c r="D14986" s="254">
        <v>147.03</v>
      </c>
      <c r="E14986"/>
      <c r="F14986"/>
      <c r="G14986"/>
      <c r="H14986"/>
      <c r="I14986" s="489"/>
      <c r="J14986" s="1362"/>
      <c r="K14986" s="1362"/>
      <c r="L14986" s="1362"/>
    </row>
    <row r="14987" spans="1:12" x14ac:dyDescent="0.25">
      <c r="A14987">
        <v>101727</v>
      </c>
      <c r="B14987" t="s">
        <v>4919</v>
      </c>
      <c r="C14987" t="s">
        <v>297</v>
      </c>
      <c r="D14987" s="254">
        <v>169.73</v>
      </c>
      <c r="E14987"/>
      <c r="F14987"/>
      <c r="G14987"/>
      <c r="H14987"/>
      <c r="I14987" s="489"/>
      <c r="J14987" s="1362"/>
      <c r="K14987" s="1362"/>
      <c r="L14987" s="1362"/>
    </row>
    <row r="14988" spans="1:12" x14ac:dyDescent="0.25">
      <c r="A14988">
        <v>101733</v>
      </c>
      <c r="B14988" t="s">
        <v>4920</v>
      </c>
      <c r="C14988" t="s">
        <v>297</v>
      </c>
      <c r="D14988" s="254">
        <v>236.58</v>
      </c>
      <c r="E14988"/>
      <c r="F14988"/>
      <c r="G14988"/>
      <c r="H14988"/>
      <c r="I14988" s="489"/>
      <c r="J14988" s="1362"/>
      <c r="K14988" s="1362"/>
      <c r="L14988" s="1362"/>
    </row>
    <row r="14989" spans="1:12" x14ac:dyDescent="0.25">
      <c r="A14989">
        <v>101734</v>
      </c>
      <c r="B14989" t="s">
        <v>4921</v>
      </c>
      <c r="C14989" t="s">
        <v>297</v>
      </c>
      <c r="D14989" s="254">
        <v>355.64</v>
      </c>
      <c r="E14989"/>
      <c r="F14989"/>
      <c r="G14989"/>
      <c r="H14989"/>
      <c r="I14989" s="489"/>
      <c r="J14989" s="1362"/>
      <c r="K14989" s="1362"/>
      <c r="L14989" s="1362"/>
    </row>
    <row r="14990" spans="1:12" x14ac:dyDescent="0.25">
      <c r="A14990">
        <v>101735</v>
      </c>
      <c r="B14990" t="s">
        <v>4922</v>
      </c>
      <c r="C14990" t="s">
        <v>297</v>
      </c>
      <c r="D14990" s="254">
        <v>364.26</v>
      </c>
      <c r="E14990"/>
      <c r="F14990"/>
      <c r="G14990"/>
      <c r="H14990"/>
      <c r="I14990" s="489"/>
      <c r="J14990" s="1362"/>
      <c r="K14990" s="1362"/>
      <c r="L14990" s="1362"/>
    </row>
    <row r="14991" spans="1:12" x14ac:dyDescent="0.25">
      <c r="A14991">
        <v>101736</v>
      </c>
      <c r="B14991" t="s">
        <v>4923</v>
      </c>
      <c r="C14991" t="s">
        <v>297</v>
      </c>
      <c r="D14991" s="254">
        <v>90.49</v>
      </c>
      <c r="E14991"/>
      <c r="F14991"/>
      <c r="G14991"/>
      <c r="H14991"/>
      <c r="I14991" s="489"/>
      <c r="J14991" s="1362"/>
      <c r="K14991" s="1362"/>
      <c r="L14991" s="1362"/>
    </row>
    <row r="14992" spans="1:12" x14ac:dyDescent="0.25">
      <c r="A14992">
        <v>101737</v>
      </c>
      <c r="B14992" t="s">
        <v>4924</v>
      </c>
      <c r="C14992" t="s">
        <v>297</v>
      </c>
      <c r="D14992" s="254">
        <v>107.58</v>
      </c>
      <c r="E14992"/>
      <c r="F14992"/>
      <c r="G14992"/>
      <c r="H14992"/>
      <c r="I14992" s="489"/>
      <c r="J14992" s="1362"/>
      <c r="K14992" s="1362"/>
      <c r="L14992" s="1362"/>
    </row>
    <row r="14993" spans="1:12" x14ac:dyDescent="0.25">
      <c r="A14993">
        <v>101748</v>
      </c>
      <c r="B14993" t="s">
        <v>4925</v>
      </c>
      <c r="C14993" t="s">
        <v>297</v>
      </c>
      <c r="D14993" s="254">
        <v>3.78</v>
      </c>
      <c r="E14993"/>
      <c r="F14993"/>
      <c r="G14993"/>
      <c r="H14993"/>
      <c r="I14993" s="489"/>
      <c r="J14993" s="1362"/>
      <c r="K14993" s="1362"/>
      <c r="L14993" s="1362"/>
    </row>
    <row r="14994" spans="1:12" x14ac:dyDescent="0.25">
      <c r="A14994">
        <v>104162</v>
      </c>
      <c r="B14994" t="s">
        <v>19728</v>
      </c>
      <c r="C14994" t="s">
        <v>297</v>
      </c>
      <c r="D14994" s="254">
        <v>93.74</v>
      </c>
      <c r="E14994"/>
      <c r="F14994"/>
      <c r="G14994"/>
      <c r="H14994"/>
      <c r="I14994" s="489"/>
      <c r="J14994" s="1362"/>
      <c r="K14994" s="1362"/>
      <c r="L14994" s="1362"/>
    </row>
    <row r="14995" spans="1:12" x14ac:dyDescent="0.25">
      <c r="A14995">
        <v>101092</v>
      </c>
      <c r="B14995" t="s">
        <v>4449</v>
      </c>
      <c r="C14995" t="s">
        <v>297</v>
      </c>
      <c r="D14995" s="254">
        <v>433.88</v>
      </c>
      <c r="E14995"/>
      <c r="F14995"/>
      <c r="G14995"/>
      <c r="H14995"/>
      <c r="I14995" s="489"/>
      <c r="J14995" s="1362"/>
      <c r="K14995" s="1362"/>
      <c r="L14995" s="1362"/>
    </row>
    <row r="14996" spans="1:12" x14ac:dyDescent="0.25">
      <c r="A14996">
        <v>101093</v>
      </c>
      <c r="B14996" t="s">
        <v>4450</v>
      </c>
      <c r="C14996" t="s">
        <v>297</v>
      </c>
      <c r="D14996" s="254">
        <v>617.19000000000005</v>
      </c>
      <c r="E14996"/>
      <c r="F14996"/>
      <c r="G14996"/>
      <c r="H14996"/>
      <c r="I14996" s="489"/>
      <c r="J14996" s="1362"/>
      <c r="K14996" s="1362"/>
      <c r="L14996" s="1362"/>
    </row>
    <row r="14997" spans="1:12" x14ac:dyDescent="0.25">
      <c r="A14997">
        <v>98695</v>
      </c>
      <c r="B14997" t="s">
        <v>4926</v>
      </c>
      <c r="C14997" t="s">
        <v>151</v>
      </c>
      <c r="D14997" s="254">
        <v>105.23</v>
      </c>
      <c r="E14997"/>
      <c r="F14997"/>
      <c r="G14997"/>
      <c r="H14997"/>
      <c r="I14997" s="489"/>
      <c r="J14997" s="1362"/>
      <c r="K14997" s="1362"/>
      <c r="L14997" s="1362"/>
    </row>
    <row r="14998" spans="1:12" x14ac:dyDescent="0.25">
      <c r="A14998">
        <v>98697</v>
      </c>
      <c r="B14998" t="s">
        <v>4927</v>
      </c>
      <c r="C14998" t="s">
        <v>151</v>
      </c>
      <c r="D14998" s="254">
        <v>70.31</v>
      </c>
      <c r="E14998"/>
      <c r="F14998"/>
      <c r="G14998"/>
      <c r="H14998"/>
      <c r="I14998" s="489"/>
      <c r="J14998" s="1362"/>
      <c r="K14998" s="1362"/>
      <c r="L14998" s="1362"/>
    </row>
    <row r="14999" spans="1:12" x14ac:dyDescent="0.25">
      <c r="A14999">
        <v>101738</v>
      </c>
      <c r="B14999" t="s">
        <v>4928</v>
      </c>
      <c r="C14999" t="s">
        <v>151</v>
      </c>
      <c r="D14999" s="254">
        <v>25.64</v>
      </c>
      <c r="E14999"/>
      <c r="F14999"/>
      <c r="G14999"/>
      <c r="H14999"/>
      <c r="I14999" s="489"/>
      <c r="J14999" s="1362"/>
      <c r="K14999" s="1362"/>
      <c r="L14999" s="1362"/>
    </row>
    <row r="15000" spans="1:12" x14ac:dyDescent="0.25">
      <c r="A15000">
        <v>101739</v>
      </c>
      <c r="B15000" t="s">
        <v>4929</v>
      </c>
      <c r="C15000" t="s">
        <v>151</v>
      </c>
      <c r="D15000" s="254">
        <v>28.59</v>
      </c>
      <c r="E15000"/>
      <c r="F15000"/>
      <c r="G15000"/>
      <c r="H15000"/>
      <c r="I15000" s="489"/>
      <c r="J15000" s="1362"/>
      <c r="K15000" s="1362"/>
      <c r="L15000" s="1362"/>
    </row>
    <row r="15001" spans="1:12" x14ac:dyDescent="0.25">
      <c r="A15001">
        <v>88648</v>
      </c>
      <c r="B15001" t="s">
        <v>2092</v>
      </c>
      <c r="C15001" t="s">
        <v>151</v>
      </c>
      <c r="D15001" s="254">
        <v>6.73</v>
      </c>
      <c r="E15001"/>
      <c r="F15001"/>
      <c r="G15001"/>
      <c r="H15001"/>
      <c r="I15001" s="489"/>
      <c r="J15001" s="1362"/>
      <c r="K15001" s="1362"/>
      <c r="L15001" s="1362"/>
    </row>
    <row r="15002" spans="1:12" x14ac:dyDescent="0.25">
      <c r="A15002">
        <v>88649</v>
      </c>
      <c r="B15002" t="s">
        <v>2093</v>
      </c>
      <c r="C15002" t="s">
        <v>151</v>
      </c>
      <c r="D15002" s="254">
        <v>7.58</v>
      </c>
      <c r="E15002"/>
      <c r="F15002"/>
      <c r="G15002"/>
      <c r="H15002"/>
      <c r="I15002" s="489"/>
      <c r="J15002" s="1362"/>
      <c r="K15002" s="1362"/>
      <c r="L15002" s="1362"/>
    </row>
    <row r="15003" spans="1:12" x14ac:dyDescent="0.25">
      <c r="A15003">
        <v>88650</v>
      </c>
      <c r="B15003" t="s">
        <v>2094</v>
      </c>
      <c r="C15003" t="s">
        <v>151</v>
      </c>
      <c r="D15003" s="254">
        <v>14.2</v>
      </c>
      <c r="E15003"/>
      <c r="F15003"/>
      <c r="G15003"/>
      <c r="H15003"/>
      <c r="I15003" s="489"/>
      <c r="J15003" s="1362"/>
      <c r="K15003" s="1362"/>
      <c r="L15003" s="1362"/>
    </row>
    <row r="15004" spans="1:12" x14ac:dyDescent="0.25">
      <c r="A15004">
        <v>96467</v>
      </c>
      <c r="B15004" t="s">
        <v>2095</v>
      </c>
      <c r="C15004" t="s">
        <v>151</v>
      </c>
      <c r="D15004" s="254">
        <v>6.16</v>
      </c>
      <c r="E15004"/>
      <c r="F15004"/>
      <c r="G15004"/>
      <c r="H15004"/>
      <c r="I15004" s="489"/>
      <c r="J15004" s="1362"/>
      <c r="K15004" s="1362"/>
      <c r="L15004" s="1362"/>
    </row>
    <row r="15005" spans="1:12" x14ac:dyDescent="0.25">
      <c r="A15005">
        <v>101740</v>
      </c>
      <c r="B15005" t="s">
        <v>4930</v>
      </c>
      <c r="C15005" t="s">
        <v>151</v>
      </c>
      <c r="D15005" s="254">
        <v>50.65</v>
      </c>
      <c r="E15005"/>
      <c r="F15005"/>
      <c r="G15005"/>
      <c r="H15005"/>
      <c r="I15005" s="489"/>
      <c r="J15005" s="1362"/>
      <c r="K15005" s="1362"/>
      <c r="L15005" s="1362"/>
    </row>
    <row r="15006" spans="1:12" x14ac:dyDescent="0.25">
      <c r="A15006">
        <v>101741</v>
      </c>
      <c r="B15006" t="s">
        <v>4931</v>
      </c>
      <c r="C15006" t="s">
        <v>151</v>
      </c>
      <c r="D15006" s="254">
        <v>25.57</v>
      </c>
      <c r="E15006"/>
      <c r="F15006"/>
      <c r="G15006"/>
      <c r="H15006"/>
      <c r="I15006" s="489"/>
      <c r="J15006" s="1362"/>
      <c r="K15006" s="1362"/>
      <c r="L15006" s="1362"/>
    </row>
    <row r="15007" spans="1:12" x14ac:dyDescent="0.25">
      <c r="A15007">
        <v>94990</v>
      </c>
      <c r="B15007" t="s">
        <v>19729</v>
      </c>
      <c r="C15007" t="s">
        <v>1159</v>
      </c>
      <c r="D15007" s="254">
        <v>803.21</v>
      </c>
      <c r="E15007"/>
      <c r="F15007"/>
      <c r="G15007"/>
      <c r="H15007"/>
      <c r="I15007" s="489"/>
      <c r="J15007" s="1362"/>
      <c r="K15007" s="1362"/>
      <c r="L15007" s="1362"/>
    </row>
    <row r="15008" spans="1:12" x14ac:dyDescent="0.25">
      <c r="A15008">
        <v>94991</v>
      </c>
      <c r="B15008" t="s">
        <v>19730</v>
      </c>
      <c r="C15008" t="s">
        <v>1159</v>
      </c>
      <c r="D15008" s="254">
        <v>704.13</v>
      </c>
      <c r="E15008"/>
      <c r="F15008"/>
      <c r="G15008"/>
      <c r="H15008"/>
      <c r="I15008" s="489"/>
      <c r="J15008" s="1362"/>
      <c r="K15008" s="1362"/>
      <c r="L15008" s="1362"/>
    </row>
    <row r="15009" spans="1:12" x14ac:dyDescent="0.25">
      <c r="A15009">
        <v>94992</v>
      </c>
      <c r="B15009" t="s">
        <v>19731</v>
      </c>
      <c r="C15009" t="s">
        <v>297</v>
      </c>
      <c r="D15009" s="254">
        <v>88.87</v>
      </c>
      <c r="E15009"/>
      <c r="F15009"/>
      <c r="G15009"/>
      <c r="H15009"/>
      <c r="I15009" s="489"/>
      <c r="J15009" s="1362"/>
      <c r="K15009" s="1362"/>
      <c r="L15009" s="1362"/>
    </row>
    <row r="15010" spans="1:12" x14ac:dyDescent="0.25">
      <c r="A15010">
        <v>94993</v>
      </c>
      <c r="B15010" t="s">
        <v>19732</v>
      </c>
      <c r="C15010" t="s">
        <v>297</v>
      </c>
      <c r="D15010" s="254">
        <v>82.93</v>
      </c>
      <c r="E15010"/>
      <c r="F15010"/>
      <c r="G15010"/>
      <c r="H15010"/>
      <c r="I15010" s="489"/>
      <c r="J15010" s="1362"/>
      <c r="K15010" s="1362"/>
      <c r="L15010" s="1362"/>
    </row>
    <row r="15011" spans="1:12" x14ac:dyDescent="0.25">
      <c r="A15011">
        <v>94994</v>
      </c>
      <c r="B15011" t="s">
        <v>19733</v>
      </c>
      <c r="C15011" t="s">
        <v>297</v>
      </c>
      <c r="D15011" s="254">
        <v>105.3</v>
      </c>
      <c r="E15011"/>
      <c r="F15011"/>
      <c r="G15011"/>
      <c r="H15011"/>
      <c r="I15011" s="489"/>
      <c r="J15011" s="1362"/>
      <c r="K15011" s="1362"/>
      <c r="L15011" s="1362"/>
    </row>
    <row r="15012" spans="1:12" x14ac:dyDescent="0.25">
      <c r="A15012">
        <v>94995</v>
      </c>
      <c r="B15012" t="s">
        <v>19734</v>
      </c>
      <c r="C15012" t="s">
        <v>297</v>
      </c>
      <c r="D15012" s="254">
        <v>97.39</v>
      </c>
      <c r="E15012"/>
      <c r="F15012"/>
      <c r="G15012"/>
      <c r="H15012"/>
      <c r="I15012" s="489"/>
      <c r="J15012" s="1362"/>
      <c r="K15012" s="1362"/>
      <c r="L15012" s="1362"/>
    </row>
    <row r="15013" spans="1:12" x14ac:dyDescent="0.25">
      <c r="A15013">
        <v>101747</v>
      </c>
      <c r="B15013" t="s">
        <v>4932</v>
      </c>
      <c r="C15013" t="s">
        <v>297</v>
      </c>
      <c r="D15013" s="254">
        <v>75.84</v>
      </c>
      <c r="E15013"/>
      <c r="F15013"/>
      <c r="G15013"/>
      <c r="H15013"/>
      <c r="I15013" s="489"/>
      <c r="J15013" s="1362"/>
      <c r="K15013" s="1362"/>
      <c r="L15013" s="1362"/>
    </row>
    <row r="15014" spans="1:12" x14ac:dyDescent="0.25">
      <c r="A15014">
        <v>87620</v>
      </c>
      <c r="B15014" t="s">
        <v>6626</v>
      </c>
      <c r="C15014" t="s">
        <v>297</v>
      </c>
      <c r="D15014" s="254">
        <v>32.369999999999997</v>
      </c>
      <c r="E15014"/>
      <c r="F15014"/>
      <c r="G15014"/>
      <c r="H15014"/>
      <c r="I15014" s="489"/>
      <c r="J15014" s="1362"/>
      <c r="K15014" s="1362"/>
      <c r="L15014" s="1362"/>
    </row>
    <row r="15015" spans="1:12" x14ac:dyDescent="0.25">
      <c r="A15015">
        <v>87622</v>
      </c>
      <c r="B15015" t="s">
        <v>6627</v>
      </c>
      <c r="C15015" t="s">
        <v>297</v>
      </c>
      <c r="D15015" s="254">
        <v>36.119999999999997</v>
      </c>
      <c r="E15015"/>
      <c r="F15015"/>
      <c r="G15015"/>
      <c r="H15015"/>
      <c r="I15015" s="489"/>
      <c r="J15015" s="1362"/>
      <c r="K15015" s="1362"/>
      <c r="L15015" s="1362"/>
    </row>
    <row r="15016" spans="1:12" x14ac:dyDescent="0.25">
      <c r="A15016">
        <v>87623</v>
      </c>
      <c r="B15016" t="s">
        <v>6628</v>
      </c>
      <c r="C15016" t="s">
        <v>297</v>
      </c>
      <c r="D15016" s="254">
        <v>58.54</v>
      </c>
      <c r="E15016"/>
      <c r="F15016"/>
      <c r="G15016"/>
      <c r="H15016"/>
      <c r="I15016" s="489"/>
      <c r="J15016" s="1362"/>
      <c r="K15016" s="1362"/>
      <c r="L15016" s="1362"/>
    </row>
    <row r="15017" spans="1:12" x14ac:dyDescent="0.25">
      <c r="A15017">
        <v>87624</v>
      </c>
      <c r="B15017" t="s">
        <v>6628</v>
      </c>
      <c r="C15017" t="s">
        <v>297</v>
      </c>
      <c r="D15017" s="254">
        <v>65.16</v>
      </c>
      <c r="E15017"/>
      <c r="F15017"/>
      <c r="G15017"/>
      <c r="H15017"/>
      <c r="I15017" s="489"/>
      <c r="J15017" s="1362"/>
      <c r="K15017" s="1362"/>
      <c r="L15017" s="1362"/>
    </row>
    <row r="15018" spans="1:12" x14ac:dyDescent="0.25">
      <c r="A15018">
        <v>87630</v>
      </c>
      <c r="B15018" t="s">
        <v>6629</v>
      </c>
      <c r="C15018" t="s">
        <v>297</v>
      </c>
      <c r="D15018" s="254">
        <v>41.6</v>
      </c>
      <c r="E15018"/>
      <c r="F15018"/>
      <c r="G15018"/>
      <c r="H15018"/>
      <c r="I15018" s="489"/>
      <c r="J15018" s="1362"/>
      <c r="K15018" s="1362"/>
      <c r="L15018" s="1362"/>
    </row>
    <row r="15019" spans="1:12" x14ac:dyDescent="0.25">
      <c r="A15019">
        <v>87632</v>
      </c>
      <c r="B15019" t="s">
        <v>6630</v>
      </c>
      <c r="C15019" t="s">
        <v>297</v>
      </c>
      <c r="D15019" s="254">
        <v>46.81</v>
      </c>
      <c r="E15019"/>
      <c r="F15019"/>
      <c r="G15019"/>
      <c r="H15019"/>
      <c r="I15019" s="489"/>
      <c r="J15019" s="1362"/>
      <c r="K15019" s="1362"/>
      <c r="L15019" s="1362"/>
    </row>
    <row r="15020" spans="1:12" x14ac:dyDescent="0.25">
      <c r="A15020">
        <v>87633</v>
      </c>
      <c r="B15020" t="s">
        <v>6631</v>
      </c>
      <c r="C15020" t="s">
        <v>297</v>
      </c>
      <c r="D15020" s="254">
        <v>77.98</v>
      </c>
      <c r="E15020"/>
      <c r="F15020"/>
      <c r="G15020"/>
      <c r="H15020"/>
      <c r="I15020" s="489"/>
      <c r="J15020" s="1362"/>
      <c r="K15020" s="1362"/>
      <c r="L15020" s="1362"/>
    </row>
    <row r="15021" spans="1:12" x14ac:dyDescent="0.25">
      <c r="A15021">
        <v>87634</v>
      </c>
      <c r="B15021" t="s">
        <v>6632</v>
      </c>
      <c r="C15021" t="s">
        <v>297</v>
      </c>
      <c r="D15021" s="254">
        <v>87.17</v>
      </c>
      <c r="E15021"/>
      <c r="F15021"/>
      <c r="G15021"/>
      <c r="H15021"/>
      <c r="I15021" s="489"/>
      <c r="J15021" s="1362"/>
      <c r="K15021" s="1362"/>
      <c r="L15021" s="1362"/>
    </row>
    <row r="15022" spans="1:12" x14ac:dyDescent="0.25">
      <c r="A15022">
        <v>87640</v>
      </c>
      <c r="B15022" t="s">
        <v>6633</v>
      </c>
      <c r="C15022" t="s">
        <v>297</v>
      </c>
      <c r="D15022" s="254">
        <v>49.16</v>
      </c>
      <c r="E15022"/>
      <c r="F15022"/>
      <c r="G15022"/>
      <c r="H15022"/>
      <c r="I15022" s="489"/>
      <c r="J15022" s="1362"/>
      <c r="K15022" s="1362"/>
      <c r="L15022" s="1362"/>
    </row>
    <row r="15023" spans="1:12" x14ac:dyDescent="0.25">
      <c r="A15023">
        <v>87642</v>
      </c>
      <c r="B15023" t="s">
        <v>6634</v>
      </c>
      <c r="C15023" t="s">
        <v>297</v>
      </c>
      <c r="D15023" s="254">
        <v>55.57</v>
      </c>
      <c r="E15023"/>
      <c r="F15023"/>
      <c r="G15023"/>
      <c r="H15023"/>
      <c r="I15023" s="489"/>
      <c r="J15023" s="1362"/>
      <c r="K15023" s="1362"/>
      <c r="L15023" s="1362"/>
    </row>
    <row r="15024" spans="1:12" x14ac:dyDescent="0.25">
      <c r="A15024">
        <v>87643</v>
      </c>
      <c r="B15024" t="s">
        <v>6635</v>
      </c>
      <c r="C15024" t="s">
        <v>297</v>
      </c>
      <c r="D15024" s="254">
        <v>93.89</v>
      </c>
      <c r="E15024"/>
      <c r="F15024"/>
      <c r="G15024"/>
      <c r="H15024"/>
      <c r="I15024" s="489"/>
      <c r="J15024" s="1362"/>
      <c r="K15024" s="1362"/>
      <c r="L15024" s="1362"/>
    </row>
    <row r="15025" spans="1:12" x14ac:dyDescent="0.25">
      <c r="A15025">
        <v>87644</v>
      </c>
      <c r="B15025" t="s">
        <v>6636</v>
      </c>
      <c r="C15025" t="s">
        <v>297</v>
      </c>
      <c r="D15025" s="254">
        <v>105.2</v>
      </c>
      <c r="E15025"/>
      <c r="F15025"/>
      <c r="G15025"/>
      <c r="H15025"/>
      <c r="I15025" s="489"/>
      <c r="J15025" s="1362"/>
      <c r="K15025" s="1362"/>
      <c r="L15025" s="1362"/>
    </row>
    <row r="15026" spans="1:12" x14ac:dyDescent="0.25">
      <c r="A15026">
        <v>87680</v>
      </c>
      <c r="B15026" t="s">
        <v>6637</v>
      </c>
      <c r="C15026" t="s">
        <v>297</v>
      </c>
      <c r="D15026" s="254">
        <v>44.91</v>
      </c>
      <c r="E15026"/>
      <c r="F15026"/>
      <c r="G15026"/>
      <c r="H15026"/>
      <c r="I15026" s="489"/>
      <c r="J15026" s="1362"/>
      <c r="K15026" s="1362"/>
      <c r="L15026" s="1362"/>
    </row>
    <row r="15027" spans="1:12" x14ac:dyDescent="0.25">
      <c r="A15027">
        <v>87682</v>
      </c>
      <c r="B15027" t="s">
        <v>6638</v>
      </c>
      <c r="C15027" t="s">
        <v>297</v>
      </c>
      <c r="D15027" s="254">
        <v>51.32</v>
      </c>
      <c r="E15027"/>
      <c r="F15027"/>
      <c r="G15027"/>
      <c r="H15027"/>
      <c r="I15027" s="489"/>
      <c r="J15027" s="1362"/>
      <c r="K15027" s="1362"/>
      <c r="L15027" s="1362"/>
    </row>
    <row r="15028" spans="1:12" x14ac:dyDescent="0.25">
      <c r="A15028">
        <v>87683</v>
      </c>
      <c r="B15028" t="s">
        <v>6639</v>
      </c>
      <c r="C15028" t="s">
        <v>297</v>
      </c>
      <c r="D15028" s="254">
        <v>89.64</v>
      </c>
      <c r="E15028"/>
      <c r="F15028"/>
      <c r="G15028"/>
      <c r="H15028"/>
      <c r="I15028" s="489"/>
      <c r="J15028" s="1362"/>
      <c r="K15028" s="1362"/>
      <c r="L15028" s="1362"/>
    </row>
    <row r="15029" spans="1:12" x14ac:dyDescent="0.25">
      <c r="A15029">
        <v>87684</v>
      </c>
      <c r="B15029" t="s">
        <v>6640</v>
      </c>
      <c r="C15029" t="s">
        <v>297</v>
      </c>
      <c r="D15029" s="254">
        <v>100.95</v>
      </c>
      <c r="E15029"/>
      <c r="F15029"/>
      <c r="G15029"/>
      <c r="H15029"/>
      <c r="I15029" s="489"/>
      <c r="J15029" s="1362"/>
      <c r="K15029" s="1362"/>
      <c r="L15029" s="1362"/>
    </row>
    <row r="15030" spans="1:12" x14ac:dyDescent="0.25">
      <c r="A15030">
        <v>87690</v>
      </c>
      <c r="B15030" t="s">
        <v>6641</v>
      </c>
      <c r="C15030" t="s">
        <v>297</v>
      </c>
      <c r="D15030" s="254">
        <v>51.46</v>
      </c>
      <c r="E15030"/>
      <c r="F15030"/>
      <c r="G15030"/>
      <c r="H15030"/>
      <c r="I15030" s="489"/>
      <c r="J15030" s="1362"/>
      <c r="K15030" s="1362"/>
      <c r="L15030" s="1362"/>
    </row>
    <row r="15031" spans="1:12" x14ac:dyDescent="0.25">
      <c r="A15031">
        <v>87692</v>
      </c>
      <c r="B15031" t="s">
        <v>6642</v>
      </c>
      <c r="C15031" t="s">
        <v>297</v>
      </c>
      <c r="D15031" s="254">
        <v>58.8</v>
      </c>
      <c r="E15031"/>
      <c r="F15031"/>
      <c r="G15031"/>
      <c r="H15031"/>
      <c r="I15031" s="489"/>
      <c r="J15031" s="1362"/>
      <c r="K15031" s="1362"/>
      <c r="L15031" s="1362"/>
    </row>
    <row r="15032" spans="1:12" x14ac:dyDescent="0.25">
      <c r="A15032">
        <v>87693</v>
      </c>
      <c r="B15032" t="s">
        <v>6643</v>
      </c>
      <c r="C15032" t="s">
        <v>297</v>
      </c>
      <c r="D15032" s="254">
        <v>102.7</v>
      </c>
      <c r="E15032"/>
      <c r="F15032"/>
      <c r="G15032"/>
      <c r="H15032"/>
      <c r="I15032" s="489"/>
      <c r="J15032" s="1362"/>
      <c r="K15032" s="1362"/>
      <c r="L15032" s="1362"/>
    </row>
    <row r="15033" spans="1:12" x14ac:dyDescent="0.25">
      <c r="A15033">
        <v>87694</v>
      </c>
      <c r="B15033" t="s">
        <v>6644</v>
      </c>
      <c r="C15033" t="s">
        <v>297</v>
      </c>
      <c r="D15033" s="254">
        <v>115.65</v>
      </c>
      <c r="E15033"/>
      <c r="F15033"/>
      <c r="G15033"/>
      <c r="H15033"/>
      <c r="I15033" s="489"/>
      <c r="J15033" s="1362"/>
      <c r="K15033" s="1362"/>
      <c r="L15033" s="1362"/>
    </row>
    <row r="15034" spans="1:12" x14ac:dyDescent="0.25">
      <c r="A15034">
        <v>87700</v>
      </c>
      <c r="B15034" t="s">
        <v>6645</v>
      </c>
      <c r="C15034" t="s">
        <v>297</v>
      </c>
      <c r="D15034" s="254">
        <v>55.59</v>
      </c>
      <c r="E15034"/>
      <c r="F15034"/>
      <c r="G15034"/>
      <c r="H15034"/>
      <c r="I15034" s="489"/>
      <c r="J15034" s="1362"/>
      <c r="K15034" s="1362"/>
      <c r="L15034" s="1362"/>
    </row>
    <row r="15035" spans="1:12" x14ac:dyDescent="0.25">
      <c r="A15035">
        <v>87702</v>
      </c>
      <c r="B15035" t="s">
        <v>6646</v>
      </c>
      <c r="C15035" t="s">
        <v>297</v>
      </c>
      <c r="D15035" s="254">
        <v>63.58</v>
      </c>
      <c r="E15035"/>
      <c r="F15035"/>
      <c r="G15035"/>
      <c r="H15035"/>
      <c r="I15035" s="489"/>
      <c r="J15035" s="1362"/>
      <c r="K15035" s="1362"/>
      <c r="L15035" s="1362"/>
    </row>
    <row r="15036" spans="1:12" x14ac:dyDescent="0.25">
      <c r="A15036">
        <v>87703</v>
      </c>
      <c r="B15036" t="s">
        <v>6647</v>
      </c>
      <c r="C15036" t="s">
        <v>297</v>
      </c>
      <c r="D15036" s="254">
        <v>111.38</v>
      </c>
      <c r="E15036"/>
      <c r="F15036"/>
      <c r="G15036"/>
      <c r="H15036"/>
      <c r="I15036" s="489"/>
      <c r="J15036" s="1362"/>
      <c r="K15036" s="1362"/>
      <c r="L15036" s="1362"/>
    </row>
    <row r="15037" spans="1:12" x14ac:dyDescent="0.25">
      <c r="A15037">
        <v>87704</v>
      </c>
      <c r="B15037" t="s">
        <v>6648</v>
      </c>
      <c r="C15037" t="s">
        <v>297</v>
      </c>
      <c r="D15037" s="254">
        <v>125.48</v>
      </c>
      <c r="E15037"/>
      <c r="F15037"/>
      <c r="G15037"/>
      <c r="H15037"/>
      <c r="I15037" s="489"/>
      <c r="J15037" s="1362"/>
      <c r="K15037" s="1362"/>
      <c r="L15037" s="1362"/>
    </row>
    <row r="15038" spans="1:12" x14ac:dyDescent="0.25">
      <c r="A15038">
        <v>87735</v>
      </c>
      <c r="B15038" t="s">
        <v>6649</v>
      </c>
      <c r="C15038" t="s">
        <v>297</v>
      </c>
      <c r="D15038" s="254">
        <v>45.25</v>
      </c>
      <c r="E15038"/>
      <c r="F15038"/>
      <c r="G15038"/>
      <c r="H15038"/>
      <c r="I15038" s="489"/>
      <c r="J15038" s="1362"/>
      <c r="K15038" s="1362"/>
      <c r="L15038" s="1362"/>
    </row>
    <row r="15039" spans="1:12" x14ac:dyDescent="0.25">
      <c r="A15039">
        <v>87737</v>
      </c>
      <c r="B15039" t="s">
        <v>6650</v>
      </c>
      <c r="C15039" t="s">
        <v>297</v>
      </c>
      <c r="D15039" s="254">
        <v>49</v>
      </c>
      <c r="E15039"/>
      <c r="F15039"/>
      <c r="G15039"/>
      <c r="H15039"/>
      <c r="I15039" s="489"/>
      <c r="J15039" s="1362"/>
      <c r="K15039" s="1362"/>
      <c r="L15039" s="1362"/>
    </row>
    <row r="15040" spans="1:12" x14ac:dyDescent="0.25">
      <c r="A15040">
        <v>87738</v>
      </c>
      <c r="B15040" t="s">
        <v>6651</v>
      </c>
      <c r="C15040" t="s">
        <v>297</v>
      </c>
      <c r="D15040" s="254">
        <v>71.42</v>
      </c>
      <c r="E15040"/>
      <c r="F15040"/>
      <c r="G15040"/>
      <c r="H15040"/>
      <c r="I15040" s="489"/>
      <c r="J15040" s="1362"/>
      <c r="K15040" s="1362"/>
      <c r="L15040" s="1362"/>
    </row>
    <row r="15041" spans="1:12" x14ac:dyDescent="0.25">
      <c r="A15041">
        <v>87739</v>
      </c>
      <c r="B15041" t="s">
        <v>6652</v>
      </c>
      <c r="C15041" t="s">
        <v>297</v>
      </c>
      <c r="D15041" s="254">
        <v>78.040000000000006</v>
      </c>
      <c r="E15041"/>
      <c r="F15041"/>
      <c r="G15041"/>
      <c r="H15041"/>
      <c r="I15041" s="489"/>
      <c r="J15041" s="1362"/>
      <c r="K15041" s="1362"/>
      <c r="L15041" s="1362"/>
    </row>
    <row r="15042" spans="1:12" x14ac:dyDescent="0.25">
      <c r="A15042">
        <v>87745</v>
      </c>
      <c r="B15042" t="s">
        <v>6653</v>
      </c>
      <c r="C15042" t="s">
        <v>297</v>
      </c>
      <c r="D15042" s="254">
        <v>54.48</v>
      </c>
      <c r="E15042"/>
      <c r="F15042"/>
      <c r="G15042"/>
      <c r="H15042"/>
      <c r="I15042" s="489"/>
      <c r="J15042" s="1362"/>
      <c r="K15042" s="1362"/>
      <c r="L15042" s="1362"/>
    </row>
    <row r="15043" spans="1:12" x14ac:dyDescent="0.25">
      <c r="A15043">
        <v>87747</v>
      </c>
      <c r="B15043" t="s">
        <v>6654</v>
      </c>
      <c r="C15043" t="s">
        <v>297</v>
      </c>
      <c r="D15043" s="254">
        <v>59.69</v>
      </c>
      <c r="E15043"/>
      <c r="F15043"/>
      <c r="G15043"/>
      <c r="H15043"/>
      <c r="I15043" s="489"/>
      <c r="J15043" s="1362"/>
      <c r="K15043" s="1362"/>
      <c r="L15043" s="1362"/>
    </row>
    <row r="15044" spans="1:12" x14ac:dyDescent="0.25">
      <c r="A15044">
        <v>87748</v>
      </c>
      <c r="B15044" t="s">
        <v>6655</v>
      </c>
      <c r="C15044" t="s">
        <v>297</v>
      </c>
      <c r="D15044" s="254">
        <v>90.86</v>
      </c>
      <c r="E15044"/>
      <c r="F15044"/>
      <c r="G15044"/>
      <c r="H15044"/>
      <c r="I15044" s="489"/>
      <c r="J15044" s="1362"/>
      <c r="K15044" s="1362"/>
      <c r="L15044" s="1362"/>
    </row>
    <row r="15045" spans="1:12" x14ac:dyDescent="0.25">
      <c r="A15045">
        <v>87749</v>
      </c>
      <c r="B15045" t="s">
        <v>6656</v>
      </c>
      <c r="C15045" t="s">
        <v>297</v>
      </c>
      <c r="D15045" s="254">
        <v>100.05</v>
      </c>
      <c r="E15045"/>
      <c r="F15045"/>
      <c r="G15045"/>
      <c r="H15045"/>
      <c r="I15045" s="489"/>
      <c r="J15045" s="1362"/>
      <c r="K15045" s="1362"/>
      <c r="L15045" s="1362"/>
    </row>
    <row r="15046" spans="1:12" x14ac:dyDescent="0.25">
      <c r="A15046">
        <v>87755</v>
      </c>
      <c r="B15046" t="s">
        <v>6657</v>
      </c>
      <c r="C15046" t="s">
        <v>297</v>
      </c>
      <c r="D15046" s="254">
        <v>52.71</v>
      </c>
      <c r="E15046"/>
      <c r="F15046"/>
      <c r="G15046"/>
      <c r="H15046"/>
      <c r="I15046" s="489"/>
      <c r="J15046" s="1362"/>
      <c r="K15046" s="1362"/>
      <c r="L15046" s="1362"/>
    </row>
    <row r="15047" spans="1:12" x14ac:dyDescent="0.25">
      <c r="A15047">
        <v>87757</v>
      </c>
      <c r="B15047" t="s">
        <v>6658</v>
      </c>
      <c r="C15047" t="s">
        <v>297</v>
      </c>
      <c r="D15047" s="254">
        <v>57.92</v>
      </c>
      <c r="E15047"/>
      <c r="F15047"/>
      <c r="G15047"/>
      <c r="H15047"/>
      <c r="I15047" s="489"/>
      <c r="J15047" s="1362"/>
      <c r="K15047" s="1362"/>
      <c r="L15047" s="1362"/>
    </row>
    <row r="15048" spans="1:12" x14ac:dyDescent="0.25">
      <c r="A15048">
        <v>87758</v>
      </c>
      <c r="B15048" t="s">
        <v>6659</v>
      </c>
      <c r="C15048" t="s">
        <v>297</v>
      </c>
      <c r="D15048" s="254">
        <v>89.09</v>
      </c>
      <c r="E15048"/>
      <c r="F15048"/>
      <c r="G15048"/>
      <c r="H15048"/>
      <c r="I15048" s="489"/>
      <c r="J15048" s="1362"/>
      <c r="K15048" s="1362"/>
      <c r="L15048" s="1362"/>
    </row>
    <row r="15049" spans="1:12" x14ac:dyDescent="0.25">
      <c r="A15049">
        <v>87759</v>
      </c>
      <c r="B15049" t="s">
        <v>6660</v>
      </c>
      <c r="C15049" t="s">
        <v>297</v>
      </c>
      <c r="D15049" s="254">
        <v>98.28</v>
      </c>
      <c r="E15049"/>
      <c r="F15049"/>
      <c r="G15049"/>
      <c r="H15049"/>
      <c r="I15049" s="489"/>
      <c r="J15049" s="1362"/>
      <c r="K15049" s="1362"/>
      <c r="L15049" s="1362"/>
    </row>
    <row r="15050" spans="1:12" x14ac:dyDescent="0.25">
      <c r="A15050">
        <v>87765</v>
      </c>
      <c r="B15050" t="s">
        <v>6661</v>
      </c>
      <c r="C15050" t="s">
        <v>297</v>
      </c>
      <c r="D15050" s="254">
        <v>60.33</v>
      </c>
      <c r="E15050"/>
      <c r="F15050"/>
      <c r="G15050"/>
      <c r="H15050"/>
      <c r="I15050" s="489"/>
      <c r="J15050" s="1362"/>
      <c r="K15050" s="1362"/>
      <c r="L15050" s="1362"/>
    </row>
    <row r="15051" spans="1:12" x14ac:dyDescent="0.25">
      <c r="A15051">
        <v>87767</v>
      </c>
      <c r="B15051" t="s">
        <v>6662</v>
      </c>
      <c r="C15051" t="s">
        <v>297</v>
      </c>
      <c r="D15051" s="254">
        <v>66.739999999999995</v>
      </c>
      <c r="E15051"/>
      <c r="F15051"/>
      <c r="G15051"/>
      <c r="H15051"/>
      <c r="I15051" s="489"/>
      <c r="J15051" s="1362"/>
      <c r="K15051" s="1362"/>
      <c r="L15051" s="1362"/>
    </row>
    <row r="15052" spans="1:12" x14ac:dyDescent="0.25">
      <c r="A15052">
        <v>87768</v>
      </c>
      <c r="B15052" t="s">
        <v>6663</v>
      </c>
      <c r="C15052" t="s">
        <v>297</v>
      </c>
      <c r="D15052" s="254">
        <v>105.06</v>
      </c>
      <c r="E15052"/>
      <c r="F15052"/>
      <c r="G15052"/>
      <c r="H15052"/>
      <c r="I15052" s="489"/>
      <c r="J15052" s="1362"/>
      <c r="K15052" s="1362"/>
      <c r="L15052" s="1362"/>
    </row>
    <row r="15053" spans="1:12" x14ac:dyDescent="0.25">
      <c r="A15053">
        <v>87769</v>
      </c>
      <c r="B15053" t="s">
        <v>6664</v>
      </c>
      <c r="C15053" t="s">
        <v>297</v>
      </c>
      <c r="D15053" s="254">
        <v>116.37</v>
      </c>
      <c r="E15053"/>
      <c r="F15053"/>
      <c r="G15053"/>
      <c r="H15053"/>
      <c r="I15053" s="489"/>
      <c r="J15053" s="1362"/>
      <c r="K15053" s="1362"/>
      <c r="L15053" s="1362"/>
    </row>
    <row r="15054" spans="1:12" x14ac:dyDescent="0.25">
      <c r="A15054">
        <v>88470</v>
      </c>
      <c r="B15054" t="s">
        <v>6665</v>
      </c>
      <c r="C15054" t="s">
        <v>297</v>
      </c>
      <c r="D15054" s="254">
        <v>25.81</v>
      </c>
      <c r="E15054"/>
      <c r="F15054"/>
      <c r="G15054"/>
      <c r="H15054"/>
      <c r="I15054" s="489"/>
      <c r="J15054" s="1362"/>
      <c r="K15054" s="1362"/>
      <c r="L15054" s="1362"/>
    </row>
    <row r="15055" spans="1:12" x14ac:dyDescent="0.25">
      <c r="A15055">
        <v>88471</v>
      </c>
      <c r="B15055" t="s">
        <v>6666</v>
      </c>
      <c r="C15055" t="s">
        <v>297</v>
      </c>
      <c r="D15055" s="254">
        <v>32.340000000000003</v>
      </c>
      <c r="E15055"/>
      <c r="F15055"/>
      <c r="G15055"/>
      <c r="H15055"/>
      <c r="I15055" s="489"/>
      <c r="J15055" s="1362"/>
      <c r="K15055" s="1362"/>
      <c r="L15055" s="1362"/>
    </row>
    <row r="15056" spans="1:12" x14ac:dyDescent="0.25">
      <c r="A15056">
        <v>88472</v>
      </c>
      <c r="B15056" t="s">
        <v>6667</v>
      </c>
      <c r="C15056" t="s">
        <v>297</v>
      </c>
      <c r="D15056" s="254">
        <v>37.520000000000003</v>
      </c>
      <c r="E15056"/>
      <c r="F15056"/>
      <c r="G15056"/>
      <c r="H15056"/>
      <c r="I15056" s="489"/>
      <c r="J15056" s="1362"/>
      <c r="K15056" s="1362"/>
      <c r="L15056" s="1362"/>
    </row>
    <row r="15057" spans="1:12" x14ac:dyDescent="0.25">
      <c r="A15057">
        <v>88476</v>
      </c>
      <c r="B15057" t="s">
        <v>6668</v>
      </c>
      <c r="C15057" t="s">
        <v>297</v>
      </c>
      <c r="D15057" s="254">
        <v>21.23</v>
      </c>
      <c r="E15057"/>
      <c r="F15057"/>
      <c r="G15057"/>
      <c r="H15057"/>
      <c r="I15057" s="489"/>
      <c r="J15057" s="1362"/>
      <c r="K15057" s="1362"/>
      <c r="L15057" s="1362"/>
    </row>
    <row r="15058" spans="1:12" x14ac:dyDescent="0.25">
      <c r="A15058">
        <v>88477</v>
      </c>
      <c r="B15058" t="s">
        <v>6669</v>
      </c>
      <c r="C15058" t="s">
        <v>297</v>
      </c>
      <c r="D15058" s="254">
        <v>29.42</v>
      </c>
      <c r="E15058"/>
      <c r="F15058"/>
      <c r="G15058"/>
      <c r="H15058"/>
      <c r="I15058" s="489"/>
      <c r="J15058" s="1362"/>
      <c r="K15058" s="1362"/>
      <c r="L15058" s="1362"/>
    </row>
    <row r="15059" spans="1:12" x14ac:dyDescent="0.25">
      <c r="A15059">
        <v>88478</v>
      </c>
      <c r="B15059" t="s">
        <v>6670</v>
      </c>
      <c r="C15059" t="s">
        <v>297</v>
      </c>
      <c r="D15059" s="254">
        <v>36.19</v>
      </c>
      <c r="E15059"/>
      <c r="F15059"/>
      <c r="G15059"/>
      <c r="H15059"/>
      <c r="I15059" s="489"/>
      <c r="J15059" s="1362"/>
      <c r="K15059" s="1362"/>
      <c r="L15059" s="1362"/>
    </row>
    <row r="15060" spans="1:12" x14ac:dyDescent="0.25">
      <c r="A15060">
        <v>90930</v>
      </c>
      <c r="B15060" t="s">
        <v>6671</v>
      </c>
      <c r="C15060" t="s">
        <v>297</v>
      </c>
      <c r="D15060" s="254">
        <v>83.81</v>
      </c>
      <c r="E15060"/>
      <c r="F15060"/>
      <c r="G15060"/>
      <c r="H15060"/>
      <c r="I15060" s="489"/>
      <c r="J15060" s="1362"/>
      <c r="K15060" s="1362"/>
      <c r="L15060" s="1362"/>
    </row>
    <row r="15061" spans="1:12" x14ac:dyDescent="0.25">
      <c r="A15061">
        <v>90932</v>
      </c>
      <c r="B15061" t="s">
        <v>6672</v>
      </c>
      <c r="C15061" t="s">
        <v>297</v>
      </c>
      <c r="D15061" s="254">
        <v>91.15</v>
      </c>
      <c r="E15061"/>
      <c r="F15061"/>
      <c r="G15061"/>
      <c r="H15061"/>
      <c r="I15061" s="489"/>
      <c r="J15061" s="1362"/>
      <c r="K15061" s="1362"/>
      <c r="L15061" s="1362"/>
    </row>
    <row r="15062" spans="1:12" x14ac:dyDescent="0.25">
      <c r="A15062">
        <v>90933</v>
      </c>
      <c r="B15062" t="s">
        <v>6673</v>
      </c>
      <c r="C15062" t="s">
        <v>297</v>
      </c>
      <c r="D15062" s="254">
        <v>135.05000000000001</v>
      </c>
      <c r="E15062"/>
      <c r="F15062"/>
      <c r="G15062"/>
      <c r="H15062"/>
      <c r="I15062" s="489"/>
      <c r="J15062" s="1362"/>
      <c r="K15062" s="1362"/>
      <c r="L15062" s="1362"/>
    </row>
    <row r="15063" spans="1:12" x14ac:dyDescent="0.25">
      <c r="A15063">
        <v>90934</v>
      </c>
      <c r="B15063" t="s">
        <v>6674</v>
      </c>
      <c r="C15063" t="s">
        <v>297</v>
      </c>
      <c r="D15063" s="254">
        <v>148</v>
      </c>
      <c r="E15063"/>
      <c r="F15063"/>
      <c r="G15063"/>
      <c r="H15063"/>
      <c r="I15063" s="489"/>
      <c r="J15063" s="1362"/>
      <c r="K15063" s="1362"/>
      <c r="L15063" s="1362"/>
    </row>
    <row r="15064" spans="1:12" x14ac:dyDescent="0.25">
      <c r="A15064">
        <v>90940</v>
      </c>
      <c r="B15064" t="s">
        <v>6675</v>
      </c>
      <c r="C15064" t="s">
        <v>297</v>
      </c>
      <c r="D15064" s="254">
        <v>89.33</v>
      </c>
      <c r="E15064"/>
      <c r="F15064"/>
      <c r="G15064"/>
      <c r="H15064"/>
      <c r="I15064" s="489"/>
      <c r="J15064" s="1362"/>
      <c r="K15064" s="1362"/>
      <c r="L15064" s="1362"/>
    </row>
    <row r="15065" spans="1:12" x14ac:dyDescent="0.25">
      <c r="A15065">
        <v>90942</v>
      </c>
      <c r="B15065" t="s">
        <v>6676</v>
      </c>
      <c r="C15065" t="s">
        <v>297</v>
      </c>
      <c r="D15065" s="254">
        <v>97.32</v>
      </c>
      <c r="E15065"/>
      <c r="F15065"/>
      <c r="G15065"/>
      <c r="H15065"/>
      <c r="I15065" s="489"/>
      <c r="J15065" s="1362"/>
      <c r="K15065" s="1362"/>
      <c r="L15065" s="1362"/>
    </row>
    <row r="15066" spans="1:12" x14ac:dyDescent="0.25">
      <c r="A15066">
        <v>90943</v>
      </c>
      <c r="B15066" t="s">
        <v>6677</v>
      </c>
      <c r="C15066" t="s">
        <v>297</v>
      </c>
      <c r="D15066" s="254">
        <v>145.12</v>
      </c>
      <c r="E15066"/>
      <c r="F15066"/>
      <c r="G15066"/>
      <c r="H15066"/>
      <c r="I15066" s="489"/>
      <c r="J15066" s="1362"/>
      <c r="K15066" s="1362"/>
      <c r="L15066" s="1362"/>
    </row>
    <row r="15067" spans="1:12" x14ac:dyDescent="0.25">
      <c r="A15067">
        <v>90944</v>
      </c>
      <c r="B15067" t="s">
        <v>6678</v>
      </c>
      <c r="C15067" t="s">
        <v>297</v>
      </c>
      <c r="D15067" s="254">
        <v>159.22</v>
      </c>
      <c r="E15067"/>
      <c r="F15067"/>
      <c r="G15067"/>
      <c r="H15067"/>
      <c r="I15067" s="489"/>
      <c r="J15067" s="1362"/>
      <c r="K15067" s="1362"/>
      <c r="L15067" s="1362"/>
    </row>
    <row r="15068" spans="1:12" x14ac:dyDescent="0.25">
      <c r="A15068">
        <v>90950</v>
      </c>
      <c r="B15068" t="s">
        <v>6679</v>
      </c>
      <c r="C15068" t="s">
        <v>297</v>
      </c>
      <c r="D15068" s="254">
        <v>99.39</v>
      </c>
      <c r="E15068"/>
      <c r="F15068"/>
      <c r="G15068"/>
      <c r="H15068"/>
      <c r="I15068" s="489"/>
      <c r="J15068" s="1362"/>
      <c r="K15068" s="1362"/>
      <c r="L15068" s="1362"/>
    </row>
    <row r="15069" spans="1:12" x14ac:dyDescent="0.25">
      <c r="A15069">
        <v>90952</v>
      </c>
      <c r="B15069" t="s">
        <v>6680</v>
      </c>
      <c r="C15069" t="s">
        <v>297</v>
      </c>
      <c r="D15069" s="254">
        <v>108.58</v>
      </c>
      <c r="E15069"/>
      <c r="F15069"/>
      <c r="G15069"/>
      <c r="H15069"/>
      <c r="I15069" s="489"/>
      <c r="J15069" s="1362"/>
      <c r="K15069" s="1362"/>
      <c r="L15069" s="1362"/>
    </row>
    <row r="15070" spans="1:12" x14ac:dyDescent="0.25">
      <c r="A15070">
        <v>90953</v>
      </c>
      <c r="B15070" t="s">
        <v>6681</v>
      </c>
      <c r="C15070" t="s">
        <v>297</v>
      </c>
      <c r="D15070" s="254">
        <v>163.54</v>
      </c>
      <c r="E15070"/>
      <c r="F15070"/>
      <c r="G15070"/>
      <c r="H15070"/>
      <c r="I15070" s="489"/>
      <c r="J15070" s="1362"/>
      <c r="K15070" s="1362"/>
      <c r="L15070" s="1362"/>
    </row>
    <row r="15071" spans="1:12" x14ac:dyDescent="0.25">
      <c r="A15071">
        <v>90954</v>
      </c>
      <c r="B15071" t="s">
        <v>6682</v>
      </c>
      <c r="C15071" t="s">
        <v>297</v>
      </c>
      <c r="D15071" s="254">
        <v>179.75</v>
      </c>
      <c r="E15071"/>
      <c r="F15071"/>
      <c r="G15071"/>
      <c r="H15071"/>
      <c r="I15071" s="489"/>
      <c r="J15071" s="1362"/>
      <c r="K15071" s="1362"/>
      <c r="L15071" s="1362"/>
    </row>
    <row r="15072" spans="1:12" x14ac:dyDescent="0.25">
      <c r="A15072">
        <v>94438</v>
      </c>
      <c r="B15072" t="s">
        <v>2096</v>
      </c>
      <c r="C15072" t="s">
        <v>297</v>
      </c>
      <c r="D15072" s="254">
        <v>45.96</v>
      </c>
      <c r="E15072"/>
      <c r="F15072"/>
      <c r="G15072"/>
      <c r="H15072"/>
      <c r="I15072" s="489"/>
      <c r="J15072" s="1362"/>
      <c r="K15072" s="1362"/>
      <c r="L15072" s="1362"/>
    </row>
    <row r="15073" spans="1:12" x14ac:dyDescent="0.25">
      <c r="A15073">
        <v>94439</v>
      </c>
      <c r="B15073" t="s">
        <v>7120</v>
      </c>
      <c r="C15073" t="s">
        <v>297</v>
      </c>
      <c r="D15073" s="254">
        <v>52.02</v>
      </c>
      <c r="E15073"/>
      <c r="F15073"/>
      <c r="G15073"/>
      <c r="H15073"/>
      <c r="I15073" s="489"/>
      <c r="J15073" s="1362"/>
      <c r="K15073" s="1362"/>
      <c r="L15073" s="1362"/>
    </row>
    <row r="15074" spans="1:12" x14ac:dyDescent="0.25">
      <c r="A15074">
        <v>94779</v>
      </c>
      <c r="B15074" t="s">
        <v>2097</v>
      </c>
      <c r="C15074" t="s">
        <v>297</v>
      </c>
      <c r="D15074" s="254">
        <v>44.29</v>
      </c>
      <c r="E15074"/>
      <c r="F15074"/>
      <c r="G15074"/>
      <c r="H15074"/>
      <c r="I15074" s="489"/>
      <c r="J15074" s="1362"/>
      <c r="K15074" s="1362"/>
      <c r="L15074" s="1362"/>
    </row>
    <row r="15075" spans="1:12" x14ac:dyDescent="0.25">
      <c r="A15075">
        <v>94782</v>
      </c>
      <c r="B15075" t="s">
        <v>7121</v>
      </c>
      <c r="C15075" t="s">
        <v>297</v>
      </c>
      <c r="D15075" s="254">
        <v>51</v>
      </c>
      <c r="E15075"/>
      <c r="F15075"/>
      <c r="G15075"/>
      <c r="H15075"/>
      <c r="I15075" s="489"/>
      <c r="J15075" s="1362"/>
      <c r="K15075" s="1362"/>
      <c r="L15075" s="1362"/>
    </row>
    <row r="15076" spans="1:12" x14ac:dyDescent="0.25">
      <c r="A15076">
        <v>102803</v>
      </c>
      <c r="B15076" t="s">
        <v>6683</v>
      </c>
      <c r="C15076" t="s">
        <v>297</v>
      </c>
      <c r="D15076" s="254">
        <v>2.5</v>
      </c>
      <c r="E15076"/>
      <c r="F15076"/>
      <c r="G15076"/>
      <c r="H15076"/>
      <c r="I15076" s="489"/>
      <c r="J15076" s="1362"/>
      <c r="K15076" s="1362"/>
      <c r="L15076" s="1362"/>
    </row>
    <row r="15077" spans="1:12" x14ac:dyDescent="0.25">
      <c r="A15077">
        <v>101742</v>
      </c>
      <c r="B15077" t="s">
        <v>4933</v>
      </c>
      <c r="C15077" t="s">
        <v>151</v>
      </c>
      <c r="D15077" s="254">
        <v>56.42</v>
      </c>
      <c r="E15077"/>
      <c r="F15077"/>
      <c r="G15077"/>
      <c r="H15077"/>
      <c r="I15077" s="489"/>
      <c r="J15077" s="1362"/>
      <c r="K15077" s="1362"/>
      <c r="L15077" s="1362"/>
    </row>
    <row r="15078" spans="1:12" x14ac:dyDescent="0.25">
      <c r="A15078">
        <v>87871</v>
      </c>
      <c r="B15078" t="s">
        <v>2098</v>
      </c>
      <c r="C15078" t="s">
        <v>297</v>
      </c>
      <c r="D15078" s="254">
        <v>13.41</v>
      </c>
      <c r="E15078"/>
      <c r="F15078"/>
      <c r="G15078"/>
      <c r="H15078"/>
      <c r="I15078" s="489"/>
      <c r="J15078" s="1362"/>
      <c r="K15078" s="1362"/>
      <c r="L15078" s="1362"/>
    </row>
    <row r="15079" spans="1:12" x14ac:dyDescent="0.25">
      <c r="A15079">
        <v>87872</v>
      </c>
      <c r="B15079" t="s">
        <v>2099</v>
      </c>
      <c r="C15079" t="s">
        <v>297</v>
      </c>
      <c r="D15079" s="254">
        <v>12.65</v>
      </c>
      <c r="E15079"/>
      <c r="F15079"/>
      <c r="G15079"/>
      <c r="H15079"/>
      <c r="I15079" s="489"/>
      <c r="J15079" s="1362"/>
      <c r="K15079" s="1362"/>
      <c r="L15079" s="1362"/>
    </row>
    <row r="15080" spans="1:12" x14ac:dyDescent="0.25">
      <c r="A15080">
        <v>87873</v>
      </c>
      <c r="B15080" t="s">
        <v>2100</v>
      </c>
      <c r="C15080" t="s">
        <v>297</v>
      </c>
      <c r="D15080" s="254">
        <v>6.11</v>
      </c>
      <c r="E15080"/>
      <c r="F15080"/>
      <c r="G15080"/>
      <c r="H15080"/>
      <c r="I15080" s="489"/>
      <c r="J15080" s="1362"/>
      <c r="K15080" s="1362"/>
      <c r="L15080" s="1362"/>
    </row>
    <row r="15081" spans="1:12" x14ac:dyDescent="0.25">
      <c r="A15081">
        <v>87874</v>
      </c>
      <c r="B15081" t="s">
        <v>2101</v>
      </c>
      <c r="C15081" t="s">
        <v>297</v>
      </c>
      <c r="D15081" s="254">
        <v>5.94</v>
      </c>
      <c r="E15081"/>
      <c r="F15081"/>
      <c r="G15081"/>
      <c r="H15081"/>
      <c r="I15081" s="489"/>
      <c r="J15081" s="1362"/>
      <c r="K15081" s="1362"/>
      <c r="L15081" s="1362"/>
    </row>
    <row r="15082" spans="1:12" x14ac:dyDescent="0.25">
      <c r="A15082">
        <v>87876</v>
      </c>
      <c r="B15082" t="s">
        <v>2102</v>
      </c>
      <c r="C15082" t="s">
        <v>297</v>
      </c>
      <c r="D15082" s="254">
        <v>7.73</v>
      </c>
      <c r="E15082"/>
      <c r="F15082"/>
      <c r="G15082"/>
      <c r="H15082"/>
      <c r="I15082" s="489"/>
      <c r="J15082" s="1362"/>
      <c r="K15082" s="1362"/>
      <c r="L15082" s="1362"/>
    </row>
    <row r="15083" spans="1:12" x14ac:dyDescent="0.25">
      <c r="A15083">
        <v>87877</v>
      </c>
      <c r="B15083" t="s">
        <v>2103</v>
      </c>
      <c r="C15083" t="s">
        <v>297</v>
      </c>
      <c r="D15083" s="254">
        <v>7.36</v>
      </c>
      <c r="E15083"/>
      <c r="F15083"/>
      <c r="G15083"/>
      <c r="H15083"/>
      <c r="I15083" s="489"/>
      <c r="J15083" s="1362"/>
      <c r="K15083" s="1362"/>
      <c r="L15083" s="1362"/>
    </row>
    <row r="15084" spans="1:12" x14ac:dyDescent="0.25">
      <c r="A15084">
        <v>87878</v>
      </c>
      <c r="B15084" t="s">
        <v>2104</v>
      </c>
      <c r="C15084" t="s">
        <v>297</v>
      </c>
      <c r="D15084" s="254">
        <v>5.18</v>
      </c>
      <c r="E15084"/>
      <c r="F15084"/>
      <c r="G15084"/>
      <c r="H15084"/>
      <c r="I15084" s="489"/>
      <c r="J15084" s="1362"/>
      <c r="K15084" s="1362"/>
      <c r="L15084" s="1362"/>
    </row>
    <row r="15085" spans="1:12" x14ac:dyDescent="0.25">
      <c r="A15085">
        <v>87879</v>
      </c>
      <c r="B15085" t="s">
        <v>2105</v>
      </c>
      <c r="C15085" t="s">
        <v>297</v>
      </c>
      <c r="D15085" s="254">
        <v>4.62</v>
      </c>
      <c r="E15085"/>
      <c r="F15085"/>
      <c r="G15085"/>
      <c r="H15085"/>
      <c r="I15085" s="489"/>
      <c r="J15085" s="1362"/>
      <c r="K15085" s="1362"/>
      <c r="L15085" s="1362"/>
    </row>
    <row r="15086" spans="1:12" x14ac:dyDescent="0.25">
      <c r="A15086">
        <v>87881</v>
      </c>
      <c r="B15086" t="s">
        <v>2106</v>
      </c>
      <c r="C15086" t="s">
        <v>297</v>
      </c>
      <c r="D15086" s="254">
        <v>5.98</v>
      </c>
      <c r="E15086"/>
      <c r="F15086"/>
      <c r="G15086"/>
      <c r="H15086"/>
      <c r="I15086" s="489"/>
      <c r="J15086" s="1362"/>
      <c r="K15086" s="1362"/>
      <c r="L15086" s="1362"/>
    </row>
    <row r="15087" spans="1:12" x14ac:dyDescent="0.25">
      <c r="A15087">
        <v>87882</v>
      </c>
      <c r="B15087" t="s">
        <v>2107</v>
      </c>
      <c r="C15087" t="s">
        <v>297</v>
      </c>
      <c r="D15087" s="254">
        <v>5.81</v>
      </c>
      <c r="E15087"/>
      <c r="F15087"/>
      <c r="G15087"/>
      <c r="H15087"/>
      <c r="I15087" s="489"/>
      <c r="J15087" s="1362"/>
      <c r="K15087" s="1362"/>
      <c r="L15087" s="1362"/>
    </row>
    <row r="15088" spans="1:12" x14ac:dyDescent="0.25">
      <c r="A15088">
        <v>87884</v>
      </c>
      <c r="B15088" t="s">
        <v>2108</v>
      </c>
      <c r="C15088" t="s">
        <v>297</v>
      </c>
      <c r="D15088" s="254">
        <v>7.6</v>
      </c>
      <c r="E15088"/>
      <c r="F15088"/>
      <c r="G15088"/>
      <c r="H15088"/>
      <c r="I15088" s="489"/>
      <c r="J15088" s="1362"/>
      <c r="K15088" s="1362"/>
      <c r="L15088" s="1362"/>
    </row>
    <row r="15089" spans="1:12" x14ac:dyDescent="0.25">
      <c r="A15089">
        <v>87885</v>
      </c>
      <c r="B15089" t="s">
        <v>2109</v>
      </c>
      <c r="C15089" t="s">
        <v>297</v>
      </c>
      <c r="D15089" s="254">
        <v>7.23</v>
      </c>
      <c r="E15089"/>
      <c r="F15089"/>
      <c r="G15089"/>
      <c r="H15089"/>
      <c r="I15089" s="489"/>
      <c r="J15089" s="1362"/>
      <c r="K15089" s="1362"/>
      <c r="L15089" s="1362"/>
    </row>
    <row r="15090" spans="1:12" x14ac:dyDescent="0.25">
      <c r="A15090">
        <v>87886</v>
      </c>
      <c r="B15090" t="s">
        <v>2110</v>
      </c>
      <c r="C15090" t="s">
        <v>297</v>
      </c>
      <c r="D15090" s="254">
        <v>21.3</v>
      </c>
      <c r="E15090"/>
      <c r="F15090"/>
      <c r="G15090"/>
      <c r="H15090"/>
      <c r="I15090" s="489"/>
      <c r="J15090" s="1362"/>
      <c r="K15090" s="1362"/>
      <c r="L15090" s="1362"/>
    </row>
    <row r="15091" spans="1:12" x14ac:dyDescent="0.25">
      <c r="A15091">
        <v>87887</v>
      </c>
      <c r="B15091" t="s">
        <v>2111</v>
      </c>
      <c r="C15091" t="s">
        <v>297</v>
      </c>
      <c r="D15091" s="254">
        <v>20.54</v>
      </c>
      <c r="E15091"/>
      <c r="F15091"/>
      <c r="G15091"/>
      <c r="H15091"/>
      <c r="I15091" s="489"/>
      <c r="J15091" s="1362"/>
      <c r="K15091" s="1362"/>
      <c r="L15091" s="1362"/>
    </row>
    <row r="15092" spans="1:12" x14ac:dyDescent="0.25">
      <c r="A15092">
        <v>87888</v>
      </c>
      <c r="B15092" t="s">
        <v>2112</v>
      </c>
      <c r="C15092" t="s">
        <v>297</v>
      </c>
      <c r="D15092" s="254">
        <v>7.72</v>
      </c>
      <c r="E15092"/>
      <c r="F15092"/>
      <c r="G15092"/>
      <c r="H15092"/>
      <c r="I15092" s="489"/>
      <c r="J15092" s="1362"/>
      <c r="K15092" s="1362"/>
      <c r="L15092" s="1362"/>
    </row>
    <row r="15093" spans="1:12" x14ac:dyDescent="0.25">
      <c r="A15093">
        <v>87889</v>
      </c>
      <c r="B15093" t="s">
        <v>2113</v>
      </c>
      <c r="C15093" t="s">
        <v>297</v>
      </c>
      <c r="D15093" s="254">
        <v>7.55</v>
      </c>
      <c r="E15093"/>
      <c r="F15093"/>
      <c r="G15093"/>
      <c r="H15093"/>
      <c r="I15093" s="489"/>
      <c r="J15093" s="1362"/>
      <c r="K15093" s="1362"/>
      <c r="L15093" s="1362"/>
    </row>
    <row r="15094" spans="1:12" x14ac:dyDescent="0.25">
      <c r="A15094">
        <v>87891</v>
      </c>
      <c r="B15094" t="s">
        <v>2114</v>
      </c>
      <c r="C15094" t="s">
        <v>297</v>
      </c>
      <c r="D15094" s="254">
        <v>9.34</v>
      </c>
      <c r="E15094"/>
      <c r="F15094"/>
      <c r="G15094"/>
      <c r="H15094"/>
      <c r="I15094" s="489"/>
      <c r="J15094" s="1362"/>
      <c r="K15094" s="1362"/>
      <c r="L15094" s="1362"/>
    </row>
    <row r="15095" spans="1:12" x14ac:dyDescent="0.25">
      <c r="A15095">
        <v>87892</v>
      </c>
      <c r="B15095" t="s">
        <v>2115</v>
      </c>
      <c r="C15095" t="s">
        <v>297</v>
      </c>
      <c r="D15095" s="254">
        <v>8.9700000000000006</v>
      </c>
      <c r="E15095"/>
      <c r="F15095"/>
      <c r="G15095"/>
      <c r="H15095"/>
      <c r="I15095" s="489"/>
      <c r="J15095" s="1362"/>
      <c r="K15095" s="1362"/>
      <c r="L15095" s="1362"/>
    </row>
    <row r="15096" spans="1:12" x14ac:dyDescent="0.25">
      <c r="A15096">
        <v>87893</v>
      </c>
      <c r="B15096" t="s">
        <v>2116</v>
      </c>
      <c r="C15096" t="s">
        <v>297</v>
      </c>
      <c r="D15096" s="254">
        <v>7.97</v>
      </c>
      <c r="E15096"/>
      <c r="F15096"/>
      <c r="G15096"/>
      <c r="H15096"/>
      <c r="I15096" s="489"/>
      <c r="J15096" s="1362"/>
      <c r="K15096" s="1362"/>
      <c r="L15096" s="1362"/>
    </row>
    <row r="15097" spans="1:12" x14ac:dyDescent="0.25">
      <c r="A15097">
        <v>87894</v>
      </c>
      <c r="B15097" t="s">
        <v>2117</v>
      </c>
      <c r="C15097" t="s">
        <v>297</v>
      </c>
      <c r="D15097" s="254">
        <v>7.41</v>
      </c>
      <c r="E15097"/>
      <c r="F15097"/>
      <c r="G15097"/>
      <c r="H15097"/>
      <c r="I15097" s="489"/>
      <c r="J15097" s="1362"/>
      <c r="K15097" s="1362"/>
      <c r="L15097" s="1362"/>
    </row>
    <row r="15098" spans="1:12" x14ac:dyDescent="0.25">
      <c r="A15098">
        <v>87896</v>
      </c>
      <c r="B15098" t="s">
        <v>2118</v>
      </c>
      <c r="C15098" t="s">
        <v>297</v>
      </c>
      <c r="D15098" s="254">
        <v>7.28</v>
      </c>
      <c r="E15098"/>
      <c r="F15098"/>
      <c r="G15098"/>
      <c r="H15098"/>
      <c r="I15098" s="489"/>
      <c r="J15098" s="1362"/>
      <c r="K15098" s="1362"/>
      <c r="L15098" s="1362"/>
    </row>
    <row r="15099" spans="1:12" x14ac:dyDescent="0.25">
      <c r="A15099">
        <v>87897</v>
      </c>
      <c r="B15099" t="s">
        <v>2119</v>
      </c>
      <c r="C15099" t="s">
        <v>297</v>
      </c>
      <c r="D15099" s="254">
        <v>6.72</v>
      </c>
      <c r="E15099"/>
      <c r="F15099"/>
      <c r="G15099"/>
      <c r="H15099"/>
      <c r="I15099" s="489"/>
      <c r="J15099" s="1362"/>
      <c r="K15099" s="1362"/>
      <c r="L15099" s="1362"/>
    </row>
    <row r="15100" spans="1:12" x14ac:dyDescent="0.25">
      <c r="A15100">
        <v>87899</v>
      </c>
      <c r="B15100" t="s">
        <v>2120</v>
      </c>
      <c r="C15100" t="s">
        <v>297</v>
      </c>
      <c r="D15100" s="254">
        <v>9.16</v>
      </c>
      <c r="E15100"/>
      <c r="F15100"/>
      <c r="G15100"/>
      <c r="H15100"/>
      <c r="I15100" s="489"/>
      <c r="J15100" s="1362"/>
      <c r="K15100" s="1362"/>
      <c r="L15100" s="1362"/>
    </row>
    <row r="15101" spans="1:12" x14ac:dyDescent="0.25">
      <c r="A15101">
        <v>87900</v>
      </c>
      <c r="B15101" t="s">
        <v>2121</v>
      </c>
      <c r="C15101" t="s">
        <v>297</v>
      </c>
      <c r="D15101" s="254">
        <v>8.99</v>
      </c>
      <c r="E15101"/>
      <c r="F15101"/>
      <c r="G15101"/>
      <c r="H15101"/>
      <c r="I15101" s="489"/>
      <c r="J15101" s="1362"/>
      <c r="K15101" s="1362"/>
      <c r="L15101" s="1362"/>
    </row>
    <row r="15102" spans="1:12" x14ac:dyDescent="0.25">
      <c r="A15102">
        <v>87902</v>
      </c>
      <c r="B15102" t="s">
        <v>2122</v>
      </c>
      <c r="C15102" t="s">
        <v>297</v>
      </c>
      <c r="D15102" s="254">
        <v>10.78</v>
      </c>
      <c r="E15102"/>
      <c r="F15102"/>
      <c r="G15102"/>
      <c r="H15102"/>
      <c r="I15102" s="489"/>
      <c r="J15102" s="1362"/>
      <c r="K15102" s="1362"/>
      <c r="L15102" s="1362"/>
    </row>
    <row r="15103" spans="1:12" x14ac:dyDescent="0.25">
      <c r="A15103">
        <v>87903</v>
      </c>
      <c r="B15103" t="s">
        <v>2123</v>
      </c>
      <c r="C15103" t="s">
        <v>297</v>
      </c>
      <c r="D15103" s="254">
        <v>10.41</v>
      </c>
      <c r="E15103"/>
      <c r="F15103"/>
      <c r="G15103"/>
      <c r="H15103"/>
      <c r="I15103" s="489"/>
      <c r="J15103" s="1362"/>
      <c r="K15103" s="1362"/>
      <c r="L15103" s="1362"/>
    </row>
    <row r="15104" spans="1:12" x14ac:dyDescent="0.25">
      <c r="A15104">
        <v>87904</v>
      </c>
      <c r="B15104" t="s">
        <v>2124</v>
      </c>
      <c r="C15104" t="s">
        <v>297</v>
      </c>
      <c r="D15104" s="254">
        <v>10.37</v>
      </c>
      <c r="E15104"/>
      <c r="F15104"/>
      <c r="G15104"/>
      <c r="H15104"/>
      <c r="I15104" s="489"/>
      <c r="J15104" s="1362"/>
      <c r="K15104" s="1362"/>
      <c r="L15104" s="1362"/>
    </row>
    <row r="15105" spans="1:12" x14ac:dyDescent="0.25">
      <c r="A15105">
        <v>87905</v>
      </c>
      <c r="B15105" t="s">
        <v>2125</v>
      </c>
      <c r="C15105" t="s">
        <v>297</v>
      </c>
      <c r="D15105" s="254">
        <v>9.81</v>
      </c>
      <c r="E15105"/>
      <c r="F15105"/>
      <c r="G15105"/>
      <c r="H15105"/>
      <c r="I15105" s="489"/>
      <c r="J15105" s="1362"/>
      <c r="K15105" s="1362"/>
      <c r="L15105" s="1362"/>
    </row>
    <row r="15106" spans="1:12" x14ac:dyDescent="0.25">
      <c r="A15106">
        <v>87907</v>
      </c>
      <c r="B15106" t="s">
        <v>2126</v>
      </c>
      <c r="C15106" t="s">
        <v>297</v>
      </c>
      <c r="D15106" s="254">
        <v>9.4</v>
      </c>
      <c r="E15106"/>
      <c r="F15106"/>
      <c r="G15106"/>
      <c r="H15106"/>
      <c r="I15106" s="489"/>
      <c r="J15106" s="1362"/>
      <c r="K15106" s="1362"/>
      <c r="L15106" s="1362"/>
    </row>
    <row r="15107" spans="1:12" x14ac:dyDescent="0.25">
      <c r="A15107">
        <v>87908</v>
      </c>
      <c r="B15107" t="s">
        <v>2127</v>
      </c>
      <c r="C15107" t="s">
        <v>297</v>
      </c>
      <c r="D15107" s="254">
        <v>8.84</v>
      </c>
      <c r="E15107"/>
      <c r="F15107"/>
      <c r="G15107"/>
      <c r="H15107"/>
      <c r="I15107" s="489"/>
      <c r="J15107" s="1362"/>
      <c r="K15107" s="1362"/>
      <c r="L15107" s="1362"/>
    </row>
    <row r="15108" spans="1:12" x14ac:dyDescent="0.25">
      <c r="A15108">
        <v>87910</v>
      </c>
      <c r="B15108" t="s">
        <v>2128</v>
      </c>
      <c r="C15108" t="s">
        <v>297</v>
      </c>
      <c r="D15108" s="254">
        <v>20.74</v>
      </c>
      <c r="E15108"/>
      <c r="F15108"/>
      <c r="G15108"/>
      <c r="H15108"/>
      <c r="I15108" s="489"/>
      <c r="J15108" s="1362"/>
      <c r="K15108" s="1362"/>
      <c r="L15108" s="1362"/>
    </row>
    <row r="15109" spans="1:12" x14ac:dyDescent="0.25">
      <c r="A15109">
        <v>87911</v>
      </c>
      <c r="B15109" t="s">
        <v>2129</v>
      </c>
      <c r="C15109" t="s">
        <v>297</v>
      </c>
      <c r="D15109" s="254">
        <v>19.98</v>
      </c>
      <c r="E15109"/>
      <c r="F15109"/>
      <c r="G15109"/>
      <c r="H15109"/>
      <c r="I15109" s="489"/>
      <c r="J15109" s="1362"/>
      <c r="K15109" s="1362"/>
      <c r="L15109" s="1362"/>
    </row>
    <row r="15110" spans="1:12" x14ac:dyDescent="0.25">
      <c r="A15110">
        <v>87411</v>
      </c>
      <c r="B15110" t="s">
        <v>2130</v>
      </c>
      <c r="C15110" t="s">
        <v>297</v>
      </c>
      <c r="D15110" s="254">
        <v>19.010000000000002</v>
      </c>
      <c r="E15110"/>
      <c r="F15110"/>
      <c r="G15110"/>
      <c r="H15110"/>
      <c r="I15110" s="489"/>
      <c r="J15110" s="1362"/>
      <c r="K15110" s="1362"/>
      <c r="L15110" s="1362"/>
    </row>
    <row r="15111" spans="1:12" x14ac:dyDescent="0.25">
      <c r="A15111">
        <v>87412</v>
      </c>
      <c r="B15111" t="s">
        <v>2131</v>
      </c>
      <c r="C15111" t="s">
        <v>297</v>
      </c>
      <c r="D15111" s="254">
        <v>26.95</v>
      </c>
      <c r="E15111"/>
      <c r="F15111"/>
      <c r="G15111"/>
      <c r="H15111"/>
      <c r="I15111" s="489"/>
      <c r="J15111" s="1362"/>
      <c r="K15111" s="1362"/>
      <c r="L15111" s="1362"/>
    </row>
    <row r="15112" spans="1:12" x14ac:dyDescent="0.25">
      <c r="A15112">
        <v>87413</v>
      </c>
      <c r="B15112" t="s">
        <v>2132</v>
      </c>
      <c r="C15112" t="s">
        <v>297</v>
      </c>
      <c r="D15112" s="254">
        <v>31.47</v>
      </c>
      <c r="E15112"/>
      <c r="F15112"/>
      <c r="G15112"/>
      <c r="H15112"/>
      <c r="I15112" s="489"/>
      <c r="J15112" s="1362"/>
      <c r="K15112" s="1362"/>
      <c r="L15112" s="1362"/>
    </row>
    <row r="15113" spans="1:12" x14ac:dyDescent="0.25">
      <c r="A15113">
        <v>87414</v>
      </c>
      <c r="B15113" t="s">
        <v>2133</v>
      </c>
      <c r="C15113" t="s">
        <v>297</v>
      </c>
      <c r="D15113" s="254">
        <v>28.32</v>
      </c>
      <c r="E15113"/>
      <c r="F15113"/>
      <c r="G15113"/>
      <c r="H15113"/>
      <c r="I15113" s="489"/>
      <c r="J15113" s="1362"/>
      <c r="K15113" s="1362"/>
      <c r="L15113" s="1362"/>
    </row>
    <row r="15114" spans="1:12" x14ac:dyDescent="0.25">
      <c r="A15114">
        <v>87415</v>
      </c>
      <c r="B15114" t="s">
        <v>2134</v>
      </c>
      <c r="C15114" t="s">
        <v>297</v>
      </c>
      <c r="D15114" s="254">
        <v>36.049999999999997</v>
      </c>
      <c r="E15114"/>
      <c r="F15114"/>
      <c r="G15114"/>
      <c r="H15114"/>
      <c r="I15114" s="489"/>
      <c r="J15114" s="1362"/>
      <c r="K15114" s="1362"/>
      <c r="L15114" s="1362"/>
    </row>
    <row r="15115" spans="1:12" x14ac:dyDescent="0.25">
      <c r="A15115">
        <v>87416</v>
      </c>
      <c r="B15115" t="s">
        <v>2135</v>
      </c>
      <c r="C15115" t="s">
        <v>297</v>
      </c>
      <c r="D15115" s="254">
        <v>40.869999999999997</v>
      </c>
      <c r="E15115"/>
      <c r="F15115"/>
      <c r="G15115"/>
      <c r="H15115"/>
      <c r="I15115" s="489"/>
      <c r="J15115" s="1362"/>
      <c r="K15115" s="1362"/>
      <c r="L15115" s="1362"/>
    </row>
    <row r="15116" spans="1:12" x14ac:dyDescent="0.25">
      <c r="A15116">
        <v>87417</v>
      </c>
      <c r="B15116" t="s">
        <v>2136</v>
      </c>
      <c r="C15116" t="s">
        <v>297</v>
      </c>
      <c r="D15116" s="254">
        <v>20.12</v>
      </c>
      <c r="E15116"/>
      <c r="F15116"/>
      <c r="G15116"/>
      <c r="H15116"/>
      <c r="I15116" s="489"/>
      <c r="J15116" s="1362"/>
      <c r="K15116" s="1362"/>
      <c r="L15116" s="1362"/>
    </row>
    <row r="15117" spans="1:12" x14ac:dyDescent="0.25">
      <c r="A15117">
        <v>87418</v>
      </c>
      <c r="B15117" t="s">
        <v>2137</v>
      </c>
      <c r="C15117" t="s">
        <v>297</v>
      </c>
      <c r="D15117" s="254">
        <v>20.71</v>
      </c>
      <c r="E15117"/>
      <c r="F15117"/>
      <c r="G15117"/>
      <c r="H15117"/>
      <c r="I15117" s="489"/>
      <c r="J15117" s="1362"/>
      <c r="K15117" s="1362"/>
      <c r="L15117" s="1362"/>
    </row>
    <row r="15118" spans="1:12" x14ac:dyDescent="0.25">
      <c r="A15118">
        <v>87419</v>
      </c>
      <c r="B15118" t="s">
        <v>2138</v>
      </c>
      <c r="C15118" t="s">
        <v>297</v>
      </c>
      <c r="D15118" s="254">
        <v>22.42</v>
      </c>
      <c r="E15118"/>
      <c r="F15118"/>
      <c r="G15118"/>
      <c r="H15118"/>
      <c r="I15118" s="489"/>
      <c r="J15118" s="1362"/>
      <c r="K15118" s="1362"/>
      <c r="L15118" s="1362"/>
    </row>
    <row r="15119" spans="1:12" x14ac:dyDescent="0.25">
      <c r="A15119">
        <v>87420</v>
      </c>
      <c r="B15119" t="s">
        <v>2139</v>
      </c>
      <c r="C15119" t="s">
        <v>297</v>
      </c>
      <c r="D15119" s="254">
        <v>30.33</v>
      </c>
      <c r="E15119"/>
      <c r="F15119"/>
      <c r="G15119"/>
      <c r="H15119"/>
      <c r="I15119" s="489"/>
      <c r="J15119" s="1362"/>
      <c r="K15119" s="1362"/>
      <c r="L15119" s="1362"/>
    </row>
    <row r="15120" spans="1:12" x14ac:dyDescent="0.25">
      <c r="A15120">
        <v>87421</v>
      </c>
      <c r="B15120" t="s">
        <v>2140</v>
      </c>
      <c r="C15120" t="s">
        <v>297</v>
      </c>
      <c r="D15120" s="254">
        <v>30.93</v>
      </c>
      <c r="E15120"/>
      <c r="F15120"/>
      <c r="G15120"/>
      <c r="H15120"/>
      <c r="I15120" s="489"/>
      <c r="J15120" s="1362"/>
      <c r="K15120" s="1362"/>
      <c r="L15120" s="1362"/>
    </row>
    <row r="15121" spans="1:12" x14ac:dyDescent="0.25">
      <c r="A15121">
        <v>87422</v>
      </c>
      <c r="B15121" t="s">
        <v>2141</v>
      </c>
      <c r="C15121" t="s">
        <v>297</v>
      </c>
      <c r="D15121" s="254">
        <v>32.64</v>
      </c>
      <c r="E15121"/>
      <c r="F15121"/>
      <c r="G15121"/>
      <c r="H15121"/>
      <c r="I15121" s="489"/>
      <c r="J15121" s="1362"/>
      <c r="K15121" s="1362"/>
      <c r="L15121" s="1362"/>
    </row>
    <row r="15122" spans="1:12" x14ac:dyDescent="0.25">
      <c r="A15122">
        <v>87423</v>
      </c>
      <c r="B15122" t="s">
        <v>2142</v>
      </c>
      <c r="C15122" t="s">
        <v>297</v>
      </c>
      <c r="D15122" s="254">
        <v>39.97</v>
      </c>
      <c r="E15122"/>
      <c r="F15122"/>
      <c r="G15122"/>
      <c r="H15122"/>
      <c r="I15122" s="489"/>
      <c r="J15122" s="1362"/>
      <c r="K15122" s="1362"/>
      <c r="L15122" s="1362"/>
    </row>
    <row r="15123" spans="1:12" x14ac:dyDescent="0.25">
      <c r="A15123">
        <v>87424</v>
      </c>
      <c r="B15123" t="s">
        <v>2143</v>
      </c>
      <c r="C15123" t="s">
        <v>297</v>
      </c>
      <c r="D15123" s="254">
        <v>40.869999999999997</v>
      </c>
      <c r="E15123"/>
      <c r="F15123"/>
      <c r="G15123"/>
      <c r="H15123"/>
      <c r="I15123" s="489"/>
      <c r="J15123" s="1362"/>
      <c r="K15123" s="1362"/>
      <c r="L15123" s="1362"/>
    </row>
    <row r="15124" spans="1:12" x14ac:dyDescent="0.25">
      <c r="A15124">
        <v>87425</v>
      </c>
      <c r="B15124" t="s">
        <v>2144</v>
      </c>
      <c r="C15124" t="s">
        <v>297</v>
      </c>
      <c r="D15124" s="254">
        <v>42.28</v>
      </c>
      <c r="E15124"/>
      <c r="F15124"/>
      <c r="G15124"/>
      <c r="H15124"/>
      <c r="I15124" s="489"/>
      <c r="J15124" s="1362"/>
      <c r="K15124" s="1362"/>
      <c r="L15124" s="1362"/>
    </row>
    <row r="15125" spans="1:12" x14ac:dyDescent="0.25">
      <c r="A15125">
        <v>87426</v>
      </c>
      <c r="B15125" t="s">
        <v>2145</v>
      </c>
      <c r="C15125" t="s">
        <v>297</v>
      </c>
      <c r="D15125" s="254">
        <v>47.11</v>
      </c>
      <c r="E15125"/>
      <c r="F15125"/>
      <c r="G15125"/>
      <c r="H15125"/>
      <c r="I15125" s="489"/>
      <c r="J15125" s="1362"/>
      <c r="K15125" s="1362"/>
      <c r="L15125" s="1362"/>
    </row>
    <row r="15126" spans="1:12" x14ac:dyDescent="0.25">
      <c r="A15126">
        <v>87427</v>
      </c>
      <c r="B15126" t="s">
        <v>2146</v>
      </c>
      <c r="C15126" t="s">
        <v>297</v>
      </c>
      <c r="D15126" s="254">
        <v>48.01</v>
      </c>
      <c r="E15126"/>
      <c r="F15126"/>
      <c r="G15126"/>
      <c r="H15126"/>
      <c r="I15126" s="489"/>
      <c r="J15126" s="1362"/>
      <c r="K15126" s="1362"/>
      <c r="L15126" s="1362"/>
    </row>
    <row r="15127" spans="1:12" x14ac:dyDescent="0.25">
      <c r="A15127">
        <v>87428</v>
      </c>
      <c r="B15127" t="s">
        <v>2147</v>
      </c>
      <c r="C15127" t="s">
        <v>297</v>
      </c>
      <c r="D15127" s="254">
        <v>49.41</v>
      </c>
      <c r="E15127"/>
      <c r="F15127"/>
      <c r="G15127"/>
      <c r="H15127"/>
      <c r="I15127" s="489"/>
      <c r="J15127" s="1362"/>
      <c r="K15127" s="1362"/>
      <c r="L15127" s="1362"/>
    </row>
    <row r="15128" spans="1:12" x14ac:dyDescent="0.25">
      <c r="A15128">
        <v>87429</v>
      </c>
      <c r="B15128" t="s">
        <v>2148</v>
      </c>
      <c r="C15128" t="s">
        <v>297</v>
      </c>
      <c r="D15128" s="254">
        <v>20.32</v>
      </c>
      <c r="E15128"/>
      <c r="F15128"/>
      <c r="G15128"/>
      <c r="H15128"/>
      <c r="I15128" s="489"/>
      <c r="J15128" s="1362"/>
      <c r="K15128" s="1362"/>
      <c r="L15128" s="1362"/>
    </row>
    <row r="15129" spans="1:12" x14ac:dyDescent="0.25">
      <c r="A15129">
        <v>87430</v>
      </c>
      <c r="B15129" t="s">
        <v>2149</v>
      </c>
      <c r="C15129" t="s">
        <v>297</v>
      </c>
      <c r="D15129" s="254">
        <v>20.91</v>
      </c>
      <c r="E15129"/>
      <c r="F15129"/>
      <c r="G15129"/>
      <c r="H15129"/>
      <c r="I15129" s="489"/>
      <c r="J15129" s="1362"/>
      <c r="K15129" s="1362"/>
      <c r="L15129" s="1362"/>
    </row>
    <row r="15130" spans="1:12" x14ac:dyDescent="0.25">
      <c r="A15130">
        <v>87431</v>
      </c>
      <c r="B15130" t="s">
        <v>2150</v>
      </c>
      <c r="C15130" t="s">
        <v>297</v>
      </c>
      <c r="D15130" s="254">
        <v>21.21</v>
      </c>
      <c r="E15130"/>
      <c r="F15130"/>
      <c r="G15130"/>
      <c r="H15130"/>
      <c r="I15130" s="489"/>
      <c r="J15130" s="1362"/>
      <c r="K15130" s="1362"/>
      <c r="L15130" s="1362"/>
    </row>
    <row r="15131" spans="1:12" x14ac:dyDescent="0.25">
      <c r="A15131">
        <v>87432</v>
      </c>
      <c r="B15131" t="s">
        <v>2151</v>
      </c>
      <c r="C15131" t="s">
        <v>297</v>
      </c>
      <c r="D15131" s="254">
        <v>28.67</v>
      </c>
      <c r="E15131"/>
      <c r="F15131"/>
      <c r="G15131"/>
      <c r="H15131"/>
      <c r="I15131" s="489"/>
      <c r="J15131" s="1362"/>
      <c r="K15131" s="1362"/>
      <c r="L15131" s="1362"/>
    </row>
    <row r="15132" spans="1:12" x14ac:dyDescent="0.25">
      <c r="A15132">
        <v>87433</v>
      </c>
      <c r="B15132" t="s">
        <v>2152</v>
      </c>
      <c r="C15132" t="s">
        <v>297</v>
      </c>
      <c r="D15132" s="254">
        <v>29.87</v>
      </c>
      <c r="E15132"/>
      <c r="F15132"/>
      <c r="G15132"/>
      <c r="H15132"/>
      <c r="I15132" s="489"/>
      <c r="J15132" s="1362"/>
      <c r="K15132" s="1362"/>
      <c r="L15132" s="1362"/>
    </row>
    <row r="15133" spans="1:12" x14ac:dyDescent="0.25">
      <c r="A15133">
        <v>87434</v>
      </c>
      <c r="B15133" t="s">
        <v>2153</v>
      </c>
      <c r="C15133" t="s">
        <v>297</v>
      </c>
      <c r="D15133" s="254">
        <v>30.68</v>
      </c>
      <c r="E15133"/>
      <c r="F15133"/>
      <c r="G15133"/>
      <c r="H15133"/>
      <c r="I15133" s="489"/>
      <c r="J15133" s="1362"/>
      <c r="K15133" s="1362"/>
      <c r="L15133" s="1362"/>
    </row>
    <row r="15134" spans="1:12" x14ac:dyDescent="0.25">
      <c r="A15134">
        <v>87435</v>
      </c>
      <c r="B15134" t="s">
        <v>2154</v>
      </c>
      <c r="C15134" t="s">
        <v>297</v>
      </c>
      <c r="D15134" s="254">
        <v>32.39</v>
      </c>
      <c r="E15134"/>
      <c r="F15134"/>
      <c r="G15134"/>
      <c r="H15134"/>
      <c r="I15134" s="489"/>
      <c r="J15134" s="1362"/>
      <c r="K15134" s="1362"/>
      <c r="L15134" s="1362"/>
    </row>
    <row r="15135" spans="1:12" x14ac:dyDescent="0.25">
      <c r="A15135">
        <v>87436</v>
      </c>
      <c r="B15135" t="s">
        <v>2155</v>
      </c>
      <c r="C15135" t="s">
        <v>297</v>
      </c>
      <c r="D15135" s="254">
        <v>34.4</v>
      </c>
      <c r="E15135"/>
      <c r="F15135"/>
      <c r="G15135"/>
      <c r="H15135"/>
      <c r="I15135" s="489"/>
      <c r="J15135" s="1362"/>
      <c r="K15135" s="1362"/>
      <c r="L15135" s="1362"/>
    </row>
    <row r="15136" spans="1:12" x14ac:dyDescent="0.25">
      <c r="A15136">
        <v>87437</v>
      </c>
      <c r="B15136" t="s">
        <v>2156</v>
      </c>
      <c r="C15136" t="s">
        <v>297</v>
      </c>
      <c r="D15136" s="254">
        <v>35.799999999999997</v>
      </c>
      <c r="E15136"/>
      <c r="F15136"/>
      <c r="G15136"/>
      <c r="H15136"/>
      <c r="I15136" s="489"/>
      <c r="J15136" s="1362"/>
      <c r="K15136" s="1362"/>
      <c r="L15136" s="1362"/>
    </row>
    <row r="15137" spans="1:12" x14ac:dyDescent="0.25">
      <c r="A15137">
        <v>87438</v>
      </c>
      <c r="B15137" t="s">
        <v>2157</v>
      </c>
      <c r="C15137" t="s">
        <v>297</v>
      </c>
      <c r="D15137" s="254">
        <v>39.700000000000003</v>
      </c>
      <c r="E15137"/>
      <c r="F15137"/>
      <c r="G15137"/>
      <c r="H15137"/>
      <c r="I15137" s="489"/>
      <c r="J15137" s="1362"/>
      <c r="K15137" s="1362"/>
      <c r="L15137" s="1362"/>
    </row>
    <row r="15138" spans="1:12" x14ac:dyDescent="0.25">
      <c r="A15138">
        <v>87439</v>
      </c>
      <c r="B15138" t="s">
        <v>2158</v>
      </c>
      <c r="C15138" t="s">
        <v>297</v>
      </c>
      <c r="D15138" s="254">
        <v>42.21</v>
      </c>
      <c r="E15138"/>
      <c r="F15138"/>
      <c r="G15138"/>
      <c r="H15138"/>
      <c r="I15138" s="489"/>
      <c r="J15138" s="1362"/>
      <c r="K15138" s="1362"/>
      <c r="L15138" s="1362"/>
    </row>
    <row r="15139" spans="1:12" x14ac:dyDescent="0.25">
      <c r="A15139">
        <v>87440</v>
      </c>
      <c r="B15139" t="s">
        <v>2159</v>
      </c>
      <c r="C15139" t="s">
        <v>297</v>
      </c>
      <c r="D15139" s="254">
        <v>43.41</v>
      </c>
      <c r="E15139"/>
      <c r="F15139"/>
      <c r="G15139"/>
      <c r="H15139"/>
      <c r="I15139" s="489"/>
      <c r="J15139" s="1362"/>
      <c r="K15139" s="1362"/>
      <c r="L15139" s="1362"/>
    </row>
    <row r="15140" spans="1:12" x14ac:dyDescent="0.25">
      <c r="A15140">
        <v>87527</v>
      </c>
      <c r="B15140" t="s">
        <v>2160</v>
      </c>
      <c r="C15140" t="s">
        <v>297</v>
      </c>
      <c r="D15140" s="254">
        <v>43</v>
      </c>
      <c r="E15140"/>
      <c r="F15140"/>
      <c r="G15140"/>
      <c r="H15140"/>
      <c r="I15140" s="489"/>
      <c r="J15140" s="1362"/>
      <c r="K15140" s="1362"/>
      <c r="L15140" s="1362"/>
    </row>
    <row r="15141" spans="1:12" x14ac:dyDescent="0.25">
      <c r="A15141">
        <v>87528</v>
      </c>
      <c r="B15141" t="s">
        <v>2161</v>
      </c>
      <c r="C15141" t="s">
        <v>297</v>
      </c>
      <c r="D15141" s="254">
        <v>47.8</v>
      </c>
      <c r="E15141"/>
      <c r="F15141"/>
      <c r="G15141"/>
      <c r="H15141"/>
      <c r="I15141" s="489"/>
      <c r="J15141" s="1362"/>
      <c r="K15141" s="1362"/>
      <c r="L15141" s="1362"/>
    </row>
    <row r="15142" spans="1:12" x14ac:dyDescent="0.25">
      <c r="A15142">
        <v>87529</v>
      </c>
      <c r="B15142" t="s">
        <v>2162</v>
      </c>
      <c r="C15142" t="s">
        <v>297</v>
      </c>
      <c r="D15142" s="254">
        <v>38.82</v>
      </c>
      <c r="E15142"/>
      <c r="F15142"/>
      <c r="G15142"/>
      <c r="H15142"/>
      <c r="I15142" s="489"/>
      <c r="J15142" s="1362"/>
      <c r="K15142" s="1362"/>
      <c r="L15142" s="1362"/>
    </row>
    <row r="15143" spans="1:12" x14ac:dyDescent="0.25">
      <c r="A15143">
        <v>87530</v>
      </c>
      <c r="B15143" t="s">
        <v>2163</v>
      </c>
      <c r="C15143" t="s">
        <v>297</v>
      </c>
      <c r="D15143" s="254">
        <v>43.62</v>
      </c>
      <c r="E15143"/>
      <c r="F15143"/>
      <c r="G15143"/>
      <c r="H15143"/>
      <c r="I15143" s="489"/>
      <c r="J15143" s="1362"/>
      <c r="K15143" s="1362"/>
      <c r="L15143" s="1362"/>
    </row>
    <row r="15144" spans="1:12" x14ac:dyDescent="0.25">
      <c r="A15144">
        <v>87531</v>
      </c>
      <c r="B15144" t="s">
        <v>2164</v>
      </c>
      <c r="C15144" t="s">
        <v>297</v>
      </c>
      <c r="D15144" s="254">
        <v>37.32</v>
      </c>
      <c r="E15144"/>
      <c r="F15144"/>
      <c r="G15144"/>
      <c r="H15144"/>
      <c r="I15144" s="489"/>
      <c r="J15144" s="1362"/>
      <c r="K15144" s="1362"/>
      <c r="L15144" s="1362"/>
    </row>
    <row r="15145" spans="1:12" x14ac:dyDescent="0.25">
      <c r="A15145">
        <v>87532</v>
      </c>
      <c r="B15145" t="s">
        <v>2165</v>
      </c>
      <c r="C15145" t="s">
        <v>297</v>
      </c>
      <c r="D15145" s="254">
        <v>42.12</v>
      </c>
      <c r="E15145"/>
      <c r="F15145"/>
      <c r="G15145"/>
      <c r="H15145"/>
      <c r="I15145" s="489"/>
      <c r="J15145" s="1362"/>
      <c r="K15145" s="1362"/>
      <c r="L15145" s="1362"/>
    </row>
    <row r="15146" spans="1:12" x14ac:dyDescent="0.25">
      <c r="A15146">
        <v>87535</v>
      </c>
      <c r="B15146" t="s">
        <v>2166</v>
      </c>
      <c r="C15146" t="s">
        <v>297</v>
      </c>
      <c r="D15146" s="254">
        <v>33.15</v>
      </c>
      <c r="E15146"/>
      <c r="F15146"/>
      <c r="G15146"/>
      <c r="H15146"/>
      <c r="I15146" s="489"/>
      <c r="J15146" s="1362"/>
      <c r="K15146" s="1362"/>
      <c r="L15146" s="1362"/>
    </row>
    <row r="15147" spans="1:12" x14ac:dyDescent="0.25">
      <c r="A15147">
        <v>87536</v>
      </c>
      <c r="B15147" t="s">
        <v>2167</v>
      </c>
      <c r="C15147" t="s">
        <v>297</v>
      </c>
      <c r="D15147" s="254">
        <v>37.950000000000003</v>
      </c>
      <c r="E15147"/>
      <c r="F15147"/>
      <c r="G15147"/>
      <c r="H15147"/>
      <c r="I15147" s="489"/>
      <c r="J15147" s="1362"/>
      <c r="K15147" s="1362"/>
      <c r="L15147" s="1362"/>
    </row>
    <row r="15148" spans="1:12" x14ac:dyDescent="0.25">
      <c r="A15148">
        <v>87537</v>
      </c>
      <c r="B15148" t="s">
        <v>2168</v>
      </c>
      <c r="C15148" t="s">
        <v>297</v>
      </c>
      <c r="D15148" s="254">
        <v>67.569999999999993</v>
      </c>
      <c r="E15148"/>
      <c r="F15148"/>
      <c r="G15148"/>
      <c r="H15148"/>
      <c r="I15148" s="489"/>
      <c r="J15148" s="1362"/>
      <c r="K15148" s="1362"/>
      <c r="L15148" s="1362"/>
    </row>
    <row r="15149" spans="1:12" x14ac:dyDescent="0.25">
      <c r="A15149">
        <v>87538</v>
      </c>
      <c r="B15149" t="s">
        <v>2169</v>
      </c>
      <c r="C15149" t="s">
        <v>297</v>
      </c>
      <c r="D15149" s="254">
        <v>63.93</v>
      </c>
      <c r="E15149"/>
      <c r="F15149"/>
      <c r="G15149"/>
      <c r="H15149"/>
      <c r="I15149" s="489"/>
      <c r="J15149" s="1362"/>
      <c r="K15149" s="1362"/>
      <c r="L15149" s="1362"/>
    </row>
    <row r="15150" spans="1:12" x14ac:dyDescent="0.25">
      <c r="A15150">
        <v>87539</v>
      </c>
      <c r="B15150" t="s">
        <v>2170</v>
      </c>
      <c r="C15150" t="s">
        <v>297</v>
      </c>
      <c r="D15150" s="254">
        <v>62.64</v>
      </c>
      <c r="E15150"/>
      <c r="F15150"/>
      <c r="G15150"/>
      <c r="H15150"/>
      <c r="I15150" s="489"/>
      <c r="J15150" s="1362"/>
      <c r="K15150" s="1362"/>
      <c r="L15150" s="1362"/>
    </row>
    <row r="15151" spans="1:12" x14ac:dyDescent="0.25">
      <c r="A15151">
        <v>87541</v>
      </c>
      <c r="B15151" t="s">
        <v>2171</v>
      </c>
      <c r="C15151" t="s">
        <v>297</v>
      </c>
      <c r="D15151" s="254">
        <v>58.99</v>
      </c>
      <c r="E15151"/>
      <c r="F15151"/>
      <c r="G15151"/>
      <c r="H15151"/>
      <c r="I15151" s="489"/>
      <c r="J15151" s="1362"/>
      <c r="K15151" s="1362"/>
      <c r="L15151" s="1362"/>
    </row>
    <row r="15152" spans="1:12" x14ac:dyDescent="0.25">
      <c r="A15152">
        <v>87543</v>
      </c>
      <c r="B15152" t="s">
        <v>2172</v>
      </c>
      <c r="C15152" t="s">
        <v>297</v>
      </c>
      <c r="D15152" s="254">
        <v>21.55</v>
      </c>
      <c r="E15152"/>
      <c r="F15152"/>
      <c r="G15152"/>
      <c r="H15152"/>
      <c r="I15152" s="489"/>
      <c r="J15152" s="1362"/>
      <c r="K15152" s="1362"/>
      <c r="L15152" s="1362"/>
    </row>
    <row r="15153" spans="1:12" x14ac:dyDescent="0.25">
      <c r="A15153">
        <v>87545</v>
      </c>
      <c r="B15153" t="s">
        <v>2173</v>
      </c>
      <c r="C15153" t="s">
        <v>297</v>
      </c>
      <c r="D15153" s="254">
        <v>29.34</v>
      </c>
      <c r="E15153"/>
      <c r="F15153"/>
      <c r="G15153"/>
      <c r="H15153"/>
      <c r="I15153" s="489"/>
      <c r="J15153" s="1362"/>
      <c r="K15153" s="1362"/>
      <c r="L15153" s="1362"/>
    </row>
    <row r="15154" spans="1:12" x14ac:dyDescent="0.25">
      <c r="A15154">
        <v>87546</v>
      </c>
      <c r="B15154" t="s">
        <v>2174</v>
      </c>
      <c r="C15154" t="s">
        <v>297</v>
      </c>
      <c r="D15154" s="254">
        <v>32.06</v>
      </c>
      <c r="E15154"/>
      <c r="F15154"/>
      <c r="G15154"/>
      <c r="H15154"/>
      <c r="I15154" s="489"/>
      <c r="J15154" s="1362"/>
      <c r="K15154" s="1362"/>
      <c r="L15154" s="1362"/>
    </row>
    <row r="15155" spans="1:12" x14ac:dyDescent="0.25">
      <c r="A15155">
        <v>87547</v>
      </c>
      <c r="B15155" t="s">
        <v>2175</v>
      </c>
      <c r="C15155" t="s">
        <v>297</v>
      </c>
      <c r="D15155" s="254">
        <v>25.18</v>
      </c>
      <c r="E15155"/>
      <c r="F15155"/>
      <c r="G15155"/>
      <c r="H15155"/>
      <c r="I15155" s="489"/>
      <c r="J15155" s="1362"/>
      <c r="K15155" s="1362"/>
      <c r="L15155" s="1362"/>
    </row>
    <row r="15156" spans="1:12" x14ac:dyDescent="0.25">
      <c r="A15156">
        <v>87548</v>
      </c>
      <c r="B15156" t="s">
        <v>2176</v>
      </c>
      <c r="C15156" t="s">
        <v>297</v>
      </c>
      <c r="D15156" s="254">
        <v>27.9</v>
      </c>
      <c r="E15156"/>
      <c r="F15156"/>
      <c r="G15156"/>
      <c r="H15156"/>
      <c r="I15156" s="489"/>
      <c r="J15156" s="1362"/>
      <c r="K15156" s="1362"/>
      <c r="L15156" s="1362"/>
    </row>
    <row r="15157" spans="1:12" x14ac:dyDescent="0.25">
      <c r="A15157">
        <v>87549</v>
      </c>
      <c r="B15157" t="s">
        <v>2177</v>
      </c>
      <c r="C15157" t="s">
        <v>297</v>
      </c>
      <c r="D15157" s="254">
        <v>23.67</v>
      </c>
      <c r="E15157"/>
      <c r="F15157"/>
      <c r="G15157"/>
      <c r="H15157"/>
      <c r="I15157" s="489"/>
      <c r="J15157" s="1362"/>
      <c r="K15157" s="1362"/>
      <c r="L15157" s="1362"/>
    </row>
    <row r="15158" spans="1:12" x14ac:dyDescent="0.25">
      <c r="A15158">
        <v>87550</v>
      </c>
      <c r="B15158" t="s">
        <v>2178</v>
      </c>
      <c r="C15158" t="s">
        <v>297</v>
      </c>
      <c r="D15158" s="254">
        <v>26.39</v>
      </c>
      <c r="E15158"/>
      <c r="F15158"/>
      <c r="G15158"/>
      <c r="H15158"/>
      <c r="I15158" s="489"/>
      <c r="J15158" s="1362"/>
      <c r="K15158" s="1362"/>
      <c r="L15158" s="1362"/>
    </row>
    <row r="15159" spans="1:12" x14ac:dyDescent="0.25">
      <c r="A15159">
        <v>87553</v>
      </c>
      <c r="B15159" t="s">
        <v>2179</v>
      </c>
      <c r="C15159" t="s">
        <v>297</v>
      </c>
      <c r="D15159" s="254">
        <v>19.489999999999998</v>
      </c>
      <c r="E15159"/>
      <c r="F15159"/>
      <c r="G15159"/>
      <c r="H15159"/>
      <c r="I15159" s="489"/>
      <c r="J15159" s="1362"/>
      <c r="K15159" s="1362"/>
      <c r="L15159" s="1362"/>
    </row>
    <row r="15160" spans="1:12" x14ac:dyDescent="0.25">
      <c r="A15160">
        <v>87554</v>
      </c>
      <c r="B15160" t="s">
        <v>2180</v>
      </c>
      <c r="C15160" t="s">
        <v>297</v>
      </c>
      <c r="D15160" s="254">
        <v>22.21</v>
      </c>
      <c r="E15160"/>
      <c r="F15160"/>
      <c r="G15160"/>
      <c r="H15160"/>
      <c r="I15160" s="489"/>
      <c r="J15160" s="1362"/>
      <c r="K15160" s="1362"/>
      <c r="L15160" s="1362"/>
    </row>
    <row r="15161" spans="1:12" x14ac:dyDescent="0.25">
      <c r="A15161">
        <v>87555</v>
      </c>
      <c r="B15161" t="s">
        <v>2181</v>
      </c>
      <c r="C15161" t="s">
        <v>297</v>
      </c>
      <c r="D15161" s="254">
        <v>42.04</v>
      </c>
      <c r="E15161"/>
      <c r="F15161"/>
      <c r="G15161"/>
      <c r="H15161"/>
      <c r="I15161" s="489"/>
      <c r="J15161" s="1362"/>
      <c r="K15161" s="1362"/>
      <c r="L15161" s="1362"/>
    </row>
    <row r="15162" spans="1:12" x14ac:dyDescent="0.25">
      <c r="A15162">
        <v>87556</v>
      </c>
      <c r="B15162" t="s">
        <v>2182</v>
      </c>
      <c r="C15162" t="s">
        <v>297</v>
      </c>
      <c r="D15162" s="254">
        <v>38.42</v>
      </c>
      <c r="E15162"/>
      <c r="F15162"/>
      <c r="G15162"/>
      <c r="H15162"/>
      <c r="I15162" s="489"/>
      <c r="J15162" s="1362"/>
      <c r="K15162" s="1362"/>
      <c r="L15162" s="1362"/>
    </row>
    <row r="15163" spans="1:12" x14ac:dyDescent="0.25">
      <c r="A15163">
        <v>87557</v>
      </c>
      <c r="B15163" t="s">
        <v>2183</v>
      </c>
      <c r="C15163" t="s">
        <v>297</v>
      </c>
      <c r="D15163" s="254">
        <v>37.090000000000003</v>
      </c>
      <c r="E15163"/>
      <c r="F15163"/>
      <c r="G15163"/>
      <c r="H15163"/>
      <c r="I15163" s="489"/>
      <c r="J15163" s="1362"/>
      <c r="K15163" s="1362"/>
      <c r="L15163" s="1362"/>
    </row>
    <row r="15164" spans="1:12" x14ac:dyDescent="0.25">
      <c r="A15164">
        <v>87559</v>
      </c>
      <c r="B15164" t="s">
        <v>2184</v>
      </c>
      <c r="C15164" t="s">
        <v>297</v>
      </c>
      <c r="D15164" s="254">
        <v>33.46</v>
      </c>
      <c r="E15164"/>
      <c r="F15164"/>
      <c r="G15164"/>
      <c r="H15164"/>
      <c r="I15164" s="489"/>
      <c r="J15164" s="1362"/>
      <c r="K15164" s="1362"/>
      <c r="L15164" s="1362"/>
    </row>
    <row r="15165" spans="1:12" x14ac:dyDescent="0.25">
      <c r="A15165">
        <v>87561</v>
      </c>
      <c r="B15165" t="s">
        <v>2185</v>
      </c>
      <c r="C15165" t="s">
        <v>297</v>
      </c>
      <c r="D15165" s="254">
        <v>37.42</v>
      </c>
      <c r="E15165"/>
      <c r="F15165"/>
      <c r="G15165"/>
      <c r="H15165"/>
      <c r="I15165" s="489"/>
      <c r="J15165" s="1362"/>
      <c r="K15165" s="1362"/>
      <c r="L15165" s="1362"/>
    </row>
    <row r="15166" spans="1:12" x14ac:dyDescent="0.25">
      <c r="A15166">
        <v>87775</v>
      </c>
      <c r="B15166" t="s">
        <v>19735</v>
      </c>
      <c r="C15166" t="s">
        <v>297</v>
      </c>
      <c r="D15166" s="254">
        <v>55.39</v>
      </c>
      <c r="E15166"/>
      <c r="F15166"/>
      <c r="G15166"/>
      <c r="H15166"/>
      <c r="I15166" s="489"/>
      <c r="J15166" s="1362"/>
      <c r="K15166" s="1362"/>
      <c r="L15166" s="1362"/>
    </row>
    <row r="15167" spans="1:12" x14ac:dyDescent="0.25">
      <c r="A15167">
        <v>87777</v>
      </c>
      <c r="B15167" t="s">
        <v>19736</v>
      </c>
      <c r="C15167" t="s">
        <v>297</v>
      </c>
      <c r="D15167" s="254">
        <v>59.39</v>
      </c>
      <c r="E15167"/>
      <c r="F15167"/>
      <c r="G15167"/>
      <c r="H15167"/>
      <c r="I15167" s="489"/>
      <c r="J15167" s="1362"/>
      <c r="K15167" s="1362"/>
      <c r="L15167" s="1362"/>
    </row>
    <row r="15168" spans="1:12" x14ac:dyDescent="0.25">
      <c r="A15168">
        <v>87778</v>
      </c>
      <c r="B15168" t="s">
        <v>19737</v>
      </c>
      <c r="C15168" t="s">
        <v>297</v>
      </c>
      <c r="D15168" s="254">
        <v>76.260000000000005</v>
      </c>
      <c r="E15168"/>
      <c r="F15168"/>
      <c r="G15168"/>
      <c r="H15168"/>
      <c r="I15168" s="489"/>
      <c r="J15168" s="1362"/>
      <c r="K15168" s="1362"/>
      <c r="L15168" s="1362"/>
    </row>
    <row r="15169" spans="1:12" x14ac:dyDescent="0.25">
      <c r="A15169">
        <v>87779</v>
      </c>
      <c r="B15169" t="s">
        <v>19738</v>
      </c>
      <c r="C15169" t="s">
        <v>297</v>
      </c>
      <c r="D15169" s="254">
        <v>71.099999999999994</v>
      </c>
      <c r="E15169"/>
      <c r="F15169"/>
      <c r="G15169"/>
      <c r="H15169"/>
      <c r="I15169" s="489"/>
      <c r="J15169" s="1362"/>
      <c r="K15169" s="1362"/>
      <c r="L15169" s="1362"/>
    </row>
    <row r="15170" spans="1:12" x14ac:dyDescent="0.25">
      <c r="A15170">
        <v>87781</v>
      </c>
      <c r="B15170" t="s">
        <v>19739</v>
      </c>
      <c r="C15170" t="s">
        <v>297</v>
      </c>
      <c r="D15170" s="254">
        <v>76.48</v>
      </c>
      <c r="E15170"/>
      <c r="F15170"/>
      <c r="G15170"/>
      <c r="H15170"/>
      <c r="I15170" s="489"/>
      <c r="J15170" s="1362"/>
      <c r="K15170" s="1362"/>
      <c r="L15170" s="1362"/>
    </row>
    <row r="15171" spans="1:12" x14ac:dyDescent="0.25">
      <c r="A15171">
        <v>87783</v>
      </c>
      <c r="B15171" t="s">
        <v>19740</v>
      </c>
      <c r="C15171" t="s">
        <v>297</v>
      </c>
      <c r="D15171" s="254">
        <v>99.33</v>
      </c>
      <c r="E15171"/>
      <c r="F15171"/>
      <c r="G15171"/>
      <c r="H15171"/>
      <c r="I15171" s="489"/>
      <c r="J15171" s="1362"/>
      <c r="K15171" s="1362"/>
      <c r="L15171" s="1362"/>
    </row>
    <row r="15172" spans="1:12" x14ac:dyDescent="0.25">
      <c r="A15172">
        <v>87784</v>
      </c>
      <c r="B15172" t="s">
        <v>19741</v>
      </c>
      <c r="C15172" t="s">
        <v>297</v>
      </c>
      <c r="D15172" s="254">
        <v>77.069999999999993</v>
      </c>
      <c r="E15172"/>
      <c r="F15172"/>
      <c r="G15172"/>
      <c r="H15172"/>
      <c r="I15172" s="489"/>
      <c r="J15172" s="1362"/>
      <c r="K15172" s="1362"/>
      <c r="L15172" s="1362"/>
    </row>
    <row r="15173" spans="1:12" x14ac:dyDescent="0.25">
      <c r="A15173">
        <v>87786</v>
      </c>
      <c r="B15173" t="s">
        <v>19742</v>
      </c>
      <c r="C15173" t="s">
        <v>297</v>
      </c>
      <c r="D15173" s="254">
        <v>83.81</v>
      </c>
      <c r="E15173"/>
      <c r="F15173"/>
      <c r="G15173"/>
      <c r="H15173"/>
      <c r="I15173" s="489"/>
      <c r="J15173" s="1362"/>
      <c r="K15173" s="1362"/>
      <c r="L15173" s="1362"/>
    </row>
    <row r="15174" spans="1:12" x14ac:dyDescent="0.25">
      <c r="A15174">
        <v>87787</v>
      </c>
      <c r="B15174" t="s">
        <v>19743</v>
      </c>
      <c r="C15174" t="s">
        <v>297</v>
      </c>
      <c r="D15174" s="254">
        <v>113.49</v>
      </c>
      <c r="E15174"/>
      <c r="F15174"/>
      <c r="G15174"/>
      <c r="H15174"/>
      <c r="I15174" s="489"/>
      <c r="J15174" s="1362"/>
      <c r="K15174" s="1362"/>
      <c r="L15174" s="1362"/>
    </row>
    <row r="15175" spans="1:12" x14ac:dyDescent="0.25">
      <c r="A15175">
        <v>87788</v>
      </c>
      <c r="B15175" t="s">
        <v>19744</v>
      </c>
      <c r="C15175" t="s">
        <v>297</v>
      </c>
      <c r="D15175" s="254">
        <v>91.09</v>
      </c>
      <c r="E15175"/>
      <c r="F15175"/>
      <c r="G15175"/>
      <c r="H15175"/>
      <c r="I15175" s="489"/>
      <c r="J15175" s="1362"/>
      <c r="K15175" s="1362"/>
      <c r="L15175" s="1362"/>
    </row>
    <row r="15176" spans="1:12" x14ac:dyDescent="0.25">
      <c r="A15176">
        <v>87790</v>
      </c>
      <c r="B15176" t="s">
        <v>2186</v>
      </c>
      <c r="C15176" t="s">
        <v>297</v>
      </c>
      <c r="D15176" s="254">
        <v>98.5</v>
      </c>
      <c r="E15176"/>
      <c r="F15176"/>
      <c r="G15176"/>
      <c r="H15176"/>
      <c r="I15176" s="489"/>
      <c r="J15176" s="1362"/>
      <c r="K15176" s="1362"/>
      <c r="L15176" s="1362"/>
    </row>
    <row r="15177" spans="1:12" x14ac:dyDescent="0.25">
      <c r="A15177">
        <v>87791</v>
      </c>
      <c r="B15177" t="s">
        <v>19745</v>
      </c>
      <c r="C15177" t="s">
        <v>297</v>
      </c>
      <c r="D15177" s="254">
        <v>125.07</v>
      </c>
      <c r="E15177"/>
      <c r="F15177"/>
      <c r="G15177"/>
      <c r="H15177"/>
      <c r="I15177" s="489"/>
      <c r="J15177" s="1362"/>
      <c r="K15177" s="1362"/>
      <c r="L15177" s="1362"/>
    </row>
    <row r="15178" spans="1:12" x14ac:dyDescent="0.25">
      <c r="A15178">
        <v>87792</v>
      </c>
      <c r="B15178" t="s">
        <v>19746</v>
      </c>
      <c r="C15178" t="s">
        <v>297</v>
      </c>
      <c r="D15178" s="254">
        <v>40.799999999999997</v>
      </c>
      <c r="E15178"/>
      <c r="F15178"/>
      <c r="G15178"/>
      <c r="H15178"/>
      <c r="I15178" s="489"/>
      <c r="J15178" s="1362"/>
      <c r="K15178" s="1362"/>
      <c r="L15178" s="1362"/>
    </row>
    <row r="15179" spans="1:12" x14ac:dyDescent="0.25">
      <c r="A15179">
        <v>87794</v>
      </c>
      <c r="B15179" t="s">
        <v>19747</v>
      </c>
      <c r="C15179" t="s">
        <v>297</v>
      </c>
      <c r="D15179" s="254">
        <v>44.54</v>
      </c>
      <c r="E15179"/>
      <c r="F15179"/>
      <c r="G15179"/>
      <c r="H15179"/>
      <c r="I15179" s="489"/>
      <c r="J15179" s="1362"/>
      <c r="K15179" s="1362"/>
      <c r="L15179" s="1362"/>
    </row>
    <row r="15180" spans="1:12" x14ac:dyDescent="0.25">
      <c r="A15180">
        <v>87795</v>
      </c>
      <c r="B15180" t="s">
        <v>19748</v>
      </c>
      <c r="C15180" t="s">
        <v>297</v>
      </c>
      <c r="D15180" s="254">
        <v>61.35</v>
      </c>
      <c r="E15180"/>
      <c r="F15180"/>
      <c r="G15180"/>
      <c r="H15180"/>
      <c r="I15180" s="489"/>
      <c r="J15180" s="1362"/>
      <c r="K15180" s="1362"/>
      <c r="L15180" s="1362"/>
    </row>
    <row r="15181" spans="1:12" x14ac:dyDescent="0.25">
      <c r="A15181">
        <v>87797</v>
      </c>
      <c r="B15181" t="s">
        <v>19749</v>
      </c>
      <c r="C15181" t="s">
        <v>297</v>
      </c>
      <c r="D15181" s="254">
        <v>56.18</v>
      </c>
      <c r="E15181"/>
      <c r="F15181"/>
      <c r="G15181"/>
      <c r="H15181"/>
      <c r="I15181" s="489"/>
      <c r="J15181" s="1362"/>
      <c r="K15181" s="1362"/>
      <c r="L15181" s="1362"/>
    </row>
    <row r="15182" spans="1:12" x14ac:dyDescent="0.25">
      <c r="A15182">
        <v>87799</v>
      </c>
      <c r="B15182" t="s">
        <v>19750</v>
      </c>
      <c r="C15182" t="s">
        <v>297</v>
      </c>
      <c r="D15182" s="254">
        <v>61.2</v>
      </c>
      <c r="E15182"/>
      <c r="F15182"/>
      <c r="G15182"/>
      <c r="H15182"/>
      <c r="I15182" s="489"/>
      <c r="J15182" s="1362"/>
      <c r="K15182" s="1362"/>
      <c r="L15182" s="1362"/>
    </row>
    <row r="15183" spans="1:12" x14ac:dyDescent="0.25">
      <c r="A15183">
        <v>87800</v>
      </c>
      <c r="B15183" t="s">
        <v>19751</v>
      </c>
      <c r="C15183" t="s">
        <v>297</v>
      </c>
      <c r="D15183" s="254">
        <v>83.44</v>
      </c>
      <c r="E15183"/>
      <c r="F15183"/>
      <c r="G15183"/>
      <c r="H15183"/>
      <c r="I15183" s="489"/>
      <c r="J15183" s="1362"/>
      <c r="K15183" s="1362"/>
      <c r="L15183" s="1362"/>
    </row>
    <row r="15184" spans="1:12" x14ac:dyDescent="0.25">
      <c r="A15184">
        <v>87801</v>
      </c>
      <c r="B15184" t="s">
        <v>19752</v>
      </c>
      <c r="C15184" t="s">
        <v>297</v>
      </c>
      <c r="D15184" s="254">
        <v>61.76</v>
      </c>
      <c r="E15184"/>
      <c r="F15184"/>
      <c r="G15184"/>
      <c r="H15184"/>
      <c r="I15184" s="489"/>
      <c r="J15184" s="1362"/>
      <c r="K15184" s="1362"/>
      <c r="L15184" s="1362"/>
    </row>
    <row r="15185" spans="1:12" x14ac:dyDescent="0.25">
      <c r="A15185">
        <v>87803</v>
      </c>
      <c r="B15185" t="s">
        <v>19753</v>
      </c>
      <c r="C15185" t="s">
        <v>297</v>
      </c>
      <c r="D15185" s="254">
        <v>68.05</v>
      </c>
      <c r="E15185"/>
      <c r="F15185"/>
      <c r="G15185"/>
      <c r="H15185"/>
      <c r="I15185" s="489"/>
      <c r="J15185" s="1362"/>
      <c r="K15185" s="1362"/>
      <c r="L15185" s="1362"/>
    </row>
    <row r="15186" spans="1:12" x14ac:dyDescent="0.25">
      <c r="A15186">
        <v>87804</v>
      </c>
      <c r="B15186" t="s">
        <v>19754</v>
      </c>
      <c r="C15186" t="s">
        <v>297</v>
      </c>
      <c r="D15186" s="254">
        <v>96.68</v>
      </c>
      <c r="E15186"/>
      <c r="F15186"/>
      <c r="G15186"/>
      <c r="H15186"/>
      <c r="I15186" s="489"/>
      <c r="J15186" s="1362"/>
      <c r="K15186" s="1362"/>
      <c r="L15186" s="1362"/>
    </row>
    <row r="15187" spans="1:12" x14ac:dyDescent="0.25">
      <c r="A15187">
        <v>87805</v>
      </c>
      <c r="B15187" t="s">
        <v>19755</v>
      </c>
      <c r="C15187" t="s">
        <v>297</v>
      </c>
      <c r="D15187" s="254">
        <v>67.36</v>
      </c>
      <c r="E15187"/>
      <c r="F15187"/>
      <c r="G15187"/>
      <c r="H15187"/>
      <c r="I15187" s="489"/>
      <c r="J15187" s="1362"/>
      <c r="K15187" s="1362"/>
      <c r="L15187" s="1362"/>
    </row>
    <row r="15188" spans="1:12" x14ac:dyDescent="0.25">
      <c r="A15188">
        <v>87807</v>
      </c>
      <c r="B15188" t="s">
        <v>19756</v>
      </c>
      <c r="C15188" t="s">
        <v>297</v>
      </c>
      <c r="D15188" s="254">
        <v>74.290000000000006</v>
      </c>
      <c r="E15188"/>
      <c r="F15188"/>
      <c r="G15188"/>
      <c r="H15188"/>
      <c r="I15188" s="489"/>
      <c r="J15188" s="1362"/>
      <c r="K15188" s="1362"/>
      <c r="L15188" s="1362"/>
    </row>
    <row r="15189" spans="1:12" x14ac:dyDescent="0.25">
      <c r="A15189">
        <v>87808</v>
      </c>
      <c r="B15189" t="s">
        <v>19757</v>
      </c>
      <c r="C15189" t="s">
        <v>297</v>
      </c>
      <c r="D15189" s="254">
        <v>102.58</v>
      </c>
      <c r="E15189"/>
      <c r="F15189"/>
      <c r="G15189"/>
      <c r="H15189"/>
      <c r="I15189" s="489"/>
      <c r="J15189" s="1362"/>
      <c r="K15189" s="1362"/>
      <c r="L15189" s="1362"/>
    </row>
    <row r="15190" spans="1:12" x14ac:dyDescent="0.25">
      <c r="A15190">
        <v>87809</v>
      </c>
      <c r="B15190" t="s">
        <v>19758</v>
      </c>
      <c r="C15190" t="s">
        <v>297</v>
      </c>
      <c r="D15190" s="254">
        <v>78.650000000000006</v>
      </c>
      <c r="E15190"/>
      <c r="F15190"/>
      <c r="G15190"/>
      <c r="H15190"/>
      <c r="I15190" s="489"/>
      <c r="J15190" s="1362"/>
      <c r="K15190" s="1362"/>
      <c r="L15190" s="1362"/>
    </row>
    <row r="15191" spans="1:12" x14ac:dyDescent="0.25">
      <c r="A15191">
        <v>87811</v>
      </c>
      <c r="B15191" t="s">
        <v>19759</v>
      </c>
      <c r="C15191" t="s">
        <v>297</v>
      </c>
      <c r="D15191" s="254">
        <v>82.39</v>
      </c>
      <c r="E15191"/>
      <c r="F15191"/>
      <c r="G15191"/>
      <c r="H15191"/>
      <c r="I15191" s="489"/>
      <c r="J15191" s="1362"/>
      <c r="K15191" s="1362"/>
      <c r="L15191" s="1362"/>
    </row>
    <row r="15192" spans="1:12" x14ac:dyDescent="0.25">
      <c r="A15192">
        <v>87812</v>
      </c>
      <c r="B15192" t="s">
        <v>19760</v>
      </c>
      <c r="C15192" t="s">
        <v>297</v>
      </c>
      <c r="D15192" s="254">
        <v>95.4</v>
      </c>
      <c r="E15192"/>
      <c r="F15192"/>
      <c r="G15192"/>
      <c r="H15192"/>
      <c r="I15192" s="489"/>
      <c r="J15192" s="1362"/>
      <c r="K15192" s="1362"/>
      <c r="L15192" s="1362"/>
    </row>
    <row r="15193" spans="1:12" x14ac:dyDescent="0.25">
      <c r="A15193">
        <v>87813</v>
      </c>
      <c r="B15193" t="s">
        <v>19761</v>
      </c>
      <c r="C15193" t="s">
        <v>297</v>
      </c>
      <c r="D15193" s="254">
        <v>94.02</v>
      </c>
      <c r="E15193"/>
      <c r="F15193"/>
      <c r="G15193"/>
      <c r="H15193"/>
      <c r="I15193" s="489"/>
      <c r="J15193" s="1362"/>
      <c r="K15193" s="1362"/>
      <c r="L15193" s="1362"/>
    </row>
    <row r="15194" spans="1:12" x14ac:dyDescent="0.25">
      <c r="A15194">
        <v>87815</v>
      </c>
      <c r="B15194" t="s">
        <v>19762</v>
      </c>
      <c r="C15194" t="s">
        <v>297</v>
      </c>
      <c r="D15194" s="254">
        <v>99.04</v>
      </c>
      <c r="E15194"/>
      <c r="F15194"/>
      <c r="G15194"/>
      <c r="H15194"/>
      <c r="I15194" s="489"/>
      <c r="J15194" s="1362"/>
      <c r="K15194" s="1362"/>
      <c r="L15194" s="1362"/>
    </row>
    <row r="15195" spans="1:12" x14ac:dyDescent="0.25">
      <c r="A15195">
        <v>87816</v>
      </c>
      <c r="B15195" t="s">
        <v>19763</v>
      </c>
      <c r="C15195" t="s">
        <v>297</v>
      </c>
      <c r="D15195" s="254">
        <v>117.55</v>
      </c>
      <c r="E15195"/>
      <c r="F15195"/>
      <c r="G15195"/>
      <c r="H15195"/>
      <c r="I15195" s="489"/>
      <c r="J15195" s="1362"/>
      <c r="K15195" s="1362"/>
      <c r="L15195" s="1362"/>
    </row>
    <row r="15196" spans="1:12" x14ac:dyDescent="0.25">
      <c r="A15196">
        <v>87817</v>
      </c>
      <c r="B15196" t="s">
        <v>19764</v>
      </c>
      <c r="C15196" t="s">
        <v>297</v>
      </c>
      <c r="D15196" s="254">
        <v>99.6</v>
      </c>
      <c r="E15196"/>
      <c r="F15196"/>
      <c r="G15196"/>
      <c r="H15196"/>
      <c r="I15196" s="489"/>
      <c r="J15196" s="1362"/>
      <c r="K15196" s="1362"/>
      <c r="L15196" s="1362"/>
    </row>
    <row r="15197" spans="1:12" x14ac:dyDescent="0.25">
      <c r="A15197">
        <v>87819</v>
      </c>
      <c r="B15197" t="s">
        <v>19765</v>
      </c>
      <c r="C15197" t="s">
        <v>297</v>
      </c>
      <c r="D15197" s="254">
        <v>105.89</v>
      </c>
      <c r="E15197"/>
      <c r="F15197"/>
      <c r="G15197"/>
      <c r="H15197"/>
      <c r="I15197" s="489"/>
      <c r="J15197" s="1362"/>
      <c r="K15197" s="1362"/>
      <c r="L15197" s="1362"/>
    </row>
    <row r="15198" spans="1:12" x14ac:dyDescent="0.25">
      <c r="A15198">
        <v>87820</v>
      </c>
      <c r="B15198" t="s">
        <v>19766</v>
      </c>
      <c r="C15198" t="s">
        <v>297</v>
      </c>
      <c r="D15198" s="254">
        <v>130.79</v>
      </c>
      <c r="E15198"/>
      <c r="F15198"/>
      <c r="G15198"/>
      <c r="H15198"/>
      <c r="I15198" s="489"/>
      <c r="J15198" s="1362"/>
      <c r="K15198" s="1362"/>
      <c r="L15198" s="1362"/>
    </row>
    <row r="15199" spans="1:12" x14ac:dyDescent="0.25">
      <c r="A15199">
        <v>87821</v>
      </c>
      <c r="B15199" t="s">
        <v>19767</v>
      </c>
      <c r="C15199" t="s">
        <v>297</v>
      </c>
      <c r="D15199" s="254">
        <v>129.91999999999999</v>
      </c>
      <c r="E15199"/>
      <c r="F15199"/>
      <c r="G15199"/>
      <c r="H15199"/>
      <c r="I15199" s="489"/>
      <c r="J15199" s="1362"/>
      <c r="K15199" s="1362"/>
      <c r="L15199" s="1362"/>
    </row>
    <row r="15200" spans="1:12" x14ac:dyDescent="0.25">
      <c r="A15200">
        <v>87823</v>
      </c>
      <c r="B15200" t="s">
        <v>19768</v>
      </c>
      <c r="C15200" t="s">
        <v>297</v>
      </c>
      <c r="D15200" s="254">
        <v>136.85</v>
      </c>
      <c r="E15200"/>
      <c r="F15200"/>
      <c r="G15200"/>
      <c r="H15200"/>
      <c r="I15200" s="489"/>
      <c r="J15200" s="1362"/>
      <c r="K15200" s="1362"/>
      <c r="L15200" s="1362"/>
    </row>
    <row r="15201" spans="1:12" x14ac:dyDescent="0.25">
      <c r="A15201">
        <v>87824</v>
      </c>
      <c r="B15201" t="s">
        <v>19769</v>
      </c>
      <c r="C15201" t="s">
        <v>297</v>
      </c>
      <c r="D15201" s="254">
        <v>152.68</v>
      </c>
      <c r="E15201"/>
      <c r="F15201"/>
      <c r="G15201"/>
      <c r="H15201"/>
      <c r="I15201" s="489"/>
      <c r="J15201" s="1362"/>
      <c r="K15201" s="1362"/>
      <c r="L15201" s="1362"/>
    </row>
    <row r="15202" spans="1:12" x14ac:dyDescent="0.25">
      <c r="A15202">
        <v>87825</v>
      </c>
      <c r="B15202" t="s">
        <v>19770</v>
      </c>
      <c r="C15202" t="s">
        <v>297</v>
      </c>
      <c r="D15202" s="254">
        <v>73.17</v>
      </c>
      <c r="E15202"/>
      <c r="F15202"/>
      <c r="G15202"/>
      <c r="H15202"/>
      <c r="I15202" s="489"/>
      <c r="J15202" s="1362"/>
      <c r="K15202" s="1362"/>
      <c r="L15202" s="1362"/>
    </row>
    <row r="15203" spans="1:12" x14ac:dyDescent="0.25">
      <c r="A15203">
        <v>87827</v>
      </c>
      <c r="B15203" t="s">
        <v>19771</v>
      </c>
      <c r="C15203" t="s">
        <v>297</v>
      </c>
      <c r="D15203" s="254">
        <v>77.75</v>
      </c>
      <c r="E15203"/>
      <c r="F15203"/>
      <c r="G15203"/>
      <c r="H15203"/>
      <c r="I15203" s="489"/>
      <c r="J15203" s="1362"/>
      <c r="K15203" s="1362"/>
      <c r="L15203" s="1362"/>
    </row>
    <row r="15204" spans="1:12" x14ac:dyDescent="0.25">
      <c r="A15204">
        <v>87828</v>
      </c>
      <c r="B15204" t="s">
        <v>19772</v>
      </c>
      <c r="C15204" t="s">
        <v>297</v>
      </c>
      <c r="D15204" s="254">
        <v>95.88</v>
      </c>
      <c r="E15204"/>
      <c r="F15204"/>
      <c r="G15204"/>
      <c r="H15204"/>
      <c r="I15204" s="489"/>
      <c r="J15204" s="1362"/>
      <c r="K15204" s="1362"/>
      <c r="L15204" s="1362"/>
    </row>
    <row r="15205" spans="1:12" x14ac:dyDescent="0.25">
      <c r="A15205">
        <v>87829</v>
      </c>
      <c r="B15205" t="s">
        <v>19773</v>
      </c>
      <c r="C15205" t="s">
        <v>297</v>
      </c>
      <c r="D15205" s="254">
        <v>88.32</v>
      </c>
      <c r="E15205"/>
      <c r="F15205"/>
      <c r="G15205"/>
      <c r="H15205"/>
      <c r="I15205" s="489"/>
      <c r="J15205" s="1362"/>
      <c r="K15205" s="1362"/>
      <c r="L15205" s="1362"/>
    </row>
    <row r="15206" spans="1:12" x14ac:dyDescent="0.25">
      <c r="A15206">
        <v>87831</v>
      </c>
      <c r="B15206" t="s">
        <v>19774</v>
      </c>
      <c r="C15206" t="s">
        <v>297</v>
      </c>
      <c r="D15206" s="254">
        <v>94.46</v>
      </c>
      <c r="E15206"/>
      <c r="F15206"/>
      <c r="G15206"/>
      <c r="H15206"/>
      <c r="I15206" s="489"/>
      <c r="J15206" s="1362"/>
      <c r="K15206" s="1362"/>
      <c r="L15206" s="1362"/>
    </row>
    <row r="15207" spans="1:12" x14ac:dyDescent="0.25">
      <c r="A15207">
        <v>87832</v>
      </c>
      <c r="B15207" t="s">
        <v>19775</v>
      </c>
      <c r="C15207" t="s">
        <v>297</v>
      </c>
      <c r="D15207" s="254">
        <v>119.62</v>
      </c>
      <c r="E15207"/>
      <c r="F15207"/>
      <c r="G15207"/>
      <c r="H15207"/>
      <c r="I15207" s="489"/>
      <c r="J15207" s="1362"/>
      <c r="K15207" s="1362"/>
      <c r="L15207" s="1362"/>
    </row>
    <row r="15208" spans="1:12" x14ac:dyDescent="0.25">
      <c r="A15208">
        <v>87834</v>
      </c>
      <c r="B15208" t="s">
        <v>2187</v>
      </c>
      <c r="C15208" t="s">
        <v>297</v>
      </c>
      <c r="D15208" s="254">
        <v>155.81</v>
      </c>
      <c r="E15208"/>
      <c r="F15208"/>
      <c r="G15208"/>
      <c r="H15208"/>
      <c r="I15208" s="489"/>
      <c r="J15208" s="1362"/>
      <c r="K15208" s="1362"/>
      <c r="L15208" s="1362"/>
    </row>
    <row r="15209" spans="1:12" x14ac:dyDescent="0.25">
      <c r="A15209">
        <v>87835</v>
      </c>
      <c r="B15209" t="s">
        <v>2188</v>
      </c>
      <c r="C15209" t="s">
        <v>297</v>
      </c>
      <c r="D15209" s="254">
        <v>107.59</v>
      </c>
      <c r="E15209"/>
      <c r="F15209"/>
      <c r="G15209"/>
      <c r="H15209"/>
      <c r="I15209" s="489"/>
      <c r="J15209" s="1362"/>
      <c r="K15209" s="1362"/>
      <c r="L15209" s="1362"/>
    </row>
    <row r="15210" spans="1:12" x14ac:dyDescent="0.25">
      <c r="A15210">
        <v>87836</v>
      </c>
      <c r="B15210" t="s">
        <v>2189</v>
      </c>
      <c r="C15210" t="s">
        <v>297</v>
      </c>
      <c r="D15210" s="254">
        <v>147.68</v>
      </c>
      <c r="E15210"/>
      <c r="F15210"/>
      <c r="G15210"/>
      <c r="H15210"/>
      <c r="I15210" s="489"/>
      <c r="J15210" s="1362"/>
      <c r="K15210" s="1362"/>
      <c r="L15210" s="1362"/>
    </row>
    <row r="15211" spans="1:12" x14ac:dyDescent="0.25">
      <c r="A15211">
        <v>87837</v>
      </c>
      <c r="B15211" t="s">
        <v>2190</v>
      </c>
      <c r="C15211" t="s">
        <v>297</v>
      </c>
      <c r="D15211" s="254">
        <v>100.25</v>
      </c>
      <c r="E15211"/>
      <c r="F15211"/>
      <c r="G15211"/>
      <c r="H15211"/>
      <c r="I15211" s="489"/>
      <c r="J15211" s="1362"/>
      <c r="K15211" s="1362"/>
      <c r="L15211" s="1362"/>
    </row>
    <row r="15212" spans="1:12" x14ac:dyDescent="0.25">
      <c r="A15212">
        <v>87838</v>
      </c>
      <c r="B15212" t="s">
        <v>2191</v>
      </c>
      <c r="C15212" t="s">
        <v>297</v>
      </c>
      <c r="D15212" s="254">
        <v>164.26</v>
      </c>
      <c r="E15212"/>
      <c r="F15212"/>
      <c r="G15212"/>
      <c r="H15212"/>
      <c r="I15212" s="489"/>
      <c r="J15212" s="1362"/>
      <c r="K15212" s="1362"/>
      <c r="L15212" s="1362"/>
    </row>
    <row r="15213" spans="1:12" x14ac:dyDescent="0.25">
      <c r="A15213">
        <v>87839</v>
      </c>
      <c r="B15213" t="s">
        <v>2192</v>
      </c>
      <c r="C15213" t="s">
        <v>297</v>
      </c>
      <c r="D15213" s="254">
        <v>113.89</v>
      </c>
      <c r="E15213"/>
      <c r="F15213"/>
      <c r="G15213"/>
      <c r="H15213"/>
      <c r="I15213" s="489"/>
      <c r="J15213" s="1362"/>
      <c r="K15213" s="1362"/>
      <c r="L15213" s="1362"/>
    </row>
    <row r="15214" spans="1:12" x14ac:dyDescent="0.25">
      <c r="A15214">
        <v>87840</v>
      </c>
      <c r="B15214" t="s">
        <v>2193</v>
      </c>
      <c r="C15214" t="s">
        <v>297</v>
      </c>
      <c r="D15214" s="254">
        <v>154.22</v>
      </c>
      <c r="E15214"/>
      <c r="F15214"/>
      <c r="G15214"/>
      <c r="H15214"/>
      <c r="I15214" s="489"/>
      <c r="J15214" s="1362"/>
      <c r="K15214" s="1362"/>
      <c r="L15214" s="1362"/>
    </row>
    <row r="15215" spans="1:12" x14ac:dyDescent="0.25">
      <c r="A15215">
        <v>87841</v>
      </c>
      <c r="B15215" t="s">
        <v>2194</v>
      </c>
      <c r="C15215" t="s">
        <v>297</v>
      </c>
      <c r="D15215" s="254">
        <v>104.64</v>
      </c>
      <c r="E15215"/>
      <c r="F15215"/>
      <c r="G15215"/>
      <c r="H15215"/>
      <c r="I15215" s="489"/>
      <c r="J15215" s="1362"/>
      <c r="K15215" s="1362"/>
      <c r="L15215" s="1362"/>
    </row>
    <row r="15216" spans="1:12" x14ac:dyDescent="0.25">
      <c r="A15216">
        <v>87842</v>
      </c>
      <c r="B15216" t="s">
        <v>2195</v>
      </c>
      <c r="C15216" t="s">
        <v>297</v>
      </c>
      <c r="D15216" s="254">
        <v>166.68</v>
      </c>
      <c r="E15216"/>
      <c r="F15216"/>
      <c r="G15216"/>
      <c r="H15216"/>
      <c r="I15216" s="489"/>
      <c r="J15216" s="1362"/>
      <c r="K15216" s="1362"/>
      <c r="L15216" s="1362"/>
    </row>
    <row r="15217" spans="1:12" x14ac:dyDescent="0.25">
      <c r="A15217">
        <v>87843</v>
      </c>
      <c r="B15217" t="s">
        <v>2196</v>
      </c>
      <c r="C15217" t="s">
        <v>297</v>
      </c>
      <c r="D15217" s="254">
        <v>125.4</v>
      </c>
      <c r="E15217"/>
      <c r="F15217"/>
      <c r="G15217"/>
      <c r="H15217"/>
      <c r="I15217" s="489"/>
      <c r="J15217" s="1362"/>
      <c r="K15217" s="1362"/>
      <c r="L15217" s="1362"/>
    </row>
    <row r="15218" spans="1:12" x14ac:dyDescent="0.25">
      <c r="A15218">
        <v>87844</v>
      </c>
      <c r="B15218" t="s">
        <v>2197</v>
      </c>
      <c r="C15218" t="s">
        <v>297</v>
      </c>
      <c r="D15218" s="254">
        <v>151.57</v>
      </c>
      <c r="E15218"/>
      <c r="F15218"/>
      <c r="G15218"/>
      <c r="H15218"/>
      <c r="I15218" s="489"/>
      <c r="J15218" s="1362"/>
      <c r="K15218" s="1362"/>
      <c r="L15218" s="1362"/>
    </row>
    <row r="15219" spans="1:12" x14ac:dyDescent="0.25">
      <c r="A15219">
        <v>87845</v>
      </c>
      <c r="B15219" t="s">
        <v>2198</v>
      </c>
      <c r="C15219" t="s">
        <v>297</v>
      </c>
      <c r="D15219" s="254">
        <v>111.12</v>
      </c>
      <c r="E15219"/>
      <c r="F15219"/>
      <c r="G15219"/>
      <c r="H15219"/>
      <c r="I15219" s="489"/>
      <c r="J15219" s="1362"/>
      <c r="K15219" s="1362"/>
      <c r="L15219" s="1362"/>
    </row>
    <row r="15220" spans="1:12" x14ac:dyDescent="0.25">
      <c r="A15220">
        <v>87846</v>
      </c>
      <c r="B15220" t="s">
        <v>2199</v>
      </c>
      <c r="C15220" t="s">
        <v>297</v>
      </c>
      <c r="D15220" s="254">
        <v>169.81</v>
      </c>
      <c r="E15220"/>
      <c r="F15220"/>
      <c r="G15220"/>
      <c r="H15220"/>
      <c r="I15220" s="489"/>
      <c r="J15220" s="1362"/>
      <c r="K15220" s="1362"/>
      <c r="L15220" s="1362"/>
    </row>
    <row r="15221" spans="1:12" x14ac:dyDescent="0.25">
      <c r="A15221">
        <v>87847</v>
      </c>
      <c r="B15221" t="s">
        <v>2200</v>
      </c>
      <c r="C15221" t="s">
        <v>297</v>
      </c>
      <c r="D15221" s="254">
        <v>121.57</v>
      </c>
      <c r="E15221"/>
      <c r="F15221"/>
      <c r="G15221"/>
      <c r="H15221"/>
      <c r="I15221" s="489"/>
      <c r="J15221" s="1362"/>
      <c r="K15221" s="1362"/>
      <c r="L15221" s="1362"/>
    </row>
    <row r="15222" spans="1:12" x14ac:dyDescent="0.25">
      <c r="A15222">
        <v>87848</v>
      </c>
      <c r="B15222" t="s">
        <v>2201</v>
      </c>
      <c r="C15222" t="s">
        <v>297</v>
      </c>
      <c r="D15222" s="254">
        <v>160.22</v>
      </c>
      <c r="E15222"/>
      <c r="F15222"/>
      <c r="G15222"/>
      <c r="H15222"/>
      <c r="I15222" s="489"/>
      <c r="J15222" s="1362"/>
      <c r="K15222" s="1362"/>
      <c r="L15222" s="1362"/>
    </row>
    <row r="15223" spans="1:12" x14ac:dyDescent="0.25">
      <c r="A15223">
        <v>87849</v>
      </c>
      <c r="B15223" t="s">
        <v>2202</v>
      </c>
      <c r="C15223" t="s">
        <v>297</v>
      </c>
      <c r="D15223" s="254">
        <v>112.79</v>
      </c>
      <c r="E15223"/>
      <c r="F15223"/>
      <c r="G15223"/>
      <c r="H15223"/>
      <c r="I15223" s="489"/>
      <c r="J15223" s="1362"/>
      <c r="K15223" s="1362"/>
      <c r="L15223" s="1362"/>
    </row>
    <row r="15224" spans="1:12" x14ac:dyDescent="0.25">
      <c r="A15224">
        <v>87850</v>
      </c>
      <c r="B15224" t="s">
        <v>2203</v>
      </c>
      <c r="C15224" t="s">
        <v>297</v>
      </c>
      <c r="D15224" s="254">
        <v>178.29</v>
      </c>
      <c r="E15224"/>
      <c r="F15224"/>
      <c r="G15224"/>
      <c r="H15224"/>
      <c r="I15224" s="489"/>
      <c r="J15224" s="1362"/>
      <c r="K15224" s="1362"/>
      <c r="L15224" s="1362"/>
    </row>
    <row r="15225" spans="1:12" x14ac:dyDescent="0.25">
      <c r="A15225">
        <v>87851</v>
      </c>
      <c r="B15225" t="s">
        <v>2204</v>
      </c>
      <c r="C15225" t="s">
        <v>297</v>
      </c>
      <c r="D15225" s="254">
        <v>127.92</v>
      </c>
      <c r="E15225"/>
      <c r="F15225"/>
      <c r="G15225"/>
      <c r="H15225"/>
      <c r="I15225" s="489"/>
      <c r="J15225" s="1362"/>
      <c r="K15225" s="1362"/>
      <c r="L15225" s="1362"/>
    </row>
    <row r="15226" spans="1:12" x14ac:dyDescent="0.25">
      <c r="A15226">
        <v>87852</v>
      </c>
      <c r="B15226" t="s">
        <v>2205</v>
      </c>
      <c r="C15226" t="s">
        <v>297</v>
      </c>
      <c r="D15226" s="254">
        <v>166.73</v>
      </c>
      <c r="E15226"/>
      <c r="F15226"/>
      <c r="G15226"/>
      <c r="H15226"/>
      <c r="I15226" s="489"/>
      <c r="J15226" s="1362"/>
      <c r="K15226" s="1362"/>
      <c r="L15226" s="1362"/>
    </row>
    <row r="15227" spans="1:12" x14ac:dyDescent="0.25">
      <c r="A15227">
        <v>87853</v>
      </c>
      <c r="B15227" t="s">
        <v>2206</v>
      </c>
      <c r="C15227" t="s">
        <v>297</v>
      </c>
      <c r="D15227" s="254">
        <v>117.15</v>
      </c>
      <c r="E15227"/>
      <c r="F15227"/>
      <c r="G15227"/>
      <c r="H15227"/>
      <c r="I15227" s="489"/>
      <c r="J15227" s="1362"/>
      <c r="K15227" s="1362"/>
      <c r="L15227" s="1362"/>
    </row>
    <row r="15228" spans="1:12" x14ac:dyDescent="0.25">
      <c r="A15228">
        <v>87854</v>
      </c>
      <c r="B15228" t="s">
        <v>2207</v>
      </c>
      <c r="C15228" t="s">
        <v>297</v>
      </c>
      <c r="D15228" s="254">
        <v>180.67</v>
      </c>
      <c r="E15228"/>
      <c r="F15228"/>
      <c r="G15228"/>
      <c r="H15228"/>
      <c r="I15228" s="489"/>
      <c r="J15228" s="1362"/>
      <c r="K15228" s="1362"/>
      <c r="L15228" s="1362"/>
    </row>
    <row r="15229" spans="1:12" x14ac:dyDescent="0.25">
      <c r="A15229">
        <v>87855</v>
      </c>
      <c r="B15229" t="s">
        <v>2208</v>
      </c>
      <c r="C15229" t="s">
        <v>297</v>
      </c>
      <c r="D15229" s="254">
        <v>139.41</v>
      </c>
      <c r="E15229"/>
      <c r="F15229"/>
      <c r="G15229"/>
      <c r="H15229"/>
      <c r="I15229" s="489"/>
      <c r="J15229" s="1362"/>
      <c r="K15229" s="1362"/>
      <c r="L15229" s="1362"/>
    </row>
    <row r="15230" spans="1:12" x14ac:dyDescent="0.25">
      <c r="A15230">
        <v>87856</v>
      </c>
      <c r="B15230" t="s">
        <v>2209</v>
      </c>
      <c r="C15230" t="s">
        <v>297</v>
      </c>
      <c r="D15230" s="254">
        <v>164.12</v>
      </c>
      <c r="E15230"/>
      <c r="F15230"/>
      <c r="G15230"/>
      <c r="H15230"/>
      <c r="I15230" s="489"/>
      <c r="J15230" s="1362"/>
      <c r="K15230" s="1362"/>
      <c r="L15230" s="1362"/>
    </row>
    <row r="15231" spans="1:12" x14ac:dyDescent="0.25">
      <c r="A15231">
        <v>87857</v>
      </c>
      <c r="B15231" t="s">
        <v>2210</v>
      </c>
      <c r="C15231" t="s">
        <v>297</v>
      </c>
      <c r="D15231" s="254">
        <v>123.63</v>
      </c>
      <c r="E15231"/>
      <c r="F15231"/>
      <c r="G15231"/>
      <c r="H15231"/>
      <c r="I15231" s="489"/>
      <c r="J15231" s="1362"/>
      <c r="K15231" s="1362"/>
      <c r="L15231" s="1362"/>
    </row>
    <row r="15232" spans="1:12" x14ac:dyDescent="0.25">
      <c r="A15232">
        <v>87858</v>
      </c>
      <c r="B15232" t="s">
        <v>2211</v>
      </c>
      <c r="C15232" t="s">
        <v>297</v>
      </c>
      <c r="D15232" s="254">
        <v>119.19</v>
      </c>
      <c r="E15232"/>
      <c r="F15232"/>
      <c r="G15232"/>
      <c r="H15232"/>
      <c r="I15232" s="489"/>
      <c r="J15232" s="1362"/>
      <c r="K15232" s="1362"/>
      <c r="L15232" s="1362"/>
    </row>
    <row r="15233" spans="1:12" x14ac:dyDescent="0.25">
      <c r="A15233">
        <v>87859</v>
      </c>
      <c r="B15233" t="s">
        <v>2212</v>
      </c>
      <c r="C15233" t="s">
        <v>297</v>
      </c>
      <c r="D15233" s="254">
        <v>139.94</v>
      </c>
      <c r="E15233"/>
      <c r="F15233"/>
      <c r="G15233"/>
      <c r="H15233"/>
      <c r="I15233" s="489"/>
      <c r="J15233" s="1362"/>
      <c r="K15233" s="1362"/>
      <c r="L15233" s="1362"/>
    </row>
    <row r="15234" spans="1:12" x14ac:dyDescent="0.25">
      <c r="A15234">
        <v>89048</v>
      </c>
      <c r="B15234" t="s">
        <v>2213</v>
      </c>
      <c r="C15234" t="s">
        <v>297</v>
      </c>
      <c r="D15234" s="254">
        <v>39.71</v>
      </c>
      <c r="E15234"/>
      <c r="F15234"/>
      <c r="G15234"/>
      <c r="H15234"/>
      <c r="I15234" s="489"/>
      <c r="J15234" s="1362"/>
      <c r="K15234" s="1362"/>
      <c r="L15234" s="1362"/>
    </row>
    <row r="15235" spans="1:12" x14ac:dyDescent="0.25">
      <c r="A15235">
        <v>89049</v>
      </c>
      <c r="B15235" t="s">
        <v>2214</v>
      </c>
      <c r="C15235" t="s">
        <v>297</v>
      </c>
      <c r="D15235" s="254">
        <v>26.27</v>
      </c>
      <c r="E15235"/>
      <c r="F15235"/>
      <c r="G15235"/>
      <c r="H15235"/>
      <c r="I15235" s="489"/>
      <c r="J15235" s="1362"/>
      <c r="K15235" s="1362"/>
      <c r="L15235" s="1362"/>
    </row>
    <row r="15236" spans="1:12" x14ac:dyDescent="0.25">
      <c r="A15236">
        <v>89173</v>
      </c>
      <c r="B15236" t="s">
        <v>2215</v>
      </c>
      <c r="C15236" t="s">
        <v>297</v>
      </c>
      <c r="D15236" s="254">
        <v>39.04</v>
      </c>
      <c r="E15236"/>
      <c r="F15236"/>
      <c r="G15236"/>
      <c r="H15236"/>
      <c r="I15236" s="489"/>
      <c r="J15236" s="1362"/>
      <c r="K15236" s="1362"/>
      <c r="L15236" s="1362"/>
    </row>
    <row r="15237" spans="1:12" x14ac:dyDescent="0.25">
      <c r="A15237">
        <v>90406</v>
      </c>
      <c r="B15237" t="s">
        <v>2216</v>
      </c>
      <c r="C15237" t="s">
        <v>297</v>
      </c>
      <c r="D15237" s="254">
        <v>51.01</v>
      </c>
      <c r="E15237"/>
      <c r="F15237"/>
      <c r="G15237"/>
      <c r="H15237"/>
      <c r="I15237" s="489"/>
      <c r="J15237" s="1362"/>
      <c r="K15237" s="1362"/>
      <c r="L15237" s="1362"/>
    </row>
    <row r="15238" spans="1:12" x14ac:dyDescent="0.25">
      <c r="A15238">
        <v>90407</v>
      </c>
      <c r="B15238" t="s">
        <v>2217</v>
      </c>
      <c r="C15238" t="s">
        <v>297</v>
      </c>
      <c r="D15238" s="254">
        <v>55.81</v>
      </c>
      <c r="E15238"/>
      <c r="F15238"/>
      <c r="G15238"/>
      <c r="H15238"/>
      <c r="I15238" s="489"/>
      <c r="J15238" s="1362"/>
      <c r="K15238" s="1362"/>
      <c r="L15238" s="1362"/>
    </row>
    <row r="15239" spans="1:12" x14ac:dyDescent="0.25">
      <c r="A15239">
        <v>90408</v>
      </c>
      <c r="B15239" t="s">
        <v>2218</v>
      </c>
      <c r="C15239" t="s">
        <v>297</v>
      </c>
      <c r="D15239" s="254">
        <v>37.01</v>
      </c>
      <c r="E15239"/>
      <c r="F15239"/>
      <c r="G15239"/>
      <c r="H15239"/>
      <c r="I15239" s="489"/>
      <c r="J15239" s="1362"/>
      <c r="K15239" s="1362"/>
      <c r="L15239" s="1362"/>
    </row>
    <row r="15240" spans="1:12" x14ac:dyDescent="0.25">
      <c r="A15240">
        <v>90409</v>
      </c>
      <c r="B15240" t="s">
        <v>2219</v>
      </c>
      <c r="C15240" t="s">
        <v>297</v>
      </c>
      <c r="D15240" s="254">
        <v>39.729999999999997</v>
      </c>
      <c r="E15240"/>
      <c r="F15240"/>
      <c r="G15240"/>
      <c r="H15240"/>
      <c r="I15240" s="489"/>
      <c r="J15240" s="1362"/>
      <c r="K15240" s="1362"/>
      <c r="L15240" s="1362"/>
    </row>
    <row r="15241" spans="1:12" x14ac:dyDescent="0.25">
      <c r="A15241">
        <v>104203</v>
      </c>
      <c r="B15241" t="s">
        <v>19776</v>
      </c>
      <c r="C15241" t="s">
        <v>297</v>
      </c>
      <c r="D15241" s="254">
        <v>58.66</v>
      </c>
      <c r="E15241"/>
      <c r="F15241"/>
      <c r="G15241"/>
      <c r="H15241"/>
      <c r="I15241" s="489"/>
      <c r="J15241" s="1362"/>
      <c r="K15241" s="1362"/>
      <c r="L15241" s="1362"/>
    </row>
    <row r="15242" spans="1:12" x14ac:dyDescent="0.25">
      <c r="A15242">
        <v>104204</v>
      </c>
      <c r="B15242" t="s">
        <v>19777</v>
      </c>
      <c r="C15242" t="s">
        <v>297</v>
      </c>
      <c r="D15242" s="254">
        <v>75.56</v>
      </c>
      <c r="E15242"/>
      <c r="F15242"/>
      <c r="G15242"/>
      <c r="H15242"/>
      <c r="I15242" s="489"/>
      <c r="J15242" s="1362"/>
      <c r="K15242" s="1362"/>
      <c r="L15242" s="1362"/>
    </row>
    <row r="15243" spans="1:12" x14ac:dyDescent="0.25">
      <c r="A15243">
        <v>104205</v>
      </c>
      <c r="B15243" t="s">
        <v>19778</v>
      </c>
      <c r="C15243" t="s">
        <v>297</v>
      </c>
      <c r="D15243" s="254">
        <v>82.25</v>
      </c>
      <c r="E15243"/>
      <c r="F15243"/>
      <c r="G15243"/>
      <c r="H15243"/>
      <c r="I15243" s="489"/>
      <c r="J15243" s="1362"/>
      <c r="K15243" s="1362"/>
      <c r="L15243" s="1362"/>
    </row>
    <row r="15244" spans="1:12" x14ac:dyDescent="0.25">
      <c r="A15244">
        <v>104206</v>
      </c>
      <c r="B15244" t="s">
        <v>19779</v>
      </c>
      <c r="C15244" t="s">
        <v>297</v>
      </c>
      <c r="D15244" s="254">
        <v>90.81</v>
      </c>
      <c r="E15244"/>
      <c r="F15244"/>
      <c r="G15244"/>
      <c r="H15244"/>
      <c r="I15244" s="489"/>
      <c r="J15244" s="1362"/>
      <c r="K15244" s="1362"/>
      <c r="L15244" s="1362"/>
    </row>
    <row r="15245" spans="1:12" x14ac:dyDescent="0.25">
      <c r="A15245">
        <v>104207</v>
      </c>
      <c r="B15245" t="s">
        <v>19780</v>
      </c>
      <c r="C15245" t="s">
        <v>297</v>
      </c>
      <c r="D15245" s="254">
        <v>43.51</v>
      </c>
      <c r="E15245"/>
      <c r="F15245"/>
      <c r="G15245"/>
      <c r="H15245"/>
      <c r="I15245" s="489"/>
      <c r="J15245" s="1362"/>
      <c r="K15245" s="1362"/>
      <c r="L15245" s="1362"/>
    </row>
    <row r="15246" spans="1:12" x14ac:dyDescent="0.25">
      <c r="A15246">
        <v>104208</v>
      </c>
      <c r="B15246" t="s">
        <v>19781</v>
      </c>
      <c r="C15246" t="s">
        <v>297</v>
      </c>
      <c r="D15246" s="254">
        <v>59.97</v>
      </c>
      <c r="E15246"/>
      <c r="F15246"/>
      <c r="G15246"/>
      <c r="H15246"/>
      <c r="I15246" s="489"/>
      <c r="J15246" s="1362"/>
      <c r="K15246" s="1362"/>
      <c r="L15246" s="1362"/>
    </row>
    <row r="15247" spans="1:12" x14ac:dyDescent="0.25">
      <c r="A15247">
        <v>104209</v>
      </c>
      <c r="B15247" t="s">
        <v>19782</v>
      </c>
      <c r="C15247" t="s">
        <v>297</v>
      </c>
      <c r="D15247" s="254">
        <v>66.27</v>
      </c>
      <c r="E15247"/>
      <c r="F15247"/>
      <c r="G15247"/>
      <c r="H15247"/>
      <c r="I15247" s="489"/>
      <c r="J15247" s="1362"/>
      <c r="K15247" s="1362"/>
      <c r="L15247" s="1362"/>
    </row>
    <row r="15248" spans="1:12" x14ac:dyDescent="0.25">
      <c r="A15248">
        <v>104210</v>
      </c>
      <c r="B15248" t="s">
        <v>19783</v>
      </c>
      <c r="C15248" t="s">
        <v>297</v>
      </c>
      <c r="D15248" s="254">
        <v>68.61</v>
      </c>
      <c r="E15248"/>
      <c r="F15248"/>
      <c r="G15248"/>
      <c r="H15248"/>
      <c r="I15248" s="489"/>
      <c r="J15248" s="1362"/>
      <c r="K15248" s="1362"/>
      <c r="L15248" s="1362"/>
    </row>
    <row r="15249" spans="1:12" x14ac:dyDescent="0.25">
      <c r="A15249">
        <v>104211</v>
      </c>
      <c r="B15249" t="s">
        <v>19784</v>
      </c>
      <c r="C15249" t="s">
        <v>297</v>
      </c>
      <c r="D15249" s="254">
        <v>83.06</v>
      </c>
      <c r="E15249"/>
      <c r="F15249"/>
      <c r="G15249"/>
      <c r="H15249"/>
      <c r="I15249" s="489"/>
      <c r="J15249" s="1362"/>
      <c r="K15249" s="1362"/>
      <c r="L15249" s="1362"/>
    </row>
    <row r="15250" spans="1:12" x14ac:dyDescent="0.25">
      <c r="A15250">
        <v>104212</v>
      </c>
      <c r="B15250" t="s">
        <v>19785</v>
      </c>
      <c r="C15250" t="s">
        <v>297</v>
      </c>
      <c r="D15250" s="254">
        <v>99.59</v>
      </c>
      <c r="E15250"/>
      <c r="F15250"/>
      <c r="G15250"/>
      <c r="H15250"/>
      <c r="I15250" s="489"/>
      <c r="J15250" s="1362"/>
      <c r="K15250" s="1362"/>
      <c r="L15250" s="1362"/>
    </row>
    <row r="15251" spans="1:12" x14ac:dyDescent="0.25">
      <c r="A15251">
        <v>104213</v>
      </c>
      <c r="B15251" t="s">
        <v>19786</v>
      </c>
      <c r="C15251" t="s">
        <v>297</v>
      </c>
      <c r="D15251" s="254">
        <v>105.9</v>
      </c>
      <c r="E15251"/>
      <c r="F15251"/>
      <c r="G15251"/>
      <c r="H15251"/>
      <c r="I15251" s="489"/>
      <c r="J15251" s="1362"/>
      <c r="K15251" s="1362"/>
      <c r="L15251" s="1362"/>
    </row>
    <row r="15252" spans="1:12" x14ac:dyDescent="0.25">
      <c r="A15252">
        <v>104214</v>
      </c>
      <c r="B15252" t="s">
        <v>19787</v>
      </c>
      <c r="C15252" t="s">
        <v>297</v>
      </c>
      <c r="D15252" s="254">
        <v>126.57</v>
      </c>
      <c r="E15252"/>
      <c r="F15252"/>
      <c r="G15252"/>
      <c r="H15252"/>
      <c r="I15252" s="489"/>
      <c r="J15252" s="1362"/>
      <c r="K15252" s="1362"/>
      <c r="L15252" s="1362"/>
    </row>
    <row r="15253" spans="1:12" x14ac:dyDescent="0.25">
      <c r="A15253">
        <v>104215</v>
      </c>
      <c r="B15253" t="s">
        <v>19788</v>
      </c>
      <c r="C15253" t="s">
        <v>297</v>
      </c>
      <c r="D15253" s="254">
        <v>77.290000000000006</v>
      </c>
      <c r="E15253"/>
      <c r="F15253"/>
      <c r="G15253"/>
      <c r="H15253"/>
      <c r="I15253" s="489"/>
      <c r="J15253" s="1362"/>
      <c r="K15253" s="1362"/>
      <c r="L15253" s="1362"/>
    </row>
    <row r="15254" spans="1:12" x14ac:dyDescent="0.25">
      <c r="A15254">
        <v>104216</v>
      </c>
      <c r="B15254" t="s">
        <v>19789</v>
      </c>
      <c r="C15254" t="s">
        <v>297</v>
      </c>
      <c r="D15254" s="254">
        <v>93.52</v>
      </c>
      <c r="E15254"/>
      <c r="F15254"/>
      <c r="G15254"/>
      <c r="H15254"/>
      <c r="I15254" s="489"/>
      <c r="J15254" s="1362"/>
      <c r="K15254" s="1362"/>
      <c r="L15254" s="1362"/>
    </row>
    <row r="15255" spans="1:12" x14ac:dyDescent="0.25">
      <c r="A15255">
        <v>104217</v>
      </c>
      <c r="B15255" t="s">
        <v>19790</v>
      </c>
      <c r="C15255" t="s">
        <v>297</v>
      </c>
      <c r="D15255" s="254">
        <v>51.4</v>
      </c>
      <c r="E15255"/>
      <c r="F15255"/>
      <c r="G15255"/>
      <c r="H15255"/>
      <c r="I15255" s="489"/>
      <c r="J15255" s="1362"/>
      <c r="K15255" s="1362"/>
      <c r="L15255" s="1362"/>
    </row>
    <row r="15256" spans="1:12" x14ac:dyDescent="0.25">
      <c r="A15256">
        <v>104218</v>
      </c>
      <c r="B15256" t="s">
        <v>19791</v>
      </c>
      <c r="C15256" t="s">
        <v>297</v>
      </c>
      <c r="D15256" s="254">
        <v>55.4</v>
      </c>
      <c r="E15256"/>
      <c r="F15256"/>
      <c r="G15256"/>
      <c r="H15256"/>
      <c r="I15256" s="489"/>
      <c r="J15256" s="1362"/>
      <c r="K15256" s="1362"/>
      <c r="L15256" s="1362"/>
    </row>
    <row r="15257" spans="1:12" x14ac:dyDescent="0.25">
      <c r="A15257">
        <v>104219</v>
      </c>
      <c r="B15257" t="s">
        <v>19792</v>
      </c>
      <c r="C15257" t="s">
        <v>297</v>
      </c>
      <c r="D15257" s="254">
        <v>72.67</v>
      </c>
      <c r="E15257"/>
      <c r="F15257"/>
      <c r="G15257"/>
      <c r="H15257"/>
      <c r="I15257" s="489"/>
      <c r="J15257" s="1362"/>
      <c r="K15257" s="1362"/>
      <c r="L15257" s="1362"/>
    </row>
    <row r="15258" spans="1:12" x14ac:dyDescent="0.25">
      <c r="A15258">
        <v>104220</v>
      </c>
      <c r="B15258" t="s">
        <v>19793</v>
      </c>
      <c r="C15258" t="s">
        <v>297</v>
      </c>
      <c r="D15258" s="254">
        <v>54.54</v>
      </c>
      <c r="E15258"/>
      <c r="F15258"/>
      <c r="G15258"/>
      <c r="H15258"/>
      <c r="I15258" s="489"/>
      <c r="J15258" s="1362"/>
      <c r="K15258" s="1362"/>
      <c r="L15258" s="1362"/>
    </row>
    <row r="15259" spans="1:12" x14ac:dyDescent="0.25">
      <c r="A15259">
        <v>104221</v>
      </c>
      <c r="B15259" t="s">
        <v>19794</v>
      </c>
      <c r="C15259" t="s">
        <v>297</v>
      </c>
      <c r="D15259" s="254">
        <v>65.97</v>
      </c>
      <c r="E15259"/>
      <c r="F15259"/>
      <c r="G15259"/>
      <c r="H15259"/>
      <c r="I15259" s="489"/>
      <c r="J15259" s="1362"/>
      <c r="K15259" s="1362"/>
      <c r="L15259" s="1362"/>
    </row>
    <row r="15260" spans="1:12" x14ac:dyDescent="0.25">
      <c r="A15260">
        <v>104222</v>
      </c>
      <c r="B15260" t="s">
        <v>19795</v>
      </c>
      <c r="C15260" t="s">
        <v>297</v>
      </c>
      <c r="D15260" s="254">
        <v>71.349999999999994</v>
      </c>
      <c r="E15260"/>
      <c r="F15260"/>
      <c r="G15260"/>
      <c r="H15260"/>
      <c r="I15260" s="489"/>
      <c r="J15260" s="1362"/>
      <c r="K15260" s="1362"/>
      <c r="L15260" s="1362"/>
    </row>
    <row r="15261" spans="1:12" x14ac:dyDescent="0.25">
      <c r="A15261">
        <v>104223</v>
      </c>
      <c r="B15261" t="s">
        <v>19796</v>
      </c>
      <c r="C15261" t="s">
        <v>297</v>
      </c>
      <c r="D15261" s="254">
        <v>94.67</v>
      </c>
      <c r="E15261"/>
      <c r="F15261"/>
      <c r="G15261"/>
      <c r="H15261"/>
      <c r="I15261" s="489"/>
      <c r="J15261" s="1362"/>
      <c r="K15261" s="1362"/>
      <c r="L15261" s="1362"/>
    </row>
    <row r="15262" spans="1:12" x14ac:dyDescent="0.25">
      <c r="A15262">
        <v>104224</v>
      </c>
      <c r="B15262" t="s">
        <v>19797</v>
      </c>
      <c r="C15262" t="s">
        <v>297</v>
      </c>
      <c r="D15262" s="254">
        <v>70.209999999999994</v>
      </c>
      <c r="E15262"/>
      <c r="F15262"/>
      <c r="G15262"/>
      <c r="H15262"/>
      <c r="I15262" s="489"/>
      <c r="J15262" s="1362"/>
      <c r="K15262" s="1362"/>
      <c r="L15262" s="1362"/>
    </row>
    <row r="15263" spans="1:12" x14ac:dyDescent="0.25">
      <c r="A15263">
        <v>104225</v>
      </c>
      <c r="B15263" t="s">
        <v>19798</v>
      </c>
      <c r="C15263" t="s">
        <v>297</v>
      </c>
      <c r="D15263" s="254">
        <v>71.94</v>
      </c>
      <c r="E15263"/>
      <c r="F15263"/>
      <c r="G15263"/>
      <c r="H15263"/>
      <c r="I15263" s="489"/>
      <c r="J15263" s="1362"/>
      <c r="K15263" s="1362"/>
      <c r="L15263" s="1362"/>
    </row>
    <row r="15264" spans="1:12" x14ac:dyDescent="0.25">
      <c r="A15264">
        <v>104226</v>
      </c>
      <c r="B15264" t="s">
        <v>19799</v>
      </c>
      <c r="C15264" t="s">
        <v>297</v>
      </c>
      <c r="D15264" s="254">
        <v>78.680000000000007</v>
      </c>
      <c r="E15264"/>
      <c r="F15264"/>
      <c r="G15264"/>
      <c r="H15264"/>
      <c r="I15264" s="489"/>
      <c r="J15264" s="1362"/>
      <c r="K15264" s="1362"/>
      <c r="L15264" s="1362"/>
    </row>
    <row r="15265" spans="1:12" x14ac:dyDescent="0.25">
      <c r="A15265">
        <v>104227</v>
      </c>
      <c r="B15265" t="s">
        <v>19800</v>
      </c>
      <c r="C15265" t="s">
        <v>297</v>
      </c>
      <c r="D15265" s="254">
        <v>108.83</v>
      </c>
      <c r="E15265"/>
      <c r="F15265"/>
      <c r="G15265"/>
      <c r="H15265"/>
      <c r="I15265" s="489"/>
      <c r="J15265" s="1362"/>
      <c r="K15265" s="1362"/>
      <c r="L15265" s="1362"/>
    </row>
    <row r="15266" spans="1:12" x14ac:dyDescent="0.25">
      <c r="A15266">
        <v>104228</v>
      </c>
      <c r="B15266" t="s">
        <v>19801</v>
      </c>
      <c r="C15266" t="s">
        <v>297</v>
      </c>
      <c r="D15266" s="254">
        <v>76.91</v>
      </c>
      <c r="E15266"/>
      <c r="F15266"/>
      <c r="G15266"/>
      <c r="H15266"/>
      <c r="I15266" s="489"/>
      <c r="J15266" s="1362"/>
      <c r="K15266" s="1362"/>
      <c r="L15266" s="1362"/>
    </row>
    <row r="15267" spans="1:12" x14ac:dyDescent="0.25">
      <c r="A15267">
        <v>104229</v>
      </c>
      <c r="B15267" t="s">
        <v>19802</v>
      </c>
      <c r="C15267" t="s">
        <v>297</v>
      </c>
      <c r="D15267" s="254">
        <v>84.74</v>
      </c>
      <c r="E15267"/>
      <c r="F15267"/>
      <c r="G15267"/>
      <c r="H15267"/>
      <c r="I15267" s="489"/>
      <c r="J15267" s="1362"/>
      <c r="K15267" s="1362"/>
      <c r="L15267" s="1362"/>
    </row>
    <row r="15268" spans="1:12" x14ac:dyDescent="0.25">
      <c r="A15268">
        <v>104230</v>
      </c>
      <c r="B15268" t="s">
        <v>19803</v>
      </c>
      <c r="C15268" t="s">
        <v>297</v>
      </c>
      <c r="D15268" s="254">
        <v>92.15</v>
      </c>
      <c r="E15268"/>
      <c r="F15268"/>
      <c r="G15268"/>
      <c r="H15268"/>
      <c r="I15268" s="489"/>
      <c r="J15268" s="1362"/>
      <c r="K15268" s="1362"/>
      <c r="L15268" s="1362"/>
    </row>
    <row r="15269" spans="1:12" x14ac:dyDescent="0.25">
      <c r="A15269">
        <v>104231</v>
      </c>
      <c r="B15269" t="s">
        <v>19804</v>
      </c>
      <c r="C15269" t="s">
        <v>297</v>
      </c>
      <c r="D15269" s="254">
        <v>119.94</v>
      </c>
      <c r="E15269"/>
      <c r="F15269"/>
      <c r="G15269"/>
      <c r="H15269"/>
      <c r="I15269" s="489"/>
      <c r="J15269" s="1362"/>
      <c r="K15269" s="1362"/>
      <c r="L15269" s="1362"/>
    </row>
    <row r="15270" spans="1:12" x14ac:dyDescent="0.25">
      <c r="A15270">
        <v>104232</v>
      </c>
      <c r="B15270" t="s">
        <v>19805</v>
      </c>
      <c r="C15270" t="s">
        <v>297</v>
      </c>
      <c r="D15270" s="254">
        <v>84.93</v>
      </c>
      <c r="E15270"/>
      <c r="F15270"/>
      <c r="G15270"/>
      <c r="H15270"/>
      <c r="I15270" s="489"/>
      <c r="J15270" s="1362"/>
      <c r="K15270" s="1362"/>
      <c r="L15270" s="1362"/>
    </row>
    <row r="15271" spans="1:12" x14ac:dyDescent="0.25">
      <c r="A15271">
        <v>104233</v>
      </c>
      <c r="B15271" t="s">
        <v>19806</v>
      </c>
      <c r="C15271" t="s">
        <v>297</v>
      </c>
      <c r="D15271" s="254">
        <v>38.44</v>
      </c>
      <c r="E15271"/>
      <c r="F15271"/>
      <c r="G15271"/>
      <c r="H15271"/>
      <c r="I15271" s="489"/>
      <c r="J15271" s="1362"/>
      <c r="K15271" s="1362"/>
      <c r="L15271" s="1362"/>
    </row>
    <row r="15272" spans="1:12" x14ac:dyDescent="0.25">
      <c r="A15272">
        <v>104234</v>
      </c>
      <c r="B15272" t="s">
        <v>19807</v>
      </c>
      <c r="C15272" t="s">
        <v>297</v>
      </c>
      <c r="D15272" s="254">
        <v>42.18</v>
      </c>
      <c r="E15272"/>
      <c r="F15272"/>
      <c r="G15272"/>
      <c r="H15272"/>
      <c r="I15272" s="489"/>
      <c r="J15272" s="1362"/>
      <c r="K15272" s="1362"/>
      <c r="L15272" s="1362"/>
    </row>
    <row r="15273" spans="1:12" x14ac:dyDescent="0.25">
      <c r="A15273">
        <v>104235</v>
      </c>
      <c r="B15273" t="s">
        <v>19808</v>
      </c>
      <c r="C15273" t="s">
        <v>297</v>
      </c>
      <c r="D15273" s="254">
        <v>59.14</v>
      </c>
      <c r="E15273"/>
      <c r="F15273"/>
      <c r="G15273"/>
      <c r="H15273"/>
      <c r="I15273" s="489"/>
      <c r="J15273" s="1362"/>
      <c r="K15273" s="1362"/>
      <c r="L15273" s="1362"/>
    </row>
    <row r="15274" spans="1:12" x14ac:dyDescent="0.25">
      <c r="A15274">
        <v>104236</v>
      </c>
      <c r="B15274" t="s">
        <v>19809</v>
      </c>
      <c r="C15274" t="s">
        <v>297</v>
      </c>
      <c r="D15274" s="254">
        <v>40.97</v>
      </c>
      <c r="E15274"/>
      <c r="F15274"/>
      <c r="G15274"/>
      <c r="H15274"/>
      <c r="I15274" s="489"/>
      <c r="J15274" s="1362"/>
      <c r="K15274" s="1362"/>
      <c r="L15274" s="1362"/>
    </row>
    <row r="15275" spans="1:12" x14ac:dyDescent="0.25">
      <c r="A15275">
        <v>104237</v>
      </c>
      <c r="B15275" t="s">
        <v>19810</v>
      </c>
      <c r="C15275" t="s">
        <v>297</v>
      </c>
      <c r="D15275" s="254">
        <v>52.69</v>
      </c>
      <c r="E15275"/>
      <c r="F15275"/>
      <c r="G15275"/>
      <c r="H15275"/>
      <c r="I15275" s="489"/>
      <c r="J15275" s="1362"/>
      <c r="K15275" s="1362"/>
      <c r="L15275" s="1362"/>
    </row>
    <row r="15276" spans="1:12" x14ac:dyDescent="0.25">
      <c r="A15276">
        <v>104238</v>
      </c>
      <c r="B15276" t="s">
        <v>19811</v>
      </c>
      <c r="C15276" t="s">
        <v>297</v>
      </c>
      <c r="D15276" s="254">
        <v>57.71</v>
      </c>
      <c r="E15276"/>
      <c r="F15276"/>
      <c r="G15276"/>
      <c r="H15276"/>
      <c r="I15276" s="489"/>
      <c r="J15276" s="1362"/>
      <c r="K15276" s="1362"/>
      <c r="L15276" s="1362"/>
    </row>
    <row r="15277" spans="1:12" x14ac:dyDescent="0.25">
      <c r="A15277">
        <v>104239</v>
      </c>
      <c r="B15277" t="s">
        <v>19812</v>
      </c>
      <c r="C15277" t="s">
        <v>297</v>
      </c>
      <c r="D15277" s="254">
        <v>80.27</v>
      </c>
      <c r="E15277"/>
      <c r="F15277"/>
      <c r="G15277"/>
      <c r="H15277"/>
      <c r="I15277" s="489"/>
      <c r="J15277" s="1362"/>
      <c r="K15277" s="1362"/>
      <c r="L15277" s="1362"/>
    </row>
    <row r="15278" spans="1:12" x14ac:dyDescent="0.25">
      <c r="A15278">
        <v>104240</v>
      </c>
      <c r="B15278" t="s">
        <v>19813</v>
      </c>
      <c r="C15278" t="s">
        <v>297</v>
      </c>
      <c r="D15278" s="254">
        <v>56.33</v>
      </c>
      <c r="E15278"/>
      <c r="F15278"/>
      <c r="G15278"/>
      <c r="H15278"/>
      <c r="I15278" s="489"/>
      <c r="J15278" s="1362"/>
      <c r="K15278" s="1362"/>
      <c r="L15278" s="1362"/>
    </row>
    <row r="15279" spans="1:12" x14ac:dyDescent="0.25">
      <c r="A15279">
        <v>104241</v>
      </c>
      <c r="B15279" t="s">
        <v>19814</v>
      </c>
      <c r="C15279" t="s">
        <v>297</v>
      </c>
      <c r="D15279" s="254">
        <v>58.27</v>
      </c>
      <c r="E15279"/>
      <c r="F15279"/>
      <c r="G15279"/>
      <c r="H15279"/>
      <c r="I15279" s="489"/>
      <c r="J15279" s="1362"/>
      <c r="K15279" s="1362"/>
      <c r="L15279" s="1362"/>
    </row>
    <row r="15280" spans="1:12" x14ac:dyDescent="0.25">
      <c r="A15280">
        <v>104242</v>
      </c>
      <c r="B15280" t="s">
        <v>19815</v>
      </c>
      <c r="C15280" t="s">
        <v>297</v>
      </c>
      <c r="D15280" s="254">
        <v>64.56</v>
      </c>
      <c r="E15280"/>
      <c r="F15280"/>
      <c r="G15280"/>
      <c r="H15280"/>
      <c r="I15280" s="489"/>
      <c r="J15280" s="1362"/>
      <c r="K15280" s="1362"/>
      <c r="L15280" s="1362"/>
    </row>
    <row r="15281" spans="1:12" x14ac:dyDescent="0.25">
      <c r="A15281">
        <v>104243</v>
      </c>
      <c r="B15281" t="s">
        <v>19816</v>
      </c>
      <c r="C15281" t="s">
        <v>297</v>
      </c>
      <c r="D15281" s="254">
        <v>93.51</v>
      </c>
      <c r="E15281"/>
      <c r="F15281"/>
      <c r="G15281"/>
      <c r="H15281"/>
      <c r="I15281" s="489"/>
      <c r="J15281" s="1362"/>
      <c r="K15281" s="1362"/>
      <c r="L15281" s="1362"/>
    </row>
    <row r="15282" spans="1:12" x14ac:dyDescent="0.25">
      <c r="A15282">
        <v>104244</v>
      </c>
      <c r="B15282" t="s">
        <v>19817</v>
      </c>
      <c r="C15282" t="s">
        <v>297</v>
      </c>
      <c r="D15282" s="254">
        <v>62.64</v>
      </c>
      <c r="E15282"/>
      <c r="F15282"/>
      <c r="G15282"/>
      <c r="H15282"/>
      <c r="I15282" s="489"/>
      <c r="J15282" s="1362"/>
      <c r="K15282" s="1362"/>
      <c r="L15282" s="1362"/>
    </row>
    <row r="15283" spans="1:12" x14ac:dyDescent="0.25">
      <c r="A15283">
        <v>104245</v>
      </c>
      <c r="B15283" t="s">
        <v>19818</v>
      </c>
      <c r="C15283" t="s">
        <v>297</v>
      </c>
      <c r="D15283" s="254">
        <v>63.52</v>
      </c>
      <c r="E15283"/>
      <c r="F15283"/>
      <c r="G15283"/>
      <c r="H15283"/>
      <c r="I15283" s="489"/>
      <c r="J15283" s="1362"/>
      <c r="K15283" s="1362"/>
      <c r="L15283" s="1362"/>
    </row>
    <row r="15284" spans="1:12" x14ac:dyDescent="0.25">
      <c r="A15284">
        <v>104246</v>
      </c>
      <c r="B15284" t="s">
        <v>19819</v>
      </c>
      <c r="C15284" t="s">
        <v>297</v>
      </c>
      <c r="D15284" s="254">
        <v>70.45</v>
      </c>
      <c r="E15284"/>
      <c r="F15284"/>
      <c r="G15284"/>
      <c r="H15284"/>
      <c r="I15284" s="489"/>
      <c r="J15284" s="1362"/>
      <c r="K15284" s="1362"/>
      <c r="L15284" s="1362"/>
    </row>
    <row r="15285" spans="1:12" x14ac:dyDescent="0.25">
      <c r="A15285">
        <v>104247</v>
      </c>
      <c r="B15285" t="s">
        <v>19820</v>
      </c>
      <c r="C15285" t="s">
        <v>297</v>
      </c>
      <c r="D15285" s="254">
        <v>99.5</v>
      </c>
      <c r="E15285"/>
      <c r="F15285"/>
      <c r="G15285"/>
      <c r="H15285"/>
      <c r="I15285" s="489"/>
      <c r="J15285" s="1362"/>
      <c r="K15285" s="1362"/>
      <c r="L15285" s="1362"/>
    </row>
    <row r="15286" spans="1:12" x14ac:dyDescent="0.25">
      <c r="A15286">
        <v>104248</v>
      </c>
      <c r="B15286" t="s">
        <v>19821</v>
      </c>
      <c r="C15286" t="s">
        <v>297</v>
      </c>
      <c r="D15286" s="254">
        <v>65.08</v>
      </c>
      <c r="E15286"/>
      <c r="F15286"/>
      <c r="G15286"/>
      <c r="H15286"/>
      <c r="I15286" s="489"/>
      <c r="J15286" s="1362"/>
      <c r="K15286" s="1362"/>
      <c r="L15286" s="1362"/>
    </row>
    <row r="15287" spans="1:12" x14ac:dyDescent="0.25">
      <c r="A15287">
        <v>104249</v>
      </c>
      <c r="B15287" t="s">
        <v>19822</v>
      </c>
      <c r="C15287" t="s">
        <v>297</v>
      </c>
      <c r="D15287" s="254">
        <v>71.48</v>
      </c>
      <c r="E15287"/>
      <c r="F15287"/>
      <c r="G15287"/>
      <c r="H15287"/>
      <c r="I15287" s="489"/>
      <c r="J15287" s="1362"/>
      <c r="K15287" s="1362"/>
      <c r="L15287" s="1362"/>
    </row>
    <row r="15288" spans="1:12" x14ac:dyDescent="0.25">
      <c r="A15288">
        <v>104250</v>
      </c>
      <c r="B15288" t="s">
        <v>19823</v>
      </c>
      <c r="C15288" t="s">
        <v>297</v>
      </c>
      <c r="D15288" s="254">
        <v>75.22</v>
      </c>
      <c r="E15288"/>
      <c r="F15288"/>
      <c r="G15288"/>
      <c r="H15288"/>
      <c r="I15288" s="489"/>
      <c r="J15288" s="1362"/>
      <c r="K15288" s="1362"/>
      <c r="L15288" s="1362"/>
    </row>
    <row r="15289" spans="1:12" x14ac:dyDescent="0.25">
      <c r="A15289">
        <v>104251</v>
      </c>
      <c r="B15289" t="s">
        <v>19824</v>
      </c>
      <c r="C15289" t="s">
        <v>297</v>
      </c>
      <c r="D15289" s="254">
        <v>88.95</v>
      </c>
      <c r="E15289"/>
      <c r="F15289"/>
      <c r="G15289"/>
      <c r="H15289"/>
      <c r="I15289" s="489"/>
      <c r="J15289" s="1362"/>
      <c r="K15289" s="1362"/>
      <c r="L15289" s="1362"/>
    </row>
    <row r="15290" spans="1:12" x14ac:dyDescent="0.25">
      <c r="A15290">
        <v>104252</v>
      </c>
      <c r="B15290" t="s">
        <v>19825</v>
      </c>
      <c r="C15290" t="s">
        <v>297</v>
      </c>
      <c r="D15290" s="254">
        <v>75.67</v>
      </c>
      <c r="E15290"/>
      <c r="F15290"/>
      <c r="G15290"/>
      <c r="H15290"/>
      <c r="I15290" s="489"/>
      <c r="J15290" s="1362"/>
      <c r="K15290" s="1362"/>
      <c r="L15290" s="1362"/>
    </row>
    <row r="15291" spans="1:12" x14ac:dyDescent="0.25">
      <c r="A15291">
        <v>104253</v>
      </c>
      <c r="B15291" t="s">
        <v>19826</v>
      </c>
      <c r="C15291" t="s">
        <v>297</v>
      </c>
      <c r="D15291" s="254">
        <v>85.72</v>
      </c>
      <c r="E15291"/>
      <c r="F15291"/>
      <c r="G15291"/>
      <c r="H15291"/>
      <c r="I15291" s="489"/>
      <c r="J15291" s="1362"/>
      <c r="K15291" s="1362"/>
      <c r="L15291" s="1362"/>
    </row>
    <row r="15292" spans="1:12" x14ac:dyDescent="0.25">
      <c r="A15292">
        <v>104254</v>
      </c>
      <c r="B15292" t="s">
        <v>19827</v>
      </c>
      <c r="C15292" t="s">
        <v>297</v>
      </c>
      <c r="D15292" s="254">
        <v>90.74</v>
      </c>
      <c r="E15292"/>
      <c r="F15292"/>
      <c r="G15292"/>
      <c r="H15292"/>
      <c r="I15292" s="489"/>
      <c r="J15292" s="1362"/>
      <c r="K15292" s="1362"/>
      <c r="L15292" s="1362"/>
    </row>
    <row r="15293" spans="1:12" x14ac:dyDescent="0.25">
      <c r="A15293">
        <v>104255</v>
      </c>
      <c r="B15293" t="s">
        <v>19828</v>
      </c>
      <c r="C15293" t="s">
        <v>297</v>
      </c>
      <c r="D15293" s="254">
        <v>110.06</v>
      </c>
      <c r="E15293"/>
      <c r="F15293"/>
      <c r="G15293"/>
      <c r="H15293"/>
      <c r="I15293" s="489"/>
      <c r="J15293" s="1362"/>
      <c r="K15293" s="1362"/>
      <c r="L15293" s="1362"/>
    </row>
    <row r="15294" spans="1:12" x14ac:dyDescent="0.25">
      <c r="A15294">
        <v>104256</v>
      </c>
      <c r="B15294" t="s">
        <v>19829</v>
      </c>
      <c r="C15294" t="s">
        <v>297</v>
      </c>
      <c r="D15294" s="254">
        <v>91.01</v>
      </c>
      <c r="E15294"/>
      <c r="F15294"/>
      <c r="G15294"/>
      <c r="H15294"/>
      <c r="I15294" s="489"/>
      <c r="J15294" s="1362"/>
      <c r="K15294" s="1362"/>
      <c r="L15294" s="1362"/>
    </row>
    <row r="15295" spans="1:12" x14ac:dyDescent="0.25">
      <c r="A15295">
        <v>104257</v>
      </c>
      <c r="B15295" t="s">
        <v>19830</v>
      </c>
      <c r="C15295" t="s">
        <v>297</v>
      </c>
      <c r="D15295" s="254">
        <v>91.3</v>
      </c>
      <c r="E15295"/>
      <c r="F15295"/>
      <c r="G15295"/>
      <c r="H15295"/>
      <c r="I15295" s="489"/>
      <c r="J15295" s="1362"/>
      <c r="K15295" s="1362"/>
      <c r="L15295" s="1362"/>
    </row>
    <row r="15296" spans="1:12" x14ac:dyDescent="0.25">
      <c r="A15296">
        <v>104258</v>
      </c>
      <c r="B15296" t="s">
        <v>19831</v>
      </c>
      <c r="C15296" t="s">
        <v>297</v>
      </c>
      <c r="D15296" s="254">
        <v>97.59</v>
      </c>
      <c r="E15296"/>
      <c r="F15296"/>
      <c r="G15296"/>
      <c r="H15296"/>
      <c r="I15296" s="489"/>
      <c r="J15296" s="1362"/>
      <c r="K15296" s="1362"/>
      <c r="L15296" s="1362"/>
    </row>
    <row r="15297" spans="1:12" x14ac:dyDescent="0.25">
      <c r="A15297">
        <v>104259</v>
      </c>
      <c r="B15297" t="s">
        <v>19832</v>
      </c>
      <c r="C15297" t="s">
        <v>297</v>
      </c>
      <c r="D15297" s="254">
        <v>123.3</v>
      </c>
      <c r="E15297"/>
      <c r="F15297"/>
      <c r="G15297"/>
      <c r="H15297"/>
      <c r="I15297" s="489"/>
      <c r="J15297" s="1362"/>
      <c r="K15297" s="1362"/>
      <c r="L15297" s="1362"/>
    </row>
    <row r="15298" spans="1:12" x14ac:dyDescent="0.25">
      <c r="A15298">
        <v>104260</v>
      </c>
      <c r="B15298" t="s">
        <v>19833</v>
      </c>
      <c r="C15298" t="s">
        <v>297</v>
      </c>
      <c r="D15298" s="254">
        <v>97.31</v>
      </c>
      <c r="E15298"/>
      <c r="F15298"/>
      <c r="G15298"/>
      <c r="H15298"/>
      <c r="I15298" s="489"/>
      <c r="J15298" s="1362"/>
      <c r="K15298" s="1362"/>
      <c r="L15298" s="1362"/>
    </row>
    <row r="15299" spans="1:12" x14ac:dyDescent="0.25">
      <c r="A15299">
        <v>104261</v>
      </c>
      <c r="B15299" t="s">
        <v>19834</v>
      </c>
      <c r="C15299" t="s">
        <v>297</v>
      </c>
      <c r="D15299" s="254">
        <v>118.59</v>
      </c>
      <c r="E15299"/>
      <c r="F15299"/>
      <c r="G15299"/>
      <c r="H15299"/>
      <c r="I15299" s="489"/>
      <c r="J15299" s="1362"/>
      <c r="K15299" s="1362"/>
      <c r="L15299" s="1362"/>
    </row>
    <row r="15300" spans="1:12" x14ac:dyDescent="0.25">
      <c r="A15300">
        <v>104262</v>
      </c>
      <c r="B15300" t="s">
        <v>19835</v>
      </c>
      <c r="C15300" t="s">
        <v>297</v>
      </c>
      <c r="D15300" s="254">
        <v>125.52</v>
      </c>
      <c r="E15300"/>
      <c r="F15300"/>
      <c r="G15300"/>
      <c r="H15300"/>
      <c r="I15300" s="489"/>
      <c r="J15300" s="1362"/>
      <c r="K15300" s="1362"/>
      <c r="L15300" s="1362"/>
    </row>
    <row r="15301" spans="1:12" x14ac:dyDescent="0.25">
      <c r="A15301">
        <v>104263</v>
      </c>
      <c r="B15301" t="s">
        <v>19836</v>
      </c>
      <c r="C15301" t="s">
        <v>297</v>
      </c>
      <c r="D15301" s="254">
        <v>143.44999999999999</v>
      </c>
      <c r="E15301"/>
      <c r="F15301"/>
      <c r="G15301"/>
      <c r="H15301"/>
      <c r="I15301" s="489"/>
      <c r="J15301" s="1362"/>
      <c r="K15301" s="1362"/>
      <c r="L15301" s="1362"/>
    </row>
    <row r="15302" spans="1:12" x14ac:dyDescent="0.25">
      <c r="A15302">
        <v>104264</v>
      </c>
      <c r="B15302" t="s">
        <v>19837</v>
      </c>
      <c r="C15302" t="s">
        <v>297</v>
      </c>
      <c r="D15302" s="254">
        <v>115.98</v>
      </c>
      <c r="E15302"/>
      <c r="F15302"/>
      <c r="G15302"/>
      <c r="H15302"/>
      <c r="I15302" s="489"/>
      <c r="J15302" s="1362"/>
      <c r="K15302" s="1362"/>
      <c r="L15302" s="1362"/>
    </row>
    <row r="15303" spans="1:12" x14ac:dyDescent="0.25">
      <c r="A15303">
        <v>87242</v>
      </c>
      <c r="B15303" t="s">
        <v>2220</v>
      </c>
      <c r="C15303" t="s">
        <v>297</v>
      </c>
      <c r="D15303" s="254">
        <v>192.76</v>
      </c>
      <c r="E15303"/>
      <c r="F15303"/>
      <c r="G15303"/>
      <c r="H15303"/>
      <c r="I15303" s="489"/>
      <c r="J15303" s="1362"/>
      <c r="K15303" s="1362"/>
      <c r="L15303" s="1362"/>
    </row>
    <row r="15304" spans="1:12" x14ac:dyDescent="0.25">
      <c r="A15304">
        <v>87243</v>
      </c>
      <c r="B15304" t="s">
        <v>2221</v>
      </c>
      <c r="C15304" t="s">
        <v>297</v>
      </c>
      <c r="D15304" s="254">
        <v>174.48</v>
      </c>
      <c r="E15304"/>
      <c r="F15304"/>
      <c r="G15304"/>
      <c r="H15304"/>
      <c r="I15304" s="489"/>
      <c r="J15304" s="1362"/>
      <c r="K15304" s="1362"/>
      <c r="L15304" s="1362"/>
    </row>
    <row r="15305" spans="1:12" x14ac:dyDescent="0.25">
      <c r="A15305">
        <v>87244</v>
      </c>
      <c r="B15305" t="s">
        <v>2222</v>
      </c>
      <c r="C15305" t="s">
        <v>297</v>
      </c>
      <c r="D15305" s="254">
        <v>188.84</v>
      </c>
      <c r="E15305"/>
      <c r="F15305"/>
      <c r="G15305"/>
      <c r="H15305"/>
      <c r="I15305" s="489"/>
      <c r="J15305" s="1362"/>
      <c r="K15305" s="1362"/>
      <c r="L15305" s="1362"/>
    </row>
    <row r="15306" spans="1:12" x14ac:dyDescent="0.25">
      <c r="A15306">
        <v>87245</v>
      </c>
      <c r="B15306" t="s">
        <v>2223</v>
      </c>
      <c r="C15306" t="s">
        <v>297</v>
      </c>
      <c r="D15306" s="254">
        <v>227.51</v>
      </c>
      <c r="E15306"/>
      <c r="F15306"/>
      <c r="G15306"/>
      <c r="H15306"/>
      <c r="I15306" s="489"/>
      <c r="J15306" s="1362"/>
      <c r="K15306" s="1362"/>
      <c r="L15306" s="1362"/>
    </row>
    <row r="15307" spans="1:12" x14ac:dyDescent="0.25">
      <c r="A15307">
        <v>87264</v>
      </c>
      <c r="B15307" t="s">
        <v>2224</v>
      </c>
      <c r="C15307" t="s">
        <v>297</v>
      </c>
      <c r="D15307" s="254">
        <v>62.72</v>
      </c>
      <c r="E15307"/>
      <c r="F15307"/>
      <c r="G15307"/>
      <c r="H15307"/>
      <c r="I15307" s="489"/>
      <c r="J15307" s="1362"/>
      <c r="K15307" s="1362"/>
      <c r="L15307" s="1362"/>
    </row>
    <row r="15308" spans="1:12" x14ac:dyDescent="0.25">
      <c r="A15308">
        <v>87265</v>
      </c>
      <c r="B15308" t="s">
        <v>2225</v>
      </c>
      <c r="C15308" t="s">
        <v>297</v>
      </c>
      <c r="D15308" s="254">
        <v>53.6</v>
      </c>
      <c r="E15308"/>
      <c r="F15308"/>
      <c r="G15308"/>
      <c r="H15308"/>
      <c r="I15308" s="489"/>
      <c r="J15308" s="1362"/>
      <c r="K15308" s="1362"/>
      <c r="L15308" s="1362"/>
    </row>
    <row r="15309" spans="1:12" x14ac:dyDescent="0.25">
      <c r="A15309">
        <v>87266</v>
      </c>
      <c r="B15309" t="s">
        <v>2226</v>
      </c>
      <c r="C15309" t="s">
        <v>297</v>
      </c>
      <c r="D15309" s="254">
        <v>65.98</v>
      </c>
      <c r="E15309"/>
      <c r="F15309"/>
      <c r="G15309"/>
      <c r="H15309"/>
      <c r="I15309" s="489"/>
      <c r="J15309" s="1362"/>
      <c r="K15309" s="1362"/>
      <c r="L15309" s="1362"/>
    </row>
    <row r="15310" spans="1:12" x14ac:dyDescent="0.25">
      <c r="A15310">
        <v>87267</v>
      </c>
      <c r="B15310" t="s">
        <v>2227</v>
      </c>
      <c r="C15310" t="s">
        <v>297</v>
      </c>
      <c r="D15310" s="254">
        <v>61.91</v>
      </c>
      <c r="E15310"/>
      <c r="F15310"/>
      <c r="G15310"/>
      <c r="H15310"/>
      <c r="I15310" s="489"/>
      <c r="J15310" s="1362"/>
      <c r="K15310" s="1362"/>
      <c r="L15310" s="1362"/>
    </row>
    <row r="15311" spans="1:12" x14ac:dyDescent="0.25">
      <c r="A15311">
        <v>87268</v>
      </c>
      <c r="B15311" t="s">
        <v>2228</v>
      </c>
      <c r="C15311" t="s">
        <v>297</v>
      </c>
      <c r="D15311" s="254">
        <v>68.3</v>
      </c>
      <c r="E15311"/>
      <c r="F15311"/>
      <c r="G15311"/>
      <c r="H15311"/>
      <c r="I15311" s="489"/>
      <c r="J15311" s="1362"/>
      <c r="K15311" s="1362"/>
      <c r="L15311" s="1362"/>
    </row>
    <row r="15312" spans="1:12" x14ac:dyDescent="0.25">
      <c r="A15312">
        <v>87269</v>
      </c>
      <c r="B15312" t="s">
        <v>2229</v>
      </c>
      <c r="C15312" t="s">
        <v>297</v>
      </c>
      <c r="D15312" s="254">
        <v>58.37</v>
      </c>
      <c r="E15312"/>
      <c r="F15312"/>
      <c r="G15312"/>
      <c r="H15312"/>
      <c r="I15312" s="489"/>
      <c r="J15312" s="1362"/>
      <c r="K15312" s="1362"/>
      <c r="L15312" s="1362"/>
    </row>
    <row r="15313" spans="1:12" x14ac:dyDescent="0.25">
      <c r="A15313">
        <v>87270</v>
      </c>
      <c r="B15313" t="s">
        <v>2230</v>
      </c>
      <c r="C15313" t="s">
        <v>297</v>
      </c>
      <c r="D15313" s="254">
        <v>71.040000000000006</v>
      </c>
      <c r="E15313"/>
      <c r="F15313"/>
      <c r="G15313"/>
      <c r="H15313"/>
      <c r="I15313" s="489"/>
      <c r="J15313" s="1362"/>
      <c r="K15313" s="1362"/>
      <c r="L15313" s="1362"/>
    </row>
    <row r="15314" spans="1:12" x14ac:dyDescent="0.25">
      <c r="A15314">
        <v>87271</v>
      </c>
      <c r="B15314" t="s">
        <v>2231</v>
      </c>
      <c r="C15314" t="s">
        <v>297</v>
      </c>
      <c r="D15314" s="254">
        <v>66.400000000000006</v>
      </c>
      <c r="E15314"/>
      <c r="F15314"/>
      <c r="G15314"/>
      <c r="H15314"/>
      <c r="I15314" s="489"/>
      <c r="J15314" s="1362"/>
      <c r="K15314" s="1362"/>
      <c r="L15314" s="1362"/>
    </row>
    <row r="15315" spans="1:12" x14ac:dyDescent="0.25">
      <c r="A15315">
        <v>87272</v>
      </c>
      <c r="B15315" t="s">
        <v>2232</v>
      </c>
      <c r="C15315" t="s">
        <v>297</v>
      </c>
      <c r="D15315" s="254">
        <v>73.260000000000005</v>
      </c>
      <c r="E15315"/>
      <c r="F15315"/>
      <c r="G15315"/>
      <c r="H15315"/>
      <c r="I15315" s="489"/>
      <c r="J15315" s="1362"/>
      <c r="K15315" s="1362"/>
      <c r="L15315" s="1362"/>
    </row>
    <row r="15316" spans="1:12" x14ac:dyDescent="0.25">
      <c r="A15316">
        <v>87273</v>
      </c>
      <c r="B15316" t="s">
        <v>2233</v>
      </c>
      <c r="C15316" t="s">
        <v>297</v>
      </c>
      <c r="D15316" s="254">
        <v>61.09</v>
      </c>
      <c r="E15316"/>
      <c r="F15316"/>
      <c r="G15316"/>
      <c r="H15316"/>
      <c r="I15316" s="489"/>
      <c r="J15316" s="1362"/>
      <c r="K15316" s="1362"/>
      <c r="L15316" s="1362"/>
    </row>
    <row r="15317" spans="1:12" x14ac:dyDescent="0.25">
      <c r="A15317">
        <v>87274</v>
      </c>
      <c r="B15317" t="s">
        <v>2234</v>
      </c>
      <c r="C15317" t="s">
        <v>297</v>
      </c>
      <c r="D15317" s="254">
        <v>75.19</v>
      </c>
      <c r="E15317"/>
      <c r="F15317"/>
      <c r="G15317"/>
      <c r="H15317"/>
      <c r="I15317" s="489"/>
      <c r="J15317" s="1362"/>
      <c r="K15317" s="1362"/>
      <c r="L15317" s="1362"/>
    </row>
    <row r="15318" spans="1:12" x14ac:dyDescent="0.25">
      <c r="A15318">
        <v>87275</v>
      </c>
      <c r="B15318" t="s">
        <v>2235</v>
      </c>
      <c r="C15318" t="s">
        <v>297</v>
      </c>
      <c r="D15318" s="254">
        <v>71.02</v>
      </c>
      <c r="E15318"/>
      <c r="F15318"/>
      <c r="G15318"/>
      <c r="H15318"/>
      <c r="I15318" s="489"/>
      <c r="J15318" s="1362"/>
      <c r="K15318" s="1362"/>
      <c r="L15318" s="1362"/>
    </row>
    <row r="15319" spans="1:12" x14ac:dyDescent="0.25">
      <c r="A15319">
        <v>88786</v>
      </c>
      <c r="B15319" t="s">
        <v>2236</v>
      </c>
      <c r="C15319" t="s">
        <v>297</v>
      </c>
      <c r="D15319" s="254">
        <v>265.8</v>
      </c>
      <c r="E15319"/>
      <c r="F15319"/>
      <c r="G15319"/>
      <c r="H15319"/>
      <c r="I15319" s="489"/>
      <c r="J15319" s="1362"/>
      <c r="K15319" s="1362"/>
      <c r="L15319" s="1362"/>
    </row>
    <row r="15320" spans="1:12" x14ac:dyDescent="0.25">
      <c r="A15320">
        <v>88787</v>
      </c>
      <c r="B15320" t="s">
        <v>2237</v>
      </c>
      <c r="C15320" t="s">
        <v>297</v>
      </c>
      <c r="D15320" s="254">
        <v>243.39</v>
      </c>
      <c r="E15320"/>
      <c r="F15320"/>
      <c r="G15320"/>
      <c r="H15320"/>
      <c r="I15320" s="489"/>
      <c r="J15320" s="1362"/>
      <c r="K15320" s="1362"/>
      <c r="L15320" s="1362"/>
    </row>
    <row r="15321" spans="1:12" x14ac:dyDescent="0.25">
      <c r="A15321">
        <v>88788</v>
      </c>
      <c r="B15321" t="s">
        <v>2238</v>
      </c>
      <c r="C15321" t="s">
        <v>297</v>
      </c>
      <c r="D15321" s="254">
        <v>257.75</v>
      </c>
      <c r="E15321"/>
      <c r="F15321"/>
      <c r="G15321"/>
      <c r="H15321"/>
      <c r="I15321" s="489"/>
      <c r="J15321" s="1362"/>
      <c r="K15321" s="1362"/>
      <c r="L15321" s="1362"/>
    </row>
    <row r="15322" spans="1:12" x14ac:dyDescent="0.25">
      <c r="A15322">
        <v>88789</v>
      </c>
      <c r="B15322" t="s">
        <v>2239</v>
      </c>
      <c r="C15322" t="s">
        <v>297</v>
      </c>
      <c r="D15322" s="254">
        <v>310.58999999999997</v>
      </c>
      <c r="E15322"/>
      <c r="F15322"/>
      <c r="G15322"/>
      <c r="H15322"/>
      <c r="I15322" s="489"/>
      <c r="J15322" s="1362"/>
      <c r="K15322" s="1362"/>
      <c r="L15322" s="1362"/>
    </row>
    <row r="15323" spans="1:12" x14ac:dyDescent="0.25">
      <c r="A15323">
        <v>89045</v>
      </c>
      <c r="B15323" t="s">
        <v>5674</v>
      </c>
      <c r="C15323" t="s">
        <v>297</v>
      </c>
      <c r="D15323" s="254">
        <v>62.5</v>
      </c>
      <c r="E15323"/>
      <c r="F15323"/>
      <c r="G15323"/>
      <c r="H15323"/>
      <c r="I15323" s="489"/>
      <c r="J15323" s="1362"/>
      <c r="K15323" s="1362"/>
      <c r="L15323" s="1362"/>
    </row>
    <row r="15324" spans="1:12" x14ac:dyDescent="0.25">
      <c r="A15324">
        <v>89170</v>
      </c>
      <c r="B15324" t="s">
        <v>7122</v>
      </c>
      <c r="C15324" t="s">
        <v>297</v>
      </c>
      <c r="D15324" s="254">
        <v>60.2</v>
      </c>
      <c r="E15324"/>
      <c r="F15324"/>
      <c r="G15324"/>
      <c r="H15324"/>
      <c r="I15324" s="489"/>
      <c r="J15324" s="1362"/>
      <c r="K15324" s="1362"/>
      <c r="L15324" s="1362"/>
    </row>
    <row r="15325" spans="1:12" x14ac:dyDescent="0.25">
      <c r="A15325">
        <v>93392</v>
      </c>
      <c r="B15325" t="s">
        <v>3204</v>
      </c>
      <c r="C15325" t="s">
        <v>297</v>
      </c>
      <c r="D15325" s="254">
        <v>55.06</v>
      </c>
      <c r="E15325"/>
      <c r="F15325"/>
      <c r="G15325"/>
      <c r="H15325"/>
      <c r="I15325" s="489"/>
      <c r="J15325" s="1362"/>
      <c r="K15325" s="1362"/>
      <c r="L15325" s="1362"/>
    </row>
    <row r="15326" spans="1:12" x14ac:dyDescent="0.25">
      <c r="A15326">
        <v>93393</v>
      </c>
      <c r="B15326" t="s">
        <v>3205</v>
      </c>
      <c r="C15326" t="s">
        <v>297</v>
      </c>
      <c r="D15326" s="254">
        <v>46.01</v>
      </c>
      <c r="E15326"/>
      <c r="F15326"/>
      <c r="G15326"/>
      <c r="H15326"/>
      <c r="I15326" s="489"/>
      <c r="J15326" s="1362"/>
      <c r="K15326" s="1362"/>
      <c r="L15326" s="1362"/>
    </row>
    <row r="15327" spans="1:12" x14ac:dyDescent="0.25">
      <c r="A15327">
        <v>93394</v>
      </c>
      <c r="B15327" t="s">
        <v>3206</v>
      </c>
      <c r="C15327" t="s">
        <v>297</v>
      </c>
      <c r="D15327" s="254">
        <v>58.32</v>
      </c>
      <c r="E15327"/>
      <c r="F15327"/>
      <c r="G15327"/>
      <c r="H15327"/>
      <c r="I15327" s="489"/>
      <c r="J15327" s="1362"/>
      <c r="K15327" s="1362"/>
      <c r="L15327" s="1362"/>
    </row>
    <row r="15328" spans="1:12" x14ac:dyDescent="0.25">
      <c r="A15328">
        <v>93395</v>
      </c>
      <c r="B15328" t="s">
        <v>3207</v>
      </c>
      <c r="C15328" t="s">
        <v>297</v>
      </c>
      <c r="D15328" s="254">
        <v>54.25</v>
      </c>
      <c r="E15328"/>
      <c r="F15328"/>
      <c r="G15328"/>
      <c r="H15328"/>
      <c r="I15328" s="489"/>
      <c r="J15328" s="1362"/>
      <c r="K15328" s="1362"/>
      <c r="L15328" s="1362"/>
    </row>
    <row r="15329" spans="1:12" x14ac:dyDescent="0.25">
      <c r="A15329">
        <v>99194</v>
      </c>
      <c r="B15329" t="s">
        <v>3208</v>
      </c>
      <c r="C15329" t="s">
        <v>297</v>
      </c>
      <c r="D15329" s="254">
        <v>61.09</v>
      </c>
      <c r="E15329"/>
      <c r="F15329"/>
      <c r="G15329"/>
      <c r="H15329"/>
      <c r="I15329" s="489"/>
      <c r="J15329" s="1362"/>
      <c r="K15329" s="1362"/>
      <c r="L15329" s="1362"/>
    </row>
    <row r="15330" spans="1:12" x14ac:dyDescent="0.25">
      <c r="A15330">
        <v>99195</v>
      </c>
      <c r="B15330" t="s">
        <v>3209</v>
      </c>
      <c r="C15330" t="s">
        <v>297</v>
      </c>
      <c r="D15330" s="254">
        <v>52.04</v>
      </c>
      <c r="E15330"/>
      <c r="F15330"/>
      <c r="G15330"/>
      <c r="H15330"/>
      <c r="I15330" s="489"/>
      <c r="J15330" s="1362"/>
      <c r="K15330" s="1362"/>
      <c r="L15330" s="1362"/>
    </row>
    <row r="15331" spans="1:12" x14ac:dyDescent="0.25">
      <c r="A15331">
        <v>99196</v>
      </c>
      <c r="B15331" t="s">
        <v>3210</v>
      </c>
      <c r="C15331" t="s">
        <v>297</v>
      </c>
      <c r="D15331" s="254">
        <v>64.349999999999994</v>
      </c>
      <c r="E15331"/>
      <c r="F15331"/>
      <c r="G15331"/>
      <c r="H15331"/>
      <c r="I15331" s="489"/>
      <c r="J15331" s="1362"/>
      <c r="K15331" s="1362"/>
      <c r="L15331" s="1362"/>
    </row>
    <row r="15332" spans="1:12" x14ac:dyDescent="0.25">
      <c r="A15332">
        <v>99198</v>
      </c>
      <c r="B15332" t="s">
        <v>3211</v>
      </c>
      <c r="C15332" t="s">
        <v>297</v>
      </c>
      <c r="D15332" s="254">
        <v>60.28</v>
      </c>
      <c r="E15332"/>
      <c r="F15332"/>
      <c r="G15332"/>
      <c r="H15332"/>
      <c r="I15332" s="489"/>
      <c r="J15332" s="1362"/>
      <c r="K15332" s="1362"/>
      <c r="L15332" s="1362"/>
    </row>
    <row r="15333" spans="1:12" x14ac:dyDescent="0.25">
      <c r="A15333">
        <v>101965</v>
      </c>
      <c r="B15333" t="s">
        <v>5675</v>
      </c>
      <c r="C15333" t="s">
        <v>151</v>
      </c>
      <c r="D15333" s="254">
        <v>144.81</v>
      </c>
      <c r="E15333"/>
      <c r="F15333"/>
      <c r="G15333"/>
      <c r="H15333"/>
      <c r="I15333" s="489"/>
      <c r="J15333" s="1362"/>
      <c r="K15333" s="1362"/>
      <c r="L15333" s="1362"/>
    </row>
    <row r="15334" spans="1:12" x14ac:dyDescent="0.25">
      <c r="A15334">
        <v>101966</v>
      </c>
      <c r="B15334" t="s">
        <v>5676</v>
      </c>
      <c r="C15334" t="s">
        <v>151</v>
      </c>
      <c r="D15334" s="254">
        <v>187.91</v>
      </c>
      <c r="E15334"/>
      <c r="F15334"/>
      <c r="G15334"/>
      <c r="H15334"/>
      <c r="I15334" s="489"/>
      <c r="J15334" s="1362"/>
      <c r="K15334" s="1362"/>
      <c r="L15334" s="1362"/>
    </row>
    <row r="15335" spans="1:12" x14ac:dyDescent="0.25">
      <c r="A15335">
        <v>101979</v>
      </c>
      <c r="B15335" t="s">
        <v>5677</v>
      </c>
      <c r="C15335" t="s">
        <v>151</v>
      </c>
      <c r="D15335" s="254">
        <v>48.25</v>
      </c>
      <c r="E15335"/>
      <c r="F15335"/>
      <c r="G15335"/>
      <c r="H15335"/>
      <c r="I15335" s="489"/>
      <c r="J15335" s="1362"/>
      <c r="K15335" s="1362"/>
      <c r="L15335" s="1362"/>
    </row>
    <row r="15336" spans="1:12" x14ac:dyDescent="0.25">
      <c r="A15336">
        <v>96112</v>
      </c>
      <c r="B15336" t="s">
        <v>2240</v>
      </c>
      <c r="C15336" t="s">
        <v>297</v>
      </c>
      <c r="D15336" s="254">
        <v>171.24</v>
      </c>
      <c r="E15336"/>
      <c r="F15336"/>
      <c r="G15336"/>
      <c r="H15336"/>
      <c r="I15336" s="489"/>
      <c r="J15336" s="1362"/>
      <c r="K15336" s="1362"/>
      <c r="L15336" s="1362"/>
    </row>
    <row r="15337" spans="1:12" x14ac:dyDescent="0.25">
      <c r="A15337">
        <v>96117</v>
      </c>
      <c r="B15337" t="s">
        <v>2241</v>
      </c>
      <c r="C15337" t="s">
        <v>297</v>
      </c>
      <c r="D15337" s="254">
        <v>229.04</v>
      </c>
      <c r="E15337"/>
      <c r="F15337"/>
      <c r="G15337"/>
      <c r="H15337"/>
      <c r="I15337" s="489"/>
      <c r="J15337" s="1362"/>
      <c r="K15337" s="1362"/>
      <c r="L15337" s="1362"/>
    </row>
    <row r="15338" spans="1:12" x14ac:dyDescent="0.25">
      <c r="A15338">
        <v>96122</v>
      </c>
      <c r="B15338" t="s">
        <v>2242</v>
      </c>
      <c r="C15338" t="s">
        <v>151</v>
      </c>
      <c r="D15338" s="254">
        <v>56.17</v>
      </c>
      <c r="E15338"/>
      <c r="F15338"/>
      <c r="G15338"/>
      <c r="H15338"/>
      <c r="I15338" s="489"/>
      <c r="J15338" s="1362"/>
      <c r="K15338" s="1362"/>
      <c r="L15338" s="1362"/>
    </row>
    <row r="15339" spans="1:12" x14ac:dyDescent="0.25">
      <c r="A15339">
        <v>96109</v>
      </c>
      <c r="B15339" t="s">
        <v>19838</v>
      </c>
      <c r="C15339" t="s">
        <v>297</v>
      </c>
      <c r="D15339" s="254">
        <v>48.73</v>
      </c>
      <c r="E15339"/>
      <c r="F15339"/>
      <c r="G15339"/>
      <c r="H15339"/>
      <c r="I15339" s="489"/>
      <c r="J15339" s="1362"/>
      <c r="K15339" s="1362"/>
      <c r="L15339" s="1362"/>
    </row>
    <row r="15340" spans="1:12" x14ac:dyDescent="0.25">
      <c r="A15340">
        <v>96110</v>
      </c>
      <c r="B15340" t="s">
        <v>19839</v>
      </c>
      <c r="C15340" t="s">
        <v>297</v>
      </c>
      <c r="D15340" s="254">
        <v>80.41</v>
      </c>
      <c r="E15340"/>
      <c r="F15340"/>
      <c r="G15340"/>
      <c r="H15340"/>
      <c r="I15340" s="489"/>
      <c r="J15340" s="1362"/>
      <c r="K15340" s="1362"/>
      <c r="L15340" s="1362"/>
    </row>
    <row r="15341" spans="1:12" x14ac:dyDescent="0.25">
      <c r="A15341">
        <v>96113</v>
      </c>
      <c r="B15341" t="s">
        <v>19840</v>
      </c>
      <c r="C15341" t="s">
        <v>297</v>
      </c>
      <c r="D15341" s="254">
        <v>42.6</v>
      </c>
      <c r="E15341"/>
      <c r="F15341"/>
      <c r="G15341"/>
      <c r="H15341"/>
      <c r="I15341" s="489"/>
      <c r="J15341" s="1362"/>
      <c r="K15341" s="1362"/>
      <c r="L15341" s="1362"/>
    </row>
    <row r="15342" spans="1:12" x14ac:dyDescent="0.25">
      <c r="A15342">
        <v>96114</v>
      </c>
      <c r="B15342" t="s">
        <v>19841</v>
      </c>
      <c r="C15342" t="s">
        <v>297</v>
      </c>
      <c r="D15342" s="254">
        <v>84.89</v>
      </c>
      <c r="E15342"/>
      <c r="F15342"/>
      <c r="G15342"/>
      <c r="H15342"/>
      <c r="I15342" s="489"/>
      <c r="J15342" s="1362"/>
      <c r="K15342" s="1362"/>
      <c r="L15342" s="1362"/>
    </row>
    <row r="15343" spans="1:12" x14ac:dyDescent="0.25">
      <c r="A15343">
        <v>96120</v>
      </c>
      <c r="B15343" t="s">
        <v>2243</v>
      </c>
      <c r="C15343" t="s">
        <v>151</v>
      </c>
      <c r="D15343" s="254">
        <v>3.32</v>
      </c>
      <c r="E15343"/>
      <c r="F15343"/>
      <c r="G15343"/>
      <c r="H15343"/>
      <c r="I15343" s="489"/>
      <c r="J15343" s="1362"/>
      <c r="K15343" s="1362"/>
      <c r="L15343" s="1362"/>
    </row>
    <row r="15344" spans="1:12" x14ac:dyDescent="0.25">
      <c r="A15344">
        <v>96123</v>
      </c>
      <c r="B15344" t="s">
        <v>19842</v>
      </c>
      <c r="C15344" t="s">
        <v>151</v>
      </c>
      <c r="D15344" s="254">
        <v>40.6</v>
      </c>
      <c r="E15344"/>
      <c r="F15344"/>
      <c r="G15344"/>
      <c r="H15344"/>
      <c r="I15344" s="489"/>
      <c r="J15344" s="1362"/>
      <c r="K15344" s="1362"/>
      <c r="L15344" s="1362"/>
    </row>
    <row r="15345" spans="1:12" x14ac:dyDescent="0.25">
      <c r="A15345">
        <v>99054</v>
      </c>
      <c r="B15345" t="s">
        <v>19843</v>
      </c>
      <c r="C15345" t="s">
        <v>297</v>
      </c>
      <c r="D15345" s="254">
        <v>60.57</v>
      </c>
      <c r="E15345"/>
      <c r="F15345"/>
      <c r="G15345"/>
      <c r="H15345"/>
      <c r="I15345" s="489"/>
      <c r="J15345" s="1362"/>
      <c r="K15345" s="1362"/>
      <c r="L15345" s="1362"/>
    </row>
    <row r="15346" spans="1:12" x14ac:dyDescent="0.25">
      <c r="A15346">
        <v>96111</v>
      </c>
      <c r="B15346" t="s">
        <v>19844</v>
      </c>
      <c r="C15346" t="s">
        <v>297</v>
      </c>
      <c r="D15346" s="254">
        <v>71.680000000000007</v>
      </c>
      <c r="E15346"/>
      <c r="F15346"/>
      <c r="G15346"/>
      <c r="H15346"/>
      <c r="I15346" s="489"/>
      <c r="J15346" s="1362"/>
      <c r="K15346" s="1362"/>
      <c r="L15346" s="1362"/>
    </row>
    <row r="15347" spans="1:12" x14ac:dyDescent="0.25">
      <c r="A15347">
        <v>96116</v>
      </c>
      <c r="B15347" t="s">
        <v>19845</v>
      </c>
      <c r="C15347" t="s">
        <v>297</v>
      </c>
      <c r="D15347" s="254">
        <v>79.72</v>
      </c>
      <c r="E15347"/>
      <c r="F15347"/>
      <c r="G15347"/>
      <c r="H15347"/>
      <c r="I15347" s="489"/>
      <c r="J15347" s="1362"/>
      <c r="K15347" s="1362"/>
      <c r="L15347" s="1362"/>
    </row>
    <row r="15348" spans="1:12" x14ac:dyDescent="0.25">
      <c r="A15348">
        <v>96121</v>
      </c>
      <c r="B15348" t="s">
        <v>2244</v>
      </c>
      <c r="C15348" t="s">
        <v>151</v>
      </c>
      <c r="D15348" s="254">
        <v>14.45</v>
      </c>
      <c r="E15348"/>
      <c r="F15348"/>
      <c r="G15348"/>
      <c r="H15348"/>
      <c r="I15348" s="489"/>
      <c r="J15348" s="1362"/>
      <c r="K15348" s="1362"/>
      <c r="L15348" s="1362"/>
    </row>
    <row r="15349" spans="1:12" x14ac:dyDescent="0.25">
      <c r="A15349">
        <v>96485</v>
      </c>
      <c r="B15349" t="s">
        <v>19846</v>
      </c>
      <c r="C15349" t="s">
        <v>297</v>
      </c>
      <c r="D15349" s="254">
        <v>82.76</v>
      </c>
      <c r="E15349"/>
      <c r="F15349"/>
      <c r="G15349"/>
      <c r="H15349"/>
      <c r="I15349" s="489"/>
      <c r="J15349" s="1362"/>
      <c r="K15349" s="1362"/>
      <c r="L15349" s="1362"/>
    </row>
    <row r="15350" spans="1:12" x14ac:dyDescent="0.25">
      <c r="A15350">
        <v>96486</v>
      </c>
      <c r="B15350" t="s">
        <v>19847</v>
      </c>
      <c r="C15350" t="s">
        <v>297</v>
      </c>
      <c r="D15350" s="254">
        <v>91.47</v>
      </c>
      <c r="E15350"/>
      <c r="F15350"/>
      <c r="G15350"/>
      <c r="H15350"/>
      <c r="I15350" s="489"/>
      <c r="J15350" s="1362"/>
      <c r="K15350" s="1362"/>
      <c r="L15350" s="1362"/>
    </row>
    <row r="15351" spans="1:12" x14ac:dyDescent="0.25">
      <c r="A15351">
        <v>91514</v>
      </c>
      <c r="B15351" t="s">
        <v>2245</v>
      </c>
      <c r="C15351" t="s">
        <v>297</v>
      </c>
      <c r="D15351" s="254">
        <v>7.78</v>
      </c>
      <c r="E15351"/>
      <c r="F15351"/>
      <c r="G15351"/>
      <c r="H15351"/>
      <c r="I15351" s="489"/>
      <c r="J15351" s="1362"/>
      <c r="K15351" s="1362"/>
      <c r="L15351" s="1362"/>
    </row>
    <row r="15352" spans="1:12" x14ac:dyDescent="0.25">
      <c r="A15352">
        <v>91515</v>
      </c>
      <c r="B15352" t="s">
        <v>2246</v>
      </c>
      <c r="C15352" t="s">
        <v>297</v>
      </c>
      <c r="D15352" s="254">
        <v>10.3</v>
      </c>
      <c r="E15352"/>
      <c r="F15352"/>
      <c r="G15352"/>
      <c r="H15352"/>
      <c r="I15352" s="489"/>
      <c r="J15352" s="1362"/>
      <c r="K15352" s="1362"/>
      <c r="L15352" s="1362"/>
    </row>
    <row r="15353" spans="1:12" x14ac:dyDescent="0.25">
      <c r="A15353">
        <v>91516</v>
      </c>
      <c r="B15353" t="s">
        <v>2247</v>
      </c>
      <c r="C15353" t="s">
        <v>297</v>
      </c>
      <c r="D15353" s="254">
        <v>15.06</v>
      </c>
      <c r="E15353"/>
      <c r="F15353"/>
      <c r="G15353"/>
      <c r="H15353"/>
      <c r="I15353" s="489"/>
      <c r="J15353" s="1362"/>
      <c r="K15353" s="1362"/>
      <c r="L15353" s="1362"/>
    </row>
    <row r="15354" spans="1:12" x14ac:dyDescent="0.25">
      <c r="A15354">
        <v>91517</v>
      </c>
      <c r="B15354" t="s">
        <v>2248</v>
      </c>
      <c r="C15354" t="s">
        <v>297</v>
      </c>
      <c r="D15354" s="254">
        <v>16.78</v>
      </c>
      <c r="E15354"/>
      <c r="F15354"/>
      <c r="G15354"/>
      <c r="H15354"/>
      <c r="I15354" s="489"/>
      <c r="J15354" s="1362"/>
      <c r="K15354" s="1362"/>
      <c r="L15354" s="1362"/>
    </row>
    <row r="15355" spans="1:12" x14ac:dyDescent="0.25">
      <c r="A15355">
        <v>91519</v>
      </c>
      <c r="B15355" t="s">
        <v>2249</v>
      </c>
      <c r="C15355" t="s">
        <v>297</v>
      </c>
      <c r="D15355" s="254">
        <v>19.29</v>
      </c>
      <c r="E15355"/>
      <c r="F15355"/>
      <c r="G15355"/>
      <c r="H15355"/>
      <c r="I15355" s="489"/>
      <c r="J15355" s="1362"/>
      <c r="K15355" s="1362"/>
      <c r="L15355" s="1362"/>
    </row>
    <row r="15356" spans="1:12" x14ac:dyDescent="0.25">
      <c r="A15356">
        <v>91520</v>
      </c>
      <c r="B15356" t="s">
        <v>2250</v>
      </c>
      <c r="C15356" t="s">
        <v>297</v>
      </c>
      <c r="D15356" s="254">
        <v>2.79</v>
      </c>
      <c r="E15356"/>
      <c r="F15356"/>
      <c r="G15356"/>
      <c r="H15356"/>
      <c r="I15356" s="489"/>
      <c r="J15356" s="1362"/>
      <c r="K15356" s="1362"/>
      <c r="L15356" s="1362"/>
    </row>
    <row r="15357" spans="1:12" x14ac:dyDescent="0.25">
      <c r="A15357">
        <v>91522</v>
      </c>
      <c r="B15357" t="s">
        <v>2251</v>
      </c>
      <c r="C15357" t="s">
        <v>297</v>
      </c>
      <c r="D15357" s="254">
        <v>3.36</v>
      </c>
      <c r="E15357"/>
      <c r="F15357"/>
      <c r="G15357"/>
      <c r="H15357"/>
      <c r="I15357" s="489"/>
      <c r="J15357" s="1362"/>
      <c r="K15357" s="1362"/>
      <c r="L15357" s="1362"/>
    </row>
    <row r="15358" spans="1:12" x14ac:dyDescent="0.25">
      <c r="A15358">
        <v>91525</v>
      </c>
      <c r="B15358" t="s">
        <v>2252</v>
      </c>
      <c r="C15358" t="s">
        <v>297</v>
      </c>
      <c r="D15358" s="254">
        <v>5.98</v>
      </c>
      <c r="E15358"/>
      <c r="F15358"/>
      <c r="G15358"/>
      <c r="H15358"/>
      <c r="I15358" s="489"/>
      <c r="J15358" s="1362"/>
      <c r="K15358" s="1362"/>
      <c r="L15358" s="1362"/>
    </row>
    <row r="15359" spans="1:12" x14ac:dyDescent="0.25">
      <c r="A15359">
        <v>87280</v>
      </c>
      <c r="B15359" t="s">
        <v>3744</v>
      </c>
      <c r="C15359" t="s">
        <v>1159</v>
      </c>
      <c r="D15359" s="254">
        <v>484.82</v>
      </c>
      <c r="E15359"/>
      <c r="F15359"/>
      <c r="G15359"/>
      <c r="H15359"/>
      <c r="I15359" s="489"/>
      <c r="J15359" s="1362"/>
      <c r="K15359" s="1362"/>
      <c r="L15359" s="1362"/>
    </row>
    <row r="15360" spans="1:12" x14ac:dyDescent="0.25">
      <c r="A15360">
        <v>87281</v>
      </c>
      <c r="B15360" t="s">
        <v>3745</v>
      </c>
      <c r="C15360" t="s">
        <v>1159</v>
      </c>
      <c r="D15360" s="254">
        <v>478.81</v>
      </c>
      <c r="E15360"/>
      <c r="F15360"/>
      <c r="G15360"/>
      <c r="H15360"/>
      <c r="I15360" s="489"/>
      <c r="J15360" s="1362"/>
      <c r="K15360" s="1362"/>
      <c r="L15360" s="1362"/>
    </row>
    <row r="15361" spans="1:12" x14ac:dyDescent="0.25">
      <c r="A15361">
        <v>87283</v>
      </c>
      <c r="B15361" t="s">
        <v>3746</v>
      </c>
      <c r="C15361" t="s">
        <v>1159</v>
      </c>
      <c r="D15361" s="254">
        <v>499.69</v>
      </c>
      <c r="E15361"/>
      <c r="F15361"/>
      <c r="G15361"/>
      <c r="H15361"/>
      <c r="I15361" s="489"/>
      <c r="J15361" s="1362"/>
      <c r="K15361" s="1362"/>
      <c r="L15361" s="1362"/>
    </row>
    <row r="15362" spans="1:12" x14ac:dyDescent="0.25">
      <c r="A15362">
        <v>87284</v>
      </c>
      <c r="B15362" t="s">
        <v>3747</v>
      </c>
      <c r="C15362" t="s">
        <v>1159</v>
      </c>
      <c r="D15362" s="254">
        <v>492.98</v>
      </c>
      <c r="E15362"/>
      <c r="F15362"/>
      <c r="G15362"/>
      <c r="H15362"/>
      <c r="I15362" s="489"/>
      <c r="J15362" s="1362"/>
      <c r="K15362" s="1362"/>
      <c r="L15362" s="1362"/>
    </row>
    <row r="15363" spans="1:12" x14ac:dyDescent="0.25">
      <c r="A15363">
        <v>87286</v>
      </c>
      <c r="B15363" t="s">
        <v>3748</v>
      </c>
      <c r="C15363" t="s">
        <v>1159</v>
      </c>
      <c r="D15363" s="254">
        <v>579.26</v>
      </c>
      <c r="E15363"/>
      <c r="F15363"/>
      <c r="G15363"/>
      <c r="H15363"/>
      <c r="I15363" s="489"/>
      <c r="J15363" s="1362"/>
      <c r="K15363" s="1362"/>
      <c r="L15363" s="1362"/>
    </row>
    <row r="15364" spans="1:12" x14ac:dyDescent="0.25">
      <c r="A15364">
        <v>87287</v>
      </c>
      <c r="B15364" t="s">
        <v>3749</v>
      </c>
      <c r="C15364" t="s">
        <v>1159</v>
      </c>
      <c r="D15364" s="254">
        <v>563.47</v>
      </c>
      <c r="E15364"/>
      <c r="F15364"/>
      <c r="G15364"/>
      <c r="H15364"/>
      <c r="I15364" s="489"/>
      <c r="J15364" s="1362"/>
      <c r="K15364" s="1362"/>
      <c r="L15364" s="1362"/>
    </row>
    <row r="15365" spans="1:12" x14ac:dyDescent="0.25">
      <c r="A15365">
        <v>87289</v>
      </c>
      <c r="B15365" t="s">
        <v>3750</v>
      </c>
      <c r="C15365" t="s">
        <v>1159</v>
      </c>
      <c r="D15365" s="254">
        <v>554.07000000000005</v>
      </c>
      <c r="E15365"/>
      <c r="F15365"/>
      <c r="G15365"/>
      <c r="H15365"/>
      <c r="I15365" s="489"/>
      <c r="J15365" s="1362"/>
      <c r="K15365" s="1362"/>
      <c r="L15365" s="1362"/>
    </row>
    <row r="15366" spans="1:12" x14ac:dyDescent="0.25">
      <c r="A15366">
        <v>87290</v>
      </c>
      <c r="B15366" t="s">
        <v>3751</v>
      </c>
      <c r="C15366" t="s">
        <v>1159</v>
      </c>
      <c r="D15366" s="254">
        <v>545.14</v>
      </c>
      <c r="E15366"/>
      <c r="F15366"/>
      <c r="G15366"/>
      <c r="H15366"/>
      <c r="I15366" s="489"/>
      <c r="J15366" s="1362"/>
      <c r="K15366" s="1362"/>
      <c r="L15366" s="1362"/>
    </row>
    <row r="15367" spans="1:12" x14ac:dyDescent="0.25">
      <c r="A15367">
        <v>87292</v>
      </c>
      <c r="B15367" t="s">
        <v>3752</v>
      </c>
      <c r="C15367" t="s">
        <v>1159</v>
      </c>
      <c r="D15367" s="254">
        <v>557.66999999999996</v>
      </c>
      <c r="E15367"/>
      <c r="F15367"/>
      <c r="G15367"/>
      <c r="H15367"/>
      <c r="I15367" s="489"/>
      <c r="J15367" s="1362"/>
      <c r="K15367" s="1362"/>
      <c r="L15367" s="1362"/>
    </row>
    <row r="15368" spans="1:12" x14ac:dyDescent="0.25">
      <c r="A15368">
        <v>87294</v>
      </c>
      <c r="B15368" t="s">
        <v>3753</v>
      </c>
      <c r="C15368" t="s">
        <v>1159</v>
      </c>
      <c r="D15368" s="254">
        <v>537.08000000000004</v>
      </c>
      <c r="E15368"/>
      <c r="F15368"/>
      <c r="G15368"/>
      <c r="H15368"/>
      <c r="I15368" s="489"/>
      <c r="J15368" s="1362"/>
      <c r="K15368" s="1362"/>
      <c r="L15368" s="1362"/>
    </row>
    <row r="15369" spans="1:12" x14ac:dyDescent="0.25">
      <c r="A15369">
        <v>87295</v>
      </c>
      <c r="B15369" t="s">
        <v>3754</v>
      </c>
      <c r="C15369" t="s">
        <v>1159</v>
      </c>
      <c r="D15369" s="254">
        <v>543.59</v>
      </c>
      <c r="E15369"/>
      <c r="F15369"/>
      <c r="G15369"/>
      <c r="H15369"/>
      <c r="I15369" s="489"/>
      <c r="J15369" s="1362"/>
      <c r="K15369" s="1362"/>
      <c r="L15369" s="1362"/>
    </row>
    <row r="15370" spans="1:12" x14ac:dyDescent="0.25">
      <c r="A15370">
        <v>87296</v>
      </c>
      <c r="B15370" t="s">
        <v>3755</v>
      </c>
      <c r="C15370" t="s">
        <v>1159</v>
      </c>
      <c r="D15370" s="254">
        <v>517.70000000000005</v>
      </c>
      <c r="E15370"/>
      <c r="F15370"/>
      <c r="G15370"/>
      <c r="H15370"/>
      <c r="I15370" s="489"/>
      <c r="J15370" s="1362"/>
      <c r="K15370" s="1362"/>
      <c r="L15370" s="1362"/>
    </row>
    <row r="15371" spans="1:12" x14ac:dyDescent="0.25">
      <c r="A15371">
        <v>87298</v>
      </c>
      <c r="B15371" t="s">
        <v>3756</v>
      </c>
      <c r="C15371" t="s">
        <v>1159</v>
      </c>
      <c r="D15371" s="254">
        <v>720.28</v>
      </c>
      <c r="E15371"/>
      <c r="F15371"/>
      <c r="G15371"/>
      <c r="H15371"/>
      <c r="I15371" s="489"/>
      <c r="J15371" s="1362"/>
      <c r="K15371" s="1362"/>
      <c r="L15371" s="1362"/>
    </row>
    <row r="15372" spans="1:12" x14ac:dyDescent="0.25">
      <c r="A15372">
        <v>87299</v>
      </c>
      <c r="B15372" t="s">
        <v>3757</v>
      </c>
      <c r="C15372" t="s">
        <v>1159</v>
      </c>
      <c r="D15372" s="254">
        <v>489.87</v>
      </c>
      <c r="E15372"/>
      <c r="F15372"/>
      <c r="G15372"/>
      <c r="H15372"/>
      <c r="I15372" s="489"/>
      <c r="J15372" s="1362"/>
      <c r="K15372" s="1362"/>
      <c r="L15372" s="1362"/>
    </row>
    <row r="15373" spans="1:12" x14ac:dyDescent="0.25">
      <c r="A15373">
        <v>87301</v>
      </c>
      <c r="B15373" t="s">
        <v>3758</v>
      </c>
      <c r="C15373" t="s">
        <v>1159</v>
      </c>
      <c r="D15373" s="254">
        <v>656.45</v>
      </c>
      <c r="E15373"/>
      <c r="F15373"/>
      <c r="G15373"/>
      <c r="H15373"/>
      <c r="I15373" s="489"/>
      <c r="J15373" s="1362"/>
      <c r="K15373" s="1362"/>
      <c r="L15373" s="1362"/>
    </row>
    <row r="15374" spans="1:12" x14ac:dyDescent="0.25">
      <c r="A15374">
        <v>87302</v>
      </c>
      <c r="B15374" t="s">
        <v>3759</v>
      </c>
      <c r="C15374" t="s">
        <v>1159</v>
      </c>
      <c r="D15374" s="254">
        <v>648.29</v>
      </c>
      <c r="E15374"/>
      <c r="F15374"/>
      <c r="G15374"/>
      <c r="H15374"/>
      <c r="I15374" s="489"/>
      <c r="J15374" s="1362"/>
      <c r="K15374" s="1362"/>
      <c r="L15374" s="1362"/>
    </row>
    <row r="15375" spans="1:12" x14ac:dyDescent="0.25">
      <c r="A15375">
        <v>87304</v>
      </c>
      <c r="B15375" t="s">
        <v>3760</v>
      </c>
      <c r="C15375" t="s">
        <v>1159</v>
      </c>
      <c r="D15375" s="254">
        <v>602.19000000000005</v>
      </c>
      <c r="E15375"/>
      <c r="F15375"/>
      <c r="G15375"/>
      <c r="H15375"/>
      <c r="I15375" s="489"/>
      <c r="J15375" s="1362"/>
      <c r="K15375" s="1362"/>
      <c r="L15375" s="1362"/>
    </row>
    <row r="15376" spans="1:12" x14ac:dyDescent="0.25">
      <c r="A15376">
        <v>87305</v>
      </c>
      <c r="B15376" t="s">
        <v>3761</v>
      </c>
      <c r="C15376" t="s">
        <v>1159</v>
      </c>
      <c r="D15376" s="254">
        <v>604.37</v>
      </c>
      <c r="E15376"/>
      <c r="F15376"/>
      <c r="G15376"/>
      <c r="H15376"/>
      <c r="I15376" s="489"/>
      <c r="J15376" s="1362"/>
      <c r="K15376" s="1362"/>
      <c r="L15376" s="1362"/>
    </row>
    <row r="15377" spans="1:12" x14ac:dyDescent="0.25">
      <c r="A15377">
        <v>87307</v>
      </c>
      <c r="B15377" t="s">
        <v>3762</v>
      </c>
      <c r="C15377" t="s">
        <v>1159</v>
      </c>
      <c r="D15377" s="254">
        <v>577.58000000000004</v>
      </c>
      <c r="E15377"/>
      <c r="F15377"/>
      <c r="G15377"/>
      <c r="H15377"/>
      <c r="I15377" s="489"/>
      <c r="J15377" s="1362"/>
      <c r="K15377" s="1362"/>
      <c r="L15377" s="1362"/>
    </row>
    <row r="15378" spans="1:12" x14ac:dyDescent="0.25">
      <c r="A15378">
        <v>87308</v>
      </c>
      <c r="B15378" t="s">
        <v>3763</v>
      </c>
      <c r="C15378" t="s">
        <v>1159</v>
      </c>
      <c r="D15378" s="254">
        <v>567.66999999999996</v>
      </c>
      <c r="E15378"/>
      <c r="F15378"/>
      <c r="G15378"/>
      <c r="H15378"/>
      <c r="I15378" s="489"/>
      <c r="J15378" s="1362"/>
      <c r="K15378" s="1362"/>
      <c r="L15378" s="1362"/>
    </row>
    <row r="15379" spans="1:12" x14ac:dyDescent="0.25">
      <c r="A15379">
        <v>87310</v>
      </c>
      <c r="B15379" t="s">
        <v>3764</v>
      </c>
      <c r="C15379" t="s">
        <v>1159</v>
      </c>
      <c r="D15379" s="254">
        <v>473.78</v>
      </c>
      <c r="E15379"/>
      <c r="F15379"/>
      <c r="G15379"/>
      <c r="H15379"/>
      <c r="I15379" s="489"/>
      <c r="J15379" s="1362"/>
      <c r="K15379" s="1362"/>
      <c r="L15379" s="1362"/>
    </row>
    <row r="15380" spans="1:12" x14ac:dyDescent="0.25">
      <c r="A15380">
        <v>87311</v>
      </c>
      <c r="B15380" t="s">
        <v>3765</v>
      </c>
      <c r="C15380" t="s">
        <v>1159</v>
      </c>
      <c r="D15380" s="254">
        <v>464.32</v>
      </c>
      <c r="E15380"/>
      <c r="F15380"/>
      <c r="G15380"/>
      <c r="H15380"/>
      <c r="I15380" s="489"/>
      <c r="J15380" s="1362"/>
      <c r="K15380" s="1362"/>
      <c r="L15380" s="1362"/>
    </row>
    <row r="15381" spans="1:12" x14ac:dyDescent="0.25">
      <c r="A15381">
        <v>87313</v>
      </c>
      <c r="B15381" t="s">
        <v>3766</v>
      </c>
      <c r="C15381" t="s">
        <v>1159</v>
      </c>
      <c r="D15381" s="254">
        <v>560.21</v>
      </c>
      <c r="E15381"/>
      <c r="F15381"/>
      <c r="G15381"/>
      <c r="H15381"/>
      <c r="I15381" s="489"/>
      <c r="J15381" s="1362"/>
      <c r="K15381" s="1362"/>
      <c r="L15381" s="1362"/>
    </row>
    <row r="15382" spans="1:12" x14ac:dyDescent="0.25">
      <c r="A15382">
        <v>87314</v>
      </c>
      <c r="B15382" t="s">
        <v>3767</v>
      </c>
      <c r="C15382" t="s">
        <v>1159</v>
      </c>
      <c r="D15382" s="254">
        <v>552.6</v>
      </c>
      <c r="E15382"/>
      <c r="F15382"/>
      <c r="G15382"/>
      <c r="H15382"/>
      <c r="I15382" s="489"/>
      <c r="J15382" s="1362"/>
      <c r="K15382" s="1362"/>
      <c r="L15382" s="1362"/>
    </row>
    <row r="15383" spans="1:12" x14ac:dyDescent="0.25">
      <c r="A15383">
        <v>87316</v>
      </c>
      <c r="B15383" t="s">
        <v>3768</v>
      </c>
      <c r="C15383" t="s">
        <v>1159</v>
      </c>
      <c r="D15383" s="254">
        <v>514.58000000000004</v>
      </c>
      <c r="E15383"/>
      <c r="F15383"/>
      <c r="G15383"/>
      <c r="H15383"/>
      <c r="I15383" s="489"/>
      <c r="J15383" s="1362"/>
      <c r="K15383" s="1362"/>
      <c r="L15383" s="1362"/>
    </row>
    <row r="15384" spans="1:12" x14ac:dyDescent="0.25">
      <c r="A15384">
        <v>87317</v>
      </c>
      <c r="B15384" t="s">
        <v>3769</v>
      </c>
      <c r="C15384" t="s">
        <v>1159</v>
      </c>
      <c r="D15384" s="254">
        <v>500.4</v>
      </c>
      <c r="E15384"/>
      <c r="F15384"/>
      <c r="G15384"/>
      <c r="H15384"/>
      <c r="I15384" s="489"/>
      <c r="J15384" s="1362"/>
      <c r="K15384" s="1362"/>
      <c r="L15384" s="1362"/>
    </row>
    <row r="15385" spans="1:12" x14ac:dyDescent="0.25">
      <c r="A15385">
        <v>87319</v>
      </c>
      <c r="B15385" t="s">
        <v>3770</v>
      </c>
      <c r="C15385" t="s">
        <v>1159</v>
      </c>
      <c r="D15385" s="254">
        <v>3034.48</v>
      </c>
      <c r="E15385"/>
      <c r="F15385"/>
      <c r="G15385"/>
      <c r="H15385"/>
      <c r="I15385" s="489"/>
      <c r="J15385" s="1362"/>
      <c r="K15385" s="1362"/>
      <c r="L15385" s="1362"/>
    </row>
    <row r="15386" spans="1:12" x14ac:dyDescent="0.25">
      <c r="A15386">
        <v>87320</v>
      </c>
      <c r="B15386" t="s">
        <v>3771</v>
      </c>
      <c r="C15386" t="s">
        <v>1159</v>
      </c>
      <c r="D15386" s="254">
        <v>3038.88</v>
      </c>
      <c r="E15386"/>
      <c r="F15386"/>
      <c r="G15386"/>
      <c r="H15386"/>
      <c r="I15386" s="489"/>
      <c r="J15386" s="1362"/>
      <c r="K15386" s="1362"/>
      <c r="L15386" s="1362"/>
    </row>
    <row r="15387" spans="1:12" x14ac:dyDescent="0.25">
      <c r="A15387">
        <v>87322</v>
      </c>
      <c r="B15387" t="s">
        <v>3772</v>
      </c>
      <c r="C15387" t="s">
        <v>1159</v>
      </c>
      <c r="D15387" s="254">
        <v>3134.85</v>
      </c>
      <c r="E15387"/>
      <c r="F15387"/>
      <c r="G15387"/>
      <c r="H15387"/>
      <c r="I15387" s="489"/>
      <c r="J15387" s="1362"/>
      <c r="K15387" s="1362"/>
      <c r="L15387" s="1362"/>
    </row>
    <row r="15388" spans="1:12" x14ac:dyDescent="0.25">
      <c r="A15388">
        <v>87323</v>
      </c>
      <c r="B15388" t="s">
        <v>3773</v>
      </c>
      <c r="C15388" t="s">
        <v>1159</v>
      </c>
      <c r="D15388" s="254">
        <v>3132.3</v>
      </c>
      <c r="E15388"/>
      <c r="F15388"/>
      <c r="G15388"/>
      <c r="H15388"/>
      <c r="I15388" s="489"/>
      <c r="J15388" s="1362"/>
      <c r="K15388" s="1362"/>
      <c r="L15388" s="1362"/>
    </row>
    <row r="15389" spans="1:12" x14ac:dyDescent="0.25">
      <c r="A15389">
        <v>87325</v>
      </c>
      <c r="B15389" t="s">
        <v>3774</v>
      </c>
      <c r="C15389" t="s">
        <v>1159</v>
      </c>
      <c r="D15389" s="254">
        <v>3061.18</v>
      </c>
      <c r="E15389"/>
      <c r="F15389"/>
      <c r="G15389"/>
      <c r="H15389"/>
      <c r="I15389" s="489"/>
      <c r="J15389" s="1362"/>
      <c r="K15389" s="1362"/>
      <c r="L15389" s="1362"/>
    </row>
    <row r="15390" spans="1:12" x14ac:dyDescent="0.25">
      <c r="A15390">
        <v>87326</v>
      </c>
      <c r="B15390" t="s">
        <v>3775</v>
      </c>
      <c r="C15390" t="s">
        <v>1159</v>
      </c>
      <c r="D15390" s="254">
        <v>3066.91</v>
      </c>
      <c r="E15390"/>
      <c r="F15390"/>
      <c r="G15390"/>
      <c r="H15390"/>
      <c r="I15390" s="489"/>
      <c r="J15390" s="1362"/>
      <c r="K15390" s="1362"/>
      <c r="L15390" s="1362"/>
    </row>
    <row r="15391" spans="1:12" x14ac:dyDescent="0.25">
      <c r="A15391">
        <v>87327</v>
      </c>
      <c r="B15391" t="s">
        <v>3776</v>
      </c>
      <c r="C15391" t="s">
        <v>1159</v>
      </c>
      <c r="D15391" s="254">
        <v>503.88</v>
      </c>
      <c r="E15391"/>
      <c r="F15391"/>
      <c r="G15391"/>
      <c r="H15391"/>
      <c r="I15391" s="489"/>
      <c r="J15391" s="1362"/>
      <c r="K15391" s="1362"/>
      <c r="L15391" s="1362"/>
    </row>
    <row r="15392" spans="1:12" x14ac:dyDescent="0.25">
      <c r="A15392">
        <v>87328</v>
      </c>
      <c r="B15392" t="s">
        <v>3777</v>
      </c>
      <c r="C15392" t="s">
        <v>1159</v>
      </c>
      <c r="D15392" s="254">
        <v>450.19</v>
      </c>
      <c r="E15392"/>
      <c r="F15392"/>
      <c r="G15392"/>
      <c r="H15392"/>
      <c r="I15392" s="489"/>
      <c r="J15392" s="1362"/>
      <c r="K15392" s="1362"/>
      <c r="L15392" s="1362"/>
    </row>
    <row r="15393" spans="1:12" x14ac:dyDescent="0.25">
      <c r="A15393">
        <v>87329</v>
      </c>
      <c r="B15393" t="s">
        <v>3778</v>
      </c>
      <c r="C15393" t="s">
        <v>1159</v>
      </c>
      <c r="D15393" s="254">
        <v>535.5</v>
      </c>
      <c r="E15393"/>
      <c r="F15393"/>
      <c r="G15393"/>
      <c r="H15393"/>
      <c r="I15393" s="489"/>
      <c r="J15393" s="1362"/>
      <c r="K15393" s="1362"/>
      <c r="L15393" s="1362"/>
    </row>
    <row r="15394" spans="1:12" x14ac:dyDescent="0.25">
      <c r="A15394">
        <v>87330</v>
      </c>
      <c r="B15394" t="s">
        <v>3779</v>
      </c>
      <c r="C15394" t="s">
        <v>1159</v>
      </c>
      <c r="D15394" s="254">
        <v>474.49</v>
      </c>
      <c r="E15394"/>
      <c r="F15394"/>
      <c r="G15394"/>
      <c r="H15394"/>
      <c r="I15394" s="489"/>
      <c r="J15394" s="1362"/>
      <c r="K15394" s="1362"/>
      <c r="L15394" s="1362"/>
    </row>
    <row r="15395" spans="1:12" x14ac:dyDescent="0.25">
      <c r="A15395">
        <v>87331</v>
      </c>
      <c r="B15395" t="s">
        <v>3780</v>
      </c>
      <c r="C15395" t="s">
        <v>1159</v>
      </c>
      <c r="D15395" s="254">
        <v>598.29</v>
      </c>
      <c r="E15395"/>
      <c r="F15395"/>
      <c r="G15395"/>
      <c r="H15395"/>
      <c r="I15395" s="489"/>
      <c r="J15395" s="1362"/>
      <c r="K15395" s="1362"/>
      <c r="L15395" s="1362"/>
    </row>
    <row r="15396" spans="1:12" x14ac:dyDescent="0.25">
      <c r="A15396">
        <v>87332</v>
      </c>
      <c r="B15396" t="s">
        <v>3781</v>
      </c>
      <c r="C15396" t="s">
        <v>1159</v>
      </c>
      <c r="D15396" s="254">
        <v>542.26</v>
      </c>
      <c r="E15396"/>
      <c r="F15396"/>
      <c r="G15396"/>
      <c r="H15396"/>
      <c r="I15396" s="489"/>
      <c r="J15396" s="1362"/>
      <c r="K15396" s="1362"/>
      <c r="L15396" s="1362"/>
    </row>
    <row r="15397" spans="1:12" x14ac:dyDescent="0.25">
      <c r="A15397">
        <v>87333</v>
      </c>
      <c r="B15397" t="s">
        <v>3782</v>
      </c>
      <c r="C15397" t="s">
        <v>1159</v>
      </c>
      <c r="D15397" s="254">
        <v>556.05999999999995</v>
      </c>
      <c r="E15397"/>
      <c r="F15397"/>
      <c r="G15397"/>
      <c r="H15397"/>
      <c r="I15397" s="489"/>
      <c r="J15397" s="1362"/>
      <c r="K15397" s="1362"/>
      <c r="L15397" s="1362"/>
    </row>
    <row r="15398" spans="1:12" x14ac:dyDescent="0.25">
      <c r="A15398">
        <v>87334</v>
      </c>
      <c r="B15398" t="s">
        <v>3783</v>
      </c>
      <c r="C15398" t="s">
        <v>1159</v>
      </c>
      <c r="D15398" s="254">
        <v>522.30999999999995</v>
      </c>
      <c r="E15398"/>
      <c r="F15398"/>
      <c r="G15398"/>
      <c r="H15398"/>
      <c r="I15398" s="489"/>
      <c r="J15398" s="1362"/>
      <c r="K15398" s="1362"/>
      <c r="L15398" s="1362"/>
    </row>
    <row r="15399" spans="1:12" x14ac:dyDescent="0.25">
      <c r="A15399">
        <v>87335</v>
      </c>
      <c r="B15399" t="s">
        <v>3784</v>
      </c>
      <c r="C15399" t="s">
        <v>1159</v>
      </c>
      <c r="D15399" s="254">
        <v>549.79</v>
      </c>
      <c r="E15399"/>
      <c r="F15399"/>
      <c r="G15399"/>
      <c r="H15399"/>
      <c r="I15399" s="489"/>
      <c r="J15399" s="1362"/>
      <c r="K15399" s="1362"/>
      <c r="L15399" s="1362"/>
    </row>
    <row r="15400" spans="1:12" x14ac:dyDescent="0.25">
      <c r="A15400">
        <v>87336</v>
      </c>
      <c r="B15400" t="s">
        <v>3785</v>
      </c>
      <c r="C15400" t="s">
        <v>1159</v>
      </c>
      <c r="D15400" s="254">
        <v>530.38</v>
      </c>
      <c r="E15400"/>
      <c r="F15400"/>
      <c r="G15400"/>
      <c r="H15400"/>
      <c r="I15400" s="489"/>
      <c r="J15400" s="1362"/>
      <c r="K15400" s="1362"/>
      <c r="L15400" s="1362"/>
    </row>
    <row r="15401" spans="1:12" x14ac:dyDescent="0.25">
      <c r="A15401">
        <v>87337</v>
      </c>
      <c r="B15401" t="s">
        <v>3786</v>
      </c>
      <c r="C15401" t="s">
        <v>1159</v>
      </c>
      <c r="D15401" s="254">
        <v>538.17999999999995</v>
      </c>
      <c r="E15401"/>
      <c r="F15401"/>
      <c r="G15401"/>
      <c r="H15401"/>
      <c r="I15401" s="489"/>
      <c r="J15401" s="1362"/>
      <c r="K15401" s="1362"/>
      <c r="L15401" s="1362"/>
    </row>
    <row r="15402" spans="1:12" x14ac:dyDescent="0.25">
      <c r="A15402">
        <v>87338</v>
      </c>
      <c r="B15402" t="s">
        <v>3787</v>
      </c>
      <c r="C15402" t="s">
        <v>1159</v>
      </c>
      <c r="D15402" s="254">
        <v>514.38</v>
      </c>
      <c r="E15402"/>
      <c r="F15402"/>
      <c r="G15402"/>
      <c r="H15402"/>
      <c r="I15402" s="489"/>
      <c r="J15402" s="1362"/>
      <c r="K15402" s="1362"/>
      <c r="L15402" s="1362"/>
    </row>
    <row r="15403" spans="1:12" x14ac:dyDescent="0.25">
      <c r="A15403">
        <v>87339</v>
      </c>
      <c r="B15403" t="s">
        <v>3788</v>
      </c>
      <c r="C15403" t="s">
        <v>1159</v>
      </c>
      <c r="D15403" s="254">
        <v>829.41</v>
      </c>
      <c r="E15403"/>
      <c r="F15403"/>
      <c r="G15403"/>
      <c r="H15403"/>
      <c r="I15403" s="489"/>
      <c r="J15403" s="1362"/>
      <c r="K15403" s="1362"/>
      <c r="L15403" s="1362"/>
    </row>
    <row r="15404" spans="1:12" x14ac:dyDescent="0.25">
      <c r="A15404">
        <v>87340</v>
      </c>
      <c r="B15404" t="s">
        <v>3789</v>
      </c>
      <c r="C15404" t="s">
        <v>1159</v>
      </c>
      <c r="D15404" s="254">
        <v>715.43</v>
      </c>
      <c r="E15404"/>
      <c r="F15404"/>
      <c r="G15404"/>
      <c r="H15404"/>
      <c r="I15404" s="489"/>
      <c r="J15404" s="1362"/>
      <c r="K15404" s="1362"/>
      <c r="L15404" s="1362"/>
    </row>
    <row r="15405" spans="1:12" x14ac:dyDescent="0.25">
      <c r="A15405">
        <v>87341</v>
      </c>
      <c r="B15405" t="s">
        <v>3790</v>
      </c>
      <c r="C15405" t="s">
        <v>1159</v>
      </c>
      <c r="D15405" s="254">
        <v>687.03</v>
      </c>
      <c r="E15405"/>
      <c r="F15405"/>
      <c r="G15405"/>
      <c r="H15405"/>
      <c r="I15405" s="489"/>
      <c r="J15405" s="1362"/>
      <c r="K15405" s="1362"/>
      <c r="L15405" s="1362"/>
    </row>
    <row r="15406" spans="1:12" x14ac:dyDescent="0.25">
      <c r="A15406">
        <v>87342</v>
      </c>
      <c r="B15406" t="s">
        <v>3791</v>
      </c>
      <c r="C15406" t="s">
        <v>1159</v>
      </c>
      <c r="D15406" s="254">
        <v>719.42</v>
      </c>
      <c r="E15406"/>
      <c r="F15406"/>
      <c r="G15406"/>
      <c r="H15406"/>
      <c r="I15406" s="489"/>
      <c r="J15406" s="1362"/>
      <c r="K15406" s="1362"/>
      <c r="L15406" s="1362"/>
    </row>
    <row r="15407" spans="1:12" x14ac:dyDescent="0.25">
      <c r="A15407">
        <v>87343</v>
      </c>
      <c r="B15407" t="s">
        <v>3792</v>
      </c>
      <c r="C15407" t="s">
        <v>1159</v>
      </c>
      <c r="D15407" s="254">
        <v>654.70000000000005</v>
      </c>
      <c r="E15407"/>
      <c r="F15407"/>
      <c r="G15407"/>
      <c r="H15407"/>
      <c r="I15407" s="489"/>
      <c r="J15407" s="1362"/>
      <c r="K15407" s="1362"/>
      <c r="L15407" s="1362"/>
    </row>
    <row r="15408" spans="1:12" x14ac:dyDescent="0.25">
      <c r="A15408">
        <v>87344</v>
      </c>
      <c r="B15408" t="s">
        <v>3793</v>
      </c>
      <c r="C15408" t="s">
        <v>1159</v>
      </c>
      <c r="D15408" s="254">
        <v>619.89</v>
      </c>
      <c r="E15408"/>
      <c r="F15408"/>
      <c r="G15408"/>
      <c r="H15408"/>
      <c r="I15408" s="489"/>
      <c r="J15408" s="1362"/>
      <c r="K15408" s="1362"/>
      <c r="L15408" s="1362"/>
    </row>
    <row r="15409" spans="1:12" x14ac:dyDescent="0.25">
      <c r="A15409">
        <v>87345</v>
      </c>
      <c r="B15409" t="s">
        <v>3794</v>
      </c>
      <c r="C15409" t="s">
        <v>1159</v>
      </c>
      <c r="D15409" s="254">
        <v>654.13</v>
      </c>
      <c r="E15409"/>
      <c r="F15409"/>
      <c r="G15409"/>
      <c r="H15409"/>
      <c r="I15409" s="489"/>
      <c r="J15409" s="1362"/>
      <c r="K15409" s="1362"/>
      <c r="L15409" s="1362"/>
    </row>
    <row r="15410" spans="1:12" x14ac:dyDescent="0.25">
      <c r="A15410">
        <v>87346</v>
      </c>
      <c r="B15410" t="s">
        <v>3795</v>
      </c>
      <c r="C15410" t="s">
        <v>1159</v>
      </c>
      <c r="D15410" s="254">
        <v>600.88</v>
      </c>
      <c r="E15410"/>
      <c r="F15410"/>
      <c r="G15410"/>
      <c r="H15410"/>
      <c r="I15410" s="489"/>
      <c r="J15410" s="1362"/>
      <c r="K15410" s="1362"/>
      <c r="L15410" s="1362"/>
    </row>
    <row r="15411" spans="1:12" x14ac:dyDescent="0.25">
      <c r="A15411">
        <v>87347</v>
      </c>
      <c r="B15411" t="s">
        <v>3796</v>
      </c>
      <c r="C15411" t="s">
        <v>1159</v>
      </c>
      <c r="D15411" s="254">
        <v>573.20000000000005</v>
      </c>
      <c r="E15411"/>
      <c r="F15411"/>
      <c r="G15411"/>
      <c r="H15411"/>
      <c r="I15411" s="489"/>
      <c r="J15411" s="1362"/>
      <c r="K15411" s="1362"/>
      <c r="L15411" s="1362"/>
    </row>
    <row r="15412" spans="1:12" x14ac:dyDescent="0.25">
      <c r="A15412">
        <v>87348</v>
      </c>
      <c r="B15412" t="s">
        <v>3797</v>
      </c>
      <c r="C15412" t="s">
        <v>1159</v>
      </c>
      <c r="D15412" s="254">
        <v>605.80999999999995</v>
      </c>
      <c r="E15412"/>
      <c r="F15412"/>
      <c r="G15412"/>
      <c r="H15412"/>
      <c r="I15412" s="489"/>
      <c r="J15412" s="1362"/>
      <c r="K15412" s="1362"/>
      <c r="L15412" s="1362"/>
    </row>
    <row r="15413" spans="1:12" x14ac:dyDescent="0.25">
      <c r="A15413">
        <v>87349</v>
      </c>
      <c r="B15413" t="s">
        <v>3798</v>
      </c>
      <c r="C15413" t="s">
        <v>1159</v>
      </c>
      <c r="D15413" s="254">
        <v>536.88</v>
      </c>
      <c r="E15413"/>
      <c r="F15413"/>
      <c r="G15413"/>
      <c r="H15413"/>
      <c r="I15413" s="489"/>
      <c r="J15413" s="1362"/>
      <c r="K15413" s="1362"/>
      <c r="L15413" s="1362"/>
    </row>
    <row r="15414" spans="1:12" x14ac:dyDescent="0.25">
      <c r="A15414">
        <v>87350</v>
      </c>
      <c r="B15414" t="s">
        <v>3799</v>
      </c>
      <c r="C15414" t="s">
        <v>1159</v>
      </c>
      <c r="D15414" s="254">
        <v>513.66999999999996</v>
      </c>
      <c r="E15414"/>
      <c r="F15414"/>
      <c r="G15414"/>
      <c r="H15414"/>
      <c r="I15414" s="489"/>
      <c r="J15414" s="1362"/>
      <c r="K15414" s="1362"/>
      <c r="L15414" s="1362"/>
    </row>
    <row r="15415" spans="1:12" x14ac:dyDescent="0.25">
      <c r="A15415">
        <v>87351</v>
      </c>
      <c r="B15415" t="s">
        <v>3800</v>
      </c>
      <c r="C15415" t="s">
        <v>1159</v>
      </c>
      <c r="D15415" s="254">
        <v>448.01</v>
      </c>
      <c r="E15415"/>
      <c r="F15415"/>
      <c r="G15415"/>
      <c r="H15415"/>
      <c r="I15415" s="489"/>
      <c r="J15415" s="1362"/>
      <c r="K15415" s="1362"/>
      <c r="L15415" s="1362"/>
    </row>
    <row r="15416" spans="1:12" x14ac:dyDescent="0.25">
      <c r="A15416">
        <v>87352</v>
      </c>
      <c r="B15416" t="s">
        <v>3801</v>
      </c>
      <c r="C15416" t="s">
        <v>1159</v>
      </c>
      <c r="D15416" s="254">
        <v>633.04</v>
      </c>
      <c r="E15416"/>
      <c r="F15416"/>
      <c r="G15416"/>
      <c r="H15416"/>
      <c r="I15416" s="489"/>
      <c r="J15416" s="1362"/>
      <c r="K15416" s="1362"/>
      <c r="L15416" s="1362"/>
    </row>
    <row r="15417" spans="1:12" x14ac:dyDescent="0.25">
      <c r="A15417">
        <v>87353</v>
      </c>
      <c r="B15417" t="s">
        <v>3802</v>
      </c>
      <c r="C15417" t="s">
        <v>1159</v>
      </c>
      <c r="D15417" s="254">
        <v>561.62</v>
      </c>
      <c r="E15417"/>
      <c r="F15417"/>
      <c r="G15417"/>
      <c r="H15417"/>
      <c r="I15417" s="489"/>
      <c r="J15417" s="1362"/>
      <c r="K15417" s="1362"/>
      <c r="L15417" s="1362"/>
    </row>
    <row r="15418" spans="1:12" x14ac:dyDescent="0.25">
      <c r="A15418">
        <v>87354</v>
      </c>
      <c r="B15418" t="s">
        <v>3803</v>
      </c>
      <c r="C15418" t="s">
        <v>1159</v>
      </c>
      <c r="D15418" s="254">
        <v>530.88</v>
      </c>
      <c r="E15418"/>
      <c r="F15418"/>
      <c r="G15418"/>
      <c r="H15418"/>
      <c r="I15418" s="489"/>
      <c r="J15418" s="1362"/>
      <c r="K15418" s="1362"/>
      <c r="L15418" s="1362"/>
    </row>
    <row r="15419" spans="1:12" x14ac:dyDescent="0.25">
      <c r="A15419">
        <v>87355</v>
      </c>
      <c r="B15419" t="s">
        <v>3804</v>
      </c>
      <c r="C15419" t="s">
        <v>1159</v>
      </c>
      <c r="D15419" s="254">
        <v>547.75</v>
      </c>
      <c r="E15419"/>
      <c r="F15419"/>
      <c r="G15419"/>
      <c r="H15419"/>
      <c r="I15419" s="489"/>
      <c r="J15419" s="1362"/>
      <c r="K15419" s="1362"/>
      <c r="L15419" s="1362"/>
    </row>
    <row r="15420" spans="1:12" x14ac:dyDescent="0.25">
      <c r="A15420">
        <v>87356</v>
      </c>
      <c r="B15420" t="s">
        <v>3805</v>
      </c>
      <c r="C15420" t="s">
        <v>1159</v>
      </c>
      <c r="D15420" s="254">
        <v>500.17</v>
      </c>
      <c r="E15420"/>
      <c r="F15420"/>
      <c r="G15420"/>
      <c r="H15420"/>
      <c r="I15420" s="489"/>
      <c r="J15420" s="1362"/>
      <c r="K15420" s="1362"/>
      <c r="L15420" s="1362"/>
    </row>
    <row r="15421" spans="1:12" x14ac:dyDescent="0.25">
      <c r="A15421">
        <v>87357</v>
      </c>
      <c r="B15421" t="s">
        <v>3806</v>
      </c>
      <c r="C15421" t="s">
        <v>1159</v>
      </c>
      <c r="D15421" s="254">
        <v>477.29</v>
      </c>
      <c r="E15421"/>
      <c r="F15421"/>
      <c r="G15421"/>
      <c r="H15421"/>
      <c r="I15421" s="489"/>
      <c r="J15421" s="1362"/>
      <c r="K15421" s="1362"/>
      <c r="L15421" s="1362"/>
    </row>
    <row r="15422" spans="1:12" x14ac:dyDescent="0.25">
      <c r="A15422">
        <v>87358</v>
      </c>
      <c r="B15422" t="s">
        <v>3807</v>
      </c>
      <c r="C15422" t="s">
        <v>1159</v>
      </c>
      <c r="D15422" s="254">
        <v>3003.1</v>
      </c>
      <c r="E15422"/>
      <c r="F15422"/>
      <c r="G15422"/>
      <c r="H15422"/>
      <c r="I15422" s="489"/>
      <c r="J15422" s="1362"/>
      <c r="K15422" s="1362"/>
      <c r="L15422" s="1362"/>
    </row>
    <row r="15423" spans="1:12" x14ac:dyDescent="0.25">
      <c r="A15423">
        <v>87359</v>
      </c>
      <c r="B15423" t="s">
        <v>3808</v>
      </c>
      <c r="C15423" t="s">
        <v>1159</v>
      </c>
      <c r="D15423" s="254">
        <v>2976.18</v>
      </c>
      <c r="E15423"/>
      <c r="F15423"/>
      <c r="G15423"/>
      <c r="H15423"/>
      <c r="I15423" s="489"/>
      <c r="J15423" s="1362"/>
      <c r="K15423" s="1362"/>
      <c r="L15423" s="1362"/>
    </row>
    <row r="15424" spans="1:12" x14ac:dyDescent="0.25">
      <c r="A15424">
        <v>87360</v>
      </c>
      <c r="B15424" t="s">
        <v>3809</v>
      </c>
      <c r="C15424" t="s">
        <v>1159</v>
      </c>
      <c r="D15424" s="254">
        <v>3101.63</v>
      </c>
      <c r="E15424"/>
      <c r="F15424"/>
      <c r="G15424"/>
      <c r="H15424"/>
      <c r="I15424" s="489"/>
      <c r="J15424" s="1362"/>
      <c r="K15424" s="1362"/>
      <c r="L15424" s="1362"/>
    </row>
    <row r="15425" spans="1:12" x14ac:dyDescent="0.25">
      <c r="A15425">
        <v>87361</v>
      </c>
      <c r="B15425" t="s">
        <v>3810</v>
      </c>
      <c r="C15425" t="s">
        <v>1159</v>
      </c>
      <c r="D15425" s="254">
        <v>3059.93</v>
      </c>
      <c r="E15425"/>
      <c r="F15425"/>
      <c r="G15425"/>
      <c r="H15425"/>
      <c r="I15425" s="489"/>
      <c r="J15425" s="1362"/>
      <c r="K15425" s="1362"/>
      <c r="L15425" s="1362"/>
    </row>
    <row r="15426" spans="1:12" x14ac:dyDescent="0.25">
      <c r="A15426">
        <v>87362</v>
      </c>
      <c r="B15426" t="s">
        <v>3811</v>
      </c>
      <c r="C15426" t="s">
        <v>1159</v>
      </c>
      <c r="D15426" s="254">
        <v>3057.48</v>
      </c>
      <c r="E15426"/>
      <c r="F15426"/>
      <c r="G15426"/>
      <c r="H15426"/>
      <c r="I15426" s="489"/>
      <c r="J15426" s="1362"/>
      <c r="K15426" s="1362"/>
      <c r="L15426" s="1362"/>
    </row>
    <row r="15427" spans="1:12" x14ac:dyDescent="0.25">
      <c r="A15427">
        <v>87363</v>
      </c>
      <c r="B15427" t="s">
        <v>3812</v>
      </c>
      <c r="C15427" t="s">
        <v>1159</v>
      </c>
      <c r="D15427" s="254">
        <v>3037.92</v>
      </c>
      <c r="E15427"/>
      <c r="F15427"/>
      <c r="G15427"/>
      <c r="H15427"/>
      <c r="I15427" s="489"/>
      <c r="J15427" s="1362"/>
      <c r="K15427" s="1362"/>
      <c r="L15427" s="1362"/>
    </row>
    <row r="15428" spans="1:12" x14ac:dyDescent="0.25">
      <c r="A15428">
        <v>87364</v>
      </c>
      <c r="B15428" t="s">
        <v>3813</v>
      </c>
      <c r="C15428" t="s">
        <v>1159</v>
      </c>
      <c r="D15428" s="254">
        <v>3010.43</v>
      </c>
      <c r="E15428"/>
      <c r="F15428"/>
      <c r="G15428"/>
      <c r="H15428"/>
      <c r="I15428" s="489"/>
      <c r="J15428" s="1362"/>
      <c r="K15428" s="1362"/>
      <c r="L15428" s="1362"/>
    </row>
    <row r="15429" spans="1:12" x14ac:dyDescent="0.25">
      <c r="A15429">
        <v>87365</v>
      </c>
      <c r="B15429" t="s">
        <v>3814</v>
      </c>
      <c r="C15429" t="s">
        <v>1159</v>
      </c>
      <c r="D15429" s="254">
        <v>604.59</v>
      </c>
      <c r="E15429"/>
      <c r="F15429"/>
      <c r="G15429"/>
      <c r="H15429"/>
      <c r="I15429" s="489"/>
      <c r="J15429" s="1362"/>
      <c r="K15429" s="1362"/>
      <c r="L15429" s="1362"/>
    </row>
    <row r="15430" spans="1:12" x14ac:dyDescent="0.25">
      <c r="A15430">
        <v>87366</v>
      </c>
      <c r="B15430" t="s">
        <v>3815</v>
      </c>
      <c r="C15430" t="s">
        <v>1159</v>
      </c>
      <c r="D15430" s="254">
        <v>633.34</v>
      </c>
      <c r="E15430"/>
      <c r="F15430"/>
      <c r="G15430"/>
      <c r="H15430"/>
      <c r="I15430" s="489"/>
      <c r="J15430" s="1362"/>
      <c r="K15430" s="1362"/>
      <c r="L15430" s="1362"/>
    </row>
    <row r="15431" spans="1:12" x14ac:dyDescent="0.25">
      <c r="A15431">
        <v>87367</v>
      </c>
      <c r="B15431" t="s">
        <v>3816</v>
      </c>
      <c r="C15431" t="s">
        <v>1159</v>
      </c>
      <c r="D15431" s="254">
        <v>699.95</v>
      </c>
      <c r="E15431"/>
      <c r="F15431"/>
      <c r="G15431"/>
      <c r="H15431"/>
      <c r="I15431" s="489"/>
      <c r="J15431" s="1362"/>
      <c r="K15431" s="1362"/>
      <c r="L15431" s="1362"/>
    </row>
    <row r="15432" spans="1:12" x14ac:dyDescent="0.25">
      <c r="A15432">
        <v>87368</v>
      </c>
      <c r="B15432" t="s">
        <v>3817</v>
      </c>
      <c r="C15432" t="s">
        <v>1159</v>
      </c>
      <c r="D15432" s="254">
        <v>678.69</v>
      </c>
      <c r="E15432"/>
      <c r="F15432"/>
      <c r="G15432"/>
      <c r="H15432"/>
      <c r="I15432" s="489"/>
      <c r="J15432" s="1362"/>
      <c r="K15432" s="1362"/>
      <c r="L15432" s="1362"/>
    </row>
    <row r="15433" spans="1:12" x14ac:dyDescent="0.25">
      <c r="A15433">
        <v>87369</v>
      </c>
      <c r="B15433" t="s">
        <v>3818</v>
      </c>
      <c r="C15433" t="s">
        <v>1159</v>
      </c>
      <c r="D15433" s="254">
        <v>685.31</v>
      </c>
      <c r="E15433"/>
      <c r="F15433"/>
      <c r="G15433"/>
      <c r="H15433"/>
      <c r="I15433" s="489"/>
      <c r="J15433" s="1362"/>
      <c r="K15433" s="1362"/>
      <c r="L15433" s="1362"/>
    </row>
    <row r="15434" spans="1:12" x14ac:dyDescent="0.25">
      <c r="A15434">
        <v>87370</v>
      </c>
      <c r="B15434" t="s">
        <v>3819</v>
      </c>
      <c r="C15434" t="s">
        <v>1159</v>
      </c>
      <c r="D15434" s="254">
        <v>665.98</v>
      </c>
      <c r="E15434"/>
      <c r="F15434"/>
      <c r="G15434"/>
      <c r="H15434"/>
      <c r="I15434" s="489"/>
      <c r="J15434" s="1362"/>
      <c r="K15434" s="1362"/>
      <c r="L15434" s="1362"/>
    </row>
    <row r="15435" spans="1:12" x14ac:dyDescent="0.25">
      <c r="A15435">
        <v>87371</v>
      </c>
      <c r="B15435" t="s">
        <v>3820</v>
      </c>
      <c r="C15435" t="s">
        <v>1159</v>
      </c>
      <c r="D15435" s="254">
        <v>648.76</v>
      </c>
      <c r="E15435"/>
      <c r="F15435"/>
      <c r="G15435"/>
      <c r="H15435"/>
      <c r="I15435" s="489"/>
      <c r="J15435" s="1362"/>
      <c r="K15435" s="1362"/>
      <c r="L15435" s="1362"/>
    </row>
    <row r="15436" spans="1:12" x14ac:dyDescent="0.25">
      <c r="A15436">
        <v>87372</v>
      </c>
      <c r="B15436" t="s">
        <v>3821</v>
      </c>
      <c r="C15436" t="s">
        <v>1159</v>
      </c>
      <c r="D15436" s="254">
        <v>858.37</v>
      </c>
      <c r="E15436"/>
      <c r="F15436"/>
      <c r="G15436"/>
      <c r="H15436"/>
      <c r="I15436" s="489"/>
      <c r="J15436" s="1362"/>
      <c r="K15436" s="1362"/>
      <c r="L15436" s="1362"/>
    </row>
    <row r="15437" spans="1:12" x14ac:dyDescent="0.25">
      <c r="A15437">
        <v>87373</v>
      </c>
      <c r="B15437" t="s">
        <v>3822</v>
      </c>
      <c r="C15437" t="s">
        <v>1159</v>
      </c>
      <c r="D15437" s="254">
        <v>777.41</v>
      </c>
      <c r="E15437"/>
      <c r="F15437"/>
      <c r="G15437"/>
      <c r="H15437"/>
      <c r="I15437" s="489"/>
      <c r="J15437" s="1362"/>
      <c r="K15437" s="1362"/>
      <c r="L15437" s="1362"/>
    </row>
    <row r="15438" spans="1:12" x14ac:dyDescent="0.25">
      <c r="A15438">
        <v>87374</v>
      </c>
      <c r="B15438" t="s">
        <v>3823</v>
      </c>
      <c r="C15438" t="s">
        <v>1159</v>
      </c>
      <c r="D15438" s="254">
        <v>732.08</v>
      </c>
      <c r="E15438"/>
      <c r="F15438"/>
      <c r="G15438"/>
      <c r="H15438"/>
      <c r="I15438" s="489"/>
      <c r="J15438" s="1362"/>
      <c r="K15438" s="1362"/>
      <c r="L15438" s="1362"/>
    </row>
    <row r="15439" spans="1:12" x14ac:dyDescent="0.25">
      <c r="A15439">
        <v>87375</v>
      </c>
      <c r="B15439" t="s">
        <v>3824</v>
      </c>
      <c r="C15439" t="s">
        <v>1159</v>
      </c>
      <c r="D15439" s="254">
        <v>703.58</v>
      </c>
      <c r="E15439"/>
      <c r="F15439"/>
      <c r="G15439"/>
      <c r="H15439"/>
      <c r="I15439" s="489"/>
      <c r="J15439" s="1362"/>
      <c r="K15439" s="1362"/>
      <c r="L15439" s="1362"/>
    </row>
    <row r="15440" spans="1:12" x14ac:dyDescent="0.25">
      <c r="A15440">
        <v>87376</v>
      </c>
      <c r="B15440" t="s">
        <v>3825</v>
      </c>
      <c r="C15440" t="s">
        <v>1159</v>
      </c>
      <c r="D15440" s="254">
        <v>602.49</v>
      </c>
      <c r="E15440"/>
      <c r="F15440"/>
      <c r="G15440"/>
      <c r="H15440"/>
      <c r="I15440" s="489"/>
      <c r="J15440" s="1362"/>
      <c r="K15440" s="1362"/>
      <c r="L15440" s="1362"/>
    </row>
    <row r="15441" spans="1:12" x14ac:dyDescent="0.25">
      <c r="A15441">
        <v>87377</v>
      </c>
      <c r="B15441" t="s">
        <v>3826</v>
      </c>
      <c r="C15441" t="s">
        <v>1159</v>
      </c>
      <c r="D15441" s="254">
        <v>693.46</v>
      </c>
      <c r="E15441"/>
      <c r="F15441"/>
      <c r="G15441"/>
      <c r="H15441"/>
      <c r="I15441" s="489"/>
      <c r="J15441" s="1362"/>
      <c r="K15441" s="1362"/>
      <c r="L15441" s="1362"/>
    </row>
    <row r="15442" spans="1:12" x14ac:dyDescent="0.25">
      <c r="A15442">
        <v>87378</v>
      </c>
      <c r="B15442" t="s">
        <v>3827</v>
      </c>
      <c r="C15442" t="s">
        <v>1159</v>
      </c>
      <c r="D15442" s="254">
        <v>634.12</v>
      </c>
      <c r="E15442"/>
      <c r="F15442"/>
      <c r="G15442"/>
      <c r="H15442"/>
      <c r="I15442" s="489"/>
      <c r="J15442" s="1362"/>
      <c r="K15442" s="1362"/>
      <c r="L15442" s="1362"/>
    </row>
    <row r="15443" spans="1:12" x14ac:dyDescent="0.25">
      <c r="A15443">
        <v>87379</v>
      </c>
      <c r="B15443" t="s">
        <v>3828</v>
      </c>
      <c r="C15443" t="s">
        <v>1159</v>
      </c>
      <c r="D15443" s="254">
        <v>3145.79</v>
      </c>
      <c r="E15443"/>
      <c r="F15443"/>
      <c r="G15443"/>
      <c r="H15443"/>
      <c r="I15443" s="489"/>
      <c r="J15443" s="1362"/>
      <c r="K15443" s="1362"/>
      <c r="L15443" s="1362"/>
    </row>
    <row r="15444" spans="1:12" x14ac:dyDescent="0.25">
      <c r="A15444">
        <v>87380</v>
      </c>
      <c r="B15444" t="s">
        <v>3829</v>
      </c>
      <c r="C15444" t="s">
        <v>1159</v>
      </c>
      <c r="D15444" s="254">
        <v>3232.75</v>
      </c>
      <c r="E15444"/>
      <c r="F15444"/>
      <c r="G15444"/>
      <c r="H15444"/>
      <c r="I15444" s="489"/>
      <c r="J15444" s="1362"/>
      <c r="K15444" s="1362"/>
      <c r="L15444" s="1362"/>
    </row>
    <row r="15445" spans="1:12" x14ac:dyDescent="0.25">
      <c r="A15445">
        <v>87381</v>
      </c>
      <c r="B15445" t="s">
        <v>3830</v>
      </c>
      <c r="C15445" t="s">
        <v>1159</v>
      </c>
      <c r="D15445" s="254">
        <v>3175.46</v>
      </c>
      <c r="E15445"/>
      <c r="F15445"/>
      <c r="G15445"/>
      <c r="H15445"/>
      <c r="I15445" s="489"/>
      <c r="J15445" s="1362"/>
      <c r="K15445" s="1362"/>
      <c r="L15445" s="1362"/>
    </row>
    <row r="15446" spans="1:12" x14ac:dyDescent="0.25">
      <c r="A15446">
        <v>87382</v>
      </c>
      <c r="B15446" t="s">
        <v>3831</v>
      </c>
      <c r="C15446" t="s">
        <v>1159</v>
      </c>
      <c r="D15446" s="254">
        <v>1293.82</v>
      </c>
      <c r="E15446"/>
      <c r="F15446"/>
      <c r="G15446"/>
      <c r="H15446"/>
      <c r="I15446" s="489"/>
      <c r="J15446" s="1362"/>
      <c r="K15446" s="1362"/>
      <c r="L15446" s="1362"/>
    </row>
    <row r="15447" spans="1:12" x14ac:dyDescent="0.25">
      <c r="A15447">
        <v>87383</v>
      </c>
      <c r="B15447" t="s">
        <v>3832</v>
      </c>
      <c r="C15447" t="s">
        <v>1159</v>
      </c>
      <c r="D15447" s="254">
        <v>1285.75</v>
      </c>
      <c r="E15447"/>
      <c r="F15447"/>
      <c r="G15447"/>
      <c r="H15447"/>
      <c r="I15447" s="489"/>
      <c r="J15447" s="1362"/>
      <c r="K15447" s="1362"/>
      <c r="L15447" s="1362"/>
    </row>
    <row r="15448" spans="1:12" x14ac:dyDescent="0.25">
      <c r="A15448">
        <v>87384</v>
      </c>
      <c r="B15448" t="s">
        <v>3833</v>
      </c>
      <c r="C15448" t="s">
        <v>1159</v>
      </c>
      <c r="D15448" s="254">
        <v>1275.77</v>
      </c>
      <c r="E15448"/>
      <c r="F15448"/>
      <c r="G15448"/>
      <c r="H15448"/>
      <c r="I15448" s="489"/>
      <c r="J15448" s="1362"/>
      <c r="K15448" s="1362"/>
      <c r="L15448" s="1362"/>
    </row>
    <row r="15449" spans="1:12" x14ac:dyDescent="0.25">
      <c r="A15449">
        <v>87385</v>
      </c>
      <c r="B15449" t="s">
        <v>3834</v>
      </c>
      <c r="C15449" t="s">
        <v>1159</v>
      </c>
      <c r="D15449" s="254">
        <v>1513.94</v>
      </c>
      <c r="E15449"/>
      <c r="F15449"/>
      <c r="G15449"/>
      <c r="H15449"/>
      <c r="I15449" s="489"/>
      <c r="J15449" s="1362"/>
      <c r="K15449" s="1362"/>
      <c r="L15449" s="1362"/>
    </row>
    <row r="15450" spans="1:12" x14ac:dyDescent="0.25">
      <c r="A15450">
        <v>87386</v>
      </c>
      <c r="B15450" t="s">
        <v>3835</v>
      </c>
      <c r="C15450" t="s">
        <v>1159</v>
      </c>
      <c r="D15450" s="254">
        <v>1500.55</v>
      </c>
      <c r="E15450"/>
      <c r="F15450"/>
      <c r="G15450"/>
      <c r="H15450"/>
      <c r="I15450" s="489"/>
      <c r="J15450" s="1362"/>
      <c r="K15450" s="1362"/>
      <c r="L15450" s="1362"/>
    </row>
    <row r="15451" spans="1:12" x14ac:dyDescent="0.25">
      <c r="A15451">
        <v>87387</v>
      </c>
      <c r="B15451" t="s">
        <v>3836</v>
      </c>
      <c r="C15451" t="s">
        <v>1159</v>
      </c>
      <c r="D15451" s="254">
        <v>1491.9</v>
      </c>
      <c r="E15451"/>
      <c r="F15451"/>
      <c r="G15451"/>
      <c r="H15451"/>
      <c r="I15451" s="489"/>
      <c r="J15451" s="1362"/>
      <c r="K15451" s="1362"/>
      <c r="L15451" s="1362"/>
    </row>
    <row r="15452" spans="1:12" x14ac:dyDescent="0.25">
      <c r="A15452">
        <v>87388</v>
      </c>
      <c r="B15452" t="s">
        <v>3837</v>
      </c>
      <c r="C15452" t="s">
        <v>1159</v>
      </c>
      <c r="D15452" s="254">
        <v>3573.6</v>
      </c>
      <c r="E15452"/>
      <c r="F15452"/>
      <c r="G15452"/>
      <c r="H15452"/>
      <c r="I15452" s="489"/>
      <c r="J15452" s="1362"/>
      <c r="K15452" s="1362"/>
      <c r="L15452" s="1362"/>
    </row>
    <row r="15453" spans="1:12" x14ac:dyDescent="0.25">
      <c r="A15453">
        <v>87389</v>
      </c>
      <c r="B15453" t="s">
        <v>3838</v>
      </c>
      <c r="C15453" t="s">
        <v>1159</v>
      </c>
      <c r="D15453" s="254">
        <v>3581.43</v>
      </c>
      <c r="E15453"/>
      <c r="F15453"/>
      <c r="G15453"/>
      <c r="H15453"/>
      <c r="I15453" s="489"/>
      <c r="J15453" s="1362"/>
      <c r="K15453" s="1362"/>
      <c r="L15453" s="1362"/>
    </row>
    <row r="15454" spans="1:12" x14ac:dyDescent="0.25">
      <c r="A15454">
        <v>87390</v>
      </c>
      <c r="B15454" t="s">
        <v>3839</v>
      </c>
      <c r="C15454" t="s">
        <v>1159</v>
      </c>
      <c r="D15454" s="254">
        <v>3595.14</v>
      </c>
      <c r="E15454"/>
      <c r="F15454"/>
      <c r="G15454"/>
      <c r="H15454"/>
      <c r="I15454" s="489"/>
      <c r="J15454" s="1362"/>
      <c r="K15454" s="1362"/>
      <c r="L15454" s="1362"/>
    </row>
    <row r="15455" spans="1:12" x14ac:dyDescent="0.25">
      <c r="A15455">
        <v>87391</v>
      </c>
      <c r="B15455" t="s">
        <v>3840</v>
      </c>
      <c r="C15455" t="s">
        <v>1159</v>
      </c>
      <c r="D15455" s="254">
        <v>3979.26</v>
      </c>
      <c r="E15455"/>
      <c r="F15455"/>
      <c r="G15455"/>
      <c r="H15455"/>
      <c r="I15455" s="489"/>
      <c r="J15455" s="1362"/>
      <c r="K15455" s="1362"/>
      <c r="L15455" s="1362"/>
    </row>
    <row r="15456" spans="1:12" x14ac:dyDescent="0.25">
      <c r="A15456">
        <v>87393</v>
      </c>
      <c r="B15456" t="s">
        <v>3841</v>
      </c>
      <c r="C15456" t="s">
        <v>1159</v>
      </c>
      <c r="D15456" s="254">
        <v>4008.01</v>
      </c>
      <c r="E15456"/>
      <c r="F15456"/>
      <c r="G15456"/>
      <c r="H15456"/>
      <c r="I15456" s="489"/>
      <c r="J15456" s="1362"/>
      <c r="K15456" s="1362"/>
      <c r="L15456" s="1362"/>
    </row>
    <row r="15457" spans="1:12" x14ac:dyDescent="0.25">
      <c r="A15457">
        <v>87394</v>
      </c>
      <c r="B15457" t="s">
        <v>3842</v>
      </c>
      <c r="C15457" t="s">
        <v>1159</v>
      </c>
      <c r="D15457" s="254">
        <v>4038.27</v>
      </c>
      <c r="E15457"/>
      <c r="F15457"/>
      <c r="G15457"/>
      <c r="H15457"/>
      <c r="I15457" s="489"/>
      <c r="J15457" s="1362"/>
      <c r="K15457" s="1362"/>
      <c r="L15457" s="1362"/>
    </row>
    <row r="15458" spans="1:12" x14ac:dyDescent="0.25">
      <c r="A15458">
        <v>87395</v>
      </c>
      <c r="B15458" t="s">
        <v>3843</v>
      </c>
      <c r="C15458" t="s">
        <v>1159</v>
      </c>
      <c r="D15458" s="254">
        <v>2513.0300000000002</v>
      </c>
      <c r="E15458"/>
      <c r="F15458"/>
      <c r="G15458"/>
      <c r="H15458"/>
      <c r="I15458" s="489"/>
      <c r="J15458" s="1362"/>
      <c r="K15458" s="1362"/>
      <c r="L15458" s="1362"/>
    </row>
    <row r="15459" spans="1:12" x14ac:dyDescent="0.25">
      <c r="A15459">
        <v>87396</v>
      </c>
      <c r="B15459" t="s">
        <v>3844</v>
      </c>
      <c r="C15459" t="s">
        <v>1159</v>
      </c>
      <c r="D15459" s="254">
        <v>2522.09</v>
      </c>
      <c r="E15459"/>
      <c r="F15459"/>
      <c r="G15459"/>
      <c r="H15459"/>
      <c r="I15459" s="489"/>
      <c r="J15459" s="1362"/>
      <c r="K15459" s="1362"/>
      <c r="L15459" s="1362"/>
    </row>
    <row r="15460" spans="1:12" x14ac:dyDescent="0.25">
      <c r="A15460">
        <v>87397</v>
      </c>
      <c r="B15460" t="s">
        <v>3845</v>
      </c>
      <c r="C15460" t="s">
        <v>1159</v>
      </c>
      <c r="D15460" s="254">
        <v>2533.5300000000002</v>
      </c>
      <c r="E15460"/>
      <c r="F15460"/>
      <c r="G15460"/>
      <c r="H15460"/>
      <c r="I15460" s="489"/>
      <c r="J15460" s="1362"/>
      <c r="K15460" s="1362"/>
      <c r="L15460" s="1362"/>
    </row>
    <row r="15461" spans="1:12" x14ac:dyDescent="0.25">
      <c r="A15461">
        <v>87398</v>
      </c>
      <c r="B15461" t="s">
        <v>3846</v>
      </c>
      <c r="C15461" t="s">
        <v>1159</v>
      </c>
      <c r="D15461" s="254">
        <v>1490.62</v>
      </c>
      <c r="E15461"/>
      <c r="F15461"/>
      <c r="G15461"/>
      <c r="H15461"/>
      <c r="I15461" s="489"/>
      <c r="J15461" s="1362"/>
      <c r="K15461" s="1362"/>
      <c r="L15461" s="1362"/>
    </row>
    <row r="15462" spans="1:12" x14ac:dyDescent="0.25">
      <c r="A15462">
        <v>87399</v>
      </c>
      <c r="B15462" t="s">
        <v>3847</v>
      </c>
      <c r="C15462" t="s">
        <v>1159</v>
      </c>
      <c r="D15462" s="254">
        <v>1713.89</v>
      </c>
      <c r="E15462"/>
      <c r="F15462"/>
      <c r="G15462"/>
      <c r="H15462"/>
      <c r="I15462" s="489"/>
      <c r="J15462" s="1362"/>
      <c r="K15462" s="1362"/>
      <c r="L15462" s="1362"/>
    </row>
    <row r="15463" spans="1:12" x14ac:dyDescent="0.25">
      <c r="A15463">
        <v>87401</v>
      </c>
      <c r="B15463" t="s">
        <v>3848</v>
      </c>
      <c r="C15463" t="s">
        <v>1159</v>
      </c>
      <c r="D15463" s="254">
        <v>4258.68</v>
      </c>
      <c r="E15463"/>
      <c r="F15463"/>
      <c r="G15463"/>
      <c r="H15463"/>
      <c r="I15463" s="489"/>
      <c r="J15463" s="1362"/>
      <c r="K15463" s="1362"/>
      <c r="L15463" s="1362"/>
    </row>
    <row r="15464" spans="1:12" x14ac:dyDescent="0.25">
      <c r="A15464">
        <v>87402</v>
      </c>
      <c r="B15464" t="s">
        <v>3849</v>
      </c>
      <c r="C15464" t="s">
        <v>1159</v>
      </c>
      <c r="D15464" s="254">
        <v>2762.43</v>
      </c>
      <c r="E15464"/>
      <c r="F15464"/>
      <c r="G15464"/>
      <c r="H15464"/>
      <c r="I15464" s="489"/>
      <c r="J15464" s="1362"/>
      <c r="K15464" s="1362"/>
      <c r="L15464" s="1362"/>
    </row>
    <row r="15465" spans="1:12" x14ac:dyDescent="0.25">
      <c r="A15465">
        <v>87404</v>
      </c>
      <c r="B15465" t="s">
        <v>3850</v>
      </c>
      <c r="C15465" t="s">
        <v>1159</v>
      </c>
      <c r="D15465" s="254">
        <v>3729.9</v>
      </c>
      <c r="E15465"/>
      <c r="F15465"/>
      <c r="G15465"/>
      <c r="H15465"/>
      <c r="I15465" s="489"/>
      <c r="J15465" s="1362"/>
      <c r="K15465" s="1362"/>
      <c r="L15465" s="1362"/>
    </row>
    <row r="15466" spans="1:12" x14ac:dyDescent="0.25">
      <c r="A15466">
        <v>87405</v>
      </c>
      <c r="B15466" t="s">
        <v>2253</v>
      </c>
      <c r="C15466" t="s">
        <v>1159</v>
      </c>
      <c r="D15466" s="254">
        <v>3729.83</v>
      </c>
      <c r="E15466"/>
      <c r="F15466"/>
      <c r="G15466"/>
      <c r="H15466"/>
      <c r="I15466" s="489"/>
      <c r="J15466" s="1362"/>
      <c r="K15466" s="1362"/>
      <c r="L15466" s="1362"/>
    </row>
    <row r="15467" spans="1:12" x14ac:dyDescent="0.25">
      <c r="A15467">
        <v>87407</v>
      </c>
      <c r="B15467" t="s">
        <v>3851</v>
      </c>
      <c r="C15467" t="s">
        <v>1159</v>
      </c>
      <c r="D15467" s="254">
        <v>1323.38</v>
      </c>
      <c r="E15467"/>
      <c r="F15467"/>
      <c r="G15467"/>
      <c r="H15467"/>
      <c r="I15467" s="489"/>
      <c r="J15467" s="1362"/>
      <c r="K15467" s="1362"/>
      <c r="L15467" s="1362"/>
    </row>
    <row r="15468" spans="1:12" x14ac:dyDescent="0.25">
      <c r="A15468">
        <v>87408</v>
      </c>
      <c r="B15468" t="s">
        <v>2254</v>
      </c>
      <c r="C15468" t="s">
        <v>1159</v>
      </c>
      <c r="D15468" s="254">
        <v>1308.83</v>
      </c>
      <c r="E15468"/>
      <c r="F15468"/>
      <c r="G15468"/>
      <c r="H15468"/>
      <c r="I15468" s="489"/>
      <c r="J15468" s="1362"/>
      <c r="K15468" s="1362"/>
      <c r="L15468" s="1362"/>
    </row>
    <row r="15469" spans="1:12" x14ac:dyDescent="0.25">
      <c r="A15469">
        <v>87410</v>
      </c>
      <c r="B15469" t="s">
        <v>3852</v>
      </c>
      <c r="C15469" t="s">
        <v>1159</v>
      </c>
      <c r="D15469" s="254">
        <v>926.42</v>
      </c>
      <c r="E15469"/>
      <c r="F15469"/>
      <c r="G15469"/>
      <c r="H15469"/>
      <c r="I15469" s="489"/>
      <c r="J15469" s="1362"/>
      <c r="K15469" s="1362"/>
      <c r="L15469" s="1362"/>
    </row>
    <row r="15470" spans="1:12" x14ac:dyDescent="0.25">
      <c r="A15470">
        <v>88626</v>
      </c>
      <c r="B15470" t="s">
        <v>3853</v>
      </c>
      <c r="C15470" t="s">
        <v>1159</v>
      </c>
      <c r="D15470" s="254">
        <v>570.33000000000004</v>
      </c>
      <c r="E15470"/>
      <c r="F15470"/>
      <c r="G15470"/>
      <c r="H15470"/>
      <c r="I15470" s="489"/>
      <c r="J15470" s="1362"/>
      <c r="K15470" s="1362"/>
      <c r="L15470" s="1362"/>
    </row>
    <row r="15471" spans="1:12" x14ac:dyDescent="0.25">
      <c r="A15471">
        <v>88627</v>
      </c>
      <c r="B15471" t="s">
        <v>3854</v>
      </c>
      <c r="C15471" t="s">
        <v>1159</v>
      </c>
      <c r="D15471" s="254">
        <v>670.77</v>
      </c>
      <c r="E15471"/>
      <c r="F15471"/>
      <c r="G15471"/>
      <c r="H15471"/>
      <c r="I15471" s="489"/>
      <c r="J15471" s="1362"/>
      <c r="K15471" s="1362"/>
      <c r="L15471" s="1362"/>
    </row>
    <row r="15472" spans="1:12" x14ac:dyDescent="0.25">
      <c r="A15472">
        <v>88628</v>
      </c>
      <c r="B15472" t="s">
        <v>3855</v>
      </c>
      <c r="C15472" t="s">
        <v>1159</v>
      </c>
      <c r="D15472" s="254">
        <v>600.72</v>
      </c>
      <c r="E15472"/>
      <c r="F15472"/>
      <c r="G15472"/>
      <c r="H15472"/>
      <c r="I15472" s="489"/>
      <c r="J15472" s="1362"/>
      <c r="K15472" s="1362"/>
      <c r="L15472" s="1362"/>
    </row>
    <row r="15473" spans="1:12" x14ac:dyDescent="0.25">
      <c r="A15473">
        <v>88629</v>
      </c>
      <c r="B15473" t="s">
        <v>3856</v>
      </c>
      <c r="C15473" t="s">
        <v>1159</v>
      </c>
      <c r="D15473" s="254">
        <v>705.96</v>
      </c>
      <c r="E15473"/>
      <c r="F15473"/>
      <c r="G15473"/>
      <c r="H15473"/>
      <c r="I15473" s="489"/>
      <c r="J15473" s="1362"/>
      <c r="K15473" s="1362"/>
      <c r="L15473" s="1362"/>
    </row>
    <row r="15474" spans="1:12" x14ac:dyDescent="0.25">
      <c r="A15474">
        <v>88630</v>
      </c>
      <c r="B15474" t="s">
        <v>2255</v>
      </c>
      <c r="C15474" t="s">
        <v>1159</v>
      </c>
      <c r="D15474" s="254">
        <v>525.65</v>
      </c>
      <c r="E15474"/>
      <c r="F15474"/>
      <c r="G15474"/>
      <c r="H15474"/>
      <c r="I15474" s="489"/>
      <c r="J15474" s="1362"/>
      <c r="K15474" s="1362"/>
      <c r="L15474" s="1362"/>
    </row>
    <row r="15475" spans="1:12" x14ac:dyDescent="0.25">
      <c r="A15475">
        <v>88631</v>
      </c>
      <c r="B15475" t="s">
        <v>3857</v>
      </c>
      <c r="C15475" t="s">
        <v>1159</v>
      </c>
      <c r="D15475" s="254">
        <v>641.14</v>
      </c>
      <c r="E15475"/>
      <c r="F15475"/>
      <c r="G15475"/>
      <c r="H15475"/>
      <c r="I15475" s="489"/>
      <c r="J15475" s="1362"/>
      <c r="K15475" s="1362"/>
      <c r="L15475" s="1362"/>
    </row>
    <row r="15476" spans="1:12" x14ac:dyDescent="0.25">
      <c r="A15476">
        <v>88715</v>
      </c>
      <c r="B15476" t="s">
        <v>3858</v>
      </c>
      <c r="C15476" t="s">
        <v>1159</v>
      </c>
      <c r="D15476" s="254">
        <v>532</v>
      </c>
      <c r="E15476"/>
      <c r="F15476"/>
      <c r="G15476"/>
      <c r="H15476"/>
      <c r="I15476" s="489"/>
      <c r="J15476" s="1362"/>
      <c r="K15476" s="1362"/>
      <c r="L15476" s="1362"/>
    </row>
    <row r="15477" spans="1:12" x14ac:dyDescent="0.25">
      <c r="A15477">
        <v>95563</v>
      </c>
      <c r="B15477" t="s">
        <v>4451</v>
      </c>
      <c r="C15477" t="s">
        <v>1159</v>
      </c>
      <c r="D15477" s="254">
        <v>852.69</v>
      </c>
      <c r="E15477"/>
      <c r="F15477"/>
      <c r="G15477"/>
      <c r="H15477"/>
      <c r="I15477" s="489"/>
      <c r="J15477" s="1362"/>
      <c r="K15477" s="1362"/>
      <c r="L15477" s="1362"/>
    </row>
    <row r="15478" spans="1:12" x14ac:dyDescent="0.25">
      <c r="A15478">
        <v>100464</v>
      </c>
      <c r="B15478" t="s">
        <v>3859</v>
      </c>
      <c r="C15478" t="s">
        <v>1159</v>
      </c>
      <c r="D15478" s="254">
        <v>592.20000000000005</v>
      </c>
      <c r="E15478"/>
      <c r="F15478"/>
      <c r="G15478"/>
      <c r="H15478"/>
      <c r="I15478" s="489"/>
      <c r="J15478" s="1362"/>
      <c r="K15478" s="1362"/>
      <c r="L15478" s="1362"/>
    </row>
    <row r="15479" spans="1:12" x14ac:dyDescent="0.25">
      <c r="A15479">
        <v>100465</v>
      </c>
      <c r="B15479" t="s">
        <v>3860</v>
      </c>
      <c r="C15479" t="s">
        <v>1159</v>
      </c>
      <c r="D15479" s="254">
        <v>557.02</v>
      </c>
      <c r="E15479"/>
      <c r="F15479"/>
      <c r="G15479"/>
      <c r="H15479"/>
      <c r="I15479" s="489"/>
      <c r="J15479" s="1362"/>
      <c r="K15479" s="1362"/>
      <c r="L15479" s="1362"/>
    </row>
    <row r="15480" spans="1:12" x14ac:dyDescent="0.25">
      <c r="A15480">
        <v>100466</v>
      </c>
      <c r="B15480" t="s">
        <v>3861</v>
      </c>
      <c r="C15480" t="s">
        <v>1159</v>
      </c>
      <c r="D15480" s="254">
        <v>540.37</v>
      </c>
      <c r="E15480"/>
      <c r="F15480"/>
      <c r="G15480"/>
      <c r="H15480"/>
      <c r="I15480" s="489"/>
      <c r="J15480" s="1362"/>
      <c r="K15480" s="1362"/>
      <c r="L15480" s="1362"/>
    </row>
    <row r="15481" spans="1:12" x14ac:dyDescent="0.25">
      <c r="A15481">
        <v>100468</v>
      </c>
      <c r="B15481" t="s">
        <v>3862</v>
      </c>
      <c r="C15481" t="s">
        <v>1159</v>
      </c>
      <c r="D15481" s="254">
        <v>702.8</v>
      </c>
      <c r="E15481"/>
      <c r="F15481"/>
      <c r="G15481"/>
      <c r="H15481"/>
      <c r="I15481" s="489"/>
      <c r="J15481" s="1362"/>
      <c r="K15481" s="1362"/>
      <c r="L15481" s="1362"/>
    </row>
    <row r="15482" spans="1:12" x14ac:dyDescent="0.25">
      <c r="A15482">
        <v>100469</v>
      </c>
      <c r="B15482" t="s">
        <v>3863</v>
      </c>
      <c r="C15482" t="s">
        <v>1159</v>
      </c>
      <c r="D15482" s="254">
        <v>589.66</v>
      </c>
      <c r="E15482"/>
      <c r="F15482"/>
      <c r="G15482"/>
      <c r="H15482"/>
      <c r="I15482" s="489"/>
      <c r="J15482" s="1362"/>
      <c r="K15482" s="1362"/>
      <c r="L15482" s="1362"/>
    </row>
    <row r="15483" spans="1:12" x14ac:dyDescent="0.25">
      <c r="A15483">
        <v>100470</v>
      </c>
      <c r="B15483" t="s">
        <v>3864</v>
      </c>
      <c r="C15483" t="s">
        <v>1159</v>
      </c>
      <c r="D15483" s="254">
        <v>537.16</v>
      </c>
      <c r="E15483"/>
      <c r="F15483"/>
      <c r="G15483"/>
      <c r="H15483"/>
      <c r="I15483" s="489"/>
      <c r="J15483" s="1362"/>
      <c r="K15483" s="1362"/>
      <c r="L15483" s="1362"/>
    </row>
    <row r="15484" spans="1:12" x14ac:dyDescent="0.25">
      <c r="A15484">
        <v>100472</v>
      </c>
      <c r="B15484" t="s">
        <v>3865</v>
      </c>
      <c r="C15484" t="s">
        <v>1159</v>
      </c>
      <c r="D15484" s="254">
        <v>582.21</v>
      </c>
      <c r="E15484"/>
      <c r="F15484"/>
      <c r="G15484"/>
      <c r="H15484"/>
      <c r="I15484" s="489"/>
      <c r="J15484" s="1362"/>
      <c r="K15484" s="1362"/>
      <c r="L15484" s="1362"/>
    </row>
    <row r="15485" spans="1:12" x14ac:dyDescent="0.25">
      <c r="A15485">
        <v>100473</v>
      </c>
      <c r="B15485" t="s">
        <v>3866</v>
      </c>
      <c r="C15485" t="s">
        <v>1159</v>
      </c>
      <c r="D15485" s="254">
        <v>537.41999999999996</v>
      </c>
      <c r="E15485"/>
      <c r="F15485"/>
      <c r="G15485"/>
      <c r="H15485"/>
      <c r="I15485" s="489"/>
      <c r="J15485" s="1362"/>
      <c r="K15485" s="1362"/>
      <c r="L15485" s="1362"/>
    </row>
    <row r="15486" spans="1:12" x14ac:dyDescent="0.25">
      <c r="A15486">
        <v>100474</v>
      </c>
      <c r="B15486" t="s">
        <v>3867</v>
      </c>
      <c r="C15486" t="s">
        <v>1159</v>
      </c>
      <c r="D15486" s="254">
        <v>518.85</v>
      </c>
      <c r="E15486"/>
      <c r="F15486"/>
      <c r="G15486"/>
      <c r="H15486"/>
      <c r="I15486" s="489"/>
      <c r="J15486" s="1362"/>
      <c r="K15486" s="1362"/>
      <c r="L15486" s="1362"/>
    </row>
    <row r="15487" spans="1:12" x14ac:dyDescent="0.25">
      <c r="A15487">
        <v>100475</v>
      </c>
      <c r="B15487" t="s">
        <v>3868</v>
      </c>
      <c r="C15487" t="s">
        <v>1159</v>
      </c>
      <c r="D15487" s="254">
        <v>739.45</v>
      </c>
      <c r="E15487"/>
      <c r="F15487"/>
      <c r="G15487"/>
      <c r="H15487"/>
      <c r="I15487" s="489"/>
      <c r="J15487" s="1362"/>
      <c r="K15487" s="1362"/>
      <c r="L15487" s="1362"/>
    </row>
    <row r="15488" spans="1:12" x14ac:dyDescent="0.25">
      <c r="A15488">
        <v>100477</v>
      </c>
      <c r="B15488" t="s">
        <v>3869</v>
      </c>
      <c r="C15488" t="s">
        <v>1159</v>
      </c>
      <c r="D15488" s="254">
        <v>793.83</v>
      </c>
      <c r="E15488"/>
      <c r="F15488"/>
      <c r="G15488"/>
      <c r="H15488"/>
      <c r="I15488" s="489"/>
      <c r="J15488" s="1362"/>
      <c r="K15488" s="1362"/>
      <c r="L15488" s="1362"/>
    </row>
    <row r="15489" spans="1:12" x14ac:dyDescent="0.25">
      <c r="A15489">
        <v>100478</v>
      </c>
      <c r="B15489" t="s">
        <v>3870</v>
      </c>
      <c r="C15489" t="s">
        <v>1159</v>
      </c>
      <c r="D15489" s="254">
        <v>725.04</v>
      </c>
      <c r="E15489"/>
      <c r="F15489"/>
      <c r="G15489"/>
      <c r="H15489"/>
      <c r="I15489" s="489"/>
      <c r="J15489" s="1362"/>
      <c r="K15489" s="1362"/>
      <c r="L15489" s="1362"/>
    </row>
    <row r="15490" spans="1:12" x14ac:dyDescent="0.25">
      <c r="A15490">
        <v>100479</v>
      </c>
      <c r="B15490" t="s">
        <v>3871</v>
      </c>
      <c r="C15490" t="s">
        <v>1159</v>
      </c>
      <c r="D15490" s="254">
        <v>710.8</v>
      </c>
      <c r="E15490"/>
      <c r="F15490"/>
      <c r="G15490"/>
      <c r="H15490"/>
      <c r="I15490" s="489"/>
      <c r="J15490" s="1362"/>
      <c r="K15490" s="1362"/>
      <c r="L15490" s="1362"/>
    </row>
    <row r="15491" spans="1:12" x14ac:dyDescent="0.25">
      <c r="A15491">
        <v>100480</v>
      </c>
      <c r="B15491" t="s">
        <v>3872</v>
      </c>
      <c r="C15491" t="s">
        <v>1159</v>
      </c>
      <c r="D15491" s="254">
        <v>843.79</v>
      </c>
      <c r="E15491"/>
      <c r="F15491"/>
      <c r="G15491"/>
      <c r="H15491"/>
      <c r="I15491" s="489"/>
      <c r="J15491" s="1362"/>
      <c r="K15491" s="1362"/>
      <c r="L15491" s="1362"/>
    </row>
    <row r="15492" spans="1:12" x14ac:dyDescent="0.25">
      <c r="A15492">
        <v>100481</v>
      </c>
      <c r="B15492" t="s">
        <v>3873</v>
      </c>
      <c r="C15492" t="s">
        <v>1159</v>
      </c>
      <c r="D15492" s="254">
        <v>648.54</v>
      </c>
      <c r="E15492"/>
      <c r="F15492"/>
      <c r="G15492"/>
      <c r="H15492"/>
      <c r="I15492" s="489"/>
      <c r="J15492" s="1362"/>
      <c r="K15492" s="1362"/>
      <c r="L15492" s="1362"/>
    </row>
    <row r="15493" spans="1:12" x14ac:dyDescent="0.25">
      <c r="A15493">
        <v>100483</v>
      </c>
      <c r="B15493" t="s">
        <v>3874</v>
      </c>
      <c r="C15493" t="s">
        <v>1159</v>
      </c>
      <c r="D15493" s="254">
        <v>688.7</v>
      </c>
      <c r="E15493"/>
      <c r="F15493"/>
      <c r="G15493"/>
      <c r="H15493"/>
      <c r="I15493" s="489"/>
      <c r="J15493" s="1362"/>
      <c r="K15493" s="1362"/>
      <c r="L15493" s="1362"/>
    </row>
    <row r="15494" spans="1:12" x14ac:dyDescent="0.25">
      <c r="A15494">
        <v>100484</v>
      </c>
      <c r="B15494" t="s">
        <v>3875</v>
      </c>
      <c r="C15494" t="s">
        <v>1159</v>
      </c>
      <c r="D15494" s="254">
        <v>644.86</v>
      </c>
      <c r="E15494"/>
      <c r="F15494"/>
      <c r="G15494"/>
      <c r="H15494"/>
      <c r="I15494" s="489"/>
      <c r="J15494" s="1362"/>
      <c r="K15494" s="1362"/>
      <c r="L15494" s="1362"/>
    </row>
    <row r="15495" spans="1:12" x14ac:dyDescent="0.25">
      <c r="A15495">
        <v>100485</v>
      </c>
      <c r="B15495" t="s">
        <v>3876</v>
      </c>
      <c r="C15495" t="s">
        <v>1159</v>
      </c>
      <c r="D15495" s="254">
        <v>628.28</v>
      </c>
      <c r="E15495"/>
      <c r="F15495"/>
      <c r="G15495"/>
      <c r="H15495"/>
      <c r="I15495" s="489"/>
      <c r="J15495" s="1362"/>
      <c r="K15495" s="1362"/>
      <c r="L15495" s="1362"/>
    </row>
    <row r="15496" spans="1:12" x14ac:dyDescent="0.25">
      <c r="A15496">
        <v>100486</v>
      </c>
      <c r="B15496" t="s">
        <v>3877</v>
      </c>
      <c r="C15496" t="s">
        <v>1159</v>
      </c>
      <c r="D15496" s="254">
        <v>757.89</v>
      </c>
      <c r="E15496"/>
      <c r="F15496"/>
      <c r="G15496"/>
      <c r="H15496"/>
      <c r="I15496" s="489"/>
      <c r="J15496" s="1362"/>
      <c r="K15496" s="1362"/>
      <c r="L15496" s="1362"/>
    </row>
    <row r="15497" spans="1:12" x14ac:dyDescent="0.25">
      <c r="A15497">
        <v>100487</v>
      </c>
      <c r="B15497" t="s">
        <v>3878</v>
      </c>
      <c r="C15497" t="s">
        <v>1159</v>
      </c>
      <c r="D15497" s="254">
        <v>507.33</v>
      </c>
      <c r="E15497"/>
      <c r="F15497"/>
      <c r="G15497"/>
      <c r="H15497"/>
      <c r="I15497" s="489"/>
      <c r="J15497" s="1362"/>
      <c r="K15497" s="1362"/>
      <c r="L15497" s="1362"/>
    </row>
    <row r="15498" spans="1:12" x14ac:dyDescent="0.25">
      <c r="A15498">
        <v>100488</v>
      </c>
      <c r="B15498" t="s">
        <v>3879</v>
      </c>
      <c r="C15498" t="s">
        <v>1159</v>
      </c>
      <c r="D15498" s="254">
        <v>563.16</v>
      </c>
      <c r="E15498"/>
      <c r="F15498"/>
      <c r="G15498"/>
      <c r="H15498"/>
      <c r="I15498" s="489"/>
      <c r="J15498" s="1362"/>
      <c r="K15498" s="1362"/>
      <c r="L15498" s="1362"/>
    </row>
    <row r="15499" spans="1:12" x14ac:dyDescent="0.25">
      <c r="A15499">
        <v>100489</v>
      </c>
      <c r="B15499" t="s">
        <v>3880</v>
      </c>
      <c r="C15499" t="s">
        <v>1159</v>
      </c>
      <c r="D15499" s="254">
        <v>599.27</v>
      </c>
      <c r="E15499"/>
      <c r="F15499"/>
      <c r="G15499"/>
      <c r="H15499"/>
      <c r="I15499" s="489"/>
      <c r="J15499" s="1362"/>
      <c r="K15499" s="1362"/>
      <c r="L15499" s="1362"/>
    </row>
    <row r="15500" spans="1:12" x14ac:dyDescent="0.25">
      <c r="A15500">
        <v>100490</v>
      </c>
      <c r="B15500" t="s">
        <v>3881</v>
      </c>
      <c r="C15500" t="s">
        <v>1159</v>
      </c>
      <c r="D15500" s="254">
        <v>537.66</v>
      </c>
      <c r="E15500"/>
      <c r="F15500"/>
      <c r="G15500"/>
      <c r="H15500"/>
      <c r="I15500" s="489"/>
      <c r="J15500" s="1362"/>
      <c r="K15500" s="1362"/>
      <c r="L15500" s="1362"/>
    </row>
    <row r="15501" spans="1:12" x14ac:dyDescent="0.25">
      <c r="A15501">
        <v>100491</v>
      </c>
      <c r="B15501" t="s">
        <v>3882</v>
      </c>
      <c r="C15501" t="s">
        <v>1159</v>
      </c>
      <c r="D15501" s="254">
        <v>739.15</v>
      </c>
      <c r="E15501"/>
      <c r="F15501"/>
      <c r="G15501"/>
      <c r="H15501"/>
      <c r="I15501" s="489"/>
      <c r="J15501" s="1362"/>
      <c r="K15501" s="1362"/>
      <c r="L15501" s="1362"/>
    </row>
    <row r="15502" spans="1:12" x14ac:dyDescent="0.25">
      <c r="A15502">
        <v>100492</v>
      </c>
      <c r="B15502" t="s">
        <v>3883</v>
      </c>
      <c r="C15502" t="s">
        <v>1159</v>
      </c>
      <c r="D15502" s="254">
        <v>648.75</v>
      </c>
      <c r="E15502"/>
      <c r="F15502"/>
      <c r="G15502"/>
      <c r="H15502"/>
      <c r="I15502" s="489"/>
      <c r="J15502" s="1362"/>
      <c r="K15502" s="1362"/>
      <c r="L15502" s="1362"/>
    </row>
    <row r="15503" spans="1:12" x14ac:dyDescent="0.25">
      <c r="A15503">
        <v>92121</v>
      </c>
      <c r="B15503" t="s">
        <v>2256</v>
      </c>
      <c r="C15503" t="s">
        <v>1159</v>
      </c>
      <c r="D15503" s="254">
        <v>29.67</v>
      </c>
      <c r="E15503"/>
      <c r="F15503"/>
      <c r="G15503"/>
      <c r="H15503"/>
      <c r="I15503" s="489"/>
      <c r="J15503" s="1362"/>
      <c r="K15503" s="1362"/>
      <c r="L15503" s="1362"/>
    </row>
    <row r="15504" spans="1:12" x14ac:dyDescent="0.25">
      <c r="A15504">
        <v>92122</v>
      </c>
      <c r="B15504" t="s">
        <v>2257</v>
      </c>
      <c r="C15504" t="s">
        <v>1159</v>
      </c>
      <c r="D15504" s="254">
        <v>49.92</v>
      </c>
      <c r="E15504"/>
      <c r="F15504"/>
      <c r="G15504"/>
      <c r="H15504"/>
      <c r="I15504" s="489"/>
      <c r="J15504" s="1362"/>
      <c r="K15504" s="1362"/>
      <c r="L15504" s="1362"/>
    </row>
    <row r="15505" spans="1:12" x14ac:dyDescent="0.25">
      <c r="A15505">
        <v>92123</v>
      </c>
      <c r="B15505" t="s">
        <v>2258</v>
      </c>
      <c r="C15505" t="s">
        <v>1159</v>
      </c>
      <c r="D15505" s="254">
        <v>49.53</v>
      </c>
      <c r="E15505"/>
      <c r="F15505"/>
      <c r="G15505"/>
      <c r="H15505"/>
      <c r="I15505" s="489"/>
      <c r="J15505" s="1362"/>
      <c r="K15505" s="1362"/>
      <c r="L15505" s="1362"/>
    </row>
    <row r="15506" spans="1:12" x14ac:dyDescent="0.25">
      <c r="A15506">
        <v>100195</v>
      </c>
      <c r="B15506" t="s">
        <v>3485</v>
      </c>
      <c r="C15506" t="s">
        <v>3486</v>
      </c>
      <c r="D15506" s="254">
        <v>0.76</v>
      </c>
      <c r="E15506"/>
      <c r="F15506"/>
      <c r="G15506"/>
      <c r="H15506"/>
      <c r="I15506" s="489"/>
      <c r="J15506" s="1362"/>
      <c r="K15506" s="1362"/>
      <c r="L15506" s="1362"/>
    </row>
    <row r="15507" spans="1:12" x14ac:dyDescent="0.25">
      <c r="A15507">
        <v>100196</v>
      </c>
      <c r="B15507" t="s">
        <v>3487</v>
      </c>
      <c r="C15507" t="s">
        <v>3486</v>
      </c>
      <c r="D15507" s="254">
        <v>1.27</v>
      </c>
      <c r="E15507"/>
      <c r="F15507"/>
      <c r="G15507"/>
      <c r="H15507"/>
      <c r="I15507" s="489"/>
      <c r="J15507" s="1362"/>
      <c r="K15507" s="1362"/>
      <c r="L15507" s="1362"/>
    </row>
    <row r="15508" spans="1:12" x14ac:dyDescent="0.25">
      <c r="A15508">
        <v>100197</v>
      </c>
      <c r="B15508" t="s">
        <v>3488</v>
      </c>
      <c r="C15508" t="s">
        <v>3486</v>
      </c>
      <c r="D15508" s="254">
        <v>1.91</v>
      </c>
      <c r="E15508"/>
      <c r="F15508"/>
      <c r="G15508"/>
      <c r="H15508"/>
      <c r="I15508" s="489"/>
      <c r="J15508" s="1362"/>
      <c r="K15508" s="1362"/>
      <c r="L15508" s="1362"/>
    </row>
    <row r="15509" spans="1:12" x14ac:dyDescent="0.25">
      <c r="A15509">
        <v>100198</v>
      </c>
      <c r="B15509" t="s">
        <v>3489</v>
      </c>
      <c r="C15509" t="s">
        <v>3486</v>
      </c>
      <c r="D15509" s="254">
        <v>0.26</v>
      </c>
      <c r="E15509"/>
      <c r="F15509"/>
      <c r="G15509"/>
      <c r="H15509"/>
      <c r="I15509" s="489"/>
      <c r="J15509" s="1362"/>
      <c r="K15509" s="1362"/>
      <c r="L15509" s="1362"/>
    </row>
    <row r="15510" spans="1:12" x14ac:dyDescent="0.25">
      <c r="A15510">
        <v>100199</v>
      </c>
      <c r="B15510" t="s">
        <v>3490</v>
      </c>
      <c r="C15510" t="s">
        <v>3486</v>
      </c>
      <c r="D15510" s="254">
        <v>0.32</v>
      </c>
      <c r="E15510"/>
      <c r="F15510"/>
      <c r="G15510"/>
      <c r="H15510"/>
      <c r="I15510" s="489"/>
      <c r="J15510" s="1362"/>
      <c r="K15510" s="1362"/>
      <c r="L15510" s="1362"/>
    </row>
    <row r="15511" spans="1:12" x14ac:dyDescent="0.25">
      <c r="A15511">
        <v>100200</v>
      </c>
      <c r="B15511" t="s">
        <v>3491</v>
      </c>
      <c r="C15511" t="s">
        <v>3486</v>
      </c>
      <c r="D15511" s="254">
        <v>0.39</v>
      </c>
      <c r="E15511"/>
      <c r="F15511"/>
      <c r="G15511"/>
      <c r="H15511"/>
      <c r="I15511" s="489"/>
      <c r="J15511" s="1362"/>
      <c r="K15511" s="1362"/>
      <c r="L15511" s="1362"/>
    </row>
    <row r="15512" spans="1:12" x14ac:dyDescent="0.25">
      <c r="A15512">
        <v>100201</v>
      </c>
      <c r="B15512" t="s">
        <v>3492</v>
      </c>
      <c r="C15512" t="s">
        <v>3486</v>
      </c>
      <c r="D15512" s="254">
        <v>0.77</v>
      </c>
      <c r="E15512"/>
      <c r="F15512"/>
      <c r="G15512"/>
      <c r="H15512"/>
      <c r="I15512" s="489"/>
      <c r="J15512" s="1362"/>
      <c r="K15512" s="1362"/>
      <c r="L15512" s="1362"/>
    </row>
    <row r="15513" spans="1:12" x14ac:dyDescent="0.25">
      <c r="A15513">
        <v>100202</v>
      </c>
      <c r="B15513" t="s">
        <v>3493</v>
      </c>
      <c r="C15513" t="s">
        <v>3486</v>
      </c>
      <c r="D15513" s="254">
        <v>0.9</v>
      </c>
      <c r="E15513"/>
      <c r="F15513"/>
      <c r="G15513"/>
      <c r="H15513"/>
      <c r="I15513" s="489"/>
      <c r="J15513" s="1362"/>
      <c r="K15513" s="1362"/>
      <c r="L15513" s="1362"/>
    </row>
    <row r="15514" spans="1:12" x14ac:dyDescent="0.25">
      <c r="A15514">
        <v>100203</v>
      </c>
      <c r="B15514" t="s">
        <v>3494</v>
      </c>
      <c r="C15514" t="s">
        <v>3486</v>
      </c>
      <c r="D15514" s="254">
        <v>1.07</v>
      </c>
      <c r="E15514"/>
      <c r="F15514"/>
      <c r="G15514"/>
      <c r="H15514"/>
      <c r="I15514" s="489"/>
      <c r="J15514" s="1362"/>
      <c r="K15514" s="1362"/>
      <c r="L15514" s="1362"/>
    </row>
    <row r="15515" spans="1:12" x14ac:dyDescent="0.25">
      <c r="A15515">
        <v>100204</v>
      </c>
      <c r="B15515" t="s">
        <v>3495</v>
      </c>
      <c r="C15515" t="s">
        <v>3486</v>
      </c>
      <c r="D15515" s="254">
        <v>0.11</v>
      </c>
      <c r="E15515"/>
      <c r="F15515"/>
      <c r="G15515"/>
      <c r="H15515"/>
      <c r="I15515" s="489"/>
      <c r="J15515" s="1362"/>
      <c r="K15515" s="1362"/>
      <c r="L15515" s="1362"/>
    </row>
    <row r="15516" spans="1:12" x14ac:dyDescent="0.25">
      <c r="A15516">
        <v>100205</v>
      </c>
      <c r="B15516" t="s">
        <v>3496</v>
      </c>
      <c r="C15516" t="s">
        <v>1941</v>
      </c>
      <c r="D15516" s="254">
        <v>1422.14</v>
      </c>
      <c r="E15516"/>
      <c r="F15516"/>
      <c r="G15516"/>
      <c r="H15516"/>
      <c r="I15516" s="489"/>
      <c r="J15516" s="1362"/>
      <c r="K15516" s="1362"/>
      <c r="L15516" s="1362"/>
    </row>
    <row r="15517" spans="1:12" x14ac:dyDescent="0.25">
      <c r="A15517">
        <v>100206</v>
      </c>
      <c r="B15517" t="s">
        <v>3497</v>
      </c>
      <c r="C15517" t="s">
        <v>1941</v>
      </c>
      <c r="D15517" s="254">
        <v>1027.96</v>
      </c>
      <c r="E15517"/>
      <c r="F15517"/>
      <c r="G15517"/>
      <c r="H15517"/>
      <c r="I15517" s="489"/>
      <c r="J15517" s="1362"/>
      <c r="K15517" s="1362"/>
      <c r="L15517" s="1362"/>
    </row>
    <row r="15518" spans="1:12" x14ac:dyDescent="0.25">
      <c r="A15518">
        <v>100207</v>
      </c>
      <c r="B15518" t="s">
        <v>3498</v>
      </c>
      <c r="C15518" t="s">
        <v>1941</v>
      </c>
      <c r="D15518" s="254">
        <v>445.44</v>
      </c>
      <c r="E15518"/>
      <c r="F15518"/>
      <c r="G15518"/>
      <c r="H15518"/>
      <c r="I15518" s="489"/>
      <c r="J15518" s="1362"/>
      <c r="K15518" s="1362"/>
      <c r="L15518" s="1362"/>
    </row>
    <row r="15519" spans="1:12" x14ac:dyDescent="0.25">
      <c r="A15519">
        <v>100208</v>
      </c>
      <c r="B15519" t="s">
        <v>3499</v>
      </c>
      <c r="C15519" t="s">
        <v>3500</v>
      </c>
      <c r="D15519" s="254">
        <v>18.809999999999999</v>
      </c>
      <c r="E15519"/>
      <c r="F15519"/>
      <c r="G15519"/>
      <c r="H15519"/>
      <c r="I15519" s="489"/>
      <c r="J15519" s="1362"/>
      <c r="K15519" s="1362"/>
      <c r="L15519" s="1362"/>
    </row>
    <row r="15520" spans="1:12" x14ac:dyDescent="0.25">
      <c r="A15520">
        <v>100209</v>
      </c>
      <c r="B15520" t="s">
        <v>3501</v>
      </c>
      <c r="C15520" t="s">
        <v>3500</v>
      </c>
      <c r="D15520" s="254">
        <v>9.4</v>
      </c>
      <c r="E15520"/>
      <c r="F15520"/>
      <c r="G15520"/>
      <c r="H15520"/>
      <c r="I15520" s="489"/>
      <c r="J15520" s="1362"/>
      <c r="K15520" s="1362"/>
      <c r="L15520" s="1362"/>
    </row>
    <row r="15521" spans="1:12" x14ac:dyDescent="0.25">
      <c r="A15521">
        <v>100210</v>
      </c>
      <c r="B15521" t="s">
        <v>3502</v>
      </c>
      <c r="C15521" t="s">
        <v>3500</v>
      </c>
      <c r="D15521" s="254">
        <v>17.329999999999998</v>
      </c>
      <c r="E15521"/>
      <c r="F15521"/>
      <c r="G15521"/>
      <c r="H15521"/>
      <c r="I15521" s="489"/>
      <c r="J15521" s="1362"/>
      <c r="K15521" s="1362"/>
      <c r="L15521" s="1362"/>
    </row>
    <row r="15522" spans="1:12" x14ac:dyDescent="0.25">
      <c r="A15522">
        <v>100211</v>
      </c>
      <c r="B15522" t="s">
        <v>3503</v>
      </c>
      <c r="C15522" t="s">
        <v>3500</v>
      </c>
      <c r="D15522" s="254">
        <v>6.68</v>
      </c>
      <c r="E15522"/>
      <c r="F15522"/>
      <c r="G15522"/>
      <c r="H15522"/>
      <c r="I15522" s="489"/>
      <c r="J15522" s="1362"/>
      <c r="K15522" s="1362"/>
      <c r="L15522" s="1362"/>
    </row>
    <row r="15523" spans="1:12" x14ac:dyDescent="0.25">
      <c r="A15523">
        <v>100212</v>
      </c>
      <c r="B15523" t="s">
        <v>3504</v>
      </c>
      <c r="C15523" t="s">
        <v>3500</v>
      </c>
      <c r="D15523" s="254">
        <v>7.38</v>
      </c>
      <c r="E15523"/>
      <c r="F15523"/>
      <c r="G15523"/>
      <c r="H15523"/>
      <c r="I15523" s="489"/>
      <c r="J15523" s="1362"/>
      <c r="K15523" s="1362"/>
      <c r="L15523" s="1362"/>
    </row>
    <row r="15524" spans="1:12" x14ac:dyDescent="0.25">
      <c r="A15524">
        <v>100213</v>
      </c>
      <c r="B15524" t="s">
        <v>3505</v>
      </c>
      <c r="C15524" t="s">
        <v>3500</v>
      </c>
      <c r="D15524" s="254">
        <v>2.65</v>
      </c>
      <c r="E15524"/>
      <c r="F15524"/>
      <c r="G15524"/>
      <c r="H15524"/>
      <c r="I15524" s="489"/>
      <c r="J15524" s="1362"/>
      <c r="K15524" s="1362"/>
      <c r="L15524" s="1362"/>
    </row>
    <row r="15525" spans="1:12" x14ac:dyDescent="0.25">
      <c r="A15525">
        <v>100214</v>
      </c>
      <c r="B15525" t="s">
        <v>3506</v>
      </c>
      <c r="C15525" t="s">
        <v>3500</v>
      </c>
      <c r="D15525" s="254">
        <v>4.07</v>
      </c>
      <c r="E15525"/>
      <c r="F15525"/>
      <c r="G15525"/>
      <c r="H15525"/>
      <c r="I15525" s="489"/>
      <c r="J15525" s="1362"/>
      <c r="K15525" s="1362"/>
      <c r="L15525" s="1362"/>
    </row>
    <row r="15526" spans="1:12" x14ac:dyDescent="0.25">
      <c r="A15526">
        <v>100215</v>
      </c>
      <c r="B15526" t="s">
        <v>3507</v>
      </c>
      <c r="C15526" t="s">
        <v>3500</v>
      </c>
      <c r="D15526" s="254">
        <v>3.49</v>
      </c>
      <c r="E15526"/>
      <c r="F15526"/>
      <c r="G15526"/>
      <c r="H15526"/>
      <c r="I15526" s="489"/>
      <c r="J15526" s="1362"/>
      <c r="K15526" s="1362"/>
      <c r="L15526" s="1362"/>
    </row>
    <row r="15527" spans="1:12" x14ac:dyDescent="0.25">
      <c r="A15527">
        <v>100216</v>
      </c>
      <c r="B15527" t="s">
        <v>3508</v>
      </c>
      <c r="C15527" t="s">
        <v>3500</v>
      </c>
      <c r="D15527" s="254">
        <v>0.94</v>
      </c>
      <c r="E15527"/>
      <c r="F15527"/>
      <c r="G15527"/>
      <c r="H15527"/>
      <c r="I15527" s="489"/>
      <c r="J15527" s="1362"/>
      <c r="K15527" s="1362"/>
      <c r="L15527" s="1362"/>
    </row>
    <row r="15528" spans="1:12" x14ac:dyDescent="0.25">
      <c r="A15528">
        <v>100217</v>
      </c>
      <c r="B15528" t="s">
        <v>3509</v>
      </c>
      <c r="C15528" t="s">
        <v>3500</v>
      </c>
      <c r="D15528" s="254">
        <v>3.03</v>
      </c>
      <c r="E15528"/>
      <c r="F15528"/>
      <c r="G15528"/>
      <c r="H15528"/>
      <c r="I15528" s="489"/>
      <c r="J15528" s="1362"/>
      <c r="K15528" s="1362"/>
      <c r="L15528" s="1362"/>
    </row>
    <row r="15529" spans="1:12" x14ac:dyDescent="0.25">
      <c r="A15529">
        <v>100218</v>
      </c>
      <c r="B15529" t="s">
        <v>3510</v>
      </c>
      <c r="C15529" t="s">
        <v>3500</v>
      </c>
      <c r="D15529" s="254">
        <v>2.0699999999999998</v>
      </c>
      <c r="E15529"/>
      <c r="F15529"/>
      <c r="G15529"/>
      <c r="H15529"/>
      <c r="I15529" s="489"/>
      <c r="J15529" s="1362"/>
      <c r="K15529" s="1362"/>
      <c r="L15529" s="1362"/>
    </row>
    <row r="15530" spans="1:12" x14ac:dyDescent="0.25">
      <c r="A15530">
        <v>100219</v>
      </c>
      <c r="B15530" t="s">
        <v>3511</v>
      </c>
      <c r="C15530" t="s">
        <v>3500</v>
      </c>
      <c r="D15530" s="254">
        <v>0.46</v>
      </c>
      <c r="E15530"/>
      <c r="F15530"/>
      <c r="G15530"/>
      <c r="H15530"/>
      <c r="I15530" s="489"/>
      <c r="J15530" s="1362"/>
      <c r="K15530" s="1362"/>
      <c r="L15530" s="1362"/>
    </row>
    <row r="15531" spans="1:12" x14ac:dyDescent="0.25">
      <c r="A15531">
        <v>100220</v>
      </c>
      <c r="B15531" t="s">
        <v>3512</v>
      </c>
      <c r="C15531" t="s">
        <v>3513</v>
      </c>
      <c r="D15531" s="254">
        <v>27.02</v>
      </c>
      <c r="E15531"/>
      <c r="F15531"/>
      <c r="G15531"/>
      <c r="H15531"/>
      <c r="I15531" s="489"/>
      <c r="J15531" s="1362"/>
      <c r="K15531" s="1362"/>
      <c r="L15531" s="1362"/>
    </row>
    <row r="15532" spans="1:12" x14ac:dyDescent="0.25">
      <c r="A15532">
        <v>100221</v>
      </c>
      <c r="B15532" t="s">
        <v>3514</v>
      </c>
      <c r="C15532" t="s">
        <v>3513</v>
      </c>
      <c r="D15532" s="254">
        <v>30.63</v>
      </c>
      <c r="E15532"/>
      <c r="F15532"/>
      <c r="G15532"/>
      <c r="H15532"/>
      <c r="I15532" s="489"/>
      <c r="J15532" s="1362"/>
      <c r="K15532" s="1362"/>
      <c r="L15532" s="1362"/>
    </row>
    <row r="15533" spans="1:12" x14ac:dyDescent="0.25">
      <c r="A15533">
        <v>100222</v>
      </c>
      <c r="B15533" t="s">
        <v>3515</v>
      </c>
      <c r="C15533" t="s">
        <v>3513</v>
      </c>
      <c r="D15533" s="254">
        <v>11.6</v>
      </c>
      <c r="E15533"/>
      <c r="F15533"/>
      <c r="G15533"/>
      <c r="H15533"/>
      <c r="I15533" s="489"/>
      <c r="J15533" s="1362"/>
      <c r="K15533" s="1362"/>
      <c r="L15533" s="1362"/>
    </row>
    <row r="15534" spans="1:12" x14ac:dyDescent="0.25">
      <c r="A15534">
        <v>100223</v>
      </c>
      <c r="B15534" t="s">
        <v>3516</v>
      </c>
      <c r="C15534" t="s">
        <v>3513</v>
      </c>
      <c r="D15534" s="254">
        <v>5.43</v>
      </c>
      <c r="E15534"/>
      <c r="F15534"/>
      <c r="G15534"/>
      <c r="H15534"/>
      <c r="I15534" s="489"/>
      <c r="J15534" s="1362"/>
      <c r="K15534" s="1362"/>
      <c r="L15534" s="1362"/>
    </row>
    <row r="15535" spans="1:12" x14ac:dyDescent="0.25">
      <c r="A15535">
        <v>100224</v>
      </c>
      <c r="B15535" t="s">
        <v>3517</v>
      </c>
      <c r="C15535" t="s">
        <v>3513</v>
      </c>
      <c r="D15535" s="254">
        <v>3.03</v>
      </c>
      <c r="E15535"/>
      <c r="F15535"/>
      <c r="G15535"/>
      <c r="H15535"/>
      <c r="I15535" s="489"/>
      <c r="J15535" s="1362"/>
      <c r="K15535" s="1362"/>
      <c r="L15535" s="1362"/>
    </row>
    <row r="15536" spans="1:12" x14ac:dyDescent="0.25">
      <c r="A15536">
        <v>100225</v>
      </c>
      <c r="B15536" t="s">
        <v>3518</v>
      </c>
      <c r="C15536" t="s">
        <v>3519</v>
      </c>
      <c r="D15536" s="254">
        <v>2.12</v>
      </c>
      <c r="E15536"/>
      <c r="F15536"/>
      <c r="G15536"/>
      <c r="H15536"/>
      <c r="I15536" s="489"/>
      <c r="J15536" s="1362"/>
      <c r="K15536" s="1362"/>
      <c r="L15536" s="1362"/>
    </row>
    <row r="15537" spans="1:12" x14ac:dyDescent="0.25">
      <c r="A15537">
        <v>100226</v>
      </c>
      <c r="B15537" t="s">
        <v>3520</v>
      </c>
      <c r="C15537" t="s">
        <v>3519</v>
      </c>
      <c r="D15537" s="254">
        <v>0.66</v>
      </c>
      <c r="E15537"/>
      <c r="F15537"/>
      <c r="G15537"/>
      <c r="H15537"/>
      <c r="I15537" s="489"/>
      <c r="J15537" s="1362"/>
      <c r="K15537" s="1362"/>
      <c r="L15537" s="1362"/>
    </row>
    <row r="15538" spans="1:12" x14ac:dyDescent="0.25">
      <c r="A15538">
        <v>100227</v>
      </c>
      <c r="B15538" t="s">
        <v>3521</v>
      </c>
      <c r="C15538" t="s">
        <v>3519</v>
      </c>
      <c r="D15538" s="254">
        <v>0.98</v>
      </c>
      <c r="E15538"/>
      <c r="F15538"/>
      <c r="G15538"/>
      <c r="H15538"/>
      <c r="I15538" s="489"/>
      <c r="J15538" s="1362"/>
      <c r="K15538" s="1362"/>
      <c r="L15538" s="1362"/>
    </row>
    <row r="15539" spans="1:12" x14ac:dyDescent="0.25">
      <c r="A15539">
        <v>100228</v>
      </c>
      <c r="B15539" t="s">
        <v>3522</v>
      </c>
      <c r="C15539" t="s">
        <v>3519</v>
      </c>
      <c r="D15539" s="254">
        <v>0.3</v>
      </c>
      <c r="E15539"/>
      <c r="F15539"/>
      <c r="G15539"/>
      <c r="H15539"/>
      <c r="I15539" s="489"/>
      <c r="J15539" s="1362"/>
      <c r="K15539" s="1362"/>
      <c r="L15539" s="1362"/>
    </row>
    <row r="15540" spans="1:12" x14ac:dyDescent="0.25">
      <c r="A15540">
        <v>100229</v>
      </c>
      <c r="B15540" t="s">
        <v>3523</v>
      </c>
      <c r="C15540" t="s">
        <v>282</v>
      </c>
      <c r="D15540" s="254">
        <v>0.01</v>
      </c>
      <c r="E15540"/>
      <c r="F15540"/>
      <c r="G15540"/>
      <c r="H15540"/>
      <c r="I15540" s="489"/>
      <c r="J15540" s="1362"/>
      <c r="K15540" s="1362"/>
      <c r="L15540" s="1362"/>
    </row>
    <row r="15541" spans="1:12" x14ac:dyDescent="0.25">
      <c r="A15541">
        <v>100230</v>
      </c>
      <c r="B15541" t="s">
        <v>3524</v>
      </c>
      <c r="C15541" t="s">
        <v>282</v>
      </c>
      <c r="D15541" s="254">
        <v>0.02</v>
      </c>
      <c r="E15541"/>
      <c r="F15541"/>
      <c r="G15541"/>
      <c r="H15541"/>
      <c r="I15541" s="489"/>
      <c r="J15541" s="1362"/>
      <c r="K15541" s="1362"/>
      <c r="L15541" s="1362"/>
    </row>
    <row r="15542" spans="1:12" x14ac:dyDescent="0.25">
      <c r="A15542">
        <v>100231</v>
      </c>
      <c r="B15542" t="s">
        <v>3525</v>
      </c>
      <c r="C15542" t="s">
        <v>282</v>
      </c>
      <c r="D15542" s="254">
        <v>0.03</v>
      </c>
      <c r="E15542"/>
      <c r="F15542"/>
      <c r="G15542"/>
      <c r="H15542"/>
      <c r="I15542" s="489"/>
      <c r="J15542" s="1362"/>
      <c r="K15542" s="1362"/>
      <c r="L15542" s="1362"/>
    </row>
    <row r="15543" spans="1:12" x14ac:dyDescent="0.25">
      <c r="A15543">
        <v>100232</v>
      </c>
      <c r="B15543" t="s">
        <v>3526</v>
      </c>
      <c r="C15543" t="s">
        <v>138</v>
      </c>
      <c r="D15543" s="254">
        <v>0.35</v>
      </c>
      <c r="E15543"/>
      <c r="F15543"/>
      <c r="G15543"/>
      <c r="H15543"/>
      <c r="I15543" s="489"/>
      <c r="J15543" s="1362"/>
      <c r="K15543" s="1362"/>
      <c r="L15543" s="1362"/>
    </row>
    <row r="15544" spans="1:12" x14ac:dyDescent="0.25">
      <c r="A15544">
        <v>100233</v>
      </c>
      <c r="B15544" t="s">
        <v>3527</v>
      </c>
      <c r="C15544" t="s">
        <v>138</v>
      </c>
      <c r="D15544" s="254">
        <v>0.17</v>
      </c>
      <c r="E15544"/>
      <c r="F15544"/>
      <c r="G15544"/>
      <c r="H15544"/>
      <c r="I15544" s="489"/>
      <c r="J15544" s="1362"/>
      <c r="K15544" s="1362"/>
      <c r="L15544" s="1362"/>
    </row>
    <row r="15545" spans="1:12" x14ac:dyDescent="0.25">
      <c r="A15545">
        <v>100234</v>
      </c>
      <c r="B15545" t="s">
        <v>3528</v>
      </c>
      <c r="C15545" t="s">
        <v>297</v>
      </c>
      <c r="D15545" s="254">
        <v>0.53</v>
      </c>
      <c r="E15545"/>
      <c r="F15545"/>
      <c r="G15545"/>
      <c r="H15545"/>
      <c r="I15545" s="489"/>
      <c r="J15545" s="1362"/>
      <c r="K15545" s="1362"/>
      <c r="L15545" s="1362"/>
    </row>
    <row r="15546" spans="1:12" x14ac:dyDescent="0.25">
      <c r="A15546">
        <v>100235</v>
      </c>
      <c r="B15546" t="s">
        <v>3529</v>
      </c>
      <c r="C15546" t="s">
        <v>131</v>
      </c>
      <c r="D15546" s="254">
        <v>0.04</v>
      </c>
      <c r="E15546"/>
      <c r="F15546"/>
      <c r="G15546"/>
      <c r="H15546"/>
      <c r="I15546" s="489"/>
      <c r="J15546" s="1362"/>
      <c r="K15546" s="1362"/>
      <c r="L15546" s="1362"/>
    </row>
    <row r="15547" spans="1:12" x14ac:dyDescent="0.25">
      <c r="A15547">
        <v>100236</v>
      </c>
      <c r="B15547" t="s">
        <v>3530</v>
      </c>
      <c r="C15547" t="s">
        <v>3531</v>
      </c>
      <c r="D15547" s="254">
        <v>2.69</v>
      </c>
      <c r="E15547"/>
      <c r="F15547"/>
      <c r="G15547"/>
      <c r="H15547"/>
      <c r="I15547" s="489"/>
      <c r="J15547" s="1362"/>
      <c r="K15547" s="1362"/>
      <c r="L15547" s="1362"/>
    </row>
    <row r="15548" spans="1:12" x14ac:dyDescent="0.25">
      <c r="A15548">
        <v>100237</v>
      </c>
      <c r="B15548" t="s">
        <v>3532</v>
      </c>
      <c r="C15548" t="s">
        <v>3531</v>
      </c>
      <c r="D15548" s="254">
        <v>3.23</v>
      </c>
      <c r="E15548"/>
      <c r="F15548"/>
      <c r="G15548"/>
      <c r="H15548"/>
      <c r="I15548" s="489"/>
      <c r="J15548" s="1362"/>
      <c r="K15548" s="1362"/>
      <c r="L15548" s="1362"/>
    </row>
    <row r="15549" spans="1:12" x14ac:dyDescent="0.25">
      <c r="A15549">
        <v>100238</v>
      </c>
      <c r="B15549" t="s">
        <v>3533</v>
      </c>
      <c r="C15549" t="s">
        <v>3531</v>
      </c>
      <c r="D15549" s="254">
        <v>5.17</v>
      </c>
      <c r="E15549"/>
      <c r="F15549"/>
      <c r="G15549"/>
      <c r="H15549"/>
      <c r="I15549" s="489"/>
      <c r="J15549" s="1362"/>
      <c r="K15549" s="1362"/>
      <c r="L15549" s="1362"/>
    </row>
    <row r="15550" spans="1:12" x14ac:dyDescent="0.25">
      <c r="A15550">
        <v>100239</v>
      </c>
      <c r="B15550" t="s">
        <v>3534</v>
      </c>
      <c r="C15550" t="s">
        <v>3531</v>
      </c>
      <c r="D15550" s="254">
        <v>6.46</v>
      </c>
      <c r="E15550"/>
      <c r="F15550"/>
      <c r="G15550"/>
      <c r="H15550"/>
      <c r="I15550" s="489"/>
      <c r="J15550" s="1362"/>
      <c r="K15550" s="1362"/>
      <c r="L15550" s="1362"/>
    </row>
    <row r="15551" spans="1:12" x14ac:dyDescent="0.25">
      <c r="A15551">
        <v>100240</v>
      </c>
      <c r="B15551" t="s">
        <v>3535</v>
      </c>
      <c r="C15551" t="s">
        <v>3531</v>
      </c>
      <c r="D15551" s="254">
        <v>3.87</v>
      </c>
      <c r="E15551"/>
      <c r="F15551"/>
      <c r="G15551"/>
      <c r="H15551"/>
      <c r="I15551" s="489"/>
      <c r="J15551" s="1362"/>
      <c r="K15551" s="1362"/>
      <c r="L15551" s="1362"/>
    </row>
    <row r="15552" spans="1:12" x14ac:dyDescent="0.25">
      <c r="A15552">
        <v>100241</v>
      </c>
      <c r="B15552" t="s">
        <v>3536</v>
      </c>
      <c r="C15552" t="s">
        <v>3531</v>
      </c>
      <c r="D15552" s="254">
        <v>6.46</v>
      </c>
      <c r="E15552"/>
      <c r="F15552"/>
      <c r="G15552"/>
      <c r="H15552"/>
      <c r="I15552" s="489"/>
      <c r="J15552" s="1362"/>
      <c r="K15552" s="1362"/>
      <c r="L15552" s="1362"/>
    </row>
    <row r="15553" spans="1:12" x14ac:dyDescent="0.25">
      <c r="A15553">
        <v>100242</v>
      </c>
      <c r="B15553" t="s">
        <v>3537</v>
      </c>
      <c r="C15553" t="s">
        <v>3531</v>
      </c>
      <c r="D15553" s="254">
        <v>19.100000000000001</v>
      </c>
      <c r="E15553"/>
      <c r="F15553"/>
      <c r="G15553"/>
      <c r="H15553"/>
      <c r="I15553" s="489"/>
      <c r="J15553" s="1362"/>
      <c r="K15553" s="1362"/>
      <c r="L15553" s="1362"/>
    </row>
    <row r="15554" spans="1:12" x14ac:dyDescent="0.25">
      <c r="A15554">
        <v>100243</v>
      </c>
      <c r="B15554" t="s">
        <v>3538</v>
      </c>
      <c r="C15554" t="s">
        <v>3531</v>
      </c>
      <c r="D15554" s="254">
        <v>3.1</v>
      </c>
      <c r="E15554"/>
      <c r="F15554"/>
      <c r="G15554"/>
      <c r="H15554"/>
      <c r="I15554" s="489"/>
      <c r="J15554" s="1362"/>
      <c r="K15554" s="1362"/>
      <c r="L15554" s="1362"/>
    </row>
    <row r="15555" spans="1:12" x14ac:dyDescent="0.25">
      <c r="A15555">
        <v>100244</v>
      </c>
      <c r="B15555" t="s">
        <v>3539</v>
      </c>
      <c r="C15555" t="s">
        <v>3531</v>
      </c>
      <c r="D15555" s="254">
        <v>3.87</v>
      </c>
      <c r="E15555"/>
      <c r="F15555"/>
      <c r="G15555"/>
      <c r="H15555"/>
      <c r="I15555" s="489"/>
      <c r="J15555" s="1362"/>
      <c r="K15555" s="1362"/>
      <c r="L15555" s="1362"/>
    </row>
    <row r="15556" spans="1:12" x14ac:dyDescent="0.25">
      <c r="A15556">
        <v>100245</v>
      </c>
      <c r="B15556" t="s">
        <v>3540</v>
      </c>
      <c r="C15556" t="s">
        <v>3531</v>
      </c>
      <c r="D15556" s="254">
        <v>7.75</v>
      </c>
      <c r="E15556"/>
      <c r="F15556"/>
      <c r="G15556"/>
      <c r="H15556"/>
      <c r="I15556" s="489"/>
      <c r="J15556" s="1362"/>
      <c r="K15556" s="1362"/>
      <c r="L15556" s="1362"/>
    </row>
    <row r="15557" spans="1:12" x14ac:dyDescent="0.25">
      <c r="A15557">
        <v>100246</v>
      </c>
      <c r="B15557" t="s">
        <v>3541</v>
      </c>
      <c r="C15557" t="s">
        <v>3531</v>
      </c>
      <c r="D15557" s="254">
        <v>2.58</v>
      </c>
      <c r="E15557"/>
      <c r="F15557"/>
      <c r="G15557"/>
      <c r="H15557"/>
      <c r="I15557" s="489"/>
      <c r="J15557" s="1362"/>
      <c r="K15557" s="1362"/>
      <c r="L15557" s="1362"/>
    </row>
    <row r="15558" spans="1:12" x14ac:dyDescent="0.25">
      <c r="A15558">
        <v>100247</v>
      </c>
      <c r="B15558" t="s">
        <v>3542</v>
      </c>
      <c r="C15558" t="s">
        <v>3531</v>
      </c>
      <c r="D15558" s="254">
        <v>3.23</v>
      </c>
      <c r="E15558"/>
      <c r="F15558"/>
      <c r="G15558"/>
      <c r="H15558"/>
      <c r="I15558" s="489"/>
      <c r="J15558" s="1362"/>
      <c r="K15558" s="1362"/>
      <c r="L15558" s="1362"/>
    </row>
    <row r="15559" spans="1:12" x14ac:dyDescent="0.25">
      <c r="A15559">
        <v>100248</v>
      </c>
      <c r="B15559" t="s">
        <v>3543</v>
      </c>
      <c r="C15559" t="s">
        <v>3531</v>
      </c>
      <c r="D15559" s="254">
        <v>12.73</v>
      </c>
      <c r="E15559"/>
      <c r="F15559"/>
      <c r="G15559"/>
      <c r="H15559"/>
      <c r="I15559" s="489"/>
      <c r="J15559" s="1362"/>
      <c r="K15559" s="1362"/>
      <c r="L15559" s="1362"/>
    </row>
    <row r="15560" spans="1:12" x14ac:dyDescent="0.25">
      <c r="A15560">
        <v>100249</v>
      </c>
      <c r="B15560" t="s">
        <v>3544</v>
      </c>
      <c r="C15560" t="s">
        <v>3531</v>
      </c>
      <c r="D15560" s="254">
        <v>2.58</v>
      </c>
      <c r="E15560"/>
      <c r="F15560"/>
      <c r="G15560"/>
      <c r="H15560"/>
      <c r="I15560" s="489"/>
      <c r="J15560" s="1362"/>
      <c r="K15560" s="1362"/>
      <c r="L15560" s="1362"/>
    </row>
    <row r="15561" spans="1:12" x14ac:dyDescent="0.25">
      <c r="A15561">
        <v>100250</v>
      </c>
      <c r="B15561" t="s">
        <v>3545</v>
      </c>
      <c r="C15561" t="s">
        <v>3531</v>
      </c>
      <c r="D15561" s="254">
        <v>4.3</v>
      </c>
      <c r="E15561"/>
      <c r="F15561"/>
      <c r="G15561"/>
      <c r="H15561"/>
      <c r="I15561" s="489"/>
      <c r="J15561" s="1362"/>
      <c r="K15561" s="1362"/>
      <c r="L15561" s="1362"/>
    </row>
    <row r="15562" spans="1:12" x14ac:dyDescent="0.25">
      <c r="A15562">
        <v>100251</v>
      </c>
      <c r="B15562" t="s">
        <v>3546</v>
      </c>
      <c r="C15562" t="s">
        <v>3531</v>
      </c>
      <c r="D15562" s="254">
        <v>12.73</v>
      </c>
      <c r="E15562"/>
      <c r="F15562"/>
      <c r="G15562"/>
      <c r="H15562"/>
      <c r="I15562" s="489"/>
      <c r="J15562" s="1362"/>
      <c r="K15562" s="1362"/>
      <c r="L15562" s="1362"/>
    </row>
    <row r="15563" spans="1:12" x14ac:dyDescent="0.25">
      <c r="A15563">
        <v>100252</v>
      </c>
      <c r="B15563" t="s">
        <v>3547</v>
      </c>
      <c r="C15563" t="s">
        <v>3531</v>
      </c>
      <c r="D15563" s="254">
        <v>19.100000000000001</v>
      </c>
      <c r="E15563"/>
      <c r="F15563"/>
      <c r="G15563"/>
      <c r="H15563"/>
      <c r="I15563" s="489"/>
      <c r="J15563" s="1362"/>
      <c r="K15563" s="1362"/>
      <c r="L15563" s="1362"/>
    </row>
    <row r="15564" spans="1:12" x14ac:dyDescent="0.25">
      <c r="A15564">
        <v>100253</v>
      </c>
      <c r="B15564" t="s">
        <v>3548</v>
      </c>
      <c r="C15564" t="s">
        <v>3531</v>
      </c>
      <c r="D15564" s="254">
        <v>25.47</v>
      </c>
      <c r="E15564"/>
      <c r="F15564"/>
      <c r="G15564"/>
      <c r="H15564"/>
      <c r="I15564" s="489"/>
      <c r="J15564" s="1362"/>
      <c r="K15564" s="1362"/>
      <c r="L15564" s="1362"/>
    </row>
    <row r="15565" spans="1:12" x14ac:dyDescent="0.25">
      <c r="A15565">
        <v>100254</v>
      </c>
      <c r="B15565" t="s">
        <v>3549</v>
      </c>
      <c r="C15565" t="s">
        <v>3531</v>
      </c>
      <c r="D15565" s="254">
        <v>38.21</v>
      </c>
      <c r="E15565"/>
      <c r="F15565"/>
      <c r="G15565"/>
      <c r="H15565"/>
      <c r="I15565" s="489"/>
      <c r="J15565" s="1362"/>
      <c r="K15565" s="1362"/>
      <c r="L15565" s="1362"/>
    </row>
    <row r="15566" spans="1:12" x14ac:dyDescent="0.25">
      <c r="A15566">
        <v>100255</v>
      </c>
      <c r="B15566" t="s">
        <v>3550</v>
      </c>
      <c r="C15566" t="s">
        <v>3531</v>
      </c>
      <c r="D15566" s="254">
        <v>12.93</v>
      </c>
      <c r="E15566"/>
      <c r="F15566"/>
      <c r="G15566"/>
      <c r="H15566"/>
      <c r="I15566" s="489"/>
      <c r="J15566" s="1362"/>
      <c r="K15566" s="1362"/>
      <c r="L15566" s="1362"/>
    </row>
    <row r="15567" spans="1:12" x14ac:dyDescent="0.25">
      <c r="A15567">
        <v>100256</v>
      </c>
      <c r="B15567" t="s">
        <v>3551</v>
      </c>
      <c r="C15567" t="s">
        <v>3531</v>
      </c>
      <c r="D15567" s="254">
        <v>8.6199999999999992</v>
      </c>
      <c r="E15567"/>
      <c r="F15567"/>
      <c r="G15567"/>
      <c r="H15567"/>
      <c r="I15567" s="489"/>
      <c r="J15567" s="1362"/>
      <c r="K15567" s="1362"/>
      <c r="L15567" s="1362"/>
    </row>
    <row r="15568" spans="1:12" x14ac:dyDescent="0.25">
      <c r="A15568">
        <v>100257</v>
      </c>
      <c r="B15568" t="s">
        <v>3552</v>
      </c>
      <c r="C15568" t="s">
        <v>3531</v>
      </c>
      <c r="D15568" s="254">
        <v>5.17</v>
      </c>
      <c r="E15568"/>
      <c r="F15568"/>
      <c r="G15568"/>
      <c r="H15568"/>
      <c r="I15568" s="489"/>
      <c r="J15568" s="1362"/>
      <c r="K15568" s="1362"/>
      <c r="L15568" s="1362"/>
    </row>
    <row r="15569" spans="1:12" x14ac:dyDescent="0.25">
      <c r="A15569">
        <v>100258</v>
      </c>
      <c r="B15569" t="s">
        <v>3553</v>
      </c>
      <c r="C15569" t="s">
        <v>3531</v>
      </c>
      <c r="D15569" s="254">
        <v>12.93</v>
      </c>
      <c r="E15569"/>
      <c r="F15569"/>
      <c r="G15569"/>
      <c r="H15569"/>
      <c r="I15569" s="489"/>
      <c r="J15569" s="1362"/>
      <c r="K15569" s="1362"/>
      <c r="L15569" s="1362"/>
    </row>
    <row r="15570" spans="1:12" x14ac:dyDescent="0.25">
      <c r="A15570">
        <v>100259</v>
      </c>
      <c r="B15570" t="s">
        <v>3554</v>
      </c>
      <c r="C15570" t="s">
        <v>3531</v>
      </c>
      <c r="D15570" s="254">
        <v>25.47</v>
      </c>
      <c r="E15570"/>
      <c r="F15570"/>
      <c r="G15570"/>
      <c r="H15570"/>
      <c r="I15570" s="489"/>
      <c r="J15570" s="1362"/>
      <c r="K15570" s="1362"/>
      <c r="L15570" s="1362"/>
    </row>
    <row r="15571" spans="1:12" x14ac:dyDescent="0.25">
      <c r="A15571">
        <v>100260</v>
      </c>
      <c r="B15571" t="s">
        <v>3555</v>
      </c>
      <c r="C15571" t="s">
        <v>3486</v>
      </c>
      <c r="D15571" s="254">
        <v>8.39</v>
      </c>
      <c r="E15571"/>
      <c r="F15571"/>
      <c r="G15571"/>
      <c r="H15571"/>
      <c r="I15571" s="489"/>
      <c r="J15571" s="1362"/>
      <c r="K15571" s="1362"/>
      <c r="L15571" s="1362"/>
    </row>
    <row r="15572" spans="1:12" x14ac:dyDescent="0.25">
      <c r="A15572">
        <v>100261</v>
      </c>
      <c r="B15572" t="s">
        <v>3556</v>
      </c>
      <c r="C15572" t="s">
        <v>3486</v>
      </c>
      <c r="D15572" s="254">
        <v>5.27</v>
      </c>
      <c r="E15572"/>
      <c r="F15572"/>
      <c r="G15572"/>
      <c r="H15572"/>
      <c r="I15572" s="489"/>
      <c r="J15572" s="1362"/>
      <c r="K15572" s="1362"/>
      <c r="L15572" s="1362"/>
    </row>
    <row r="15573" spans="1:12" x14ac:dyDescent="0.25">
      <c r="A15573">
        <v>100262</v>
      </c>
      <c r="B15573" t="s">
        <v>3557</v>
      </c>
      <c r="C15573" t="s">
        <v>3486</v>
      </c>
      <c r="D15573" s="254">
        <v>3.27</v>
      </c>
      <c r="E15573"/>
      <c r="F15573"/>
      <c r="G15573"/>
      <c r="H15573"/>
      <c r="I15573" s="489"/>
      <c r="J15573" s="1362"/>
      <c r="K15573" s="1362"/>
      <c r="L15573" s="1362"/>
    </row>
    <row r="15574" spans="1:12" x14ac:dyDescent="0.25">
      <c r="A15574">
        <v>100263</v>
      </c>
      <c r="B15574" t="s">
        <v>3558</v>
      </c>
      <c r="C15574" t="s">
        <v>3486</v>
      </c>
      <c r="D15574" s="254">
        <v>2.09</v>
      </c>
      <c r="E15574"/>
      <c r="F15574"/>
      <c r="G15574"/>
      <c r="H15574"/>
      <c r="I15574" s="489"/>
      <c r="J15574" s="1362"/>
      <c r="K15574" s="1362"/>
      <c r="L15574" s="1362"/>
    </row>
    <row r="15575" spans="1:12" x14ac:dyDescent="0.25">
      <c r="A15575">
        <v>100264</v>
      </c>
      <c r="B15575" t="s">
        <v>3559</v>
      </c>
      <c r="C15575" t="s">
        <v>3513</v>
      </c>
      <c r="D15575" s="254">
        <v>38.15</v>
      </c>
      <c r="E15575"/>
      <c r="F15575"/>
      <c r="G15575"/>
      <c r="H15575"/>
      <c r="I15575" s="489"/>
      <c r="J15575" s="1362"/>
      <c r="K15575" s="1362"/>
      <c r="L15575" s="1362"/>
    </row>
    <row r="15576" spans="1:12" x14ac:dyDescent="0.25">
      <c r="A15576">
        <v>100265</v>
      </c>
      <c r="B15576" t="s">
        <v>3560</v>
      </c>
      <c r="C15576" t="s">
        <v>297</v>
      </c>
      <c r="D15576" s="254">
        <v>0.8</v>
      </c>
      <c r="E15576"/>
      <c r="F15576"/>
      <c r="G15576"/>
      <c r="H15576"/>
      <c r="I15576" s="489"/>
      <c r="J15576" s="1362"/>
      <c r="K15576" s="1362"/>
      <c r="L15576" s="1362"/>
    </row>
    <row r="15577" spans="1:12" x14ac:dyDescent="0.25">
      <c r="A15577">
        <v>100266</v>
      </c>
      <c r="B15577" t="s">
        <v>3561</v>
      </c>
      <c r="C15577" t="s">
        <v>3500</v>
      </c>
      <c r="D15577" s="254">
        <v>81.08</v>
      </c>
      <c r="E15577"/>
      <c r="F15577"/>
      <c r="G15577"/>
      <c r="H15577"/>
      <c r="I15577" s="489"/>
      <c r="J15577" s="1362"/>
      <c r="K15577" s="1362"/>
      <c r="L15577" s="1362"/>
    </row>
    <row r="15578" spans="1:12" x14ac:dyDescent="0.25">
      <c r="A15578">
        <v>100267</v>
      </c>
      <c r="B15578" t="s">
        <v>3562</v>
      </c>
      <c r="C15578" t="s">
        <v>138</v>
      </c>
      <c r="D15578" s="254">
        <v>1.6</v>
      </c>
      <c r="E15578"/>
      <c r="F15578"/>
      <c r="G15578"/>
      <c r="H15578"/>
      <c r="I15578" s="489"/>
      <c r="J15578" s="1362"/>
      <c r="K15578" s="1362"/>
      <c r="L15578" s="1362"/>
    </row>
    <row r="15579" spans="1:12" x14ac:dyDescent="0.25">
      <c r="A15579">
        <v>100268</v>
      </c>
      <c r="B15579" t="s">
        <v>3563</v>
      </c>
      <c r="C15579" t="s">
        <v>3500</v>
      </c>
      <c r="D15579" s="254">
        <v>81.08</v>
      </c>
      <c r="E15579"/>
      <c r="F15579"/>
      <c r="G15579"/>
      <c r="H15579"/>
      <c r="I15579" s="489"/>
      <c r="J15579" s="1362"/>
      <c r="K15579" s="1362"/>
      <c r="L15579" s="1362"/>
    </row>
    <row r="15580" spans="1:12" x14ac:dyDescent="0.25">
      <c r="A15580">
        <v>100269</v>
      </c>
      <c r="B15580" t="s">
        <v>3564</v>
      </c>
      <c r="C15580" t="s">
        <v>138</v>
      </c>
      <c r="D15580" s="254">
        <v>1.6</v>
      </c>
      <c r="E15580"/>
      <c r="F15580"/>
      <c r="G15580"/>
      <c r="H15580"/>
      <c r="I15580" s="489"/>
      <c r="J15580" s="1362"/>
      <c r="K15580" s="1362"/>
      <c r="L15580" s="1362"/>
    </row>
    <row r="15581" spans="1:12" x14ac:dyDescent="0.25">
      <c r="A15581">
        <v>100270</v>
      </c>
      <c r="B15581" t="s">
        <v>3565</v>
      </c>
      <c r="C15581" t="s">
        <v>3500</v>
      </c>
      <c r="D15581" s="254">
        <v>60.78</v>
      </c>
      <c r="E15581"/>
      <c r="F15581"/>
      <c r="G15581"/>
      <c r="H15581"/>
      <c r="I15581" s="489"/>
      <c r="J15581" s="1362"/>
      <c r="K15581" s="1362"/>
      <c r="L15581" s="1362"/>
    </row>
    <row r="15582" spans="1:12" x14ac:dyDescent="0.25">
      <c r="A15582">
        <v>100271</v>
      </c>
      <c r="B15582" t="s">
        <v>3566</v>
      </c>
      <c r="C15582" t="s">
        <v>3513</v>
      </c>
      <c r="D15582" s="254">
        <v>60.81</v>
      </c>
      <c r="E15582"/>
      <c r="F15582"/>
      <c r="G15582"/>
      <c r="H15582"/>
      <c r="I15582" s="489"/>
      <c r="J15582" s="1362"/>
      <c r="K15582" s="1362"/>
      <c r="L15582" s="1362"/>
    </row>
    <row r="15583" spans="1:12" x14ac:dyDescent="0.25">
      <c r="A15583">
        <v>100272</v>
      </c>
      <c r="B15583" t="s">
        <v>3567</v>
      </c>
      <c r="C15583" t="s">
        <v>297</v>
      </c>
      <c r="D15583" s="254">
        <v>1.2</v>
      </c>
      <c r="E15583"/>
      <c r="F15583"/>
      <c r="G15583"/>
      <c r="H15583"/>
      <c r="I15583" s="489"/>
      <c r="J15583" s="1362"/>
      <c r="K15583" s="1362"/>
      <c r="L15583" s="1362"/>
    </row>
    <row r="15584" spans="1:12" x14ac:dyDescent="0.25">
      <c r="A15584">
        <v>100273</v>
      </c>
      <c r="B15584" t="s">
        <v>3568</v>
      </c>
      <c r="C15584" t="s">
        <v>3486</v>
      </c>
      <c r="D15584" s="254">
        <v>3.17</v>
      </c>
      <c r="E15584"/>
      <c r="F15584"/>
      <c r="G15584"/>
      <c r="H15584"/>
      <c r="I15584" s="489"/>
      <c r="J15584" s="1362"/>
      <c r="K15584" s="1362"/>
      <c r="L15584" s="1362"/>
    </row>
    <row r="15585" spans="1:12" x14ac:dyDescent="0.25">
      <c r="A15585">
        <v>100274</v>
      </c>
      <c r="B15585" t="s">
        <v>3569</v>
      </c>
      <c r="C15585" t="s">
        <v>3513</v>
      </c>
      <c r="D15585" s="254">
        <v>27.04</v>
      </c>
      <c r="E15585"/>
      <c r="F15585"/>
      <c r="G15585"/>
      <c r="H15585"/>
      <c r="I15585" s="489"/>
      <c r="J15585" s="1362"/>
      <c r="K15585" s="1362"/>
      <c r="L15585" s="1362"/>
    </row>
    <row r="15586" spans="1:12" x14ac:dyDescent="0.25">
      <c r="A15586">
        <v>100275</v>
      </c>
      <c r="B15586" t="s">
        <v>3570</v>
      </c>
      <c r="C15586" t="s">
        <v>3513</v>
      </c>
      <c r="D15586" s="254">
        <v>17.48</v>
      </c>
      <c r="E15586"/>
      <c r="F15586"/>
      <c r="G15586"/>
      <c r="H15586"/>
      <c r="I15586" s="489"/>
      <c r="J15586" s="1362"/>
      <c r="K15586" s="1362"/>
      <c r="L15586" s="1362"/>
    </row>
    <row r="15587" spans="1:12" x14ac:dyDescent="0.25">
      <c r="A15587">
        <v>100276</v>
      </c>
      <c r="B15587" t="s">
        <v>3571</v>
      </c>
      <c r="C15587" t="s">
        <v>3513</v>
      </c>
      <c r="D15587" s="254">
        <v>31.9</v>
      </c>
      <c r="E15587"/>
      <c r="F15587"/>
      <c r="G15587"/>
      <c r="H15587"/>
      <c r="I15587" s="489"/>
      <c r="J15587" s="1362"/>
      <c r="K15587" s="1362"/>
      <c r="L15587" s="1362"/>
    </row>
    <row r="15588" spans="1:12" x14ac:dyDescent="0.25">
      <c r="A15588">
        <v>100277</v>
      </c>
      <c r="B15588" t="s">
        <v>3572</v>
      </c>
      <c r="C15588" t="s">
        <v>3513</v>
      </c>
      <c r="D15588" s="254">
        <v>1.93</v>
      </c>
      <c r="E15588"/>
      <c r="F15588"/>
      <c r="G15588"/>
      <c r="H15588"/>
      <c r="I15588" s="489"/>
      <c r="J15588" s="1362"/>
      <c r="K15588" s="1362"/>
      <c r="L15588" s="1362"/>
    </row>
    <row r="15589" spans="1:12" x14ac:dyDescent="0.25">
      <c r="A15589">
        <v>100278</v>
      </c>
      <c r="B15589" t="s">
        <v>3573</v>
      </c>
      <c r="C15589" t="s">
        <v>3500</v>
      </c>
      <c r="D15589" s="254">
        <v>38.79</v>
      </c>
      <c r="E15589"/>
      <c r="F15589"/>
      <c r="G15589"/>
      <c r="H15589"/>
      <c r="I15589" s="489"/>
      <c r="J15589" s="1362"/>
      <c r="K15589" s="1362"/>
      <c r="L15589" s="1362"/>
    </row>
    <row r="15590" spans="1:12" x14ac:dyDescent="0.25">
      <c r="A15590">
        <v>100279</v>
      </c>
      <c r="B15590" t="s">
        <v>3574</v>
      </c>
      <c r="C15590" t="s">
        <v>138</v>
      </c>
      <c r="D15590" s="254">
        <v>0.75</v>
      </c>
      <c r="E15590"/>
      <c r="F15590"/>
      <c r="G15590"/>
      <c r="H15590"/>
      <c r="I15590" s="489"/>
      <c r="J15590" s="1362"/>
      <c r="K15590" s="1362"/>
      <c r="L15590" s="1362"/>
    </row>
    <row r="15591" spans="1:12" x14ac:dyDescent="0.25">
      <c r="A15591">
        <v>100280</v>
      </c>
      <c r="B15591" t="s">
        <v>3575</v>
      </c>
      <c r="C15591" t="s">
        <v>3500</v>
      </c>
      <c r="D15591" s="254">
        <v>17.809999999999999</v>
      </c>
      <c r="E15591"/>
      <c r="F15591"/>
      <c r="G15591"/>
      <c r="H15591"/>
      <c r="I15591" s="489"/>
      <c r="J15591" s="1362"/>
      <c r="K15591" s="1362"/>
      <c r="L15591" s="1362"/>
    </row>
    <row r="15592" spans="1:12" x14ac:dyDescent="0.25">
      <c r="A15592">
        <v>100281</v>
      </c>
      <c r="B15592" t="s">
        <v>3576</v>
      </c>
      <c r="C15592" t="s">
        <v>3500</v>
      </c>
      <c r="D15592" s="254">
        <v>3.7</v>
      </c>
      <c r="E15592"/>
      <c r="F15592"/>
      <c r="G15592"/>
      <c r="H15592"/>
      <c r="I15592" s="489"/>
      <c r="J15592" s="1362"/>
      <c r="K15592" s="1362"/>
      <c r="L15592" s="1362"/>
    </row>
    <row r="15593" spans="1:12" x14ac:dyDescent="0.25">
      <c r="A15593">
        <v>100282</v>
      </c>
      <c r="B15593" t="s">
        <v>3577</v>
      </c>
      <c r="C15593" t="s">
        <v>3513</v>
      </c>
      <c r="D15593" s="254">
        <v>151.91</v>
      </c>
      <c r="E15593"/>
      <c r="F15593"/>
      <c r="G15593"/>
      <c r="H15593"/>
      <c r="I15593" s="489"/>
      <c r="J15593" s="1362"/>
      <c r="K15593" s="1362"/>
      <c r="L15593" s="1362"/>
    </row>
    <row r="15594" spans="1:12" x14ac:dyDescent="0.25">
      <c r="A15594">
        <v>100283</v>
      </c>
      <c r="B15594" t="s">
        <v>3578</v>
      </c>
      <c r="C15594" t="s">
        <v>3513</v>
      </c>
      <c r="D15594" s="254">
        <v>24.54</v>
      </c>
      <c r="E15594"/>
      <c r="F15594"/>
      <c r="G15594"/>
      <c r="H15594"/>
      <c r="I15594" s="489"/>
      <c r="J15594" s="1362"/>
      <c r="K15594" s="1362"/>
      <c r="L15594" s="1362"/>
    </row>
    <row r="15595" spans="1:12" x14ac:dyDescent="0.25">
      <c r="A15595">
        <v>100284</v>
      </c>
      <c r="B15595" t="s">
        <v>3579</v>
      </c>
      <c r="C15595" t="s">
        <v>3513</v>
      </c>
      <c r="D15595" s="254">
        <v>10.84</v>
      </c>
      <c r="E15595"/>
      <c r="F15595"/>
      <c r="G15595"/>
      <c r="H15595"/>
      <c r="I15595" s="489"/>
      <c r="J15595" s="1362"/>
      <c r="K15595" s="1362"/>
      <c r="L15595" s="1362"/>
    </row>
    <row r="15596" spans="1:12" x14ac:dyDescent="0.25">
      <c r="A15596">
        <v>100285</v>
      </c>
      <c r="B15596" t="s">
        <v>3580</v>
      </c>
      <c r="C15596" t="s">
        <v>3531</v>
      </c>
      <c r="D15596" s="254">
        <v>40.81</v>
      </c>
      <c r="E15596"/>
      <c r="F15596"/>
      <c r="G15596"/>
      <c r="H15596"/>
      <c r="I15596" s="489"/>
      <c r="J15596" s="1362"/>
      <c r="K15596" s="1362"/>
      <c r="L15596" s="1362"/>
    </row>
    <row r="15597" spans="1:12" x14ac:dyDescent="0.25">
      <c r="A15597">
        <v>100286</v>
      </c>
      <c r="B15597" t="s">
        <v>3581</v>
      </c>
      <c r="C15597" t="s">
        <v>3531</v>
      </c>
      <c r="D15597" s="254">
        <v>13.3</v>
      </c>
      <c r="E15597"/>
      <c r="F15597"/>
      <c r="G15597"/>
      <c r="H15597"/>
      <c r="I15597" s="489"/>
      <c r="J15597" s="1362"/>
      <c r="K15597" s="1362"/>
      <c r="L15597" s="1362"/>
    </row>
    <row r="15598" spans="1:12" x14ac:dyDescent="0.25">
      <c r="A15598">
        <v>100287</v>
      </c>
      <c r="B15598" t="s">
        <v>3582</v>
      </c>
      <c r="C15598" t="s">
        <v>3531</v>
      </c>
      <c r="D15598" s="254">
        <v>12.73</v>
      </c>
      <c r="E15598"/>
      <c r="F15598"/>
      <c r="G15598"/>
      <c r="H15598"/>
      <c r="I15598" s="489"/>
      <c r="J15598" s="1362"/>
      <c r="K15598" s="1362"/>
      <c r="L15598" s="1362"/>
    </row>
    <row r="15599" spans="1:12" x14ac:dyDescent="0.25">
      <c r="A15599">
        <v>99802</v>
      </c>
      <c r="B15599" t="s">
        <v>3290</v>
      </c>
      <c r="C15599" t="s">
        <v>297</v>
      </c>
      <c r="D15599" s="254">
        <v>0.52</v>
      </c>
      <c r="E15599"/>
      <c r="F15599"/>
      <c r="G15599"/>
      <c r="H15599"/>
      <c r="I15599" s="489"/>
      <c r="J15599" s="1362"/>
      <c r="K15599" s="1362"/>
      <c r="L15599" s="1362"/>
    </row>
    <row r="15600" spans="1:12" x14ac:dyDescent="0.25">
      <c r="A15600">
        <v>99803</v>
      </c>
      <c r="B15600" t="s">
        <v>3291</v>
      </c>
      <c r="C15600" t="s">
        <v>297</v>
      </c>
      <c r="D15600" s="254">
        <v>2.0099999999999998</v>
      </c>
      <c r="E15600"/>
      <c r="F15600"/>
      <c r="G15600"/>
      <c r="H15600"/>
      <c r="I15600" s="489"/>
      <c r="J15600" s="1362"/>
      <c r="K15600" s="1362"/>
      <c r="L15600" s="1362"/>
    </row>
    <row r="15601" spans="1:12" x14ac:dyDescent="0.25">
      <c r="A15601">
        <v>99804</v>
      </c>
      <c r="B15601" t="s">
        <v>7123</v>
      </c>
      <c r="C15601" t="s">
        <v>297</v>
      </c>
      <c r="D15601" s="254">
        <v>5.23</v>
      </c>
      <c r="E15601"/>
      <c r="F15601"/>
      <c r="G15601"/>
      <c r="H15601"/>
      <c r="I15601" s="489"/>
      <c r="J15601" s="1362"/>
      <c r="K15601" s="1362"/>
      <c r="L15601" s="1362"/>
    </row>
    <row r="15602" spans="1:12" x14ac:dyDescent="0.25">
      <c r="A15602">
        <v>99805</v>
      </c>
      <c r="B15602" t="s">
        <v>3292</v>
      </c>
      <c r="C15602" t="s">
        <v>297</v>
      </c>
      <c r="D15602" s="254">
        <v>10.94</v>
      </c>
      <c r="E15602"/>
      <c r="F15602"/>
      <c r="G15602"/>
      <c r="H15602"/>
      <c r="I15602" s="489"/>
      <c r="J15602" s="1362"/>
      <c r="K15602" s="1362"/>
      <c r="L15602" s="1362"/>
    </row>
    <row r="15603" spans="1:12" x14ac:dyDescent="0.25">
      <c r="A15603">
        <v>99806</v>
      </c>
      <c r="B15603" t="s">
        <v>3293</v>
      </c>
      <c r="C15603" t="s">
        <v>297</v>
      </c>
      <c r="D15603" s="254">
        <v>0.83</v>
      </c>
      <c r="E15603"/>
      <c r="F15603"/>
      <c r="G15603"/>
      <c r="H15603"/>
      <c r="I15603" s="489"/>
      <c r="J15603" s="1362"/>
      <c r="K15603" s="1362"/>
      <c r="L15603" s="1362"/>
    </row>
    <row r="15604" spans="1:12" x14ac:dyDescent="0.25">
      <c r="A15604">
        <v>99807</v>
      </c>
      <c r="B15604" t="s">
        <v>7124</v>
      </c>
      <c r="C15604" t="s">
        <v>297</v>
      </c>
      <c r="D15604" s="254">
        <v>1.58</v>
      </c>
      <c r="E15604"/>
      <c r="F15604"/>
      <c r="G15604"/>
      <c r="H15604"/>
      <c r="I15604" s="489"/>
      <c r="J15604" s="1362"/>
      <c r="K15604" s="1362"/>
      <c r="L15604" s="1362"/>
    </row>
    <row r="15605" spans="1:12" x14ac:dyDescent="0.25">
      <c r="A15605">
        <v>99808</v>
      </c>
      <c r="B15605" t="s">
        <v>3294</v>
      </c>
      <c r="C15605" t="s">
        <v>297</v>
      </c>
      <c r="D15605" s="254">
        <v>3.86</v>
      </c>
      <c r="E15605"/>
      <c r="F15605"/>
      <c r="G15605"/>
      <c r="H15605"/>
      <c r="I15605" s="489"/>
      <c r="J15605" s="1362"/>
      <c r="K15605" s="1362"/>
      <c r="L15605" s="1362"/>
    </row>
    <row r="15606" spans="1:12" x14ac:dyDescent="0.25">
      <c r="A15606">
        <v>99809</v>
      </c>
      <c r="B15606" t="s">
        <v>3295</v>
      </c>
      <c r="C15606" t="s">
        <v>297</v>
      </c>
      <c r="D15606" s="254">
        <v>5.74</v>
      </c>
      <c r="E15606"/>
      <c r="F15606"/>
      <c r="G15606"/>
      <c r="H15606"/>
      <c r="I15606" s="489"/>
      <c r="J15606" s="1362"/>
      <c r="K15606" s="1362"/>
      <c r="L15606" s="1362"/>
    </row>
    <row r="15607" spans="1:12" x14ac:dyDescent="0.25">
      <c r="A15607">
        <v>99810</v>
      </c>
      <c r="B15607" t="s">
        <v>7125</v>
      </c>
      <c r="C15607" t="s">
        <v>297</v>
      </c>
      <c r="D15607" s="254">
        <v>7.14</v>
      </c>
      <c r="E15607"/>
      <c r="F15607"/>
      <c r="G15607"/>
      <c r="H15607"/>
      <c r="I15607" s="489"/>
      <c r="J15607" s="1362"/>
      <c r="K15607" s="1362"/>
      <c r="L15607" s="1362"/>
    </row>
    <row r="15608" spans="1:12" x14ac:dyDescent="0.25">
      <c r="A15608">
        <v>99811</v>
      </c>
      <c r="B15608" t="s">
        <v>3296</v>
      </c>
      <c r="C15608" t="s">
        <v>297</v>
      </c>
      <c r="D15608" s="254">
        <v>3.43</v>
      </c>
      <c r="E15608"/>
      <c r="F15608"/>
      <c r="G15608"/>
      <c r="H15608"/>
      <c r="I15608" s="489"/>
      <c r="J15608" s="1362"/>
      <c r="K15608" s="1362"/>
      <c r="L15608" s="1362"/>
    </row>
    <row r="15609" spans="1:12" x14ac:dyDescent="0.25">
      <c r="A15609">
        <v>99812</v>
      </c>
      <c r="B15609" t="s">
        <v>3297</v>
      </c>
      <c r="C15609" t="s">
        <v>297</v>
      </c>
      <c r="D15609" s="254">
        <v>1.1000000000000001</v>
      </c>
      <c r="E15609"/>
      <c r="F15609"/>
      <c r="G15609"/>
      <c r="H15609"/>
      <c r="I15609" s="489"/>
      <c r="J15609" s="1362"/>
      <c r="K15609" s="1362"/>
      <c r="L15609" s="1362"/>
    </row>
    <row r="15610" spans="1:12" x14ac:dyDescent="0.25">
      <c r="A15610">
        <v>99813</v>
      </c>
      <c r="B15610" t="s">
        <v>7126</v>
      </c>
      <c r="C15610" t="s">
        <v>297</v>
      </c>
      <c r="D15610" s="254">
        <v>0.94</v>
      </c>
      <c r="E15610"/>
      <c r="F15610"/>
      <c r="G15610"/>
      <c r="H15610"/>
      <c r="I15610" s="489"/>
      <c r="J15610" s="1362"/>
      <c r="K15610" s="1362"/>
      <c r="L15610" s="1362"/>
    </row>
    <row r="15611" spans="1:12" x14ac:dyDescent="0.25">
      <c r="A15611">
        <v>99814</v>
      </c>
      <c r="B15611" t="s">
        <v>3298</v>
      </c>
      <c r="C15611" t="s">
        <v>297</v>
      </c>
      <c r="D15611" s="254">
        <v>1.9</v>
      </c>
      <c r="E15611"/>
      <c r="F15611"/>
      <c r="G15611"/>
      <c r="H15611"/>
      <c r="I15611" s="489"/>
      <c r="J15611" s="1362"/>
      <c r="K15611" s="1362"/>
      <c r="L15611" s="1362"/>
    </row>
    <row r="15612" spans="1:12" x14ac:dyDescent="0.25">
      <c r="A15612">
        <v>99815</v>
      </c>
      <c r="B15612" t="s">
        <v>7127</v>
      </c>
      <c r="C15612" t="s">
        <v>138</v>
      </c>
      <c r="D15612" s="254">
        <v>8.5500000000000007</v>
      </c>
      <c r="E15612"/>
      <c r="F15612"/>
      <c r="G15612"/>
      <c r="H15612"/>
      <c r="I15612" s="489"/>
      <c r="J15612" s="1362"/>
      <c r="K15612" s="1362"/>
      <c r="L15612" s="1362"/>
    </row>
    <row r="15613" spans="1:12" x14ac:dyDescent="0.25">
      <c r="A15613">
        <v>99816</v>
      </c>
      <c r="B15613" t="s">
        <v>7128</v>
      </c>
      <c r="C15613" t="s">
        <v>138</v>
      </c>
      <c r="D15613" s="254">
        <v>9.07</v>
      </c>
      <c r="E15613"/>
      <c r="F15613"/>
      <c r="G15613"/>
      <c r="H15613"/>
      <c r="I15613" s="489"/>
      <c r="J15613" s="1362"/>
      <c r="K15613" s="1362"/>
      <c r="L15613" s="1362"/>
    </row>
    <row r="15614" spans="1:12" x14ac:dyDescent="0.25">
      <c r="A15614">
        <v>99817</v>
      </c>
      <c r="B15614" t="s">
        <v>7129</v>
      </c>
      <c r="C15614" t="s">
        <v>138</v>
      </c>
      <c r="D15614" s="254">
        <v>5.45</v>
      </c>
      <c r="E15614"/>
      <c r="F15614"/>
      <c r="G15614"/>
      <c r="H15614"/>
      <c r="I15614" s="489"/>
      <c r="J15614" s="1362"/>
      <c r="K15614" s="1362"/>
      <c r="L15614" s="1362"/>
    </row>
    <row r="15615" spans="1:12" x14ac:dyDescent="0.25">
      <c r="A15615">
        <v>99818</v>
      </c>
      <c r="B15615" t="s">
        <v>7130</v>
      </c>
      <c r="C15615" t="s">
        <v>138</v>
      </c>
      <c r="D15615" s="254">
        <v>5.45</v>
      </c>
      <c r="E15615"/>
      <c r="F15615"/>
      <c r="G15615"/>
      <c r="H15615"/>
      <c r="I15615" s="489"/>
      <c r="J15615" s="1362"/>
      <c r="K15615" s="1362"/>
      <c r="L15615" s="1362"/>
    </row>
    <row r="15616" spans="1:12" x14ac:dyDescent="0.25">
      <c r="A15616">
        <v>99819</v>
      </c>
      <c r="B15616" t="s">
        <v>7131</v>
      </c>
      <c r="C15616" t="s">
        <v>297</v>
      </c>
      <c r="D15616" s="254">
        <v>16.36</v>
      </c>
      <c r="E15616"/>
      <c r="F15616"/>
      <c r="G15616"/>
      <c r="H15616"/>
      <c r="I15616" s="489"/>
      <c r="J15616" s="1362"/>
      <c r="K15616" s="1362"/>
      <c r="L15616" s="1362"/>
    </row>
    <row r="15617" spans="1:12" x14ac:dyDescent="0.25">
      <c r="A15617">
        <v>99820</v>
      </c>
      <c r="B15617" t="s">
        <v>7132</v>
      </c>
      <c r="C15617" t="s">
        <v>297</v>
      </c>
      <c r="D15617" s="254">
        <v>1.93</v>
      </c>
      <c r="E15617"/>
      <c r="F15617"/>
      <c r="G15617"/>
      <c r="H15617"/>
      <c r="I15617" s="489"/>
      <c r="J15617" s="1362"/>
      <c r="K15617" s="1362"/>
      <c r="L15617" s="1362"/>
    </row>
    <row r="15618" spans="1:12" x14ac:dyDescent="0.25">
      <c r="A15618">
        <v>99821</v>
      </c>
      <c r="B15618" t="s">
        <v>7133</v>
      </c>
      <c r="C15618" t="s">
        <v>297</v>
      </c>
      <c r="D15618" s="254">
        <v>3</v>
      </c>
      <c r="E15618"/>
      <c r="F15618"/>
      <c r="G15618"/>
      <c r="H15618"/>
      <c r="I15618" s="489"/>
      <c r="J15618" s="1362"/>
      <c r="K15618" s="1362"/>
      <c r="L15618" s="1362"/>
    </row>
    <row r="15619" spans="1:12" x14ac:dyDescent="0.25">
      <c r="A15619">
        <v>99822</v>
      </c>
      <c r="B15619" t="s">
        <v>3299</v>
      </c>
      <c r="C15619" t="s">
        <v>297</v>
      </c>
      <c r="D15619" s="254">
        <v>0.97</v>
      </c>
      <c r="E15619"/>
      <c r="F15619"/>
      <c r="G15619"/>
      <c r="H15619"/>
      <c r="I15619" s="489"/>
      <c r="J15619" s="1362"/>
      <c r="K15619" s="1362"/>
      <c r="L15619" s="1362"/>
    </row>
    <row r="15620" spans="1:12" x14ac:dyDescent="0.25">
      <c r="A15620">
        <v>99823</v>
      </c>
      <c r="B15620" t="s">
        <v>7134</v>
      </c>
      <c r="C15620" t="s">
        <v>297</v>
      </c>
      <c r="D15620" s="254">
        <v>2.2599999999999998</v>
      </c>
      <c r="E15620"/>
      <c r="F15620"/>
      <c r="G15620"/>
      <c r="H15620"/>
      <c r="I15620" s="489"/>
      <c r="J15620" s="1362"/>
      <c r="K15620" s="1362"/>
      <c r="L15620" s="1362"/>
    </row>
    <row r="15621" spans="1:12" x14ac:dyDescent="0.25">
      <c r="A15621">
        <v>99824</v>
      </c>
      <c r="B15621" t="s">
        <v>7135</v>
      </c>
      <c r="C15621" t="s">
        <v>297</v>
      </c>
      <c r="D15621" s="254">
        <v>2.4700000000000002</v>
      </c>
      <c r="E15621"/>
      <c r="F15621"/>
      <c r="G15621"/>
      <c r="H15621"/>
      <c r="I15621" s="489"/>
      <c r="J15621" s="1362"/>
      <c r="K15621" s="1362"/>
      <c r="L15621" s="1362"/>
    </row>
    <row r="15622" spans="1:12" x14ac:dyDescent="0.25">
      <c r="A15622">
        <v>99825</v>
      </c>
      <c r="B15622" t="s">
        <v>7136</v>
      </c>
      <c r="C15622" t="s">
        <v>297</v>
      </c>
      <c r="D15622" s="254">
        <v>3.5</v>
      </c>
      <c r="E15622"/>
      <c r="F15622"/>
      <c r="G15622"/>
      <c r="H15622"/>
      <c r="I15622" s="489"/>
      <c r="J15622" s="1362"/>
      <c r="K15622" s="1362"/>
      <c r="L15622" s="1362"/>
    </row>
    <row r="15623" spans="1:12" x14ac:dyDescent="0.25">
      <c r="A15623">
        <v>99826</v>
      </c>
      <c r="B15623" t="s">
        <v>3300</v>
      </c>
      <c r="C15623" t="s">
        <v>297</v>
      </c>
      <c r="D15623" s="254">
        <v>1.49</v>
      </c>
      <c r="E15623"/>
      <c r="F15623"/>
      <c r="G15623"/>
      <c r="H15623"/>
      <c r="I15623" s="489"/>
      <c r="J15623" s="1362"/>
      <c r="K15623" s="1362"/>
      <c r="L15623" s="1362"/>
    </row>
    <row r="15624" spans="1:12" x14ac:dyDescent="0.25">
      <c r="A15624">
        <v>97010</v>
      </c>
      <c r="B15624" t="s">
        <v>2259</v>
      </c>
      <c r="C15624" t="s">
        <v>151</v>
      </c>
      <c r="D15624" s="254">
        <v>87.67</v>
      </c>
      <c r="E15624"/>
      <c r="F15624"/>
      <c r="G15624"/>
      <c r="H15624"/>
      <c r="I15624" s="489"/>
      <c r="J15624" s="1362"/>
      <c r="K15624" s="1362"/>
      <c r="L15624" s="1362"/>
    </row>
    <row r="15625" spans="1:12" x14ac:dyDescent="0.25">
      <c r="A15625">
        <v>97011</v>
      </c>
      <c r="B15625" t="s">
        <v>2260</v>
      </c>
      <c r="C15625" t="s">
        <v>151</v>
      </c>
      <c r="D15625" s="254">
        <v>65.739999999999995</v>
      </c>
      <c r="E15625"/>
      <c r="F15625"/>
      <c r="G15625"/>
      <c r="H15625"/>
      <c r="I15625" s="489"/>
      <c r="J15625" s="1362"/>
      <c r="K15625" s="1362"/>
      <c r="L15625" s="1362"/>
    </row>
    <row r="15626" spans="1:12" x14ac:dyDescent="0.25">
      <c r="A15626">
        <v>97012</v>
      </c>
      <c r="B15626" t="s">
        <v>2261</v>
      </c>
      <c r="C15626" t="s">
        <v>151</v>
      </c>
      <c r="D15626" s="254">
        <v>54.78</v>
      </c>
      <c r="E15626"/>
      <c r="F15626"/>
      <c r="G15626"/>
      <c r="H15626"/>
      <c r="I15626" s="489"/>
      <c r="J15626" s="1362"/>
      <c r="K15626" s="1362"/>
      <c r="L15626" s="1362"/>
    </row>
    <row r="15627" spans="1:12" x14ac:dyDescent="0.25">
      <c r="A15627">
        <v>97013</v>
      </c>
      <c r="B15627" t="s">
        <v>2262</v>
      </c>
      <c r="C15627" t="s">
        <v>151</v>
      </c>
      <c r="D15627" s="254">
        <v>132.61000000000001</v>
      </c>
      <c r="E15627"/>
      <c r="F15627"/>
      <c r="G15627"/>
      <c r="H15627"/>
      <c r="I15627" s="489"/>
      <c r="J15627" s="1362"/>
      <c r="K15627" s="1362"/>
      <c r="L15627" s="1362"/>
    </row>
    <row r="15628" spans="1:12" x14ac:dyDescent="0.25">
      <c r="A15628">
        <v>97014</v>
      </c>
      <c r="B15628" t="s">
        <v>2263</v>
      </c>
      <c r="C15628" t="s">
        <v>151</v>
      </c>
      <c r="D15628" s="254">
        <v>95.93</v>
      </c>
      <c r="E15628"/>
      <c r="F15628"/>
      <c r="G15628"/>
      <c r="H15628"/>
      <c r="I15628" s="489"/>
      <c r="J15628" s="1362"/>
      <c r="K15628" s="1362"/>
      <c r="L15628" s="1362"/>
    </row>
    <row r="15629" spans="1:12" x14ac:dyDescent="0.25">
      <c r="A15629">
        <v>97015</v>
      </c>
      <c r="B15629" t="s">
        <v>2264</v>
      </c>
      <c r="C15629" t="s">
        <v>151</v>
      </c>
      <c r="D15629" s="254">
        <v>77.41</v>
      </c>
      <c r="E15629"/>
      <c r="F15629"/>
      <c r="G15629"/>
      <c r="H15629"/>
      <c r="I15629" s="489"/>
      <c r="J15629" s="1362"/>
      <c r="K15629" s="1362"/>
      <c r="L15629" s="1362"/>
    </row>
    <row r="15630" spans="1:12" x14ac:dyDescent="0.25">
      <c r="A15630">
        <v>97016</v>
      </c>
      <c r="B15630" t="s">
        <v>2265</v>
      </c>
      <c r="C15630" t="s">
        <v>151</v>
      </c>
      <c r="D15630" s="254">
        <v>79.28</v>
      </c>
      <c r="E15630"/>
      <c r="F15630"/>
      <c r="G15630"/>
      <c r="H15630"/>
      <c r="I15630" s="489"/>
      <c r="J15630" s="1362"/>
      <c r="K15630" s="1362"/>
      <c r="L15630" s="1362"/>
    </row>
    <row r="15631" spans="1:12" x14ac:dyDescent="0.25">
      <c r="A15631">
        <v>97017</v>
      </c>
      <c r="B15631" t="s">
        <v>2266</v>
      </c>
      <c r="C15631" t="s">
        <v>151</v>
      </c>
      <c r="D15631" s="254">
        <v>58.37</v>
      </c>
      <c r="E15631"/>
      <c r="F15631"/>
      <c r="G15631"/>
      <c r="H15631"/>
      <c r="I15631" s="489"/>
      <c r="J15631" s="1362"/>
      <c r="K15631" s="1362"/>
      <c r="L15631" s="1362"/>
    </row>
    <row r="15632" spans="1:12" x14ac:dyDescent="0.25">
      <c r="A15632">
        <v>97018</v>
      </c>
      <c r="B15632" t="s">
        <v>2267</v>
      </c>
      <c r="C15632" t="s">
        <v>151</v>
      </c>
      <c r="D15632" s="254">
        <v>47.53</v>
      </c>
      <c r="E15632"/>
      <c r="F15632"/>
      <c r="G15632"/>
      <c r="H15632"/>
      <c r="I15632" s="489"/>
      <c r="J15632" s="1362"/>
      <c r="K15632" s="1362"/>
      <c r="L15632" s="1362"/>
    </row>
    <row r="15633" spans="1:12" x14ac:dyDescent="0.25">
      <c r="A15633">
        <v>97031</v>
      </c>
      <c r="B15633" t="s">
        <v>2268</v>
      </c>
      <c r="C15633" t="s">
        <v>151</v>
      </c>
      <c r="D15633" s="254">
        <v>118.87</v>
      </c>
      <c r="E15633"/>
      <c r="F15633"/>
      <c r="G15633"/>
      <c r="H15633"/>
      <c r="I15633" s="489"/>
      <c r="J15633" s="1362"/>
      <c r="K15633" s="1362"/>
      <c r="L15633" s="1362"/>
    </row>
    <row r="15634" spans="1:12" x14ac:dyDescent="0.25">
      <c r="A15634">
        <v>97032</v>
      </c>
      <c r="B15634" t="s">
        <v>3163</v>
      </c>
      <c r="C15634" t="s">
        <v>151</v>
      </c>
      <c r="D15634" s="254">
        <v>71.099999999999994</v>
      </c>
      <c r="E15634"/>
      <c r="F15634"/>
      <c r="G15634"/>
      <c r="H15634"/>
      <c r="I15634" s="489"/>
      <c r="J15634" s="1362"/>
      <c r="K15634" s="1362"/>
      <c r="L15634" s="1362"/>
    </row>
    <row r="15635" spans="1:12" x14ac:dyDescent="0.25">
      <c r="A15635">
        <v>97033</v>
      </c>
      <c r="B15635" t="s">
        <v>2668</v>
      </c>
      <c r="C15635" t="s">
        <v>151</v>
      </c>
      <c r="D15635" s="254">
        <v>128.28</v>
      </c>
      <c r="E15635"/>
      <c r="F15635"/>
      <c r="G15635"/>
      <c r="H15635"/>
      <c r="I15635" s="489"/>
      <c r="J15635" s="1362"/>
      <c r="K15635" s="1362"/>
      <c r="L15635" s="1362"/>
    </row>
    <row r="15636" spans="1:12" x14ac:dyDescent="0.25">
      <c r="A15636">
        <v>97034</v>
      </c>
      <c r="B15636" t="s">
        <v>2669</v>
      </c>
      <c r="C15636" t="s">
        <v>151</v>
      </c>
      <c r="D15636" s="254">
        <v>74.63</v>
      </c>
      <c r="E15636"/>
      <c r="F15636"/>
      <c r="G15636"/>
      <c r="H15636"/>
      <c r="I15636" s="489"/>
      <c r="J15636" s="1362"/>
      <c r="K15636" s="1362"/>
      <c r="L15636" s="1362"/>
    </row>
    <row r="15637" spans="1:12" x14ac:dyDescent="0.25">
      <c r="A15637">
        <v>97039</v>
      </c>
      <c r="B15637" t="s">
        <v>2269</v>
      </c>
      <c r="C15637" t="s">
        <v>297</v>
      </c>
      <c r="D15637" s="254">
        <v>57.06</v>
      </c>
      <c r="E15637"/>
      <c r="F15637"/>
      <c r="G15637"/>
      <c r="H15637"/>
      <c r="I15637" s="489"/>
      <c r="J15637" s="1362"/>
      <c r="K15637" s="1362"/>
      <c r="L15637" s="1362"/>
    </row>
    <row r="15638" spans="1:12" x14ac:dyDescent="0.25">
      <c r="A15638">
        <v>97040</v>
      </c>
      <c r="B15638" t="s">
        <v>2270</v>
      </c>
      <c r="C15638" t="s">
        <v>297</v>
      </c>
      <c r="D15638" s="254">
        <v>17.5</v>
      </c>
      <c r="E15638"/>
      <c r="F15638"/>
      <c r="G15638"/>
      <c r="H15638"/>
      <c r="I15638" s="489"/>
      <c r="J15638" s="1362"/>
      <c r="K15638" s="1362"/>
      <c r="L15638" s="1362"/>
    </row>
    <row r="15639" spans="1:12" x14ac:dyDescent="0.25">
      <c r="A15639">
        <v>97041</v>
      </c>
      <c r="B15639" t="s">
        <v>2271</v>
      </c>
      <c r="C15639" t="s">
        <v>297</v>
      </c>
      <c r="D15639" s="254">
        <v>359.54</v>
      </c>
      <c r="E15639"/>
      <c r="F15639"/>
      <c r="G15639"/>
      <c r="H15639"/>
      <c r="I15639" s="489"/>
      <c r="J15639" s="1362"/>
      <c r="K15639" s="1362"/>
      <c r="L15639" s="1362"/>
    </row>
    <row r="15640" spans="1:12" x14ac:dyDescent="0.25">
      <c r="A15640">
        <v>97046</v>
      </c>
      <c r="B15640" t="s">
        <v>2670</v>
      </c>
      <c r="C15640" t="s">
        <v>297</v>
      </c>
      <c r="D15640" s="254">
        <v>0.33</v>
      </c>
      <c r="E15640"/>
      <c r="F15640"/>
      <c r="G15640"/>
      <c r="H15640"/>
      <c r="I15640" s="489"/>
      <c r="J15640" s="1362"/>
      <c r="K15640" s="1362"/>
      <c r="L15640" s="1362"/>
    </row>
    <row r="15641" spans="1:12" x14ac:dyDescent="0.25">
      <c r="A15641">
        <v>97047</v>
      </c>
      <c r="B15641" t="s">
        <v>2671</v>
      </c>
      <c r="C15641" t="s">
        <v>297</v>
      </c>
      <c r="D15641" s="254">
        <v>0.13</v>
      </c>
      <c r="E15641"/>
      <c r="F15641"/>
      <c r="G15641"/>
      <c r="H15641"/>
      <c r="I15641" s="489"/>
      <c r="J15641" s="1362"/>
      <c r="K15641" s="1362"/>
      <c r="L15641" s="1362"/>
    </row>
    <row r="15642" spans="1:12" x14ac:dyDescent="0.25">
      <c r="A15642">
        <v>97048</v>
      </c>
      <c r="B15642" t="s">
        <v>2672</v>
      </c>
      <c r="C15642" t="s">
        <v>297</v>
      </c>
      <c r="D15642" s="254">
        <v>0.09</v>
      </c>
      <c r="E15642"/>
      <c r="F15642"/>
      <c r="G15642"/>
      <c r="H15642"/>
      <c r="I15642" s="489"/>
      <c r="J15642" s="1362"/>
      <c r="K15642" s="1362"/>
      <c r="L15642" s="1362"/>
    </row>
    <row r="15643" spans="1:12" x14ac:dyDescent="0.25">
      <c r="A15643">
        <v>97054</v>
      </c>
      <c r="B15643" t="s">
        <v>4934</v>
      </c>
      <c r="C15643" t="s">
        <v>138</v>
      </c>
      <c r="D15643" s="254">
        <v>28.3</v>
      </c>
      <c r="E15643"/>
      <c r="F15643"/>
      <c r="G15643"/>
      <c r="H15643"/>
      <c r="I15643" s="489"/>
      <c r="J15643" s="1362"/>
      <c r="K15643" s="1362"/>
      <c r="L15643" s="1362"/>
    </row>
    <row r="15644" spans="1:12" x14ac:dyDescent="0.25">
      <c r="A15644">
        <v>97062</v>
      </c>
      <c r="B15644" t="s">
        <v>2272</v>
      </c>
      <c r="C15644" t="s">
        <v>297</v>
      </c>
      <c r="D15644" s="254">
        <v>7.92</v>
      </c>
      <c r="E15644"/>
      <c r="F15644"/>
      <c r="G15644"/>
      <c r="H15644"/>
      <c r="I15644" s="489"/>
      <c r="J15644" s="1362"/>
      <c r="K15644" s="1362"/>
      <c r="L15644" s="1362"/>
    </row>
    <row r="15645" spans="1:12" x14ac:dyDescent="0.25">
      <c r="A15645">
        <v>97063</v>
      </c>
      <c r="B15645" t="s">
        <v>2273</v>
      </c>
      <c r="C15645" t="s">
        <v>297</v>
      </c>
      <c r="D15645" s="254">
        <v>10.17</v>
      </c>
      <c r="E15645"/>
      <c r="F15645"/>
      <c r="G15645"/>
      <c r="H15645"/>
      <c r="I15645" s="489"/>
      <c r="J15645" s="1362"/>
      <c r="K15645" s="1362"/>
      <c r="L15645" s="1362"/>
    </row>
    <row r="15646" spans="1:12" x14ac:dyDescent="0.25">
      <c r="A15646">
        <v>97064</v>
      </c>
      <c r="B15646" t="s">
        <v>2274</v>
      </c>
      <c r="C15646" t="s">
        <v>151</v>
      </c>
      <c r="D15646" s="254">
        <v>18.77</v>
      </c>
      <c r="E15646"/>
      <c r="F15646"/>
      <c r="G15646"/>
      <c r="H15646"/>
      <c r="I15646" s="489"/>
      <c r="J15646" s="1362"/>
      <c r="K15646" s="1362"/>
      <c r="L15646" s="1362"/>
    </row>
    <row r="15647" spans="1:12" x14ac:dyDescent="0.25">
      <c r="A15647">
        <v>97065</v>
      </c>
      <c r="B15647" t="s">
        <v>2275</v>
      </c>
      <c r="C15647" t="s">
        <v>1159</v>
      </c>
      <c r="D15647" s="254">
        <v>6.51</v>
      </c>
      <c r="E15647"/>
      <c r="F15647"/>
      <c r="G15647"/>
      <c r="H15647"/>
      <c r="I15647" s="489"/>
      <c r="J15647" s="1362"/>
      <c r="K15647" s="1362"/>
      <c r="L15647" s="1362"/>
    </row>
    <row r="15648" spans="1:12" x14ac:dyDescent="0.25">
      <c r="A15648">
        <v>97066</v>
      </c>
      <c r="B15648" t="s">
        <v>3038</v>
      </c>
      <c r="C15648" t="s">
        <v>297</v>
      </c>
      <c r="D15648" s="254">
        <v>135.9</v>
      </c>
      <c r="E15648"/>
      <c r="F15648"/>
      <c r="G15648"/>
      <c r="H15648"/>
      <c r="I15648" s="489"/>
      <c r="J15648" s="1362"/>
      <c r="K15648" s="1362"/>
      <c r="L15648" s="1362"/>
    </row>
    <row r="15649" spans="1:12" x14ac:dyDescent="0.25">
      <c r="A15649">
        <v>97067</v>
      </c>
      <c r="B15649" t="s">
        <v>2276</v>
      </c>
      <c r="C15649" t="s">
        <v>151</v>
      </c>
      <c r="D15649" s="254">
        <v>919.6</v>
      </c>
      <c r="E15649"/>
      <c r="F15649"/>
      <c r="G15649"/>
      <c r="H15649"/>
      <c r="I15649" s="489"/>
      <c r="J15649" s="1362"/>
      <c r="K15649" s="1362"/>
      <c r="L15649" s="1362"/>
    </row>
    <row r="15650" spans="1:12" x14ac:dyDescent="0.25">
      <c r="A15650">
        <v>97621</v>
      </c>
      <c r="B15650" t="s">
        <v>2277</v>
      </c>
      <c r="C15650" t="s">
        <v>1159</v>
      </c>
      <c r="D15650" s="254">
        <v>113.35</v>
      </c>
      <c r="E15650"/>
      <c r="F15650"/>
      <c r="G15650"/>
      <c r="H15650"/>
      <c r="I15650" s="489"/>
      <c r="J15650" s="1362"/>
      <c r="K15650" s="1362"/>
      <c r="L15650" s="1362"/>
    </row>
    <row r="15651" spans="1:12" x14ac:dyDescent="0.25">
      <c r="A15651">
        <v>97622</v>
      </c>
      <c r="B15651" t="s">
        <v>2278</v>
      </c>
      <c r="C15651" t="s">
        <v>1159</v>
      </c>
      <c r="D15651" s="254">
        <v>55.24</v>
      </c>
      <c r="E15651"/>
      <c r="F15651"/>
      <c r="G15651"/>
      <c r="H15651"/>
      <c r="I15651" s="489"/>
      <c r="J15651" s="1362"/>
      <c r="K15651" s="1362"/>
      <c r="L15651" s="1362"/>
    </row>
    <row r="15652" spans="1:12" x14ac:dyDescent="0.25">
      <c r="A15652">
        <v>97623</v>
      </c>
      <c r="B15652" t="s">
        <v>2279</v>
      </c>
      <c r="C15652" t="s">
        <v>1159</v>
      </c>
      <c r="D15652" s="254">
        <v>169.23</v>
      </c>
      <c r="E15652"/>
      <c r="F15652"/>
      <c r="G15652"/>
      <c r="H15652"/>
      <c r="I15652" s="489"/>
      <c r="J15652" s="1362"/>
      <c r="K15652" s="1362"/>
      <c r="L15652" s="1362"/>
    </row>
    <row r="15653" spans="1:12" x14ac:dyDescent="0.25">
      <c r="A15653">
        <v>97624</v>
      </c>
      <c r="B15653" t="s">
        <v>2280</v>
      </c>
      <c r="C15653" t="s">
        <v>1159</v>
      </c>
      <c r="D15653" s="254">
        <v>103.86</v>
      </c>
      <c r="E15653"/>
      <c r="F15653"/>
      <c r="G15653"/>
      <c r="H15653"/>
      <c r="I15653" s="489"/>
      <c r="J15653" s="1362"/>
      <c r="K15653" s="1362"/>
      <c r="L15653" s="1362"/>
    </row>
    <row r="15654" spans="1:12" x14ac:dyDescent="0.25">
      <c r="A15654">
        <v>97625</v>
      </c>
      <c r="B15654" t="s">
        <v>2281</v>
      </c>
      <c r="C15654" t="s">
        <v>1159</v>
      </c>
      <c r="D15654" s="254">
        <v>60.87</v>
      </c>
      <c r="E15654"/>
      <c r="F15654"/>
      <c r="G15654"/>
      <c r="H15654"/>
      <c r="I15654" s="489"/>
      <c r="J15654" s="1362"/>
      <c r="K15654" s="1362"/>
      <c r="L15654" s="1362"/>
    </row>
    <row r="15655" spans="1:12" x14ac:dyDescent="0.25">
      <c r="A15655">
        <v>97626</v>
      </c>
      <c r="B15655" t="s">
        <v>2282</v>
      </c>
      <c r="C15655" t="s">
        <v>1159</v>
      </c>
      <c r="D15655" s="254">
        <v>596.54</v>
      </c>
      <c r="E15655"/>
      <c r="F15655"/>
      <c r="G15655"/>
      <c r="H15655"/>
      <c r="I15655" s="489"/>
      <c r="J15655" s="1362"/>
      <c r="K15655" s="1362"/>
      <c r="L15655" s="1362"/>
    </row>
    <row r="15656" spans="1:12" x14ac:dyDescent="0.25">
      <c r="A15656">
        <v>97627</v>
      </c>
      <c r="B15656" t="s">
        <v>2283</v>
      </c>
      <c r="C15656" t="s">
        <v>1159</v>
      </c>
      <c r="D15656" s="254">
        <v>285.33999999999997</v>
      </c>
      <c r="E15656"/>
      <c r="F15656"/>
      <c r="G15656"/>
      <c r="H15656"/>
      <c r="I15656" s="489"/>
      <c r="J15656" s="1362"/>
      <c r="K15656" s="1362"/>
      <c r="L15656" s="1362"/>
    </row>
    <row r="15657" spans="1:12" x14ac:dyDescent="0.25">
      <c r="A15657">
        <v>97628</v>
      </c>
      <c r="B15657" t="s">
        <v>2284</v>
      </c>
      <c r="C15657" t="s">
        <v>1159</v>
      </c>
      <c r="D15657" s="254">
        <v>273.02</v>
      </c>
      <c r="E15657"/>
      <c r="F15657"/>
      <c r="G15657"/>
      <c r="H15657"/>
      <c r="I15657" s="489"/>
      <c r="J15657" s="1362"/>
      <c r="K15657" s="1362"/>
      <c r="L15657" s="1362"/>
    </row>
    <row r="15658" spans="1:12" x14ac:dyDescent="0.25">
      <c r="A15658">
        <v>97629</v>
      </c>
      <c r="B15658" t="s">
        <v>2285</v>
      </c>
      <c r="C15658" t="s">
        <v>1159</v>
      </c>
      <c r="D15658" s="254">
        <v>123.86</v>
      </c>
      <c r="E15658"/>
      <c r="F15658"/>
      <c r="G15658"/>
      <c r="H15658"/>
      <c r="I15658" s="489"/>
      <c r="J15658" s="1362"/>
      <c r="K15658" s="1362"/>
      <c r="L15658" s="1362"/>
    </row>
    <row r="15659" spans="1:12" x14ac:dyDescent="0.25">
      <c r="A15659">
        <v>97631</v>
      </c>
      <c r="B15659" t="s">
        <v>2286</v>
      </c>
      <c r="C15659" t="s">
        <v>297</v>
      </c>
      <c r="D15659" s="254">
        <v>3.32</v>
      </c>
      <c r="E15659"/>
      <c r="F15659"/>
      <c r="G15659"/>
      <c r="H15659"/>
      <c r="I15659" s="489"/>
      <c r="J15659" s="1362"/>
      <c r="K15659" s="1362"/>
      <c r="L15659" s="1362"/>
    </row>
    <row r="15660" spans="1:12" x14ac:dyDescent="0.25">
      <c r="A15660">
        <v>97632</v>
      </c>
      <c r="B15660" t="s">
        <v>2287</v>
      </c>
      <c r="C15660" t="s">
        <v>151</v>
      </c>
      <c r="D15660" s="254">
        <v>2.59</v>
      </c>
      <c r="E15660"/>
      <c r="F15660"/>
      <c r="G15660"/>
      <c r="H15660"/>
      <c r="I15660" s="489"/>
      <c r="J15660" s="1362"/>
      <c r="K15660" s="1362"/>
      <c r="L15660" s="1362"/>
    </row>
    <row r="15661" spans="1:12" x14ac:dyDescent="0.25">
      <c r="A15661">
        <v>97633</v>
      </c>
      <c r="B15661" t="s">
        <v>2288</v>
      </c>
      <c r="C15661" t="s">
        <v>297</v>
      </c>
      <c r="D15661" s="254">
        <v>22.7</v>
      </c>
      <c r="E15661"/>
      <c r="F15661"/>
      <c r="G15661"/>
      <c r="H15661"/>
      <c r="I15661" s="489"/>
      <c r="J15661" s="1362"/>
      <c r="K15661" s="1362"/>
      <c r="L15661" s="1362"/>
    </row>
    <row r="15662" spans="1:12" x14ac:dyDescent="0.25">
      <c r="A15662">
        <v>97634</v>
      </c>
      <c r="B15662" t="s">
        <v>2289</v>
      </c>
      <c r="C15662" t="s">
        <v>297</v>
      </c>
      <c r="D15662" s="254">
        <v>12.22</v>
      </c>
      <c r="E15662"/>
      <c r="F15662"/>
      <c r="G15662"/>
      <c r="H15662"/>
      <c r="I15662" s="489"/>
      <c r="J15662" s="1362"/>
      <c r="K15662" s="1362"/>
      <c r="L15662" s="1362"/>
    </row>
    <row r="15663" spans="1:12" x14ac:dyDescent="0.25">
      <c r="A15663">
        <v>97635</v>
      </c>
      <c r="B15663" t="s">
        <v>2290</v>
      </c>
      <c r="C15663" t="s">
        <v>297</v>
      </c>
      <c r="D15663" s="254">
        <v>17.170000000000002</v>
      </c>
      <c r="E15663"/>
      <c r="F15663"/>
      <c r="G15663"/>
      <c r="H15663"/>
      <c r="I15663" s="489"/>
      <c r="J15663" s="1362"/>
      <c r="K15663" s="1362"/>
      <c r="L15663" s="1362"/>
    </row>
    <row r="15664" spans="1:12" x14ac:dyDescent="0.25">
      <c r="A15664">
        <v>97636</v>
      </c>
      <c r="B15664" t="s">
        <v>2291</v>
      </c>
      <c r="C15664" t="s">
        <v>297</v>
      </c>
      <c r="D15664" s="254">
        <v>18.57</v>
      </c>
      <c r="E15664"/>
      <c r="F15664"/>
      <c r="G15664"/>
      <c r="H15664"/>
      <c r="I15664" s="489"/>
      <c r="J15664" s="1362"/>
      <c r="K15664" s="1362"/>
      <c r="L15664" s="1362"/>
    </row>
    <row r="15665" spans="1:12" x14ac:dyDescent="0.25">
      <c r="A15665">
        <v>97637</v>
      </c>
      <c r="B15665" t="s">
        <v>2292</v>
      </c>
      <c r="C15665" t="s">
        <v>297</v>
      </c>
      <c r="D15665" s="254">
        <v>2.6</v>
      </c>
      <c r="E15665"/>
      <c r="F15665"/>
      <c r="G15665"/>
      <c r="H15665"/>
      <c r="I15665" s="489"/>
      <c r="J15665" s="1362"/>
      <c r="K15665" s="1362"/>
      <c r="L15665" s="1362"/>
    </row>
    <row r="15666" spans="1:12" x14ac:dyDescent="0.25">
      <c r="A15666">
        <v>97638</v>
      </c>
      <c r="B15666" t="s">
        <v>2293</v>
      </c>
      <c r="C15666" t="s">
        <v>297</v>
      </c>
      <c r="D15666" s="254">
        <v>7.58</v>
      </c>
      <c r="E15666"/>
      <c r="F15666"/>
      <c r="G15666"/>
      <c r="H15666"/>
      <c r="I15666" s="489"/>
      <c r="J15666" s="1362"/>
      <c r="K15666" s="1362"/>
      <c r="L15666" s="1362"/>
    </row>
    <row r="15667" spans="1:12" x14ac:dyDescent="0.25">
      <c r="A15667">
        <v>97639</v>
      </c>
      <c r="B15667" t="s">
        <v>2294</v>
      </c>
      <c r="C15667" t="s">
        <v>297</v>
      </c>
      <c r="D15667" s="254">
        <v>20.28</v>
      </c>
      <c r="E15667"/>
      <c r="F15667"/>
      <c r="G15667"/>
      <c r="H15667"/>
      <c r="I15667" s="489"/>
      <c r="J15667" s="1362"/>
      <c r="K15667" s="1362"/>
      <c r="L15667" s="1362"/>
    </row>
    <row r="15668" spans="1:12" x14ac:dyDescent="0.25">
      <c r="A15668">
        <v>97640</v>
      </c>
      <c r="B15668" t="s">
        <v>2295</v>
      </c>
      <c r="C15668" t="s">
        <v>297</v>
      </c>
      <c r="D15668" s="254">
        <v>1.64</v>
      </c>
      <c r="E15668"/>
      <c r="F15668"/>
      <c r="G15668"/>
      <c r="H15668"/>
      <c r="I15668" s="489"/>
      <c r="J15668" s="1362"/>
      <c r="K15668" s="1362"/>
      <c r="L15668" s="1362"/>
    </row>
    <row r="15669" spans="1:12" x14ac:dyDescent="0.25">
      <c r="A15669">
        <v>97641</v>
      </c>
      <c r="B15669" t="s">
        <v>2296</v>
      </c>
      <c r="C15669" t="s">
        <v>297</v>
      </c>
      <c r="D15669" s="254">
        <v>5.04</v>
      </c>
      <c r="E15669"/>
      <c r="F15669"/>
      <c r="G15669"/>
      <c r="H15669"/>
      <c r="I15669" s="489"/>
      <c r="J15669" s="1362"/>
      <c r="K15669" s="1362"/>
      <c r="L15669" s="1362"/>
    </row>
    <row r="15670" spans="1:12" x14ac:dyDescent="0.25">
      <c r="A15670">
        <v>97642</v>
      </c>
      <c r="B15670" t="s">
        <v>2297</v>
      </c>
      <c r="C15670" t="s">
        <v>297</v>
      </c>
      <c r="D15670" s="254">
        <v>2.94</v>
      </c>
      <c r="E15670"/>
      <c r="F15670"/>
      <c r="G15670"/>
      <c r="H15670"/>
      <c r="I15670" s="489"/>
      <c r="J15670" s="1362"/>
      <c r="K15670" s="1362"/>
      <c r="L15670" s="1362"/>
    </row>
    <row r="15671" spans="1:12" x14ac:dyDescent="0.25">
      <c r="A15671">
        <v>97643</v>
      </c>
      <c r="B15671" t="s">
        <v>2298</v>
      </c>
      <c r="C15671" t="s">
        <v>297</v>
      </c>
      <c r="D15671" s="254">
        <v>24.44</v>
      </c>
      <c r="E15671"/>
      <c r="F15671"/>
      <c r="G15671"/>
      <c r="H15671"/>
      <c r="I15671" s="489"/>
      <c r="J15671" s="1362"/>
      <c r="K15671" s="1362"/>
      <c r="L15671" s="1362"/>
    </row>
    <row r="15672" spans="1:12" x14ac:dyDescent="0.25">
      <c r="A15672">
        <v>97644</v>
      </c>
      <c r="B15672" t="s">
        <v>2299</v>
      </c>
      <c r="C15672" t="s">
        <v>297</v>
      </c>
      <c r="D15672" s="254">
        <v>9.3699999999999992</v>
      </c>
      <c r="E15672"/>
      <c r="F15672"/>
      <c r="G15672"/>
      <c r="H15672"/>
      <c r="I15672" s="489"/>
      <c r="J15672" s="1362"/>
      <c r="K15672" s="1362"/>
      <c r="L15672" s="1362"/>
    </row>
    <row r="15673" spans="1:12" x14ac:dyDescent="0.25">
      <c r="A15673">
        <v>97645</v>
      </c>
      <c r="B15673" t="s">
        <v>2300</v>
      </c>
      <c r="C15673" t="s">
        <v>297</v>
      </c>
      <c r="D15673" s="254">
        <v>35.299999999999997</v>
      </c>
      <c r="E15673"/>
      <c r="F15673"/>
      <c r="G15673"/>
      <c r="H15673"/>
      <c r="I15673" s="489"/>
      <c r="J15673" s="1362"/>
      <c r="K15673" s="1362"/>
      <c r="L15673" s="1362"/>
    </row>
    <row r="15674" spans="1:12" x14ac:dyDescent="0.25">
      <c r="A15674">
        <v>97647</v>
      </c>
      <c r="B15674" t="s">
        <v>2301</v>
      </c>
      <c r="C15674" t="s">
        <v>297</v>
      </c>
      <c r="D15674" s="254">
        <v>3.43</v>
      </c>
      <c r="E15674"/>
      <c r="F15674"/>
      <c r="G15674"/>
      <c r="H15674"/>
      <c r="I15674" s="489"/>
      <c r="J15674" s="1362"/>
      <c r="K15674" s="1362"/>
      <c r="L15674" s="1362"/>
    </row>
    <row r="15675" spans="1:12" x14ac:dyDescent="0.25">
      <c r="A15675">
        <v>97648</v>
      </c>
      <c r="B15675" t="s">
        <v>2302</v>
      </c>
      <c r="C15675" t="s">
        <v>297</v>
      </c>
      <c r="D15675" s="254">
        <v>1.97</v>
      </c>
      <c r="E15675"/>
      <c r="F15675"/>
      <c r="G15675"/>
      <c r="H15675"/>
      <c r="I15675" s="489"/>
      <c r="J15675" s="1362"/>
      <c r="K15675" s="1362"/>
      <c r="L15675" s="1362"/>
    </row>
    <row r="15676" spans="1:12" x14ac:dyDescent="0.25">
      <c r="A15676">
        <v>97649</v>
      </c>
      <c r="B15676" t="s">
        <v>2303</v>
      </c>
      <c r="C15676" t="s">
        <v>297</v>
      </c>
      <c r="D15676" s="254">
        <v>4.28</v>
      </c>
      <c r="E15676"/>
      <c r="F15676"/>
      <c r="G15676"/>
      <c r="H15676"/>
      <c r="I15676" s="489"/>
      <c r="J15676" s="1362"/>
      <c r="K15676" s="1362"/>
      <c r="L15676" s="1362"/>
    </row>
    <row r="15677" spans="1:12" x14ac:dyDescent="0.25">
      <c r="A15677">
        <v>97650</v>
      </c>
      <c r="B15677" t="s">
        <v>2304</v>
      </c>
      <c r="C15677" t="s">
        <v>297</v>
      </c>
      <c r="D15677" s="254">
        <v>7.37</v>
      </c>
      <c r="E15677"/>
      <c r="F15677"/>
      <c r="G15677"/>
      <c r="H15677"/>
      <c r="I15677" s="489"/>
      <c r="J15677" s="1362"/>
      <c r="K15677" s="1362"/>
      <c r="L15677" s="1362"/>
    </row>
    <row r="15678" spans="1:12" x14ac:dyDescent="0.25">
      <c r="A15678">
        <v>97651</v>
      </c>
      <c r="B15678" t="s">
        <v>2305</v>
      </c>
      <c r="C15678" t="s">
        <v>138</v>
      </c>
      <c r="D15678" s="254">
        <v>81.58</v>
      </c>
      <c r="E15678"/>
      <c r="F15678"/>
      <c r="G15678"/>
      <c r="H15678"/>
      <c r="I15678" s="489"/>
      <c r="J15678" s="1362"/>
      <c r="K15678" s="1362"/>
      <c r="L15678" s="1362"/>
    </row>
    <row r="15679" spans="1:12" x14ac:dyDescent="0.25">
      <c r="A15679">
        <v>97652</v>
      </c>
      <c r="B15679" t="s">
        <v>2306</v>
      </c>
      <c r="C15679" t="s">
        <v>138</v>
      </c>
      <c r="D15679" s="254">
        <v>184.96</v>
      </c>
      <c r="E15679"/>
      <c r="F15679"/>
      <c r="G15679"/>
      <c r="H15679"/>
      <c r="I15679" s="489"/>
      <c r="J15679" s="1362"/>
      <c r="K15679" s="1362"/>
      <c r="L15679" s="1362"/>
    </row>
    <row r="15680" spans="1:12" x14ac:dyDescent="0.25">
      <c r="A15680">
        <v>97653</v>
      </c>
      <c r="B15680" t="s">
        <v>2307</v>
      </c>
      <c r="C15680" t="s">
        <v>138</v>
      </c>
      <c r="D15680" s="254">
        <v>122.41</v>
      </c>
      <c r="E15680"/>
      <c r="F15680"/>
      <c r="G15680"/>
      <c r="H15680"/>
      <c r="I15680" s="489"/>
      <c r="J15680" s="1362"/>
      <c r="K15680" s="1362"/>
      <c r="L15680" s="1362"/>
    </row>
    <row r="15681" spans="1:12" x14ac:dyDescent="0.25">
      <c r="A15681">
        <v>97654</v>
      </c>
      <c r="B15681" t="s">
        <v>2308</v>
      </c>
      <c r="C15681" t="s">
        <v>138</v>
      </c>
      <c r="D15681" s="254">
        <v>150.72</v>
      </c>
      <c r="E15681"/>
      <c r="F15681"/>
      <c r="G15681"/>
      <c r="H15681"/>
      <c r="I15681" s="489"/>
      <c r="J15681" s="1362"/>
      <c r="K15681" s="1362"/>
      <c r="L15681" s="1362"/>
    </row>
    <row r="15682" spans="1:12" x14ac:dyDescent="0.25">
      <c r="A15682">
        <v>97655</v>
      </c>
      <c r="B15682" t="s">
        <v>2309</v>
      </c>
      <c r="C15682" t="s">
        <v>297</v>
      </c>
      <c r="D15682" s="254">
        <v>28.24</v>
      </c>
      <c r="E15682"/>
      <c r="F15682"/>
      <c r="G15682"/>
      <c r="H15682"/>
      <c r="I15682" s="489"/>
      <c r="J15682" s="1362"/>
      <c r="K15682" s="1362"/>
      <c r="L15682" s="1362"/>
    </row>
    <row r="15683" spans="1:12" x14ac:dyDescent="0.25">
      <c r="A15683">
        <v>97656</v>
      </c>
      <c r="B15683" t="s">
        <v>2310</v>
      </c>
      <c r="C15683" t="s">
        <v>138</v>
      </c>
      <c r="D15683" s="254">
        <v>267.79000000000002</v>
      </c>
      <c r="E15683"/>
      <c r="F15683"/>
      <c r="G15683"/>
      <c r="H15683"/>
      <c r="I15683" s="489"/>
      <c r="J15683" s="1362"/>
      <c r="K15683" s="1362"/>
      <c r="L15683" s="1362"/>
    </row>
    <row r="15684" spans="1:12" x14ac:dyDescent="0.25">
      <c r="A15684">
        <v>97657</v>
      </c>
      <c r="B15684" t="s">
        <v>2311</v>
      </c>
      <c r="C15684" t="s">
        <v>138</v>
      </c>
      <c r="D15684" s="254">
        <v>530.79</v>
      </c>
      <c r="E15684"/>
      <c r="F15684"/>
      <c r="G15684"/>
      <c r="H15684"/>
      <c r="I15684" s="489"/>
      <c r="J15684" s="1362"/>
      <c r="K15684" s="1362"/>
      <c r="L15684" s="1362"/>
    </row>
    <row r="15685" spans="1:12" x14ac:dyDescent="0.25">
      <c r="A15685">
        <v>97658</v>
      </c>
      <c r="B15685" t="s">
        <v>2312</v>
      </c>
      <c r="C15685" t="s">
        <v>138</v>
      </c>
      <c r="D15685" s="254">
        <v>187.85</v>
      </c>
      <c r="E15685"/>
      <c r="F15685"/>
      <c r="G15685"/>
      <c r="H15685"/>
      <c r="I15685" s="489"/>
      <c r="J15685" s="1362"/>
      <c r="K15685" s="1362"/>
      <c r="L15685" s="1362"/>
    </row>
    <row r="15686" spans="1:12" x14ac:dyDescent="0.25">
      <c r="A15686">
        <v>97659</v>
      </c>
      <c r="B15686" t="s">
        <v>2313</v>
      </c>
      <c r="C15686" t="s">
        <v>138</v>
      </c>
      <c r="D15686" s="254">
        <v>259.08999999999997</v>
      </c>
      <c r="E15686"/>
      <c r="F15686"/>
      <c r="G15686"/>
      <c r="H15686"/>
      <c r="I15686" s="489"/>
      <c r="J15686" s="1362"/>
      <c r="K15686" s="1362"/>
      <c r="L15686" s="1362"/>
    </row>
    <row r="15687" spans="1:12" x14ac:dyDescent="0.25">
      <c r="A15687">
        <v>97660</v>
      </c>
      <c r="B15687" t="s">
        <v>2314</v>
      </c>
      <c r="C15687" t="s">
        <v>138</v>
      </c>
      <c r="D15687" s="254">
        <v>0.72</v>
      </c>
      <c r="E15687"/>
      <c r="F15687"/>
      <c r="G15687"/>
      <c r="H15687"/>
      <c r="I15687" s="489"/>
      <c r="J15687" s="1362"/>
      <c r="K15687" s="1362"/>
      <c r="L15687" s="1362"/>
    </row>
    <row r="15688" spans="1:12" x14ac:dyDescent="0.25">
      <c r="A15688">
        <v>97661</v>
      </c>
      <c r="B15688" t="s">
        <v>2315</v>
      </c>
      <c r="C15688" t="s">
        <v>151</v>
      </c>
      <c r="D15688" s="254">
        <v>0.73</v>
      </c>
      <c r="E15688"/>
      <c r="F15688"/>
      <c r="G15688"/>
      <c r="H15688"/>
      <c r="I15688" s="489"/>
      <c r="J15688" s="1362"/>
      <c r="K15688" s="1362"/>
      <c r="L15688" s="1362"/>
    </row>
    <row r="15689" spans="1:12" x14ac:dyDescent="0.25">
      <c r="A15689">
        <v>97662</v>
      </c>
      <c r="B15689" t="s">
        <v>2316</v>
      </c>
      <c r="C15689" t="s">
        <v>151</v>
      </c>
      <c r="D15689" s="254">
        <v>0.49</v>
      </c>
      <c r="E15689"/>
      <c r="F15689"/>
      <c r="G15689"/>
      <c r="H15689"/>
      <c r="I15689" s="489"/>
      <c r="J15689" s="1362"/>
      <c r="K15689" s="1362"/>
      <c r="L15689" s="1362"/>
    </row>
    <row r="15690" spans="1:12" x14ac:dyDescent="0.25">
      <c r="A15690">
        <v>97663</v>
      </c>
      <c r="B15690" t="s">
        <v>2317</v>
      </c>
      <c r="C15690" t="s">
        <v>138</v>
      </c>
      <c r="D15690" s="254">
        <v>12.35</v>
      </c>
      <c r="E15690"/>
      <c r="F15690"/>
      <c r="G15690"/>
      <c r="H15690"/>
      <c r="I15690" s="489"/>
      <c r="J15690" s="1362"/>
      <c r="K15690" s="1362"/>
      <c r="L15690" s="1362"/>
    </row>
    <row r="15691" spans="1:12" x14ac:dyDescent="0.25">
      <c r="A15691">
        <v>97664</v>
      </c>
      <c r="B15691" t="s">
        <v>2318</v>
      </c>
      <c r="C15691" t="s">
        <v>138</v>
      </c>
      <c r="D15691" s="254">
        <v>1.53</v>
      </c>
      <c r="E15691"/>
      <c r="F15691"/>
      <c r="G15691"/>
      <c r="H15691"/>
      <c r="I15691" s="489"/>
      <c r="J15691" s="1362"/>
      <c r="K15691" s="1362"/>
      <c r="L15691" s="1362"/>
    </row>
    <row r="15692" spans="1:12" x14ac:dyDescent="0.25">
      <c r="A15692">
        <v>97665</v>
      </c>
      <c r="B15692" t="s">
        <v>2319</v>
      </c>
      <c r="C15692" t="s">
        <v>138</v>
      </c>
      <c r="D15692" s="254">
        <v>1.4</v>
      </c>
      <c r="E15692"/>
      <c r="F15692"/>
      <c r="G15692"/>
      <c r="H15692"/>
      <c r="I15692" s="489"/>
      <c r="J15692" s="1362"/>
      <c r="K15692" s="1362"/>
      <c r="L15692" s="1362"/>
    </row>
    <row r="15693" spans="1:12" x14ac:dyDescent="0.25">
      <c r="A15693">
        <v>97666</v>
      </c>
      <c r="B15693" t="s">
        <v>2320</v>
      </c>
      <c r="C15693" t="s">
        <v>138</v>
      </c>
      <c r="D15693" s="254">
        <v>9.01</v>
      </c>
      <c r="E15693"/>
      <c r="F15693"/>
      <c r="G15693"/>
      <c r="H15693"/>
      <c r="I15693" s="489"/>
      <c r="J15693" s="1362"/>
      <c r="K15693" s="1362"/>
      <c r="L15693" s="1362"/>
    </row>
    <row r="15694" spans="1:12" x14ac:dyDescent="0.25">
      <c r="A15694">
        <v>95967</v>
      </c>
      <c r="B15694" t="s">
        <v>2321</v>
      </c>
      <c r="C15694" t="s">
        <v>588</v>
      </c>
      <c r="D15694" s="254">
        <v>158.38999999999999</v>
      </c>
      <c r="E15694"/>
      <c r="F15694"/>
      <c r="G15694"/>
      <c r="H15694"/>
      <c r="I15694" s="489"/>
      <c r="J15694" s="1362"/>
      <c r="K15694" s="1362"/>
      <c r="L15694" s="1362"/>
    </row>
    <row r="15695" spans="1:12" x14ac:dyDescent="0.25">
      <c r="A15695">
        <v>99058</v>
      </c>
      <c r="B15695" t="s">
        <v>3212</v>
      </c>
      <c r="C15695" t="s">
        <v>138</v>
      </c>
      <c r="D15695" s="254">
        <v>9.02</v>
      </c>
      <c r="E15695"/>
      <c r="F15695"/>
      <c r="G15695"/>
      <c r="H15695"/>
      <c r="I15695" s="489"/>
      <c r="J15695" s="1362"/>
      <c r="K15695" s="1362"/>
      <c r="L15695" s="1362"/>
    </row>
    <row r="15696" spans="1:12" x14ac:dyDescent="0.25">
      <c r="A15696">
        <v>99059</v>
      </c>
      <c r="B15696" t="s">
        <v>3213</v>
      </c>
      <c r="C15696" t="s">
        <v>151</v>
      </c>
      <c r="D15696" s="254">
        <v>66.290000000000006</v>
      </c>
      <c r="E15696"/>
      <c r="F15696"/>
      <c r="G15696"/>
      <c r="H15696"/>
      <c r="I15696" s="489"/>
      <c r="J15696" s="1362"/>
      <c r="K15696" s="1362"/>
      <c r="L15696" s="1362"/>
    </row>
    <row r="15697" spans="1:12" x14ac:dyDescent="0.25">
      <c r="A15697">
        <v>99060</v>
      </c>
      <c r="B15697" t="s">
        <v>4452</v>
      </c>
      <c r="C15697" t="s">
        <v>138</v>
      </c>
      <c r="D15697" s="254">
        <v>181.7</v>
      </c>
      <c r="E15697"/>
      <c r="F15697"/>
      <c r="G15697"/>
      <c r="H15697"/>
      <c r="I15697" s="489"/>
      <c r="J15697" s="1362"/>
      <c r="K15697" s="1362"/>
      <c r="L15697" s="1362"/>
    </row>
    <row r="15698" spans="1:12" x14ac:dyDescent="0.25">
      <c r="A15698">
        <v>99061</v>
      </c>
      <c r="B15698" t="s">
        <v>4453</v>
      </c>
      <c r="C15698" t="s">
        <v>138</v>
      </c>
      <c r="D15698" s="254">
        <v>118.33</v>
      </c>
      <c r="E15698"/>
      <c r="F15698"/>
      <c r="G15698"/>
      <c r="H15698"/>
      <c r="I15698" s="489"/>
      <c r="J15698" s="1362"/>
      <c r="K15698" s="1362"/>
      <c r="L15698" s="1362"/>
    </row>
    <row r="15699" spans="1:12" x14ac:dyDescent="0.25">
      <c r="A15699">
        <v>99062</v>
      </c>
      <c r="B15699" t="s">
        <v>3214</v>
      </c>
      <c r="C15699" t="s">
        <v>138</v>
      </c>
      <c r="D15699" s="254">
        <v>2.64</v>
      </c>
      <c r="E15699"/>
      <c r="F15699"/>
      <c r="G15699"/>
      <c r="H15699"/>
      <c r="I15699" s="489"/>
      <c r="J15699" s="1362"/>
      <c r="K15699" s="1362"/>
      <c r="L15699" s="1362"/>
    </row>
    <row r="15700" spans="1:12" x14ac:dyDescent="0.25">
      <c r="A15700">
        <v>99063</v>
      </c>
      <c r="B15700" t="s">
        <v>3215</v>
      </c>
      <c r="C15700" t="s">
        <v>151</v>
      </c>
      <c r="D15700" s="254">
        <v>5.91</v>
      </c>
      <c r="E15700"/>
      <c r="F15700"/>
      <c r="G15700"/>
      <c r="H15700"/>
      <c r="I15700" s="489"/>
      <c r="J15700" s="1362"/>
      <c r="K15700" s="1362"/>
      <c r="L15700" s="1362"/>
    </row>
    <row r="15701" spans="1:12" x14ac:dyDescent="0.25">
      <c r="A15701">
        <v>99064</v>
      </c>
      <c r="B15701" t="s">
        <v>3216</v>
      </c>
      <c r="C15701" t="s">
        <v>151</v>
      </c>
      <c r="D15701" s="254">
        <v>0.45</v>
      </c>
      <c r="E15701"/>
      <c r="F15701"/>
      <c r="G15701"/>
      <c r="H15701"/>
      <c r="I15701" s="489"/>
      <c r="J15701" s="1362"/>
      <c r="K15701" s="1362"/>
      <c r="L15701" s="1362"/>
    </row>
    <row r="15702" spans="1:12" x14ac:dyDescent="0.25">
      <c r="A15702">
        <v>93588</v>
      </c>
      <c r="B15702" t="s">
        <v>4935</v>
      </c>
      <c r="C15702" t="s">
        <v>1941</v>
      </c>
      <c r="D15702" s="254">
        <v>3.01</v>
      </c>
      <c r="E15702"/>
      <c r="F15702"/>
      <c r="G15702"/>
      <c r="H15702"/>
      <c r="I15702" s="489"/>
      <c r="J15702" s="1362"/>
      <c r="K15702" s="1362"/>
      <c r="L15702" s="1362"/>
    </row>
    <row r="15703" spans="1:12" x14ac:dyDescent="0.25">
      <c r="A15703">
        <v>93589</v>
      </c>
      <c r="B15703" t="s">
        <v>4936</v>
      </c>
      <c r="C15703" t="s">
        <v>1941</v>
      </c>
      <c r="D15703" s="254">
        <v>2.59</v>
      </c>
      <c r="E15703"/>
      <c r="F15703"/>
      <c r="G15703"/>
      <c r="H15703"/>
      <c r="I15703" s="489"/>
      <c r="J15703" s="1362"/>
      <c r="K15703" s="1362"/>
      <c r="L15703" s="1362"/>
    </row>
    <row r="15704" spans="1:12" x14ac:dyDescent="0.25">
      <c r="A15704">
        <v>93590</v>
      </c>
      <c r="B15704" t="s">
        <v>4937</v>
      </c>
      <c r="C15704" t="s">
        <v>1941</v>
      </c>
      <c r="D15704" s="254">
        <v>0.93</v>
      </c>
      <c r="E15704"/>
      <c r="F15704"/>
      <c r="G15704"/>
      <c r="H15704"/>
      <c r="I15704" s="489"/>
      <c r="J15704" s="1362"/>
      <c r="K15704" s="1362"/>
      <c r="L15704" s="1362"/>
    </row>
    <row r="15705" spans="1:12" x14ac:dyDescent="0.25">
      <c r="A15705">
        <v>93591</v>
      </c>
      <c r="B15705" t="s">
        <v>4938</v>
      </c>
      <c r="C15705" t="s">
        <v>1941</v>
      </c>
      <c r="D15705" s="254">
        <v>2.57</v>
      </c>
      <c r="E15705"/>
      <c r="F15705"/>
      <c r="G15705"/>
      <c r="H15705"/>
      <c r="I15705" s="489"/>
      <c r="J15705" s="1362"/>
      <c r="K15705" s="1362"/>
      <c r="L15705" s="1362"/>
    </row>
    <row r="15706" spans="1:12" x14ac:dyDescent="0.25">
      <c r="A15706">
        <v>93592</v>
      </c>
      <c r="B15706" t="s">
        <v>4939</v>
      </c>
      <c r="C15706" t="s">
        <v>1941</v>
      </c>
      <c r="D15706" s="254">
        <v>2.2200000000000002</v>
      </c>
      <c r="E15706"/>
      <c r="F15706"/>
      <c r="G15706"/>
      <c r="H15706"/>
      <c r="I15706" s="489"/>
      <c r="J15706" s="1362"/>
      <c r="K15706" s="1362"/>
      <c r="L15706" s="1362"/>
    </row>
    <row r="15707" spans="1:12" x14ac:dyDescent="0.25">
      <c r="A15707">
        <v>93593</v>
      </c>
      <c r="B15707" t="s">
        <v>4940</v>
      </c>
      <c r="C15707" t="s">
        <v>1941</v>
      </c>
      <c r="D15707" s="254">
        <v>0.81</v>
      </c>
      <c r="E15707"/>
      <c r="F15707"/>
      <c r="G15707"/>
      <c r="H15707"/>
      <c r="I15707" s="489"/>
      <c r="J15707" s="1362"/>
      <c r="K15707" s="1362"/>
      <c r="L15707" s="1362"/>
    </row>
    <row r="15708" spans="1:12" x14ac:dyDescent="0.25">
      <c r="A15708">
        <v>93594</v>
      </c>
      <c r="B15708" t="s">
        <v>4941</v>
      </c>
      <c r="C15708" t="s">
        <v>1939</v>
      </c>
      <c r="D15708" s="254">
        <v>2.0099999999999998</v>
      </c>
      <c r="E15708"/>
      <c r="F15708"/>
      <c r="G15708"/>
      <c r="H15708"/>
      <c r="I15708" s="489"/>
      <c r="J15708" s="1362"/>
      <c r="K15708" s="1362"/>
      <c r="L15708" s="1362"/>
    </row>
    <row r="15709" spans="1:12" x14ac:dyDescent="0.25">
      <c r="A15709">
        <v>93595</v>
      </c>
      <c r="B15709" t="s">
        <v>4942</v>
      </c>
      <c r="C15709" t="s">
        <v>1939</v>
      </c>
      <c r="D15709" s="254">
        <v>1.74</v>
      </c>
      <c r="E15709"/>
      <c r="F15709"/>
      <c r="G15709"/>
      <c r="H15709"/>
      <c r="I15709" s="489"/>
      <c r="J15709" s="1362"/>
      <c r="K15709" s="1362"/>
      <c r="L15709" s="1362"/>
    </row>
    <row r="15710" spans="1:12" x14ac:dyDescent="0.25">
      <c r="A15710">
        <v>93596</v>
      </c>
      <c r="B15710" t="s">
        <v>4943</v>
      </c>
      <c r="C15710" t="s">
        <v>1939</v>
      </c>
      <c r="D15710" s="254">
        <v>0.62</v>
      </c>
      <c r="E15710"/>
      <c r="F15710"/>
      <c r="G15710"/>
      <c r="H15710"/>
      <c r="I15710" s="489"/>
      <c r="J15710" s="1362"/>
      <c r="K15710" s="1362"/>
      <c r="L15710" s="1362"/>
    </row>
    <row r="15711" spans="1:12" x14ac:dyDescent="0.25">
      <c r="A15711">
        <v>93597</v>
      </c>
      <c r="B15711" t="s">
        <v>4944</v>
      </c>
      <c r="C15711" t="s">
        <v>1939</v>
      </c>
      <c r="D15711" s="254">
        <v>1.71</v>
      </c>
      <c r="E15711"/>
      <c r="F15711"/>
      <c r="G15711"/>
      <c r="H15711"/>
      <c r="I15711" s="489"/>
      <c r="J15711" s="1362"/>
      <c r="K15711" s="1362"/>
      <c r="L15711" s="1362"/>
    </row>
    <row r="15712" spans="1:12" x14ac:dyDescent="0.25">
      <c r="A15712">
        <v>93598</v>
      </c>
      <c r="B15712" t="s">
        <v>4945</v>
      </c>
      <c r="C15712" t="s">
        <v>1939</v>
      </c>
      <c r="D15712" s="254">
        <v>1.48</v>
      </c>
      <c r="E15712"/>
      <c r="F15712"/>
      <c r="G15712"/>
      <c r="H15712"/>
      <c r="I15712" s="489"/>
      <c r="J15712" s="1362"/>
      <c r="K15712" s="1362"/>
      <c r="L15712" s="1362"/>
    </row>
    <row r="15713" spans="1:12" x14ac:dyDescent="0.25">
      <c r="A15713">
        <v>93599</v>
      </c>
      <c r="B15713" t="s">
        <v>4946</v>
      </c>
      <c r="C15713" t="s">
        <v>1939</v>
      </c>
      <c r="D15713" s="254">
        <v>0.54</v>
      </c>
      <c r="E15713"/>
      <c r="F15713"/>
      <c r="G15713"/>
      <c r="H15713"/>
      <c r="I15713" s="489"/>
      <c r="J15713" s="1362"/>
      <c r="K15713" s="1362"/>
      <c r="L15713" s="1362"/>
    </row>
    <row r="15714" spans="1:12" x14ac:dyDescent="0.25">
      <c r="A15714">
        <v>95425</v>
      </c>
      <c r="B15714" t="s">
        <v>4947</v>
      </c>
      <c r="C15714" t="s">
        <v>1941</v>
      </c>
      <c r="D15714" s="254">
        <v>2.2000000000000002</v>
      </c>
      <c r="E15714"/>
      <c r="F15714"/>
      <c r="G15714"/>
      <c r="H15714"/>
      <c r="I15714" s="489"/>
      <c r="J15714" s="1362"/>
      <c r="K15714" s="1362"/>
      <c r="L15714" s="1362"/>
    </row>
    <row r="15715" spans="1:12" x14ac:dyDescent="0.25">
      <c r="A15715">
        <v>95426</v>
      </c>
      <c r="B15715" t="s">
        <v>4948</v>
      </c>
      <c r="C15715" t="s">
        <v>1941</v>
      </c>
      <c r="D15715" s="254">
        <v>1.9</v>
      </c>
      <c r="E15715"/>
      <c r="F15715"/>
      <c r="G15715"/>
      <c r="H15715"/>
      <c r="I15715" s="489"/>
      <c r="J15715" s="1362"/>
      <c r="K15715" s="1362"/>
      <c r="L15715" s="1362"/>
    </row>
    <row r="15716" spans="1:12" x14ac:dyDescent="0.25">
      <c r="A15716">
        <v>95427</v>
      </c>
      <c r="B15716" t="s">
        <v>4949</v>
      </c>
      <c r="C15716" t="s">
        <v>1941</v>
      </c>
      <c r="D15716" s="254">
        <v>0.72</v>
      </c>
      <c r="E15716"/>
      <c r="F15716"/>
      <c r="G15716"/>
      <c r="H15716"/>
      <c r="I15716" s="489"/>
      <c r="J15716" s="1362"/>
      <c r="K15716" s="1362"/>
      <c r="L15716" s="1362"/>
    </row>
    <row r="15717" spans="1:12" x14ac:dyDescent="0.25">
      <c r="A15717">
        <v>95428</v>
      </c>
      <c r="B15717" t="s">
        <v>4950</v>
      </c>
      <c r="C15717" t="s">
        <v>1939</v>
      </c>
      <c r="D15717" s="254">
        <v>1.48</v>
      </c>
      <c r="E15717"/>
      <c r="F15717"/>
      <c r="G15717"/>
      <c r="H15717"/>
      <c r="I15717" s="489"/>
      <c r="J15717" s="1362"/>
      <c r="K15717" s="1362"/>
      <c r="L15717" s="1362"/>
    </row>
    <row r="15718" spans="1:12" x14ac:dyDescent="0.25">
      <c r="A15718">
        <v>95429</v>
      </c>
      <c r="B15718" t="s">
        <v>4951</v>
      </c>
      <c r="C15718" t="s">
        <v>1939</v>
      </c>
      <c r="D15718" s="254">
        <v>1.29</v>
      </c>
      <c r="E15718"/>
      <c r="F15718"/>
      <c r="G15718"/>
      <c r="H15718"/>
      <c r="I15718" s="489"/>
      <c r="J15718" s="1362"/>
      <c r="K15718" s="1362"/>
      <c r="L15718" s="1362"/>
    </row>
    <row r="15719" spans="1:12" x14ac:dyDescent="0.25">
      <c r="A15719">
        <v>95430</v>
      </c>
      <c r="B15719" t="s">
        <v>4952</v>
      </c>
      <c r="C15719" t="s">
        <v>1939</v>
      </c>
      <c r="D15719" s="254">
        <v>0.45</v>
      </c>
      <c r="E15719"/>
      <c r="F15719"/>
      <c r="G15719"/>
      <c r="H15719"/>
      <c r="I15719" s="489"/>
      <c r="J15719" s="1362"/>
      <c r="K15719" s="1362"/>
      <c r="L15719" s="1362"/>
    </row>
    <row r="15720" spans="1:12" x14ac:dyDescent="0.25">
      <c r="A15720">
        <v>95875</v>
      </c>
      <c r="B15720" t="s">
        <v>4953</v>
      </c>
      <c r="C15720" t="s">
        <v>1941</v>
      </c>
      <c r="D15720" s="254">
        <v>2.38</v>
      </c>
      <c r="E15720"/>
      <c r="F15720"/>
      <c r="G15720"/>
      <c r="H15720"/>
      <c r="I15720" s="489"/>
      <c r="J15720" s="1362"/>
      <c r="K15720" s="1362"/>
      <c r="L15720" s="1362"/>
    </row>
    <row r="15721" spans="1:12" x14ac:dyDescent="0.25">
      <c r="A15721">
        <v>95876</v>
      </c>
      <c r="B15721" t="s">
        <v>4954</v>
      </c>
      <c r="C15721" t="s">
        <v>1941</v>
      </c>
      <c r="D15721" s="254">
        <v>2.0099999999999998</v>
      </c>
      <c r="E15721"/>
      <c r="F15721"/>
      <c r="G15721"/>
      <c r="H15721"/>
      <c r="I15721" s="489"/>
      <c r="J15721" s="1362"/>
      <c r="K15721" s="1362"/>
      <c r="L15721" s="1362"/>
    </row>
    <row r="15722" spans="1:12" x14ac:dyDescent="0.25">
      <c r="A15722">
        <v>95877</v>
      </c>
      <c r="B15722" t="s">
        <v>4955</v>
      </c>
      <c r="C15722" t="s">
        <v>1941</v>
      </c>
      <c r="D15722" s="254">
        <v>1.75</v>
      </c>
      <c r="E15722"/>
      <c r="F15722"/>
      <c r="G15722"/>
      <c r="H15722"/>
      <c r="I15722" s="489"/>
      <c r="J15722" s="1362"/>
      <c r="K15722" s="1362"/>
      <c r="L15722" s="1362"/>
    </row>
    <row r="15723" spans="1:12" x14ac:dyDescent="0.25">
      <c r="A15723">
        <v>95878</v>
      </c>
      <c r="B15723" t="s">
        <v>4956</v>
      </c>
      <c r="C15723" t="s">
        <v>1939</v>
      </c>
      <c r="D15723" s="254">
        <v>1.6</v>
      </c>
      <c r="E15723"/>
      <c r="F15723"/>
      <c r="G15723"/>
      <c r="H15723"/>
      <c r="I15723" s="489"/>
      <c r="J15723" s="1362"/>
      <c r="K15723" s="1362"/>
      <c r="L15723" s="1362"/>
    </row>
    <row r="15724" spans="1:12" x14ac:dyDescent="0.25">
      <c r="A15724">
        <v>95879</v>
      </c>
      <c r="B15724" t="s">
        <v>4957</v>
      </c>
      <c r="C15724" t="s">
        <v>1939</v>
      </c>
      <c r="D15724" s="254">
        <v>1.36</v>
      </c>
      <c r="E15724"/>
      <c r="F15724"/>
      <c r="G15724"/>
      <c r="H15724"/>
      <c r="I15724" s="489"/>
      <c r="J15724" s="1362"/>
      <c r="K15724" s="1362"/>
      <c r="L15724" s="1362"/>
    </row>
    <row r="15725" spans="1:12" x14ac:dyDescent="0.25">
      <c r="A15725">
        <v>95880</v>
      </c>
      <c r="B15725" t="s">
        <v>4958</v>
      </c>
      <c r="C15725" t="s">
        <v>1939</v>
      </c>
      <c r="D15725" s="254">
        <v>1.17</v>
      </c>
      <c r="E15725"/>
      <c r="F15725"/>
      <c r="G15725"/>
      <c r="H15725"/>
      <c r="I15725" s="489"/>
      <c r="J15725" s="1362"/>
      <c r="K15725" s="1362"/>
      <c r="L15725" s="1362"/>
    </row>
    <row r="15726" spans="1:12" x14ac:dyDescent="0.25">
      <c r="A15726">
        <v>97912</v>
      </c>
      <c r="B15726" t="s">
        <v>4959</v>
      </c>
      <c r="C15726" t="s">
        <v>1941</v>
      </c>
      <c r="D15726" s="254">
        <v>3.48</v>
      </c>
      <c r="E15726"/>
      <c r="F15726"/>
      <c r="G15726"/>
      <c r="H15726"/>
      <c r="I15726" s="489"/>
      <c r="J15726" s="1362"/>
      <c r="K15726" s="1362"/>
      <c r="L15726" s="1362"/>
    </row>
    <row r="15727" spans="1:12" x14ac:dyDescent="0.25">
      <c r="A15727">
        <v>97913</v>
      </c>
      <c r="B15727" t="s">
        <v>4960</v>
      </c>
      <c r="C15727" t="s">
        <v>1941</v>
      </c>
      <c r="D15727" s="254">
        <v>3.02</v>
      </c>
      <c r="E15727"/>
      <c r="F15727"/>
      <c r="G15727"/>
      <c r="H15727"/>
      <c r="I15727" s="489"/>
      <c r="J15727" s="1362"/>
      <c r="K15727" s="1362"/>
      <c r="L15727" s="1362"/>
    </row>
    <row r="15728" spans="1:12" x14ac:dyDescent="0.25">
      <c r="A15728">
        <v>97914</v>
      </c>
      <c r="B15728" t="s">
        <v>4961</v>
      </c>
      <c r="C15728" t="s">
        <v>1941</v>
      </c>
      <c r="D15728" s="254">
        <v>2.76</v>
      </c>
      <c r="E15728"/>
      <c r="F15728"/>
      <c r="G15728"/>
      <c r="H15728"/>
      <c r="I15728" s="489"/>
      <c r="J15728" s="1362"/>
      <c r="K15728" s="1362"/>
      <c r="L15728" s="1362"/>
    </row>
    <row r="15729" spans="1:12" x14ac:dyDescent="0.25">
      <c r="A15729">
        <v>97915</v>
      </c>
      <c r="B15729" t="s">
        <v>4962</v>
      </c>
      <c r="C15729" t="s">
        <v>1941</v>
      </c>
      <c r="D15729" s="254">
        <v>1.1000000000000001</v>
      </c>
      <c r="E15729"/>
      <c r="F15729"/>
      <c r="G15729"/>
      <c r="H15729"/>
      <c r="I15729" s="489"/>
      <c r="J15729" s="1362"/>
      <c r="K15729" s="1362"/>
      <c r="L15729" s="1362"/>
    </row>
    <row r="15730" spans="1:12" x14ac:dyDescent="0.25">
      <c r="A15730">
        <v>100937</v>
      </c>
      <c r="B15730" t="s">
        <v>4963</v>
      </c>
      <c r="C15730" t="s">
        <v>1941</v>
      </c>
      <c r="D15730" s="254">
        <v>8.3000000000000007</v>
      </c>
      <c r="E15730"/>
      <c r="F15730"/>
      <c r="G15730"/>
      <c r="H15730"/>
      <c r="I15730" s="489"/>
      <c r="J15730" s="1362"/>
      <c r="K15730" s="1362"/>
      <c r="L15730" s="1362"/>
    </row>
    <row r="15731" spans="1:12" x14ac:dyDescent="0.25">
      <c r="A15731">
        <v>100938</v>
      </c>
      <c r="B15731" t="s">
        <v>4964</v>
      </c>
      <c r="C15731" t="s">
        <v>1941</v>
      </c>
      <c r="D15731" s="254">
        <v>7.18</v>
      </c>
      <c r="E15731"/>
      <c r="F15731"/>
      <c r="G15731"/>
      <c r="H15731"/>
      <c r="I15731" s="489"/>
      <c r="J15731" s="1362"/>
      <c r="K15731" s="1362"/>
      <c r="L15731" s="1362"/>
    </row>
    <row r="15732" spans="1:12" x14ac:dyDescent="0.25">
      <c r="A15732">
        <v>100939</v>
      </c>
      <c r="B15732" t="s">
        <v>4965</v>
      </c>
      <c r="C15732" t="s">
        <v>1941</v>
      </c>
      <c r="D15732" s="254">
        <v>6.15</v>
      </c>
      <c r="E15732"/>
      <c r="F15732"/>
      <c r="G15732"/>
      <c r="H15732"/>
      <c r="I15732" s="489"/>
      <c r="J15732" s="1362"/>
      <c r="K15732" s="1362"/>
      <c r="L15732" s="1362"/>
    </row>
    <row r="15733" spans="1:12" x14ac:dyDescent="0.25">
      <c r="A15733">
        <v>100940</v>
      </c>
      <c r="B15733" t="s">
        <v>4966</v>
      </c>
      <c r="C15733" t="s">
        <v>1941</v>
      </c>
      <c r="D15733" s="254">
        <v>5.3</v>
      </c>
      <c r="E15733"/>
      <c r="F15733"/>
      <c r="G15733"/>
      <c r="H15733"/>
      <c r="I15733" s="489"/>
      <c r="J15733" s="1362"/>
      <c r="K15733" s="1362"/>
      <c r="L15733" s="1362"/>
    </row>
    <row r="15734" spans="1:12" x14ac:dyDescent="0.25">
      <c r="A15734">
        <v>100941</v>
      </c>
      <c r="B15734" t="s">
        <v>4967</v>
      </c>
      <c r="C15734" t="s">
        <v>1939</v>
      </c>
      <c r="D15734" s="254">
        <v>5.53</v>
      </c>
      <c r="E15734"/>
      <c r="F15734"/>
      <c r="G15734"/>
      <c r="H15734"/>
      <c r="I15734" s="489"/>
      <c r="J15734" s="1362"/>
      <c r="K15734" s="1362"/>
      <c r="L15734" s="1362"/>
    </row>
    <row r="15735" spans="1:12" x14ac:dyDescent="0.25">
      <c r="A15735">
        <v>100942</v>
      </c>
      <c r="B15735" t="s">
        <v>4968</v>
      </c>
      <c r="C15735" t="s">
        <v>1939</v>
      </c>
      <c r="D15735" s="254">
        <v>4.8</v>
      </c>
      <c r="E15735"/>
      <c r="F15735"/>
      <c r="G15735"/>
      <c r="H15735"/>
      <c r="I15735" s="489"/>
      <c r="J15735" s="1362"/>
      <c r="K15735" s="1362"/>
      <c r="L15735" s="1362"/>
    </row>
    <row r="15736" spans="1:12" x14ac:dyDescent="0.25">
      <c r="A15736">
        <v>100943</v>
      </c>
      <c r="B15736" t="s">
        <v>4969</v>
      </c>
      <c r="C15736" t="s">
        <v>1939</v>
      </c>
      <c r="D15736" s="254">
        <v>4.08</v>
      </c>
      <c r="E15736"/>
      <c r="F15736"/>
      <c r="G15736"/>
      <c r="H15736"/>
      <c r="I15736" s="489"/>
      <c r="J15736" s="1362"/>
      <c r="K15736" s="1362"/>
      <c r="L15736" s="1362"/>
    </row>
    <row r="15737" spans="1:12" x14ac:dyDescent="0.25">
      <c r="A15737">
        <v>100944</v>
      </c>
      <c r="B15737" t="s">
        <v>4970</v>
      </c>
      <c r="C15737" t="s">
        <v>1939</v>
      </c>
      <c r="D15737" s="254">
        <v>3.54</v>
      </c>
      <c r="E15737"/>
      <c r="F15737"/>
      <c r="G15737"/>
      <c r="H15737"/>
      <c r="I15737" s="489"/>
      <c r="J15737" s="1362"/>
      <c r="K15737" s="1362"/>
      <c r="L15737" s="1362"/>
    </row>
    <row r="15738" spans="1:12" x14ac:dyDescent="0.25">
      <c r="A15738">
        <v>100945</v>
      </c>
      <c r="B15738" t="s">
        <v>4971</v>
      </c>
      <c r="C15738" t="s">
        <v>1939</v>
      </c>
      <c r="D15738" s="254">
        <v>2.74</v>
      </c>
      <c r="E15738"/>
      <c r="F15738"/>
      <c r="G15738"/>
      <c r="H15738"/>
      <c r="I15738" s="489"/>
      <c r="J15738" s="1362"/>
      <c r="K15738" s="1362"/>
      <c r="L15738" s="1362"/>
    </row>
    <row r="15739" spans="1:12" x14ac:dyDescent="0.25">
      <c r="A15739">
        <v>100946</v>
      </c>
      <c r="B15739" t="s">
        <v>4972</v>
      </c>
      <c r="C15739" t="s">
        <v>1939</v>
      </c>
      <c r="D15739" s="254">
        <v>2.36</v>
      </c>
      <c r="E15739"/>
      <c r="F15739"/>
      <c r="G15739"/>
      <c r="H15739"/>
      <c r="I15739" s="489"/>
      <c r="J15739" s="1362"/>
      <c r="K15739" s="1362"/>
      <c r="L15739" s="1362"/>
    </row>
    <row r="15740" spans="1:12" x14ac:dyDescent="0.25">
      <c r="A15740">
        <v>100947</v>
      </c>
      <c r="B15740" t="s">
        <v>4973</v>
      </c>
      <c r="C15740" t="s">
        <v>1939</v>
      </c>
      <c r="D15740" s="254">
        <v>2.1800000000000002</v>
      </c>
      <c r="E15740"/>
      <c r="F15740"/>
      <c r="G15740"/>
      <c r="H15740"/>
      <c r="I15740" s="489"/>
      <c r="J15740" s="1362"/>
      <c r="K15740" s="1362"/>
      <c r="L15740" s="1362"/>
    </row>
    <row r="15741" spans="1:12" x14ac:dyDescent="0.25">
      <c r="A15741">
        <v>100948</v>
      </c>
      <c r="B15741" t="s">
        <v>4974</v>
      </c>
      <c r="C15741" t="s">
        <v>1939</v>
      </c>
      <c r="D15741" s="254">
        <v>0.86</v>
      </c>
      <c r="E15741"/>
      <c r="F15741"/>
      <c r="G15741"/>
      <c r="H15741"/>
      <c r="I15741" s="489"/>
      <c r="J15741" s="1362"/>
      <c r="K15741" s="1362"/>
      <c r="L15741" s="1362"/>
    </row>
    <row r="15742" spans="1:12" x14ac:dyDescent="0.25">
      <c r="A15742">
        <v>100949</v>
      </c>
      <c r="B15742" t="s">
        <v>4975</v>
      </c>
      <c r="C15742" t="s">
        <v>1939</v>
      </c>
      <c r="D15742" s="254">
        <v>6.54</v>
      </c>
      <c r="E15742"/>
      <c r="F15742"/>
      <c r="G15742"/>
      <c r="H15742"/>
      <c r="I15742" s="489"/>
      <c r="J15742" s="1362"/>
      <c r="K15742" s="1362"/>
      <c r="L15742" s="1362"/>
    </row>
    <row r="15743" spans="1:12" x14ac:dyDescent="0.25">
      <c r="A15743">
        <v>100950</v>
      </c>
      <c r="B15743" t="s">
        <v>4976</v>
      </c>
      <c r="C15743" t="s">
        <v>1939</v>
      </c>
      <c r="D15743" s="254">
        <v>3.55</v>
      </c>
      <c r="E15743"/>
      <c r="F15743"/>
      <c r="G15743"/>
      <c r="H15743"/>
      <c r="I15743" s="489"/>
      <c r="J15743" s="1362"/>
      <c r="K15743" s="1362"/>
      <c r="L15743" s="1362"/>
    </row>
    <row r="15744" spans="1:12" x14ac:dyDescent="0.25">
      <c r="A15744">
        <v>100951</v>
      </c>
      <c r="B15744" t="s">
        <v>4977</v>
      </c>
      <c r="C15744" t="s">
        <v>1939</v>
      </c>
      <c r="D15744" s="254">
        <v>3.06</v>
      </c>
      <c r="E15744"/>
      <c r="F15744"/>
      <c r="G15744"/>
      <c r="H15744"/>
      <c r="I15744" s="489"/>
      <c r="J15744" s="1362"/>
      <c r="K15744" s="1362"/>
      <c r="L15744" s="1362"/>
    </row>
    <row r="15745" spans="1:12" x14ac:dyDescent="0.25">
      <c r="A15745">
        <v>100952</v>
      </c>
      <c r="B15745" t="s">
        <v>4978</v>
      </c>
      <c r="C15745" t="s">
        <v>1939</v>
      </c>
      <c r="D15745" s="254">
        <v>2.82</v>
      </c>
      <c r="E15745"/>
      <c r="F15745"/>
      <c r="G15745"/>
      <c r="H15745"/>
      <c r="I15745" s="489"/>
      <c r="J15745" s="1362"/>
      <c r="K15745" s="1362"/>
      <c r="L15745" s="1362"/>
    </row>
    <row r="15746" spans="1:12" x14ac:dyDescent="0.25">
      <c r="A15746">
        <v>100953</v>
      </c>
      <c r="B15746" t="s">
        <v>4979</v>
      </c>
      <c r="C15746" t="s">
        <v>1939</v>
      </c>
      <c r="D15746" s="254">
        <v>1.1200000000000001</v>
      </c>
      <c r="E15746"/>
      <c r="F15746"/>
      <c r="G15746"/>
      <c r="H15746"/>
      <c r="I15746" s="489"/>
      <c r="J15746" s="1362"/>
      <c r="K15746" s="1362"/>
      <c r="L15746" s="1362"/>
    </row>
    <row r="15747" spans="1:12" x14ac:dyDescent="0.25">
      <c r="A15747">
        <v>100954</v>
      </c>
      <c r="B15747" t="s">
        <v>4980</v>
      </c>
      <c r="C15747" t="s">
        <v>1939</v>
      </c>
      <c r="D15747" s="254">
        <v>8.44</v>
      </c>
      <c r="E15747"/>
      <c r="F15747"/>
      <c r="G15747"/>
      <c r="H15747"/>
      <c r="I15747" s="489"/>
      <c r="J15747" s="1362"/>
      <c r="K15747" s="1362"/>
      <c r="L15747" s="1362"/>
    </row>
    <row r="15748" spans="1:12" x14ac:dyDescent="0.25">
      <c r="A15748">
        <v>100955</v>
      </c>
      <c r="B15748" t="s">
        <v>4981</v>
      </c>
      <c r="C15748" t="s">
        <v>1941</v>
      </c>
      <c r="D15748" s="254">
        <v>4.95</v>
      </c>
      <c r="E15748"/>
      <c r="F15748"/>
      <c r="G15748"/>
      <c r="H15748"/>
      <c r="I15748" s="489"/>
      <c r="J15748" s="1362"/>
      <c r="K15748" s="1362"/>
      <c r="L15748" s="1362"/>
    </row>
    <row r="15749" spans="1:12" x14ac:dyDescent="0.25">
      <c r="A15749">
        <v>100956</v>
      </c>
      <c r="B15749" t="s">
        <v>4982</v>
      </c>
      <c r="C15749" t="s">
        <v>1941</v>
      </c>
      <c r="D15749" s="254">
        <v>4.29</v>
      </c>
      <c r="E15749"/>
      <c r="F15749"/>
      <c r="G15749"/>
      <c r="H15749"/>
      <c r="I15749" s="489"/>
      <c r="J15749" s="1362"/>
      <c r="K15749" s="1362"/>
      <c r="L15749" s="1362"/>
    </row>
    <row r="15750" spans="1:12" x14ac:dyDescent="0.25">
      <c r="A15750">
        <v>100957</v>
      </c>
      <c r="B15750" t="s">
        <v>4983</v>
      </c>
      <c r="C15750" t="s">
        <v>1941</v>
      </c>
      <c r="D15750" s="254">
        <v>3.92</v>
      </c>
      <c r="E15750"/>
      <c r="F15750"/>
      <c r="G15750"/>
      <c r="H15750"/>
      <c r="I15750" s="489"/>
      <c r="J15750" s="1362"/>
      <c r="K15750" s="1362"/>
      <c r="L15750" s="1362"/>
    </row>
    <row r="15751" spans="1:12" x14ac:dyDescent="0.25">
      <c r="A15751">
        <v>100958</v>
      </c>
      <c r="B15751" t="s">
        <v>4984</v>
      </c>
      <c r="C15751" t="s">
        <v>1941</v>
      </c>
      <c r="D15751" s="254">
        <v>1.57</v>
      </c>
      <c r="E15751"/>
      <c r="F15751"/>
      <c r="G15751"/>
      <c r="H15751"/>
      <c r="I15751" s="489"/>
      <c r="J15751" s="1362"/>
      <c r="K15751" s="1362"/>
      <c r="L15751" s="1362"/>
    </row>
    <row r="15752" spans="1:12" x14ac:dyDescent="0.25">
      <c r="A15752">
        <v>100959</v>
      </c>
      <c r="B15752" t="s">
        <v>4985</v>
      </c>
      <c r="C15752" t="s">
        <v>1941</v>
      </c>
      <c r="D15752" s="254">
        <v>11.79</v>
      </c>
      <c r="E15752"/>
      <c r="F15752"/>
      <c r="G15752"/>
      <c r="H15752"/>
      <c r="I15752" s="489"/>
      <c r="J15752" s="1362"/>
      <c r="K15752" s="1362"/>
      <c r="L15752" s="1362"/>
    </row>
    <row r="15753" spans="1:12" x14ac:dyDescent="0.25">
      <c r="A15753">
        <v>100960</v>
      </c>
      <c r="B15753" t="s">
        <v>4986</v>
      </c>
      <c r="C15753" t="s">
        <v>1941</v>
      </c>
      <c r="D15753" s="254">
        <v>3.65</v>
      </c>
      <c r="E15753"/>
      <c r="F15753"/>
      <c r="G15753"/>
      <c r="H15753"/>
      <c r="I15753" s="489"/>
      <c r="J15753" s="1362"/>
      <c r="K15753" s="1362"/>
      <c r="L15753" s="1362"/>
    </row>
    <row r="15754" spans="1:12" x14ac:dyDescent="0.25">
      <c r="A15754">
        <v>100961</v>
      </c>
      <c r="B15754" t="s">
        <v>4987</v>
      </c>
      <c r="C15754" t="s">
        <v>1941</v>
      </c>
      <c r="D15754" s="254">
        <v>3.17</v>
      </c>
      <c r="E15754"/>
      <c r="F15754"/>
      <c r="G15754"/>
      <c r="H15754"/>
      <c r="I15754" s="489"/>
      <c r="J15754" s="1362"/>
      <c r="K15754" s="1362"/>
      <c r="L15754" s="1362"/>
    </row>
    <row r="15755" spans="1:12" x14ac:dyDescent="0.25">
      <c r="A15755">
        <v>100962</v>
      </c>
      <c r="B15755" t="s">
        <v>4988</v>
      </c>
      <c r="C15755" t="s">
        <v>1941</v>
      </c>
      <c r="D15755" s="254">
        <v>2.89</v>
      </c>
      <c r="E15755"/>
      <c r="F15755"/>
      <c r="G15755"/>
      <c r="H15755"/>
      <c r="I15755" s="489"/>
      <c r="J15755" s="1362"/>
      <c r="K15755" s="1362"/>
      <c r="L15755" s="1362"/>
    </row>
    <row r="15756" spans="1:12" x14ac:dyDescent="0.25">
      <c r="A15756">
        <v>100963</v>
      </c>
      <c r="B15756" t="s">
        <v>4989</v>
      </c>
      <c r="C15756" t="s">
        <v>1941</v>
      </c>
      <c r="D15756" s="254">
        <v>1.1399999999999999</v>
      </c>
      <c r="E15756"/>
      <c r="F15756"/>
      <c r="G15756"/>
      <c r="H15756"/>
      <c r="I15756" s="489"/>
      <c r="J15756" s="1362"/>
      <c r="K15756" s="1362"/>
      <c r="L15756" s="1362"/>
    </row>
    <row r="15757" spans="1:12" x14ac:dyDescent="0.25">
      <c r="A15757">
        <v>100964</v>
      </c>
      <c r="B15757" t="s">
        <v>4990</v>
      </c>
      <c r="C15757" t="s">
        <v>1941</v>
      </c>
      <c r="D15757" s="254">
        <v>8.7799999999999994</v>
      </c>
      <c r="E15757"/>
      <c r="F15757"/>
      <c r="G15757"/>
      <c r="H15757"/>
      <c r="I15757" s="489"/>
      <c r="J15757" s="1362"/>
      <c r="K15757" s="1362"/>
      <c r="L15757" s="1362"/>
    </row>
    <row r="15758" spans="1:12" x14ac:dyDescent="0.25">
      <c r="A15758">
        <v>100973</v>
      </c>
      <c r="B15758" t="s">
        <v>4991</v>
      </c>
      <c r="C15758" t="s">
        <v>1159</v>
      </c>
      <c r="D15758" s="254">
        <v>8.67</v>
      </c>
      <c r="E15758"/>
      <c r="F15758"/>
      <c r="G15758"/>
      <c r="H15758"/>
      <c r="I15758" s="489"/>
      <c r="J15758" s="1362"/>
      <c r="K15758" s="1362"/>
      <c r="L15758" s="1362"/>
    </row>
    <row r="15759" spans="1:12" x14ac:dyDescent="0.25">
      <c r="A15759">
        <v>100974</v>
      </c>
      <c r="B15759" t="s">
        <v>4992</v>
      </c>
      <c r="C15759" t="s">
        <v>1159</v>
      </c>
      <c r="D15759" s="254">
        <v>8.5399999999999991</v>
      </c>
      <c r="E15759"/>
      <c r="F15759"/>
      <c r="G15759"/>
      <c r="H15759"/>
      <c r="I15759" s="489"/>
      <c r="J15759" s="1362"/>
      <c r="K15759" s="1362"/>
      <c r="L15759" s="1362"/>
    </row>
    <row r="15760" spans="1:12" x14ac:dyDescent="0.25">
      <c r="A15760">
        <v>100975</v>
      </c>
      <c r="B15760" t="s">
        <v>4993</v>
      </c>
      <c r="C15760" t="s">
        <v>1159</v>
      </c>
      <c r="D15760" s="254">
        <v>8.43</v>
      </c>
      <c r="E15760"/>
      <c r="F15760"/>
      <c r="G15760"/>
      <c r="H15760"/>
      <c r="I15760" s="489"/>
      <c r="J15760" s="1362"/>
      <c r="K15760" s="1362"/>
      <c r="L15760" s="1362"/>
    </row>
    <row r="15761" spans="1:12" x14ac:dyDescent="0.25">
      <c r="A15761">
        <v>100965</v>
      </c>
      <c r="B15761" t="s">
        <v>4994</v>
      </c>
      <c r="C15761" t="s">
        <v>1939</v>
      </c>
      <c r="D15761" s="254">
        <v>1.76</v>
      </c>
      <c r="E15761"/>
      <c r="F15761"/>
      <c r="G15761"/>
      <c r="H15761"/>
      <c r="I15761" s="489"/>
      <c r="J15761" s="1362"/>
      <c r="K15761" s="1362"/>
      <c r="L15761" s="1362"/>
    </row>
    <row r="15762" spans="1:12" x14ac:dyDescent="0.25">
      <c r="A15762">
        <v>100966</v>
      </c>
      <c r="B15762" t="s">
        <v>4995</v>
      </c>
      <c r="C15762" t="s">
        <v>1939</v>
      </c>
      <c r="D15762" s="254">
        <v>1.5</v>
      </c>
      <c r="E15762"/>
      <c r="F15762"/>
      <c r="G15762"/>
      <c r="H15762"/>
      <c r="I15762" s="489"/>
      <c r="J15762" s="1362"/>
      <c r="K15762" s="1362"/>
      <c r="L15762" s="1362"/>
    </row>
    <row r="15763" spans="1:12" x14ac:dyDescent="0.25">
      <c r="A15763">
        <v>100969</v>
      </c>
      <c r="B15763" t="s">
        <v>4998</v>
      </c>
      <c r="C15763" t="s">
        <v>1939</v>
      </c>
      <c r="D15763" s="254">
        <v>2.34</v>
      </c>
      <c r="E15763"/>
      <c r="F15763"/>
      <c r="G15763"/>
      <c r="H15763"/>
      <c r="I15763" s="489"/>
      <c r="J15763" s="1362"/>
      <c r="K15763" s="1362"/>
      <c r="L15763" s="1362"/>
    </row>
    <row r="15764" spans="1:12" x14ac:dyDescent="0.25">
      <c r="A15764">
        <v>100970</v>
      </c>
      <c r="B15764" t="s">
        <v>4999</v>
      </c>
      <c r="C15764" t="s">
        <v>1939</v>
      </c>
      <c r="D15764" s="254">
        <v>1.98</v>
      </c>
      <c r="E15764"/>
      <c r="F15764"/>
      <c r="G15764"/>
      <c r="H15764"/>
      <c r="I15764" s="489"/>
      <c r="J15764" s="1362"/>
      <c r="K15764" s="1362"/>
      <c r="L15764" s="1362"/>
    </row>
    <row r="15765" spans="1:12" x14ac:dyDescent="0.25">
      <c r="A15765">
        <v>102330</v>
      </c>
      <c r="B15765" t="s">
        <v>4996</v>
      </c>
      <c r="C15765" t="s">
        <v>1939</v>
      </c>
      <c r="D15765" s="254">
        <v>1.4</v>
      </c>
      <c r="E15765"/>
      <c r="F15765"/>
      <c r="G15765"/>
      <c r="H15765"/>
      <c r="I15765" s="489"/>
      <c r="J15765" s="1362"/>
      <c r="K15765" s="1362"/>
      <c r="L15765" s="1362"/>
    </row>
    <row r="15766" spans="1:12" x14ac:dyDescent="0.25">
      <c r="A15766">
        <v>102331</v>
      </c>
      <c r="B15766" t="s">
        <v>4997</v>
      </c>
      <c r="C15766" t="s">
        <v>1939</v>
      </c>
      <c r="D15766" s="254">
        <v>0.54</v>
      </c>
      <c r="E15766"/>
      <c r="F15766"/>
      <c r="G15766"/>
      <c r="H15766"/>
      <c r="I15766" s="489"/>
      <c r="J15766" s="1362"/>
      <c r="K15766" s="1362"/>
      <c r="L15766" s="1362"/>
    </row>
    <row r="15767" spans="1:12" x14ac:dyDescent="0.25">
      <c r="A15767">
        <v>102332</v>
      </c>
      <c r="B15767" t="s">
        <v>5000</v>
      </c>
      <c r="C15767" t="s">
        <v>1939</v>
      </c>
      <c r="D15767" s="254">
        <v>1.86</v>
      </c>
      <c r="E15767"/>
      <c r="F15767"/>
      <c r="G15767"/>
      <c r="H15767"/>
      <c r="I15767" s="489"/>
      <c r="J15767" s="1362"/>
      <c r="K15767" s="1362"/>
      <c r="L15767" s="1362"/>
    </row>
    <row r="15768" spans="1:12" x14ac:dyDescent="0.25">
      <c r="A15768">
        <v>102333</v>
      </c>
      <c r="B15768" t="s">
        <v>5001</v>
      </c>
      <c r="C15768" t="s">
        <v>1939</v>
      </c>
      <c r="D15768" s="254">
        <v>0.74</v>
      </c>
      <c r="E15768"/>
      <c r="F15768"/>
      <c r="G15768"/>
      <c r="H15768"/>
      <c r="I15768" s="489"/>
      <c r="J15768" s="1362"/>
      <c r="K15768" s="1362"/>
      <c r="L15768" s="1362"/>
    </row>
    <row r="15769" spans="1:12" x14ac:dyDescent="0.25">
      <c r="A15769">
        <v>101019</v>
      </c>
      <c r="B15769" t="s">
        <v>5002</v>
      </c>
      <c r="C15769" t="s">
        <v>1940</v>
      </c>
      <c r="D15769" s="254">
        <v>556.91999999999996</v>
      </c>
      <c r="E15769"/>
      <c r="F15769"/>
      <c r="G15769"/>
      <c r="H15769"/>
      <c r="I15769" s="489"/>
      <c r="J15769" s="1362"/>
      <c r="K15769" s="1362"/>
      <c r="L15769" s="1362"/>
    </row>
    <row r="15770" spans="1:12" x14ac:dyDescent="0.25">
      <c r="A15770">
        <v>101479</v>
      </c>
      <c r="B15770" t="s">
        <v>5003</v>
      </c>
      <c r="C15770" t="s">
        <v>1940</v>
      </c>
      <c r="D15770" s="254">
        <v>162.25</v>
      </c>
      <c r="E15770"/>
      <c r="F15770"/>
      <c r="G15770"/>
      <c r="H15770"/>
      <c r="I15770" s="489"/>
      <c r="J15770" s="1362"/>
      <c r="K15770" s="1362"/>
      <c r="L15770" s="1362"/>
    </row>
    <row r="15771" spans="1:12" x14ac:dyDescent="0.25">
      <c r="A15771">
        <v>102568</v>
      </c>
      <c r="B15771" t="s">
        <v>6239</v>
      </c>
      <c r="C15771" t="s">
        <v>1940</v>
      </c>
      <c r="D15771" s="254">
        <v>276.42</v>
      </c>
      <c r="E15771"/>
      <c r="F15771"/>
      <c r="G15771"/>
      <c r="H15771"/>
      <c r="I15771" s="489"/>
      <c r="J15771" s="1362"/>
      <c r="K15771" s="1362"/>
      <c r="L15771" s="1362"/>
    </row>
    <row r="15772" spans="1:12" x14ac:dyDescent="0.25">
      <c r="A15772">
        <v>100976</v>
      </c>
      <c r="B15772" t="s">
        <v>5004</v>
      </c>
      <c r="C15772" t="s">
        <v>1159</v>
      </c>
      <c r="D15772" s="254">
        <v>8.34</v>
      </c>
      <c r="E15772"/>
      <c r="F15772"/>
      <c r="G15772"/>
      <c r="H15772"/>
      <c r="I15772" s="489"/>
      <c r="J15772" s="1362"/>
      <c r="K15772" s="1362"/>
      <c r="L15772" s="1362"/>
    </row>
    <row r="15773" spans="1:12" x14ac:dyDescent="0.25">
      <c r="A15773">
        <v>100977</v>
      </c>
      <c r="B15773" t="s">
        <v>5005</v>
      </c>
      <c r="C15773" t="s">
        <v>1159</v>
      </c>
      <c r="D15773" s="254">
        <v>7.17</v>
      </c>
      <c r="E15773"/>
      <c r="F15773"/>
      <c r="G15773"/>
      <c r="H15773"/>
      <c r="I15773" s="489"/>
      <c r="J15773" s="1362"/>
      <c r="K15773" s="1362"/>
      <c r="L15773" s="1362"/>
    </row>
    <row r="15774" spans="1:12" x14ac:dyDescent="0.25">
      <c r="A15774">
        <v>100978</v>
      </c>
      <c r="B15774" t="s">
        <v>5006</v>
      </c>
      <c r="C15774" t="s">
        <v>1159</v>
      </c>
      <c r="D15774" s="254">
        <v>6.66</v>
      </c>
      <c r="E15774"/>
      <c r="F15774"/>
      <c r="G15774"/>
      <c r="H15774"/>
      <c r="I15774" s="489"/>
      <c r="J15774" s="1362"/>
      <c r="K15774" s="1362"/>
      <c r="L15774" s="1362"/>
    </row>
    <row r="15775" spans="1:12" x14ac:dyDescent="0.25">
      <c r="A15775">
        <v>100979</v>
      </c>
      <c r="B15775" t="s">
        <v>5007</v>
      </c>
      <c r="C15775" t="s">
        <v>1159</v>
      </c>
      <c r="D15775" s="254">
        <v>6.27</v>
      </c>
      <c r="E15775"/>
      <c r="F15775"/>
      <c r="G15775"/>
      <c r="H15775"/>
      <c r="I15775" s="489"/>
      <c r="J15775" s="1362"/>
      <c r="K15775" s="1362"/>
      <c r="L15775" s="1362"/>
    </row>
    <row r="15776" spans="1:12" x14ac:dyDescent="0.25">
      <c r="A15776">
        <v>100980</v>
      </c>
      <c r="B15776" t="s">
        <v>5008</v>
      </c>
      <c r="C15776" t="s">
        <v>1159</v>
      </c>
      <c r="D15776" s="254">
        <v>6</v>
      </c>
      <c r="E15776"/>
      <c r="F15776"/>
      <c r="G15776"/>
      <c r="H15776"/>
      <c r="I15776" s="489"/>
      <c r="J15776" s="1362"/>
      <c r="K15776" s="1362"/>
      <c r="L15776" s="1362"/>
    </row>
    <row r="15777" spans="1:12" x14ac:dyDescent="0.25">
      <c r="A15777">
        <v>100981</v>
      </c>
      <c r="B15777" t="s">
        <v>5009</v>
      </c>
      <c r="C15777" t="s">
        <v>1159</v>
      </c>
      <c r="D15777" s="254">
        <v>8.7899999999999991</v>
      </c>
      <c r="E15777"/>
      <c r="F15777"/>
      <c r="G15777"/>
      <c r="H15777"/>
      <c r="I15777" s="489"/>
      <c r="J15777" s="1362"/>
      <c r="K15777" s="1362"/>
      <c r="L15777" s="1362"/>
    </row>
    <row r="15778" spans="1:12" x14ac:dyDescent="0.25">
      <c r="A15778">
        <v>100982</v>
      </c>
      <c r="B15778" t="s">
        <v>5010</v>
      </c>
      <c r="C15778" t="s">
        <v>1159</v>
      </c>
      <c r="D15778" s="254">
        <v>8.65</v>
      </c>
      <c r="E15778"/>
      <c r="F15778"/>
      <c r="G15778"/>
      <c r="H15778"/>
      <c r="I15778" s="489"/>
      <c r="J15778" s="1362"/>
      <c r="K15778" s="1362"/>
      <c r="L15778" s="1362"/>
    </row>
    <row r="15779" spans="1:12" x14ac:dyDescent="0.25">
      <c r="A15779">
        <v>100983</v>
      </c>
      <c r="B15779" t="s">
        <v>5011</v>
      </c>
      <c r="C15779" t="s">
        <v>1159</v>
      </c>
      <c r="D15779" s="254">
        <v>8.5299999999999994</v>
      </c>
      <c r="E15779"/>
      <c r="F15779"/>
      <c r="G15779"/>
      <c r="H15779"/>
      <c r="I15779" s="489"/>
      <c r="J15779" s="1362"/>
      <c r="K15779" s="1362"/>
      <c r="L15779" s="1362"/>
    </row>
    <row r="15780" spans="1:12" x14ac:dyDescent="0.25">
      <c r="A15780">
        <v>100984</v>
      </c>
      <c r="B15780" t="s">
        <v>5012</v>
      </c>
      <c r="C15780" t="s">
        <v>1159</v>
      </c>
      <c r="D15780" s="254">
        <v>8.43</v>
      </c>
      <c r="E15780"/>
      <c r="F15780"/>
      <c r="G15780"/>
      <c r="H15780"/>
      <c r="I15780" s="489"/>
      <c r="J15780" s="1362"/>
      <c r="K15780" s="1362"/>
      <c r="L15780" s="1362"/>
    </row>
    <row r="15781" spans="1:12" x14ac:dyDescent="0.25">
      <c r="A15781">
        <v>100985</v>
      </c>
      <c r="B15781" t="s">
        <v>5013</v>
      </c>
      <c r="C15781" t="s">
        <v>1159</v>
      </c>
      <c r="D15781" s="254">
        <v>6.9</v>
      </c>
      <c r="E15781"/>
      <c r="F15781"/>
      <c r="G15781"/>
      <c r="H15781"/>
      <c r="I15781" s="489"/>
      <c r="J15781" s="1362"/>
      <c r="K15781" s="1362"/>
      <c r="L15781" s="1362"/>
    </row>
    <row r="15782" spans="1:12" x14ac:dyDescent="0.25">
      <c r="A15782">
        <v>100986</v>
      </c>
      <c r="B15782" t="s">
        <v>5014</v>
      </c>
      <c r="C15782" t="s">
        <v>1159</v>
      </c>
      <c r="D15782" s="254">
        <v>8.64</v>
      </c>
      <c r="E15782"/>
      <c r="F15782"/>
      <c r="G15782"/>
      <c r="H15782"/>
      <c r="I15782" s="489"/>
      <c r="J15782" s="1362"/>
      <c r="K15782" s="1362"/>
      <c r="L15782" s="1362"/>
    </row>
    <row r="15783" spans="1:12" x14ac:dyDescent="0.25">
      <c r="A15783">
        <v>100987</v>
      </c>
      <c r="B15783" t="s">
        <v>5015</v>
      </c>
      <c r="C15783" t="s">
        <v>1159</v>
      </c>
      <c r="D15783" s="254">
        <v>9.68</v>
      </c>
      <c r="E15783"/>
      <c r="F15783"/>
      <c r="G15783"/>
      <c r="H15783"/>
      <c r="I15783" s="489"/>
      <c r="J15783" s="1362"/>
      <c r="K15783" s="1362"/>
      <c r="L15783" s="1362"/>
    </row>
    <row r="15784" spans="1:12" x14ac:dyDescent="0.25">
      <c r="A15784">
        <v>100988</v>
      </c>
      <c r="B15784" t="s">
        <v>5016</v>
      </c>
      <c r="C15784" t="s">
        <v>1159</v>
      </c>
      <c r="D15784" s="254">
        <v>10.38</v>
      </c>
      <c r="E15784"/>
      <c r="F15784"/>
      <c r="G15784"/>
      <c r="H15784"/>
      <c r="I15784" s="489"/>
      <c r="J15784" s="1362"/>
      <c r="K15784" s="1362"/>
      <c r="L15784" s="1362"/>
    </row>
    <row r="15785" spans="1:12" x14ac:dyDescent="0.25">
      <c r="A15785">
        <v>100989</v>
      </c>
      <c r="B15785" t="s">
        <v>5017</v>
      </c>
      <c r="C15785" t="s">
        <v>1940</v>
      </c>
      <c r="D15785" s="254">
        <v>5.78</v>
      </c>
      <c r="E15785"/>
      <c r="F15785"/>
      <c r="G15785"/>
      <c r="H15785"/>
      <c r="I15785" s="489"/>
      <c r="J15785" s="1362"/>
      <c r="K15785" s="1362"/>
      <c r="L15785" s="1362"/>
    </row>
    <row r="15786" spans="1:12" x14ac:dyDescent="0.25">
      <c r="A15786">
        <v>100990</v>
      </c>
      <c r="B15786" t="s">
        <v>5018</v>
      </c>
      <c r="C15786" t="s">
        <v>1940</v>
      </c>
      <c r="D15786" s="254">
        <v>5.7</v>
      </c>
      <c r="E15786"/>
      <c r="F15786"/>
      <c r="G15786"/>
      <c r="H15786"/>
      <c r="I15786" s="489"/>
      <c r="J15786" s="1362"/>
      <c r="K15786" s="1362"/>
      <c r="L15786" s="1362"/>
    </row>
    <row r="15787" spans="1:12" x14ac:dyDescent="0.25">
      <c r="A15787">
        <v>100991</v>
      </c>
      <c r="B15787" t="s">
        <v>5019</v>
      </c>
      <c r="C15787" t="s">
        <v>1940</v>
      </c>
      <c r="D15787" s="254">
        <v>5.65</v>
      </c>
      <c r="E15787"/>
      <c r="F15787"/>
      <c r="G15787"/>
      <c r="H15787"/>
      <c r="I15787" s="489"/>
      <c r="J15787" s="1362"/>
      <c r="K15787" s="1362"/>
      <c r="L15787" s="1362"/>
    </row>
    <row r="15788" spans="1:12" x14ac:dyDescent="0.25">
      <c r="A15788">
        <v>100992</v>
      </c>
      <c r="B15788" t="s">
        <v>5020</v>
      </c>
      <c r="C15788" t="s">
        <v>1940</v>
      </c>
      <c r="D15788" s="254">
        <v>5.56</v>
      </c>
      <c r="E15788"/>
      <c r="F15788"/>
      <c r="G15788"/>
      <c r="H15788"/>
      <c r="I15788" s="489"/>
      <c r="J15788" s="1362"/>
      <c r="K15788" s="1362"/>
      <c r="L15788" s="1362"/>
    </row>
    <row r="15789" spans="1:12" x14ac:dyDescent="0.25">
      <c r="A15789">
        <v>100993</v>
      </c>
      <c r="B15789" t="s">
        <v>5021</v>
      </c>
      <c r="C15789" t="s">
        <v>1940</v>
      </c>
      <c r="D15789" s="254">
        <v>4.78</v>
      </c>
      <c r="E15789"/>
      <c r="F15789"/>
      <c r="G15789"/>
      <c r="H15789"/>
      <c r="I15789" s="489"/>
      <c r="J15789" s="1362"/>
      <c r="K15789" s="1362"/>
      <c r="L15789" s="1362"/>
    </row>
    <row r="15790" spans="1:12" x14ac:dyDescent="0.25">
      <c r="A15790">
        <v>100994</v>
      </c>
      <c r="B15790" t="s">
        <v>5022</v>
      </c>
      <c r="C15790" t="s">
        <v>1940</v>
      </c>
      <c r="D15790" s="254">
        <v>4.42</v>
      </c>
      <c r="E15790"/>
      <c r="F15790"/>
      <c r="G15790"/>
      <c r="H15790"/>
      <c r="I15790" s="489"/>
      <c r="J15790" s="1362"/>
      <c r="K15790" s="1362"/>
      <c r="L15790" s="1362"/>
    </row>
    <row r="15791" spans="1:12" x14ac:dyDescent="0.25">
      <c r="A15791">
        <v>100995</v>
      </c>
      <c r="B15791" t="s">
        <v>5023</v>
      </c>
      <c r="C15791" t="s">
        <v>1940</v>
      </c>
      <c r="D15791" s="254">
        <v>4.1900000000000004</v>
      </c>
      <c r="E15791"/>
      <c r="F15791"/>
      <c r="G15791"/>
      <c r="H15791"/>
      <c r="I15791" s="489"/>
      <c r="J15791" s="1362"/>
      <c r="K15791" s="1362"/>
      <c r="L15791" s="1362"/>
    </row>
    <row r="15792" spans="1:12" x14ac:dyDescent="0.25">
      <c r="A15792">
        <v>100996</v>
      </c>
      <c r="B15792" t="s">
        <v>5024</v>
      </c>
      <c r="C15792" t="s">
        <v>1940</v>
      </c>
      <c r="D15792" s="254">
        <v>3.98</v>
      </c>
      <c r="E15792"/>
      <c r="F15792"/>
      <c r="G15792"/>
      <c r="H15792"/>
      <c r="I15792" s="489"/>
      <c r="J15792" s="1362"/>
      <c r="K15792" s="1362"/>
      <c r="L15792" s="1362"/>
    </row>
    <row r="15793" spans="1:12" x14ac:dyDescent="0.25">
      <c r="A15793">
        <v>100997</v>
      </c>
      <c r="B15793" t="s">
        <v>5025</v>
      </c>
      <c r="C15793" t="s">
        <v>1940</v>
      </c>
      <c r="D15793" s="254">
        <v>5.87</v>
      </c>
      <c r="E15793"/>
      <c r="F15793"/>
      <c r="G15793"/>
      <c r="H15793"/>
      <c r="I15793" s="489"/>
      <c r="J15793" s="1362"/>
      <c r="K15793" s="1362"/>
      <c r="L15793" s="1362"/>
    </row>
    <row r="15794" spans="1:12" x14ac:dyDescent="0.25">
      <c r="A15794">
        <v>100998</v>
      </c>
      <c r="B15794" t="s">
        <v>5026</v>
      </c>
      <c r="C15794" t="s">
        <v>1940</v>
      </c>
      <c r="D15794" s="254">
        <v>5.78</v>
      </c>
      <c r="E15794"/>
      <c r="F15794"/>
      <c r="G15794"/>
      <c r="H15794"/>
      <c r="I15794" s="489"/>
      <c r="J15794" s="1362"/>
      <c r="K15794" s="1362"/>
      <c r="L15794" s="1362"/>
    </row>
    <row r="15795" spans="1:12" x14ac:dyDescent="0.25">
      <c r="A15795">
        <v>100999</v>
      </c>
      <c r="B15795" t="s">
        <v>5027</v>
      </c>
      <c r="C15795" t="s">
        <v>1940</v>
      </c>
      <c r="D15795" s="254">
        <v>5.72</v>
      </c>
      <c r="E15795"/>
      <c r="F15795"/>
      <c r="G15795"/>
      <c r="H15795"/>
      <c r="I15795" s="489"/>
      <c r="J15795" s="1362"/>
      <c r="K15795" s="1362"/>
      <c r="L15795" s="1362"/>
    </row>
    <row r="15796" spans="1:12" x14ac:dyDescent="0.25">
      <c r="A15796">
        <v>101000</v>
      </c>
      <c r="B15796" t="s">
        <v>5028</v>
      </c>
      <c r="C15796" t="s">
        <v>1940</v>
      </c>
      <c r="D15796" s="254">
        <v>5.62</v>
      </c>
      <c r="E15796"/>
      <c r="F15796"/>
      <c r="G15796"/>
      <c r="H15796"/>
      <c r="I15796" s="489"/>
      <c r="J15796" s="1362"/>
      <c r="K15796" s="1362"/>
      <c r="L15796" s="1362"/>
    </row>
    <row r="15797" spans="1:12" x14ac:dyDescent="0.25">
      <c r="A15797">
        <v>101001</v>
      </c>
      <c r="B15797" t="s">
        <v>5029</v>
      </c>
      <c r="C15797" t="s">
        <v>1940</v>
      </c>
      <c r="D15797" s="254">
        <v>4.6100000000000003</v>
      </c>
      <c r="E15797"/>
      <c r="F15797"/>
      <c r="G15797"/>
      <c r="H15797"/>
      <c r="I15797" s="489"/>
      <c r="J15797" s="1362"/>
      <c r="K15797" s="1362"/>
      <c r="L15797" s="1362"/>
    </row>
    <row r="15798" spans="1:12" x14ac:dyDescent="0.25">
      <c r="A15798">
        <v>101002</v>
      </c>
      <c r="B15798" t="s">
        <v>5030</v>
      </c>
      <c r="C15798" t="s">
        <v>1940</v>
      </c>
      <c r="D15798" s="254">
        <v>5.75</v>
      </c>
      <c r="E15798"/>
      <c r="F15798"/>
      <c r="G15798"/>
      <c r="H15798"/>
      <c r="I15798" s="489"/>
      <c r="J15798" s="1362"/>
      <c r="K15798" s="1362"/>
      <c r="L15798" s="1362"/>
    </row>
    <row r="15799" spans="1:12" x14ac:dyDescent="0.25">
      <c r="A15799">
        <v>101003</v>
      </c>
      <c r="B15799" t="s">
        <v>5031</v>
      </c>
      <c r="C15799" t="s">
        <v>1940</v>
      </c>
      <c r="D15799" s="254">
        <v>6.44</v>
      </c>
      <c r="E15799"/>
      <c r="F15799"/>
      <c r="G15799"/>
      <c r="H15799"/>
      <c r="I15799" s="489"/>
      <c r="J15799" s="1362"/>
      <c r="K15799" s="1362"/>
      <c r="L15799" s="1362"/>
    </row>
    <row r="15800" spans="1:12" x14ac:dyDescent="0.25">
      <c r="A15800">
        <v>101004</v>
      </c>
      <c r="B15800" t="s">
        <v>5032</v>
      </c>
      <c r="C15800" t="s">
        <v>1940</v>
      </c>
      <c r="D15800" s="254">
        <v>6.92</v>
      </c>
      <c r="E15800"/>
      <c r="F15800"/>
      <c r="G15800"/>
      <c r="H15800"/>
      <c r="I15800" s="489"/>
      <c r="J15800" s="1362"/>
      <c r="K15800" s="1362"/>
      <c r="L15800" s="1362"/>
    </row>
    <row r="15801" spans="1:12" x14ac:dyDescent="0.25">
      <c r="A15801">
        <v>101005</v>
      </c>
      <c r="B15801" t="s">
        <v>5033</v>
      </c>
      <c r="C15801" t="s">
        <v>1159</v>
      </c>
      <c r="D15801" s="254">
        <v>18.8</v>
      </c>
      <c r="E15801"/>
      <c r="F15801"/>
      <c r="G15801"/>
      <c r="H15801"/>
      <c r="I15801" s="489"/>
      <c r="J15801" s="1362"/>
      <c r="K15801" s="1362"/>
      <c r="L15801" s="1362"/>
    </row>
    <row r="15802" spans="1:12" x14ac:dyDescent="0.25">
      <c r="A15802">
        <v>101006</v>
      </c>
      <c r="B15802" t="s">
        <v>5034</v>
      </c>
      <c r="C15802" t="s">
        <v>1159</v>
      </c>
      <c r="D15802" s="254">
        <v>20.84</v>
      </c>
      <c r="E15802"/>
      <c r="F15802"/>
      <c r="G15802"/>
      <c r="H15802"/>
      <c r="I15802" s="489"/>
      <c r="J15802" s="1362"/>
      <c r="K15802" s="1362"/>
      <c r="L15802" s="1362"/>
    </row>
    <row r="15803" spans="1:12" x14ac:dyDescent="0.25">
      <c r="A15803">
        <v>101007</v>
      </c>
      <c r="B15803" t="s">
        <v>5035</v>
      </c>
      <c r="C15803" t="s">
        <v>1159</v>
      </c>
      <c r="D15803" s="254">
        <v>5.45</v>
      </c>
      <c r="E15803"/>
      <c r="F15803"/>
      <c r="G15803"/>
      <c r="H15803"/>
      <c r="I15803" s="489"/>
      <c r="J15803" s="1362"/>
      <c r="K15803" s="1362"/>
      <c r="L15803" s="1362"/>
    </row>
    <row r="15804" spans="1:12" x14ac:dyDescent="0.25">
      <c r="A15804">
        <v>101008</v>
      </c>
      <c r="B15804" t="s">
        <v>5036</v>
      </c>
      <c r="C15804" t="s">
        <v>1159</v>
      </c>
      <c r="D15804" s="254">
        <v>5.51</v>
      </c>
      <c r="E15804"/>
      <c r="F15804"/>
      <c r="G15804"/>
      <c r="H15804"/>
      <c r="I15804" s="489"/>
      <c r="J15804" s="1362"/>
      <c r="K15804" s="1362"/>
      <c r="L15804" s="1362"/>
    </row>
    <row r="15805" spans="1:12" x14ac:dyDescent="0.25">
      <c r="A15805">
        <v>101009</v>
      </c>
      <c r="B15805" t="s">
        <v>5037</v>
      </c>
      <c r="C15805" t="s">
        <v>1940</v>
      </c>
      <c r="D15805" s="254">
        <v>42.77</v>
      </c>
      <c r="E15805"/>
      <c r="F15805"/>
      <c r="G15805"/>
      <c r="H15805"/>
      <c r="I15805" s="489"/>
      <c r="J15805" s="1362"/>
      <c r="K15805" s="1362"/>
      <c r="L15805" s="1362"/>
    </row>
    <row r="15806" spans="1:12" x14ac:dyDescent="0.25">
      <c r="A15806">
        <v>101010</v>
      </c>
      <c r="B15806" t="s">
        <v>5038</v>
      </c>
      <c r="C15806" t="s">
        <v>1940</v>
      </c>
      <c r="D15806" s="254">
        <v>26.93</v>
      </c>
      <c r="E15806"/>
      <c r="F15806"/>
      <c r="G15806"/>
      <c r="H15806"/>
      <c r="I15806" s="489"/>
      <c r="J15806" s="1362"/>
      <c r="K15806" s="1362"/>
      <c r="L15806" s="1362"/>
    </row>
    <row r="15807" spans="1:12" x14ac:dyDescent="0.25">
      <c r="A15807">
        <v>101013</v>
      </c>
      <c r="B15807" t="s">
        <v>5039</v>
      </c>
      <c r="C15807" t="s">
        <v>1940</v>
      </c>
      <c r="D15807" s="254">
        <v>44.68</v>
      </c>
      <c r="E15807"/>
      <c r="F15807"/>
      <c r="G15807"/>
      <c r="H15807"/>
      <c r="I15807" s="489"/>
      <c r="J15807" s="1362"/>
      <c r="K15807" s="1362"/>
      <c r="L15807" s="1362"/>
    </row>
    <row r="15808" spans="1:12" x14ac:dyDescent="0.25">
      <c r="A15808">
        <v>101014</v>
      </c>
      <c r="B15808" t="s">
        <v>5040</v>
      </c>
      <c r="C15808" t="s">
        <v>1940</v>
      </c>
      <c r="D15808" s="254">
        <v>40.93</v>
      </c>
      <c r="E15808"/>
      <c r="F15808"/>
      <c r="G15808"/>
      <c r="H15808"/>
      <c r="I15808" s="489"/>
      <c r="J15808" s="1362"/>
      <c r="K15808" s="1362"/>
      <c r="L15808" s="1362"/>
    </row>
    <row r="15809" spans="1:12" x14ac:dyDescent="0.25">
      <c r="A15809">
        <v>101015</v>
      </c>
      <c r="B15809" t="s">
        <v>5041</v>
      </c>
      <c r="C15809" t="s">
        <v>1940</v>
      </c>
      <c r="D15809" s="254">
        <v>33.619999999999997</v>
      </c>
      <c r="E15809"/>
      <c r="F15809"/>
      <c r="G15809"/>
      <c r="H15809"/>
      <c r="I15809" s="489"/>
      <c r="J15809" s="1362"/>
      <c r="K15809" s="1362"/>
      <c r="L15809" s="1362"/>
    </row>
    <row r="15810" spans="1:12" x14ac:dyDescent="0.25">
      <c r="A15810">
        <v>101016</v>
      </c>
      <c r="B15810" t="s">
        <v>5042</v>
      </c>
      <c r="C15810" t="s">
        <v>1940</v>
      </c>
      <c r="D15810" s="254">
        <v>38.92</v>
      </c>
      <c r="E15810"/>
      <c r="F15810"/>
      <c r="G15810"/>
      <c r="H15810"/>
      <c r="I15810" s="489"/>
      <c r="J15810" s="1362"/>
      <c r="K15810" s="1362"/>
      <c r="L15810" s="1362"/>
    </row>
    <row r="15811" spans="1:12" x14ac:dyDescent="0.25">
      <c r="A15811">
        <v>101017</v>
      </c>
      <c r="B15811" t="s">
        <v>5043</v>
      </c>
      <c r="C15811" t="s">
        <v>1940</v>
      </c>
      <c r="D15811" s="254">
        <v>29.52</v>
      </c>
      <c r="E15811"/>
      <c r="F15811"/>
      <c r="G15811"/>
      <c r="H15811"/>
      <c r="I15811" s="489"/>
      <c r="J15811" s="1362"/>
      <c r="K15811" s="1362"/>
      <c r="L15811" s="1362"/>
    </row>
    <row r="15812" spans="1:12" x14ac:dyDescent="0.25">
      <c r="A15812">
        <v>101018</v>
      </c>
      <c r="B15812" t="s">
        <v>5044</v>
      </c>
      <c r="C15812" t="s">
        <v>1940</v>
      </c>
      <c r="D15812" s="254">
        <v>24.24</v>
      </c>
      <c r="E15812"/>
      <c r="F15812"/>
      <c r="G15812"/>
      <c r="H15812"/>
      <c r="I15812" s="489"/>
      <c r="J15812" s="1362"/>
      <c r="K15812" s="1362"/>
      <c r="L15812" s="1362"/>
    </row>
    <row r="15813" spans="1:12" x14ac:dyDescent="0.25">
      <c r="A15813">
        <v>101463</v>
      </c>
      <c r="B15813" t="s">
        <v>5045</v>
      </c>
      <c r="C15813" t="s">
        <v>1940</v>
      </c>
      <c r="D15813" s="254">
        <v>44.81</v>
      </c>
      <c r="E15813"/>
      <c r="F15813"/>
      <c r="G15813"/>
      <c r="H15813"/>
      <c r="I15813" s="489"/>
      <c r="J15813" s="1362"/>
      <c r="K15813" s="1362"/>
      <c r="L15813" s="1362"/>
    </row>
    <row r="15814" spans="1:12" x14ac:dyDescent="0.25">
      <c r="A15814">
        <v>101464</v>
      </c>
      <c r="B15814" t="s">
        <v>5046</v>
      </c>
      <c r="C15814" t="s">
        <v>1940</v>
      </c>
      <c r="D15814" s="254">
        <v>34.42</v>
      </c>
      <c r="E15814"/>
      <c r="F15814"/>
      <c r="G15814"/>
      <c r="H15814"/>
      <c r="I15814" s="489"/>
      <c r="J15814" s="1362"/>
      <c r="K15814" s="1362"/>
      <c r="L15814" s="1362"/>
    </row>
    <row r="15815" spans="1:12" x14ac:dyDescent="0.25">
      <c r="A15815">
        <v>101465</v>
      </c>
      <c r="B15815" t="s">
        <v>5047</v>
      </c>
      <c r="C15815" t="s">
        <v>1940</v>
      </c>
      <c r="D15815" s="254">
        <v>26.3</v>
      </c>
      <c r="E15815"/>
      <c r="F15815"/>
      <c r="G15815"/>
      <c r="H15815"/>
      <c r="I15815" s="489"/>
      <c r="J15815" s="1362"/>
      <c r="K15815" s="1362"/>
      <c r="L15815" s="1362"/>
    </row>
    <row r="15816" spans="1:12" x14ac:dyDescent="0.25">
      <c r="A15816">
        <v>101466</v>
      </c>
      <c r="B15816" t="s">
        <v>5048</v>
      </c>
      <c r="C15816" t="s">
        <v>1940</v>
      </c>
      <c r="D15816" s="254">
        <v>21.41</v>
      </c>
      <c r="E15816"/>
      <c r="F15816"/>
      <c r="G15816"/>
      <c r="H15816"/>
      <c r="I15816" s="489"/>
      <c r="J15816" s="1362"/>
      <c r="K15816" s="1362"/>
      <c r="L15816" s="1362"/>
    </row>
    <row r="15817" spans="1:12" x14ac:dyDescent="0.25">
      <c r="A15817">
        <v>101467</v>
      </c>
      <c r="B15817" t="s">
        <v>5049</v>
      </c>
      <c r="C15817" t="s">
        <v>1940</v>
      </c>
      <c r="D15817" s="254">
        <v>17.91</v>
      </c>
      <c r="E15817"/>
      <c r="F15817"/>
      <c r="G15817"/>
      <c r="H15817"/>
      <c r="I15817" s="489"/>
      <c r="J15817" s="1362"/>
      <c r="K15817" s="1362"/>
      <c r="L15817" s="1362"/>
    </row>
    <row r="15818" spans="1:12" x14ac:dyDescent="0.25">
      <c r="A15818">
        <v>101468</v>
      </c>
      <c r="B15818" t="s">
        <v>5050</v>
      </c>
      <c r="C15818" t="s">
        <v>1940</v>
      </c>
      <c r="D15818" s="254">
        <v>16.39</v>
      </c>
      <c r="E15818"/>
      <c r="F15818"/>
      <c r="G15818"/>
      <c r="H15818"/>
      <c r="I15818" s="489"/>
      <c r="J15818" s="1362"/>
      <c r="K15818" s="1362"/>
      <c r="L15818" s="1362"/>
    </row>
    <row r="15819" spans="1:12" x14ac:dyDescent="0.25">
      <c r="A15819">
        <v>101469</v>
      </c>
      <c r="B15819" t="s">
        <v>5051</v>
      </c>
      <c r="C15819" t="s">
        <v>1940</v>
      </c>
      <c r="D15819" s="254">
        <v>36.67</v>
      </c>
      <c r="E15819"/>
      <c r="F15819"/>
      <c r="G15819"/>
      <c r="H15819"/>
      <c r="I15819" s="489"/>
      <c r="J15819" s="1362"/>
      <c r="K15819" s="1362"/>
      <c r="L15819" s="1362"/>
    </row>
    <row r="15820" spans="1:12" x14ac:dyDescent="0.25">
      <c r="A15820">
        <v>101470</v>
      </c>
      <c r="B15820" t="s">
        <v>5052</v>
      </c>
      <c r="C15820" t="s">
        <v>1940</v>
      </c>
      <c r="D15820" s="254">
        <v>29.11</v>
      </c>
      <c r="E15820"/>
      <c r="F15820"/>
      <c r="G15820"/>
      <c r="H15820"/>
      <c r="I15820" s="489"/>
      <c r="J15820" s="1362"/>
      <c r="K15820" s="1362"/>
      <c r="L15820" s="1362"/>
    </row>
    <row r="15821" spans="1:12" x14ac:dyDescent="0.25">
      <c r="A15821">
        <v>101471</v>
      </c>
      <c r="B15821" t="s">
        <v>5053</v>
      </c>
      <c r="C15821" t="s">
        <v>1940</v>
      </c>
      <c r="D15821" s="254">
        <v>24.97</v>
      </c>
      <c r="E15821"/>
      <c r="F15821"/>
      <c r="G15821"/>
      <c r="H15821"/>
      <c r="I15821" s="489"/>
      <c r="J15821" s="1362"/>
      <c r="K15821" s="1362"/>
      <c r="L15821" s="1362"/>
    </row>
    <row r="15822" spans="1:12" x14ac:dyDescent="0.25">
      <c r="A15822">
        <v>101472</v>
      </c>
      <c r="B15822" t="s">
        <v>5054</v>
      </c>
      <c r="C15822" t="s">
        <v>1940</v>
      </c>
      <c r="D15822" s="254">
        <v>19.440000000000001</v>
      </c>
      <c r="E15822"/>
      <c r="F15822"/>
      <c r="G15822"/>
      <c r="H15822"/>
      <c r="I15822" s="489"/>
      <c r="J15822" s="1362"/>
      <c r="K15822" s="1362"/>
      <c r="L15822" s="1362"/>
    </row>
    <row r="15823" spans="1:12" x14ac:dyDescent="0.25">
      <c r="A15823">
        <v>101473</v>
      </c>
      <c r="B15823" t="s">
        <v>5055</v>
      </c>
      <c r="C15823" t="s">
        <v>1940</v>
      </c>
      <c r="D15823" s="254">
        <v>27.98</v>
      </c>
      <c r="E15823"/>
      <c r="F15823"/>
      <c r="G15823"/>
      <c r="H15823"/>
      <c r="I15823" s="489"/>
      <c r="J15823" s="1362"/>
      <c r="K15823" s="1362"/>
      <c r="L15823" s="1362"/>
    </row>
    <row r="15824" spans="1:12" x14ac:dyDescent="0.25">
      <c r="A15824">
        <v>101474</v>
      </c>
      <c r="B15824" t="s">
        <v>5056</v>
      </c>
      <c r="C15824" t="s">
        <v>1940</v>
      </c>
      <c r="D15824" s="254">
        <v>20.02</v>
      </c>
      <c r="E15824"/>
      <c r="F15824"/>
      <c r="G15824"/>
      <c r="H15824"/>
      <c r="I15824" s="489"/>
      <c r="J15824" s="1362"/>
      <c r="K15824" s="1362"/>
      <c r="L15824" s="1362"/>
    </row>
    <row r="15825" spans="1:12" x14ac:dyDescent="0.25">
      <c r="A15825">
        <v>101475</v>
      </c>
      <c r="B15825" t="s">
        <v>5057</v>
      </c>
      <c r="C15825" t="s">
        <v>1940</v>
      </c>
      <c r="D15825" s="254">
        <v>17.760000000000002</v>
      </c>
      <c r="E15825"/>
      <c r="F15825"/>
      <c r="G15825"/>
      <c r="H15825"/>
      <c r="I15825" s="489"/>
      <c r="J15825" s="1362"/>
      <c r="K15825" s="1362"/>
      <c r="L15825" s="1362"/>
    </row>
    <row r="15826" spans="1:12" x14ac:dyDescent="0.25">
      <c r="A15826">
        <v>101476</v>
      </c>
      <c r="B15826" t="s">
        <v>5058</v>
      </c>
      <c r="C15826" t="s">
        <v>1940</v>
      </c>
      <c r="D15826" s="254">
        <v>15.84</v>
      </c>
      <c r="E15826"/>
      <c r="F15826"/>
      <c r="G15826"/>
      <c r="H15826"/>
      <c r="I15826" s="489"/>
      <c r="J15826" s="1362"/>
      <c r="K15826" s="1362"/>
      <c r="L15826" s="1362"/>
    </row>
    <row r="15827" spans="1:12" x14ac:dyDescent="0.25">
      <c r="A15827">
        <v>101477</v>
      </c>
      <c r="B15827" t="s">
        <v>5059</v>
      </c>
      <c r="C15827" t="s">
        <v>1940</v>
      </c>
      <c r="D15827" s="254">
        <v>12.96</v>
      </c>
      <c r="E15827"/>
      <c r="F15827"/>
      <c r="G15827"/>
      <c r="H15827"/>
      <c r="I15827" s="489"/>
      <c r="J15827" s="1362"/>
      <c r="K15827" s="1362"/>
      <c r="L15827" s="1362"/>
    </row>
    <row r="15828" spans="1:12" x14ac:dyDescent="0.25">
      <c r="A15828">
        <v>101478</v>
      </c>
      <c r="B15828" t="s">
        <v>5060</v>
      </c>
      <c r="C15828" t="s">
        <v>1940</v>
      </c>
      <c r="D15828" s="254">
        <v>11.04</v>
      </c>
      <c r="E15828"/>
      <c r="F15828"/>
      <c r="G15828"/>
      <c r="H15828"/>
      <c r="I15828" s="489"/>
      <c r="J15828" s="1362"/>
      <c r="K15828" s="1362"/>
      <c r="L15828" s="1362"/>
    </row>
    <row r="15829" spans="1:12" x14ac:dyDescent="0.25">
      <c r="A15829">
        <v>101480</v>
      </c>
      <c r="B15829" t="s">
        <v>5061</v>
      </c>
      <c r="C15829" t="s">
        <v>1940</v>
      </c>
      <c r="D15829" s="254">
        <v>65.58</v>
      </c>
      <c r="E15829"/>
      <c r="F15829"/>
      <c r="G15829"/>
      <c r="H15829"/>
      <c r="I15829" s="489"/>
      <c r="J15829" s="1362"/>
      <c r="K15829" s="1362"/>
      <c r="L15829" s="1362"/>
    </row>
    <row r="15830" spans="1:12" x14ac:dyDescent="0.25">
      <c r="A15830">
        <v>101481</v>
      </c>
      <c r="B15830" t="s">
        <v>5062</v>
      </c>
      <c r="C15830" t="s">
        <v>1940</v>
      </c>
      <c r="D15830" s="254">
        <v>47.36</v>
      </c>
      <c r="E15830"/>
      <c r="F15830"/>
      <c r="G15830"/>
      <c r="H15830"/>
      <c r="I15830" s="489"/>
      <c r="J15830" s="1362"/>
      <c r="K15830" s="1362"/>
      <c r="L15830" s="1362"/>
    </row>
    <row r="15831" spans="1:12" x14ac:dyDescent="0.25">
      <c r="A15831">
        <v>101482</v>
      </c>
      <c r="B15831" t="s">
        <v>7137</v>
      </c>
      <c r="C15831" t="s">
        <v>1940</v>
      </c>
      <c r="D15831" s="254">
        <v>35.409999999999997</v>
      </c>
      <c r="E15831"/>
      <c r="F15831"/>
      <c r="G15831"/>
      <c r="H15831"/>
      <c r="I15831" s="489"/>
      <c r="J15831" s="1362"/>
      <c r="K15831" s="1362"/>
      <c r="L15831" s="1362"/>
    </row>
    <row r="15832" spans="1:12" x14ac:dyDescent="0.25">
      <c r="A15832">
        <v>101483</v>
      </c>
      <c r="B15832" t="s">
        <v>5063</v>
      </c>
      <c r="C15832" t="s">
        <v>1940</v>
      </c>
      <c r="D15832" s="254">
        <v>36.74</v>
      </c>
      <c r="E15832"/>
      <c r="F15832"/>
      <c r="G15832"/>
      <c r="H15832"/>
      <c r="I15832" s="489"/>
      <c r="J15832" s="1362"/>
      <c r="K15832" s="1362"/>
      <c r="L15832" s="1362"/>
    </row>
    <row r="15833" spans="1:12" x14ac:dyDescent="0.25">
      <c r="A15833">
        <v>101484</v>
      </c>
      <c r="B15833" t="s">
        <v>5064</v>
      </c>
      <c r="C15833" t="s">
        <v>1940</v>
      </c>
      <c r="D15833" s="254">
        <v>190.42</v>
      </c>
      <c r="E15833"/>
      <c r="F15833"/>
      <c r="G15833"/>
      <c r="H15833"/>
      <c r="I15833" s="489"/>
      <c r="J15833" s="1362"/>
      <c r="K15833" s="1362"/>
      <c r="L15833" s="1362"/>
    </row>
    <row r="15834" spans="1:12" x14ac:dyDescent="0.25">
      <c r="A15834">
        <v>101485</v>
      </c>
      <c r="B15834" t="s">
        <v>5065</v>
      </c>
      <c r="C15834" t="s">
        <v>1940</v>
      </c>
      <c r="D15834" s="254">
        <v>146.16999999999999</v>
      </c>
      <c r="E15834"/>
      <c r="F15834"/>
      <c r="G15834"/>
      <c r="H15834"/>
      <c r="I15834" s="489"/>
      <c r="J15834" s="1362"/>
      <c r="K15834" s="1362"/>
      <c r="L15834" s="1362"/>
    </row>
    <row r="15835" spans="1:12" x14ac:dyDescent="0.25">
      <c r="A15835">
        <v>101486</v>
      </c>
      <c r="B15835" t="s">
        <v>5066</v>
      </c>
      <c r="C15835" t="s">
        <v>1940</v>
      </c>
      <c r="D15835" s="254">
        <v>131.66999999999999</v>
      </c>
      <c r="E15835"/>
      <c r="F15835"/>
      <c r="G15835"/>
      <c r="H15835"/>
      <c r="I15835" s="489"/>
      <c r="J15835" s="1362"/>
      <c r="K15835" s="1362"/>
      <c r="L15835" s="1362"/>
    </row>
    <row r="15836" spans="1:12" x14ac:dyDescent="0.25">
      <c r="A15836">
        <v>101487</v>
      </c>
      <c r="B15836" t="s">
        <v>5067</v>
      </c>
      <c r="C15836" t="s">
        <v>1940</v>
      </c>
      <c r="D15836" s="254">
        <v>96.41</v>
      </c>
      <c r="E15836"/>
      <c r="F15836"/>
      <c r="G15836"/>
      <c r="H15836"/>
      <c r="I15836" s="489"/>
      <c r="J15836" s="1362"/>
      <c r="K15836" s="1362"/>
      <c r="L15836" s="1362"/>
    </row>
    <row r="15837" spans="1:12" x14ac:dyDescent="0.25">
      <c r="A15837">
        <v>101488</v>
      </c>
      <c r="B15837" t="s">
        <v>5068</v>
      </c>
      <c r="C15837" t="s">
        <v>1940</v>
      </c>
      <c r="D15837" s="254">
        <v>83.42</v>
      </c>
      <c r="E15837"/>
      <c r="F15837"/>
      <c r="G15837"/>
      <c r="H15837"/>
      <c r="I15837" s="489"/>
      <c r="J15837" s="1362"/>
      <c r="K15837" s="1362"/>
      <c r="L15837" s="1362"/>
    </row>
    <row r="15838" spans="1:12" x14ac:dyDescent="0.25">
      <c r="A15838">
        <v>101188</v>
      </c>
      <c r="B15838" t="s">
        <v>4454</v>
      </c>
      <c r="C15838" t="s">
        <v>151</v>
      </c>
      <c r="D15838" s="254">
        <v>6.77</v>
      </c>
      <c r="E15838"/>
      <c r="F15838"/>
      <c r="G15838"/>
      <c r="H15838"/>
      <c r="I15838" s="489"/>
      <c r="J15838" s="1362"/>
      <c r="K15838" s="1362"/>
      <c r="L15838" s="1362"/>
    </row>
    <row r="15839" spans="1:12" x14ac:dyDescent="0.25">
      <c r="A15839">
        <v>101189</v>
      </c>
      <c r="B15839" t="s">
        <v>4455</v>
      </c>
      <c r="C15839" t="s">
        <v>151</v>
      </c>
      <c r="D15839" s="254">
        <v>66.66</v>
      </c>
      <c r="E15839"/>
      <c r="F15839"/>
      <c r="G15839"/>
      <c r="H15839"/>
      <c r="I15839" s="489"/>
      <c r="J15839" s="1362"/>
      <c r="K15839" s="1362"/>
      <c r="L15839" s="1362"/>
    </row>
    <row r="15840" spans="1:12" x14ac:dyDescent="0.25">
      <c r="A15840">
        <v>101190</v>
      </c>
      <c r="B15840" t="s">
        <v>4456</v>
      </c>
      <c r="C15840" t="s">
        <v>151</v>
      </c>
      <c r="D15840" s="254">
        <v>65.73</v>
      </c>
      <c r="E15840"/>
      <c r="F15840"/>
      <c r="G15840"/>
      <c r="H15840"/>
      <c r="I15840" s="489"/>
      <c r="J15840" s="1362"/>
      <c r="K15840" s="1362"/>
      <c r="L15840" s="1362"/>
    </row>
    <row r="15841" spans="1:12" x14ac:dyDescent="0.25">
      <c r="A15841">
        <v>101191</v>
      </c>
      <c r="B15841" t="s">
        <v>4457</v>
      </c>
      <c r="C15841" t="s">
        <v>151</v>
      </c>
      <c r="D15841" s="254">
        <v>66.19</v>
      </c>
      <c r="E15841"/>
      <c r="F15841"/>
      <c r="G15841"/>
      <c r="H15841"/>
      <c r="I15841" s="489"/>
      <c r="J15841" s="1362"/>
      <c r="K15841" s="1362"/>
      <c r="L15841" s="1362"/>
    </row>
    <row r="15842" spans="1:12" x14ac:dyDescent="0.25">
      <c r="A15842">
        <v>101192</v>
      </c>
      <c r="B15842" t="s">
        <v>4458</v>
      </c>
      <c r="C15842" t="s">
        <v>151</v>
      </c>
      <c r="D15842" s="254">
        <v>69.42</v>
      </c>
      <c r="E15842"/>
      <c r="F15842"/>
      <c r="G15842"/>
      <c r="H15842"/>
      <c r="I15842" s="489"/>
      <c r="J15842" s="1362"/>
      <c r="K15842" s="1362"/>
      <c r="L15842" s="1362"/>
    </row>
    <row r="15843" spans="1:12" x14ac:dyDescent="0.25">
      <c r="A15843">
        <v>101193</v>
      </c>
      <c r="B15843" t="s">
        <v>4459</v>
      </c>
      <c r="C15843" t="s">
        <v>151</v>
      </c>
      <c r="D15843" s="254">
        <v>60.74</v>
      </c>
      <c r="E15843"/>
      <c r="F15843"/>
      <c r="G15843"/>
      <c r="H15843"/>
      <c r="I15843" s="489"/>
      <c r="J15843" s="1362"/>
      <c r="K15843" s="1362"/>
      <c r="L15843" s="1362"/>
    </row>
    <row r="15844" spans="1:12" x14ac:dyDescent="0.25">
      <c r="A15844">
        <v>101194</v>
      </c>
      <c r="B15844" t="s">
        <v>4460</v>
      </c>
      <c r="C15844" t="s">
        <v>151</v>
      </c>
      <c r="D15844" s="254">
        <v>61.2</v>
      </c>
      <c r="E15844"/>
      <c r="F15844"/>
      <c r="G15844"/>
      <c r="H15844"/>
      <c r="I15844" s="489"/>
      <c r="J15844" s="1362"/>
      <c r="K15844" s="1362"/>
      <c r="L15844" s="1362"/>
    </row>
    <row r="15845" spans="1:12" x14ac:dyDescent="0.25">
      <c r="A15845">
        <v>101197</v>
      </c>
      <c r="B15845" t="s">
        <v>4461</v>
      </c>
      <c r="C15845" t="s">
        <v>151</v>
      </c>
      <c r="D15845" s="254">
        <v>131.32</v>
      </c>
      <c r="E15845"/>
      <c r="F15845"/>
      <c r="G15845"/>
      <c r="H15845"/>
      <c r="I15845" s="489"/>
      <c r="J15845" s="1362"/>
      <c r="K15845" s="1362"/>
      <c r="L15845" s="1362"/>
    </row>
    <row r="15846" spans="1:12" x14ac:dyDescent="0.25">
      <c r="A15846">
        <v>101198</v>
      </c>
      <c r="B15846" t="s">
        <v>4462</v>
      </c>
      <c r="C15846" t="s">
        <v>151</v>
      </c>
      <c r="D15846" s="254">
        <v>94.37</v>
      </c>
      <c r="E15846"/>
      <c r="F15846"/>
      <c r="G15846"/>
      <c r="H15846"/>
      <c r="I15846" s="489"/>
      <c r="J15846" s="1362"/>
      <c r="K15846" s="1362"/>
      <c r="L15846" s="1362"/>
    </row>
    <row r="15847" spans="1:12" x14ac:dyDescent="0.25">
      <c r="A15847">
        <v>101199</v>
      </c>
      <c r="B15847" t="s">
        <v>4463</v>
      </c>
      <c r="C15847" t="s">
        <v>151</v>
      </c>
      <c r="D15847" s="254">
        <v>95.52</v>
      </c>
      <c r="E15847"/>
      <c r="F15847"/>
      <c r="G15847"/>
      <c r="H15847"/>
      <c r="I15847" s="489"/>
      <c r="J15847" s="1362"/>
      <c r="K15847" s="1362"/>
      <c r="L15847" s="1362"/>
    </row>
    <row r="15848" spans="1:12" x14ac:dyDescent="0.25">
      <c r="A15848">
        <v>101200</v>
      </c>
      <c r="B15848" t="s">
        <v>4464</v>
      </c>
      <c r="C15848" t="s">
        <v>151</v>
      </c>
      <c r="D15848" s="254">
        <v>69.84</v>
      </c>
      <c r="E15848"/>
      <c r="F15848"/>
      <c r="G15848"/>
      <c r="H15848"/>
      <c r="I15848" s="489"/>
      <c r="J15848" s="1362"/>
      <c r="K15848" s="1362"/>
      <c r="L15848" s="1362"/>
    </row>
    <row r="15849" spans="1:12" x14ac:dyDescent="0.25">
      <c r="A15849">
        <v>101201</v>
      </c>
      <c r="B15849" t="s">
        <v>4465</v>
      </c>
      <c r="C15849" t="s">
        <v>151</v>
      </c>
      <c r="D15849" s="254">
        <v>84.86</v>
      </c>
      <c r="E15849"/>
      <c r="F15849"/>
      <c r="G15849"/>
      <c r="H15849"/>
      <c r="I15849" s="489"/>
      <c r="J15849" s="1362"/>
      <c r="K15849" s="1362"/>
      <c r="L15849" s="1362"/>
    </row>
    <row r="15850" spans="1:12" x14ac:dyDescent="0.25">
      <c r="A15850">
        <v>101202</v>
      </c>
      <c r="B15850" t="s">
        <v>4466</v>
      </c>
      <c r="C15850" t="s">
        <v>151</v>
      </c>
      <c r="D15850" s="254">
        <v>44.43</v>
      </c>
      <c r="E15850"/>
      <c r="F15850"/>
      <c r="G15850"/>
      <c r="H15850"/>
      <c r="I15850" s="489"/>
      <c r="J15850" s="1362"/>
      <c r="K15850" s="1362"/>
      <c r="L15850" s="1362"/>
    </row>
    <row r="15851" spans="1:12" x14ac:dyDescent="0.25">
      <c r="A15851">
        <v>101203</v>
      </c>
      <c r="B15851" t="s">
        <v>4467</v>
      </c>
      <c r="C15851" t="s">
        <v>151</v>
      </c>
      <c r="D15851" s="254">
        <v>43.27</v>
      </c>
      <c r="E15851"/>
      <c r="F15851"/>
      <c r="G15851"/>
      <c r="H15851"/>
      <c r="I15851" s="489"/>
      <c r="J15851" s="1362"/>
      <c r="K15851" s="1362"/>
      <c r="L15851" s="1362"/>
    </row>
    <row r="15852" spans="1:12" x14ac:dyDescent="0.25">
      <c r="A15852">
        <v>101204</v>
      </c>
      <c r="B15852" t="s">
        <v>4468</v>
      </c>
      <c r="C15852" t="s">
        <v>151</v>
      </c>
      <c r="D15852" s="254">
        <v>43.73</v>
      </c>
      <c r="E15852"/>
      <c r="F15852"/>
      <c r="G15852"/>
      <c r="H15852"/>
      <c r="I15852" s="489"/>
      <c r="J15852" s="1362"/>
      <c r="K15852" s="1362"/>
      <c r="L15852" s="1362"/>
    </row>
    <row r="15853" spans="1:12" x14ac:dyDescent="0.25">
      <c r="A15853">
        <v>101205</v>
      </c>
      <c r="B15853" t="s">
        <v>4469</v>
      </c>
      <c r="C15853" t="s">
        <v>151</v>
      </c>
      <c r="D15853" s="254">
        <v>44.43</v>
      </c>
      <c r="E15853"/>
      <c r="F15853"/>
      <c r="G15853"/>
      <c r="H15853"/>
      <c r="I15853" s="489"/>
      <c r="J15853" s="1362"/>
      <c r="K15853" s="1362"/>
      <c r="L15853" s="1362"/>
    </row>
    <row r="15854" spans="1:12" x14ac:dyDescent="0.25">
      <c r="A15854">
        <v>102362</v>
      </c>
      <c r="B15854" t="s">
        <v>6060</v>
      </c>
      <c r="C15854" t="s">
        <v>297</v>
      </c>
      <c r="D15854" s="254">
        <v>171.13</v>
      </c>
      <c r="E15854"/>
      <c r="F15854"/>
      <c r="G15854"/>
      <c r="H15854"/>
      <c r="I15854" s="489"/>
      <c r="J15854" s="1362"/>
      <c r="K15854" s="1362"/>
      <c r="L15854" s="1362"/>
    </row>
    <row r="15855" spans="1:12" x14ac:dyDescent="0.25">
      <c r="A15855">
        <v>102363</v>
      </c>
      <c r="B15855" t="s">
        <v>6061</v>
      </c>
      <c r="C15855" t="s">
        <v>297</v>
      </c>
      <c r="D15855" s="254">
        <v>185.1</v>
      </c>
      <c r="E15855"/>
      <c r="F15855"/>
      <c r="G15855"/>
      <c r="H15855"/>
      <c r="I15855" s="489"/>
      <c r="J15855" s="1362"/>
      <c r="K15855" s="1362"/>
      <c r="L15855" s="1362"/>
    </row>
    <row r="15856" spans="1:12" x14ac:dyDescent="0.25">
      <c r="A15856">
        <v>102364</v>
      </c>
      <c r="B15856" t="s">
        <v>6062</v>
      </c>
      <c r="C15856" t="s">
        <v>297</v>
      </c>
      <c r="D15856" s="254">
        <v>210.53</v>
      </c>
      <c r="E15856"/>
      <c r="F15856"/>
      <c r="G15856"/>
      <c r="H15856"/>
      <c r="I15856" s="489"/>
      <c r="J15856" s="1362"/>
      <c r="K15856" s="1362"/>
      <c r="L15856" s="1362"/>
    </row>
    <row r="15857" spans="1:12" x14ac:dyDescent="0.25">
      <c r="A15857">
        <v>98509</v>
      </c>
      <c r="B15857" t="s">
        <v>2673</v>
      </c>
      <c r="C15857" t="s">
        <v>138</v>
      </c>
      <c r="D15857" s="254">
        <v>38.32</v>
      </c>
      <c r="E15857"/>
      <c r="F15857"/>
      <c r="G15857"/>
      <c r="H15857"/>
      <c r="I15857" s="489"/>
      <c r="J15857" s="1362"/>
      <c r="K15857" s="1362"/>
      <c r="L15857" s="1362"/>
    </row>
    <row r="15858" spans="1:12" x14ac:dyDescent="0.25">
      <c r="A15858">
        <v>98510</v>
      </c>
      <c r="B15858" t="s">
        <v>2674</v>
      </c>
      <c r="C15858" t="s">
        <v>138</v>
      </c>
      <c r="D15858" s="254">
        <v>61.81</v>
      </c>
      <c r="E15858"/>
      <c r="F15858"/>
      <c r="G15858"/>
      <c r="H15858"/>
      <c r="I15858" s="489"/>
      <c r="J15858" s="1362"/>
      <c r="K15858" s="1362"/>
      <c r="L15858" s="1362"/>
    </row>
    <row r="15859" spans="1:12" x14ac:dyDescent="0.25">
      <c r="A15859">
        <v>98511</v>
      </c>
      <c r="B15859" t="s">
        <v>2675</v>
      </c>
      <c r="C15859" t="s">
        <v>138</v>
      </c>
      <c r="D15859" s="254">
        <v>114.94</v>
      </c>
      <c r="E15859"/>
      <c r="F15859"/>
      <c r="G15859"/>
      <c r="H15859"/>
      <c r="I15859" s="489"/>
      <c r="J15859" s="1362"/>
      <c r="K15859" s="1362"/>
      <c r="L15859" s="1362"/>
    </row>
    <row r="15860" spans="1:12" x14ac:dyDescent="0.25">
      <c r="A15860">
        <v>98516</v>
      </c>
      <c r="B15860" t="s">
        <v>2676</v>
      </c>
      <c r="C15860" t="s">
        <v>138</v>
      </c>
      <c r="D15860" s="254">
        <v>336.25</v>
      </c>
      <c r="E15860"/>
      <c r="F15860"/>
      <c r="G15860"/>
      <c r="H15860"/>
      <c r="I15860" s="489"/>
      <c r="J15860" s="1362"/>
      <c r="K15860" s="1362"/>
      <c r="L15860" s="1362"/>
    </row>
    <row r="15861" spans="1:12" x14ac:dyDescent="0.25">
      <c r="A15861">
        <v>98519</v>
      </c>
      <c r="B15861" t="s">
        <v>2677</v>
      </c>
      <c r="C15861" t="s">
        <v>297</v>
      </c>
      <c r="D15861" s="254">
        <v>2.0099999999999998</v>
      </c>
      <c r="E15861"/>
      <c r="F15861"/>
      <c r="G15861"/>
      <c r="H15861"/>
      <c r="I15861" s="489"/>
      <c r="J15861" s="1362"/>
      <c r="K15861" s="1362"/>
      <c r="L15861" s="1362"/>
    </row>
    <row r="15862" spans="1:12" x14ac:dyDescent="0.25">
      <c r="A15862">
        <v>98520</v>
      </c>
      <c r="B15862" t="s">
        <v>2678</v>
      </c>
      <c r="C15862" t="s">
        <v>297</v>
      </c>
      <c r="D15862" s="254">
        <v>5.31</v>
      </c>
      <c r="E15862"/>
      <c r="F15862"/>
      <c r="G15862"/>
      <c r="H15862"/>
      <c r="I15862" s="489"/>
      <c r="J15862" s="1362"/>
      <c r="K15862" s="1362"/>
      <c r="L15862" s="1362"/>
    </row>
    <row r="15863" spans="1:12" x14ac:dyDescent="0.25">
      <c r="A15863">
        <v>98521</v>
      </c>
      <c r="B15863" t="s">
        <v>2679</v>
      </c>
      <c r="C15863" t="s">
        <v>297</v>
      </c>
      <c r="D15863" s="254">
        <v>0.36</v>
      </c>
      <c r="E15863"/>
      <c r="F15863"/>
      <c r="G15863"/>
      <c r="H15863"/>
      <c r="I15863" s="489"/>
      <c r="J15863" s="1362"/>
      <c r="K15863" s="1362"/>
      <c r="L15863" s="1362"/>
    </row>
    <row r="15864" spans="1:12" x14ac:dyDescent="0.25">
      <c r="A15864">
        <v>98522</v>
      </c>
      <c r="B15864" t="s">
        <v>2680</v>
      </c>
      <c r="C15864" t="s">
        <v>151</v>
      </c>
      <c r="D15864" s="254">
        <v>177.84</v>
      </c>
      <c r="E15864"/>
      <c r="F15864"/>
      <c r="G15864"/>
      <c r="H15864"/>
      <c r="I15864" s="489"/>
      <c r="J15864" s="1362"/>
      <c r="K15864" s="1362"/>
      <c r="L15864" s="1362"/>
    </row>
    <row r="15865" spans="1:12" x14ac:dyDescent="0.25">
      <c r="A15865">
        <v>98524</v>
      </c>
      <c r="B15865" t="s">
        <v>2681</v>
      </c>
      <c r="C15865" t="s">
        <v>297</v>
      </c>
      <c r="D15865" s="254">
        <v>3.13</v>
      </c>
      <c r="E15865"/>
      <c r="F15865"/>
      <c r="G15865"/>
      <c r="H15865"/>
      <c r="I15865" s="489"/>
      <c r="J15865" s="1362"/>
      <c r="K15865" s="1362"/>
      <c r="L15865" s="1362"/>
    </row>
    <row r="15866" spans="1:12" x14ac:dyDescent="0.25">
      <c r="A15866">
        <v>98503</v>
      </c>
      <c r="B15866" t="s">
        <v>2682</v>
      </c>
      <c r="C15866" t="s">
        <v>297</v>
      </c>
      <c r="D15866" s="254">
        <v>20.67</v>
      </c>
      <c r="E15866"/>
      <c r="F15866"/>
      <c r="G15866"/>
      <c r="H15866"/>
      <c r="I15866" s="489"/>
      <c r="J15866" s="1362"/>
      <c r="K15866" s="1362"/>
      <c r="L15866" s="1362"/>
    </row>
    <row r="15867" spans="1:12" x14ac:dyDescent="0.25">
      <c r="A15867">
        <v>98504</v>
      </c>
      <c r="B15867" t="s">
        <v>19848</v>
      </c>
      <c r="C15867" t="s">
        <v>297</v>
      </c>
      <c r="D15867" s="254">
        <v>13.78</v>
      </c>
      <c r="E15867"/>
      <c r="F15867"/>
      <c r="G15867"/>
      <c r="H15867"/>
      <c r="I15867" s="489"/>
      <c r="J15867" s="1362"/>
      <c r="K15867" s="1362"/>
      <c r="L15867" s="1362"/>
    </row>
    <row r="15868" spans="1:12" x14ac:dyDescent="0.25">
      <c r="A15868">
        <v>98505</v>
      </c>
      <c r="B15868" t="s">
        <v>2683</v>
      </c>
      <c r="C15868" t="s">
        <v>297</v>
      </c>
      <c r="D15868" s="254">
        <v>55.59</v>
      </c>
      <c r="E15868"/>
      <c r="F15868"/>
      <c r="G15868"/>
      <c r="H15868"/>
      <c r="I15868" s="489"/>
      <c r="J15868" s="1362"/>
      <c r="K15868" s="1362"/>
      <c r="L15868" s="1362"/>
    </row>
    <row r="15869" spans="1:12" x14ac:dyDescent="0.25">
      <c r="A15869">
        <v>103946</v>
      </c>
      <c r="B15869" t="s">
        <v>19849</v>
      </c>
      <c r="C15869" t="s">
        <v>297</v>
      </c>
      <c r="D15869" s="254">
        <v>17.64</v>
      </c>
      <c r="E15869"/>
      <c r="F15869"/>
      <c r="G15869"/>
      <c r="H15869"/>
      <c r="I15869" s="489"/>
      <c r="J15869" s="1362"/>
      <c r="K15869" s="1362"/>
      <c r="L15869" s="1362"/>
    </row>
    <row r="15870" spans="1:12" x14ac:dyDescent="0.25">
      <c r="A15870">
        <v>103185</v>
      </c>
      <c r="B15870" t="s">
        <v>7138</v>
      </c>
      <c r="C15870" t="s">
        <v>138</v>
      </c>
      <c r="D15870" s="254">
        <v>6108.99</v>
      </c>
      <c r="E15870"/>
      <c r="F15870"/>
      <c r="G15870"/>
      <c r="H15870"/>
      <c r="I15870" s="489"/>
      <c r="J15870" s="1362"/>
      <c r="K15870" s="1362"/>
      <c r="L15870" s="1362"/>
    </row>
    <row r="15871" spans="1:12" x14ac:dyDescent="0.25">
      <c r="A15871">
        <v>103186</v>
      </c>
      <c r="B15871" t="s">
        <v>7139</v>
      </c>
      <c r="C15871" t="s">
        <v>138</v>
      </c>
      <c r="D15871" s="254">
        <v>6433.65</v>
      </c>
      <c r="E15871"/>
      <c r="F15871"/>
      <c r="G15871"/>
      <c r="H15871"/>
      <c r="I15871" s="489"/>
      <c r="J15871" s="1362"/>
      <c r="K15871" s="1362"/>
      <c r="L15871" s="1362"/>
    </row>
    <row r="15872" spans="1:12" x14ac:dyDescent="0.25">
      <c r="A15872">
        <v>103187</v>
      </c>
      <c r="B15872" t="s">
        <v>7140</v>
      </c>
      <c r="C15872" t="s">
        <v>138</v>
      </c>
      <c r="D15872" s="254">
        <v>4840.68</v>
      </c>
      <c r="E15872"/>
      <c r="F15872"/>
      <c r="G15872"/>
      <c r="H15872"/>
      <c r="I15872" s="489"/>
      <c r="J15872" s="1362"/>
      <c r="K15872" s="1362"/>
      <c r="L15872" s="1362"/>
    </row>
    <row r="15873" spans="1:12" x14ac:dyDescent="0.25">
      <c r="A15873">
        <v>103188</v>
      </c>
      <c r="B15873" t="s">
        <v>7141</v>
      </c>
      <c r="C15873" t="s">
        <v>138</v>
      </c>
      <c r="D15873" s="254">
        <v>5201.88</v>
      </c>
      <c r="E15873"/>
      <c r="F15873"/>
      <c r="G15873"/>
      <c r="H15873"/>
      <c r="I15873" s="489"/>
      <c r="J15873" s="1362"/>
      <c r="K15873" s="1362"/>
      <c r="L15873" s="1362"/>
    </row>
    <row r="15874" spans="1:12" x14ac:dyDescent="0.25">
      <c r="A15874">
        <v>103189</v>
      </c>
      <c r="B15874" t="s">
        <v>7142</v>
      </c>
      <c r="C15874" t="s">
        <v>138</v>
      </c>
      <c r="D15874" s="254">
        <v>2608.4499999999998</v>
      </c>
      <c r="E15874"/>
      <c r="F15874"/>
      <c r="G15874"/>
      <c r="H15874"/>
      <c r="I15874" s="489"/>
      <c r="J15874" s="1362"/>
      <c r="K15874" s="1362"/>
      <c r="L15874" s="1362"/>
    </row>
    <row r="15875" spans="1:12" x14ac:dyDescent="0.25">
      <c r="A15875">
        <v>103190</v>
      </c>
      <c r="B15875" t="s">
        <v>7143</v>
      </c>
      <c r="C15875" t="s">
        <v>138</v>
      </c>
      <c r="D15875" s="254">
        <v>4056.55</v>
      </c>
      <c r="E15875"/>
      <c r="F15875"/>
      <c r="G15875"/>
      <c r="H15875"/>
      <c r="I15875" s="489"/>
      <c r="J15875" s="1362"/>
      <c r="K15875" s="1362"/>
      <c r="L15875" s="1362"/>
    </row>
    <row r="15876" spans="1:12" x14ac:dyDescent="0.25">
      <c r="A15876">
        <v>103191</v>
      </c>
      <c r="B15876" t="s">
        <v>7144</v>
      </c>
      <c r="C15876" t="s">
        <v>138</v>
      </c>
      <c r="D15876" s="254">
        <v>2367.4699999999998</v>
      </c>
      <c r="E15876"/>
      <c r="F15876"/>
      <c r="G15876"/>
      <c r="H15876"/>
      <c r="I15876" s="489"/>
      <c r="J15876" s="1362"/>
      <c r="K15876" s="1362"/>
      <c r="L15876" s="1362"/>
    </row>
    <row r="15877" spans="1:12" x14ac:dyDescent="0.25">
      <c r="A15877">
        <v>103192</v>
      </c>
      <c r="B15877" t="s">
        <v>7145</v>
      </c>
      <c r="C15877" t="s">
        <v>138</v>
      </c>
      <c r="D15877" s="254">
        <v>2519.75</v>
      </c>
      <c r="E15877"/>
      <c r="F15877"/>
      <c r="G15877"/>
      <c r="H15877"/>
      <c r="I15877" s="489"/>
      <c r="J15877" s="1362"/>
      <c r="K15877" s="1362"/>
      <c r="L15877" s="1362"/>
    </row>
    <row r="15878" spans="1:12" x14ac:dyDescent="0.25">
      <c r="A15878">
        <v>103193</v>
      </c>
      <c r="B15878" t="s">
        <v>7146</v>
      </c>
      <c r="C15878" t="s">
        <v>138</v>
      </c>
      <c r="D15878" s="254">
        <v>1943.6</v>
      </c>
      <c r="E15878"/>
      <c r="F15878"/>
      <c r="G15878"/>
      <c r="H15878"/>
      <c r="I15878" s="489"/>
      <c r="J15878" s="1362"/>
      <c r="K15878" s="1362"/>
      <c r="L15878" s="1362"/>
    </row>
    <row r="15879" spans="1:12" x14ac:dyDescent="0.25">
      <c r="A15879">
        <v>103194</v>
      </c>
      <c r="B15879" t="s">
        <v>7147</v>
      </c>
      <c r="C15879" t="s">
        <v>138</v>
      </c>
      <c r="D15879" s="254">
        <v>2794.02</v>
      </c>
      <c r="E15879"/>
      <c r="F15879"/>
      <c r="G15879"/>
      <c r="H15879"/>
      <c r="I15879" s="489"/>
      <c r="J15879" s="1362"/>
      <c r="K15879" s="1362"/>
      <c r="L15879" s="1362"/>
    </row>
    <row r="15880" spans="1:12" x14ac:dyDescent="0.25">
      <c r="A15880">
        <v>103195</v>
      </c>
      <c r="B15880" t="s">
        <v>7148</v>
      </c>
      <c r="C15880" t="s">
        <v>138</v>
      </c>
      <c r="D15880" s="254">
        <v>2183.08</v>
      </c>
      <c r="E15880"/>
      <c r="F15880"/>
      <c r="G15880"/>
      <c r="H15880"/>
      <c r="I15880" s="489"/>
      <c r="J15880" s="1362"/>
      <c r="K15880" s="1362"/>
      <c r="L15880" s="1362"/>
    </row>
    <row r="15881" spans="1:12" x14ac:dyDescent="0.25">
      <c r="A15881">
        <v>103205</v>
      </c>
      <c r="B15881" t="s">
        <v>7149</v>
      </c>
      <c r="C15881" t="s">
        <v>138</v>
      </c>
      <c r="D15881" s="254">
        <v>4068.77</v>
      </c>
      <c r="E15881"/>
      <c r="F15881"/>
      <c r="G15881"/>
      <c r="H15881"/>
      <c r="I15881" s="489"/>
      <c r="J15881" s="1362"/>
      <c r="K15881" s="1362"/>
      <c r="L15881" s="1362"/>
    </row>
    <row r="15882" spans="1:12" x14ac:dyDescent="0.25">
      <c r="A15882">
        <v>103206</v>
      </c>
      <c r="B15882" t="s">
        <v>7150</v>
      </c>
      <c r="C15882" t="s">
        <v>138</v>
      </c>
      <c r="D15882" s="254">
        <v>2379.69</v>
      </c>
      <c r="E15882"/>
      <c r="F15882"/>
      <c r="G15882"/>
      <c r="H15882"/>
      <c r="I15882" s="489"/>
      <c r="J15882" s="1362"/>
      <c r="K15882" s="1362"/>
      <c r="L15882" s="1362"/>
    </row>
    <row r="15883" spans="1:12" x14ac:dyDescent="0.25">
      <c r="A15883">
        <v>103207</v>
      </c>
      <c r="B15883" t="s">
        <v>7151</v>
      </c>
      <c r="C15883" t="s">
        <v>138</v>
      </c>
      <c r="D15883" s="254">
        <v>2531.9699999999998</v>
      </c>
      <c r="E15883"/>
      <c r="F15883"/>
      <c r="G15883"/>
      <c r="H15883"/>
      <c r="I15883" s="489"/>
      <c r="J15883" s="1362"/>
      <c r="K15883" s="1362"/>
      <c r="L15883" s="1362"/>
    </row>
    <row r="15884" spans="1:12" x14ac:dyDescent="0.25">
      <c r="A15884">
        <v>103208</v>
      </c>
      <c r="B15884" t="s">
        <v>7152</v>
      </c>
      <c r="C15884" t="s">
        <v>138</v>
      </c>
      <c r="D15884" s="254">
        <v>1955.82</v>
      </c>
      <c r="E15884"/>
      <c r="F15884"/>
      <c r="G15884"/>
      <c r="H15884"/>
      <c r="I15884" s="489"/>
      <c r="J15884" s="1362"/>
      <c r="K15884" s="1362"/>
      <c r="L15884" s="1362"/>
    </row>
    <row r="15885" spans="1:12" x14ac:dyDescent="0.25">
      <c r="A15885">
        <v>103209</v>
      </c>
      <c r="B15885" t="s">
        <v>7153</v>
      </c>
      <c r="C15885" t="s">
        <v>138</v>
      </c>
      <c r="D15885" s="254">
        <v>2806.24</v>
      </c>
      <c r="E15885"/>
      <c r="F15885"/>
      <c r="G15885"/>
      <c r="H15885"/>
      <c r="I15885" s="489"/>
      <c r="J15885" s="1362"/>
      <c r="K15885" s="1362"/>
      <c r="L15885" s="1362"/>
    </row>
    <row r="15886" spans="1:12" x14ac:dyDescent="0.25">
      <c r="A15886">
        <v>103210</v>
      </c>
      <c r="B15886" t="s">
        <v>7154</v>
      </c>
      <c r="C15886" t="s">
        <v>138</v>
      </c>
      <c r="D15886" s="254">
        <v>2288.5100000000002</v>
      </c>
      <c r="E15886"/>
      <c r="F15886"/>
      <c r="G15886"/>
      <c r="H15886"/>
      <c r="I15886" s="489"/>
      <c r="J15886" s="1362"/>
      <c r="K15886" s="1362"/>
      <c r="L15886" s="1362"/>
    </row>
    <row r="15887" spans="1:12" x14ac:dyDescent="0.25">
      <c r="A15887">
        <v>103304</v>
      </c>
      <c r="B15887" t="s">
        <v>7496</v>
      </c>
      <c r="C15887" t="s">
        <v>138</v>
      </c>
      <c r="D15887" s="254">
        <v>1240.18</v>
      </c>
      <c r="E15887"/>
      <c r="F15887"/>
      <c r="G15887"/>
      <c r="H15887"/>
      <c r="I15887" s="489"/>
      <c r="J15887" s="1362"/>
      <c r="K15887" s="1362"/>
      <c r="L15887" s="1362"/>
    </row>
    <row r="15888" spans="1:12" x14ac:dyDescent="0.25">
      <c r="A15888">
        <v>103307</v>
      </c>
      <c r="B15888" t="s">
        <v>7497</v>
      </c>
      <c r="C15888" t="s">
        <v>138</v>
      </c>
      <c r="D15888" s="254">
        <v>1330.91</v>
      </c>
      <c r="E15888"/>
      <c r="F15888"/>
      <c r="G15888"/>
      <c r="H15888"/>
      <c r="I15888" s="489"/>
      <c r="J15888" s="1362"/>
      <c r="K15888" s="1362"/>
      <c r="L15888" s="1362"/>
    </row>
    <row r="15889" spans="1:12" x14ac:dyDescent="0.25">
      <c r="A15889">
        <v>103310</v>
      </c>
      <c r="B15889" t="s">
        <v>7498</v>
      </c>
      <c r="C15889" t="s">
        <v>138</v>
      </c>
      <c r="D15889" s="254">
        <v>1278.47</v>
      </c>
      <c r="E15889"/>
      <c r="F15889"/>
      <c r="G15889"/>
      <c r="H15889"/>
      <c r="I15889" s="489"/>
      <c r="J15889" s="1362"/>
      <c r="K15889" s="1362"/>
      <c r="L15889" s="1362"/>
    </row>
    <row r="15890" spans="1:12" x14ac:dyDescent="0.25">
      <c r="A15890">
        <v>103314</v>
      </c>
      <c r="B15890" t="s">
        <v>7499</v>
      </c>
      <c r="C15890" t="s">
        <v>297</v>
      </c>
      <c r="D15890" s="254">
        <v>358.66</v>
      </c>
      <c r="E15890"/>
      <c r="F15890"/>
      <c r="G15890"/>
      <c r="H15890"/>
      <c r="I15890" s="489"/>
      <c r="J15890" s="1362"/>
      <c r="K15890" s="1362"/>
      <c r="L15890" s="1362"/>
    </row>
    <row r="15891" spans="1:12" x14ac:dyDescent="0.25">
      <c r="A15891">
        <v>103315</v>
      </c>
      <c r="B15891" t="s">
        <v>7500</v>
      </c>
      <c r="C15891" t="s">
        <v>297</v>
      </c>
      <c r="D15891" s="254">
        <v>350.22</v>
      </c>
      <c r="E15891"/>
      <c r="F15891"/>
      <c r="G15891"/>
      <c r="H15891"/>
      <c r="I15891" s="489"/>
      <c r="J15891" s="1362"/>
      <c r="K15891" s="1362"/>
      <c r="L15891" s="1362"/>
    </row>
    <row r="15892" spans="1:12" x14ac:dyDescent="0.25">
      <c r="A15892">
        <v>103769</v>
      </c>
      <c r="B15892" t="s">
        <v>13599</v>
      </c>
      <c r="C15892" t="s">
        <v>138</v>
      </c>
      <c r="D15892" s="254">
        <v>4870.8599999999997</v>
      </c>
      <c r="E15892"/>
      <c r="F15892"/>
      <c r="G15892"/>
      <c r="H15892"/>
      <c r="I15892" s="489"/>
      <c r="J15892" s="1362"/>
      <c r="K15892" s="1362"/>
      <c r="L15892" s="1362"/>
    </row>
    <row r="15893" spans="1:12" x14ac:dyDescent="0.25">
      <c r="A15893">
        <v>98525</v>
      </c>
      <c r="B15893" t="s">
        <v>2684</v>
      </c>
      <c r="C15893" t="s">
        <v>297</v>
      </c>
      <c r="D15893" s="254">
        <v>0.41</v>
      </c>
      <c r="E15893"/>
      <c r="F15893"/>
      <c r="G15893"/>
      <c r="H15893"/>
      <c r="I15893" s="489"/>
      <c r="J15893" s="1362"/>
      <c r="K15893" s="1362"/>
      <c r="L15893" s="1362"/>
    </row>
    <row r="15894" spans="1:12" x14ac:dyDescent="0.25">
      <c r="A15894">
        <v>98526</v>
      </c>
      <c r="B15894" t="s">
        <v>2685</v>
      </c>
      <c r="C15894" t="s">
        <v>138</v>
      </c>
      <c r="D15894" s="254">
        <v>80.97</v>
      </c>
      <c r="E15894"/>
      <c r="F15894"/>
      <c r="G15894"/>
      <c r="H15894"/>
      <c r="I15894" s="489"/>
      <c r="J15894" s="1362"/>
      <c r="K15894" s="1362"/>
      <c r="L15894" s="1362"/>
    </row>
    <row r="15895" spans="1:12" x14ac:dyDescent="0.25">
      <c r="A15895">
        <v>98527</v>
      </c>
      <c r="B15895" t="s">
        <v>2686</v>
      </c>
      <c r="C15895" t="s">
        <v>138</v>
      </c>
      <c r="D15895" s="254">
        <v>174.33</v>
      </c>
      <c r="E15895"/>
      <c r="F15895"/>
      <c r="G15895"/>
      <c r="H15895"/>
      <c r="I15895" s="489"/>
      <c r="J15895" s="1362"/>
      <c r="K15895" s="1362"/>
      <c r="L15895" s="1362"/>
    </row>
    <row r="15896" spans="1:12" x14ac:dyDescent="0.25">
      <c r="A15896">
        <v>98528</v>
      </c>
      <c r="B15896" t="s">
        <v>2687</v>
      </c>
      <c r="C15896" t="s">
        <v>138</v>
      </c>
      <c r="D15896" s="254">
        <v>254.92</v>
      </c>
      <c r="E15896"/>
      <c r="F15896"/>
      <c r="G15896"/>
      <c r="H15896"/>
      <c r="I15896" s="489"/>
      <c r="J15896" s="1362"/>
      <c r="K15896" s="1362"/>
      <c r="L15896" s="1362"/>
    </row>
    <row r="15897" spans="1:12" x14ac:dyDescent="0.25">
      <c r="A15897">
        <v>98529</v>
      </c>
      <c r="B15897" t="s">
        <v>2688</v>
      </c>
      <c r="C15897" t="s">
        <v>138</v>
      </c>
      <c r="D15897" s="254">
        <v>67.47</v>
      </c>
      <c r="E15897"/>
      <c r="F15897"/>
      <c r="G15897"/>
      <c r="H15897"/>
      <c r="I15897" s="489"/>
      <c r="J15897" s="1362"/>
      <c r="K15897" s="1362"/>
      <c r="L15897" s="1362"/>
    </row>
    <row r="15898" spans="1:12" x14ac:dyDescent="0.25">
      <c r="A15898">
        <v>98530</v>
      </c>
      <c r="B15898" t="s">
        <v>2689</v>
      </c>
      <c r="C15898" t="s">
        <v>138</v>
      </c>
      <c r="D15898" s="254">
        <v>120.18</v>
      </c>
      <c r="E15898"/>
      <c r="F15898"/>
      <c r="G15898"/>
      <c r="H15898"/>
      <c r="I15898" s="489"/>
      <c r="J15898" s="1362"/>
      <c r="K15898" s="1362"/>
      <c r="L15898" s="1362"/>
    </row>
    <row r="15899" spans="1:12" x14ac:dyDescent="0.25">
      <c r="A15899">
        <v>98531</v>
      </c>
      <c r="B15899" t="s">
        <v>2690</v>
      </c>
      <c r="C15899" t="s">
        <v>138</v>
      </c>
      <c r="D15899" s="254">
        <v>272.10000000000002</v>
      </c>
      <c r="E15899"/>
      <c r="F15899"/>
      <c r="G15899"/>
      <c r="H15899"/>
      <c r="I15899" s="489"/>
      <c r="J15899" s="1362"/>
      <c r="K15899" s="1362"/>
      <c r="L15899" s="1362"/>
    </row>
    <row r="15900" spans="1:12" x14ac:dyDescent="0.25">
      <c r="A15900">
        <v>98532</v>
      </c>
      <c r="B15900" t="s">
        <v>2691</v>
      </c>
      <c r="C15900" t="s">
        <v>138</v>
      </c>
      <c r="D15900" s="254">
        <v>115.93</v>
      </c>
      <c r="E15900"/>
      <c r="F15900"/>
      <c r="G15900"/>
      <c r="H15900"/>
      <c r="I15900" s="489"/>
      <c r="J15900" s="1362"/>
      <c r="K15900" s="1362"/>
      <c r="L15900" s="1362"/>
    </row>
    <row r="15901" spans="1:12" x14ac:dyDescent="0.25">
      <c r="A15901">
        <v>98533</v>
      </c>
      <c r="B15901" t="s">
        <v>2692</v>
      </c>
      <c r="C15901" t="s">
        <v>138</v>
      </c>
      <c r="D15901" s="254">
        <v>311.25</v>
      </c>
      <c r="E15901"/>
      <c r="F15901"/>
      <c r="G15901"/>
      <c r="H15901"/>
      <c r="I15901" s="489"/>
      <c r="J15901" s="1362"/>
      <c r="K15901" s="1362"/>
      <c r="L15901" s="1362"/>
    </row>
    <row r="15902" spans="1:12" x14ac:dyDescent="0.25">
      <c r="A15902">
        <v>98534</v>
      </c>
      <c r="B15902" t="s">
        <v>2693</v>
      </c>
      <c r="C15902" t="s">
        <v>138</v>
      </c>
      <c r="D15902" s="254">
        <v>804.8</v>
      </c>
      <c r="E15902"/>
      <c r="F15902"/>
      <c r="G15902"/>
      <c r="H15902"/>
      <c r="I15902" s="489"/>
      <c r="J15902" s="1362"/>
      <c r="K15902" s="1362"/>
      <c r="L15902" s="1362"/>
    </row>
    <row r="15903" spans="1:12" x14ac:dyDescent="0.25">
      <c r="A15903">
        <v>98535</v>
      </c>
      <c r="B15903" t="s">
        <v>2694</v>
      </c>
      <c r="C15903" t="s">
        <v>138</v>
      </c>
      <c r="D15903" s="254">
        <v>1261.17</v>
      </c>
      <c r="E15903"/>
      <c r="F15903"/>
      <c r="G15903"/>
      <c r="H15903"/>
      <c r="I15903" s="489"/>
      <c r="J15903" s="1362"/>
      <c r="K15903" s="1362"/>
      <c r="L15903" s="1362"/>
    </row>
    <row r="15904" spans="1:12" x14ac:dyDescent="0.25">
      <c r="A15904">
        <v>88238</v>
      </c>
      <c r="B15904" t="s">
        <v>2322</v>
      </c>
      <c r="C15904" t="s">
        <v>588</v>
      </c>
      <c r="D15904" s="254">
        <v>21.24</v>
      </c>
      <c r="E15904"/>
      <c r="F15904"/>
      <c r="G15904"/>
      <c r="H15904"/>
      <c r="I15904" s="489"/>
      <c r="J15904" s="1362"/>
      <c r="K15904" s="1362"/>
      <c r="L15904" s="1362"/>
    </row>
    <row r="15905" spans="1:12" x14ac:dyDescent="0.25">
      <c r="A15905">
        <v>88239</v>
      </c>
      <c r="B15905" t="s">
        <v>2323</v>
      </c>
      <c r="C15905" t="s">
        <v>588</v>
      </c>
      <c r="D15905" s="254">
        <v>22.05</v>
      </c>
      <c r="E15905"/>
      <c r="F15905"/>
      <c r="G15905"/>
      <c r="H15905"/>
      <c r="I15905" s="489"/>
      <c r="J15905" s="1362"/>
      <c r="K15905" s="1362"/>
      <c r="L15905" s="1362"/>
    </row>
    <row r="15906" spans="1:12" x14ac:dyDescent="0.25">
      <c r="A15906">
        <v>88240</v>
      </c>
      <c r="B15906" t="s">
        <v>2324</v>
      </c>
      <c r="C15906" t="s">
        <v>588</v>
      </c>
      <c r="D15906" s="254">
        <v>18.97</v>
      </c>
      <c r="E15906"/>
      <c r="F15906"/>
      <c r="G15906"/>
      <c r="H15906"/>
      <c r="I15906" s="489"/>
      <c r="J15906" s="1362"/>
      <c r="K15906" s="1362"/>
      <c r="L15906" s="1362"/>
    </row>
    <row r="15907" spans="1:12" x14ac:dyDescent="0.25">
      <c r="A15907">
        <v>88241</v>
      </c>
      <c r="B15907" t="s">
        <v>2325</v>
      </c>
      <c r="C15907" t="s">
        <v>588</v>
      </c>
      <c r="D15907" s="254">
        <v>21.17</v>
      </c>
      <c r="E15907"/>
      <c r="F15907"/>
      <c r="G15907"/>
      <c r="H15907"/>
      <c r="I15907" s="489"/>
      <c r="J15907" s="1362"/>
      <c r="K15907" s="1362"/>
      <c r="L15907" s="1362"/>
    </row>
    <row r="15908" spans="1:12" x14ac:dyDescent="0.25">
      <c r="A15908">
        <v>88242</v>
      </c>
      <c r="B15908" t="s">
        <v>2326</v>
      </c>
      <c r="C15908" t="s">
        <v>588</v>
      </c>
      <c r="D15908" s="254">
        <v>21.29</v>
      </c>
      <c r="E15908"/>
      <c r="F15908"/>
      <c r="G15908"/>
      <c r="H15908"/>
      <c r="I15908" s="489"/>
      <c r="J15908" s="1362"/>
      <c r="K15908" s="1362"/>
      <c r="L15908" s="1362"/>
    </row>
    <row r="15909" spans="1:12" x14ac:dyDescent="0.25">
      <c r="A15909">
        <v>88243</v>
      </c>
      <c r="B15909" t="s">
        <v>2327</v>
      </c>
      <c r="C15909" t="s">
        <v>588</v>
      </c>
      <c r="D15909" s="254">
        <v>22.39</v>
      </c>
      <c r="E15909"/>
      <c r="F15909"/>
      <c r="G15909"/>
      <c r="H15909"/>
      <c r="I15909" s="489"/>
      <c r="J15909" s="1362"/>
      <c r="K15909" s="1362"/>
      <c r="L15909" s="1362"/>
    </row>
    <row r="15910" spans="1:12" x14ac:dyDescent="0.25">
      <c r="A15910">
        <v>88245</v>
      </c>
      <c r="B15910" t="s">
        <v>2328</v>
      </c>
      <c r="C15910" t="s">
        <v>588</v>
      </c>
      <c r="D15910" s="254">
        <v>30.24</v>
      </c>
      <c r="E15910"/>
      <c r="F15910"/>
      <c r="G15910"/>
      <c r="H15910"/>
      <c r="I15910" s="489"/>
      <c r="J15910" s="1362"/>
      <c r="K15910" s="1362"/>
      <c r="L15910" s="1362"/>
    </row>
    <row r="15911" spans="1:12" x14ac:dyDescent="0.25">
      <c r="A15911">
        <v>88246</v>
      </c>
      <c r="B15911" t="s">
        <v>2329</v>
      </c>
      <c r="C15911" t="s">
        <v>588</v>
      </c>
      <c r="D15911" s="254">
        <v>24.06</v>
      </c>
      <c r="E15911"/>
      <c r="F15911"/>
      <c r="G15911"/>
      <c r="H15911"/>
      <c r="I15911" s="489"/>
      <c r="J15911" s="1362"/>
      <c r="K15911" s="1362"/>
      <c r="L15911" s="1362"/>
    </row>
    <row r="15912" spans="1:12" x14ac:dyDescent="0.25">
      <c r="A15912">
        <v>88247</v>
      </c>
      <c r="B15912" t="s">
        <v>2330</v>
      </c>
      <c r="C15912" t="s">
        <v>588</v>
      </c>
      <c r="D15912" s="254">
        <v>27.36</v>
      </c>
      <c r="E15912"/>
      <c r="F15912"/>
      <c r="G15912"/>
      <c r="H15912"/>
      <c r="I15912" s="489"/>
      <c r="J15912" s="1362"/>
      <c r="K15912" s="1362"/>
      <c r="L15912" s="1362"/>
    </row>
    <row r="15913" spans="1:12" x14ac:dyDescent="0.25">
      <c r="A15913">
        <v>88248</v>
      </c>
      <c r="B15913" t="s">
        <v>2331</v>
      </c>
      <c r="C15913" t="s">
        <v>588</v>
      </c>
      <c r="D15913" s="254">
        <v>22.34</v>
      </c>
      <c r="E15913"/>
      <c r="F15913"/>
      <c r="G15913"/>
      <c r="H15913"/>
      <c r="I15913" s="489"/>
      <c r="J15913" s="1362"/>
      <c r="K15913" s="1362"/>
      <c r="L15913" s="1362"/>
    </row>
    <row r="15914" spans="1:12" x14ac:dyDescent="0.25">
      <c r="A15914">
        <v>88249</v>
      </c>
      <c r="B15914" t="s">
        <v>2332</v>
      </c>
      <c r="C15914" t="s">
        <v>588</v>
      </c>
      <c r="D15914" s="254">
        <v>33.85</v>
      </c>
      <c r="E15914"/>
      <c r="F15914"/>
      <c r="G15914"/>
      <c r="H15914"/>
      <c r="I15914" s="489"/>
      <c r="J15914" s="1362"/>
      <c r="K15914" s="1362"/>
      <c r="L15914" s="1362"/>
    </row>
    <row r="15915" spans="1:12" x14ac:dyDescent="0.25">
      <c r="A15915">
        <v>88250</v>
      </c>
      <c r="B15915" t="s">
        <v>2333</v>
      </c>
      <c r="C15915" t="s">
        <v>588</v>
      </c>
      <c r="D15915" s="254">
        <v>18.93</v>
      </c>
      <c r="E15915"/>
      <c r="F15915"/>
      <c r="G15915"/>
      <c r="H15915"/>
      <c r="I15915" s="489"/>
      <c r="J15915" s="1362"/>
      <c r="K15915" s="1362"/>
      <c r="L15915" s="1362"/>
    </row>
    <row r="15916" spans="1:12" x14ac:dyDescent="0.25">
      <c r="A15916">
        <v>88251</v>
      </c>
      <c r="B15916" t="s">
        <v>2334</v>
      </c>
      <c r="C15916" t="s">
        <v>588</v>
      </c>
      <c r="D15916" s="254">
        <v>22.98</v>
      </c>
      <c r="E15916"/>
      <c r="F15916"/>
      <c r="G15916"/>
      <c r="H15916"/>
      <c r="I15916" s="489"/>
      <c r="J15916" s="1362"/>
      <c r="K15916" s="1362"/>
      <c r="L15916" s="1362"/>
    </row>
    <row r="15917" spans="1:12" x14ac:dyDescent="0.25">
      <c r="A15917">
        <v>88252</v>
      </c>
      <c r="B15917" t="s">
        <v>2335</v>
      </c>
      <c r="C15917" t="s">
        <v>588</v>
      </c>
      <c r="D15917" s="254">
        <v>20.69</v>
      </c>
      <c r="E15917"/>
      <c r="F15917"/>
      <c r="G15917"/>
      <c r="H15917"/>
      <c r="I15917" s="489"/>
      <c r="J15917" s="1362"/>
      <c r="K15917" s="1362"/>
      <c r="L15917" s="1362"/>
    </row>
    <row r="15918" spans="1:12" x14ac:dyDescent="0.25">
      <c r="A15918">
        <v>88253</v>
      </c>
      <c r="B15918" t="s">
        <v>2336</v>
      </c>
      <c r="C15918" t="s">
        <v>588</v>
      </c>
      <c r="D15918" s="254">
        <v>13.07</v>
      </c>
      <c r="E15918"/>
      <c r="F15918"/>
      <c r="G15918"/>
      <c r="H15918"/>
      <c r="I15918" s="489"/>
      <c r="J15918" s="1362"/>
      <c r="K15918" s="1362"/>
      <c r="L15918" s="1362"/>
    </row>
    <row r="15919" spans="1:12" x14ac:dyDescent="0.25">
      <c r="A15919">
        <v>88255</v>
      </c>
      <c r="B15919" t="s">
        <v>2337</v>
      </c>
      <c r="C15919" t="s">
        <v>588</v>
      </c>
      <c r="D15919" s="254">
        <v>30.43</v>
      </c>
      <c r="E15919"/>
      <c r="F15919"/>
      <c r="G15919"/>
      <c r="H15919"/>
      <c r="I15919" s="489"/>
      <c r="J15919" s="1362"/>
      <c r="K15919" s="1362"/>
      <c r="L15919" s="1362"/>
    </row>
    <row r="15920" spans="1:12" x14ac:dyDescent="0.25">
      <c r="A15920">
        <v>88256</v>
      </c>
      <c r="B15920" t="s">
        <v>2338</v>
      </c>
      <c r="C15920" t="s">
        <v>588</v>
      </c>
      <c r="D15920" s="254">
        <v>30.3</v>
      </c>
      <c r="E15920"/>
      <c r="F15920"/>
      <c r="G15920"/>
      <c r="H15920"/>
      <c r="I15920" s="489"/>
      <c r="J15920" s="1362"/>
      <c r="K15920" s="1362"/>
      <c r="L15920" s="1362"/>
    </row>
    <row r="15921" spans="1:12" x14ac:dyDescent="0.25">
      <c r="A15921">
        <v>88257</v>
      </c>
      <c r="B15921" t="s">
        <v>2339</v>
      </c>
      <c r="C15921" t="s">
        <v>588</v>
      </c>
      <c r="D15921" s="254">
        <v>23.22</v>
      </c>
      <c r="E15921"/>
      <c r="F15921"/>
      <c r="G15921"/>
      <c r="H15921"/>
      <c r="I15921" s="489"/>
      <c r="J15921" s="1362"/>
      <c r="K15921" s="1362"/>
      <c r="L15921" s="1362"/>
    </row>
    <row r="15922" spans="1:12" x14ac:dyDescent="0.25">
      <c r="A15922">
        <v>88258</v>
      </c>
      <c r="B15922" t="s">
        <v>2340</v>
      </c>
      <c r="C15922" t="s">
        <v>588</v>
      </c>
      <c r="D15922" s="254">
        <v>24.31</v>
      </c>
      <c r="E15922"/>
      <c r="F15922"/>
      <c r="G15922"/>
      <c r="H15922"/>
      <c r="I15922" s="489"/>
      <c r="J15922" s="1362"/>
      <c r="K15922" s="1362"/>
      <c r="L15922" s="1362"/>
    </row>
    <row r="15923" spans="1:12" x14ac:dyDescent="0.25">
      <c r="A15923">
        <v>88260</v>
      </c>
      <c r="B15923" t="s">
        <v>2341</v>
      </c>
      <c r="C15923" t="s">
        <v>588</v>
      </c>
      <c r="D15923" s="254">
        <v>30.24</v>
      </c>
      <c r="E15923"/>
      <c r="F15923"/>
      <c r="G15923"/>
      <c r="H15923"/>
      <c r="I15923" s="489"/>
      <c r="J15923" s="1362"/>
      <c r="K15923" s="1362"/>
      <c r="L15923" s="1362"/>
    </row>
    <row r="15924" spans="1:12" x14ac:dyDescent="0.25">
      <c r="A15924">
        <v>88261</v>
      </c>
      <c r="B15924" t="s">
        <v>2342</v>
      </c>
      <c r="C15924" t="s">
        <v>588</v>
      </c>
      <c r="D15924" s="254">
        <v>27.46</v>
      </c>
      <c r="E15924"/>
      <c r="F15924"/>
      <c r="G15924"/>
      <c r="H15924"/>
      <c r="I15924" s="489"/>
      <c r="J15924" s="1362"/>
      <c r="K15924" s="1362"/>
      <c r="L15924" s="1362"/>
    </row>
    <row r="15925" spans="1:12" x14ac:dyDescent="0.25">
      <c r="A15925">
        <v>88262</v>
      </c>
      <c r="B15925" t="s">
        <v>2343</v>
      </c>
      <c r="C15925" t="s">
        <v>588</v>
      </c>
      <c r="D15925" s="254">
        <v>28.9</v>
      </c>
      <c r="E15925"/>
      <c r="F15925"/>
      <c r="G15925"/>
      <c r="H15925"/>
      <c r="I15925" s="489"/>
      <c r="J15925" s="1362"/>
      <c r="K15925" s="1362"/>
      <c r="L15925" s="1362"/>
    </row>
    <row r="15926" spans="1:12" x14ac:dyDescent="0.25">
      <c r="A15926">
        <v>88263</v>
      </c>
      <c r="B15926" t="s">
        <v>2344</v>
      </c>
      <c r="C15926" t="s">
        <v>588</v>
      </c>
      <c r="D15926" s="254">
        <v>17.66</v>
      </c>
      <c r="E15926"/>
      <c r="F15926"/>
      <c r="G15926"/>
      <c r="H15926"/>
      <c r="I15926" s="489"/>
      <c r="J15926" s="1362"/>
      <c r="K15926" s="1362"/>
      <c r="L15926" s="1362"/>
    </row>
    <row r="15927" spans="1:12" x14ac:dyDescent="0.25">
      <c r="A15927">
        <v>88264</v>
      </c>
      <c r="B15927" t="s">
        <v>2345</v>
      </c>
      <c r="C15927" t="s">
        <v>588</v>
      </c>
      <c r="D15927" s="254">
        <v>36.19</v>
      </c>
      <c r="E15927"/>
      <c r="F15927"/>
      <c r="G15927"/>
      <c r="H15927"/>
      <c r="I15927" s="489"/>
      <c r="J15927" s="1362"/>
      <c r="K15927" s="1362"/>
      <c r="L15927" s="1362"/>
    </row>
    <row r="15928" spans="1:12" x14ac:dyDescent="0.25">
      <c r="A15928">
        <v>88265</v>
      </c>
      <c r="B15928" t="s">
        <v>2346</v>
      </c>
      <c r="C15928" t="s">
        <v>588</v>
      </c>
      <c r="D15928" s="254">
        <v>34.299999999999997</v>
      </c>
      <c r="E15928"/>
      <c r="F15928"/>
      <c r="G15928"/>
      <c r="H15928"/>
      <c r="I15928" s="489"/>
      <c r="J15928" s="1362"/>
      <c r="K15928" s="1362"/>
      <c r="L15928" s="1362"/>
    </row>
    <row r="15929" spans="1:12" x14ac:dyDescent="0.25">
      <c r="A15929">
        <v>88266</v>
      </c>
      <c r="B15929" t="s">
        <v>2347</v>
      </c>
      <c r="C15929" t="s">
        <v>588</v>
      </c>
      <c r="D15929" s="254">
        <v>40.020000000000003</v>
      </c>
      <c r="E15929"/>
      <c r="F15929"/>
      <c r="G15929"/>
      <c r="H15929"/>
      <c r="I15929" s="489"/>
      <c r="J15929" s="1362"/>
      <c r="K15929" s="1362"/>
      <c r="L15929" s="1362"/>
    </row>
    <row r="15930" spans="1:12" x14ac:dyDescent="0.25">
      <c r="A15930">
        <v>88267</v>
      </c>
      <c r="B15930" t="s">
        <v>2348</v>
      </c>
      <c r="C15930" t="s">
        <v>588</v>
      </c>
      <c r="D15930" s="254">
        <v>29.56</v>
      </c>
      <c r="E15930"/>
      <c r="F15930"/>
      <c r="G15930"/>
      <c r="H15930"/>
      <c r="I15930" s="489"/>
      <c r="J15930" s="1362"/>
      <c r="K15930" s="1362"/>
      <c r="L15930" s="1362"/>
    </row>
    <row r="15931" spans="1:12" x14ac:dyDescent="0.25">
      <c r="A15931">
        <v>88269</v>
      </c>
      <c r="B15931" t="s">
        <v>2349</v>
      </c>
      <c r="C15931" t="s">
        <v>588</v>
      </c>
      <c r="D15931" s="254">
        <v>29.97</v>
      </c>
      <c r="E15931"/>
      <c r="F15931"/>
      <c r="G15931"/>
      <c r="H15931"/>
      <c r="I15931" s="489"/>
      <c r="J15931" s="1362"/>
      <c r="K15931" s="1362"/>
      <c r="L15931" s="1362"/>
    </row>
    <row r="15932" spans="1:12" x14ac:dyDescent="0.25">
      <c r="A15932">
        <v>88270</v>
      </c>
      <c r="B15932" t="s">
        <v>2350</v>
      </c>
      <c r="C15932" t="s">
        <v>588</v>
      </c>
      <c r="D15932" s="254">
        <v>30.44</v>
      </c>
      <c r="E15932"/>
      <c r="F15932"/>
      <c r="G15932"/>
      <c r="H15932"/>
      <c r="I15932" s="489"/>
      <c r="J15932" s="1362"/>
      <c r="K15932" s="1362"/>
      <c r="L15932" s="1362"/>
    </row>
    <row r="15933" spans="1:12" x14ac:dyDescent="0.25">
      <c r="A15933">
        <v>88272</v>
      </c>
      <c r="B15933" t="s">
        <v>2351</v>
      </c>
      <c r="C15933" t="s">
        <v>588</v>
      </c>
      <c r="D15933" s="254">
        <v>28.54</v>
      </c>
      <c r="E15933"/>
      <c r="F15933"/>
      <c r="G15933"/>
      <c r="H15933"/>
      <c r="I15933" s="489"/>
      <c r="J15933" s="1362"/>
      <c r="K15933" s="1362"/>
      <c r="L15933" s="1362"/>
    </row>
    <row r="15934" spans="1:12" x14ac:dyDescent="0.25">
      <c r="A15934">
        <v>88273</v>
      </c>
      <c r="B15934" t="s">
        <v>2352</v>
      </c>
      <c r="C15934" t="s">
        <v>588</v>
      </c>
      <c r="D15934" s="254">
        <v>27.08</v>
      </c>
      <c r="E15934"/>
      <c r="F15934"/>
      <c r="G15934"/>
      <c r="H15934"/>
      <c r="I15934" s="489"/>
      <c r="J15934" s="1362"/>
      <c r="K15934" s="1362"/>
      <c r="L15934" s="1362"/>
    </row>
    <row r="15935" spans="1:12" x14ac:dyDescent="0.25">
      <c r="A15935">
        <v>88274</v>
      </c>
      <c r="B15935" t="s">
        <v>2353</v>
      </c>
      <c r="C15935" t="s">
        <v>588</v>
      </c>
      <c r="D15935" s="254">
        <v>23.38</v>
      </c>
      <c r="E15935"/>
      <c r="F15935"/>
      <c r="G15935"/>
      <c r="H15935"/>
      <c r="I15935" s="489"/>
      <c r="J15935" s="1362"/>
      <c r="K15935" s="1362"/>
      <c r="L15935" s="1362"/>
    </row>
    <row r="15936" spans="1:12" x14ac:dyDescent="0.25">
      <c r="A15936">
        <v>88275</v>
      </c>
      <c r="B15936" t="s">
        <v>2354</v>
      </c>
      <c r="C15936" t="s">
        <v>588</v>
      </c>
      <c r="D15936" s="254">
        <v>31.29</v>
      </c>
      <c r="E15936"/>
      <c r="F15936"/>
      <c r="G15936"/>
      <c r="H15936"/>
      <c r="I15936" s="489"/>
      <c r="J15936" s="1362"/>
      <c r="K15936" s="1362"/>
      <c r="L15936" s="1362"/>
    </row>
    <row r="15937" spans="1:12" x14ac:dyDescent="0.25">
      <c r="A15937">
        <v>88277</v>
      </c>
      <c r="B15937" t="s">
        <v>2355</v>
      </c>
      <c r="C15937" t="s">
        <v>588</v>
      </c>
      <c r="D15937" s="254">
        <v>25.6</v>
      </c>
      <c r="E15937"/>
      <c r="F15937"/>
      <c r="G15937"/>
      <c r="H15937"/>
      <c r="I15937" s="489"/>
      <c r="J15937" s="1362"/>
      <c r="K15937" s="1362"/>
      <c r="L15937" s="1362"/>
    </row>
    <row r="15938" spans="1:12" x14ac:dyDescent="0.25">
      <c r="A15938">
        <v>88278</v>
      </c>
      <c r="B15938" t="s">
        <v>2356</v>
      </c>
      <c r="C15938" t="s">
        <v>588</v>
      </c>
      <c r="D15938" s="254">
        <v>23.17</v>
      </c>
      <c r="E15938"/>
      <c r="F15938"/>
      <c r="G15938"/>
      <c r="H15938"/>
      <c r="I15938" s="489"/>
      <c r="J15938" s="1362"/>
      <c r="K15938" s="1362"/>
      <c r="L15938" s="1362"/>
    </row>
    <row r="15939" spans="1:12" x14ac:dyDescent="0.25">
      <c r="A15939">
        <v>88279</v>
      </c>
      <c r="B15939" t="s">
        <v>2357</v>
      </c>
      <c r="C15939" t="s">
        <v>588</v>
      </c>
      <c r="D15939" s="254">
        <v>38.47</v>
      </c>
      <c r="E15939"/>
      <c r="F15939"/>
      <c r="G15939"/>
      <c r="H15939"/>
      <c r="I15939" s="489"/>
      <c r="J15939" s="1362"/>
      <c r="K15939" s="1362"/>
      <c r="L15939" s="1362"/>
    </row>
    <row r="15940" spans="1:12" x14ac:dyDescent="0.25">
      <c r="A15940">
        <v>88281</v>
      </c>
      <c r="B15940" t="s">
        <v>2358</v>
      </c>
      <c r="C15940" t="s">
        <v>588</v>
      </c>
      <c r="D15940" s="254">
        <v>22.1</v>
      </c>
      <c r="E15940"/>
      <c r="F15940"/>
      <c r="G15940"/>
      <c r="H15940"/>
      <c r="I15940" s="489"/>
      <c r="J15940" s="1362"/>
      <c r="K15940" s="1362"/>
      <c r="L15940" s="1362"/>
    </row>
    <row r="15941" spans="1:12" x14ac:dyDescent="0.25">
      <c r="A15941">
        <v>88282</v>
      </c>
      <c r="B15941" t="s">
        <v>2359</v>
      </c>
      <c r="C15941" t="s">
        <v>588</v>
      </c>
      <c r="D15941" s="254">
        <v>23.3</v>
      </c>
      <c r="E15941"/>
      <c r="F15941"/>
      <c r="G15941"/>
      <c r="H15941"/>
      <c r="I15941" s="489"/>
      <c r="J15941" s="1362"/>
      <c r="K15941" s="1362"/>
      <c r="L15941" s="1362"/>
    </row>
    <row r="15942" spans="1:12" x14ac:dyDescent="0.25">
      <c r="A15942">
        <v>88283</v>
      </c>
      <c r="B15942" t="s">
        <v>2360</v>
      </c>
      <c r="C15942" t="s">
        <v>588</v>
      </c>
      <c r="D15942" s="254">
        <v>30.34</v>
      </c>
      <c r="E15942"/>
      <c r="F15942"/>
      <c r="G15942"/>
      <c r="H15942"/>
      <c r="I15942" s="489"/>
      <c r="J15942" s="1362"/>
      <c r="K15942" s="1362"/>
      <c r="L15942" s="1362"/>
    </row>
    <row r="15943" spans="1:12" x14ac:dyDescent="0.25">
      <c r="A15943">
        <v>88284</v>
      </c>
      <c r="B15943" t="s">
        <v>2361</v>
      </c>
      <c r="C15943" t="s">
        <v>588</v>
      </c>
      <c r="D15943" s="254">
        <v>24.86</v>
      </c>
      <c r="E15943"/>
      <c r="F15943"/>
      <c r="G15943"/>
      <c r="H15943"/>
      <c r="I15943" s="489"/>
      <c r="J15943" s="1362"/>
      <c r="K15943" s="1362"/>
      <c r="L15943" s="1362"/>
    </row>
    <row r="15944" spans="1:12" x14ac:dyDescent="0.25">
      <c r="A15944">
        <v>88285</v>
      </c>
      <c r="B15944" t="s">
        <v>2362</v>
      </c>
      <c r="C15944" t="s">
        <v>588</v>
      </c>
      <c r="D15944" s="254">
        <v>24.61</v>
      </c>
      <c r="E15944"/>
      <c r="F15944"/>
      <c r="G15944"/>
      <c r="H15944"/>
      <c r="I15944" s="489"/>
      <c r="J15944" s="1362"/>
      <c r="K15944" s="1362"/>
      <c r="L15944" s="1362"/>
    </row>
    <row r="15945" spans="1:12" x14ac:dyDescent="0.25">
      <c r="A15945">
        <v>88286</v>
      </c>
      <c r="B15945" t="s">
        <v>2363</v>
      </c>
      <c r="C15945" t="s">
        <v>588</v>
      </c>
      <c r="D15945" s="254">
        <v>25.65</v>
      </c>
      <c r="E15945"/>
      <c r="F15945"/>
      <c r="G15945"/>
      <c r="H15945"/>
      <c r="I15945" s="489"/>
      <c r="J15945" s="1362"/>
      <c r="K15945" s="1362"/>
      <c r="L15945" s="1362"/>
    </row>
    <row r="15946" spans="1:12" x14ac:dyDescent="0.25">
      <c r="A15946">
        <v>88288</v>
      </c>
      <c r="B15946" t="s">
        <v>2364</v>
      </c>
      <c r="C15946" t="s">
        <v>588</v>
      </c>
      <c r="D15946" s="254">
        <v>16.25</v>
      </c>
      <c r="E15946"/>
      <c r="F15946"/>
      <c r="G15946"/>
      <c r="H15946"/>
      <c r="I15946" s="489"/>
      <c r="J15946" s="1362"/>
      <c r="K15946" s="1362"/>
      <c r="L15946" s="1362"/>
    </row>
    <row r="15947" spans="1:12" x14ac:dyDescent="0.25">
      <c r="A15947">
        <v>88291</v>
      </c>
      <c r="B15947" t="s">
        <v>2365</v>
      </c>
      <c r="C15947" t="s">
        <v>588</v>
      </c>
      <c r="D15947" s="254">
        <v>21.27</v>
      </c>
      <c r="E15947"/>
      <c r="F15947"/>
      <c r="G15947"/>
      <c r="H15947"/>
      <c r="I15947" s="489"/>
      <c r="J15947" s="1362"/>
      <c r="K15947" s="1362"/>
      <c r="L15947" s="1362"/>
    </row>
    <row r="15948" spans="1:12" x14ac:dyDescent="0.25">
      <c r="A15948">
        <v>88292</v>
      </c>
      <c r="B15948" t="s">
        <v>2366</v>
      </c>
      <c r="C15948" t="s">
        <v>588</v>
      </c>
      <c r="D15948" s="254">
        <v>21.74</v>
      </c>
      <c r="E15948"/>
      <c r="F15948"/>
      <c r="G15948"/>
      <c r="H15948"/>
      <c r="I15948" s="489"/>
      <c r="J15948" s="1362"/>
      <c r="K15948" s="1362"/>
      <c r="L15948" s="1362"/>
    </row>
    <row r="15949" spans="1:12" x14ac:dyDescent="0.25">
      <c r="A15949">
        <v>88293</v>
      </c>
      <c r="B15949" t="s">
        <v>2367</v>
      </c>
      <c r="C15949" t="s">
        <v>588</v>
      </c>
      <c r="D15949" s="254">
        <v>25.65</v>
      </c>
      <c r="E15949"/>
      <c r="F15949"/>
      <c r="G15949"/>
      <c r="H15949"/>
      <c r="I15949" s="489"/>
      <c r="J15949" s="1362"/>
      <c r="K15949" s="1362"/>
      <c r="L15949" s="1362"/>
    </row>
    <row r="15950" spans="1:12" x14ac:dyDescent="0.25">
      <c r="A15950">
        <v>88294</v>
      </c>
      <c r="B15950" t="s">
        <v>2368</v>
      </c>
      <c r="C15950" t="s">
        <v>588</v>
      </c>
      <c r="D15950" s="254">
        <v>27.96</v>
      </c>
      <c r="E15950"/>
      <c r="F15950"/>
      <c r="G15950"/>
      <c r="H15950"/>
      <c r="I15950" s="489"/>
      <c r="J15950" s="1362"/>
      <c r="K15950" s="1362"/>
      <c r="L15950" s="1362"/>
    </row>
    <row r="15951" spans="1:12" x14ac:dyDescent="0.25">
      <c r="A15951">
        <v>88295</v>
      </c>
      <c r="B15951" t="s">
        <v>2369</v>
      </c>
      <c r="C15951" t="s">
        <v>588</v>
      </c>
      <c r="D15951" s="254">
        <v>25.67</v>
      </c>
      <c r="E15951"/>
      <c r="F15951"/>
      <c r="G15951"/>
      <c r="H15951"/>
      <c r="I15951" s="489"/>
      <c r="J15951" s="1362"/>
      <c r="K15951" s="1362"/>
      <c r="L15951" s="1362"/>
    </row>
    <row r="15952" spans="1:12" x14ac:dyDescent="0.25">
      <c r="A15952">
        <v>88296</v>
      </c>
      <c r="B15952" t="s">
        <v>2370</v>
      </c>
      <c r="C15952" t="s">
        <v>588</v>
      </c>
      <c r="D15952" s="254">
        <v>25.67</v>
      </c>
      <c r="E15952"/>
      <c r="F15952"/>
      <c r="G15952"/>
      <c r="H15952"/>
      <c r="I15952" s="489"/>
      <c r="J15952" s="1362"/>
      <c r="K15952" s="1362"/>
      <c r="L15952" s="1362"/>
    </row>
    <row r="15953" spans="1:12" x14ac:dyDescent="0.25">
      <c r="A15953">
        <v>88297</v>
      </c>
      <c r="B15953" t="s">
        <v>2371</v>
      </c>
      <c r="C15953" t="s">
        <v>588</v>
      </c>
      <c r="D15953" s="254">
        <v>26.21</v>
      </c>
      <c r="E15953"/>
      <c r="F15953"/>
      <c r="G15953"/>
      <c r="H15953"/>
      <c r="I15953" s="489"/>
      <c r="J15953" s="1362"/>
      <c r="K15953" s="1362"/>
      <c r="L15953" s="1362"/>
    </row>
    <row r="15954" spans="1:12" x14ac:dyDescent="0.25">
      <c r="A15954">
        <v>88298</v>
      </c>
      <c r="B15954" t="s">
        <v>2372</v>
      </c>
      <c r="C15954" t="s">
        <v>588</v>
      </c>
      <c r="D15954" s="254">
        <v>22.07</v>
      </c>
      <c r="E15954"/>
      <c r="F15954"/>
      <c r="G15954"/>
      <c r="H15954"/>
      <c r="I15954" s="489"/>
      <c r="J15954" s="1362"/>
      <c r="K15954" s="1362"/>
      <c r="L15954" s="1362"/>
    </row>
    <row r="15955" spans="1:12" x14ac:dyDescent="0.25">
      <c r="A15955">
        <v>88299</v>
      </c>
      <c r="B15955" t="s">
        <v>2373</v>
      </c>
      <c r="C15955" t="s">
        <v>588</v>
      </c>
      <c r="D15955" s="254">
        <v>26.05</v>
      </c>
      <c r="E15955"/>
      <c r="F15955"/>
      <c r="G15955"/>
      <c r="H15955"/>
      <c r="I15955" s="489"/>
      <c r="J15955" s="1362"/>
      <c r="K15955" s="1362"/>
      <c r="L15955" s="1362"/>
    </row>
    <row r="15956" spans="1:12" x14ac:dyDescent="0.25">
      <c r="A15956">
        <v>88300</v>
      </c>
      <c r="B15956" t="s">
        <v>2374</v>
      </c>
      <c r="C15956" t="s">
        <v>588</v>
      </c>
      <c r="D15956" s="254">
        <v>31.44</v>
      </c>
      <c r="E15956"/>
      <c r="F15956"/>
      <c r="G15956"/>
      <c r="H15956"/>
      <c r="I15956" s="489"/>
      <c r="J15956" s="1362"/>
      <c r="K15956" s="1362"/>
      <c r="L15956" s="1362"/>
    </row>
    <row r="15957" spans="1:12" x14ac:dyDescent="0.25">
      <c r="A15957">
        <v>88301</v>
      </c>
      <c r="B15957" t="s">
        <v>2375</v>
      </c>
      <c r="C15957" t="s">
        <v>588</v>
      </c>
      <c r="D15957" s="254">
        <v>31.42</v>
      </c>
      <c r="E15957"/>
      <c r="F15957"/>
      <c r="G15957"/>
      <c r="H15957"/>
      <c r="I15957" s="489"/>
      <c r="J15957" s="1362"/>
      <c r="K15957" s="1362"/>
      <c r="L15957" s="1362"/>
    </row>
    <row r="15958" spans="1:12" x14ac:dyDescent="0.25">
      <c r="A15958">
        <v>88302</v>
      </c>
      <c r="B15958" t="s">
        <v>2376</v>
      </c>
      <c r="C15958" t="s">
        <v>588</v>
      </c>
      <c r="D15958" s="254">
        <v>26.83</v>
      </c>
      <c r="E15958"/>
      <c r="F15958"/>
      <c r="G15958"/>
      <c r="H15958"/>
      <c r="I15958" s="489"/>
      <c r="J15958" s="1362"/>
      <c r="K15958" s="1362"/>
      <c r="L15958" s="1362"/>
    </row>
    <row r="15959" spans="1:12" x14ac:dyDescent="0.25">
      <c r="A15959">
        <v>88303</v>
      </c>
      <c r="B15959" t="s">
        <v>2377</v>
      </c>
      <c r="C15959" t="s">
        <v>588</v>
      </c>
      <c r="D15959" s="254">
        <v>20.37</v>
      </c>
      <c r="E15959"/>
      <c r="F15959"/>
      <c r="G15959"/>
      <c r="H15959"/>
      <c r="I15959" s="489"/>
      <c r="J15959" s="1362"/>
      <c r="K15959" s="1362"/>
      <c r="L15959" s="1362"/>
    </row>
    <row r="15960" spans="1:12" x14ac:dyDescent="0.25">
      <c r="A15960">
        <v>88304</v>
      </c>
      <c r="B15960" t="s">
        <v>2378</v>
      </c>
      <c r="C15960" t="s">
        <v>588</v>
      </c>
      <c r="D15960" s="254">
        <v>23.36</v>
      </c>
      <c r="E15960"/>
      <c r="F15960"/>
      <c r="G15960"/>
      <c r="H15960"/>
      <c r="I15960" s="489"/>
      <c r="J15960" s="1362"/>
      <c r="K15960" s="1362"/>
      <c r="L15960" s="1362"/>
    </row>
    <row r="15961" spans="1:12" x14ac:dyDescent="0.25">
      <c r="A15961">
        <v>88306</v>
      </c>
      <c r="B15961" t="s">
        <v>2379</v>
      </c>
      <c r="C15961" t="s">
        <v>588</v>
      </c>
      <c r="D15961" s="254">
        <v>25.26</v>
      </c>
      <c r="E15961"/>
      <c r="F15961"/>
      <c r="G15961"/>
      <c r="H15961"/>
      <c r="I15961" s="489"/>
      <c r="J15961" s="1362"/>
      <c r="K15961" s="1362"/>
      <c r="L15961" s="1362"/>
    </row>
    <row r="15962" spans="1:12" x14ac:dyDescent="0.25">
      <c r="A15962">
        <v>88307</v>
      </c>
      <c r="B15962" t="s">
        <v>2380</v>
      </c>
      <c r="C15962" t="s">
        <v>588</v>
      </c>
      <c r="D15962" s="254">
        <v>23.85</v>
      </c>
      <c r="E15962"/>
      <c r="F15962"/>
      <c r="G15962"/>
      <c r="H15962"/>
      <c r="I15962" s="489"/>
      <c r="J15962" s="1362"/>
      <c r="K15962" s="1362"/>
      <c r="L15962" s="1362"/>
    </row>
    <row r="15963" spans="1:12" x14ac:dyDescent="0.25">
      <c r="A15963">
        <v>88308</v>
      </c>
      <c r="B15963" t="s">
        <v>2381</v>
      </c>
      <c r="C15963" t="s">
        <v>588</v>
      </c>
      <c r="D15963" s="254">
        <v>30.3</v>
      </c>
      <c r="E15963"/>
      <c r="F15963"/>
      <c r="G15963"/>
      <c r="H15963"/>
      <c r="I15963" s="489"/>
      <c r="J15963" s="1362"/>
      <c r="K15963" s="1362"/>
      <c r="L15963" s="1362"/>
    </row>
    <row r="15964" spans="1:12" x14ac:dyDescent="0.25">
      <c r="A15964">
        <v>88309</v>
      </c>
      <c r="B15964" t="s">
        <v>2382</v>
      </c>
      <c r="C15964" t="s">
        <v>588</v>
      </c>
      <c r="D15964" s="254">
        <v>30.44</v>
      </c>
      <c r="E15964"/>
      <c r="F15964"/>
      <c r="G15964"/>
      <c r="H15964"/>
      <c r="I15964" s="489"/>
      <c r="J15964" s="1362"/>
      <c r="K15964" s="1362"/>
      <c r="L15964" s="1362"/>
    </row>
    <row r="15965" spans="1:12" x14ac:dyDescent="0.25">
      <c r="A15965">
        <v>88310</v>
      </c>
      <c r="B15965" t="s">
        <v>2383</v>
      </c>
      <c r="C15965" t="s">
        <v>588</v>
      </c>
      <c r="D15965" s="254">
        <v>30.24</v>
      </c>
      <c r="E15965"/>
      <c r="F15965"/>
      <c r="G15965"/>
      <c r="H15965"/>
      <c r="I15965" s="489"/>
      <c r="J15965" s="1362"/>
      <c r="K15965" s="1362"/>
      <c r="L15965" s="1362"/>
    </row>
    <row r="15966" spans="1:12" x14ac:dyDescent="0.25">
      <c r="A15966">
        <v>88311</v>
      </c>
      <c r="B15966" t="s">
        <v>2384</v>
      </c>
      <c r="C15966" t="s">
        <v>588</v>
      </c>
      <c r="D15966" s="254">
        <v>29.49</v>
      </c>
      <c r="E15966"/>
      <c r="F15966"/>
      <c r="G15966"/>
      <c r="H15966"/>
      <c r="I15966" s="489"/>
      <c r="J15966" s="1362"/>
      <c r="K15966" s="1362"/>
      <c r="L15966" s="1362"/>
    </row>
    <row r="15967" spans="1:12" x14ac:dyDescent="0.25">
      <c r="A15967">
        <v>88312</v>
      </c>
      <c r="B15967" t="s">
        <v>2385</v>
      </c>
      <c r="C15967" t="s">
        <v>588</v>
      </c>
      <c r="D15967" s="254">
        <v>30.24</v>
      </c>
      <c r="E15967"/>
      <c r="F15967"/>
      <c r="G15967"/>
      <c r="H15967"/>
      <c r="I15967" s="489"/>
      <c r="J15967" s="1362"/>
      <c r="K15967" s="1362"/>
      <c r="L15967" s="1362"/>
    </row>
    <row r="15968" spans="1:12" x14ac:dyDescent="0.25">
      <c r="A15968">
        <v>88313</v>
      </c>
      <c r="B15968" t="s">
        <v>2386</v>
      </c>
      <c r="C15968" t="s">
        <v>588</v>
      </c>
      <c r="D15968" s="254">
        <v>21.14</v>
      </c>
      <c r="E15968"/>
      <c r="F15968"/>
      <c r="G15968"/>
      <c r="H15968"/>
      <c r="I15968" s="489"/>
      <c r="J15968" s="1362"/>
      <c r="K15968" s="1362"/>
      <c r="L15968" s="1362"/>
    </row>
    <row r="15969" spans="1:12" x14ac:dyDescent="0.25">
      <c r="A15969">
        <v>88314</v>
      </c>
      <c r="B15969" t="s">
        <v>2387</v>
      </c>
      <c r="C15969" t="s">
        <v>588</v>
      </c>
      <c r="D15969" s="254">
        <v>18.84</v>
      </c>
      <c r="E15969"/>
      <c r="F15969"/>
      <c r="G15969"/>
      <c r="H15969"/>
      <c r="I15969" s="489"/>
      <c r="J15969" s="1362"/>
      <c r="K15969" s="1362"/>
      <c r="L15969" s="1362"/>
    </row>
    <row r="15970" spans="1:12" x14ac:dyDescent="0.25">
      <c r="A15970">
        <v>88315</v>
      </c>
      <c r="B15970" t="s">
        <v>2388</v>
      </c>
      <c r="C15970" t="s">
        <v>588</v>
      </c>
      <c r="D15970" s="254">
        <v>30.24</v>
      </c>
      <c r="E15970"/>
      <c r="F15970"/>
      <c r="G15970"/>
      <c r="H15970"/>
      <c r="I15970" s="489"/>
      <c r="J15970" s="1362"/>
      <c r="K15970" s="1362"/>
      <c r="L15970" s="1362"/>
    </row>
    <row r="15971" spans="1:12" x14ac:dyDescent="0.25">
      <c r="A15971">
        <v>88316</v>
      </c>
      <c r="B15971" t="s">
        <v>2389</v>
      </c>
      <c r="C15971" t="s">
        <v>588</v>
      </c>
      <c r="D15971" s="254">
        <v>20.82</v>
      </c>
      <c r="E15971"/>
      <c r="F15971"/>
      <c r="G15971"/>
      <c r="H15971"/>
      <c r="I15971" s="489"/>
      <c r="J15971" s="1362"/>
      <c r="K15971" s="1362"/>
      <c r="L15971" s="1362"/>
    </row>
    <row r="15972" spans="1:12" x14ac:dyDescent="0.25">
      <c r="A15972">
        <v>88317</v>
      </c>
      <c r="B15972" t="s">
        <v>2390</v>
      </c>
      <c r="C15972" t="s">
        <v>588</v>
      </c>
      <c r="D15972" s="254">
        <v>29.84</v>
      </c>
      <c r="E15972"/>
      <c r="F15972"/>
      <c r="G15972"/>
      <c r="H15972"/>
      <c r="I15972" s="489"/>
      <c r="J15972" s="1362"/>
      <c r="K15972" s="1362"/>
      <c r="L15972" s="1362"/>
    </row>
    <row r="15973" spans="1:12" x14ac:dyDescent="0.25">
      <c r="A15973">
        <v>88318</v>
      </c>
      <c r="B15973" t="s">
        <v>2391</v>
      </c>
      <c r="C15973" t="s">
        <v>588</v>
      </c>
      <c r="D15973" s="254">
        <v>24.73</v>
      </c>
      <c r="E15973"/>
      <c r="F15973"/>
      <c r="G15973"/>
      <c r="H15973"/>
      <c r="I15973" s="489"/>
      <c r="J15973" s="1362"/>
      <c r="K15973" s="1362"/>
      <c r="L15973" s="1362"/>
    </row>
    <row r="15974" spans="1:12" x14ac:dyDescent="0.25">
      <c r="A15974">
        <v>88320</v>
      </c>
      <c r="B15974" t="s">
        <v>2392</v>
      </c>
      <c r="C15974" t="s">
        <v>588</v>
      </c>
      <c r="D15974" s="254">
        <v>28.9</v>
      </c>
      <c r="E15974"/>
      <c r="F15974"/>
      <c r="G15974"/>
      <c r="H15974"/>
      <c r="I15974" s="489"/>
      <c r="J15974" s="1362"/>
      <c r="K15974" s="1362"/>
      <c r="L15974" s="1362"/>
    </row>
    <row r="15975" spans="1:12" x14ac:dyDescent="0.25">
      <c r="A15975">
        <v>88321</v>
      </c>
      <c r="B15975" t="s">
        <v>2393</v>
      </c>
      <c r="C15975" t="s">
        <v>588</v>
      </c>
      <c r="D15975" s="254">
        <v>39.119999999999997</v>
      </c>
      <c r="E15975"/>
      <c r="F15975"/>
      <c r="G15975"/>
      <c r="H15975"/>
      <c r="I15975" s="489"/>
      <c r="J15975" s="1362"/>
      <c r="K15975" s="1362"/>
      <c r="L15975" s="1362"/>
    </row>
    <row r="15976" spans="1:12" x14ac:dyDescent="0.25">
      <c r="A15976">
        <v>88322</v>
      </c>
      <c r="B15976" t="s">
        <v>2394</v>
      </c>
      <c r="C15976" t="s">
        <v>588</v>
      </c>
      <c r="D15976" s="254">
        <v>34.08</v>
      </c>
      <c r="E15976"/>
      <c r="F15976"/>
      <c r="G15976"/>
      <c r="H15976"/>
      <c r="I15976" s="489"/>
      <c r="J15976" s="1362"/>
      <c r="K15976" s="1362"/>
      <c r="L15976" s="1362"/>
    </row>
    <row r="15977" spans="1:12" x14ac:dyDescent="0.25">
      <c r="A15977">
        <v>88323</v>
      </c>
      <c r="B15977" t="s">
        <v>2395</v>
      </c>
      <c r="C15977" t="s">
        <v>588</v>
      </c>
      <c r="D15977" s="254">
        <v>28.58</v>
      </c>
      <c r="E15977"/>
      <c r="F15977"/>
      <c r="G15977"/>
      <c r="H15977"/>
      <c r="I15977" s="489"/>
      <c r="J15977" s="1362"/>
      <c r="K15977" s="1362"/>
      <c r="L15977" s="1362"/>
    </row>
    <row r="15978" spans="1:12" x14ac:dyDescent="0.25">
      <c r="A15978">
        <v>88324</v>
      </c>
      <c r="B15978" t="s">
        <v>2396</v>
      </c>
      <c r="C15978" t="s">
        <v>588</v>
      </c>
      <c r="D15978" s="254">
        <v>27.73</v>
      </c>
      <c r="E15978"/>
      <c r="F15978"/>
      <c r="G15978"/>
      <c r="H15978"/>
      <c r="I15978" s="489"/>
      <c r="J15978" s="1362"/>
      <c r="K15978" s="1362"/>
      <c r="L15978" s="1362"/>
    </row>
    <row r="15979" spans="1:12" x14ac:dyDescent="0.25">
      <c r="A15979">
        <v>88325</v>
      </c>
      <c r="B15979" t="s">
        <v>2397</v>
      </c>
      <c r="C15979" t="s">
        <v>588</v>
      </c>
      <c r="D15979" s="254">
        <v>23.77</v>
      </c>
      <c r="E15979"/>
      <c r="F15979"/>
      <c r="G15979"/>
      <c r="H15979"/>
      <c r="I15979" s="489"/>
      <c r="J15979" s="1362"/>
      <c r="K15979" s="1362"/>
      <c r="L15979" s="1362"/>
    </row>
    <row r="15980" spans="1:12" x14ac:dyDescent="0.25">
      <c r="A15980">
        <v>88326</v>
      </c>
      <c r="B15980" t="s">
        <v>2398</v>
      </c>
      <c r="C15980" t="s">
        <v>588</v>
      </c>
      <c r="D15980" s="254">
        <v>27.04</v>
      </c>
      <c r="E15980"/>
      <c r="F15980"/>
      <c r="G15980"/>
      <c r="H15980"/>
      <c r="I15980" s="489"/>
      <c r="J15980" s="1362"/>
      <c r="K15980" s="1362"/>
      <c r="L15980" s="1362"/>
    </row>
    <row r="15981" spans="1:12" x14ac:dyDescent="0.25">
      <c r="A15981">
        <v>88377</v>
      </c>
      <c r="B15981" t="s">
        <v>2399</v>
      </c>
      <c r="C15981" t="s">
        <v>588</v>
      </c>
      <c r="D15981" s="254">
        <v>20.61</v>
      </c>
      <c r="E15981"/>
      <c r="F15981"/>
      <c r="G15981"/>
      <c r="H15981"/>
      <c r="I15981" s="489"/>
      <c r="J15981" s="1362"/>
      <c r="K15981" s="1362"/>
      <c r="L15981" s="1362"/>
    </row>
    <row r="15982" spans="1:12" x14ac:dyDescent="0.25">
      <c r="A15982">
        <v>88441</v>
      </c>
      <c r="B15982" t="s">
        <v>2400</v>
      </c>
      <c r="C15982" t="s">
        <v>588</v>
      </c>
      <c r="D15982" s="254">
        <v>22.87</v>
      </c>
      <c r="E15982"/>
      <c r="F15982"/>
      <c r="G15982"/>
      <c r="H15982"/>
      <c r="I15982" s="489"/>
      <c r="J15982" s="1362"/>
      <c r="K15982" s="1362"/>
      <c r="L15982" s="1362"/>
    </row>
    <row r="15983" spans="1:12" x14ac:dyDescent="0.25">
      <c r="A15983">
        <v>88597</v>
      </c>
      <c r="B15983" t="s">
        <v>2401</v>
      </c>
      <c r="C15983" t="s">
        <v>588</v>
      </c>
      <c r="D15983" s="254">
        <v>26.1</v>
      </c>
      <c r="E15983"/>
      <c r="F15983"/>
      <c r="G15983"/>
      <c r="H15983"/>
      <c r="I15983" s="489"/>
      <c r="J15983" s="1362"/>
      <c r="K15983" s="1362"/>
      <c r="L15983" s="1362"/>
    </row>
    <row r="15984" spans="1:12" x14ac:dyDescent="0.25">
      <c r="A15984">
        <v>90766</v>
      </c>
      <c r="B15984" t="s">
        <v>2402</v>
      </c>
      <c r="C15984" t="s">
        <v>588</v>
      </c>
      <c r="D15984" s="254">
        <v>29.12</v>
      </c>
      <c r="E15984"/>
      <c r="F15984"/>
      <c r="G15984"/>
      <c r="H15984"/>
      <c r="I15984" s="489"/>
      <c r="J15984" s="1362"/>
      <c r="K15984" s="1362"/>
      <c r="L15984" s="1362"/>
    </row>
    <row r="15985" spans="1:12" x14ac:dyDescent="0.25">
      <c r="A15985">
        <v>90767</v>
      </c>
      <c r="B15985" t="s">
        <v>2403</v>
      </c>
      <c r="C15985" t="s">
        <v>588</v>
      </c>
      <c r="D15985" s="254">
        <v>27.4</v>
      </c>
      <c r="E15985"/>
      <c r="F15985"/>
      <c r="G15985"/>
      <c r="H15985"/>
      <c r="I15985" s="489"/>
      <c r="J15985" s="1362"/>
      <c r="K15985" s="1362"/>
      <c r="L15985" s="1362"/>
    </row>
    <row r="15986" spans="1:12" x14ac:dyDescent="0.25">
      <c r="A15986">
        <v>90768</v>
      </c>
      <c r="B15986" t="s">
        <v>2404</v>
      </c>
      <c r="C15986" t="s">
        <v>588</v>
      </c>
      <c r="D15986" s="254">
        <v>79.94</v>
      </c>
      <c r="E15986"/>
      <c r="F15986"/>
      <c r="G15986"/>
      <c r="H15986"/>
      <c r="I15986" s="489"/>
      <c r="J15986" s="1362"/>
      <c r="K15986" s="1362"/>
      <c r="L15986" s="1362"/>
    </row>
    <row r="15987" spans="1:12" x14ac:dyDescent="0.25">
      <c r="A15987">
        <v>90769</v>
      </c>
      <c r="B15987" t="s">
        <v>2405</v>
      </c>
      <c r="C15987" t="s">
        <v>588</v>
      </c>
      <c r="D15987" s="254">
        <v>112.89</v>
      </c>
      <c r="E15987"/>
      <c r="F15987"/>
      <c r="G15987"/>
      <c r="H15987"/>
      <c r="I15987" s="489"/>
      <c r="J15987" s="1362"/>
      <c r="K15987" s="1362"/>
      <c r="L15987" s="1362"/>
    </row>
    <row r="15988" spans="1:12" x14ac:dyDescent="0.25">
      <c r="A15988">
        <v>90770</v>
      </c>
      <c r="B15988" t="s">
        <v>2406</v>
      </c>
      <c r="C15988" t="s">
        <v>588</v>
      </c>
      <c r="D15988" s="254">
        <v>148.76</v>
      </c>
      <c r="E15988"/>
      <c r="F15988"/>
      <c r="G15988"/>
      <c r="H15988"/>
      <c r="I15988" s="489"/>
      <c r="J15988" s="1362"/>
      <c r="K15988" s="1362"/>
      <c r="L15988" s="1362"/>
    </row>
    <row r="15989" spans="1:12" x14ac:dyDescent="0.25">
      <c r="A15989">
        <v>90771</v>
      </c>
      <c r="B15989" t="s">
        <v>2407</v>
      </c>
      <c r="C15989" t="s">
        <v>588</v>
      </c>
      <c r="D15989" s="254">
        <v>20.94</v>
      </c>
      <c r="E15989"/>
      <c r="F15989"/>
      <c r="G15989"/>
      <c r="H15989"/>
      <c r="I15989" s="489"/>
      <c r="J15989" s="1362"/>
      <c r="K15989" s="1362"/>
      <c r="L15989" s="1362"/>
    </row>
    <row r="15990" spans="1:12" x14ac:dyDescent="0.25">
      <c r="A15990">
        <v>90772</v>
      </c>
      <c r="B15990" t="s">
        <v>2408</v>
      </c>
      <c r="C15990" t="s">
        <v>588</v>
      </c>
      <c r="D15990" s="254">
        <v>26.37</v>
      </c>
      <c r="E15990"/>
      <c r="F15990"/>
      <c r="G15990"/>
      <c r="H15990"/>
      <c r="I15990" s="489"/>
      <c r="J15990" s="1362"/>
      <c r="K15990" s="1362"/>
      <c r="L15990" s="1362"/>
    </row>
    <row r="15991" spans="1:12" x14ac:dyDescent="0.25">
      <c r="A15991">
        <v>90773</v>
      </c>
      <c r="B15991" t="s">
        <v>2409</v>
      </c>
      <c r="C15991" t="s">
        <v>588</v>
      </c>
      <c r="D15991" s="254">
        <v>14.56</v>
      </c>
      <c r="E15991"/>
      <c r="F15991"/>
      <c r="G15991"/>
      <c r="H15991"/>
      <c r="I15991" s="489"/>
      <c r="J15991" s="1362"/>
      <c r="K15991" s="1362"/>
      <c r="L15991" s="1362"/>
    </row>
    <row r="15992" spans="1:12" x14ac:dyDescent="0.25">
      <c r="A15992">
        <v>90775</v>
      </c>
      <c r="B15992" t="s">
        <v>2410</v>
      </c>
      <c r="C15992" t="s">
        <v>588</v>
      </c>
      <c r="D15992" s="254">
        <v>21.84</v>
      </c>
      <c r="E15992"/>
      <c r="F15992"/>
      <c r="G15992"/>
      <c r="H15992"/>
      <c r="I15992" s="489"/>
      <c r="J15992" s="1362"/>
      <c r="K15992" s="1362"/>
      <c r="L15992" s="1362"/>
    </row>
    <row r="15993" spans="1:12" x14ac:dyDescent="0.25">
      <c r="A15993">
        <v>90776</v>
      </c>
      <c r="B15993" t="s">
        <v>2411</v>
      </c>
      <c r="C15993" t="s">
        <v>588</v>
      </c>
      <c r="D15993" s="254">
        <v>35.14</v>
      </c>
      <c r="E15993"/>
      <c r="F15993"/>
      <c r="G15993"/>
      <c r="H15993"/>
      <c r="I15993" s="489"/>
      <c r="J15993" s="1362"/>
      <c r="K15993" s="1362"/>
      <c r="L15993" s="1362"/>
    </row>
    <row r="15994" spans="1:12" x14ac:dyDescent="0.25">
      <c r="A15994">
        <v>90777</v>
      </c>
      <c r="B15994" t="s">
        <v>2412</v>
      </c>
      <c r="C15994" t="s">
        <v>588</v>
      </c>
      <c r="D15994" s="254">
        <v>108.47</v>
      </c>
      <c r="E15994"/>
      <c r="F15994"/>
      <c r="G15994"/>
      <c r="H15994"/>
      <c r="I15994" s="489"/>
      <c r="J15994" s="1362"/>
      <c r="K15994" s="1362"/>
      <c r="L15994" s="1362"/>
    </row>
    <row r="15995" spans="1:12" x14ac:dyDescent="0.25">
      <c r="A15995">
        <v>90778</v>
      </c>
      <c r="B15995" t="s">
        <v>2413</v>
      </c>
      <c r="C15995" t="s">
        <v>588</v>
      </c>
      <c r="D15995" s="254">
        <v>123.25</v>
      </c>
      <c r="E15995"/>
      <c r="F15995"/>
      <c r="G15995"/>
      <c r="H15995"/>
      <c r="I15995" s="489"/>
      <c r="J15995" s="1362"/>
      <c r="K15995" s="1362"/>
      <c r="L15995" s="1362"/>
    </row>
    <row r="15996" spans="1:12" x14ac:dyDescent="0.25">
      <c r="A15996">
        <v>90779</v>
      </c>
      <c r="B15996" t="s">
        <v>2414</v>
      </c>
      <c r="C15996" t="s">
        <v>588</v>
      </c>
      <c r="D15996" s="254">
        <v>167.92</v>
      </c>
      <c r="E15996"/>
      <c r="F15996"/>
      <c r="G15996"/>
      <c r="H15996"/>
      <c r="I15996" s="489"/>
      <c r="J15996" s="1362"/>
      <c r="K15996" s="1362"/>
      <c r="L15996" s="1362"/>
    </row>
    <row r="15997" spans="1:12" x14ac:dyDescent="0.25">
      <c r="A15997">
        <v>90780</v>
      </c>
      <c r="B15997" t="s">
        <v>2415</v>
      </c>
      <c r="C15997" t="s">
        <v>588</v>
      </c>
      <c r="D15997" s="254">
        <v>57.5</v>
      </c>
      <c r="E15997"/>
      <c r="F15997"/>
      <c r="G15997"/>
      <c r="H15997"/>
      <c r="I15997" s="489"/>
      <c r="J15997" s="1362"/>
      <c r="K15997" s="1362"/>
      <c r="L15997" s="1362"/>
    </row>
    <row r="15998" spans="1:12" x14ac:dyDescent="0.25">
      <c r="A15998">
        <v>90781</v>
      </c>
      <c r="B15998" t="s">
        <v>2416</v>
      </c>
      <c r="C15998" t="s">
        <v>588</v>
      </c>
      <c r="D15998" s="254">
        <v>27.17</v>
      </c>
      <c r="E15998"/>
      <c r="F15998"/>
      <c r="G15998"/>
      <c r="H15998"/>
      <c r="I15998" s="489"/>
      <c r="J15998" s="1362"/>
      <c r="K15998" s="1362"/>
      <c r="L15998" s="1362"/>
    </row>
    <row r="15999" spans="1:12" x14ac:dyDescent="0.25">
      <c r="A15999">
        <v>91677</v>
      </c>
      <c r="B15999" t="s">
        <v>2417</v>
      </c>
      <c r="C15999" t="s">
        <v>588</v>
      </c>
      <c r="D15999" s="254">
        <v>118.42</v>
      </c>
      <c r="E15999"/>
      <c r="F15999"/>
      <c r="G15999"/>
      <c r="H15999"/>
      <c r="I15999" s="489"/>
      <c r="J15999" s="1362"/>
      <c r="K15999" s="1362"/>
      <c r="L15999" s="1362"/>
    </row>
    <row r="16000" spans="1:12" x14ac:dyDescent="0.25">
      <c r="A16000">
        <v>91678</v>
      </c>
      <c r="B16000" t="s">
        <v>2418</v>
      </c>
      <c r="C16000" t="s">
        <v>588</v>
      </c>
      <c r="D16000" s="254">
        <v>109.42</v>
      </c>
      <c r="E16000"/>
      <c r="F16000"/>
      <c r="G16000"/>
      <c r="H16000"/>
      <c r="I16000" s="489"/>
      <c r="J16000" s="1362"/>
      <c r="K16000" s="1362"/>
      <c r="L16000" s="1362"/>
    </row>
    <row r="16001" spans="1:12" x14ac:dyDescent="0.25">
      <c r="A16001">
        <v>93558</v>
      </c>
      <c r="B16001" t="s">
        <v>2419</v>
      </c>
      <c r="C16001" t="s">
        <v>312</v>
      </c>
      <c r="D16001" s="254">
        <v>4133.54</v>
      </c>
      <c r="E16001"/>
      <c r="F16001"/>
      <c r="G16001"/>
      <c r="H16001"/>
      <c r="I16001" s="489"/>
      <c r="J16001" s="1362"/>
      <c r="K16001" s="1362"/>
      <c r="L16001" s="1362"/>
    </row>
    <row r="16002" spans="1:12" x14ac:dyDescent="0.25">
      <c r="A16002">
        <v>93559</v>
      </c>
      <c r="B16002" t="s">
        <v>2401</v>
      </c>
      <c r="C16002" t="s">
        <v>312</v>
      </c>
      <c r="D16002" s="254">
        <v>4620.93</v>
      </c>
      <c r="E16002"/>
      <c r="F16002"/>
      <c r="G16002"/>
      <c r="H16002"/>
      <c r="I16002" s="489"/>
      <c r="J16002" s="1362"/>
      <c r="K16002" s="1362"/>
      <c r="L16002" s="1362"/>
    </row>
    <row r="16003" spans="1:12" x14ac:dyDescent="0.25">
      <c r="A16003">
        <v>93560</v>
      </c>
      <c r="B16003" t="s">
        <v>2409</v>
      </c>
      <c r="C16003" t="s">
        <v>312</v>
      </c>
      <c r="D16003" s="254">
        <v>2587.9299999999998</v>
      </c>
      <c r="E16003"/>
      <c r="F16003"/>
      <c r="G16003"/>
      <c r="H16003"/>
      <c r="I16003" s="489"/>
      <c r="J16003" s="1362"/>
      <c r="K16003" s="1362"/>
      <c r="L16003" s="1362"/>
    </row>
    <row r="16004" spans="1:12" x14ac:dyDescent="0.25">
      <c r="A16004">
        <v>93561</v>
      </c>
      <c r="B16004" t="s">
        <v>2410</v>
      </c>
      <c r="C16004" t="s">
        <v>312</v>
      </c>
      <c r="D16004" s="254">
        <v>3872.28</v>
      </c>
      <c r="E16004"/>
      <c r="F16004"/>
      <c r="G16004"/>
      <c r="H16004"/>
      <c r="I16004" s="489"/>
      <c r="J16004" s="1362"/>
      <c r="K16004" s="1362"/>
      <c r="L16004" s="1362"/>
    </row>
    <row r="16005" spans="1:12" x14ac:dyDescent="0.25">
      <c r="A16005">
        <v>93562</v>
      </c>
      <c r="B16005" t="s">
        <v>2407</v>
      </c>
      <c r="C16005" t="s">
        <v>312</v>
      </c>
      <c r="D16005" s="254">
        <v>3714.02</v>
      </c>
      <c r="E16005"/>
      <c r="F16005"/>
      <c r="G16005"/>
      <c r="H16005"/>
      <c r="I16005" s="489"/>
      <c r="J16005" s="1362"/>
      <c r="K16005" s="1362"/>
      <c r="L16005" s="1362"/>
    </row>
    <row r="16006" spans="1:12" x14ac:dyDescent="0.25">
      <c r="A16006">
        <v>93563</v>
      </c>
      <c r="B16006" t="s">
        <v>2402</v>
      </c>
      <c r="C16006" t="s">
        <v>312</v>
      </c>
      <c r="D16006" s="254">
        <v>5154.4399999999996</v>
      </c>
      <c r="E16006"/>
      <c r="F16006"/>
      <c r="G16006"/>
      <c r="H16006"/>
      <c r="I16006" s="489"/>
      <c r="J16006" s="1362"/>
      <c r="K16006" s="1362"/>
      <c r="L16006" s="1362"/>
    </row>
    <row r="16007" spans="1:12" x14ac:dyDescent="0.25">
      <c r="A16007">
        <v>93564</v>
      </c>
      <c r="B16007" t="s">
        <v>2403</v>
      </c>
      <c r="C16007" t="s">
        <v>312</v>
      </c>
      <c r="D16007" s="254">
        <v>4837.6499999999996</v>
      </c>
      <c r="E16007"/>
      <c r="F16007"/>
      <c r="G16007"/>
      <c r="H16007"/>
      <c r="I16007" s="489"/>
      <c r="J16007" s="1362"/>
      <c r="K16007" s="1362"/>
      <c r="L16007" s="1362"/>
    </row>
    <row r="16008" spans="1:12" x14ac:dyDescent="0.25">
      <c r="A16008">
        <v>93565</v>
      </c>
      <c r="B16008" t="s">
        <v>2412</v>
      </c>
      <c r="C16008" t="s">
        <v>312</v>
      </c>
      <c r="D16008" s="254">
        <v>19102.5</v>
      </c>
      <c r="E16008"/>
      <c r="F16008"/>
      <c r="G16008"/>
      <c r="H16008"/>
      <c r="I16008" s="489"/>
      <c r="J16008" s="1362"/>
      <c r="K16008" s="1362"/>
      <c r="L16008" s="1362"/>
    </row>
    <row r="16009" spans="1:12" x14ac:dyDescent="0.25">
      <c r="A16009">
        <v>93566</v>
      </c>
      <c r="B16009" t="s">
        <v>2408</v>
      </c>
      <c r="C16009" t="s">
        <v>312</v>
      </c>
      <c r="D16009" s="254">
        <v>4671.43</v>
      </c>
      <c r="E16009"/>
      <c r="F16009"/>
      <c r="G16009"/>
      <c r="H16009"/>
      <c r="I16009" s="489"/>
      <c r="J16009" s="1362"/>
      <c r="K16009" s="1362"/>
      <c r="L16009" s="1362"/>
    </row>
    <row r="16010" spans="1:12" x14ac:dyDescent="0.25">
      <c r="A16010">
        <v>93567</v>
      </c>
      <c r="B16010" t="s">
        <v>2413</v>
      </c>
      <c r="C16010" t="s">
        <v>312</v>
      </c>
      <c r="D16010" s="254">
        <v>21702.560000000001</v>
      </c>
      <c r="E16010"/>
      <c r="F16010"/>
      <c r="G16010"/>
      <c r="H16010"/>
      <c r="I16010" s="489"/>
      <c r="J16010" s="1362"/>
      <c r="K16010" s="1362"/>
      <c r="L16010" s="1362"/>
    </row>
    <row r="16011" spans="1:12" x14ac:dyDescent="0.25">
      <c r="A16011">
        <v>93568</v>
      </c>
      <c r="B16011" t="s">
        <v>2414</v>
      </c>
      <c r="C16011" t="s">
        <v>312</v>
      </c>
      <c r="D16011" s="254">
        <v>29560.53</v>
      </c>
      <c r="E16011"/>
      <c r="F16011"/>
      <c r="G16011"/>
      <c r="H16011"/>
      <c r="I16011" s="489"/>
      <c r="J16011" s="1362"/>
      <c r="K16011" s="1362"/>
      <c r="L16011" s="1362"/>
    </row>
    <row r="16012" spans="1:12" x14ac:dyDescent="0.25">
      <c r="A16012">
        <v>93569</v>
      </c>
      <c r="B16012" t="s">
        <v>2420</v>
      </c>
      <c r="C16012" t="s">
        <v>312</v>
      </c>
      <c r="D16012" s="254">
        <v>14101.62</v>
      </c>
      <c r="E16012"/>
      <c r="F16012"/>
      <c r="G16012"/>
      <c r="H16012"/>
      <c r="I16012" s="489"/>
      <c r="J16012" s="1362"/>
      <c r="K16012" s="1362"/>
      <c r="L16012" s="1362"/>
    </row>
    <row r="16013" spans="1:12" x14ac:dyDescent="0.25">
      <c r="A16013">
        <v>93570</v>
      </c>
      <c r="B16013" t="s">
        <v>2421</v>
      </c>
      <c r="C16013" t="s">
        <v>312</v>
      </c>
      <c r="D16013" s="254">
        <v>19908.43</v>
      </c>
      <c r="E16013"/>
      <c r="F16013"/>
      <c r="G16013"/>
      <c r="H16013"/>
      <c r="I16013" s="489"/>
      <c r="J16013" s="1362"/>
      <c r="K16013" s="1362"/>
      <c r="L16013" s="1362"/>
    </row>
    <row r="16014" spans="1:12" x14ac:dyDescent="0.25">
      <c r="A16014">
        <v>93571</v>
      </c>
      <c r="B16014" t="s">
        <v>2422</v>
      </c>
      <c r="C16014" t="s">
        <v>312</v>
      </c>
      <c r="D16014" s="254">
        <v>26227.45</v>
      </c>
      <c r="E16014"/>
      <c r="F16014"/>
      <c r="G16014"/>
      <c r="H16014"/>
      <c r="I16014" s="489"/>
      <c r="J16014" s="1362"/>
      <c r="K16014" s="1362"/>
      <c r="L16014" s="1362"/>
    </row>
    <row r="16015" spans="1:12" x14ac:dyDescent="0.25">
      <c r="A16015">
        <v>93572</v>
      </c>
      <c r="B16015" t="s">
        <v>2423</v>
      </c>
      <c r="C16015" t="s">
        <v>312</v>
      </c>
      <c r="D16015" s="254">
        <v>6202.76</v>
      </c>
      <c r="E16015"/>
      <c r="F16015"/>
      <c r="G16015"/>
      <c r="H16015"/>
      <c r="I16015" s="489"/>
      <c r="J16015" s="1362"/>
      <c r="K16015" s="1362"/>
      <c r="L16015" s="1362"/>
    </row>
    <row r="16016" spans="1:12" x14ac:dyDescent="0.25">
      <c r="A16016">
        <v>94295</v>
      </c>
      <c r="B16016" t="s">
        <v>2415</v>
      </c>
      <c r="C16016" t="s">
        <v>312</v>
      </c>
      <c r="D16016" s="254">
        <v>10131.459999999999</v>
      </c>
      <c r="E16016"/>
      <c r="F16016"/>
      <c r="G16016"/>
      <c r="H16016"/>
      <c r="I16016" s="489"/>
      <c r="J16016" s="1362"/>
      <c r="K16016" s="1362"/>
      <c r="L16016" s="1362"/>
    </row>
    <row r="16017" spans="1:12" x14ac:dyDescent="0.25">
      <c r="A16017">
        <v>94296</v>
      </c>
      <c r="B16017" t="s">
        <v>2416</v>
      </c>
      <c r="C16017" t="s">
        <v>312</v>
      </c>
      <c r="D16017" s="254">
        <v>4807.09</v>
      </c>
      <c r="E16017"/>
      <c r="F16017"/>
      <c r="G16017"/>
      <c r="H16017"/>
      <c r="I16017" s="489"/>
      <c r="J16017" s="1362"/>
      <c r="K16017" s="1362"/>
      <c r="L16017" s="1362"/>
    </row>
    <row r="16018" spans="1:12" x14ac:dyDescent="0.25">
      <c r="A16018">
        <v>95308</v>
      </c>
      <c r="B16018" t="s">
        <v>2424</v>
      </c>
      <c r="C16018" t="s">
        <v>588</v>
      </c>
      <c r="D16018" s="254">
        <v>0.16</v>
      </c>
      <c r="E16018"/>
      <c r="F16018"/>
      <c r="G16018"/>
      <c r="H16018"/>
      <c r="I16018" s="489"/>
      <c r="J16018" s="1362"/>
      <c r="K16018" s="1362"/>
      <c r="L16018" s="1362"/>
    </row>
    <row r="16019" spans="1:12" x14ac:dyDescent="0.25">
      <c r="A16019">
        <v>95309</v>
      </c>
      <c r="B16019" t="s">
        <v>2425</v>
      </c>
      <c r="C16019" t="s">
        <v>588</v>
      </c>
      <c r="D16019" s="254">
        <v>0.22</v>
      </c>
      <c r="E16019"/>
      <c r="F16019"/>
      <c r="G16019"/>
      <c r="H16019"/>
      <c r="I16019" s="489"/>
      <c r="J16019" s="1362"/>
      <c r="K16019" s="1362"/>
      <c r="L16019" s="1362"/>
    </row>
    <row r="16020" spans="1:12" x14ac:dyDescent="0.25">
      <c r="A16020">
        <v>95310</v>
      </c>
      <c r="B16020" t="s">
        <v>2426</v>
      </c>
      <c r="C16020" t="s">
        <v>588</v>
      </c>
      <c r="D16020" s="254">
        <v>0.15</v>
      </c>
      <c r="E16020"/>
      <c r="F16020"/>
      <c r="G16020"/>
      <c r="H16020"/>
      <c r="I16020" s="489"/>
      <c r="J16020" s="1362"/>
      <c r="K16020" s="1362"/>
      <c r="L16020" s="1362"/>
    </row>
    <row r="16021" spans="1:12" x14ac:dyDescent="0.25">
      <c r="A16021">
        <v>95311</v>
      </c>
      <c r="B16021" t="s">
        <v>2427</v>
      </c>
      <c r="C16021" t="s">
        <v>588</v>
      </c>
      <c r="D16021" s="254">
        <v>0.16</v>
      </c>
      <c r="E16021"/>
      <c r="F16021"/>
      <c r="G16021"/>
      <c r="H16021"/>
      <c r="I16021" s="489"/>
      <c r="J16021" s="1362"/>
      <c r="K16021" s="1362"/>
      <c r="L16021" s="1362"/>
    </row>
    <row r="16022" spans="1:12" x14ac:dyDescent="0.25">
      <c r="A16022">
        <v>95312</v>
      </c>
      <c r="B16022" t="s">
        <v>2428</v>
      </c>
      <c r="C16022" t="s">
        <v>588</v>
      </c>
      <c r="D16022" s="254">
        <v>0.21</v>
      </c>
      <c r="E16022"/>
      <c r="F16022"/>
      <c r="G16022"/>
      <c r="H16022"/>
      <c r="I16022" s="489"/>
      <c r="J16022" s="1362"/>
      <c r="K16022" s="1362"/>
      <c r="L16022" s="1362"/>
    </row>
    <row r="16023" spans="1:12" x14ac:dyDescent="0.25">
      <c r="A16023">
        <v>95313</v>
      </c>
      <c r="B16023" t="s">
        <v>2429</v>
      </c>
      <c r="C16023" t="s">
        <v>588</v>
      </c>
      <c r="D16023" s="254">
        <v>0.17</v>
      </c>
      <c r="E16023"/>
      <c r="F16023"/>
      <c r="G16023"/>
      <c r="H16023"/>
      <c r="I16023" s="489"/>
      <c r="J16023" s="1362"/>
      <c r="K16023" s="1362"/>
      <c r="L16023" s="1362"/>
    </row>
    <row r="16024" spans="1:12" x14ac:dyDescent="0.25">
      <c r="A16024">
        <v>95314</v>
      </c>
      <c r="B16024" t="s">
        <v>2430</v>
      </c>
      <c r="C16024" t="s">
        <v>588</v>
      </c>
      <c r="D16024" s="254">
        <v>0.25</v>
      </c>
      <c r="E16024"/>
      <c r="F16024"/>
      <c r="G16024"/>
      <c r="H16024"/>
      <c r="I16024" s="489"/>
      <c r="J16024" s="1362"/>
      <c r="K16024" s="1362"/>
      <c r="L16024" s="1362"/>
    </row>
    <row r="16025" spans="1:12" x14ac:dyDescent="0.25">
      <c r="A16025">
        <v>95315</v>
      </c>
      <c r="B16025" t="s">
        <v>2431</v>
      </c>
      <c r="C16025" t="s">
        <v>588</v>
      </c>
      <c r="D16025" s="254">
        <v>0.25</v>
      </c>
      <c r="E16025"/>
      <c r="F16025"/>
      <c r="G16025"/>
      <c r="H16025"/>
      <c r="I16025" s="489"/>
      <c r="J16025" s="1362"/>
      <c r="K16025" s="1362"/>
      <c r="L16025" s="1362"/>
    </row>
    <row r="16026" spans="1:12" x14ac:dyDescent="0.25">
      <c r="A16026">
        <v>95316</v>
      </c>
      <c r="B16026" t="s">
        <v>2432</v>
      </c>
      <c r="C16026" t="s">
        <v>588</v>
      </c>
      <c r="D16026" s="254">
        <v>0.7</v>
      </c>
      <c r="E16026"/>
      <c r="F16026"/>
      <c r="G16026"/>
      <c r="H16026"/>
      <c r="I16026" s="489"/>
      <c r="J16026" s="1362"/>
      <c r="K16026" s="1362"/>
      <c r="L16026" s="1362"/>
    </row>
    <row r="16027" spans="1:12" x14ac:dyDescent="0.25">
      <c r="A16027">
        <v>95317</v>
      </c>
      <c r="B16027" t="s">
        <v>2433</v>
      </c>
      <c r="C16027" t="s">
        <v>588</v>
      </c>
      <c r="D16027" s="254">
        <v>0.28000000000000003</v>
      </c>
      <c r="E16027"/>
      <c r="F16027"/>
      <c r="G16027"/>
      <c r="H16027"/>
      <c r="I16027" s="489"/>
      <c r="J16027" s="1362"/>
      <c r="K16027" s="1362"/>
      <c r="L16027" s="1362"/>
    </row>
    <row r="16028" spans="1:12" x14ac:dyDescent="0.25">
      <c r="A16028">
        <v>95318</v>
      </c>
      <c r="B16028" t="s">
        <v>2434</v>
      </c>
      <c r="C16028" t="s">
        <v>588</v>
      </c>
      <c r="D16028" s="254">
        <v>0.21</v>
      </c>
      <c r="E16028"/>
      <c r="F16028"/>
      <c r="G16028"/>
      <c r="H16028"/>
      <c r="I16028" s="489"/>
      <c r="J16028" s="1362"/>
      <c r="K16028" s="1362"/>
      <c r="L16028" s="1362"/>
    </row>
    <row r="16029" spans="1:12" x14ac:dyDescent="0.25">
      <c r="A16029">
        <v>95319</v>
      </c>
      <c r="B16029" t="s">
        <v>2435</v>
      </c>
      <c r="C16029" t="s">
        <v>588</v>
      </c>
      <c r="D16029" s="254">
        <v>0.15</v>
      </c>
      <c r="E16029"/>
      <c r="F16029"/>
      <c r="G16029"/>
      <c r="H16029"/>
      <c r="I16029" s="489"/>
      <c r="J16029" s="1362"/>
      <c r="K16029" s="1362"/>
      <c r="L16029" s="1362"/>
    </row>
    <row r="16030" spans="1:12" x14ac:dyDescent="0.25">
      <c r="A16030">
        <v>95320</v>
      </c>
      <c r="B16030" t="s">
        <v>2436</v>
      </c>
      <c r="C16030" t="s">
        <v>588</v>
      </c>
      <c r="D16030" s="254">
        <v>0.18</v>
      </c>
      <c r="E16030"/>
      <c r="F16030"/>
      <c r="G16030"/>
      <c r="H16030"/>
      <c r="I16030" s="489"/>
      <c r="J16030" s="1362"/>
      <c r="K16030" s="1362"/>
      <c r="L16030" s="1362"/>
    </row>
    <row r="16031" spans="1:12" x14ac:dyDescent="0.25">
      <c r="A16031">
        <v>95321</v>
      </c>
      <c r="B16031" t="s">
        <v>2437</v>
      </c>
      <c r="C16031" t="s">
        <v>588</v>
      </c>
      <c r="D16031" s="254">
        <v>0.16</v>
      </c>
      <c r="E16031"/>
      <c r="F16031"/>
      <c r="G16031"/>
      <c r="H16031"/>
      <c r="I16031" s="489"/>
      <c r="J16031" s="1362"/>
      <c r="K16031" s="1362"/>
      <c r="L16031" s="1362"/>
    </row>
    <row r="16032" spans="1:12" x14ac:dyDescent="0.25">
      <c r="A16032">
        <v>95322</v>
      </c>
      <c r="B16032" t="s">
        <v>2438</v>
      </c>
      <c r="C16032" t="s">
        <v>588</v>
      </c>
      <c r="D16032" s="254">
        <v>7.0000000000000007E-2</v>
      </c>
      <c r="E16032"/>
      <c r="F16032"/>
      <c r="G16032"/>
      <c r="H16032"/>
      <c r="I16032" s="489"/>
      <c r="J16032" s="1362"/>
      <c r="K16032" s="1362"/>
      <c r="L16032" s="1362"/>
    </row>
    <row r="16033" spans="1:12" x14ac:dyDescent="0.25">
      <c r="A16033">
        <v>95323</v>
      </c>
      <c r="B16033" t="s">
        <v>2439</v>
      </c>
      <c r="C16033" t="s">
        <v>588</v>
      </c>
      <c r="D16033" s="254">
        <v>0.19</v>
      </c>
      <c r="E16033"/>
      <c r="F16033"/>
      <c r="G16033"/>
      <c r="H16033"/>
      <c r="I16033" s="489"/>
      <c r="J16033" s="1362"/>
      <c r="K16033" s="1362"/>
      <c r="L16033" s="1362"/>
    </row>
    <row r="16034" spans="1:12" x14ac:dyDescent="0.25">
      <c r="A16034">
        <v>95324</v>
      </c>
      <c r="B16034" t="s">
        <v>2440</v>
      </c>
      <c r="C16034" t="s">
        <v>588</v>
      </c>
      <c r="D16034" s="254">
        <v>0.31</v>
      </c>
      <c r="E16034"/>
      <c r="F16034"/>
      <c r="G16034"/>
      <c r="H16034"/>
      <c r="I16034" s="489"/>
      <c r="J16034" s="1362"/>
      <c r="K16034" s="1362"/>
      <c r="L16034" s="1362"/>
    </row>
    <row r="16035" spans="1:12" x14ac:dyDescent="0.25">
      <c r="A16035">
        <v>95325</v>
      </c>
      <c r="B16035" t="s">
        <v>2441</v>
      </c>
      <c r="C16035" t="s">
        <v>588</v>
      </c>
      <c r="D16035" s="254">
        <v>0.3</v>
      </c>
      <c r="E16035"/>
      <c r="F16035"/>
      <c r="G16035"/>
      <c r="H16035"/>
      <c r="I16035" s="489"/>
      <c r="J16035" s="1362"/>
      <c r="K16035" s="1362"/>
      <c r="L16035" s="1362"/>
    </row>
    <row r="16036" spans="1:12" x14ac:dyDescent="0.25">
      <c r="A16036">
        <v>95326</v>
      </c>
      <c r="B16036" t="s">
        <v>2442</v>
      </c>
      <c r="C16036" t="s">
        <v>588</v>
      </c>
      <c r="D16036" s="254">
        <v>0.09</v>
      </c>
      <c r="E16036"/>
      <c r="F16036"/>
      <c r="G16036"/>
      <c r="H16036"/>
      <c r="I16036" s="489"/>
      <c r="J16036" s="1362"/>
      <c r="K16036" s="1362"/>
      <c r="L16036" s="1362"/>
    </row>
    <row r="16037" spans="1:12" x14ac:dyDescent="0.25">
      <c r="A16037">
        <v>95328</v>
      </c>
      <c r="B16037" t="s">
        <v>2443</v>
      </c>
      <c r="C16037" t="s">
        <v>588</v>
      </c>
      <c r="D16037" s="254">
        <v>0.25</v>
      </c>
      <c r="E16037"/>
      <c r="F16037"/>
      <c r="G16037"/>
      <c r="H16037"/>
      <c r="I16037" s="489"/>
      <c r="J16037" s="1362"/>
      <c r="K16037" s="1362"/>
      <c r="L16037" s="1362"/>
    </row>
    <row r="16038" spans="1:12" x14ac:dyDescent="0.25">
      <c r="A16038">
        <v>95329</v>
      </c>
      <c r="B16038" t="s">
        <v>2444</v>
      </c>
      <c r="C16038" t="s">
        <v>588</v>
      </c>
      <c r="D16038" s="254">
        <v>0.28000000000000003</v>
      </c>
      <c r="E16038"/>
      <c r="F16038"/>
      <c r="G16038"/>
      <c r="H16038"/>
      <c r="I16038" s="489"/>
      <c r="J16038" s="1362"/>
      <c r="K16038" s="1362"/>
      <c r="L16038" s="1362"/>
    </row>
    <row r="16039" spans="1:12" x14ac:dyDescent="0.25">
      <c r="A16039">
        <v>95330</v>
      </c>
      <c r="B16039" t="s">
        <v>2445</v>
      </c>
      <c r="C16039" t="s">
        <v>588</v>
      </c>
      <c r="D16039" s="254">
        <v>0.23</v>
      </c>
      <c r="E16039"/>
      <c r="F16039"/>
      <c r="G16039"/>
      <c r="H16039"/>
      <c r="I16039" s="489"/>
      <c r="J16039" s="1362"/>
      <c r="K16039" s="1362"/>
      <c r="L16039" s="1362"/>
    </row>
    <row r="16040" spans="1:12" x14ac:dyDescent="0.25">
      <c r="A16040">
        <v>95331</v>
      </c>
      <c r="B16040" t="s">
        <v>2446</v>
      </c>
      <c r="C16040" t="s">
        <v>588</v>
      </c>
      <c r="D16040" s="254">
        <v>0.14000000000000001</v>
      </c>
      <c r="E16040"/>
      <c r="F16040"/>
      <c r="G16040"/>
      <c r="H16040"/>
      <c r="I16040" s="489"/>
      <c r="J16040" s="1362"/>
      <c r="K16040" s="1362"/>
      <c r="L16040" s="1362"/>
    </row>
    <row r="16041" spans="1:12" x14ac:dyDescent="0.25">
      <c r="A16041">
        <v>95332</v>
      </c>
      <c r="B16041" t="s">
        <v>2447</v>
      </c>
      <c r="C16041" t="s">
        <v>588</v>
      </c>
      <c r="D16041" s="254">
        <v>0.96</v>
      </c>
      <c r="E16041"/>
      <c r="F16041"/>
      <c r="G16041"/>
      <c r="H16041"/>
      <c r="I16041" s="489"/>
      <c r="J16041" s="1362"/>
      <c r="K16041" s="1362"/>
      <c r="L16041" s="1362"/>
    </row>
    <row r="16042" spans="1:12" x14ac:dyDescent="0.25">
      <c r="A16042">
        <v>95333</v>
      </c>
      <c r="B16042" t="s">
        <v>2448</v>
      </c>
      <c r="C16042" t="s">
        <v>588</v>
      </c>
      <c r="D16042" s="254">
        <v>0.9</v>
      </c>
      <c r="E16042"/>
      <c r="F16042"/>
      <c r="G16042"/>
      <c r="H16042"/>
      <c r="I16042" s="489"/>
      <c r="J16042" s="1362"/>
      <c r="K16042" s="1362"/>
      <c r="L16042" s="1362"/>
    </row>
    <row r="16043" spans="1:12" x14ac:dyDescent="0.25">
      <c r="A16043">
        <v>95334</v>
      </c>
      <c r="B16043" t="s">
        <v>2449</v>
      </c>
      <c r="C16043" t="s">
        <v>588</v>
      </c>
      <c r="D16043" s="254">
        <v>0.89</v>
      </c>
      <c r="E16043"/>
      <c r="F16043"/>
      <c r="G16043"/>
      <c r="H16043"/>
      <c r="I16043" s="489"/>
      <c r="J16043" s="1362"/>
      <c r="K16043" s="1362"/>
      <c r="L16043" s="1362"/>
    </row>
    <row r="16044" spans="1:12" x14ac:dyDescent="0.25">
      <c r="A16044">
        <v>95335</v>
      </c>
      <c r="B16044" t="s">
        <v>2450</v>
      </c>
      <c r="C16044" t="s">
        <v>588</v>
      </c>
      <c r="D16044" s="254">
        <v>0.38</v>
      </c>
      <c r="E16044"/>
      <c r="F16044"/>
      <c r="G16044"/>
      <c r="H16044"/>
      <c r="I16044" s="489"/>
      <c r="J16044" s="1362"/>
      <c r="K16044" s="1362"/>
      <c r="L16044" s="1362"/>
    </row>
    <row r="16045" spans="1:12" x14ac:dyDescent="0.25">
      <c r="A16045">
        <v>95337</v>
      </c>
      <c r="B16045" t="s">
        <v>2451</v>
      </c>
      <c r="C16045" t="s">
        <v>588</v>
      </c>
      <c r="D16045" s="254">
        <v>0.24</v>
      </c>
      <c r="E16045"/>
      <c r="F16045"/>
      <c r="G16045"/>
      <c r="H16045"/>
      <c r="I16045" s="489"/>
      <c r="J16045" s="1362"/>
      <c r="K16045" s="1362"/>
      <c r="L16045" s="1362"/>
    </row>
    <row r="16046" spans="1:12" x14ac:dyDescent="0.25">
      <c r="A16046">
        <v>95338</v>
      </c>
      <c r="B16046" t="s">
        <v>2452</v>
      </c>
      <c r="C16046" t="s">
        <v>588</v>
      </c>
      <c r="D16046" s="254">
        <v>0.45</v>
      </c>
      <c r="E16046"/>
      <c r="F16046"/>
      <c r="G16046"/>
      <c r="H16046"/>
      <c r="I16046" s="489"/>
      <c r="J16046" s="1362"/>
      <c r="K16046" s="1362"/>
      <c r="L16046" s="1362"/>
    </row>
    <row r="16047" spans="1:12" x14ac:dyDescent="0.25">
      <c r="A16047">
        <v>95339</v>
      </c>
      <c r="B16047" t="s">
        <v>2453</v>
      </c>
      <c r="C16047" t="s">
        <v>588</v>
      </c>
      <c r="D16047" s="254">
        <v>0.35</v>
      </c>
      <c r="E16047"/>
      <c r="F16047"/>
      <c r="G16047"/>
      <c r="H16047"/>
      <c r="I16047" s="489"/>
      <c r="J16047" s="1362"/>
      <c r="K16047" s="1362"/>
      <c r="L16047" s="1362"/>
    </row>
    <row r="16048" spans="1:12" x14ac:dyDescent="0.25">
      <c r="A16048">
        <v>95340</v>
      </c>
      <c r="B16048" t="s">
        <v>2454</v>
      </c>
      <c r="C16048" t="s">
        <v>588</v>
      </c>
      <c r="D16048" s="254">
        <v>0.28000000000000003</v>
      </c>
      <c r="E16048"/>
      <c r="F16048"/>
      <c r="G16048"/>
      <c r="H16048"/>
      <c r="I16048" s="489"/>
      <c r="J16048" s="1362"/>
      <c r="K16048" s="1362"/>
      <c r="L16048" s="1362"/>
    </row>
    <row r="16049" spans="1:12" x14ac:dyDescent="0.25">
      <c r="A16049">
        <v>95341</v>
      </c>
      <c r="B16049" t="s">
        <v>2455</v>
      </c>
      <c r="C16049" t="s">
        <v>588</v>
      </c>
      <c r="D16049" s="254">
        <v>0.23</v>
      </c>
      <c r="E16049"/>
      <c r="F16049"/>
      <c r="G16049"/>
      <c r="H16049"/>
      <c r="I16049" s="489"/>
      <c r="J16049" s="1362"/>
      <c r="K16049" s="1362"/>
      <c r="L16049" s="1362"/>
    </row>
    <row r="16050" spans="1:12" x14ac:dyDescent="0.25">
      <c r="A16050">
        <v>95342</v>
      </c>
      <c r="B16050" t="s">
        <v>2456</v>
      </c>
      <c r="C16050" t="s">
        <v>588</v>
      </c>
      <c r="D16050" s="254">
        <v>0.17</v>
      </c>
      <c r="E16050"/>
      <c r="F16050"/>
      <c r="G16050"/>
      <c r="H16050"/>
      <c r="I16050" s="489"/>
      <c r="J16050" s="1362"/>
      <c r="K16050" s="1362"/>
      <c r="L16050" s="1362"/>
    </row>
    <row r="16051" spans="1:12" x14ac:dyDescent="0.25">
      <c r="A16051">
        <v>95343</v>
      </c>
      <c r="B16051" t="s">
        <v>2457</v>
      </c>
      <c r="C16051" t="s">
        <v>588</v>
      </c>
      <c r="D16051" s="254">
        <v>0.27</v>
      </c>
      <c r="E16051"/>
      <c r="F16051"/>
      <c r="G16051"/>
      <c r="H16051"/>
      <c r="I16051" s="489"/>
      <c r="J16051" s="1362"/>
      <c r="K16051" s="1362"/>
      <c r="L16051" s="1362"/>
    </row>
    <row r="16052" spans="1:12" x14ac:dyDescent="0.25">
      <c r="A16052">
        <v>95344</v>
      </c>
      <c r="B16052" t="s">
        <v>2458</v>
      </c>
      <c r="C16052" t="s">
        <v>588</v>
      </c>
      <c r="D16052" s="254">
        <v>0.19</v>
      </c>
      <c r="E16052"/>
      <c r="F16052"/>
      <c r="G16052"/>
      <c r="H16052"/>
      <c r="I16052" s="489"/>
      <c r="J16052" s="1362"/>
      <c r="K16052" s="1362"/>
      <c r="L16052" s="1362"/>
    </row>
    <row r="16053" spans="1:12" x14ac:dyDescent="0.25">
      <c r="A16053">
        <v>95345</v>
      </c>
      <c r="B16053" t="s">
        <v>2459</v>
      </c>
      <c r="C16053" t="s">
        <v>588</v>
      </c>
      <c r="D16053" s="254">
        <v>0.85</v>
      </c>
      <c r="E16053"/>
      <c r="F16053"/>
      <c r="G16053"/>
      <c r="H16053"/>
      <c r="I16053" s="489"/>
      <c r="J16053" s="1362"/>
      <c r="K16053" s="1362"/>
      <c r="L16053" s="1362"/>
    </row>
    <row r="16054" spans="1:12" x14ac:dyDescent="0.25">
      <c r="A16054">
        <v>95346</v>
      </c>
      <c r="B16054" t="s">
        <v>2460</v>
      </c>
      <c r="C16054" t="s">
        <v>588</v>
      </c>
      <c r="D16054" s="254">
        <v>0.08</v>
      </c>
      <c r="E16054"/>
      <c r="F16054"/>
      <c r="G16054"/>
      <c r="H16054"/>
      <c r="I16054" s="489"/>
      <c r="J16054" s="1362"/>
      <c r="K16054" s="1362"/>
      <c r="L16054" s="1362"/>
    </row>
    <row r="16055" spans="1:12" x14ac:dyDescent="0.25">
      <c r="A16055">
        <v>95347</v>
      </c>
      <c r="B16055" t="s">
        <v>2461</v>
      </c>
      <c r="C16055" t="s">
        <v>588</v>
      </c>
      <c r="D16055" s="254">
        <v>0.08</v>
      </c>
      <c r="E16055"/>
      <c r="F16055"/>
      <c r="G16055"/>
      <c r="H16055"/>
      <c r="I16055" s="489"/>
      <c r="J16055" s="1362"/>
      <c r="K16055" s="1362"/>
      <c r="L16055" s="1362"/>
    </row>
    <row r="16056" spans="1:12" x14ac:dyDescent="0.25">
      <c r="A16056">
        <v>95348</v>
      </c>
      <c r="B16056" t="s">
        <v>2462</v>
      </c>
      <c r="C16056" t="s">
        <v>588</v>
      </c>
      <c r="D16056" s="254">
        <v>0.11</v>
      </c>
      <c r="E16056"/>
      <c r="F16056"/>
      <c r="G16056"/>
      <c r="H16056"/>
      <c r="I16056" s="489"/>
      <c r="J16056" s="1362"/>
      <c r="K16056" s="1362"/>
      <c r="L16056" s="1362"/>
    </row>
    <row r="16057" spans="1:12" x14ac:dyDescent="0.25">
      <c r="A16057">
        <v>95349</v>
      </c>
      <c r="B16057" t="s">
        <v>2463</v>
      </c>
      <c r="C16057" t="s">
        <v>588</v>
      </c>
      <c r="D16057" s="254">
        <v>0.09</v>
      </c>
      <c r="E16057"/>
      <c r="F16057"/>
      <c r="G16057"/>
      <c r="H16057"/>
      <c r="I16057" s="489"/>
      <c r="J16057" s="1362"/>
      <c r="K16057" s="1362"/>
      <c r="L16057" s="1362"/>
    </row>
    <row r="16058" spans="1:12" x14ac:dyDescent="0.25">
      <c r="A16058">
        <v>95350</v>
      </c>
      <c r="B16058" t="s">
        <v>2464</v>
      </c>
      <c r="C16058" t="s">
        <v>588</v>
      </c>
      <c r="D16058" s="254">
        <v>0.09</v>
      </c>
      <c r="E16058"/>
      <c r="F16058"/>
      <c r="G16058"/>
      <c r="H16058"/>
      <c r="I16058" s="489"/>
      <c r="J16058" s="1362"/>
      <c r="K16058" s="1362"/>
      <c r="L16058" s="1362"/>
    </row>
    <row r="16059" spans="1:12" x14ac:dyDescent="0.25">
      <c r="A16059">
        <v>95351</v>
      </c>
      <c r="B16059" t="s">
        <v>2465</v>
      </c>
      <c r="C16059" t="s">
        <v>588</v>
      </c>
      <c r="D16059" s="254">
        <v>0.3</v>
      </c>
      <c r="E16059"/>
      <c r="F16059"/>
      <c r="G16059"/>
      <c r="H16059"/>
      <c r="I16059" s="489"/>
      <c r="J16059" s="1362"/>
      <c r="K16059" s="1362"/>
      <c r="L16059" s="1362"/>
    </row>
    <row r="16060" spans="1:12" x14ac:dyDescent="0.25">
      <c r="A16060">
        <v>95352</v>
      </c>
      <c r="B16060" t="s">
        <v>2466</v>
      </c>
      <c r="C16060" t="s">
        <v>588</v>
      </c>
      <c r="D16060" s="254">
        <v>0.09</v>
      </c>
      <c r="E16060"/>
      <c r="F16060"/>
      <c r="G16060"/>
      <c r="H16060"/>
      <c r="I16060" s="489"/>
      <c r="J16060" s="1362"/>
      <c r="K16060" s="1362"/>
      <c r="L16060" s="1362"/>
    </row>
    <row r="16061" spans="1:12" x14ac:dyDescent="0.25">
      <c r="A16061">
        <v>95354</v>
      </c>
      <c r="B16061" t="s">
        <v>2467</v>
      </c>
      <c r="C16061" t="s">
        <v>588</v>
      </c>
      <c r="D16061" s="254">
        <v>0.12</v>
      </c>
      <c r="E16061"/>
      <c r="F16061"/>
      <c r="G16061"/>
      <c r="H16061"/>
      <c r="I16061" s="489"/>
      <c r="J16061" s="1362"/>
      <c r="K16061" s="1362"/>
      <c r="L16061" s="1362"/>
    </row>
    <row r="16062" spans="1:12" x14ac:dyDescent="0.25">
      <c r="A16062">
        <v>95355</v>
      </c>
      <c r="B16062" t="s">
        <v>2468</v>
      </c>
      <c r="C16062" t="s">
        <v>588</v>
      </c>
      <c r="D16062" s="254">
        <v>0.12</v>
      </c>
      <c r="E16062"/>
      <c r="F16062"/>
      <c r="G16062"/>
      <c r="H16062"/>
      <c r="I16062" s="489"/>
      <c r="J16062" s="1362"/>
      <c r="K16062" s="1362"/>
      <c r="L16062" s="1362"/>
    </row>
    <row r="16063" spans="1:12" x14ac:dyDescent="0.25">
      <c r="A16063">
        <v>95356</v>
      </c>
      <c r="B16063" t="s">
        <v>2469</v>
      </c>
      <c r="C16063" t="s">
        <v>588</v>
      </c>
      <c r="D16063" s="254">
        <v>0.15</v>
      </c>
      <c r="E16063"/>
      <c r="F16063"/>
      <c r="G16063"/>
      <c r="H16063"/>
      <c r="I16063" s="489"/>
      <c r="J16063" s="1362"/>
      <c r="K16063" s="1362"/>
      <c r="L16063" s="1362"/>
    </row>
    <row r="16064" spans="1:12" x14ac:dyDescent="0.25">
      <c r="A16064">
        <v>95357</v>
      </c>
      <c r="B16064" t="s">
        <v>2470</v>
      </c>
      <c r="C16064" t="s">
        <v>588</v>
      </c>
      <c r="D16064" s="254">
        <v>0.23</v>
      </c>
      <c r="E16064"/>
      <c r="F16064"/>
      <c r="G16064"/>
      <c r="H16064"/>
      <c r="I16064" s="489"/>
      <c r="J16064" s="1362"/>
      <c r="K16064" s="1362"/>
      <c r="L16064" s="1362"/>
    </row>
    <row r="16065" spans="1:12" x14ac:dyDescent="0.25">
      <c r="A16065">
        <v>95358</v>
      </c>
      <c r="B16065" t="s">
        <v>2471</v>
      </c>
      <c r="C16065" t="s">
        <v>588</v>
      </c>
      <c r="D16065" s="254">
        <v>0.3</v>
      </c>
      <c r="E16065"/>
      <c r="F16065"/>
      <c r="G16065"/>
      <c r="H16065"/>
      <c r="I16065" s="489"/>
      <c r="J16065" s="1362"/>
      <c r="K16065" s="1362"/>
      <c r="L16065" s="1362"/>
    </row>
    <row r="16066" spans="1:12" x14ac:dyDescent="0.25">
      <c r="A16066">
        <v>95359</v>
      </c>
      <c r="B16066" t="s">
        <v>2472</v>
      </c>
      <c r="C16066" t="s">
        <v>588</v>
      </c>
      <c r="D16066" s="254">
        <v>0.3</v>
      </c>
      <c r="E16066"/>
      <c r="F16066"/>
      <c r="G16066"/>
      <c r="H16066"/>
      <c r="I16066" s="489"/>
      <c r="J16066" s="1362"/>
      <c r="K16066" s="1362"/>
      <c r="L16066" s="1362"/>
    </row>
    <row r="16067" spans="1:12" x14ac:dyDescent="0.25">
      <c r="A16067">
        <v>95360</v>
      </c>
      <c r="B16067" t="s">
        <v>2473</v>
      </c>
      <c r="C16067" t="s">
        <v>588</v>
      </c>
      <c r="D16067" s="254">
        <v>0.22</v>
      </c>
      <c r="E16067"/>
      <c r="F16067"/>
      <c r="G16067"/>
      <c r="H16067"/>
      <c r="I16067" s="489"/>
      <c r="J16067" s="1362"/>
      <c r="K16067" s="1362"/>
      <c r="L16067" s="1362"/>
    </row>
    <row r="16068" spans="1:12" x14ac:dyDescent="0.25">
      <c r="A16068">
        <v>95361</v>
      </c>
      <c r="B16068" t="s">
        <v>2474</v>
      </c>
      <c r="C16068" t="s">
        <v>588</v>
      </c>
      <c r="D16068" s="254">
        <v>0.13</v>
      </c>
      <c r="E16068"/>
      <c r="F16068"/>
      <c r="G16068"/>
      <c r="H16068"/>
      <c r="I16068" s="489"/>
      <c r="J16068" s="1362"/>
      <c r="K16068" s="1362"/>
      <c r="L16068" s="1362"/>
    </row>
    <row r="16069" spans="1:12" x14ac:dyDescent="0.25">
      <c r="A16069">
        <v>95362</v>
      </c>
      <c r="B16069" t="s">
        <v>2475</v>
      </c>
      <c r="C16069" t="s">
        <v>588</v>
      </c>
      <c r="D16069" s="254">
        <v>0.15</v>
      </c>
      <c r="E16069"/>
      <c r="F16069"/>
      <c r="G16069"/>
      <c r="H16069"/>
      <c r="I16069" s="489"/>
      <c r="J16069" s="1362"/>
      <c r="K16069" s="1362"/>
      <c r="L16069" s="1362"/>
    </row>
    <row r="16070" spans="1:12" x14ac:dyDescent="0.25">
      <c r="A16070">
        <v>95363</v>
      </c>
      <c r="B16070" t="s">
        <v>2476</v>
      </c>
      <c r="C16070" t="s">
        <v>588</v>
      </c>
      <c r="D16070" s="254">
        <v>0.19</v>
      </c>
      <c r="E16070"/>
      <c r="F16070"/>
      <c r="G16070"/>
      <c r="H16070"/>
      <c r="I16070" s="489"/>
      <c r="J16070" s="1362"/>
      <c r="K16070" s="1362"/>
      <c r="L16070" s="1362"/>
    </row>
    <row r="16071" spans="1:12" x14ac:dyDescent="0.25">
      <c r="A16071">
        <v>95364</v>
      </c>
      <c r="B16071" t="s">
        <v>2477</v>
      </c>
      <c r="C16071" t="s">
        <v>588</v>
      </c>
      <c r="D16071" s="254">
        <v>0.19</v>
      </c>
      <c r="E16071"/>
      <c r="F16071"/>
      <c r="G16071"/>
      <c r="H16071"/>
      <c r="I16071" s="489"/>
      <c r="J16071" s="1362"/>
      <c r="K16071" s="1362"/>
      <c r="L16071" s="1362"/>
    </row>
    <row r="16072" spans="1:12" x14ac:dyDescent="0.25">
      <c r="A16072">
        <v>95365</v>
      </c>
      <c r="B16072" t="s">
        <v>2478</v>
      </c>
      <c r="C16072" t="s">
        <v>588</v>
      </c>
      <c r="D16072" s="254">
        <v>0.16</v>
      </c>
      <c r="E16072"/>
      <c r="F16072"/>
      <c r="G16072"/>
      <c r="H16072"/>
      <c r="I16072" s="489"/>
      <c r="J16072" s="1362"/>
      <c r="K16072" s="1362"/>
      <c r="L16072" s="1362"/>
    </row>
    <row r="16073" spans="1:12" x14ac:dyDescent="0.25">
      <c r="A16073">
        <v>95366</v>
      </c>
      <c r="B16073" t="s">
        <v>2479</v>
      </c>
      <c r="C16073" t="s">
        <v>588</v>
      </c>
      <c r="D16073" s="254">
        <v>0.12</v>
      </c>
      <c r="E16073"/>
      <c r="F16073"/>
      <c r="G16073"/>
      <c r="H16073"/>
      <c r="I16073" s="489"/>
      <c r="J16073" s="1362"/>
      <c r="K16073" s="1362"/>
      <c r="L16073" s="1362"/>
    </row>
    <row r="16074" spans="1:12" x14ac:dyDescent="0.25">
      <c r="A16074">
        <v>95367</v>
      </c>
      <c r="B16074" t="s">
        <v>2480</v>
      </c>
      <c r="C16074" t="s">
        <v>588</v>
      </c>
      <c r="D16074" s="254">
        <v>0.14000000000000001</v>
      </c>
      <c r="E16074"/>
      <c r="F16074"/>
      <c r="G16074"/>
      <c r="H16074"/>
      <c r="I16074" s="489"/>
      <c r="J16074" s="1362"/>
      <c r="K16074" s="1362"/>
      <c r="L16074" s="1362"/>
    </row>
    <row r="16075" spans="1:12" x14ac:dyDescent="0.25">
      <c r="A16075">
        <v>95368</v>
      </c>
      <c r="B16075" t="s">
        <v>2481</v>
      </c>
      <c r="C16075" t="s">
        <v>588</v>
      </c>
      <c r="D16075" s="254">
        <v>0.21</v>
      </c>
      <c r="E16075"/>
      <c r="F16075"/>
      <c r="G16075"/>
      <c r="H16075"/>
      <c r="I16075" s="489"/>
      <c r="J16075" s="1362"/>
      <c r="K16075" s="1362"/>
      <c r="L16075" s="1362"/>
    </row>
    <row r="16076" spans="1:12" x14ac:dyDescent="0.25">
      <c r="A16076">
        <v>95369</v>
      </c>
      <c r="B16076" t="s">
        <v>2482</v>
      </c>
      <c r="C16076" t="s">
        <v>588</v>
      </c>
      <c r="D16076" s="254">
        <v>0.14000000000000001</v>
      </c>
      <c r="E16076"/>
      <c r="F16076"/>
      <c r="G16076"/>
      <c r="H16076"/>
      <c r="I16076" s="489"/>
      <c r="J16076" s="1362"/>
      <c r="K16076" s="1362"/>
      <c r="L16076" s="1362"/>
    </row>
    <row r="16077" spans="1:12" x14ac:dyDescent="0.25">
      <c r="A16077">
        <v>95370</v>
      </c>
      <c r="B16077" t="s">
        <v>2483</v>
      </c>
      <c r="C16077" t="s">
        <v>588</v>
      </c>
      <c r="D16077" s="254">
        <v>0.31</v>
      </c>
      <c r="E16077"/>
      <c r="F16077"/>
      <c r="G16077"/>
      <c r="H16077"/>
      <c r="I16077" s="489"/>
      <c r="J16077" s="1362"/>
      <c r="K16077" s="1362"/>
      <c r="L16077" s="1362"/>
    </row>
    <row r="16078" spans="1:12" x14ac:dyDescent="0.25">
      <c r="A16078">
        <v>95371</v>
      </c>
      <c r="B16078" t="s">
        <v>2484</v>
      </c>
      <c r="C16078" t="s">
        <v>588</v>
      </c>
      <c r="D16078" s="254">
        <v>0.45</v>
      </c>
      <c r="E16078"/>
      <c r="F16078"/>
      <c r="G16078"/>
      <c r="H16078"/>
      <c r="I16078" s="489"/>
      <c r="J16078" s="1362"/>
      <c r="K16078" s="1362"/>
      <c r="L16078" s="1362"/>
    </row>
    <row r="16079" spans="1:12" x14ac:dyDescent="0.25">
      <c r="A16079">
        <v>95372</v>
      </c>
      <c r="B16079" t="s">
        <v>2485</v>
      </c>
      <c r="C16079" t="s">
        <v>588</v>
      </c>
      <c r="D16079" s="254">
        <v>0.3</v>
      </c>
      <c r="E16079"/>
      <c r="F16079"/>
      <c r="G16079"/>
      <c r="H16079"/>
      <c r="I16079" s="489"/>
      <c r="J16079" s="1362"/>
      <c r="K16079" s="1362"/>
      <c r="L16079" s="1362"/>
    </row>
    <row r="16080" spans="1:12" x14ac:dyDescent="0.25">
      <c r="A16080">
        <v>95373</v>
      </c>
      <c r="B16080" t="s">
        <v>2486</v>
      </c>
      <c r="C16080" t="s">
        <v>588</v>
      </c>
      <c r="D16080" s="254">
        <v>0.28999999999999998</v>
      </c>
      <c r="E16080"/>
      <c r="F16080"/>
      <c r="G16080"/>
      <c r="H16080"/>
      <c r="I16080" s="489"/>
      <c r="J16080" s="1362"/>
      <c r="K16080" s="1362"/>
      <c r="L16080" s="1362"/>
    </row>
    <row r="16081" spans="1:12" x14ac:dyDescent="0.25">
      <c r="A16081">
        <v>95374</v>
      </c>
      <c r="B16081" t="s">
        <v>2487</v>
      </c>
      <c r="C16081" t="s">
        <v>588</v>
      </c>
      <c r="D16081" s="254">
        <v>0.3</v>
      </c>
      <c r="E16081"/>
      <c r="F16081"/>
      <c r="G16081"/>
      <c r="H16081"/>
      <c r="I16081" s="489"/>
      <c r="J16081" s="1362"/>
      <c r="K16081" s="1362"/>
      <c r="L16081" s="1362"/>
    </row>
    <row r="16082" spans="1:12" x14ac:dyDescent="0.25">
      <c r="A16082">
        <v>95375</v>
      </c>
      <c r="B16082" t="s">
        <v>2488</v>
      </c>
      <c r="C16082" t="s">
        <v>588</v>
      </c>
      <c r="D16082" s="254">
        <v>0.31</v>
      </c>
      <c r="E16082"/>
      <c r="F16082"/>
      <c r="G16082"/>
      <c r="H16082"/>
      <c r="I16082" s="489"/>
      <c r="J16082" s="1362"/>
      <c r="K16082" s="1362"/>
      <c r="L16082" s="1362"/>
    </row>
    <row r="16083" spans="1:12" x14ac:dyDescent="0.25">
      <c r="A16083">
        <v>95376</v>
      </c>
      <c r="B16083" t="s">
        <v>2489</v>
      </c>
      <c r="C16083" t="s">
        <v>588</v>
      </c>
      <c r="D16083" s="254">
        <v>0.06</v>
      </c>
      <c r="E16083"/>
      <c r="F16083"/>
      <c r="G16083"/>
      <c r="H16083"/>
      <c r="I16083" s="489"/>
      <c r="J16083" s="1362"/>
      <c r="K16083" s="1362"/>
      <c r="L16083" s="1362"/>
    </row>
    <row r="16084" spans="1:12" x14ac:dyDescent="0.25">
      <c r="A16084">
        <v>95377</v>
      </c>
      <c r="B16084" t="s">
        <v>2490</v>
      </c>
      <c r="C16084" t="s">
        <v>588</v>
      </c>
      <c r="D16084" s="254">
        <v>0.25</v>
      </c>
      <c r="E16084"/>
      <c r="F16084"/>
      <c r="G16084"/>
      <c r="H16084"/>
      <c r="I16084" s="489"/>
      <c r="J16084" s="1362"/>
      <c r="K16084" s="1362"/>
      <c r="L16084" s="1362"/>
    </row>
    <row r="16085" spans="1:12" x14ac:dyDescent="0.25">
      <c r="A16085">
        <v>95378</v>
      </c>
      <c r="B16085" t="s">
        <v>2491</v>
      </c>
      <c r="C16085" t="s">
        <v>588</v>
      </c>
      <c r="D16085" s="254">
        <v>0.28999999999999998</v>
      </c>
      <c r="E16085"/>
      <c r="F16085"/>
      <c r="G16085"/>
      <c r="H16085"/>
      <c r="I16085" s="489"/>
      <c r="J16085" s="1362"/>
      <c r="K16085" s="1362"/>
      <c r="L16085" s="1362"/>
    </row>
    <row r="16086" spans="1:12" x14ac:dyDescent="0.25">
      <c r="A16086">
        <v>95379</v>
      </c>
      <c r="B16086" t="s">
        <v>2492</v>
      </c>
      <c r="C16086" t="s">
        <v>588</v>
      </c>
      <c r="D16086" s="254">
        <v>0.23</v>
      </c>
      <c r="E16086"/>
      <c r="F16086"/>
      <c r="G16086"/>
      <c r="H16086"/>
      <c r="I16086" s="489"/>
      <c r="J16086" s="1362"/>
      <c r="K16086" s="1362"/>
      <c r="L16086" s="1362"/>
    </row>
    <row r="16087" spans="1:12" x14ac:dyDescent="0.25">
      <c r="A16087">
        <v>95380</v>
      </c>
      <c r="B16087" t="s">
        <v>2493</v>
      </c>
      <c r="C16087" t="s">
        <v>588</v>
      </c>
      <c r="D16087" s="254">
        <v>0.19</v>
      </c>
      <c r="E16087"/>
      <c r="F16087"/>
      <c r="G16087"/>
      <c r="H16087"/>
      <c r="I16087" s="489"/>
      <c r="J16087" s="1362"/>
      <c r="K16087" s="1362"/>
      <c r="L16087" s="1362"/>
    </row>
    <row r="16088" spans="1:12" x14ac:dyDescent="0.25">
      <c r="A16088">
        <v>95382</v>
      </c>
      <c r="B16088" t="s">
        <v>2494</v>
      </c>
      <c r="C16088" t="s">
        <v>588</v>
      </c>
      <c r="D16088" s="254">
        <v>0.23</v>
      </c>
      <c r="E16088"/>
      <c r="F16088"/>
      <c r="G16088"/>
      <c r="H16088"/>
      <c r="I16088" s="489"/>
      <c r="J16088" s="1362"/>
      <c r="K16088" s="1362"/>
      <c r="L16088" s="1362"/>
    </row>
    <row r="16089" spans="1:12" x14ac:dyDescent="0.25">
      <c r="A16089">
        <v>95383</v>
      </c>
      <c r="B16089" t="s">
        <v>2495</v>
      </c>
      <c r="C16089" t="s">
        <v>588</v>
      </c>
      <c r="D16089" s="254">
        <v>0.24</v>
      </c>
      <c r="E16089"/>
      <c r="F16089"/>
      <c r="G16089"/>
      <c r="H16089"/>
      <c r="I16089" s="489"/>
      <c r="J16089" s="1362"/>
      <c r="K16089" s="1362"/>
      <c r="L16089" s="1362"/>
    </row>
    <row r="16090" spans="1:12" x14ac:dyDescent="0.25">
      <c r="A16090">
        <v>95384</v>
      </c>
      <c r="B16090" t="s">
        <v>2496</v>
      </c>
      <c r="C16090" t="s">
        <v>588</v>
      </c>
      <c r="D16090" s="254">
        <v>0.3</v>
      </c>
      <c r="E16090"/>
      <c r="F16090"/>
      <c r="G16090"/>
      <c r="H16090"/>
      <c r="I16090" s="489"/>
      <c r="J16090" s="1362"/>
      <c r="K16090" s="1362"/>
      <c r="L16090" s="1362"/>
    </row>
    <row r="16091" spans="1:12" x14ac:dyDescent="0.25">
      <c r="A16091">
        <v>95385</v>
      </c>
      <c r="B16091" t="s">
        <v>2497</v>
      </c>
      <c r="C16091" t="s">
        <v>588</v>
      </c>
      <c r="D16091" s="254">
        <v>0.23</v>
      </c>
      <c r="E16091"/>
      <c r="F16091"/>
      <c r="G16091"/>
      <c r="H16091"/>
      <c r="I16091" s="489"/>
      <c r="J16091" s="1362"/>
      <c r="K16091" s="1362"/>
      <c r="L16091" s="1362"/>
    </row>
    <row r="16092" spans="1:12" x14ac:dyDescent="0.25">
      <c r="A16092">
        <v>95386</v>
      </c>
      <c r="B16092" t="s">
        <v>2498</v>
      </c>
      <c r="C16092" t="s">
        <v>588</v>
      </c>
      <c r="D16092" s="254">
        <v>0.23</v>
      </c>
      <c r="E16092"/>
      <c r="F16092"/>
      <c r="G16092"/>
      <c r="H16092"/>
      <c r="I16092" s="489"/>
      <c r="J16092" s="1362"/>
      <c r="K16092" s="1362"/>
      <c r="L16092" s="1362"/>
    </row>
    <row r="16093" spans="1:12" x14ac:dyDescent="0.25">
      <c r="A16093">
        <v>95387</v>
      </c>
      <c r="B16093" t="s">
        <v>2499</v>
      </c>
      <c r="C16093" t="s">
        <v>588</v>
      </c>
      <c r="D16093" s="254">
        <v>0.24</v>
      </c>
      <c r="E16093"/>
      <c r="F16093"/>
      <c r="G16093"/>
      <c r="H16093"/>
      <c r="I16093" s="489"/>
      <c r="J16093" s="1362"/>
      <c r="K16093" s="1362"/>
      <c r="L16093" s="1362"/>
    </row>
    <row r="16094" spans="1:12" x14ac:dyDescent="0.25">
      <c r="A16094">
        <v>95388</v>
      </c>
      <c r="B16094" t="s">
        <v>2500</v>
      </c>
      <c r="C16094" t="s">
        <v>588</v>
      </c>
      <c r="D16094" s="254">
        <v>0.09</v>
      </c>
      <c r="E16094"/>
      <c r="F16094"/>
      <c r="G16094"/>
      <c r="H16094"/>
      <c r="I16094" s="489"/>
      <c r="J16094" s="1362"/>
      <c r="K16094" s="1362"/>
      <c r="L16094" s="1362"/>
    </row>
    <row r="16095" spans="1:12" x14ac:dyDescent="0.25">
      <c r="A16095">
        <v>95389</v>
      </c>
      <c r="B16095" t="s">
        <v>2501</v>
      </c>
      <c r="C16095" t="s">
        <v>588</v>
      </c>
      <c r="D16095" s="254">
        <v>0.12</v>
      </c>
      <c r="E16095"/>
      <c r="F16095"/>
      <c r="G16095"/>
      <c r="H16095"/>
      <c r="I16095" s="489"/>
      <c r="J16095" s="1362"/>
      <c r="K16095" s="1362"/>
      <c r="L16095" s="1362"/>
    </row>
    <row r="16096" spans="1:12" x14ac:dyDescent="0.25">
      <c r="A16096">
        <v>95390</v>
      </c>
      <c r="B16096" t="s">
        <v>2502</v>
      </c>
      <c r="C16096" t="s">
        <v>588</v>
      </c>
      <c r="D16096" s="254">
        <v>7.0000000000000007E-2</v>
      </c>
      <c r="E16096"/>
      <c r="F16096"/>
      <c r="G16096"/>
      <c r="H16096"/>
      <c r="I16096" s="489"/>
      <c r="J16096" s="1362"/>
      <c r="K16096" s="1362"/>
      <c r="L16096" s="1362"/>
    </row>
    <row r="16097" spans="1:12" x14ac:dyDescent="0.25">
      <c r="A16097">
        <v>95391</v>
      </c>
      <c r="B16097" t="s">
        <v>2503</v>
      </c>
      <c r="C16097" t="s">
        <v>588</v>
      </c>
      <c r="D16097" s="254">
        <v>0.1</v>
      </c>
      <c r="E16097"/>
      <c r="F16097"/>
      <c r="G16097"/>
      <c r="H16097"/>
      <c r="I16097" s="489"/>
      <c r="J16097" s="1362"/>
      <c r="K16097" s="1362"/>
      <c r="L16097" s="1362"/>
    </row>
    <row r="16098" spans="1:12" x14ac:dyDescent="0.25">
      <c r="A16098">
        <v>95392</v>
      </c>
      <c r="B16098" t="s">
        <v>2504</v>
      </c>
      <c r="C16098" t="s">
        <v>588</v>
      </c>
      <c r="D16098" s="254">
        <v>0.11</v>
      </c>
      <c r="E16098"/>
      <c r="F16098"/>
      <c r="G16098"/>
      <c r="H16098"/>
      <c r="I16098" s="489"/>
      <c r="J16098" s="1362"/>
      <c r="K16098" s="1362"/>
      <c r="L16098" s="1362"/>
    </row>
    <row r="16099" spans="1:12" x14ac:dyDescent="0.25">
      <c r="A16099">
        <v>95393</v>
      </c>
      <c r="B16099" t="s">
        <v>2505</v>
      </c>
      <c r="C16099" t="s">
        <v>588</v>
      </c>
      <c r="D16099" s="254">
        <v>0.43</v>
      </c>
      <c r="E16099"/>
      <c r="F16099"/>
      <c r="G16099"/>
      <c r="H16099"/>
      <c r="I16099" s="489"/>
      <c r="J16099" s="1362"/>
      <c r="K16099" s="1362"/>
      <c r="L16099" s="1362"/>
    </row>
    <row r="16100" spans="1:12" x14ac:dyDescent="0.25">
      <c r="A16100">
        <v>95394</v>
      </c>
      <c r="B16100" t="s">
        <v>2506</v>
      </c>
      <c r="C16100" t="s">
        <v>588</v>
      </c>
      <c r="D16100" s="254">
        <v>0.52</v>
      </c>
      <c r="E16100"/>
      <c r="F16100"/>
      <c r="G16100"/>
      <c r="H16100"/>
      <c r="I16100" s="489"/>
      <c r="J16100" s="1362"/>
      <c r="K16100" s="1362"/>
      <c r="L16100" s="1362"/>
    </row>
    <row r="16101" spans="1:12" x14ac:dyDescent="0.25">
      <c r="A16101">
        <v>95395</v>
      </c>
      <c r="B16101" t="s">
        <v>2507</v>
      </c>
      <c r="C16101" t="s">
        <v>588</v>
      </c>
      <c r="D16101" s="254">
        <v>0.74</v>
      </c>
      <c r="E16101"/>
      <c r="F16101"/>
      <c r="G16101"/>
      <c r="H16101"/>
      <c r="I16101" s="489"/>
      <c r="J16101" s="1362"/>
      <c r="K16101" s="1362"/>
      <c r="L16101" s="1362"/>
    </row>
    <row r="16102" spans="1:12" x14ac:dyDescent="0.25">
      <c r="A16102">
        <v>95396</v>
      </c>
      <c r="B16102" t="s">
        <v>2508</v>
      </c>
      <c r="C16102" t="s">
        <v>588</v>
      </c>
      <c r="D16102" s="254">
        <v>0.97</v>
      </c>
      <c r="E16102"/>
      <c r="F16102"/>
      <c r="G16102"/>
      <c r="H16102"/>
      <c r="I16102" s="489"/>
      <c r="J16102" s="1362"/>
      <c r="K16102" s="1362"/>
      <c r="L16102" s="1362"/>
    </row>
    <row r="16103" spans="1:12" x14ac:dyDescent="0.25">
      <c r="A16103">
        <v>95397</v>
      </c>
      <c r="B16103" t="s">
        <v>2509</v>
      </c>
      <c r="C16103" t="s">
        <v>588</v>
      </c>
      <c r="D16103" s="254">
        <v>7.0000000000000007E-2</v>
      </c>
      <c r="E16103"/>
      <c r="F16103"/>
      <c r="G16103"/>
      <c r="H16103"/>
      <c r="I16103" s="489"/>
      <c r="J16103" s="1362"/>
      <c r="K16103" s="1362"/>
      <c r="L16103" s="1362"/>
    </row>
    <row r="16104" spans="1:12" x14ac:dyDescent="0.25">
      <c r="A16104">
        <v>95398</v>
      </c>
      <c r="B16104" t="s">
        <v>2510</v>
      </c>
      <c r="C16104" t="s">
        <v>588</v>
      </c>
      <c r="D16104" s="254">
        <v>0.1</v>
      </c>
      <c r="E16104"/>
      <c r="F16104"/>
      <c r="G16104"/>
      <c r="H16104"/>
      <c r="I16104" s="489"/>
      <c r="J16104" s="1362"/>
      <c r="K16104" s="1362"/>
      <c r="L16104" s="1362"/>
    </row>
    <row r="16105" spans="1:12" x14ac:dyDescent="0.25">
      <c r="A16105">
        <v>95399</v>
      </c>
      <c r="B16105" t="s">
        <v>2511</v>
      </c>
      <c r="C16105" t="s">
        <v>588</v>
      </c>
      <c r="D16105" s="254">
        <v>0.05</v>
      </c>
      <c r="E16105"/>
      <c r="F16105"/>
      <c r="G16105"/>
      <c r="H16105"/>
      <c r="I16105" s="489"/>
      <c r="J16105" s="1362"/>
      <c r="K16105" s="1362"/>
      <c r="L16105" s="1362"/>
    </row>
    <row r="16106" spans="1:12" x14ac:dyDescent="0.25">
      <c r="A16106">
        <v>95400</v>
      </c>
      <c r="B16106" t="s">
        <v>2512</v>
      </c>
      <c r="C16106" t="s">
        <v>588</v>
      </c>
      <c r="D16106" s="254">
        <v>0.08</v>
      </c>
      <c r="E16106"/>
      <c r="F16106"/>
      <c r="G16106"/>
      <c r="H16106"/>
      <c r="I16106" s="489"/>
      <c r="J16106" s="1362"/>
      <c r="K16106" s="1362"/>
      <c r="L16106" s="1362"/>
    </row>
    <row r="16107" spans="1:12" x14ac:dyDescent="0.25">
      <c r="A16107">
        <v>95401</v>
      </c>
      <c r="B16107" t="s">
        <v>2513</v>
      </c>
      <c r="C16107" t="s">
        <v>588</v>
      </c>
      <c r="D16107" s="254">
        <v>0.55000000000000004</v>
      </c>
      <c r="E16107"/>
      <c r="F16107"/>
      <c r="G16107"/>
      <c r="H16107"/>
      <c r="I16107" s="489"/>
      <c r="J16107" s="1362"/>
      <c r="K16107" s="1362"/>
      <c r="L16107" s="1362"/>
    </row>
    <row r="16108" spans="1:12" x14ac:dyDescent="0.25">
      <c r="A16108">
        <v>95402</v>
      </c>
      <c r="B16108" t="s">
        <v>2514</v>
      </c>
      <c r="C16108" t="s">
        <v>588</v>
      </c>
      <c r="D16108" s="254">
        <v>1.26</v>
      </c>
      <c r="E16108"/>
      <c r="F16108"/>
      <c r="G16108"/>
      <c r="H16108"/>
      <c r="I16108" s="489"/>
      <c r="J16108" s="1362"/>
      <c r="K16108" s="1362"/>
      <c r="L16108" s="1362"/>
    </row>
    <row r="16109" spans="1:12" x14ac:dyDescent="0.25">
      <c r="A16109">
        <v>95403</v>
      </c>
      <c r="B16109" t="s">
        <v>2515</v>
      </c>
      <c r="C16109" t="s">
        <v>588</v>
      </c>
      <c r="D16109" s="254">
        <v>1.44</v>
      </c>
      <c r="E16109"/>
      <c r="F16109"/>
      <c r="G16109"/>
      <c r="H16109"/>
      <c r="I16109" s="489"/>
      <c r="J16109" s="1362"/>
      <c r="K16109" s="1362"/>
      <c r="L16109" s="1362"/>
    </row>
    <row r="16110" spans="1:12" x14ac:dyDescent="0.25">
      <c r="A16110">
        <v>95404</v>
      </c>
      <c r="B16110" t="s">
        <v>2516</v>
      </c>
      <c r="C16110" t="s">
        <v>588</v>
      </c>
      <c r="D16110" s="254">
        <v>1.97</v>
      </c>
      <c r="E16110"/>
      <c r="F16110"/>
      <c r="G16110"/>
      <c r="H16110"/>
      <c r="I16110" s="489"/>
      <c r="J16110" s="1362"/>
      <c r="K16110" s="1362"/>
      <c r="L16110" s="1362"/>
    </row>
    <row r="16111" spans="1:12" x14ac:dyDescent="0.25">
      <c r="A16111">
        <v>95405</v>
      </c>
      <c r="B16111" t="s">
        <v>2517</v>
      </c>
      <c r="C16111" t="s">
        <v>588</v>
      </c>
      <c r="D16111" s="254">
        <v>0.93</v>
      </c>
      <c r="E16111"/>
      <c r="F16111"/>
      <c r="G16111"/>
      <c r="H16111"/>
      <c r="I16111" s="489"/>
      <c r="J16111" s="1362"/>
      <c r="K16111" s="1362"/>
      <c r="L16111" s="1362"/>
    </row>
    <row r="16112" spans="1:12" x14ac:dyDescent="0.25">
      <c r="A16112">
        <v>95406</v>
      </c>
      <c r="B16112" t="s">
        <v>2518</v>
      </c>
      <c r="C16112" t="s">
        <v>588</v>
      </c>
      <c r="D16112" s="254">
        <v>0.17</v>
      </c>
      <c r="E16112"/>
      <c r="F16112"/>
      <c r="G16112"/>
      <c r="H16112"/>
      <c r="I16112" s="489"/>
      <c r="J16112" s="1362"/>
      <c r="K16112" s="1362"/>
      <c r="L16112" s="1362"/>
    </row>
    <row r="16113" spans="1:12" x14ac:dyDescent="0.25">
      <c r="A16113">
        <v>95407</v>
      </c>
      <c r="B16113" t="s">
        <v>2519</v>
      </c>
      <c r="C16113" t="s">
        <v>588</v>
      </c>
      <c r="D16113" s="254">
        <v>3.13</v>
      </c>
      <c r="E16113"/>
      <c r="F16113"/>
      <c r="G16113"/>
      <c r="H16113"/>
      <c r="I16113" s="489"/>
      <c r="J16113" s="1362"/>
      <c r="K16113" s="1362"/>
      <c r="L16113" s="1362"/>
    </row>
    <row r="16114" spans="1:12" x14ac:dyDescent="0.25">
      <c r="A16114">
        <v>95408</v>
      </c>
      <c r="B16114" t="s">
        <v>2520</v>
      </c>
      <c r="C16114" t="s">
        <v>312</v>
      </c>
      <c r="D16114" s="254">
        <v>11.44</v>
      </c>
      <c r="E16114"/>
      <c r="F16114"/>
      <c r="G16114"/>
      <c r="H16114"/>
      <c r="I16114" s="489"/>
      <c r="J16114" s="1362"/>
      <c r="K16114" s="1362"/>
      <c r="L16114" s="1362"/>
    </row>
    <row r="16115" spans="1:12" x14ac:dyDescent="0.25">
      <c r="A16115">
        <v>95409</v>
      </c>
      <c r="B16115" t="s">
        <v>2521</v>
      </c>
      <c r="C16115" t="s">
        <v>312</v>
      </c>
      <c r="D16115" s="254">
        <v>13.37</v>
      </c>
      <c r="E16115"/>
      <c r="F16115"/>
      <c r="G16115"/>
      <c r="H16115"/>
      <c r="I16115" s="489"/>
      <c r="J16115" s="1362"/>
      <c r="K16115" s="1362"/>
      <c r="L16115" s="1362"/>
    </row>
    <row r="16116" spans="1:12" x14ac:dyDescent="0.25">
      <c r="A16116">
        <v>95410</v>
      </c>
      <c r="B16116" t="s">
        <v>2522</v>
      </c>
      <c r="C16116" t="s">
        <v>312</v>
      </c>
      <c r="D16116" s="254">
        <v>7.08</v>
      </c>
      <c r="E16116"/>
      <c r="F16116"/>
      <c r="G16116"/>
      <c r="H16116"/>
      <c r="I16116" s="489"/>
      <c r="J16116" s="1362"/>
      <c r="K16116" s="1362"/>
      <c r="L16116" s="1362"/>
    </row>
    <row r="16117" spans="1:12" x14ac:dyDescent="0.25">
      <c r="A16117">
        <v>95411</v>
      </c>
      <c r="B16117" t="s">
        <v>2523</v>
      </c>
      <c r="C16117" t="s">
        <v>312</v>
      </c>
      <c r="D16117" s="254">
        <v>11.05</v>
      </c>
      <c r="E16117"/>
      <c r="F16117"/>
      <c r="G16117"/>
      <c r="H16117"/>
      <c r="I16117" s="489"/>
      <c r="J16117" s="1362"/>
      <c r="K16117" s="1362"/>
      <c r="L16117" s="1362"/>
    </row>
    <row r="16118" spans="1:12" x14ac:dyDescent="0.25">
      <c r="A16118">
        <v>95412</v>
      </c>
      <c r="B16118" t="s">
        <v>2524</v>
      </c>
      <c r="C16118" t="s">
        <v>312</v>
      </c>
      <c r="D16118" s="254">
        <v>10.56</v>
      </c>
      <c r="E16118"/>
      <c r="F16118"/>
      <c r="G16118"/>
      <c r="H16118"/>
      <c r="I16118" s="489"/>
      <c r="J16118" s="1362"/>
      <c r="K16118" s="1362"/>
      <c r="L16118" s="1362"/>
    </row>
    <row r="16119" spans="1:12" x14ac:dyDescent="0.25">
      <c r="A16119">
        <v>95413</v>
      </c>
      <c r="B16119" t="s">
        <v>2525</v>
      </c>
      <c r="C16119" t="s">
        <v>312</v>
      </c>
      <c r="D16119" s="254">
        <v>14.99</v>
      </c>
      <c r="E16119"/>
      <c r="F16119"/>
      <c r="G16119"/>
      <c r="H16119"/>
      <c r="I16119" s="489"/>
      <c r="J16119" s="1362"/>
      <c r="K16119" s="1362"/>
      <c r="L16119" s="1362"/>
    </row>
    <row r="16120" spans="1:12" x14ac:dyDescent="0.25">
      <c r="A16120">
        <v>95414</v>
      </c>
      <c r="B16120" t="s">
        <v>2526</v>
      </c>
      <c r="C16120" t="s">
        <v>312</v>
      </c>
      <c r="D16120" s="254">
        <v>58.62</v>
      </c>
      <c r="E16120"/>
      <c r="F16120"/>
      <c r="G16120"/>
      <c r="H16120"/>
      <c r="I16120" s="489"/>
      <c r="J16120" s="1362"/>
      <c r="K16120" s="1362"/>
      <c r="L16120" s="1362"/>
    </row>
    <row r="16121" spans="1:12" x14ac:dyDescent="0.25">
      <c r="A16121">
        <v>95415</v>
      </c>
      <c r="B16121" t="s">
        <v>2527</v>
      </c>
      <c r="C16121" t="s">
        <v>312</v>
      </c>
      <c r="D16121" s="254">
        <v>169.65</v>
      </c>
      <c r="E16121"/>
      <c r="F16121"/>
      <c r="G16121"/>
      <c r="H16121"/>
      <c r="I16121" s="489"/>
      <c r="J16121" s="1362"/>
      <c r="K16121" s="1362"/>
      <c r="L16121" s="1362"/>
    </row>
    <row r="16122" spans="1:12" x14ac:dyDescent="0.25">
      <c r="A16122">
        <v>95416</v>
      </c>
      <c r="B16122" t="s">
        <v>2528</v>
      </c>
      <c r="C16122" t="s">
        <v>312</v>
      </c>
      <c r="D16122" s="254">
        <v>13.49</v>
      </c>
      <c r="E16122"/>
      <c r="F16122"/>
      <c r="G16122"/>
      <c r="H16122"/>
      <c r="I16122" s="489"/>
      <c r="J16122" s="1362"/>
      <c r="K16122" s="1362"/>
      <c r="L16122" s="1362"/>
    </row>
    <row r="16123" spans="1:12" x14ac:dyDescent="0.25">
      <c r="A16123">
        <v>95417</v>
      </c>
      <c r="B16123" t="s">
        <v>2529</v>
      </c>
      <c r="C16123" t="s">
        <v>312</v>
      </c>
      <c r="D16123" s="254">
        <v>193.1</v>
      </c>
      <c r="E16123"/>
      <c r="F16123"/>
      <c r="G16123"/>
      <c r="H16123"/>
      <c r="I16123" s="489"/>
      <c r="J16123" s="1362"/>
      <c r="K16123" s="1362"/>
      <c r="L16123" s="1362"/>
    </row>
    <row r="16124" spans="1:12" x14ac:dyDescent="0.25">
      <c r="A16124">
        <v>95418</v>
      </c>
      <c r="B16124" t="s">
        <v>2530</v>
      </c>
      <c r="C16124" t="s">
        <v>312</v>
      </c>
      <c r="D16124" s="254">
        <v>263.95999999999998</v>
      </c>
      <c r="E16124"/>
      <c r="F16124"/>
      <c r="G16124"/>
      <c r="H16124"/>
      <c r="I16124" s="489"/>
      <c r="J16124" s="1362"/>
      <c r="K16124" s="1362"/>
      <c r="L16124" s="1362"/>
    </row>
    <row r="16125" spans="1:12" x14ac:dyDescent="0.25">
      <c r="A16125">
        <v>95419</v>
      </c>
      <c r="B16125" t="s">
        <v>2531</v>
      </c>
      <c r="C16125" t="s">
        <v>312</v>
      </c>
      <c r="D16125" s="254">
        <v>70.08</v>
      </c>
      <c r="E16125"/>
      <c r="F16125"/>
      <c r="G16125"/>
      <c r="H16125"/>
      <c r="I16125" s="489"/>
      <c r="J16125" s="1362"/>
      <c r="K16125" s="1362"/>
      <c r="L16125" s="1362"/>
    </row>
    <row r="16126" spans="1:12" x14ac:dyDescent="0.25">
      <c r="A16126">
        <v>95420</v>
      </c>
      <c r="B16126" t="s">
        <v>2532</v>
      </c>
      <c r="C16126" t="s">
        <v>312</v>
      </c>
      <c r="D16126" s="254">
        <v>99.54</v>
      </c>
      <c r="E16126"/>
      <c r="F16126"/>
      <c r="G16126"/>
      <c r="H16126"/>
      <c r="I16126" s="489"/>
      <c r="J16126" s="1362"/>
      <c r="K16126" s="1362"/>
      <c r="L16126" s="1362"/>
    </row>
    <row r="16127" spans="1:12" x14ac:dyDescent="0.25">
      <c r="A16127">
        <v>95421</v>
      </c>
      <c r="B16127" t="s">
        <v>2533</v>
      </c>
      <c r="C16127" t="s">
        <v>312</v>
      </c>
      <c r="D16127" s="254">
        <v>131.61000000000001</v>
      </c>
      <c r="E16127"/>
      <c r="F16127"/>
      <c r="G16127"/>
      <c r="H16127"/>
      <c r="I16127" s="489"/>
      <c r="J16127" s="1362"/>
      <c r="K16127" s="1362"/>
      <c r="L16127" s="1362"/>
    </row>
    <row r="16128" spans="1:12" x14ac:dyDescent="0.25">
      <c r="A16128">
        <v>95422</v>
      </c>
      <c r="B16128" t="s">
        <v>2534</v>
      </c>
      <c r="C16128" t="s">
        <v>312</v>
      </c>
      <c r="D16128" s="254">
        <v>75.209999999999994</v>
      </c>
      <c r="E16128"/>
      <c r="F16128"/>
      <c r="G16128"/>
      <c r="H16128"/>
      <c r="I16128" s="489"/>
      <c r="J16128" s="1362"/>
      <c r="K16128" s="1362"/>
      <c r="L16128" s="1362"/>
    </row>
    <row r="16129" spans="1:12" x14ac:dyDescent="0.25">
      <c r="A16129">
        <v>95423</v>
      </c>
      <c r="B16129" t="s">
        <v>2535</v>
      </c>
      <c r="C16129" t="s">
        <v>312</v>
      </c>
      <c r="D16129" s="254">
        <v>126.01</v>
      </c>
      <c r="E16129"/>
      <c r="F16129"/>
      <c r="G16129"/>
      <c r="H16129"/>
      <c r="I16129" s="489"/>
      <c r="J16129" s="1362"/>
      <c r="K16129" s="1362"/>
      <c r="L16129" s="1362"/>
    </row>
    <row r="16130" spans="1:12" x14ac:dyDescent="0.25">
      <c r="A16130">
        <v>95424</v>
      </c>
      <c r="B16130" t="s">
        <v>2536</v>
      </c>
      <c r="C16130" t="s">
        <v>312</v>
      </c>
      <c r="D16130" s="254">
        <v>22.89</v>
      </c>
      <c r="E16130"/>
      <c r="F16130"/>
      <c r="G16130"/>
      <c r="H16130"/>
      <c r="I16130" s="489"/>
      <c r="J16130" s="1362"/>
      <c r="K16130" s="1362"/>
      <c r="L16130" s="1362"/>
    </row>
    <row r="16131" spans="1:12" x14ac:dyDescent="0.25">
      <c r="A16131">
        <v>100288</v>
      </c>
      <c r="B16131" t="s">
        <v>3583</v>
      </c>
      <c r="C16131" t="s">
        <v>588</v>
      </c>
      <c r="D16131" s="254">
        <v>7.0000000000000007E-2</v>
      </c>
      <c r="E16131"/>
      <c r="F16131"/>
      <c r="G16131"/>
      <c r="H16131"/>
      <c r="I16131" s="489"/>
      <c r="J16131" s="1362"/>
      <c r="K16131" s="1362"/>
      <c r="L16131" s="1362"/>
    </row>
    <row r="16132" spans="1:12" x14ac:dyDescent="0.25">
      <c r="A16132">
        <v>100289</v>
      </c>
      <c r="B16132" t="s">
        <v>3584</v>
      </c>
      <c r="C16132" t="s">
        <v>588</v>
      </c>
      <c r="D16132" s="254">
        <v>20.6</v>
      </c>
      <c r="E16132"/>
      <c r="F16132"/>
      <c r="G16132"/>
      <c r="H16132"/>
      <c r="I16132" s="489"/>
      <c r="J16132" s="1362"/>
      <c r="K16132" s="1362"/>
      <c r="L16132" s="1362"/>
    </row>
    <row r="16133" spans="1:12" x14ac:dyDescent="0.25">
      <c r="A16133">
        <v>100290</v>
      </c>
      <c r="B16133" t="s">
        <v>3585</v>
      </c>
      <c r="C16133" t="s">
        <v>588</v>
      </c>
      <c r="D16133" s="254">
        <v>0.09</v>
      </c>
      <c r="E16133"/>
      <c r="F16133"/>
      <c r="G16133"/>
      <c r="H16133"/>
      <c r="I16133" s="489"/>
      <c r="J16133" s="1362"/>
      <c r="K16133" s="1362"/>
      <c r="L16133" s="1362"/>
    </row>
    <row r="16134" spans="1:12" x14ac:dyDescent="0.25">
      <c r="A16134">
        <v>100291</v>
      </c>
      <c r="B16134" t="s">
        <v>3586</v>
      </c>
      <c r="C16134" t="s">
        <v>588</v>
      </c>
      <c r="D16134" s="254">
        <v>0.22</v>
      </c>
      <c r="E16134"/>
      <c r="F16134"/>
      <c r="G16134"/>
      <c r="H16134"/>
      <c r="I16134" s="489"/>
      <c r="J16134" s="1362"/>
      <c r="K16134" s="1362"/>
      <c r="L16134" s="1362"/>
    </row>
    <row r="16135" spans="1:12" x14ac:dyDescent="0.25">
      <c r="A16135">
        <v>100292</v>
      </c>
      <c r="B16135" t="s">
        <v>3587</v>
      </c>
      <c r="C16135" t="s">
        <v>588</v>
      </c>
      <c r="D16135" s="254">
        <v>0.63</v>
      </c>
      <c r="E16135"/>
      <c r="F16135"/>
      <c r="G16135"/>
      <c r="H16135"/>
      <c r="I16135" s="489"/>
      <c r="J16135" s="1362"/>
      <c r="K16135" s="1362"/>
      <c r="L16135" s="1362"/>
    </row>
    <row r="16136" spans="1:12" x14ac:dyDescent="0.25">
      <c r="A16136">
        <v>100293</v>
      </c>
      <c r="B16136" t="s">
        <v>3588</v>
      </c>
      <c r="C16136" t="s">
        <v>588</v>
      </c>
      <c r="D16136" s="254">
        <v>0.21</v>
      </c>
      <c r="E16136"/>
      <c r="F16136"/>
      <c r="G16136"/>
      <c r="H16136"/>
      <c r="I16136" s="489"/>
      <c r="J16136" s="1362"/>
      <c r="K16136" s="1362"/>
      <c r="L16136" s="1362"/>
    </row>
    <row r="16137" spans="1:12" x14ac:dyDescent="0.25">
      <c r="A16137">
        <v>100294</v>
      </c>
      <c r="B16137" t="s">
        <v>3589</v>
      </c>
      <c r="C16137" t="s">
        <v>588</v>
      </c>
      <c r="D16137" s="254">
        <v>0.32</v>
      </c>
      <c r="E16137"/>
      <c r="F16137"/>
      <c r="G16137"/>
      <c r="H16137"/>
      <c r="I16137" s="489"/>
      <c r="J16137" s="1362"/>
      <c r="K16137" s="1362"/>
      <c r="L16137" s="1362"/>
    </row>
    <row r="16138" spans="1:12" x14ac:dyDescent="0.25">
      <c r="A16138">
        <v>100295</v>
      </c>
      <c r="B16138" t="s">
        <v>3590</v>
      </c>
      <c r="C16138" t="s">
        <v>588</v>
      </c>
      <c r="D16138" s="254">
        <v>0.67</v>
      </c>
      <c r="E16138"/>
      <c r="F16138"/>
      <c r="G16138"/>
      <c r="H16138"/>
      <c r="I16138" s="489"/>
      <c r="J16138" s="1362"/>
      <c r="K16138" s="1362"/>
      <c r="L16138" s="1362"/>
    </row>
    <row r="16139" spans="1:12" x14ac:dyDescent="0.25">
      <c r="A16139">
        <v>100296</v>
      </c>
      <c r="B16139" t="s">
        <v>3591</v>
      </c>
      <c r="C16139" t="s">
        <v>588</v>
      </c>
      <c r="D16139" s="254">
        <v>1</v>
      </c>
      <c r="E16139"/>
      <c r="F16139"/>
      <c r="G16139"/>
      <c r="H16139"/>
      <c r="I16139" s="489"/>
      <c r="J16139" s="1362"/>
      <c r="K16139" s="1362"/>
      <c r="L16139" s="1362"/>
    </row>
    <row r="16140" spans="1:12" x14ac:dyDescent="0.25">
      <c r="A16140">
        <v>100297</v>
      </c>
      <c r="B16140" t="s">
        <v>3592</v>
      </c>
      <c r="C16140" t="s">
        <v>588</v>
      </c>
      <c r="D16140" s="254">
        <v>1.1299999999999999</v>
      </c>
      <c r="E16140"/>
      <c r="F16140"/>
      <c r="G16140"/>
      <c r="H16140"/>
      <c r="I16140" s="489"/>
      <c r="J16140" s="1362"/>
      <c r="K16140" s="1362"/>
      <c r="L16140" s="1362"/>
    </row>
    <row r="16141" spans="1:12" x14ac:dyDescent="0.25">
      <c r="A16141">
        <v>100298</v>
      </c>
      <c r="B16141" t="s">
        <v>3593</v>
      </c>
      <c r="C16141" t="s">
        <v>588</v>
      </c>
      <c r="D16141" s="254">
        <v>0.71</v>
      </c>
      <c r="E16141"/>
      <c r="F16141"/>
      <c r="G16141"/>
      <c r="H16141"/>
      <c r="I16141" s="489"/>
      <c r="J16141" s="1362"/>
      <c r="K16141" s="1362"/>
      <c r="L16141" s="1362"/>
    </row>
    <row r="16142" spans="1:12" x14ac:dyDescent="0.25">
      <c r="A16142">
        <v>100299</v>
      </c>
      <c r="B16142" t="s">
        <v>3594</v>
      </c>
      <c r="C16142" t="s">
        <v>588</v>
      </c>
      <c r="D16142" s="254">
        <v>0.54</v>
      </c>
      <c r="E16142"/>
      <c r="F16142"/>
      <c r="G16142"/>
      <c r="H16142"/>
      <c r="I16142" s="489"/>
      <c r="J16142" s="1362"/>
      <c r="K16142" s="1362"/>
      <c r="L16142" s="1362"/>
    </row>
    <row r="16143" spans="1:12" x14ac:dyDescent="0.25">
      <c r="A16143">
        <v>100300</v>
      </c>
      <c r="B16143" t="s">
        <v>3595</v>
      </c>
      <c r="C16143" t="s">
        <v>588</v>
      </c>
      <c r="D16143" s="254">
        <v>25.95</v>
      </c>
      <c r="E16143"/>
      <c r="F16143"/>
      <c r="G16143"/>
      <c r="H16143"/>
      <c r="I16143" s="489"/>
      <c r="J16143" s="1362"/>
      <c r="K16143" s="1362"/>
      <c r="L16143" s="1362"/>
    </row>
    <row r="16144" spans="1:12" x14ac:dyDescent="0.25">
      <c r="A16144">
        <v>100301</v>
      </c>
      <c r="B16144" t="s">
        <v>3596</v>
      </c>
      <c r="C16144" t="s">
        <v>588</v>
      </c>
      <c r="D16144" s="254">
        <v>23.32</v>
      </c>
      <c r="E16144"/>
      <c r="F16144"/>
      <c r="G16144"/>
      <c r="H16144"/>
      <c r="I16144" s="489"/>
      <c r="J16144" s="1362"/>
      <c r="K16144" s="1362"/>
      <c r="L16144" s="1362"/>
    </row>
    <row r="16145" spans="1:12" x14ac:dyDescent="0.25">
      <c r="A16145">
        <v>100302</v>
      </c>
      <c r="B16145" t="s">
        <v>3597</v>
      </c>
      <c r="C16145" t="s">
        <v>588</v>
      </c>
      <c r="D16145" s="254">
        <v>157.05000000000001</v>
      </c>
      <c r="E16145"/>
      <c r="F16145"/>
      <c r="G16145"/>
      <c r="H16145"/>
      <c r="I16145" s="489"/>
      <c r="J16145" s="1362"/>
      <c r="K16145" s="1362"/>
      <c r="L16145" s="1362"/>
    </row>
    <row r="16146" spans="1:12" x14ac:dyDescent="0.25">
      <c r="A16146">
        <v>100303</v>
      </c>
      <c r="B16146" t="s">
        <v>3598</v>
      </c>
      <c r="C16146" t="s">
        <v>588</v>
      </c>
      <c r="D16146" s="254">
        <v>21.29</v>
      </c>
      <c r="E16146"/>
      <c r="F16146"/>
      <c r="G16146"/>
      <c r="H16146"/>
      <c r="I16146" s="489"/>
      <c r="J16146" s="1362"/>
      <c r="K16146" s="1362"/>
      <c r="L16146" s="1362"/>
    </row>
    <row r="16147" spans="1:12" x14ac:dyDescent="0.25">
      <c r="A16147">
        <v>100304</v>
      </c>
      <c r="B16147" t="s">
        <v>3599</v>
      </c>
      <c r="C16147" t="s">
        <v>588</v>
      </c>
      <c r="D16147" s="254">
        <v>81.040000000000006</v>
      </c>
      <c r="E16147"/>
      <c r="F16147"/>
      <c r="G16147"/>
      <c r="H16147"/>
      <c r="I16147" s="489"/>
      <c r="J16147" s="1362"/>
      <c r="K16147" s="1362"/>
      <c r="L16147" s="1362"/>
    </row>
    <row r="16148" spans="1:12" x14ac:dyDescent="0.25">
      <c r="A16148">
        <v>100305</v>
      </c>
      <c r="B16148" t="s">
        <v>3600</v>
      </c>
      <c r="C16148" t="s">
        <v>588</v>
      </c>
      <c r="D16148" s="254">
        <v>109.74</v>
      </c>
      <c r="E16148"/>
      <c r="F16148"/>
      <c r="G16148"/>
      <c r="H16148"/>
      <c r="I16148" s="489"/>
      <c r="J16148" s="1362"/>
      <c r="K16148" s="1362"/>
      <c r="L16148" s="1362"/>
    </row>
    <row r="16149" spans="1:12" x14ac:dyDescent="0.25">
      <c r="A16149">
        <v>100306</v>
      </c>
      <c r="B16149" t="s">
        <v>3601</v>
      </c>
      <c r="C16149" t="s">
        <v>588</v>
      </c>
      <c r="D16149" s="254">
        <v>123.62</v>
      </c>
      <c r="E16149"/>
      <c r="F16149"/>
      <c r="G16149"/>
      <c r="H16149"/>
      <c r="I16149" s="489"/>
      <c r="J16149" s="1362"/>
      <c r="K16149" s="1362"/>
      <c r="L16149" s="1362"/>
    </row>
    <row r="16150" spans="1:12" x14ac:dyDescent="0.25">
      <c r="A16150">
        <v>100307</v>
      </c>
      <c r="B16150" t="s">
        <v>3602</v>
      </c>
      <c r="C16150" t="s">
        <v>588</v>
      </c>
      <c r="D16150" s="254">
        <v>31.02</v>
      </c>
      <c r="E16150"/>
      <c r="F16150"/>
      <c r="G16150"/>
      <c r="H16150"/>
      <c r="I16150" s="489"/>
      <c r="J16150" s="1362"/>
      <c r="K16150" s="1362"/>
      <c r="L16150" s="1362"/>
    </row>
    <row r="16151" spans="1:12" x14ac:dyDescent="0.25">
      <c r="A16151">
        <v>100308</v>
      </c>
      <c r="B16151" t="s">
        <v>3603</v>
      </c>
      <c r="C16151" t="s">
        <v>588</v>
      </c>
      <c r="D16151" s="254">
        <v>35.85</v>
      </c>
      <c r="E16151"/>
      <c r="F16151"/>
      <c r="G16151"/>
      <c r="H16151"/>
      <c r="I16151" s="489"/>
      <c r="J16151" s="1362"/>
      <c r="K16151" s="1362"/>
      <c r="L16151" s="1362"/>
    </row>
    <row r="16152" spans="1:12" x14ac:dyDescent="0.25">
      <c r="A16152">
        <v>100309</v>
      </c>
      <c r="B16152" t="s">
        <v>3611</v>
      </c>
      <c r="C16152" t="s">
        <v>588</v>
      </c>
      <c r="D16152" s="254">
        <v>39.549999999999997</v>
      </c>
      <c r="E16152"/>
      <c r="F16152"/>
      <c r="G16152"/>
      <c r="H16152"/>
      <c r="I16152" s="489"/>
      <c r="J16152" s="1362"/>
      <c r="K16152" s="1362"/>
      <c r="L16152" s="1362"/>
    </row>
    <row r="16153" spans="1:12" x14ac:dyDescent="0.25">
      <c r="A16153">
        <v>100310</v>
      </c>
      <c r="B16153" t="s">
        <v>3604</v>
      </c>
      <c r="C16153" t="s">
        <v>312</v>
      </c>
      <c r="D16153" s="254">
        <v>13.27</v>
      </c>
      <c r="E16153"/>
      <c r="F16153"/>
      <c r="G16153"/>
      <c r="H16153"/>
      <c r="I16153" s="489"/>
      <c r="J16153" s="1362"/>
      <c r="K16153" s="1362"/>
      <c r="L16153" s="1362"/>
    </row>
    <row r="16154" spans="1:12" x14ac:dyDescent="0.25">
      <c r="A16154">
        <v>100311</v>
      </c>
      <c r="B16154" t="s">
        <v>3605</v>
      </c>
      <c r="C16154" t="s">
        <v>312</v>
      </c>
      <c r="D16154" s="254">
        <v>84.72</v>
      </c>
      <c r="E16154"/>
      <c r="F16154"/>
      <c r="G16154"/>
      <c r="H16154"/>
      <c r="I16154" s="489"/>
      <c r="J16154" s="1362"/>
      <c r="K16154" s="1362"/>
      <c r="L16154" s="1362"/>
    </row>
    <row r="16155" spans="1:12" x14ac:dyDescent="0.25">
      <c r="A16155">
        <v>100312</v>
      </c>
      <c r="B16155" t="s">
        <v>3606</v>
      </c>
      <c r="C16155" t="s">
        <v>312</v>
      </c>
      <c r="D16155" s="254">
        <v>113.15</v>
      </c>
      <c r="E16155"/>
      <c r="F16155"/>
      <c r="G16155"/>
      <c r="H16155"/>
      <c r="I16155" s="489"/>
      <c r="J16155" s="1362"/>
      <c r="K16155" s="1362"/>
      <c r="L16155" s="1362"/>
    </row>
    <row r="16156" spans="1:12" x14ac:dyDescent="0.25">
      <c r="A16156">
        <v>100313</v>
      </c>
      <c r="B16156" t="s">
        <v>3607</v>
      </c>
      <c r="C16156" t="s">
        <v>312</v>
      </c>
      <c r="D16156" s="254">
        <v>134.29</v>
      </c>
      <c r="E16156"/>
      <c r="F16156"/>
      <c r="G16156"/>
      <c r="H16156"/>
      <c r="I16156" s="489"/>
      <c r="J16156" s="1362"/>
      <c r="K16156" s="1362"/>
      <c r="L16156" s="1362"/>
    </row>
    <row r="16157" spans="1:12" x14ac:dyDescent="0.25">
      <c r="A16157">
        <v>100314</v>
      </c>
      <c r="B16157" t="s">
        <v>3608</v>
      </c>
      <c r="C16157" t="s">
        <v>312</v>
      </c>
      <c r="D16157" s="254">
        <v>151.51</v>
      </c>
      <c r="E16157"/>
      <c r="F16157"/>
      <c r="G16157"/>
      <c r="H16157"/>
      <c r="I16157" s="489"/>
      <c r="J16157" s="1362"/>
      <c r="K16157" s="1362"/>
      <c r="L16157" s="1362"/>
    </row>
    <row r="16158" spans="1:12" x14ac:dyDescent="0.25">
      <c r="A16158">
        <v>100315</v>
      </c>
      <c r="B16158" t="s">
        <v>3609</v>
      </c>
      <c r="C16158" t="s">
        <v>312</v>
      </c>
      <c r="D16158" s="254">
        <v>73.25</v>
      </c>
      <c r="E16158"/>
      <c r="F16158"/>
      <c r="G16158"/>
      <c r="H16158"/>
      <c r="I16158" s="489"/>
      <c r="J16158" s="1362"/>
      <c r="K16158" s="1362"/>
      <c r="L16158" s="1362"/>
    </row>
    <row r="16159" spans="1:12" x14ac:dyDescent="0.25">
      <c r="A16159">
        <v>100316</v>
      </c>
      <c r="B16159" t="s">
        <v>3595</v>
      </c>
      <c r="C16159" t="s">
        <v>312</v>
      </c>
      <c r="D16159" s="254">
        <v>4597.8500000000004</v>
      </c>
      <c r="E16159"/>
      <c r="F16159"/>
      <c r="G16159"/>
      <c r="H16159"/>
      <c r="I16159" s="489"/>
      <c r="J16159" s="1362"/>
      <c r="K16159" s="1362"/>
      <c r="L16159" s="1362"/>
    </row>
    <row r="16160" spans="1:12" x14ac:dyDescent="0.25">
      <c r="A16160">
        <v>100317</v>
      </c>
      <c r="B16160" t="s">
        <v>3610</v>
      </c>
      <c r="C16160" t="s">
        <v>312</v>
      </c>
      <c r="D16160" s="254">
        <v>27703.64</v>
      </c>
      <c r="E16160"/>
      <c r="F16160"/>
      <c r="G16160"/>
      <c r="H16160"/>
      <c r="I16160" s="489"/>
      <c r="J16160" s="1362"/>
      <c r="K16160" s="1362"/>
      <c r="L16160" s="1362"/>
    </row>
    <row r="16161" spans="1:12" x14ac:dyDescent="0.25">
      <c r="A16161">
        <v>100318</v>
      </c>
      <c r="B16161" t="s">
        <v>3599</v>
      </c>
      <c r="C16161" t="s">
        <v>312</v>
      </c>
      <c r="D16161" s="254">
        <v>14372.52</v>
      </c>
      <c r="E16161"/>
      <c r="F16161"/>
      <c r="G16161"/>
      <c r="H16161"/>
      <c r="I16161" s="489"/>
      <c r="J16161" s="1362"/>
      <c r="K16161" s="1362"/>
      <c r="L16161" s="1362"/>
    </row>
    <row r="16162" spans="1:12" x14ac:dyDescent="0.25">
      <c r="A16162">
        <v>100319</v>
      </c>
      <c r="B16162" t="s">
        <v>3600</v>
      </c>
      <c r="C16162" t="s">
        <v>312</v>
      </c>
      <c r="D16162" s="254">
        <v>19339.11</v>
      </c>
      <c r="E16162"/>
      <c r="F16162"/>
      <c r="G16162"/>
      <c r="H16162"/>
      <c r="I16162" s="489"/>
      <c r="J16162" s="1362"/>
      <c r="K16162" s="1362"/>
      <c r="L16162" s="1362"/>
    </row>
    <row r="16163" spans="1:12" x14ac:dyDescent="0.25">
      <c r="A16163">
        <v>100320</v>
      </c>
      <c r="B16163" t="s">
        <v>3601</v>
      </c>
      <c r="C16163" t="s">
        <v>312</v>
      </c>
      <c r="D16163" s="254">
        <v>21781.21</v>
      </c>
      <c r="E16163"/>
      <c r="F16163"/>
      <c r="G16163"/>
      <c r="H16163"/>
      <c r="I16163" s="489"/>
      <c r="J16163" s="1362"/>
      <c r="K16163" s="1362"/>
      <c r="L16163" s="1362"/>
    </row>
    <row r="16164" spans="1:12" x14ac:dyDescent="0.25">
      <c r="A16164">
        <v>100321</v>
      </c>
      <c r="B16164" t="s">
        <v>3611</v>
      </c>
      <c r="C16164" t="s">
        <v>312</v>
      </c>
      <c r="D16164" s="254">
        <v>6976.56</v>
      </c>
      <c r="E16164"/>
      <c r="F16164"/>
      <c r="G16164"/>
      <c r="H16164"/>
      <c r="I16164" s="489"/>
      <c r="J16164" s="1362"/>
      <c r="K16164" s="1362"/>
      <c r="L16164" s="1362"/>
    </row>
    <row r="16165" spans="1:12" x14ac:dyDescent="0.25">
      <c r="A16165">
        <v>100533</v>
      </c>
      <c r="B16165" t="s">
        <v>3884</v>
      </c>
      <c r="C16165" t="s">
        <v>588</v>
      </c>
      <c r="D16165" s="254">
        <v>21.94</v>
      </c>
      <c r="E16165"/>
      <c r="F16165"/>
      <c r="G16165"/>
      <c r="H16165"/>
      <c r="I16165" s="489"/>
      <c r="J16165" s="1362"/>
      <c r="K16165" s="1362"/>
      <c r="L16165" s="1362"/>
    </row>
    <row r="16166" spans="1:12" x14ac:dyDescent="0.25">
      <c r="A16166">
        <v>100534</v>
      </c>
      <c r="B16166" t="s">
        <v>3884</v>
      </c>
      <c r="C16166" t="s">
        <v>312</v>
      </c>
      <c r="D16166" s="254">
        <v>3890.6</v>
      </c>
      <c r="E16166"/>
      <c r="F16166"/>
      <c r="G16166"/>
      <c r="H16166"/>
      <c r="I16166" s="489"/>
      <c r="J16166" s="1362"/>
      <c r="K16166" s="1362"/>
      <c r="L16166" s="1362"/>
    </row>
    <row r="16167" spans="1:12" x14ac:dyDescent="0.25">
      <c r="A16167">
        <v>100535</v>
      </c>
      <c r="B16167" t="s">
        <v>3885</v>
      </c>
      <c r="C16167" t="s">
        <v>588</v>
      </c>
      <c r="D16167" s="254">
        <v>0.28999999999999998</v>
      </c>
      <c r="E16167"/>
      <c r="F16167"/>
      <c r="G16167"/>
      <c r="H16167"/>
      <c r="I16167" s="489"/>
      <c r="J16167" s="1362"/>
      <c r="K16167" s="1362"/>
      <c r="L16167" s="1362"/>
    </row>
    <row r="16168" spans="1:12" x14ac:dyDescent="0.25">
      <c r="A16168">
        <v>100536</v>
      </c>
      <c r="B16168" t="s">
        <v>3886</v>
      </c>
      <c r="C16168" t="s">
        <v>312</v>
      </c>
      <c r="D16168" s="254">
        <v>39.369999999999997</v>
      </c>
      <c r="E16168"/>
      <c r="F16168"/>
      <c r="G16168"/>
      <c r="H16168"/>
      <c r="I16168" s="489"/>
      <c r="J16168" s="1362"/>
      <c r="K16168" s="1362"/>
      <c r="L16168" s="1362"/>
    </row>
    <row r="16169" spans="1:12" x14ac:dyDescent="0.25">
      <c r="A16169">
        <v>101284</v>
      </c>
      <c r="B16169" t="s">
        <v>4470</v>
      </c>
      <c r="C16169" t="s">
        <v>588</v>
      </c>
      <c r="D16169" s="254">
        <v>1.55</v>
      </c>
      <c r="E16169"/>
      <c r="F16169"/>
      <c r="G16169"/>
      <c r="H16169"/>
      <c r="I16169" s="489"/>
      <c r="J16169" s="1362"/>
      <c r="K16169" s="1362"/>
      <c r="L16169" s="1362"/>
    </row>
    <row r="16170" spans="1:12" x14ac:dyDescent="0.25">
      <c r="A16170">
        <v>101285</v>
      </c>
      <c r="B16170" t="s">
        <v>4471</v>
      </c>
      <c r="C16170" t="s">
        <v>588</v>
      </c>
      <c r="D16170" s="254">
        <v>0.44</v>
      </c>
      <c r="E16170"/>
      <c r="F16170"/>
      <c r="G16170"/>
      <c r="H16170"/>
      <c r="I16170" s="489"/>
      <c r="J16170" s="1362"/>
      <c r="K16170" s="1362"/>
      <c r="L16170" s="1362"/>
    </row>
    <row r="16171" spans="1:12" x14ac:dyDescent="0.25">
      <c r="A16171">
        <v>101286</v>
      </c>
      <c r="B16171" t="s">
        <v>4472</v>
      </c>
      <c r="C16171" t="s">
        <v>312</v>
      </c>
      <c r="D16171" s="254">
        <v>22.22</v>
      </c>
      <c r="E16171"/>
      <c r="F16171"/>
      <c r="G16171"/>
      <c r="H16171"/>
      <c r="I16171" s="489"/>
      <c r="J16171" s="1362"/>
      <c r="K16171" s="1362"/>
      <c r="L16171" s="1362"/>
    </row>
    <row r="16172" spans="1:12" x14ac:dyDescent="0.25">
      <c r="A16172">
        <v>101287</v>
      </c>
      <c r="B16172" t="s">
        <v>4473</v>
      </c>
      <c r="C16172" t="s">
        <v>312</v>
      </c>
      <c r="D16172" s="254">
        <v>94.94</v>
      </c>
      <c r="E16172"/>
      <c r="F16172"/>
      <c r="G16172"/>
      <c r="H16172"/>
      <c r="I16172" s="489"/>
      <c r="J16172" s="1362"/>
      <c r="K16172" s="1362"/>
      <c r="L16172" s="1362"/>
    </row>
    <row r="16173" spans="1:12" x14ac:dyDescent="0.25">
      <c r="A16173">
        <v>101288</v>
      </c>
      <c r="B16173" t="s">
        <v>4474</v>
      </c>
      <c r="C16173" t="s">
        <v>312</v>
      </c>
      <c r="D16173" s="254">
        <v>20.73</v>
      </c>
      <c r="E16173"/>
      <c r="F16173"/>
      <c r="G16173"/>
      <c r="H16173"/>
      <c r="I16173" s="489"/>
      <c r="J16173" s="1362"/>
      <c r="K16173" s="1362"/>
      <c r="L16173" s="1362"/>
    </row>
    <row r="16174" spans="1:12" x14ac:dyDescent="0.25">
      <c r="A16174">
        <v>101289</v>
      </c>
      <c r="B16174" t="s">
        <v>4475</v>
      </c>
      <c r="C16174" t="s">
        <v>312</v>
      </c>
      <c r="D16174" s="254">
        <v>22.14</v>
      </c>
      <c r="E16174"/>
      <c r="F16174"/>
      <c r="G16174"/>
      <c r="H16174"/>
      <c r="I16174" s="489"/>
      <c r="J16174" s="1362"/>
      <c r="K16174" s="1362"/>
      <c r="L16174" s="1362"/>
    </row>
    <row r="16175" spans="1:12" x14ac:dyDescent="0.25">
      <c r="A16175">
        <v>101290</v>
      </c>
      <c r="B16175" t="s">
        <v>4476</v>
      </c>
      <c r="C16175" t="s">
        <v>312</v>
      </c>
      <c r="D16175" s="254">
        <v>29.87</v>
      </c>
      <c r="E16175"/>
      <c r="F16175"/>
      <c r="G16175"/>
      <c r="H16175"/>
      <c r="I16175" s="489"/>
      <c r="J16175" s="1362"/>
      <c r="K16175" s="1362"/>
      <c r="L16175" s="1362"/>
    </row>
    <row r="16176" spans="1:12" x14ac:dyDescent="0.25">
      <c r="A16176">
        <v>101291</v>
      </c>
      <c r="B16176" t="s">
        <v>4477</v>
      </c>
      <c r="C16176" t="s">
        <v>312</v>
      </c>
      <c r="D16176" s="254">
        <v>24.4</v>
      </c>
      <c r="E16176"/>
      <c r="F16176"/>
      <c r="G16176"/>
      <c r="H16176"/>
      <c r="I16176" s="489"/>
      <c r="J16176" s="1362"/>
      <c r="K16176" s="1362"/>
      <c r="L16176" s="1362"/>
    </row>
    <row r="16177" spans="1:12" x14ac:dyDescent="0.25">
      <c r="A16177">
        <v>101292</v>
      </c>
      <c r="B16177" t="s">
        <v>4478</v>
      </c>
      <c r="C16177" t="s">
        <v>312</v>
      </c>
      <c r="D16177" s="254">
        <v>23.81</v>
      </c>
      <c r="E16177"/>
      <c r="F16177"/>
      <c r="G16177"/>
      <c r="H16177"/>
      <c r="I16177" s="489"/>
      <c r="J16177" s="1362"/>
      <c r="K16177" s="1362"/>
      <c r="L16177" s="1362"/>
    </row>
    <row r="16178" spans="1:12" x14ac:dyDescent="0.25">
      <c r="A16178">
        <v>101293</v>
      </c>
      <c r="B16178" t="s">
        <v>4479</v>
      </c>
      <c r="C16178" t="s">
        <v>312</v>
      </c>
      <c r="D16178" s="254">
        <v>33.369999999999997</v>
      </c>
      <c r="E16178"/>
      <c r="F16178"/>
      <c r="G16178"/>
      <c r="H16178"/>
      <c r="I16178" s="489"/>
      <c r="J16178" s="1362"/>
      <c r="K16178" s="1362"/>
      <c r="L16178" s="1362"/>
    </row>
    <row r="16179" spans="1:12" x14ac:dyDescent="0.25">
      <c r="A16179">
        <v>101294</v>
      </c>
      <c r="B16179" t="s">
        <v>4480</v>
      </c>
      <c r="C16179" t="s">
        <v>312</v>
      </c>
      <c r="D16179" s="254">
        <v>34.56</v>
      </c>
      <c r="E16179"/>
      <c r="F16179"/>
      <c r="G16179"/>
      <c r="H16179"/>
      <c r="I16179" s="489"/>
      <c r="J16179" s="1362"/>
      <c r="K16179" s="1362"/>
      <c r="L16179" s="1362"/>
    </row>
    <row r="16180" spans="1:12" x14ac:dyDescent="0.25">
      <c r="A16180">
        <v>101295</v>
      </c>
      <c r="B16180" t="s">
        <v>4481</v>
      </c>
      <c r="C16180" t="s">
        <v>312</v>
      </c>
      <c r="D16180" s="254">
        <v>28.48</v>
      </c>
      <c r="E16180"/>
      <c r="F16180"/>
      <c r="G16180"/>
      <c r="H16180"/>
      <c r="I16180" s="489"/>
      <c r="J16180" s="1362"/>
      <c r="K16180" s="1362"/>
      <c r="L16180" s="1362"/>
    </row>
    <row r="16181" spans="1:12" x14ac:dyDescent="0.25">
      <c r="A16181">
        <v>101296</v>
      </c>
      <c r="B16181" t="s">
        <v>4482</v>
      </c>
      <c r="C16181" t="s">
        <v>312</v>
      </c>
      <c r="D16181" s="254">
        <v>37.81</v>
      </c>
      <c r="E16181"/>
      <c r="F16181"/>
      <c r="G16181"/>
      <c r="H16181"/>
      <c r="I16181" s="489"/>
      <c r="J16181" s="1362"/>
      <c r="K16181" s="1362"/>
      <c r="L16181" s="1362"/>
    </row>
    <row r="16182" spans="1:12" x14ac:dyDescent="0.25">
      <c r="A16182">
        <v>101297</v>
      </c>
      <c r="B16182" t="s">
        <v>4483</v>
      </c>
      <c r="C16182" t="s">
        <v>312</v>
      </c>
      <c r="D16182" s="254">
        <v>28.83</v>
      </c>
      <c r="E16182"/>
      <c r="F16182"/>
      <c r="G16182"/>
      <c r="H16182"/>
      <c r="I16182" s="489"/>
      <c r="J16182" s="1362"/>
      <c r="K16182" s="1362"/>
      <c r="L16182" s="1362"/>
    </row>
    <row r="16183" spans="1:12" x14ac:dyDescent="0.25">
      <c r="A16183">
        <v>101298</v>
      </c>
      <c r="B16183" t="s">
        <v>4484</v>
      </c>
      <c r="C16183" t="s">
        <v>312</v>
      </c>
      <c r="D16183" s="254">
        <v>20.66</v>
      </c>
      <c r="E16183"/>
      <c r="F16183"/>
      <c r="G16183"/>
      <c r="H16183"/>
      <c r="I16183" s="489"/>
      <c r="J16183" s="1362"/>
      <c r="K16183" s="1362"/>
      <c r="L16183" s="1362"/>
    </row>
    <row r="16184" spans="1:12" x14ac:dyDescent="0.25">
      <c r="A16184">
        <v>101299</v>
      </c>
      <c r="B16184" t="s">
        <v>4485</v>
      </c>
      <c r="C16184" t="s">
        <v>312</v>
      </c>
      <c r="D16184" s="254">
        <v>28.48</v>
      </c>
      <c r="E16184"/>
      <c r="F16184"/>
      <c r="G16184"/>
      <c r="H16184"/>
      <c r="I16184" s="489"/>
      <c r="J16184" s="1362"/>
      <c r="K16184" s="1362"/>
      <c r="L16184" s="1362"/>
    </row>
    <row r="16185" spans="1:12" x14ac:dyDescent="0.25">
      <c r="A16185">
        <v>101300</v>
      </c>
      <c r="B16185" t="s">
        <v>4486</v>
      </c>
      <c r="C16185" t="s">
        <v>312</v>
      </c>
      <c r="D16185" s="254">
        <v>21.67</v>
      </c>
      <c r="E16185"/>
      <c r="F16185"/>
      <c r="G16185"/>
      <c r="H16185"/>
      <c r="I16185" s="489"/>
      <c r="J16185" s="1362"/>
      <c r="K16185" s="1362"/>
      <c r="L16185" s="1362"/>
    </row>
    <row r="16186" spans="1:12" x14ac:dyDescent="0.25">
      <c r="A16186">
        <v>101301</v>
      </c>
      <c r="B16186" t="s">
        <v>4487</v>
      </c>
      <c r="C16186" t="s">
        <v>312</v>
      </c>
      <c r="D16186" s="254">
        <v>10.3</v>
      </c>
      <c r="E16186"/>
      <c r="F16186"/>
      <c r="G16186"/>
      <c r="H16186"/>
      <c r="I16186" s="489"/>
      <c r="J16186" s="1362"/>
      <c r="K16186" s="1362"/>
      <c r="L16186" s="1362"/>
    </row>
    <row r="16187" spans="1:12" x14ac:dyDescent="0.25">
      <c r="A16187">
        <v>101302</v>
      </c>
      <c r="B16187" t="s">
        <v>4488</v>
      </c>
      <c r="C16187" t="s">
        <v>312</v>
      </c>
      <c r="D16187" s="254">
        <v>25.84</v>
      </c>
      <c r="E16187"/>
      <c r="F16187"/>
      <c r="G16187"/>
      <c r="H16187"/>
      <c r="I16187" s="489"/>
      <c r="J16187" s="1362"/>
      <c r="K16187" s="1362"/>
      <c r="L16187" s="1362"/>
    </row>
    <row r="16188" spans="1:12" x14ac:dyDescent="0.25">
      <c r="A16188">
        <v>101303</v>
      </c>
      <c r="B16188" t="s">
        <v>4489</v>
      </c>
      <c r="C16188" t="s">
        <v>312</v>
      </c>
      <c r="D16188" s="254">
        <v>90.93</v>
      </c>
      <c r="E16188"/>
      <c r="F16188"/>
      <c r="G16188"/>
      <c r="H16188"/>
      <c r="I16188" s="489"/>
      <c r="J16188" s="1362"/>
      <c r="K16188" s="1362"/>
      <c r="L16188" s="1362"/>
    </row>
    <row r="16189" spans="1:12" x14ac:dyDescent="0.25">
      <c r="A16189">
        <v>101304</v>
      </c>
      <c r="B16189" t="s">
        <v>4490</v>
      </c>
      <c r="C16189" t="s">
        <v>312</v>
      </c>
      <c r="D16189" s="254">
        <v>42.77</v>
      </c>
      <c r="E16189"/>
      <c r="F16189"/>
      <c r="G16189"/>
      <c r="H16189"/>
      <c r="I16189" s="489"/>
      <c r="J16189" s="1362"/>
      <c r="K16189" s="1362"/>
      <c r="L16189" s="1362"/>
    </row>
    <row r="16190" spans="1:12" x14ac:dyDescent="0.25">
      <c r="A16190">
        <v>101305</v>
      </c>
      <c r="B16190" t="s">
        <v>4491</v>
      </c>
      <c r="C16190" t="s">
        <v>312</v>
      </c>
      <c r="D16190" s="254">
        <v>40.43</v>
      </c>
      <c r="E16190"/>
      <c r="F16190"/>
      <c r="G16190"/>
      <c r="H16190"/>
      <c r="I16190" s="489"/>
      <c r="J16190" s="1362"/>
      <c r="K16190" s="1362"/>
      <c r="L16190" s="1362"/>
    </row>
    <row r="16191" spans="1:12" x14ac:dyDescent="0.25">
      <c r="A16191">
        <v>101307</v>
      </c>
      <c r="B16191" t="s">
        <v>4492</v>
      </c>
      <c r="C16191" t="s">
        <v>312</v>
      </c>
      <c r="D16191" s="254">
        <v>33.369999999999997</v>
      </c>
      <c r="E16191"/>
      <c r="F16191"/>
      <c r="G16191"/>
      <c r="H16191"/>
      <c r="I16191" s="489"/>
      <c r="J16191" s="1362"/>
      <c r="K16191" s="1362"/>
      <c r="L16191" s="1362"/>
    </row>
    <row r="16192" spans="1:12" x14ac:dyDescent="0.25">
      <c r="A16192">
        <v>101308</v>
      </c>
      <c r="B16192" t="s">
        <v>4493</v>
      </c>
      <c r="C16192" t="s">
        <v>312</v>
      </c>
      <c r="D16192" s="254">
        <v>25.94</v>
      </c>
      <c r="E16192"/>
      <c r="F16192"/>
      <c r="G16192"/>
      <c r="H16192"/>
      <c r="I16192" s="489"/>
      <c r="J16192" s="1362"/>
      <c r="K16192" s="1362"/>
      <c r="L16192" s="1362"/>
    </row>
    <row r="16193" spans="1:12" x14ac:dyDescent="0.25">
      <c r="A16193">
        <v>101309</v>
      </c>
      <c r="B16193" t="s">
        <v>4494</v>
      </c>
      <c r="C16193" t="s">
        <v>312</v>
      </c>
      <c r="D16193" s="254">
        <v>29.87</v>
      </c>
      <c r="E16193"/>
      <c r="F16193"/>
      <c r="G16193"/>
      <c r="H16193"/>
      <c r="I16193" s="489"/>
      <c r="J16193" s="1362"/>
      <c r="K16193" s="1362"/>
      <c r="L16193" s="1362"/>
    </row>
    <row r="16194" spans="1:12" x14ac:dyDescent="0.25">
      <c r="A16194">
        <v>101310</v>
      </c>
      <c r="B16194" t="s">
        <v>4495</v>
      </c>
      <c r="C16194" t="s">
        <v>312</v>
      </c>
      <c r="D16194" s="254">
        <v>38.47</v>
      </c>
      <c r="E16194"/>
      <c r="F16194"/>
      <c r="G16194"/>
      <c r="H16194"/>
      <c r="I16194" s="489"/>
      <c r="J16194" s="1362"/>
      <c r="K16194" s="1362"/>
      <c r="L16194" s="1362"/>
    </row>
    <row r="16195" spans="1:12" x14ac:dyDescent="0.25">
      <c r="A16195">
        <v>101311</v>
      </c>
      <c r="B16195" t="s">
        <v>4496</v>
      </c>
      <c r="C16195" t="s">
        <v>312</v>
      </c>
      <c r="D16195" s="254">
        <v>31.87</v>
      </c>
      <c r="E16195"/>
      <c r="F16195"/>
      <c r="G16195"/>
      <c r="H16195"/>
      <c r="I16195" s="489"/>
      <c r="J16195" s="1362"/>
      <c r="K16195" s="1362"/>
      <c r="L16195" s="1362"/>
    </row>
    <row r="16196" spans="1:12" x14ac:dyDescent="0.25">
      <c r="A16196">
        <v>101312</v>
      </c>
      <c r="B16196" t="s">
        <v>4497</v>
      </c>
      <c r="C16196" t="s">
        <v>312</v>
      </c>
      <c r="D16196" s="254">
        <v>19.100000000000001</v>
      </c>
      <c r="E16196"/>
      <c r="F16196"/>
      <c r="G16196"/>
      <c r="H16196"/>
      <c r="I16196" s="489"/>
      <c r="J16196" s="1362"/>
      <c r="K16196" s="1362"/>
      <c r="L16196" s="1362"/>
    </row>
    <row r="16197" spans="1:12" x14ac:dyDescent="0.25">
      <c r="A16197">
        <v>101313</v>
      </c>
      <c r="B16197" t="s">
        <v>4498</v>
      </c>
      <c r="C16197" t="s">
        <v>312</v>
      </c>
      <c r="D16197" s="254">
        <v>129.85</v>
      </c>
      <c r="E16197"/>
      <c r="F16197"/>
      <c r="G16197"/>
      <c r="H16197"/>
      <c r="I16197" s="489"/>
      <c r="J16197" s="1362"/>
      <c r="K16197" s="1362"/>
      <c r="L16197" s="1362"/>
    </row>
    <row r="16198" spans="1:12" x14ac:dyDescent="0.25">
      <c r="A16198">
        <v>101314</v>
      </c>
      <c r="B16198" t="s">
        <v>4499</v>
      </c>
      <c r="C16198" t="s">
        <v>312</v>
      </c>
      <c r="D16198" s="254">
        <v>122.4</v>
      </c>
      <c r="E16198"/>
      <c r="F16198"/>
      <c r="G16198"/>
      <c r="H16198"/>
      <c r="I16198" s="489"/>
      <c r="J16198" s="1362"/>
      <c r="K16198" s="1362"/>
      <c r="L16198" s="1362"/>
    </row>
    <row r="16199" spans="1:12" x14ac:dyDescent="0.25">
      <c r="A16199">
        <v>101315</v>
      </c>
      <c r="B16199" t="s">
        <v>4500</v>
      </c>
      <c r="C16199" t="s">
        <v>312</v>
      </c>
      <c r="D16199" s="254">
        <v>120.54</v>
      </c>
      <c r="E16199"/>
      <c r="F16199"/>
      <c r="G16199"/>
      <c r="H16199"/>
      <c r="I16199" s="489"/>
      <c r="J16199" s="1362"/>
      <c r="K16199" s="1362"/>
      <c r="L16199" s="1362"/>
    </row>
    <row r="16200" spans="1:12" x14ac:dyDescent="0.25">
      <c r="A16200">
        <v>101316</v>
      </c>
      <c r="B16200" t="s">
        <v>4501</v>
      </c>
      <c r="C16200" t="s">
        <v>312</v>
      </c>
      <c r="D16200" s="254">
        <v>51.71</v>
      </c>
      <c r="E16200"/>
      <c r="F16200"/>
      <c r="G16200"/>
      <c r="H16200"/>
      <c r="I16200" s="489"/>
      <c r="J16200" s="1362"/>
      <c r="K16200" s="1362"/>
      <c r="L16200" s="1362"/>
    </row>
    <row r="16201" spans="1:12" x14ac:dyDescent="0.25">
      <c r="A16201">
        <v>101317</v>
      </c>
      <c r="B16201" t="s">
        <v>4502</v>
      </c>
      <c r="C16201" t="s">
        <v>312</v>
      </c>
      <c r="D16201" s="254">
        <v>207.63</v>
      </c>
      <c r="E16201"/>
      <c r="F16201"/>
      <c r="G16201"/>
      <c r="H16201"/>
      <c r="I16201" s="489"/>
      <c r="J16201" s="1362"/>
      <c r="K16201" s="1362"/>
      <c r="L16201" s="1362"/>
    </row>
    <row r="16202" spans="1:12" x14ac:dyDescent="0.25">
      <c r="A16202">
        <v>101318</v>
      </c>
      <c r="B16202" t="s">
        <v>4503</v>
      </c>
      <c r="C16202" t="s">
        <v>312</v>
      </c>
      <c r="D16202" s="254">
        <v>421.5</v>
      </c>
      <c r="E16202"/>
      <c r="F16202"/>
      <c r="G16202"/>
      <c r="H16202"/>
      <c r="I16202" s="489"/>
      <c r="J16202" s="1362"/>
      <c r="K16202" s="1362"/>
      <c r="L16202" s="1362"/>
    </row>
    <row r="16203" spans="1:12" x14ac:dyDescent="0.25">
      <c r="A16203">
        <v>101319</v>
      </c>
      <c r="B16203" t="s">
        <v>4504</v>
      </c>
      <c r="C16203" t="s">
        <v>312</v>
      </c>
      <c r="D16203" s="254">
        <v>58.76</v>
      </c>
      <c r="E16203"/>
      <c r="F16203"/>
      <c r="G16203"/>
      <c r="H16203"/>
      <c r="I16203" s="489"/>
      <c r="J16203" s="1362"/>
      <c r="K16203" s="1362"/>
      <c r="L16203" s="1362"/>
    </row>
    <row r="16204" spans="1:12" x14ac:dyDescent="0.25">
      <c r="A16204">
        <v>101320</v>
      </c>
      <c r="B16204" t="s">
        <v>4505</v>
      </c>
      <c r="C16204" t="s">
        <v>312</v>
      </c>
      <c r="D16204" s="254">
        <v>30.82</v>
      </c>
      <c r="E16204"/>
      <c r="F16204"/>
      <c r="G16204"/>
      <c r="H16204"/>
      <c r="I16204" s="489"/>
      <c r="J16204" s="1362"/>
      <c r="K16204" s="1362"/>
      <c r="L16204" s="1362"/>
    </row>
    <row r="16205" spans="1:12" x14ac:dyDescent="0.25">
      <c r="A16205">
        <v>101322</v>
      </c>
      <c r="B16205" t="s">
        <v>4506</v>
      </c>
      <c r="C16205" t="s">
        <v>312</v>
      </c>
      <c r="D16205" s="254">
        <v>33.07</v>
      </c>
      <c r="E16205"/>
      <c r="F16205"/>
      <c r="G16205"/>
      <c r="H16205"/>
      <c r="I16205" s="489"/>
      <c r="J16205" s="1362"/>
      <c r="K16205" s="1362"/>
      <c r="L16205" s="1362"/>
    </row>
    <row r="16206" spans="1:12" x14ac:dyDescent="0.25">
      <c r="A16206">
        <v>101323</v>
      </c>
      <c r="B16206" t="s">
        <v>4507</v>
      </c>
      <c r="C16206" t="s">
        <v>312</v>
      </c>
      <c r="D16206" s="254">
        <v>61.57</v>
      </c>
      <c r="E16206"/>
      <c r="F16206"/>
      <c r="G16206"/>
      <c r="H16206"/>
      <c r="I16206" s="489"/>
      <c r="J16206" s="1362"/>
      <c r="K16206" s="1362"/>
      <c r="L16206" s="1362"/>
    </row>
    <row r="16207" spans="1:12" x14ac:dyDescent="0.25">
      <c r="A16207">
        <v>101324</v>
      </c>
      <c r="B16207" t="s">
        <v>4508</v>
      </c>
      <c r="C16207" t="s">
        <v>312</v>
      </c>
      <c r="D16207" s="254">
        <v>10.79</v>
      </c>
      <c r="E16207"/>
      <c r="F16207"/>
      <c r="G16207"/>
      <c r="H16207"/>
      <c r="I16207" s="489"/>
      <c r="J16207" s="1362"/>
      <c r="K16207" s="1362"/>
      <c r="L16207" s="1362"/>
    </row>
    <row r="16208" spans="1:12" x14ac:dyDescent="0.25">
      <c r="A16208">
        <v>101325</v>
      </c>
      <c r="B16208" t="s">
        <v>4509</v>
      </c>
      <c r="C16208" t="s">
        <v>312</v>
      </c>
      <c r="D16208" s="254">
        <v>37.020000000000003</v>
      </c>
      <c r="E16208"/>
      <c r="F16208"/>
      <c r="G16208"/>
      <c r="H16208"/>
      <c r="I16208" s="489"/>
      <c r="J16208" s="1362"/>
      <c r="K16208" s="1362"/>
      <c r="L16208" s="1362"/>
    </row>
    <row r="16209" spans="1:12" x14ac:dyDescent="0.25">
      <c r="A16209">
        <v>101326</v>
      </c>
      <c r="B16209" t="s">
        <v>4510</v>
      </c>
      <c r="C16209" t="s">
        <v>312</v>
      </c>
      <c r="D16209" s="254">
        <v>10.65</v>
      </c>
      <c r="E16209"/>
      <c r="F16209"/>
      <c r="G16209"/>
      <c r="H16209"/>
      <c r="I16209" s="489"/>
      <c r="J16209" s="1362"/>
      <c r="K16209" s="1362"/>
      <c r="L16209" s="1362"/>
    </row>
    <row r="16210" spans="1:12" x14ac:dyDescent="0.25">
      <c r="A16210">
        <v>101327</v>
      </c>
      <c r="B16210" t="s">
        <v>4511</v>
      </c>
      <c r="C16210" t="s">
        <v>312</v>
      </c>
      <c r="D16210" s="254">
        <v>12.37</v>
      </c>
      <c r="E16210"/>
      <c r="F16210"/>
      <c r="G16210"/>
      <c r="H16210"/>
      <c r="I16210" s="489"/>
      <c r="J16210" s="1362"/>
      <c r="K16210" s="1362"/>
      <c r="L16210" s="1362"/>
    </row>
    <row r="16211" spans="1:12" x14ac:dyDescent="0.25">
      <c r="A16211">
        <v>101328</v>
      </c>
      <c r="B16211" t="s">
        <v>4512</v>
      </c>
      <c r="C16211" t="s">
        <v>312</v>
      </c>
      <c r="D16211" s="254">
        <v>15.28</v>
      </c>
      <c r="E16211"/>
      <c r="F16211"/>
      <c r="G16211"/>
      <c r="H16211"/>
      <c r="I16211" s="489"/>
      <c r="J16211" s="1362"/>
      <c r="K16211" s="1362"/>
      <c r="L16211" s="1362"/>
    </row>
    <row r="16212" spans="1:12" x14ac:dyDescent="0.25">
      <c r="A16212">
        <v>101329</v>
      </c>
      <c r="B16212" t="s">
        <v>4513</v>
      </c>
      <c r="C16212" t="s">
        <v>312</v>
      </c>
      <c r="D16212" s="254">
        <v>47.04</v>
      </c>
      <c r="E16212"/>
      <c r="F16212"/>
      <c r="G16212"/>
      <c r="H16212"/>
      <c r="I16212" s="489"/>
      <c r="J16212" s="1362"/>
      <c r="K16212" s="1362"/>
      <c r="L16212" s="1362"/>
    </row>
    <row r="16213" spans="1:12" x14ac:dyDescent="0.25">
      <c r="A16213">
        <v>101330</v>
      </c>
      <c r="B16213" t="s">
        <v>4514</v>
      </c>
      <c r="C16213" t="s">
        <v>312</v>
      </c>
      <c r="D16213" s="254">
        <v>37.86</v>
      </c>
      <c r="E16213"/>
      <c r="F16213"/>
      <c r="G16213"/>
      <c r="H16213"/>
      <c r="I16213" s="489"/>
      <c r="J16213" s="1362"/>
      <c r="K16213" s="1362"/>
      <c r="L16213" s="1362"/>
    </row>
    <row r="16214" spans="1:12" x14ac:dyDescent="0.25">
      <c r="A16214">
        <v>101331</v>
      </c>
      <c r="B16214" t="s">
        <v>4515</v>
      </c>
      <c r="C16214" t="s">
        <v>312</v>
      </c>
      <c r="D16214" s="254">
        <v>31.79</v>
      </c>
      <c r="E16214"/>
      <c r="F16214"/>
      <c r="G16214"/>
      <c r="H16214"/>
      <c r="I16214" s="489"/>
      <c r="J16214" s="1362"/>
      <c r="K16214" s="1362"/>
      <c r="L16214" s="1362"/>
    </row>
    <row r="16215" spans="1:12" x14ac:dyDescent="0.25">
      <c r="A16215">
        <v>101332</v>
      </c>
      <c r="B16215" t="s">
        <v>4516</v>
      </c>
      <c r="C16215" t="s">
        <v>312</v>
      </c>
      <c r="D16215" s="254">
        <v>12.3</v>
      </c>
      <c r="E16215"/>
      <c r="F16215"/>
      <c r="G16215"/>
      <c r="H16215"/>
      <c r="I16215" s="489"/>
      <c r="J16215" s="1362"/>
      <c r="K16215" s="1362"/>
      <c r="L16215" s="1362"/>
    </row>
    <row r="16216" spans="1:12" x14ac:dyDescent="0.25">
      <c r="A16216">
        <v>101333</v>
      </c>
      <c r="B16216" t="s">
        <v>4517</v>
      </c>
      <c r="C16216" t="s">
        <v>312</v>
      </c>
      <c r="D16216" s="254">
        <v>25.94</v>
      </c>
      <c r="E16216"/>
      <c r="F16216"/>
      <c r="G16216"/>
      <c r="H16216"/>
      <c r="I16216" s="489"/>
      <c r="J16216" s="1362"/>
      <c r="K16216" s="1362"/>
      <c r="L16216" s="1362"/>
    </row>
    <row r="16217" spans="1:12" x14ac:dyDescent="0.25">
      <c r="A16217">
        <v>101334</v>
      </c>
      <c r="B16217" t="s">
        <v>4518</v>
      </c>
      <c r="C16217" t="s">
        <v>312</v>
      </c>
      <c r="D16217" s="254">
        <v>95.9</v>
      </c>
      <c r="E16217"/>
      <c r="F16217"/>
      <c r="G16217"/>
      <c r="H16217"/>
      <c r="I16217" s="489"/>
      <c r="J16217" s="1362"/>
      <c r="K16217" s="1362"/>
      <c r="L16217" s="1362"/>
    </row>
    <row r="16218" spans="1:12" x14ac:dyDescent="0.25">
      <c r="A16218">
        <v>101335</v>
      </c>
      <c r="B16218" t="s">
        <v>4519</v>
      </c>
      <c r="C16218" t="s">
        <v>312</v>
      </c>
      <c r="D16218" s="254">
        <v>12.16</v>
      </c>
      <c r="E16218"/>
      <c r="F16218"/>
      <c r="G16218"/>
      <c r="H16218"/>
      <c r="I16218" s="489"/>
      <c r="J16218" s="1362"/>
      <c r="K16218" s="1362"/>
      <c r="L16218" s="1362"/>
    </row>
    <row r="16219" spans="1:12" x14ac:dyDescent="0.25">
      <c r="A16219">
        <v>101336</v>
      </c>
      <c r="B16219" t="s">
        <v>4520</v>
      </c>
      <c r="C16219" t="s">
        <v>312</v>
      </c>
      <c r="D16219" s="254">
        <v>41.13</v>
      </c>
      <c r="E16219"/>
      <c r="F16219"/>
      <c r="G16219"/>
      <c r="H16219"/>
      <c r="I16219" s="489"/>
      <c r="J16219" s="1362"/>
      <c r="K16219" s="1362"/>
      <c r="L16219" s="1362"/>
    </row>
    <row r="16220" spans="1:12" x14ac:dyDescent="0.25">
      <c r="A16220">
        <v>101337</v>
      </c>
      <c r="B16220" t="s">
        <v>4521</v>
      </c>
      <c r="C16220" t="s">
        <v>312</v>
      </c>
      <c r="D16220" s="254">
        <v>13.14</v>
      </c>
      <c r="E16220"/>
      <c r="F16220"/>
      <c r="G16220"/>
      <c r="H16220"/>
      <c r="I16220" s="489"/>
      <c r="J16220" s="1362"/>
      <c r="K16220" s="1362"/>
      <c r="L16220" s="1362"/>
    </row>
    <row r="16221" spans="1:12" x14ac:dyDescent="0.25">
      <c r="A16221">
        <v>101338</v>
      </c>
      <c r="B16221" t="s">
        <v>4522</v>
      </c>
      <c r="C16221" t="s">
        <v>312</v>
      </c>
      <c r="D16221" s="254">
        <v>19.28</v>
      </c>
      <c r="E16221"/>
      <c r="F16221"/>
      <c r="G16221"/>
      <c r="H16221"/>
      <c r="I16221" s="489"/>
      <c r="J16221" s="1362"/>
      <c r="K16221" s="1362"/>
      <c r="L16221" s="1362"/>
    </row>
    <row r="16222" spans="1:12" x14ac:dyDescent="0.25">
      <c r="A16222">
        <v>101339</v>
      </c>
      <c r="B16222" t="s">
        <v>4523</v>
      </c>
      <c r="C16222" t="s">
        <v>312</v>
      </c>
      <c r="D16222" s="254">
        <v>16.98</v>
      </c>
      <c r="E16222"/>
      <c r="F16222"/>
      <c r="G16222"/>
      <c r="H16222"/>
      <c r="I16222" s="489"/>
      <c r="J16222" s="1362"/>
      <c r="K16222" s="1362"/>
      <c r="L16222" s="1362"/>
    </row>
    <row r="16223" spans="1:12" x14ac:dyDescent="0.25">
      <c r="A16223">
        <v>101340</v>
      </c>
      <c r="B16223" t="s">
        <v>4524</v>
      </c>
      <c r="C16223" t="s">
        <v>312</v>
      </c>
      <c r="D16223" s="254">
        <v>16.38</v>
      </c>
      <c r="E16223"/>
      <c r="F16223"/>
      <c r="G16223"/>
      <c r="H16223"/>
      <c r="I16223" s="489"/>
      <c r="J16223" s="1362"/>
      <c r="K16223" s="1362"/>
      <c r="L16223" s="1362"/>
    </row>
    <row r="16224" spans="1:12" x14ac:dyDescent="0.25">
      <c r="A16224">
        <v>101341</v>
      </c>
      <c r="B16224" t="s">
        <v>4525</v>
      </c>
      <c r="C16224" t="s">
        <v>312</v>
      </c>
      <c r="D16224" s="254">
        <v>17.39</v>
      </c>
      <c r="E16224"/>
      <c r="F16224"/>
      <c r="G16224"/>
      <c r="H16224"/>
      <c r="I16224" s="489"/>
      <c r="J16224" s="1362"/>
      <c r="K16224" s="1362"/>
      <c r="L16224" s="1362"/>
    </row>
    <row r="16225" spans="1:12" x14ac:dyDescent="0.25">
      <c r="A16225">
        <v>101342</v>
      </c>
      <c r="B16225" t="s">
        <v>4526</v>
      </c>
      <c r="C16225" t="s">
        <v>312</v>
      </c>
      <c r="D16225" s="254">
        <v>20.9</v>
      </c>
      <c r="E16225"/>
      <c r="F16225"/>
      <c r="G16225"/>
      <c r="H16225"/>
      <c r="I16225" s="489"/>
      <c r="J16225" s="1362"/>
      <c r="K16225" s="1362"/>
      <c r="L16225" s="1362"/>
    </row>
    <row r="16226" spans="1:12" x14ac:dyDescent="0.25">
      <c r="A16226">
        <v>101343</v>
      </c>
      <c r="B16226" t="s">
        <v>4527</v>
      </c>
      <c r="C16226" t="s">
        <v>312</v>
      </c>
      <c r="D16226" s="254">
        <v>31.87</v>
      </c>
      <c r="E16226"/>
      <c r="F16226"/>
      <c r="G16226"/>
      <c r="H16226"/>
      <c r="I16226" s="489"/>
      <c r="J16226" s="1362"/>
      <c r="K16226" s="1362"/>
      <c r="L16226" s="1362"/>
    </row>
    <row r="16227" spans="1:12" x14ac:dyDescent="0.25">
      <c r="A16227">
        <v>101344</v>
      </c>
      <c r="B16227" t="s">
        <v>4528</v>
      </c>
      <c r="C16227" t="s">
        <v>312</v>
      </c>
      <c r="D16227" s="254">
        <v>41.13</v>
      </c>
      <c r="E16227"/>
      <c r="F16227"/>
      <c r="G16227"/>
      <c r="H16227"/>
      <c r="I16227" s="489"/>
      <c r="J16227" s="1362"/>
      <c r="K16227" s="1362"/>
      <c r="L16227" s="1362"/>
    </row>
    <row r="16228" spans="1:12" x14ac:dyDescent="0.25">
      <c r="A16228">
        <v>101345</v>
      </c>
      <c r="B16228" t="s">
        <v>4529</v>
      </c>
      <c r="C16228" t="s">
        <v>312</v>
      </c>
      <c r="D16228" s="254">
        <v>41.13</v>
      </c>
      <c r="E16228"/>
      <c r="F16228"/>
      <c r="G16228"/>
      <c r="H16228"/>
      <c r="I16228" s="489"/>
      <c r="J16228" s="1362"/>
      <c r="K16228" s="1362"/>
      <c r="L16228" s="1362"/>
    </row>
    <row r="16229" spans="1:12" x14ac:dyDescent="0.25">
      <c r="A16229">
        <v>101346</v>
      </c>
      <c r="B16229" t="s">
        <v>4530</v>
      </c>
      <c r="C16229" t="s">
        <v>312</v>
      </c>
      <c r="D16229" s="254">
        <v>28.53</v>
      </c>
      <c r="E16229"/>
      <c r="F16229"/>
      <c r="G16229"/>
      <c r="H16229"/>
      <c r="I16229" s="489"/>
      <c r="J16229" s="1362"/>
      <c r="K16229" s="1362"/>
      <c r="L16229" s="1362"/>
    </row>
    <row r="16230" spans="1:12" x14ac:dyDescent="0.25">
      <c r="A16230">
        <v>101347</v>
      </c>
      <c r="B16230" t="s">
        <v>4531</v>
      </c>
      <c r="C16230" t="s">
        <v>312</v>
      </c>
      <c r="D16230" s="254">
        <v>29.69</v>
      </c>
      <c r="E16230"/>
      <c r="F16230"/>
      <c r="G16230"/>
      <c r="H16230"/>
      <c r="I16230" s="489"/>
      <c r="J16230" s="1362"/>
      <c r="K16230" s="1362"/>
      <c r="L16230" s="1362"/>
    </row>
    <row r="16231" spans="1:12" x14ac:dyDescent="0.25">
      <c r="A16231">
        <v>101348</v>
      </c>
      <c r="B16231" t="s">
        <v>4532</v>
      </c>
      <c r="C16231" t="s">
        <v>312</v>
      </c>
      <c r="D16231" s="254">
        <v>17.68</v>
      </c>
      <c r="E16231"/>
      <c r="F16231"/>
      <c r="G16231"/>
      <c r="H16231"/>
      <c r="I16231" s="489"/>
      <c r="J16231" s="1362"/>
      <c r="K16231" s="1362"/>
      <c r="L16231" s="1362"/>
    </row>
    <row r="16232" spans="1:12" x14ac:dyDescent="0.25">
      <c r="A16232">
        <v>101349</v>
      </c>
      <c r="B16232" t="s">
        <v>4533</v>
      </c>
      <c r="C16232" t="s">
        <v>312</v>
      </c>
      <c r="D16232" s="254">
        <v>21.25</v>
      </c>
      <c r="E16232"/>
      <c r="F16232"/>
      <c r="G16232"/>
      <c r="H16232"/>
      <c r="I16232" s="489"/>
      <c r="J16232" s="1362"/>
      <c r="K16232" s="1362"/>
      <c r="L16232" s="1362"/>
    </row>
    <row r="16233" spans="1:12" x14ac:dyDescent="0.25">
      <c r="A16233">
        <v>101350</v>
      </c>
      <c r="B16233" t="s">
        <v>4534</v>
      </c>
      <c r="C16233" t="s">
        <v>312</v>
      </c>
      <c r="D16233" s="254">
        <v>26.08</v>
      </c>
      <c r="E16233"/>
      <c r="F16233"/>
      <c r="G16233"/>
      <c r="H16233"/>
      <c r="I16233" s="489"/>
      <c r="J16233" s="1362"/>
      <c r="K16233" s="1362"/>
      <c r="L16233" s="1362"/>
    </row>
    <row r="16234" spans="1:12" x14ac:dyDescent="0.25">
      <c r="A16234">
        <v>101351</v>
      </c>
      <c r="B16234" t="s">
        <v>4535</v>
      </c>
      <c r="C16234" t="s">
        <v>312</v>
      </c>
      <c r="D16234" s="254">
        <v>26.05</v>
      </c>
      <c r="E16234"/>
      <c r="F16234"/>
      <c r="G16234"/>
      <c r="H16234"/>
      <c r="I16234" s="489"/>
      <c r="J16234" s="1362"/>
      <c r="K16234" s="1362"/>
      <c r="L16234" s="1362"/>
    </row>
    <row r="16235" spans="1:12" x14ac:dyDescent="0.25">
      <c r="A16235">
        <v>101352</v>
      </c>
      <c r="B16235" t="s">
        <v>4536</v>
      </c>
      <c r="C16235" t="s">
        <v>312</v>
      </c>
      <c r="D16235" s="254">
        <v>21.94</v>
      </c>
      <c r="E16235"/>
      <c r="F16235"/>
      <c r="G16235"/>
      <c r="H16235"/>
      <c r="I16235" s="489"/>
      <c r="J16235" s="1362"/>
      <c r="K16235" s="1362"/>
      <c r="L16235" s="1362"/>
    </row>
    <row r="16236" spans="1:12" x14ac:dyDescent="0.25">
      <c r="A16236">
        <v>101353</v>
      </c>
      <c r="B16236" t="s">
        <v>4537</v>
      </c>
      <c r="C16236" t="s">
        <v>312</v>
      </c>
      <c r="D16236" s="254">
        <v>16.18</v>
      </c>
      <c r="E16236"/>
      <c r="F16236"/>
      <c r="G16236"/>
      <c r="H16236"/>
      <c r="I16236" s="489"/>
      <c r="J16236" s="1362"/>
      <c r="K16236" s="1362"/>
      <c r="L16236" s="1362"/>
    </row>
    <row r="16237" spans="1:12" x14ac:dyDescent="0.25">
      <c r="A16237">
        <v>101354</v>
      </c>
      <c r="B16237" t="s">
        <v>4538</v>
      </c>
      <c r="C16237" t="s">
        <v>312</v>
      </c>
      <c r="D16237" s="254">
        <v>31.6</v>
      </c>
      <c r="E16237"/>
      <c r="F16237"/>
      <c r="G16237"/>
      <c r="H16237"/>
      <c r="I16237" s="489"/>
      <c r="J16237" s="1362"/>
      <c r="K16237" s="1362"/>
      <c r="L16237" s="1362"/>
    </row>
    <row r="16238" spans="1:12" x14ac:dyDescent="0.25">
      <c r="A16238">
        <v>101355</v>
      </c>
      <c r="B16238" t="s">
        <v>4539</v>
      </c>
      <c r="C16238" t="s">
        <v>312</v>
      </c>
      <c r="D16238" s="254">
        <v>18.84</v>
      </c>
      <c r="E16238"/>
      <c r="F16238"/>
      <c r="G16238"/>
      <c r="H16238"/>
      <c r="I16238" s="489"/>
      <c r="J16238" s="1362"/>
      <c r="K16238" s="1362"/>
      <c r="L16238" s="1362"/>
    </row>
    <row r="16239" spans="1:12" x14ac:dyDescent="0.25">
      <c r="A16239">
        <v>101356</v>
      </c>
      <c r="B16239" t="s">
        <v>4540</v>
      </c>
      <c r="C16239" t="s">
        <v>312</v>
      </c>
      <c r="D16239" s="254">
        <v>42.77</v>
      </c>
      <c r="E16239"/>
      <c r="F16239"/>
      <c r="G16239"/>
      <c r="H16239"/>
      <c r="I16239" s="489"/>
      <c r="J16239" s="1362"/>
      <c r="K16239" s="1362"/>
      <c r="L16239" s="1362"/>
    </row>
    <row r="16240" spans="1:12" x14ac:dyDescent="0.25">
      <c r="A16240">
        <v>101357</v>
      </c>
      <c r="B16240" t="s">
        <v>4541</v>
      </c>
      <c r="C16240" t="s">
        <v>312</v>
      </c>
      <c r="D16240" s="254">
        <v>61.57</v>
      </c>
      <c r="E16240"/>
      <c r="F16240"/>
      <c r="G16240"/>
      <c r="H16240"/>
      <c r="I16240" s="489"/>
      <c r="J16240" s="1362"/>
      <c r="K16240" s="1362"/>
      <c r="L16240" s="1362"/>
    </row>
    <row r="16241" spans="1:12" x14ac:dyDescent="0.25">
      <c r="A16241">
        <v>101358</v>
      </c>
      <c r="B16241" t="s">
        <v>4542</v>
      </c>
      <c r="C16241" t="s">
        <v>312</v>
      </c>
      <c r="D16241" s="254">
        <v>40.85</v>
      </c>
      <c r="E16241"/>
      <c r="F16241"/>
      <c r="G16241"/>
      <c r="H16241"/>
      <c r="I16241" s="489"/>
      <c r="J16241" s="1362"/>
      <c r="K16241" s="1362"/>
      <c r="L16241" s="1362"/>
    </row>
    <row r="16242" spans="1:12" x14ac:dyDescent="0.25">
      <c r="A16242">
        <v>101359</v>
      </c>
      <c r="B16242" t="s">
        <v>4543</v>
      </c>
      <c r="C16242" t="s">
        <v>312</v>
      </c>
      <c r="D16242" s="254">
        <v>39.67</v>
      </c>
      <c r="E16242"/>
      <c r="F16242"/>
      <c r="G16242"/>
      <c r="H16242"/>
      <c r="I16242" s="489"/>
      <c r="J16242" s="1362"/>
      <c r="K16242" s="1362"/>
      <c r="L16242" s="1362"/>
    </row>
    <row r="16243" spans="1:12" x14ac:dyDescent="0.25">
      <c r="A16243">
        <v>101360</v>
      </c>
      <c r="B16243" t="s">
        <v>4544</v>
      </c>
      <c r="C16243" t="s">
        <v>312</v>
      </c>
      <c r="D16243" s="254">
        <v>40.85</v>
      </c>
      <c r="E16243"/>
      <c r="F16243"/>
      <c r="G16243"/>
      <c r="H16243"/>
      <c r="I16243" s="489"/>
      <c r="J16243" s="1362"/>
      <c r="K16243" s="1362"/>
      <c r="L16243" s="1362"/>
    </row>
    <row r="16244" spans="1:12" x14ac:dyDescent="0.25">
      <c r="A16244">
        <v>101361</v>
      </c>
      <c r="B16244" t="s">
        <v>4545</v>
      </c>
      <c r="C16244" t="s">
        <v>312</v>
      </c>
      <c r="D16244" s="254">
        <v>42.86</v>
      </c>
      <c r="E16244"/>
      <c r="F16244"/>
      <c r="G16244"/>
      <c r="H16244"/>
      <c r="I16244" s="489"/>
      <c r="J16244" s="1362"/>
      <c r="K16244" s="1362"/>
      <c r="L16244" s="1362"/>
    </row>
    <row r="16245" spans="1:12" x14ac:dyDescent="0.25">
      <c r="A16245">
        <v>101362</v>
      </c>
      <c r="B16245" t="s">
        <v>4546</v>
      </c>
      <c r="C16245" t="s">
        <v>312</v>
      </c>
      <c r="D16245" s="254">
        <v>9.02</v>
      </c>
      <c r="E16245"/>
      <c r="F16245"/>
      <c r="G16245"/>
      <c r="H16245"/>
      <c r="I16245" s="489"/>
      <c r="J16245" s="1362"/>
      <c r="K16245" s="1362"/>
      <c r="L16245" s="1362"/>
    </row>
    <row r="16246" spans="1:12" x14ac:dyDescent="0.25">
      <c r="A16246">
        <v>101363</v>
      </c>
      <c r="B16246" t="s">
        <v>4547</v>
      </c>
      <c r="C16246" t="s">
        <v>312</v>
      </c>
      <c r="D16246" s="254">
        <v>33.369999999999997</v>
      </c>
      <c r="E16246"/>
      <c r="F16246"/>
      <c r="G16246"/>
      <c r="H16246"/>
      <c r="I16246" s="489"/>
      <c r="J16246" s="1362"/>
      <c r="K16246" s="1362"/>
      <c r="L16246" s="1362"/>
    </row>
    <row r="16247" spans="1:12" x14ac:dyDescent="0.25">
      <c r="A16247">
        <v>101364</v>
      </c>
      <c r="B16247" t="s">
        <v>4548</v>
      </c>
      <c r="C16247" t="s">
        <v>312</v>
      </c>
      <c r="D16247" s="254">
        <v>39.99</v>
      </c>
      <c r="E16247"/>
      <c r="F16247"/>
      <c r="G16247"/>
      <c r="H16247"/>
      <c r="I16247" s="489"/>
      <c r="J16247" s="1362"/>
      <c r="K16247" s="1362"/>
      <c r="L16247" s="1362"/>
    </row>
    <row r="16248" spans="1:12" x14ac:dyDescent="0.25">
      <c r="A16248">
        <v>101365</v>
      </c>
      <c r="B16248" t="s">
        <v>4549</v>
      </c>
      <c r="C16248" t="s">
        <v>312</v>
      </c>
      <c r="D16248" s="254">
        <v>31.87</v>
      </c>
      <c r="E16248"/>
      <c r="F16248"/>
      <c r="G16248"/>
      <c r="H16248"/>
      <c r="I16248" s="489"/>
      <c r="J16248" s="1362"/>
      <c r="K16248" s="1362"/>
      <c r="L16248" s="1362"/>
    </row>
    <row r="16249" spans="1:12" x14ac:dyDescent="0.25">
      <c r="A16249">
        <v>101366</v>
      </c>
      <c r="B16249" t="s">
        <v>4550</v>
      </c>
      <c r="C16249" t="s">
        <v>312</v>
      </c>
      <c r="D16249" s="254">
        <v>25.54</v>
      </c>
      <c r="E16249"/>
      <c r="F16249"/>
      <c r="G16249"/>
      <c r="H16249"/>
      <c r="I16249" s="489"/>
      <c r="J16249" s="1362"/>
      <c r="K16249" s="1362"/>
      <c r="L16249" s="1362"/>
    </row>
    <row r="16250" spans="1:12" x14ac:dyDescent="0.25">
      <c r="A16250">
        <v>101367</v>
      </c>
      <c r="B16250" t="s">
        <v>4551</v>
      </c>
      <c r="C16250" t="s">
        <v>312</v>
      </c>
      <c r="D16250" s="254">
        <v>31.87</v>
      </c>
      <c r="E16250"/>
      <c r="F16250"/>
      <c r="G16250"/>
      <c r="H16250"/>
      <c r="I16250" s="489"/>
      <c r="J16250" s="1362"/>
      <c r="K16250" s="1362"/>
      <c r="L16250" s="1362"/>
    </row>
    <row r="16251" spans="1:12" x14ac:dyDescent="0.25">
      <c r="A16251">
        <v>101368</v>
      </c>
      <c r="B16251" t="s">
        <v>4552</v>
      </c>
      <c r="C16251" t="s">
        <v>312</v>
      </c>
      <c r="D16251" s="254">
        <v>33.549999999999997</v>
      </c>
      <c r="E16251"/>
      <c r="F16251"/>
      <c r="G16251"/>
      <c r="H16251"/>
      <c r="I16251" s="489"/>
      <c r="J16251" s="1362"/>
      <c r="K16251" s="1362"/>
      <c r="L16251" s="1362"/>
    </row>
    <row r="16252" spans="1:12" x14ac:dyDescent="0.25">
      <c r="A16252">
        <v>101369</v>
      </c>
      <c r="B16252" t="s">
        <v>4553</v>
      </c>
      <c r="C16252" t="s">
        <v>312</v>
      </c>
      <c r="D16252" s="254">
        <v>40.28</v>
      </c>
      <c r="E16252"/>
      <c r="F16252"/>
      <c r="G16252"/>
      <c r="H16252"/>
      <c r="I16252" s="489"/>
      <c r="J16252" s="1362"/>
      <c r="K16252" s="1362"/>
      <c r="L16252" s="1362"/>
    </row>
    <row r="16253" spans="1:12" x14ac:dyDescent="0.25">
      <c r="A16253">
        <v>101370</v>
      </c>
      <c r="B16253" t="s">
        <v>4554</v>
      </c>
      <c r="C16253" t="s">
        <v>312</v>
      </c>
      <c r="D16253" s="254">
        <v>31.49</v>
      </c>
      <c r="E16253"/>
      <c r="F16253"/>
      <c r="G16253"/>
      <c r="H16253"/>
      <c r="I16253" s="489"/>
      <c r="J16253" s="1362"/>
      <c r="K16253" s="1362"/>
      <c r="L16253" s="1362"/>
    </row>
    <row r="16254" spans="1:12" x14ac:dyDescent="0.25">
      <c r="A16254">
        <v>101371</v>
      </c>
      <c r="B16254" t="s">
        <v>4555</v>
      </c>
      <c r="C16254" t="s">
        <v>312</v>
      </c>
      <c r="D16254" s="254">
        <v>32.43</v>
      </c>
      <c r="E16254"/>
      <c r="F16254"/>
      <c r="G16254"/>
      <c r="H16254"/>
      <c r="I16254" s="489"/>
      <c r="J16254" s="1362"/>
      <c r="K16254" s="1362"/>
      <c r="L16254" s="1362"/>
    </row>
    <row r="16255" spans="1:12" x14ac:dyDescent="0.25">
      <c r="A16255">
        <v>101372</v>
      </c>
      <c r="B16255" t="s">
        <v>4556</v>
      </c>
      <c r="C16255" t="s">
        <v>312</v>
      </c>
      <c r="D16255" s="254">
        <v>9.4600000000000009</v>
      </c>
      <c r="E16255"/>
      <c r="F16255"/>
      <c r="G16255"/>
      <c r="H16255"/>
      <c r="I16255" s="489"/>
      <c r="J16255" s="1362"/>
      <c r="K16255" s="1362"/>
      <c r="L16255" s="1362"/>
    </row>
    <row r="16256" spans="1:12" x14ac:dyDescent="0.25">
      <c r="A16256">
        <v>101373</v>
      </c>
      <c r="B16256" t="s">
        <v>4557</v>
      </c>
      <c r="C16256" t="s">
        <v>588</v>
      </c>
      <c r="D16256" s="254">
        <v>168.84</v>
      </c>
      <c r="E16256"/>
      <c r="F16256"/>
      <c r="G16256"/>
      <c r="H16256"/>
      <c r="I16256" s="489"/>
      <c r="J16256" s="1362"/>
      <c r="K16256" s="1362"/>
      <c r="L16256" s="1362"/>
    </row>
    <row r="16257" spans="1:12" x14ac:dyDescent="0.25">
      <c r="A16257">
        <v>101374</v>
      </c>
      <c r="B16257" t="s">
        <v>2322</v>
      </c>
      <c r="C16257" t="s">
        <v>312</v>
      </c>
      <c r="D16257" s="254">
        <v>3781.62</v>
      </c>
      <c r="E16257"/>
      <c r="F16257"/>
      <c r="G16257"/>
      <c r="H16257"/>
      <c r="I16257" s="489"/>
      <c r="J16257" s="1362"/>
      <c r="K16257" s="1362"/>
      <c r="L16257" s="1362"/>
    </row>
    <row r="16258" spans="1:12" x14ac:dyDescent="0.25">
      <c r="A16258">
        <v>101375</v>
      </c>
      <c r="B16258" t="s">
        <v>4558</v>
      </c>
      <c r="C16258" t="s">
        <v>312</v>
      </c>
      <c r="D16258" s="254">
        <v>4839.28</v>
      </c>
      <c r="E16258"/>
      <c r="F16258"/>
      <c r="G16258"/>
      <c r="H16258"/>
      <c r="I16258" s="489"/>
      <c r="J16258" s="1362"/>
      <c r="K16258" s="1362"/>
      <c r="L16258" s="1362"/>
    </row>
    <row r="16259" spans="1:12" x14ac:dyDescent="0.25">
      <c r="A16259">
        <v>101376</v>
      </c>
      <c r="B16259" t="s">
        <v>4559</v>
      </c>
      <c r="C16259" t="s">
        <v>312</v>
      </c>
      <c r="D16259" s="254">
        <v>3370.1</v>
      </c>
      <c r="E16259"/>
      <c r="F16259"/>
      <c r="G16259"/>
      <c r="H16259"/>
      <c r="I16259" s="489"/>
      <c r="J16259" s="1362"/>
      <c r="K16259" s="1362"/>
      <c r="L16259" s="1362"/>
    </row>
    <row r="16260" spans="1:12" x14ac:dyDescent="0.25">
      <c r="A16260">
        <v>101377</v>
      </c>
      <c r="B16260" t="s">
        <v>2325</v>
      </c>
      <c r="C16260" t="s">
        <v>312</v>
      </c>
      <c r="D16260" s="254">
        <v>3770.4</v>
      </c>
      <c r="E16260"/>
      <c r="F16260"/>
      <c r="G16260"/>
      <c r="H16260"/>
      <c r="I16260" s="489"/>
      <c r="J16260" s="1362"/>
      <c r="K16260" s="1362"/>
      <c r="L16260" s="1362"/>
    </row>
    <row r="16261" spans="1:12" x14ac:dyDescent="0.25">
      <c r="A16261">
        <v>101378</v>
      </c>
      <c r="B16261" t="s">
        <v>3596</v>
      </c>
      <c r="C16261" t="s">
        <v>312</v>
      </c>
      <c r="D16261" s="254">
        <v>4160.03</v>
      </c>
      <c r="E16261"/>
      <c r="F16261"/>
      <c r="G16261"/>
      <c r="H16261"/>
      <c r="I16261" s="489"/>
      <c r="J16261" s="1362"/>
      <c r="K16261" s="1362"/>
      <c r="L16261" s="1362"/>
    </row>
    <row r="16262" spans="1:12" x14ac:dyDescent="0.25">
      <c r="A16262">
        <v>101379</v>
      </c>
      <c r="B16262" t="s">
        <v>4560</v>
      </c>
      <c r="C16262" t="s">
        <v>312</v>
      </c>
      <c r="D16262" s="254">
        <v>4090.67</v>
      </c>
      <c r="E16262"/>
      <c r="F16262"/>
      <c r="G16262"/>
      <c r="H16262"/>
      <c r="I16262" s="489"/>
      <c r="J16262" s="1362"/>
      <c r="K16262" s="1362"/>
      <c r="L16262" s="1362"/>
    </row>
    <row r="16263" spans="1:12" x14ac:dyDescent="0.25">
      <c r="A16263">
        <v>101380</v>
      </c>
      <c r="B16263" t="s">
        <v>2327</v>
      </c>
      <c r="C16263" t="s">
        <v>312</v>
      </c>
      <c r="D16263" s="254">
        <v>3985.66</v>
      </c>
      <c r="E16263"/>
      <c r="F16263"/>
      <c r="G16263"/>
      <c r="H16263"/>
      <c r="I16263" s="489"/>
      <c r="J16263" s="1362"/>
      <c r="K16263" s="1362"/>
      <c r="L16263" s="1362"/>
    </row>
    <row r="16264" spans="1:12" x14ac:dyDescent="0.25">
      <c r="A16264">
        <v>101381</v>
      </c>
      <c r="B16264" t="s">
        <v>2328</v>
      </c>
      <c r="C16264" t="s">
        <v>312</v>
      </c>
      <c r="D16264" s="254">
        <v>5363.26</v>
      </c>
      <c r="E16264"/>
      <c r="F16264"/>
      <c r="G16264"/>
      <c r="H16264"/>
      <c r="I16264" s="489"/>
      <c r="J16264" s="1362"/>
      <c r="K16264" s="1362"/>
      <c r="L16264" s="1362"/>
    </row>
    <row r="16265" spans="1:12" x14ac:dyDescent="0.25">
      <c r="A16265">
        <v>101382</v>
      </c>
      <c r="B16265" t="s">
        <v>4561</v>
      </c>
      <c r="C16265" t="s">
        <v>312</v>
      </c>
      <c r="D16265" s="254">
        <v>4261.59</v>
      </c>
      <c r="E16265"/>
      <c r="F16265"/>
      <c r="G16265"/>
      <c r="H16265"/>
      <c r="I16265" s="489"/>
      <c r="J16265" s="1362"/>
      <c r="K16265" s="1362"/>
      <c r="L16265" s="1362"/>
    </row>
    <row r="16266" spans="1:12" x14ac:dyDescent="0.25">
      <c r="A16266">
        <v>101383</v>
      </c>
      <c r="B16266" t="s">
        <v>3598</v>
      </c>
      <c r="C16266" t="s">
        <v>312</v>
      </c>
      <c r="D16266" s="254">
        <v>3787.88</v>
      </c>
      <c r="E16266"/>
      <c r="F16266"/>
      <c r="G16266"/>
      <c r="H16266"/>
      <c r="I16266" s="489"/>
      <c r="J16266" s="1362"/>
      <c r="K16266" s="1362"/>
      <c r="L16266" s="1362"/>
    </row>
    <row r="16267" spans="1:12" x14ac:dyDescent="0.25">
      <c r="A16267">
        <v>101384</v>
      </c>
      <c r="B16267" t="s">
        <v>2331</v>
      </c>
      <c r="C16267" t="s">
        <v>312</v>
      </c>
      <c r="D16267" s="254">
        <v>3967.8</v>
      </c>
      <c r="E16267"/>
      <c r="F16267"/>
      <c r="G16267"/>
      <c r="H16267"/>
      <c r="I16267" s="489"/>
      <c r="J16267" s="1362"/>
      <c r="K16267" s="1362"/>
      <c r="L16267" s="1362"/>
    </row>
    <row r="16268" spans="1:12" x14ac:dyDescent="0.25">
      <c r="A16268">
        <v>101385</v>
      </c>
      <c r="B16268" t="s">
        <v>4562</v>
      </c>
      <c r="C16268" t="s">
        <v>312</v>
      </c>
      <c r="D16268" s="254">
        <v>5987.37</v>
      </c>
      <c r="E16268"/>
      <c r="F16268"/>
      <c r="G16268"/>
      <c r="H16268"/>
      <c r="I16268" s="489"/>
      <c r="J16268" s="1362"/>
      <c r="K16268" s="1362"/>
      <c r="L16268" s="1362"/>
    </row>
    <row r="16269" spans="1:12" x14ac:dyDescent="0.25">
      <c r="A16269">
        <v>101386</v>
      </c>
      <c r="B16269" t="s">
        <v>2333</v>
      </c>
      <c r="C16269" t="s">
        <v>312</v>
      </c>
      <c r="D16269" s="254">
        <v>3360.33</v>
      </c>
      <c r="E16269"/>
      <c r="F16269"/>
      <c r="G16269"/>
      <c r="H16269"/>
      <c r="I16269" s="489"/>
      <c r="J16269" s="1362"/>
      <c r="K16269" s="1362"/>
      <c r="L16269" s="1362"/>
    </row>
    <row r="16270" spans="1:12" x14ac:dyDescent="0.25">
      <c r="A16270">
        <v>101387</v>
      </c>
      <c r="B16270" t="s">
        <v>4563</v>
      </c>
      <c r="C16270" t="s">
        <v>312</v>
      </c>
      <c r="D16270" s="254">
        <v>3787.88</v>
      </c>
      <c r="E16270"/>
      <c r="F16270"/>
      <c r="G16270"/>
      <c r="H16270"/>
      <c r="I16270" s="489"/>
      <c r="J16270" s="1362"/>
      <c r="K16270" s="1362"/>
      <c r="L16270" s="1362"/>
    </row>
    <row r="16271" spans="1:12" x14ac:dyDescent="0.25">
      <c r="A16271">
        <v>101388</v>
      </c>
      <c r="B16271" t="s">
        <v>2335</v>
      </c>
      <c r="C16271" t="s">
        <v>312</v>
      </c>
      <c r="D16271" s="254">
        <v>3683.11</v>
      </c>
      <c r="E16271"/>
      <c r="F16271"/>
      <c r="G16271"/>
      <c r="H16271"/>
      <c r="I16271" s="489"/>
      <c r="J16271" s="1362"/>
      <c r="K16271" s="1362"/>
      <c r="L16271" s="1362"/>
    </row>
    <row r="16272" spans="1:12" x14ac:dyDescent="0.25">
      <c r="A16272">
        <v>101389</v>
      </c>
      <c r="B16272" t="s">
        <v>2336</v>
      </c>
      <c r="C16272" t="s">
        <v>312</v>
      </c>
      <c r="D16272" s="254">
        <v>2325.27</v>
      </c>
      <c r="E16272"/>
      <c r="F16272"/>
      <c r="G16272"/>
      <c r="H16272"/>
      <c r="I16272" s="489"/>
      <c r="J16272" s="1362"/>
      <c r="K16272" s="1362"/>
      <c r="L16272" s="1362"/>
    </row>
    <row r="16273" spans="1:12" x14ac:dyDescent="0.25">
      <c r="A16273">
        <v>101390</v>
      </c>
      <c r="B16273" t="s">
        <v>4564</v>
      </c>
      <c r="C16273" t="s">
        <v>312</v>
      </c>
      <c r="D16273" s="254">
        <v>5383.97</v>
      </c>
      <c r="E16273"/>
      <c r="F16273"/>
      <c r="G16273"/>
      <c r="H16273"/>
      <c r="I16273" s="489"/>
      <c r="J16273" s="1362"/>
      <c r="K16273" s="1362"/>
      <c r="L16273" s="1362"/>
    </row>
    <row r="16274" spans="1:12" x14ac:dyDescent="0.25">
      <c r="A16274">
        <v>101391</v>
      </c>
      <c r="B16274" t="s">
        <v>4565</v>
      </c>
      <c r="C16274" t="s">
        <v>312</v>
      </c>
      <c r="D16274" s="254">
        <v>5372.66</v>
      </c>
      <c r="E16274"/>
      <c r="F16274"/>
      <c r="G16274"/>
      <c r="H16274"/>
      <c r="I16274" s="489"/>
      <c r="J16274" s="1362"/>
      <c r="K16274" s="1362"/>
      <c r="L16274" s="1362"/>
    </row>
    <row r="16275" spans="1:12" x14ac:dyDescent="0.25">
      <c r="A16275">
        <v>101392</v>
      </c>
      <c r="B16275" t="s">
        <v>4566</v>
      </c>
      <c r="C16275" t="s">
        <v>312</v>
      </c>
      <c r="D16275" s="254">
        <v>4111.63</v>
      </c>
      <c r="E16275"/>
      <c r="F16275"/>
      <c r="G16275"/>
      <c r="H16275"/>
      <c r="I16275" s="489"/>
      <c r="J16275" s="1362"/>
      <c r="K16275" s="1362"/>
      <c r="L16275" s="1362"/>
    </row>
    <row r="16276" spans="1:12" x14ac:dyDescent="0.25">
      <c r="A16276">
        <v>101394</v>
      </c>
      <c r="B16276" t="s">
        <v>2341</v>
      </c>
      <c r="C16276" t="s">
        <v>312</v>
      </c>
      <c r="D16276" s="254">
        <v>5363.26</v>
      </c>
      <c r="E16276"/>
      <c r="F16276"/>
      <c r="G16276"/>
      <c r="H16276"/>
      <c r="I16276" s="489"/>
      <c r="J16276" s="1362"/>
      <c r="K16276" s="1362"/>
      <c r="L16276" s="1362"/>
    </row>
    <row r="16277" spans="1:12" x14ac:dyDescent="0.25">
      <c r="A16277">
        <v>101395</v>
      </c>
      <c r="B16277" t="s">
        <v>4567</v>
      </c>
      <c r="C16277" t="s">
        <v>312</v>
      </c>
      <c r="D16277" s="254">
        <v>3920.42</v>
      </c>
      <c r="E16277"/>
      <c r="F16277"/>
      <c r="G16277"/>
      <c r="H16277"/>
      <c r="I16277" s="489"/>
      <c r="J16277" s="1362"/>
      <c r="K16277" s="1362"/>
      <c r="L16277" s="1362"/>
    </row>
    <row r="16278" spans="1:12" x14ac:dyDescent="0.25">
      <c r="A16278">
        <v>101396</v>
      </c>
      <c r="B16278" t="s">
        <v>4568</v>
      </c>
      <c r="C16278" t="s">
        <v>312</v>
      </c>
      <c r="D16278" s="254">
        <v>4874.04</v>
      </c>
      <c r="E16278"/>
      <c r="F16278"/>
      <c r="G16278"/>
      <c r="H16278"/>
      <c r="I16278" s="489"/>
      <c r="J16278" s="1362"/>
      <c r="K16278" s="1362"/>
      <c r="L16278" s="1362"/>
    </row>
    <row r="16279" spans="1:12" x14ac:dyDescent="0.25">
      <c r="A16279">
        <v>101397</v>
      </c>
      <c r="B16279" t="s">
        <v>2343</v>
      </c>
      <c r="C16279" t="s">
        <v>312</v>
      </c>
      <c r="D16279" s="254">
        <v>5129.42</v>
      </c>
      <c r="E16279"/>
      <c r="F16279"/>
      <c r="G16279"/>
      <c r="H16279"/>
      <c r="I16279" s="489"/>
      <c r="J16279" s="1362"/>
      <c r="K16279" s="1362"/>
      <c r="L16279" s="1362"/>
    </row>
    <row r="16280" spans="1:12" x14ac:dyDescent="0.25">
      <c r="A16280">
        <v>101398</v>
      </c>
      <c r="B16280" t="s">
        <v>4569</v>
      </c>
      <c r="C16280" t="s">
        <v>312</v>
      </c>
      <c r="D16280" s="254">
        <v>3139.37</v>
      </c>
      <c r="E16280"/>
      <c r="F16280"/>
      <c r="G16280"/>
      <c r="H16280"/>
      <c r="I16280" s="489"/>
      <c r="J16280" s="1362"/>
      <c r="K16280" s="1362"/>
      <c r="L16280" s="1362"/>
    </row>
    <row r="16281" spans="1:12" x14ac:dyDescent="0.25">
      <c r="A16281">
        <v>101399</v>
      </c>
      <c r="B16281" t="s">
        <v>2345</v>
      </c>
      <c r="C16281" t="s">
        <v>312</v>
      </c>
      <c r="D16281" s="254">
        <v>6385.48</v>
      </c>
      <c r="E16281"/>
      <c r="F16281"/>
      <c r="G16281"/>
      <c r="H16281"/>
      <c r="I16281" s="489"/>
      <c r="J16281" s="1362"/>
      <c r="K16281" s="1362"/>
      <c r="L16281" s="1362"/>
    </row>
    <row r="16282" spans="1:12" x14ac:dyDescent="0.25">
      <c r="A16282">
        <v>101400</v>
      </c>
      <c r="B16282" t="s">
        <v>4570</v>
      </c>
      <c r="C16282" t="s">
        <v>312</v>
      </c>
      <c r="D16282" s="254">
        <v>6055.32</v>
      </c>
      <c r="E16282"/>
      <c r="F16282"/>
      <c r="G16282"/>
      <c r="H16282"/>
      <c r="I16282" s="489"/>
      <c r="J16282" s="1362"/>
      <c r="K16282" s="1362"/>
      <c r="L16282" s="1362"/>
    </row>
    <row r="16283" spans="1:12" x14ac:dyDescent="0.25">
      <c r="A16283">
        <v>101401</v>
      </c>
      <c r="B16283" t="s">
        <v>2347</v>
      </c>
      <c r="C16283" t="s">
        <v>312</v>
      </c>
      <c r="D16283" s="254">
        <v>7065.63</v>
      </c>
      <c r="E16283"/>
      <c r="F16283"/>
      <c r="G16283"/>
      <c r="H16283"/>
      <c r="I16283" s="489"/>
      <c r="J16283" s="1362"/>
      <c r="K16283" s="1362"/>
      <c r="L16283" s="1362"/>
    </row>
    <row r="16284" spans="1:12" x14ac:dyDescent="0.25">
      <c r="A16284">
        <v>101402</v>
      </c>
      <c r="B16284" t="s">
        <v>2348</v>
      </c>
      <c r="C16284" t="s">
        <v>312</v>
      </c>
      <c r="D16284" s="254">
        <v>5234.2</v>
      </c>
      <c r="E16284"/>
      <c r="F16284"/>
      <c r="G16284"/>
      <c r="H16284"/>
      <c r="I16284" s="489"/>
      <c r="J16284" s="1362"/>
      <c r="K16284" s="1362"/>
      <c r="L16284" s="1362"/>
    </row>
    <row r="16285" spans="1:12" x14ac:dyDescent="0.25">
      <c r="A16285">
        <v>101403</v>
      </c>
      <c r="B16285" t="s">
        <v>4557</v>
      </c>
      <c r="C16285" t="s">
        <v>312</v>
      </c>
      <c r="D16285" s="254">
        <v>29741.83</v>
      </c>
      <c r="E16285"/>
      <c r="F16285"/>
      <c r="G16285"/>
      <c r="H16285"/>
      <c r="I16285" s="489"/>
      <c r="J16285" s="1362"/>
      <c r="K16285" s="1362"/>
      <c r="L16285" s="1362"/>
    </row>
    <row r="16286" spans="1:12" x14ac:dyDescent="0.25">
      <c r="A16286">
        <v>101404</v>
      </c>
      <c r="B16286" t="s">
        <v>2417</v>
      </c>
      <c r="C16286" t="s">
        <v>312</v>
      </c>
      <c r="D16286" s="254">
        <v>20782.55</v>
      </c>
      <c r="E16286"/>
      <c r="F16286"/>
      <c r="G16286"/>
      <c r="H16286"/>
      <c r="I16286" s="489"/>
      <c r="J16286" s="1362"/>
      <c r="K16286" s="1362"/>
      <c r="L16286" s="1362"/>
    </row>
    <row r="16287" spans="1:12" x14ac:dyDescent="0.25">
      <c r="A16287">
        <v>101405</v>
      </c>
      <c r="B16287" t="s">
        <v>2418</v>
      </c>
      <c r="C16287" t="s">
        <v>312</v>
      </c>
      <c r="D16287" s="254">
        <v>19305.53</v>
      </c>
      <c r="E16287"/>
      <c r="F16287"/>
      <c r="G16287"/>
      <c r="H16287"/>
      <c r="I16287" s="489"/>
      <c r="J16287" s="1362"/>
      <c r="K16287" s="1362"/>
      <c r="L16287" s="1362"/>
    </row>
    <row r="16288" spans="1:12" x14ac:dyDescent="0.25">
      <c r="A16288">
        <v>101407</v>
      </c>
      <c r="B16288" t="s">
        <v>2349</v>
      </c>
      <c r="C16288" t="s">
        <v>312</v>
      </c>
      <c r="D16288" s="254">
        <v>5321.27</v>
      </c>
      <c r="E16288"/>
      <c r="F16288"/>
      <c r="G16288"/>
      <c r="H16288"/>
      <c r="I16288" s="489"/>
      <c r="J16288" s="1362"/>
      <c r="K16288" s="1362"/>
      <c r="L16288" s="1362"/>
    </row>
    <row r="16289" spans="1:12" x14ac:dyDescent="0.25">
      <c r="A16289">
        <v>101408</v>
      </c>
      <c r="B16289" t="s">
        <v>2350</v>
      </c>
      <c r="C16289" t="s">
        <v>312</v>
      </c>
      <c r="D16289" s="254">
        <v>5391.46</v>
      </c>
      <c r="E16289"/>
      <c r="F16289"/>
      <c r="G16289"/>
      <c r="H16289"/>
      <c r="I16289" s="489"/>
      <c r="J16289" s="1362"/>
      <c r="K16289" s="1362"/>
      <c r="L16289" s="1362"/>
    </row>
    <row r="16290" spans="1:12" x14ac:dyDescent="0.25">
      <c r="A16290">
        <v>101409</v>
      </c>
      <c r="B16290" t="s">
        <v>4571</v>
      </c>
      <c r="C16290" t="s">
        <v>312</v>
      </c>
      <c r="D16290" s="254">
        <v>4534.16</v>
      </c>
      <c r="E16290"/>
      <c r="F16290"/>
      <c r="G16290"/>
      <c r="H16290"/>
      <c r="I16290" s="489"/>
      <c r="J16290" s="1362"/>
      <c r="K16290" s="1362"/>
      <c r="L16290" s="1362"/>
    </row>
    <row r="16291" spans="1:12" x14ac:dyDescent="0.25">
      <c r="A16291">
        <v>101410</v>
      </c>
      <c r="B16291" t="s">
        <v>2400</v>
      </c>
      <c r="C16291" t="s">
        <v>312</v>
      </c>
      <c r="D16291" s="254">
        <v>4076.92</v>
      </c>
      <c r="E16291"/>
      <c r="F16291"/>
      <c r="G16291"/>
      <c r="H16291"/>
      <c r="I16291" s="489"/>
      <c r="J16291" s="1362"/>
      <c r="K16291" s="1362"/>
      <c r="L16291" s="1362"/>
    </row>
    <row r="16292" spans="1:12" x14ac:dyDescent="0.25">
      <c r="A16292">
        <v>101411</v>
      </c>
      <c r="B16292" t="s">
        <v>4572</v>
      </c>
      <c r="C16292" t="s">
        <v>312</v>
      </c>
      <c r="D16292" s="254">
        <v>4308.04</v>
      </c>
      <c r="E16292"/>
      <c r="F16292"/>
      <c r="G16292"/>
      <c r="H16292"/>
      <c r="I16292" s="489"/>
      <c r="J16292" s="1362"/>
      <c r="K16292" s="1362"/>
      <c r="L16292" s="1362"/>
    </row>
    <row r="16293" spans="1:12" x14ac:dyDescent="0.25">
      <c r="A16293">
        <v>101412</v>
      </c>
      <c r="B16293" t="s">
        <v>4573</v>
      </c>
      <c r="C16293" t="s">
        <v>312</v>
      </c>
      <c r="D16293" s="254">
        <v>5069.82</v>
      </c>
      <c r="E16293"/>
      <c r="F16293"/>
      <c r="G16293"/>
      <c r="H16293"/>
      <c r="I16293" s="489"/>
      <c r="J16293" s="1362"/>
      <c r="K16293" s="1362"/>
      <c r="L16293" s="1362"/>
    </row>
    <row r="16294" spans="1:12" x14ac:dyDescent="0.25">
      <c r="A16294">
        <v>101413</v>
      </c>
      <c r="B16294" t="s">
        <v>2352</v>
      </c>
      <c r="C16294" t="s">
        <v>312</v>
      </c>
      <c r="D16294" s="254">
        <v>4806.72</v>
      </c>
      <c r="E16294"/>
      <c r="F16294"/>
      <c r="G16294"/>
      <c r="H16294"/>
      <c r="I16294" s="489"/>
      <c r="J16294" s="1362"/>
      <c r="K16294" s="1362"/>
      <c r="L16294" s="1362"/>
    </row>
    <row r="16295" spans="1:12" x14ac:dyDescent="0.25">
      <c r="A16295">
        <v>101414</v>
      </c>
      <c r="B16295" t="s">
        <v>4574</v>
      </c>
      <c r="C16295" t="s">
        <v>312</v>
      </c>
      <c r="D16295" s="254">
        <v>4155.63</v>
      </c>
      <c r="E16295"/>
      <c r="F16295"/>
      <c r="G16295"/>
      <c r="H16295"/>
      <c r="I16295" s="489"/>
      <c r="J16295" s="1362"/>
      <c r="K16295" s="1362"/>
      <c r="L16295" s="1362"/>
    </row>
    <row r="16296" spans="1:12" x14ac:dyDescent="0.25">
      <c r="A16296">
        <v>101415</v>
      </c>
      <c r="B16296" t="s">
        <v>4575</v>
      </c>
      <c r="C16296" t="s">
        <v>312</v>
      </c>
      <c r="D16296" s="254">
        <v>5542.92</v>
      </c>
      <c r="E16296"/>
      <c r="F16296"/>
      <c r="G16296"/>
      <c r="H16296"/>
      <c r="I16296" s="489"/>
      <c r="J16296" s="1362"/>
      <c r="K16296" s="1362"/>
      <c r="L16296" s="1362"/>
    </row>
    <row r="16297" spans="1:12" x14ac:dyDescent="0.25">
      <c r="A16297">
        <v>101416</v>
      </c>
      <c r="B16297" t="s">
        <v>3603</v>
      </c>
      <c r="C16297" t="s">
        <v>312</v>
      </c>
      <c r="D16297" s="254">
        <v>6338.53</v>
      </c>
      <c r="E16297"/>
      <c r="F16297"/>
      <c r="G16297"/>
      <c r="H16297"/>
      <c r="I16297" s="489"/>
      <c r="J16297" s="1362"/>
      <c r="K16297" s="1362"/>
      <c r="L16297" s="1362"/>
    </row>
    <row r="16298" spans="1:12" x14ac:dyDescent="0.25">
      <c r="A16298">
        <v>101417</v>
      </c>
      <c r="B16298" t="s">
        <v>4576</v>
      </c>
      <c r="C16298" t="s">
        <v>312</v>
      </c>
      <c r="D16298" s="254">
        <v>5485.91</v>
      </c>
      <c r="E16298"/>
      <c r="F16298"/>
      <c r="G16298"/>
      <c r="H16298"/>
      <c r="I16298" s="489"/>
      <c r="J16298" s="1362"/>
      <c r="K16298" s="1362"/>
      <c r="L16298" s="1362"/>
    </row>
    <row r="16299" spans="1:12" x14ac:dyDescent="0.25">
      <c r="A16299">
        <v>101418</v>
      </c>
      <c r="B16299" t="s">
        <v>4577</v>
      </c>
      <c r="C16299" t="s">
        <v>312</v>
      </c>
      <c r="D16299" s="254">
        <v>4109.4799999999996</v>
      </c>
      <c r="E16299"/>
      <c r="F16299"/>
      <c r="G16299"/>
      <c r="H16299"/>
      <c r="I16299" s="489"/>
      <c r="J16299" s="1362"/>
      <c r="K16299" s="1362"/>
      <c r="L16299" s="1362"/>
    </row>
    <row r="16300" spans="1:12" x14ac:dyDescent="0.25">
      <c r="A16300">
        <v>101419</v>
      </c>
      <c r="B16300" t="s">
        <v>4578</v>
      </c>
      <c r="C16300" t="s">
        <v>312</v>
      </c>
      <c r="D16300" s="254">
        <v>6708.11</v>
      </c>
      <c r="E16300"/>
      <c r="F16300"/>
      <c r="G16300"/>
      <c r="H16300"/>
      <c r="I16300" s="489"/>
      <c r="J16300" s="1362"/>
      <c r="K16300" s="1362"/>
      <c r="L16300" s="1362"/>
    </row>
    <row r="16301" spans="1:12" x14ac:dyDescent="0.25">
      <c r="A16301">
        <v>101420</v>
      </c>
      <c r="B16301" t="s">
        <v>4579</v>
      </c>
      <c r="C16301" t="s">
        <v>312</v>
      </c>
      <c r="D16301" s="254">
        <v>3923.31</v>
      </c>
      <c r="E16301"/>
      <c r="F16301"/>
      <c r="G16301"/>
      <c r="H16301"/>
      <c r="I16301" s="489"/>
      <c r="J16301" s="1362"/>
      <c r="K16301" s="1362"/>
      <c r="L16301" s="1362"/>
    </row>
    <row r="16302" spans="1:12" x14ac:dyDescent="0.25">
      <c r="A16302">
        <v>101421</v>
      </c>
      <c r="B16302" t="s">
        <v>4580</v>
      </c>
      <c r="C16302" t="s">
        <v>312</v>
      </c>
      <c r="D16302" s="254">
        <v>5376.25</v>
      </c>
      <c r="E16302"/>
      <c r="F16302"/>
      <c r="G16302"/>
      <c r="H16302"/>
      <c r="I16302" s="489"/>
      <c r="J16302" s="1362"/>
      <c r="K16302" s="1362"/>
      <c r="L16302" s="1362"/>
    </row>
    <row r="16303" spans="1:12" x14ac:dyDescent="0.25">
      <c r="A16303">
        <v>101422</v>
      </c>
      <c r="B16303" t="s">
        <v>4581</v>
      </c>
      <c r="C16303" t="s">
        <v>312</v>
      </c>
      <c r="D16303" s="254">
        <v>4411.82</v>
      </c>
      <c r="E16303"/>
      <c r="F16303"/>
      <c r="G16303"/>
      <c r="H16303"/>
      <c r="I16303" s="489"/>
      <c r="J16303" s="1362"/>
      <c r="K16303" s="1362"/>
      <c r="L16303" s="1362"/>
    </row>
    <row r="16304" spans="1:12" x14ac:dyDescent="0.25">
      <c r="A16304">
        <v>101423</v>
      </c>
      <c r="B16304" t="s">
        <v>4582</v>
      </c>
      <c r="C16304" t="s">
        <v>312</v>
      </c>
      <c r="D16304" s="254">
        <v>4365.8100000000004</v>
      </c>
      <c r="E16304"/>
      <c r="F16304"/>
      <c r="G16304"/>
      <c r="H16304"/>
      <c r="I16304" s="489"/>
      <c r="J16304" s="1362"/>
      <c r="K16304" s="1362"/>
      <c r="L16304" s="1362"/>
    </row>
    <row r="16305" spans="1:12" x14ac:dyDescent="0.25">
      <c r="A16305">
        <v>101424</v>
      </c>
      <c r="B16305" t="s">
        <v>4583</v>
      </c>
      <c r="C16305" t="s">
        <v>312</v>
      </c>
      <c r="D16305" s="254">
        <v>4542.25</v>
      </c>
      <c r="E16305"/>
      <c r="F16305"/>
      <c r="G16305"/>
      <c r="H16305"/>
      <c r="I16305" s="489"/>
      <c r="J16305" s="1362"/>
      <c r="K16305" s="1362"/>
      <c r="L16305" s="1362"/>
    </row>
    <row r="16306" spans="1:12" x14ac:dyDescent="0.25">
      <c r="A16306">
        <v>101425</v>
      </c>
      <c r="B16306" t="s">
        <v>4584</v>
      </c>
      <c r="C16306" t="s">
        <v>312</v>
      </c>
      <c r="D16306" s="254">
        <v>2885.6</v>
      </c>
      <c r="E16306"/>
      <c r="F16306"/>
      <c r="G16306"/>
      <c r="H16306"/>
      <c r="I16306" s="489"/>
      <c r="J16306" s="1362"/>
      <c r="K16306" s="1362"/>
      <c r="L16306" s="1362"/>
    </row>
    <row r="16307" spans="1:12" x14ac:dyDescent="0.25">
      <c r="A16307">
        <v>101426</v>
      </c>
      <c r="B16307" t="s">
        <v>4585</v>
      </c>
      <c r="C16307" t="s">
        <v>312</v>
      </c>
      <c r="D16307" s="254">
        <v>4230.24</v>
      </c>
      <c r="E16307"/>
      <c r="F16307"/>
      <c r="G16307"/>
      <c r="H16307"/>
      <c r="I16307" s="489"/>
      <c r="J16307" s="1362"/>
      <c r="K16307" s="1362"/>
      <c r="L16307" s="1362"/>
    </row>
    <row r="16308" spans="1:12" x14ac:dyDescent="0.25">
      <c r="A16308">
        <v>101427</v>
      </c>
      <c r="B16308" t="s">
        <v>2365</v>
      </c>
      <c r="C16308" t="s">
        <v>312</v>
      </c>
      <c r="D16308" s="254">
        <v>3775.81</v>
      </c>
      <c r="E16308"/>
      <c r="F16308"/>
      <c r="G16308"/>
      <c r="H16308"/>
      <c r="I16308" s="489"/>
      <c r="J16308" s="1362"/>
      <c r="K16308" s="1362"/>
      <c r="L16308" s="1362"/>
    </row>
    <row r="16309" spans="1:12" x14ac:dyDescent="0.25">
      <c r="A16309">
        <v>101428</v>
      </c>
      <c r="B16309" t="s">
        <v>4586</v>
      </c>
      <c r="C16309" t="s">
        <v>312</v>
      </c>
      <c r="D16309" s="254">
        <v>3658.76</v>
      </c>
      <c r="E16309"/>
      <c r="F16309"/>
      <c r="G16309"/>
      <c r="H16309"/>
      <c r="I16309" s="489"/>
      <c r="J16309" s="1362"/>
      <c r="K16309" s="1362"/>
      <c r="L16309" s="1362"/>
    </row>
    <row r="16310" spans="1:12" x14ac:dyDescent="0.25">
      <c r="A16310">
        <v>101429</v>
      </c>
      <c r="B16310" t="s">
        <v>4587</v>
      </c>
      <c r="C16310" t="s">
        <v>312</v>
      </c>
      <c r="D16310" s="254">
        <v>3857.7</v>
      </c>
      <c r="E16310"/>
      <c r="F16310"/>
      <c r="G16310"/>
      <c r="H16310"/>
      <c r="I16310" s="489"/>
      <c r="J16310" s="1362"/>
      <c r="K16310" s="1362"/>
      <c r="L16310" s="1362"/>
    </row>
    <row r="16311" spans="1:12" x14ac:dyDescent="0.25">
      <c r="A16311">
        <v>101430</v>
      </c>
      <c r="B16311" t="s">
        <v>4588</v>
      </c>
      <c r="C16311" t="s">
        <v>312</v>
      </c>
      <c r="D16311" s="254">
        <v>4548.1899999999996</v>
      </c>
      <c r="E16311"/>
      <c r="F16311"/>
      <c r="G16311"/>
      <c r="H16311"/>
      <c r="I16311" s="489"/>
      <c r="J16311" s="1362"/>
      <c r="K16311" s="1362"/>
      <c r="L16311" s="1362"/>
    </row>
    <row r="16312" spans="1:12" x14ac:dyDescent="0.25">
      <c r="A16312">
        <v>101431</v>
      </c>
      <c r="B16312" t="s">
        <v>2368</v>
      </c>
      <c r="C16312" t="s">
        <v>312</v>
      </c>
      <c r="D16312" s="254">
        <v>4950.3900000000003</v>
      </c>
      <c r="E16312"/>
      <c r="F16312"/>
      <c r="G16312"/>
      <c r="H16312"/>
      <c r="I16312" s="489"/>
      <c r="J16312" s="1362"/>
      <c r="K16312" s="1362"/>
      <c r="L16312" s="1362"/>
    </row>
    <row r="16313" spans="1:12" x14ac:dyDescent="0.25">
      <c r="A16313">
        <v>101432</v>
      </c>
      <c r="B16313" t="s">
        <v>4589</v>
      </c>
      <c r="C16313" t="s">
        <v>312</v>
      </c>
      <c r="D16313" s="254">
        <v>4542.62</v>
      </c>
      <c r="E16313"/>
      <c r="F16313"/>
      <c r="G16313"/>
      <c r="H16313"/>
      <c r="I16313" s="489"/>
      <c r="J16313" s="1362"/>
      <c r="K16313" s="1362"/>
      <c r="L16313" s="1362"/>
    </row>
    <row r="16314" spans="1:12" x14ac:dyDescent="0.25">
      <c r="A16314">
        <v>101433</v>
      </c>
      <c r="B16314" t="s">
        <v>2370</v>
      </c>
      <c r="C16314" t="s">
        <v>312</v>
      </c>
      <c r="D16314" s="254">
        <v>4542.62</v>
      </c>
      <c r="E16314"/>
      <c r="F16314"/>
      <c r="G16314"/>
      <c r="H16314"/>
      <c r="I16314" s="489"/>
      <c r="J16314" s="1362"/>
      <c r="K16314" s="1362"/>
      <c r="L16314" s="1362"/>
    </row>
    <row r="16315" spans="1:12" x14ac:dyDescent="0.25">
      <c r="A16315">
        <v>101434</v>
      </c>
      <c r="B16315" t="s">
        <v>4590</v>
      </c>
      <c r="C16315" t="s">
        <v>312</v>
      </c>
      <c r="D16315" s="254">
        <v>4476.6499999999996</v>
      </c>
      <c r="E16315"/>
      <c r="F16315"/>
      <c r="G16315"/>
      <c r="H16315"/>
      <c r="I16315" s="489"/>
      <c r="J16315" s="1362"/>
      <c r="K16315" s="1362"/>
      <c r="L16315" s="1362"/>
    </row>
    <row r="16316" spans="1:12" x14ac:dyDescent="0.25">
      <c r="A16316">
        <v>101435</v>
      </c>
      <c r="B16316" t="s">
        <v>4591</v>
      </c>
      <c r="C16316" t="s">
        <v>312</v>
      </c>
      <c r="D16316" s="254">
        <v>4640.57</v>
      </c>
      <c r="E16316"/>
      <c r="F16316"/>
      <c r="G16316"/>
      <c r="H16316"/>
      <c r="I16316" s="489"/>
      <c r="J16316" s="1362"/>
      <c r="K16316" s="1362"/>
      <c r="L16316" s="1362"/>
    </row>
    <row r="16317" spans="1:12" x14ac:dyDescent="0.25">
      <c r="A16317">
        <v>101436</v>
      </c>
      <c r="B16317" t="s">
        <v>2372</v>
      </c>
      <c r="C16317" t="s">
        <v>312</v>
      </c>
      <c r="D16317" s="254">
        <v>3913.59</v>
      </c>
      <c r="E16317"/>
      <c r="F16317"/>
      <c r="G16317"/>
      <c r="H16317"/>
      <c r="I16317" s="489"/>
      <c r="J16317" s="1362"/>
      <c r="K16317" s="1362"/>
      <c r="L16317" s="1362"/>
    </row>
    <row r="16318" spans="1:12" x14ac:dyDescent="0.25">
      <c r="A16318">
        <v>101437</v>
      </c>
      <c r="B16318" t="s">
        <v>4592</v>
      </c>
      <c r="C16318" t="s">
        <v>312</v>
      </c>
      <c r="D16318" s="254">
        <v>4618.41</v>
      </c>
      <c r="E16318"/>
      <c r="F16318"/>
      <c r="G16318"/>
      <c r="H16318"/>
      <c r="I16318" s="489"/>
      <c r="J16318" s="1362"/>
      <c r="K16318" s="1362"/>
      <c r="L16318" s="1362"/>
    </row>
    <row r="16319" spans="1:12" x14ac:dyDescent="0.25">
      <c r="A16319">
        <v>101438</v>
      </c>
      <c r="B16319" t="s">
        <v>2374</v>
      </c>
      <c r="C16319" t="s">
        <v>312</v>
      </c>
      <c r="D16319" s="254">
        <v>5568.68</v>
      </c>
      <c r="E16319"/>
      <c r="F16319"/>
      <c r="G16319"/>
      <c r="H16319"/>
      <c r="I16319" s="489"/>
      <c r="J16319" s="1362"/>
      <c r="K16319" s="1362"/>
      <c r="L16319" s="1362"/>
    </row>
    <row r="16320" spans="1:12" x14ac:dyDescent="0.25">
      <c r="A16320">
        <v>101439</v>
      </c>
      <c r="B16320" t="s">
        <v>2375</v>
      </c>
      <c r="C16320" t="s">
        <v>312</v>
      </c>
      <c r="D16320" s="254">
        <v>5562.99</v>
      </c>
      <c r="E16320"/>
      <c r="F16320"/>
      <c r="G16320"/>
      <c r="H16320"/>
      <c r="I16320" s="489"/>
      <c r="J16320" s="1362"/>
      <c r="K16320" s="1362"/>
      <c r="L16320" s="1362"/>
    </row>
    <row r="16321" spans="1:12" x14ac:dyDescent="0.25">
      <c r="A16321">
        <v>101440</v>
      </c>
      <c r="B16321" t="s">
        <v>7501</v>
      </c>
      <c r="C16321" t="s">
        <v>312</v>
      </c>
      <c r="D16321" s="254">
        <v>4754.16</v>
      </c>
      <c r="E16321"/>
      <c r="F16321"/>
      <c r="G16321"/>
      <c r="H16321"/>
      <c r="I16321" s="489"/>
      <c r="J16321" s="1362"/>
      <c r="K16321" s="1362"/>
      <c r="L16321" s="1362"/>
    </row>
    <row r="16322" spans="1:12" x14ac:dyDescent="0.25">
      <c r="A16322">
        <v>101441</v>
      </c>
      <c r="B16322" t="s">
        <v>2377</v>
      </c>
      <c r="C16322" t="s">
        <v>312</v>
      </c>
      <c r="D16322" s="254">
        <v>3617.57</v>
      </c>
      <c r="E16322"/>
      <c r="F16322"/>
      <c r="G16322"/>
      <c r="H16322"/>
      <c r="I16322" s="489"/>
      <c r="J16322" s="1362"/>
      <c r="K16322" s="1362"/>
      <c r="L16322" s="1362"/>
    </row>
    <row r="16323" spans="1:12" x14ac:dyDescent="0.25">
      <c r="A16323">
        <v>101442</v>
      </c>
      <c r="B16323" t="s">
        <v>7502</v>
      </c>
      <c r="C16323" t="s">
        <v>312</v>
      </c>
      <c r="D16323" s="254">
        <v>4911.1499999999996</v>
      </c>
      <c r="E16323"/>
      <c r="F16323"/>
      <c r="G16323"/>
      <c r="H16323"/>
      <c r="I16323" s="489"/>
      <c r="J16323" s="1362"/>
      <c r="K16323" s="1362"/>
      <c r="L16323" s="1362"/>
    </row>
    <row r="16324" spans="1:12" x14ac:dyDescent="0.25">
      <c r="A16324">
        <v>101443</v>
      </c>
      <c r="B16324" t="s">
        <v>2378</v>
      </c>
      <c r="C16324" t="s">
        <v>312</v>
      </c>
      <c r="D16324" s="254">
        <v>4143.2700000000004</v>
      </c>
      <c r="E16324"/>
      <c r="F16324"/>
      <c r="G16324"/>
      <c r="H16324"/>
      <c r="I16324" s="489"/>
      <c r="J16324" s="1362"/>
      <c r="K16324" s="1362"/>
      <c r="L16324" s="1362"/>
    </row>
    <row r="16325" spans="1:12" x14ac:dyDescent="0.25">
      <c r="A16325">
        <v>101444</v>
      </c>
      <c r="B16325" t="s">
        <v>2381</v>
      </c>
      <c r="C16325" t="s">
        <v>312</v>
      </c>
      <c r="D16325" s="254">
        <v>5372.66</v>
      </c>
      <c r="E16325"/>
      <c r="F16325"/>
      <c r="G16325"/>
      <c r="H16325"/>
      <c r="I16325" s="489"/>
      <c r="J16325" s="1362"/>
      <c r="K16325" s="1362"/>
      <c r="L16325" s="1362"/>
    </row>
    <row r="16326" spans="1:12" x14ac:dyDescent="0.25">
      <c r="A16326">
        <v>101445</v>
      </c>
      <c r="B16326" t="s">
        <v>2382</v>
      </c>
      <c r="C16326" t="s">
        <v>312</v>
      </c>
      <c r="D16326" s="254">
        <v>5391.46</v>
      </c>
      <c r="E16326"/>
      <c r="F16326"/>
      <c r="G16326"/>
      <c r="H16326"/>
      <c r="I16326" s="489"/>
      <c r="J16326" s="1362"/>
      <c r="K16326" s="1362"/>
      <c r="L16326" s="1362"/>
    </row>
    <row r="16327" spans="1:12" x14ac:dyDescent="0.25">
      <c r="A16327">
        <v>101446</v>
      </c>
      <c r="B16327" t="s">
        <v>2383</v>
      </c>
      <c r="C16327" t="s">
        <v>312</v>
      </c>
      <c r="D16327" s="254">
        <v>5378.01</v>
      </c>
      <c r="E16327"/>
      <c r="F16327"/>
      <c r="G16327"/>
      <c r="H16327"/>
      <c r="I16327" s="489"/>
      <c r="J16327" s="1362"/>
      <c r="K16327" s="1362"/>
      <c r="L16327" s="1362"/>
    </row>
    <row r="16328" spans="1:12" x14ac:dyDescent="0.25">
      <c r="A16328">
        <v>101447</v>
      </c>
      <c r="B16328" t="s">
        <v>2384</v>
      </c>
      <c r="C16328" t="s">
        <v>312</v>
      </c>
      <c r="D16328" s="254">
        <v>5246.93</v>
      </c>
      <c r="E16328"/>
      <c r="F16328"/>
      <c r="G16328"/>
      <c r="H16328"/>
      <c r="I16328" s="489"/>
      <c r="J16328" s="1362"/>
      <c r="K16328" s="1362"/>
      <c r="L16328" s="1362"/>
    </row>
    <row r="16329" spans="1:12" x14ac:dyDescent="0.25">
      <c r="A16329">
        <v>101448</v>
      </c>
      <c r="B16329" t="s">
        <v>2385</v>
      </c>
      <c r="C16329" t="s">
        <v>312</v>
      </c>
      <c r="D16329" s="254">
        <v>5378.01</v>
      </c>
      <c r="E16329"/>
      <c r="F16329"/>
      <c r="G16329"/>
      <c r="H16329"/>
      <c r="I16329" s="489"/>
      <c r="J16329" s="1362"/>
      <c r="K16329" s="1362"/>
      <c r="L16329" s="1362"/>
    </row>
    <row r="16330" spans="1:12" x14ac:dyDescent="0.25">
      <c r="A16330">
        <v>101449</v>
      </c>
      <c r="B16330" t="s">
        <v>7503</v>
      </c>
      <c r="C16330" t="s">
        <v>312</v>
      </c>
      <c r="D16330" s="254">
        <v>3743.54</v>
      </c>
      <c r="E16330"/>
      <c r="F16330"/>
      <c r="G16330"/>
      <c r="H16330"/>
      <c r="I16330" s="489"/>
      <c r="J16330" s="1362"/>
      <c r="K16330" s="1362"/>
      <c r="L16330" s="1362"/>
    </row>
    <row r="16331" spans="1:12" x14ac:dyDescent="0.25">
      <c r="A16331">
        <v>101450</v>
      </c>
      <c r="B16331" t="s">
        <v>2387</v>
      </c>
      <c r="C16331" t="s">
        <v>312</v>
      </c>
      <c r="D16331" s="254">
        <v>3348.69</v>
      </c>
      <c r="E16331"/>
      <c r="F16331"/>
      <c r="G16331"/>
      <c r="H16331"/>
      <c r="I16331" s="489"/>
      <c r="J16331" s="1362"/>
      <c r="K16331" s="1362"/>
      <c r="L16331" s="1362"/>
    </row>
    <row r="16332" spans="1:12" x14ac:dyDescent="0.25">
      <c r="A16332">
        <v>101451</v>
      </c>
      <c r="B16332" t="s">
        <v>2388</v>
      </c>
      <c r="C16332" t="s">
        <v>312</v>
      </c>
      <c r="D16332" s="254">
        <v>5363.26</v>
      </c>
      <c r="E16332"/>
      <c r="F16332"/>
      <c r="G16332"/>
      <c r="H16332"/>
      <c r="I16332" s="489"/>
      <c r="J16332" s="1362"/>
      <c r="K16332" s="1362"/>
      <c r="L16332" s="1362"/>
    </row>
    <row r="16333" spans="1:12" x14ac:dyDescent="0.25">
      <c r="A16333">
        <v>101452</v>
      </c>
      <c r="B16333" t="s">
        <v>7504</v>
      </c>
      <c r="C16333" t="s">
        <v>312</v>
      </c>
      <c r="D16333" s="254">
        <v>3701.43</v>
      </c>
      <c r="E16333"/>
      <c r="F16333"/>
      <c r="G16333"/>
      <c r="H16333"/>
      <c r="I16333" s="489"/>
      <c r="J16333" s="1362"/>
      <c r="K16333" s="1362"/>
      <c r="L16333" s="1362"/>
    </row>
    <row r="16334" spans="1:12" x14ac:dyDescent="0.25">
      <c r="A16334">
        <v>101453</v>
      </c>
      <c r="B16334" t="s">
        <v>2390</v>
      </c>
      <c r="C16334" t="s">
        <v>312</v>
      </c>
      <c r="D16334" s="254">
        <v>5306.05</v>
      </c>
      <c r="E16334"/>
      <c r="F16334"/>
      <c r="G16334"/>
      <c r="H16334"/>
      <c r="I16334" s="489"/>
      <c r="J16334" s="1362"/>
      <c r="K16334" s="1362"/>
      <c r="L16334" s="1362"/>
    </row>
    <row r="16335" spans="1:12" x14ac:dyDescent="0.25">
      <c r="A16335">
        <v>101454</v>
      </c>
      <c r="B16335" t="s">
        <v>7505</v>
      </c>
      <c r="C16335" t="s">
        <v>312</v>
      </c>
      <c r="D16335" s="254">
        <v>4407.71</v>
      </c>
      <c r="E16335"/>
      <c r="F16335"/>
      <c r="G16335"/>
      <c r="H16335"/>
      <c r="I16335" s="489"/>
      <c r="J16335" s="1362"/>
      <c r="K16335" s="1362"/>
      <c r="L16335" s="1362"/>
    </row>
    <row r="16336" spans="1:12" x14ac:dyDescent="0.25">
      <c r="A16336">
        <v>101455</v>
      </c>
      <c r="B16336" t="s">
        <v>2392</v>
      </c>
      <c r="C16336" t="s">
        <v>312</v>
      </c>
      <c r="D16336" s="254">
        <v>5129.42</v>
      </c>
      <c r="E16336"/>
      <c r="F16336"/>
      <c r="G16336"/>
      <c r="H16336"/>
      <c r="I16336" s="489"/>
      <c r="J16336" s="1362"/>
      <c r="K16336" s="1362"/>
      <c r="L16336" s="1362"/>
    </row>
    <row r="16337" spans="1:12" x14ac:dyDescent="0.25">
      <c r="A16337">
        <v>101456</v>
      </c>
      <c r="B16337" t="s">
        <v>7506</v>
      </c>
      <c r="C16337" t="s">
        <v>312</v>
      </c>
      <c r="D16337" s="254">
        <v>6917.58</v>
      </c>
      <c r="E16337"/>
      <c r="F16337"/>
      <c r="G16337"/>
      <c r="H16337"/>
      <c r="I16337" s="489"/>
      <c r="J16337" s="1362"/>
      <c r="K16337" s="1362"/>
      <c r="L16337" s="1362"/>
    </row>
    <row r="16338" spans="1:12" x14ac:dyDescent="0.25">
      <c r="A16338">
        <v>101457</v>
      </c>
      <c r="B16338" t="s">
        <v>7507</v>
      </c>
      <c r="C16338" t="s">
        <v>312</v>
      </c>
      <c r="D16338" s="254">
        <v>6143.21</v>
      </c>
      <c r="E16338"/>
      <c r="F16338"/>
      <c r="G16338"/>
      <c r="H16338"/>
      <c r="I16338" s="489"/>
      <c r="J16338" s="1362"/>
      <c r="K16338" s="1362"/>
      <c r="L16338" s="1362"/>
    </row>
    <row r="16339" spans="1:12" x14ac:dyDescent="0.25">
      <c r="A16339">
        <v>101458</v>
      </c>
      <c r="B16339" t="s">
        <v>7508</v>
      </c>
      <c r="C16339" t="s">
        <v>312</v>
      </c>
      <c r="D16339" s="254">
        <v>5075.66</v>
      </c>
      <c r="E16339"/>
      <c r="F16339"/>
      <c r="G16339"/>
      <c r="H16339"/>
      <c r="I16339" s="489"/>
      <c r="J16339" s="1362"/>
      <c r="K16339" s="1362"/>
      <c r="L16339" s="1362"/>
    </row>
    <row r="16340" spans="1:12" x14ac:dyDescent="0.25">
      <c r="A16340">
        <v>101459</v>
      </c>
      <c r="B16340" t="s">
        <v>2397</v>
      </c>
      <c r="C16340" t="s">
        <v>312</v>
      </c>
      <c r="D16340" s="254">
        <v>4226.21</v>
      </c>
      <c r="E16340"/>
      <c r="F16340"/>
      <c r="G16340"/>
      <c r="H16340"/>
      <c r="I16340" s="489"/>
      <c r="J16340" s="1362"/>
      <c r="K16340" s="1362"/>
      <c r="L16340" s="1362"/>
    </row>
    <row r="16341" spans="1:12" x14ac:dyDescent="0.25">
      <c r="A16341">
        <v>101460</v>
      </c>
      <c r="B16341" t="s">
        <v>3584</v>
      </c>
      <c r="C16341" t="s">
        <v>312</v>
      </c>
      <c r="D16341" s="254">
        <v>3670.9</v>
      </c>
      <c r="E16341"/>
      <c r="F16341"/>
      <c r="G16341"/>
      <c r="H16341"/>
      <c r="I16341" s="489"/>
      <c r="J16341" s="1362"/>
      <c r="K16341" s="1362"/>
      <c r="L16341" s="1362"/>
    </row>
    <row r="16342" spans="1:12" x14ac:dyDescent="0.25">
      <c r="A16342"/>
      <c r="B16342"/>
      <c r="C16342"/>
      <c r="D16342" s="254"/>
      <c r="E16342"/>
      <c r="F16342"/>
      <c r="G16342"/>
      <c r="H16342"/>
      <c r="I16342" s="489"/>
      <c r="J16342" s="1362"/>
      <c r="K16342" s="1362"/>
      <c r="L16342" s="1362"/>
    </row>
    <row r="16343" spans="1:12" x14ac:dyDescent="0.25">
      <c r="A16343"/>
      <c r="B16343"/>
      <c r="C16343"/>
      <c r="D16343" s="254"/>
      <c r="E16343"/>
      <c r="F16343"/>
      <c r="G16343"/>
      <c r="H16343"/>
      <c r="I16343" s="489"/>
      <c r="J16343" s="1362"/>
      <c r="K16343" s="1362"/>
      <c r="L16343" s="1362"/>
    </row>
    <row r="16344" spans="1:12" x14ac:dyDescent="0.25">
      <c r="A16344"/>
      <c r="B16344"/>
      <c r="C16344"/>
      <c r="D16344" s="254"/>
      <c r="E16344"/>
      <c r="F16344"/>
      <c r="G16344"/>
      <c r="H16344"/>
      <c r="I16344" s="489"/>
      <c r="J16344" s="1362"/>
      <c r="K16344" s="1362"/>
      <c r="L16344" s="1362"/>
    </row>
    <row r="16345" spans="1:12" x14ac:dyDescent="0.25">
      <c r="A16345"/>
      <c r="B16345"/>
      <c r="C16345"/>
      <c r="D16345" s="254"/>
      <c r="E16345"/>
      <c r="F16345"/>
      <c r="G16345"/>
      <c r="H16345"/>
      <c r="I16345" s="489"/>
      <c r="J16345" s="1362"/>
      <c r="K16345" s="1362"/>
      <c r="L16345" s="1362"/>
    </row>
    <row r="16346" spans="1:12" x14ac:dyDescent="0.25">
      <c r="A16346"/>
      <c r="B16346"/>
      <c r="C16346"/>
      <c r="D16346" s="254"/>
      <c r="E16346"/>
      <c r="F16346"/>
      <c r="G16346"/>
      <c r="H16346"/>
      <c r="I16346" s="489"/>
      <c r="J16346" s="1362"/>
      <c r="K16346" s="1362"/>
      <c r="L16346" s="1362"/>
    </row>
    <row r="16347" spans="1:12" x14ac:dyDescent="0.25">
      <c r="A16347"/>
      <c r="B16347"/>
      <c r="C16347"/>
      <c r="D16347" s="254"/>
      <c r="E16347"/>
      <c r="F16347"/>
      <c r="G16347"/>
      <c r="H16347"/>
      <c r="I16347" s="489"/>
      <c r="J16347" s="1362"/>
      <c r="K16347" s="1362"/>
      <c r="L16347" s="1362"/>
    </row>
    <row r="16348" spans="1:12" x14ac:dyDescent="0.25">
      <c r="A16348">
        <v>38605</v>
      </c>
      <c r="B16348" t="s">
        <v>19850</v>
      </c>
      <c r="C16348" t="s">
        <v>2537</v>
      </c>
      <c r="D16348" s="254">
        <v>168.81</v>
      </c>
      <c r="E16348"/>
      <c r="F16348"/>
      <c r="G16348"/>
      <c r="H16348"/>
      <c r="I16348" s="489"/>
      <c r="J16348" s="1362"/>
      <c r="K16348" s="1362"/>
      <c r="L16348" s="1362"/>
    </row>
    <row r="16349" spans="1:12" x14ac:dyDescent="0.25">
      <c r="A16349">
        <v>11270</v>
      </c>
      <c r="B16349" t="s">
        <v>19851</v>
      </c>
      <c r="C16349" t="s">
        <v>2537</v>
      </c>
      <c r="D16349" s="254">
        <v>4.1100000000000003</v>
      </c>
      <c r="E16349"/>
      <c r="F16349"/>
      <c r="G16349"/>
      <c r="H16349"/>
      <c r="I16349" s="489"/>
      <c r="J16349" s="1362"/>
      <c r="K16349" s="1362"/>
      <c r="L16349" s="1362"/>
    </row>
    <row r="16350" spans="1:12" x14ac:dyDescent="0.25">
      <c r="A16350">
        <v>412</v>
      </c>
      <c r="B16350" t="s">
        <v>19852</v>
      </c>
      <c r="C16350" t="s">
        <v>2537</v>
      </c>
      <c r="D16350" s="254">
        <v>0.97</v>
      </c>
      <c r="E16350"/>
      <c r="F16350"/>
      <c r="G16350"/>
      <c r="H16350"/>
      <c r="I16350" s="489"/>
      <c r="J16350" s="1362"/>
      <c r="K16350" s="1362"/>
      <c r="L16350" s="1362"/>
    </row>
    <row r="16351" spans="1:12" x14ac:dyDescent="0.25">
      <c r="A16351">
        <v>414</v>
      </c>
      <c r="B16351" t="s">
        <v>19853</v>
      </c>
      <c r="C16351" t="s">
        <v>2537</v>
      </c>
      <c r="D16351" s="254">
        <v>0.06</v>
      </c>
      <c r="E16351"/>
      <c r="F16351"/>
      <c r="G16351"/>
      <c r="H16351"/>
      <c r="I16351" s="489"/>
      <c r="J16351" s="1362"/>
      <c r="K16351" s="1362"/>
      <c r="L16351" s="1362"/>
    </row>
    <row r="16352" spans="1:12" x14ac:dyDescent="0.25">
      <c r="A16352">
        <v>410</v>
      </c>
      <c r="B16352" t="s">
        <v>19854</v>
      </c>
      <c r="C16352" t="s">
        <v>2537</v>
      </c>
      <c r="D16352" s="254">
        <v>0.15</v>
      </c>
      <c r="E16352"/>
      <c r="F16352"/>
      <c r="G16352"/>
      <c r="H16352"/>
      <c r="I16352" s="489"/>
      <c r="J16352" s="1362"/>
      <c r="K16352" s="1362"/>
      <c r="L16352" s="1362"/>
    </row>
    <row r="16353" spans="1:12" x14ac:dyDescent="0.25">
      <c r="A16353">
        <v>411</v>
      </c>
      <c r="B16353" t="s">
        <v>19855</v>
      </c>
      <c r="C16353" t="s">
        <v>2537</v>
      </c>
      <c r="D16353" s="254">
        <v>0.19</v>
      </c>
      <c r="E16353"/>
      <c r="F16353"/>
      <c r="G16353"/>
      <c r="H16353"/>
      <c r="I16353" s="489"/>
      <c r="J16353" s="1362"/>
      <c r="K16353" s="1362"/>
      <c r="L16353" s="1362"/>
    </row>
    <row r="16354" spans="1:12" x14ac:dyDescent="0.25">
      <c r="A16354">
        <v>408</v>
      </c>
      <c r="B16354" t="s">
        <v>19856</v>
      </c>
      <c r="C16354" t="s">
        <v>2537</v>
      </c>
      <c r="D16354" s="254">
        <v>0.94</v>
      </c>
      <c r="E16354"/>
      <c r="F16354"/>
      <c r="G16354"/>
      <c r="H16354"/>
      <c r="I16354" s="489"/>
      <c r="J16354" s="1362"/>
      <c r="K16354" s="1362"/>
      <c r="L16354" s="1362"/>
    </row>
    <row r="16355" spans="1:12" x14ac:dyDescent="0.25">
      <c r="A16355">
        <v>39131</v>
      </c>
      <c r="B16355" t="s">
        <v>19857</v>
      </c>
      <c r="C16355" t="s">
        <v>2537</v>
      </c>
      <c r="D16355" s="254">
        <v>2.21</v>
      </c>
      <c r="E16355"/>
      <c r="F16355"/>
      <c r="G16355"/>
      <c r="H16355"/>
      <c r="I16355" s="489"/>
      <c r="J16355" s="1362"/>
      <c r="K16355" s="1362"/>
      <c r="L16355" s="1362"/>
    </row>
    <row r="16356" spans="1:12" x14ac:dyDescent="0.25">
      <c r="A16356">
        <v>394</v>
      </c>
      <c r="B16356" t="s">
        <v>19858</v>
      </c>
      <c r="C16356" t="s">
        <v>2537</v>
      </c>
      <c r="D16356" s="254">
        <v>2.2400000000000002</v>
      </c>
      <c r="E16356"/>
      <c r="F16356"/>
      <c r="G16356"/>
      <c r="H16356"/>
      <c r="I16356" s="489"/>
      <c r="J16356" s="1362"/>
      <c r="K16356" s="1362"/>
      <c r="L16356" s="1362"/>
    </row>
    <row r="16357" spans="1:12" x14ac:dyDescent="0.25">
      <c r="A16357">
        <v>39130</v>
      </c>
      <c r="B16357" t="s">
        <v>19859</v>
      </c>
      <c r="C16357" t="s">
        <v>2537</v>
      </c>
      <c r="D16357" s="254">
        <v>2.0099999999999998</v>
      </c>
      <c r="E16357"/>
      <c r="F16357"/>
      <c r="G16357"/>
      <c r="H16357"/>
      <c r="I16357" s="489"/>
      <c r="J16357" s="1362"/>
      <c r="K16357" s="1362"/>
      <c r="L16357" s="1362"/>
    </row>
    <row r="16358" spans="1:12" x14ac:dyDescent="0.25">
      <c r="A16358">
        <v>395</v>
      </c>
      <c r="B16358" t="s">
        <v>19860</v>
      </c>
      <c r="C16358" t="s">
        <v>2537</v>
      </c>
      <c r="D16358" s="254">
        <v>2.15</v>
      </c>
      <c r="E16358"/>
      <c r="F16358"/>
      <c r="G16358"/>
      <c r="H16358"/>
      <c r="I16358" s="489"/>
      <c r="J16358" s="1362"/>
      <c r="K16358" s="1362"/>
      <c r="L16358" s="1362"/>
    </row>
    <row r="16359" spans="1:12" x14ac:dyDescent="0.25">
      <c r="A16359">
        <v>39127</v>
      </c>
      <c r="B16359" t="s">
        <v>19861</v>
      </c>
      <c r="C16359" t="s">
        <v>2537</v>
      </c>
      <c r="D16359" s="254">
        <v>1.06</v>
      </c>
      <c r="E16359"/>
      <c r="F16359"/>
      <c r="G16359"/>
      <c r="H16359"/>
      <c r="I16359" s="489"/>
      <c r="J16359" s="1362"/>
      <c r="K16359" s="1362"/>
      <c r="L16359" s="1362"/>
    </row>
    <row r="16360" spans="1:12" x14ac:dyDescent="0.25">
      <c r="A16360">
        <v>392</v>
      </c>
      <c r="B16360" t="s">
        <v>19862</v>
      </c>
      <c r="C16360" t="s">
        <v>2537</v>
      </c>
      <c r="D16360" s="254">
        <v>1.0900000000000001</v>
      </c>
      <c r="E16360"/>
      <c r="F16360"/>
      <c r="G16360"/>
      <c r="H16360"/>
      <c r="I16360" s="489"/>
      <c r="J16360" s="1362"/>
      <c r="K16360" s="1362"/>
      <c r="L16360" s="1362"/>
    </row>
    <row r="16361" spans="1:12" x14ac:dyDescent="0.25">
      <c r="A16361">
        <v>39129</v>
      </c>
      <c r="B16361" t="s">
        <v>19863</v>
      </c>
      <c r="C16361" t="s">
        <v>2537</v>
      </c>
      <c r="D16361" s="254">
        <v>1.24</v>
      </c>
      <c r="E16361"/>
      <c r="F16361"/>
      <c r="G16361"/>
      <c r="H16361"/>
      <c r="I16361" s="489"/>
      <c r="J16361" s="1362"/>
      <c r="K16361" s="1362"/>
      <c r="L16361" s="1362"/>
    </row>
    <row r="16362" spans="1:12" x14ac:dyDescent="0.25">
      <c r="A16362">
        <v>393</v>
      </c>
      <c r="B16362" t="s">
        <v>19864</v>
      </c>
      <c r="C16362" t="s">
        <v>2537</v>
      </c>
      <c r="D16362" s="254">
        <v>1.3</v>
      </c>
      <c r="E16362"/>
      <c r="F16362"/>
      <c r="G16362"/>
      <c r="H16362"/>
      <c r="I16362" s="489"/>
      <c r="J16362" s="1362"/>
      <c r="K16362" s="1362"/>
      <c r="L16362" s="1362"/>
    </row>
    <row r="16363" spans="1:12" x14ac:dyDescent="0.25">
      <c r="A16363">
        <v>39133</v>
      </c>
      <c r="B16363" t="s">
        <v>19865</v>
      </c>
      <c r="C16363" t="s">
        <v>2537</v>
      </c>
      <c r="D16363" s="254">
        <v>2.9</v>
      </c>
      <c r="E16363"/>
      <c r="F16363"/>
      <c r="G16363"/>
      <c r="H16363"/>
      <c r="I16363" s="489"/>
      <c r="J16363" s="1362"/>
      <c r="K16363" s="1362"/>
      <c r="L16363" s="1362"/>
    </row>
    <row r="16364" spans="1:12" x14ac:dyDescent="0.25">
      <c r="A16364">
        <v>397</v>
      </c>
      <c r="B16364" t="s">
        <v>19866</v>
      </c>
      <c r="C16364" t="s">
        <v>2537</v>
      </c>
      <c r="D16364" s="254">
        <v>3.2</v>
      </c>
      <c r="E16364"/>
      <c r="F16364"/>
      <c r="G16364"/>
      <c r="H16364"/>
      <c r="I16364" s="489"/>
      <c r="J16364" s="1362"/>
      <c r="K16364" s="1362"/>
      <c r="L16364" s="1362"/>
    </row>
    <row r="16365" spans="1:12" x14ac:dyDescent="0.25">
      <c r="A16365">
        <v>39132</v>
      </c>
      <c r="B16365" t="s">
        <v>19867</v>
      </c>
      <c r="C16365" t="s">
        <v>2537</v>
      </c>
      <c r="D16365" s="254">
        <v>2.3199999999999998</v>
      </c>
      <c r="E16365"/>
      <c r="F16365"/>
      <c r="G16365"/>
      <c r="H16365"/>
      <c r="I16365" s="489"/>
      <c r="J16365" s="1362"/>
      <c r="K16365" s="1362"/>
      <c r="L16365" s="1362"/>
    </row>
    <row r="16366" spans="1:12" x14ac:dyDescent="0.25">
      <c r="A16366">
        <v>396</v>
      </c>
      <c r="B16366" t="s">
        <v>19868</v>
      </c>
      <c r="C16366" t="s">
        <v>2537</v>
      </c>
      <c r="D16366" s="254">
        <v>2.48</v>
      </c>
      <c r="E16366"/>
      <c r="F16366"/>
      <c r="G16366"/>
      <c r="H16366"/>
      <c r="I16366" s="489"/>
      <c r="J16366" s="1362"/>
      <c r="K16366" s="1362"/>
      <c r="L16366" s="1362"/>
    </row>
    <row r="16367" spans="1:12" x14ac:dyDescent="0.25">
      <c r="A16367">
        <v>39135</v>
      </c>
      <c r="B16367" t="s">
        <v>19869</v>
      </c>
      <c r="C16367" t="s">
        <v>2537</v>
      </c>
      <c r="D16367" s="254">
        <v>4.6399999999999997</v>
      </c>
      <c r="E16367"/>
      <c r="F16367"/>
      <c r="G16367"/>
      <c r="H16367"/>
      <c r="I16367" s="489"/>
      <c r="J16367" s="1362"/>
      <c r="K16367" s="1362"/>
      <c r="L16367" s="1362"/>
    </row>
    <row r="16368" spans="1:12" x14ac:dyDescent="0.25">
      <c r="A16368">
        <v>39128</v>
      </c>
      <c r="B16368" t="s">
        <v>19870</v>
      </c>
      <c r="C16368" t="s">
        <v>2537</v>
      </c>
      <c r="D16368" s="254">
        <v>1.1599999999999999</v>
      </c>
      <c r="E16368"/>
      <c r="F16368"/>
      <c r="G16368"/>
      <c r="H16368"/>
      <c r="I16368" s="489"/>
      <c r="J16368" s="1362"/>
      <c r="K16368" s="1362"/>
      <c r="L16368" s="1362"/>
    </row>
    <row r="16369" spans="1:12" x14ac:dyDescent="0.25">
      <c r="A16369">
        <v>400</v>
      </c>
      <c r="B16369" t="s">
        <v>19871</v>
      </c>
      <c r="C16369" t="s">
        <v>2537</v>
      </c>
      <c r="D16369" s="254">
        <v>1.1299999999999999</v>
      </c>
      <c r="E16369"/>
      <c r="F16369"/>
      <c r="G16369"/>
      <c r="H16369"/>
      <c r="I16369" s="489"/>
      <c r="J16369" s="1362"/>
      <c r="K16369" s="1362"/>
      <c r="L16369" s="1362"/>
    </row>
    <row r="16370" spans="1:12" x14ac:dyDescent="0.25">
      <c r="A16370">
        <v>39125</v>
      </c>
      <c r="B16370" t="s">
        <v>19872</v>
      </c>
      <c r="C16370" t="s">
        <v>2537</v>
      </c>
      <c r="D16370" s="254">
        <v>1.1599999999999999</v>
      </c>
      <c r="E16370"/>
      <c r="F16370"/>
      <c r="G16370"/>
      <c r="H16370"/>
      <c r="I16370" s="489"/>
      <c r="J16370" s="1362"/>
      <c r="K16370" s="1362"/>
      <c r="L16370" s="1362"/>
    </row>
    <row r="16371" spans="1:12" x14ac:dyDescent="0.25">
      <c r="A16371">
        <v>39134</v>
      </c>
      <c r="B16371" t="s">
        <v>19873</v>
      </c>
      <c r="C16371" t="s">
        <v>2537</v>
      </c>
      <c r="D16371" s="254">
        <v>3.87</v>
      </c>
      <c r="E16371"/>
      <c r="F16371"/>
      <c r="G16371"/>
      <c r="H16371"/>
      <c r="I16371" s="489"/>
      <c r="J16371" s="1362"/>
      <c r="K16371" s="1362"/>
      <c r="L16371" s="1362"/>
    </row>
    <row r="16372" spans="1:12" x14ac:dyDescent="0.25">
      <c r="A16372">
        <v>398</v>
      </c>
      <c r="B16372" t="s">
        <v>19874</v>
      </c>
      <c r="C16372" t="s">
        <v>2537</v>
      </c>
      <c r="D16372" s="254">
        <v>3.56</v>
      </c>
      <c r="E16372"/>
      <c r="F16372"/>
      <c r="G16372"/>
      <c r="H16372"/>
      <c r="I16372" s="489"/>
      <c r="J16372" s="1362"/>
      <c r="K16372" s="1362"/>
      <c r="L16372" s="1362"/>
    </row>
    <row r="16373" spans="1:12" x14ac:dyDescent="0.25">
      <c r="A16373">
        <v>39126</v>
      </c>
      <c r="B16373" t="s">
        <v>19875</v>
      </c>
      <c r="C16373" t="s">
        <v>2537</v>
      </c>
      <c r="D16373" s="254">
        <v>5.22</v>
      </c>
      <c r="E16373"/>
      <c r="F16373"/>
      <c r="G16373"/>
      <c r="H16373"/>
      <c r="I16373" s="489"/>
      <c r="J16373" s="1362"/>
      <c r="K16373" s="1362"/>
      <c r="L16373" s="1362"/>
    </row>
    <row r="16374" spans="1:12" x14ac:dyDescent="0.25">
      <c r="A16374">
        <v>399</v>
      </c>
      <c r="B16374" t="s">
        <v>19876</v>
      </c>
      <c r="C16374" t="s">
        <v>2537</v>
      </c>
      <c r="D16374" s="254">
        <v>4.5999999999999996</v>
      </c>
      <c r="E16374"/>
      <c r="F16374"/>
      <c r="G16374"/>
      <c r="H16374"/>
      <c r="I16374" s="489"/>
      <c r="J16374" s="1362"/>
      <c r="K16374" s="1362"/>
      <c r="L16374" s="1362"/>
    </row>
    <row r="16375" spans="1:12" x14ac:dyDescent="0.25">
      <c r="A16375">
        <v>39158</v>
      </c>
      <c r="B16375" t="s">
        <v>19877</v>
      </c>
      <c r="C16375" t="s">
        <v>2537</v>
      </c>
      <c r="D16375" s="254">
        <v>12.36</v>
      </c>
      <c r="E16375"/>
      <c r="F16375"/>
      <c r="G16375"/>
      <c r="H16375"/>
      <c r="I16375" s="489"/>
      <c r="J16375" s="1362"/>
      <c r="K16375" s="1362"/>
      <c r="L16375" s="1362"/>
    </row>
    <row r="16376" spans="1:12" x14ac:dyDescent="0.25">
      <c r="A16376">
        <v>39141</v>
      </c>
      <c r="B16376" t="s">
        <v>19878</v>
      </c>
      <c r="C16376" t="s">
        <v>2537</v>
      </c>
      <c r="D16376" s="254">
        <v>0.89</v>
      </c>
      <c r="E16376"/>
      <c r="F16376"/>
      <c r="G16376"/>
      <c r="H16376"/>
      <c r="I16376" s="489"/>
      <c r="J16376" s="1362"/>
      <c r="K16376" s="1362"/>
      <c r="L16376" s="1362"/>
    </row>
    <row r="16377" spans="1:12" x14ac:dyDescent="0.25">
      <c r="A16377">
        <v>39140</v>
      </c>
      <c r="B16377" t="s">
        <v>19879</v>
      </c>
      <c r="C16377" t="s">
        <v>2537</v>
      </c>
      <c r="D16377" s="254">
        <v>0.81</v>
      </c>
      <c r="E16377"/>
      <c r="F16377"/>
      <c r="G16377"/>
      <c r="H16377"/>
      <c r="I16377" s="489"/>
      <c r="J16377" s="1362"/>
      <c r="K16377" s="1362"/>
      <c r="L16377" s="1362"/>
    </row>
    <row r="16378" spans="1:12" x14ac:dyDescent="0.25">
      <c r="A16378">
        <v>39137</v>
      </c>
      <c r="B16378" t="s">
        <v>19880</v>
      </c>
      <c r="C16378" t="s">
        <v>2537</v>
      </c>
      <c r="D16378" s="254">
        <v>0.47</v>
      </c>
      <c r="E16378"/>
      <c r="F16378"/>
      <c r="G16378"/>
      <c r="H16378"/>
      <c r="I16378" s="489"/>
      <c r="J16378" s="1362"/>
      <c r="K16378" s="1362"/>
      <c r="L16378" s="1362"/>
    </row>
    <row r="16379" spans="1:12" x14ac:dyDescent="0.25">
      <c r="A16379">
        <v>39139</v>
      </c>
      <c r="B16379" t="s">
        <v>19881</v>
      </c>
      <c r="C16379" t="s">
        <v>2537</v>
      </c>
      <c r="D16379" s="254">
        <v>0.67</v>
      </c>
      <c r="E16379"/>
      <c r="F16379"/>
      <c r="G16379"/>
      <c r="H16379"/>
      <c r="I16379" s="489"/>
      <c r="J16379" s="1362"/>
      <c r="K16379" s="1362"/>
      <c r="L16379" s="1362"/>
    </row>
    <row r="16380" spans="1:12" x14ac:dyDescent="0.25">
      <c r="A16380">
        <v>39143</v>
      </c>
      <c r="B16380" t="s">
        <v>19882</v>
      </c>
      <c r="C16380" t="s">
        <v>2537</v>
      </c>
      <c r="D16380" s="254">
        <v>1.85</v>
      </c>
      <c r="E16380"/>
      <c r="F16380"/>
      <c r="G16380"/>
      <c r="H16380"/>
      <c r="I16380" s="489"/>
      <c r="J16380" s="1362"/>
      <c r="K16380" s="1362"/>
      <c r="L16380" s="1362"/>
    </row>
    <row r="16381" spans="1:12" x14ac:dyDescent="0.25">
      <c r="A16381">
        <v>39142</v>
      </c>
      <c r="B16381" t="s">
        <v>19883</v>
      </c>
      <c r="C16381" t="s">
        <v>2537</v>
      </c>
      <c r="D16381" s="254">
        <v>1.32</v>
      </c>
      <c r="E16381"/>
      <c r="F16381"/>
      <c r="G16381"/>
      <c r="H16381"/>
      <c r="I16381" s="489"/>
      <c r="J16381" s="1362"/>
      <c r="K16381" s="1362"/>
      <c r="L16381" s="1362"/>
    </row>
    <row r="16382" spans="1:12" x14ac:dyDescent="0.25">
      <c r="A16382">
        <v>39138</v>
      </c>
      <c r="B16382" t="s">
        <v>19884</v>
      </c>
      <c r="C16382" t="s">
        <v>2537</v>
      </c>
      <c r="D16382" s="254">
        <v>0.49</v>
      </c>
      <c r="E16382"/>
      <c r="F16382"/>
      <c r="G16382"/>
      <c r="H16382"/>
      <c r="I16382" s="489"/>
      <c r="J16382" s="1362"/>
      <c r="K16382" s="1362"/>
      <c r="L16382" s="1362"/>
    </row>
    <row r="16383" spans="1:12" x14ac:dyDescent="0.25">
      <c r="A16383">
        <v>39136</v>
      </c>
      <c r="B16383" t="s">
        <v>19885</v>
      </c>
      <c r="C16383" t="s">
        <v>2537</v>
      </c>
      <c r="D16383" s="254">
        <v>0.33</v>
      </c>
      <c r="E16383"/>
      <c r="F16383"/>
      <c r="G16383"/>
      <c r="H16383"/>
      <c r="I16383" s="489"/>
      <c r="J16383" s="1362"/>
      <c r="K16383" s="1362"/>
      <c r="L16383" s="1362"/>
    </row>
    <row r="16384" spans="1:12" x14ac:dyDescent="0.25">
      <c r="A16384">
        <v>39144</v>
      </c>
      <c r="B16384" t="s">
        <v>19886</v>
      </c>
      <c r="C16384" t="s">
        <v>2537</v>
      </c>
      <c r="D16384" s="254">
        <v>2.15</v>
      </c>
      <c r="E16384"/>
      <c r="F16384"/>
      <c r="G16384"/>
      <c r="H16384"/>
      <c r="I16384" s="489"/>
      <c r="J16384" s="1362"/>
      <c r="K16384" s="1362"/>
      <c r="L16384" s="1362"/>
    </row>
    <row r="16385" spans="1:12" x14ac:dyDescent="0.25">
      <c r="A16385">
        <v>39145</v>
      </c>
      <c r="B16385" t="s">
        <v>19887</v>
      </c>
      <c r="C16385" t="s">
        <v>2537</v>
      </c>
      <c r="D16385" s="254">
        <v>3.55</v>
      </c>
      <c r="E16385"/>
      <c r="F16385"/>
      <c r="G16385"/>
      <c r="H16385"/>
      <c r="I16385" s="489"/>
      <c r="J16385" s="1362"/>
      <c r="K16385" s="1362"/>
      <c r="L16385" s="1362"/>
    </row>
    <row r="16386" spans="1:12" x14ac:dyDescent="0.25">
      <c r="A16386">
        <v>12615</v>
      </c>
      <c r="B16386" t="s">
        <v>19888</v>
      </c>
      <c r="C16386" t="s">
        <v>2537</v>
      </c>
      <c r="D16386" s="254">
        <v>4.91</v>
      </c>
      <c r="E16386"/>
      <c r="F16386"/>
      <c r="G16386"/>
      <c r="H16386"/>
      <c r="I16386" s="489"/>
      <c r="J16386" s="1362"/>
      <c r="K16386" s="1362"/>
      <c r="L16386" s="1362"/>
    </row>
    <row r="16387" spans="1:12" x14ac:dyDescent="0.25">
      <c r="A16387">
        <v>11927</v>
      </c>
      <c r="B16387" t="s">
        <v>19889</v>
      </c>
      <c r="C16387" t="s">
        <v>2537</v>
      </c>
      <c r="D16387" s="254">
        <v>12.28</v>
      </c>
      <c r="E16387"/>
      <c r="F16387"/>
      <c r="G16387"/>
      <c r="H16387"/>
      <c r="I16387" s="489"/>
      <c r="J16387" s="1362"/>
      <c r="K16387" s="1362"/>
      <c r="L16387" s="1362"/>
    </row>
    <row r="16388" spans="1:12" x14ac:dyDescent="0.25">
      <c r="A16388">
        <v>11928</v>
      </c>
      <c r="B16388" t="s">
        <v>19890</v>
      </c>
      <c r="C16388" t="s">
        <v>2537</v>
      </c>
      <c r="D16388" s="254">
        <v>14.07</v>
      </c>
      <c r="E16388"/>
      <c r="F16388"/>
      <c r="G16388"/>
      <c r="H16388"/>
      <c r="I16388" s="489"/>
      <c r="J16388" s="1362"/>
      <c r="K16388" s="1362"/>
      <c r="L16388" s="1362"/>
    </row>
    <row r="16389" spans="1:12" x14ac:dyDescent="0.25">
      <c r="A16389">
        <v>11929</v>
      </c>
      <c r="B16389" t="s">
        <v>19891</v>
      </c>
      <c r="C16389" t="s">
        <v>2537</v>
      </c>
      <c r="D16389" s="254">
        <v>21.77</v>
      </c>
      <c r="E16389"/>
      <c r="F16389"/>
      <c r="G16389"/>
      <c r="H16389"/>
      <c r="I16389" s="489"/>
      <c r="J16389" s="1362"/>
      <c r="K16389" s="1362"/>
      <c r="L16389" s="1362"/>
    </row>
    <row r="16390" spans="1:12" x14ac:dyDescent="0.25">
      <c r="A16390">
        <v>36801</v>
      </c>
      <c r="B16390" t="s">
        <v>19892</v>
      </c>
      <c r="C16390" t="s">
        <v>2537</v>
      </c>
      <c r="D16390" s="254">
        <v>30.12</v>
      </c>
      <c r="E16390"/>
      <c r="F16390"/>
      <c r="G16390"/>
      <c r="H16390"/>
      <c r="I16390" s="489"/>
      <c r="J16390" s="1362"/>
      <c r="K16390" s="1362"/>
      <c r="L16390" s="1362"/>
    </row>
    <row r="16391" spans="1:12" x14ac:dyDescent="0.25">
      <c r="A16391">
        <v>36246</v>
      </c>
      <c r="B16391" t="s">
        <v>19893</v>
      </c>
      <c r="C16391" t="s">
        <v>2541</v>
      </c>
      <c r="D16391" s="254">
        <v>4.58</v>
      </c>
      <c r="E16391"/>
      <c r="F16391"/>
      <c r="G16391"/>
      <c r="H16391"/>
      <c r="I16391" s="489"/>
      <c r="J16391" s="1362"/>
      <c r="K16391" s="1362"/>
      <c r="L16391" s="1362"/>
    </row>
    <row r="16392" spans="1:12" x14ac:dyDescent="0.25">
      <c r="A16392">
        <v>37600</v>
      </c>
      <c r="B16392" t="s">
        <v>19894</v>
      </c>
      <c r="C16392" t="s">
        <v>2537</v>
      </c>
      <c r="D16392" s="254">
        <v>123.82</v>
      </c>
      <c r="E16392"/>
      <c r="F16392"/>
      <c r="G16392"/>
      <c r="H16392"/>
      <c r="I16392" s="489"/>
      <c r="J16392" s="1362"/>
      <c r="K16392" s="1362"/>
      <c r="L16392" s="1362"/>
    </row>
    <row r="16393" spans="1:12" x14ac:dyDescent="0.25">
      <c r="A16393">
        <v>37599</v>
      </c>
      <c r="B16393" t="s">
        <v>19895</v>
      </c>
      <c r="C16393" t="s">
        <v>2537</v>
      </c>
      <c r="D16393" s="254">
        <v>115.25</v>
      </c>
      <c r="E16393"/>
      <c r="F16393"/>
      <c r="G16393"/>
      <c r="H16393"/>
      <c r="I16393" s="489"/>
      <c r="J16393" s="1362"/>
      <c r="K16393" s="1362"/>
      <c r="L16393" s="1362"/>
    </row>
    <row r="16394" spans="1:12" x14ac:dyDescent="0.25">
      <c r="A16394">
        <v>1</v>
      </c>
      <c r="B16394" t="s">
        <v>19896</v>
      </c>
      <c r="C16394" t="s">
        <v>2542</v>
      </c>
      <c r="D16394" s="254">
        <v>59</v>
      </c>
      <c r="E16394"/>
      <c r="F16394"/>
      <c r="G16394"/>
      <c r="H16394"/>
      <c r="I16394" s="489"/>
      <c r="J16394" s="1362"/>
      <c r="K16394" s="1362"/>
      <c r="L16394" s="1362"/>
    </row>
    <row r="16395" spans="1:12" x14ac:dyDescent="0.25">
      <c r="A16395">
        <v>3</v>
      </c>
      <c r="B16395" t="s">
        <v>19897</v>
      </c>
      <c r="C16395" t="s">
        <v>2543</v>
      </c>
      <c r="D16395" s="254">
        <v>15.58</v>
      </c>
      <c r="E16395"/>
      <c r="F16395"/>
      <c r="G16395"/>
      <c r="H16395"/>
      <c r="I16395" s="489"/>
      <c r="J16395" s="1362"/>
      <c r="K16395" s="1362"/>
      <c r="L16395" s="1362"/>
    </row>
    <row r="16396" spans="1:12" x14ac:dyDescent="0.25">
      <c r="A16396">
        <v>43054</v>
      </c>
      <c r="B16396" t="s">
        <v>19898</v>
      </c>
      <c r="C16396" t="s">
        <v>2542</v>
      </c>
      <c r="D16396" s="254">
        <v>10.15</v>
      </c>
      <c r="E16396"/>
      <c r="F16396"/>
      <c r="G16396"/>
      <c r="H16396"/>
      <c r="I16396" s="489"/>
      <c r="J16396" s="1362"/>
      <c r="K16396" s="1362"/>
      <c r="L16396" s="1362"/>
    </row>
    <row r="16397" spans="1:12" x14ac:dyDescent="0.25">
      <c r="A16397">
        <v>42402</v>
      </c>
      <c r="B16397" t="s">
        <v>19899</v>
      </c>
      <c r="C16397" t="s">
        <v>2542</v>
      </c>
      <c r="D16397" s="254">
        <v>9.6999999999999993</v>
      </c>
      <c r="E16397"/>
      <c r="F16397"/>
      <c r="G16397"/>
      <c r="H16397"/>
      <c r="I16397" s="489"/>
      <c r="J16397" s="1362"/>
      <c r="K16397" s="1362"/>
      <c r="L16397" s="1362"/>
    </row>
    <row r="16398" spans="1:12" x14ac:dyDescent="0.25">
      <c r="A16398">
        <v>42403</v>
      </c>
      <c r="B16398" t="s">
        <v>19900</v>
      </c>
      <c r="C16398" t="s">
        <v>2542</v>
      </c>
      <c r="D16398" s="254">
        <v>12.44</v>
      </c>
      <c r="E16398"/>
      <c r="F16398"/>
      <c r="G16398"/>
      <c r="H16398"/>
      <c r="I16398" s="489"/>
      <c r="J16398" s="1362"/>
      <c r="K16398" s="1362"/>
      <c r="L16398" s="1362"/>
    </row>
    <row r="16399" spans="1:12" x14ac:dyDescent="0.25">
      <c r="A16399">
        <v>42404</v>
      </c>
      <c r="B16399" t="s">
        <v>19901</v>
      </c>
      <c r="C16399" t="s">
        <v>2542</v>
      </c>
      <c r="D16399" s="254">
        <v>12.37</v>
      </c>
      <c r="E16399"/>
      <c r="F16399"/>
      <c r="G16399"/>
      <c r="H16399"/>
      <c r="I16399" s="489"/>
      <c r="J16399" s="1362"/>
      <c r="K16399" s="1362"/>
      <c r="L16399" s="1362"/>
    </row>
    <row r="16400" spans="1:12" x14ac:dyDescent="0.25">
      <c r="A16400">
        <v>42405</v>
      </c>
      <c r="B16400" t="s">
        <v>19902</v>
      </c>
      <c r="C16400" t="s">
        <v>2542</v>
      </c>
      <c r="D16400" s="254">
        <v>13.18</v>
      </c>
      <c r="E16400"/>
      <c r="F16400"/>
      <c r="G16400"/>
      <c r="H16400"/>
      <c r="I16400" s="489"/>
      <c r="J16400" s="1362"/>
      <c r="K16400" s="1362"/>
      <c r="L16400" s="1362"/>
    </row>
    <row r="16401" spans="1:12" x14ac:dyDescent="0.25">
      <c r="A16401">
        <v>34341</v>
      </c>
      <c r="B16401" t="s">
        <v>19903</v>
      </c>
      <c r="C16401" t="s">
        <v>2542</v>
      </c>
      <c r="D16401" s="254">
        <v>11.44</v>
      </c>
      <c r="E16401"/>
      <c r="F16401"/>
      <c r="G16401"/>
      <c r="H16401"/>
      <c r="I16401" s="489"/>
      <c r="J16401" s="1362"/>
      <c r="K16401" s="1362"/>
      <c r="L16401" s="1362"/>
    </row>
    <row r="16402" spans="1:12" x14ac:dyDescent="0.25">
      <c r="A16402">
        <v>43053</v>
      </c>
      <c r="B16402" t="s">
        <v>19904</v>
      </c>
      <c r="C16402" t="s">
        <v>2542</v>
      </c>
      <c r="D16402" s="254">
        <v>9.06</v>
      </c>
      <c r="E16402"/>
      <c r="F16402"/>
      <c r="G16402"/>
      <c r="H16402"/>
      <c r="I16402" s="489"/>
      <c r="J16402" s="1362"/>
      <c r="K16402" s="1362"/>
      <c r="L16402" s="1362"/>
    </row>
    <row r="16403" spans="1:12" x14ac:dyDescent="0.25">
      <c r="A16403">
        <v>43058</v>
      </c>
      <c r="B16403" t="s">
        <v>19905</v>
      </c>
      <c r="C16403" t="s">
        <v>2542</v>
      </c>
      <c r="D16403" s="254">
        <v>9.4</v>
      </c>
      <c r="E16403"/>
      <c r="F16403"/>
      <c r="G16403"/>
      <c r="H16403"/>
      <c r="I16403" s="489"/>
      <c r="J16403" s="1362"/>
      <c r="K16403" s="1362"/>
      <c r="L16403" s="1362"/>
    </row>
    <row r="16404" spans="1:12" x14ac:dyDescent="0.25">
      <c r="A16404">
        <v>34</v>
      </c>
      <c r="B16404" t="s">
        <v>19906</v>
      </c>
      <c r="C16404" t="s">
        <v>2542</v>
      </c>
      <c r="D16404" s="254">
        <v>9.44</v>
      </c>
      <c r="E16404"/>
      <c r="F16404"/>
      <c r="G16404"/>
      <c r="H16404"/>
      <c r="I16404" s="489"/>
      <c r="J16404" s="1362"/>
      <c r="K16404" s="1362"/>
      <c r="L16404" s="1362"/>
    </row>
    <row r="16405" spans="1:12" x14ac:dyDescent="0.25">
      <c r="A16405">
        <v>43055</v>
      </c>
      <c r="B16405" t="s">
        <v>19907</v>
      </c>
      <c r="C16405" t="s">
        <v>2542</v>
      </c>
      <c r="D16405" s="254">
        <v>8.18</v>
      </c>
      <c r="E16405"/>
      <c r="F16405"/>
      <c r="G16405"/>
      <c r="H16405"/>
      <c r="I16405" s="489"/>
      <c r="J16405" s="1362"/>
      <c r="K16405" s="1362"/>
      <c r="L16405" s="1362"/>
    </row>
    <row r="16406" spans="1:12" x14ac:dyDescent="0.25">
      <c r="A16406">
        <v>43056</v>
      </c>
      <c r="B16406" t="s">
        <v>19908</v>
      </c>
      <c r="C16406" t="s">
        <v>2542</v>
      </c>
      <c r="D16406" s="254">
        <v>9.43</v>
      </c>
      <c r="E16406"/>
      <c r="F16406"/>
      <c r="G16406"/>
      <c r="H16406"/>
      <c r="I16406" s="489"/>
      <c r="J16406" s="1362"/>
      <c r="K16406" s="1362"/>
      <c r="L16406" s="1362"/>
    </row>
    <row r="16407" spans="1:12" x14ac:dyDescent="0.25">
      <c r="A16407">
        <v>43057</v>
      </c>
      <c r="B16407" t="s">
        <v>19909</v>
      </c>
      <c r="C16407" t="s">
        <v>2542</v>
      </c>
      <c r="D16407" s="254">
        <v>10.36</v>
      </c>
      <c r="E16407"/>
      <c r="F16407"/>
      <c r="G16407"/>
      <c r="H16407"/>
      <c r="I16407" s="489"/>
      <c r="J16407" s="1362"/>
      <c r="K16407" s="1362"/>
      <c r="L16407" s="1362"/>
    </row>
    <row r="16408" spans="1:12" x14ac:dyDescent="0.25">
      <c r="A16408">
        <v>34449</v>
      </c>
      <c r="B16408" t="s">
        <v>19910</v>
      </c>
      <c r="C16408" t="s">
        <v>2542</v>
      </c>
      <c r="D16408" s="254">
        <v>11.08</v>
      </c>
      <c r="E16408"/>
      <c r="F16408"/>
      <c r="G16408"/>
      <c r="H16408"/>
      <c r="I16408" s="489"/>
      <c r="J16408" s="1362"/>
      <c r="K16408" s="1362"/>
      <c r="L16408" s="1362"/>
    </row>
    <row r="16409" spans="1:12" x14ac:dyDescent="0.25">
      <c r="A16409">
        <v>32</v>
      </c>
      <c r="B16409" t="s">
        <v>19911</v>
      </c>
      <c r="C16409" t="s">
        <v>2542</v>
      </c>
      <c r="D16409" s="254">
        <v>9.9600000000000009</v>
      </c>
      <c r="E16409"/>
      <c r="F16409"/>
      <c r="G16409"/>
      <c r="H16409"/>
      <c r="I16409" s="489"/>
      <c r="J16409" s="1362"/>
      <c r="K16409" s="1362"/>
      <c r="L16409" s="1362"/>
    </row>
    <row r="16410" spans="1:12" x14ac:dyDescent="0.25">
      <c r="A16410">
        <v>33</v>
      </c>
      <c r="B16410" t="s">
        <v>19912</v>
      </c>
      <c r="C16410" t="s">
        <v>2542</v>
      </c>
      <c r="D16410" s="254">
        <v>10.02</v>
      </c>
      <c r="E16410"/>
      <c r="F16410"/>
      <c r="G16410"/>
      <c r="H16410"/>
      <c r="I16410" s="489"/>
      <c r="J16410" s="1362"/>
      <c r="K16410" s="1362"/>
      <c r="L16410" s="1362"/>
    </row>
    <row r="16411" spans="1:12" x14ac:dyDescent="0.25">
      <c r="A16411">
        <v>43061</v>
      </c>
      <c r="B16411" t="s">
        <v>19913</v>
      </c>
      <c r="C16411" t="s">
        <v>2542</v>
      </c>
      <c r="D16411" s="254">
        <v>9.36</v>
      </c>
      <c r="E16411"/>
      <c r="F16411"/>
      <c r="G16411"/>
      <c r="H16411"/>
      <c r="I16411" s="489"/>
      <c r="J16411" s="1362"/>
      <c r="K16411" s="1362"/>
      <c r="L16411" s="1362"/>
    </row>
    <row r="16412" spans="1:12" x14ac:dyDescent="0.25">
      <c r="A16412">
        <v>43059</v>
      </c>
      <c r="B16412" t="s">
        <v>19914</v>
      </c>
      <c r="C16412" t="s">
        <v>2542</v>
      </c>
      <c r="D16412" s="254">
        <v>8.94</v>
      </c>
      <c r="E16412"/>
      <c r="F16412"/>
      <c r="G16412"/>
      <c r="H16412"/>
      <c r="I16412" s="489"/>
      <c r="J16412" s="1362"/>
      <c r="K16412" s="1362"/>
      <c r="L16412" s="1362"/>
    </row>
    <row r="16413" spans="1:12" x14ac:dyDescent="0.25">
      <c r="A16413">
        <v>43062</v>
      </c>
      <c r="B16413" t="s">
        <v>19915</v>
      </c>
      <c r="C16413" t="s">
        <v>2542</v>
      </c>
      <c r="D16413" s="254">
        <v>9.9</v>
      </c>
      <c r="E16413"/>
      <c r="F16413"/>
      <c r="G16413"/>
      <c r="H16413"/>
      <c r="I16413" s="489"/>
      <c r="J16413" s="1362"/>
      <c r="K16413" s="1362"/>
      <c r="L16413" s="1362"/>
    </row>
    <row r="16414" spans="1:12" x14ac:dyDescent="0.25">
      <c r="A16414">
        <v>43060</v>
      </c>
      <c r="B16414" t="s">
        <v>19916</v>
      </c>
      <c r="C16414" t="s">
        <v>2542</v>
      </c>
      <c r="D16414" s="254">
        <v>7.78</v>
      </c>
      <c r="E16414"/>
      <c r="F16414"/>
      <c r="G16414"/>
      <c r="H16414"/>
      <c r="I16414" s="489"/>
      <c r="J16414" s="1362"/>
      <c r="K16414" s="1362"/>
      <c r="L16414" s="1362"/>
    </row>
    <row r="16415" spans="1:12" x14ac:dyDescent="0.25">
      <c r="A16415">
        <v>20063</v>
      </c>
      <c r="B16415" t="s">
        <v>19917</v>
      </c>
      <c r="C16415" t="s">
        <v>2537</v>
      </c>
      <c r="D16415" s="254">
        <v>4.88</v>
      </c>
      <c r="E16415"/>
      <c r="F16415"/>
      <c r="G16415"/>
      <c r="H16415"/>
      <c r="I16415" s="489"/>
      <c r="J16415" s="1362"/>
      <c r="K16415" s="1362"/>
      <c r="L16415" s="1362"/>
    </row>
    <row r="16416" spans="1:12" x14ac:dyDescent="0.25">
      <c r="A16416">
        <v>40410</v>
      </c>
      <c r="B16416" t="s">
        <v>19918</v>
      </c>
      <c r="C16416" t="s">
        <v>2537</v>
      </c>
      <c r="D16416" s="254">
        <v>28.08</v>
      </c>
      <c r="E16416"/>
      <c r="F16416"/>
      <c r="G16416"/>
      <c r="H16416"/>
      <c r="I16416" s="489"/>
      <c r="J16416" s="1362"/>
      <c r="K16416" s="1362"/>
      <c r="L16416" s="1362"/>
    </row>
    <row r="16417" spans="1:12" x14ac:dyDescent="0.25">
      <c r="A16417">
        <v>40411</v>
      </c>
      <c r="B16417" t="s">
        <v>19919</v>
      </c>
      <c r="C16417" t="s">
        <v>2537</v>
      </c>
      <c r="D16417" s="254">
        <v>30.47</v>
      </c>
      <c r="E16417"/>
      <c r="F16417"/>
      <c r="G16417"/>
      <c r="H16417"/>
      <c r="I16417" s="489"/>
      <c r="J16417" s="1362"/>
      <c r="K16417" s="1362"/>
      <c r="L16417" s="1362"/>
    </row>
    <row r="16418" spans="1:12" x14ac:dyDescent="0.25">
      <c r="A16418">
        <v>40412</v>
      </c>
      <c r="B16418" t="s">
        <v>19920</v>
      </c>
      <c r="C16418" t="s">
        <v>2537</v>
      </c>
      <c r="D16418" s="254">
        <v>34.200000000000003</v>
      </c>
      <c r="E16418"/>
      <c r="F16418"/>
      <c r="G16418"/>
      <c r="H16418"/>
      <c r="I16418" s="489"/>
      <c r="J16418" s="1362"/>
      <c r="K16418" s="1362"/>
      <c r="L16418" s="1362"/>
    </row>
    <row r="16419" spans="1:12" x14ac:dyDescent="0.25">
      <c r="A16419">
        <v>38838</v>
      </c>
      <c r="B16419" t="s">
        <v>19921</v>
      </c>
      <c r="C16419" t="s">
        <v>2537</v>
      </c>
      <c r="D16419" s="254">
        <v>8.2899999999999991</v>
      </c>
      <c r="E16419"/>
      <c r="F16419"/>
      <c r="G16419"/>
      <c r="H16419"/>
      <c r="I16419" s="489"/>
      <c r="J16419" s="1362"/>
      <c r="K16419" s="1362"/>
      <c r="L16419" s="1362"/>
    </row>
    <row r="16420" spans="1:12" x14ac:dyDescent="0.25">
      <c r="A16420">
        <v>38839</v>
      </c>
      <c r="B16420" t="s">
        <v>19922</v>
      </c>
      <c r="C16420" t="s">
        <v>2537</v>
      </c>
      <c r="D16420" s="254">
        <v>9.77</v>
      </c>
      <c r="E16420"/>
      <c r="F16420"/>
      <c r="G16420"/>
      <c r="H16420"/>
      <c r="I16420" s="489"/>
      <c r="J16420" s="1362"/>
      <c r="K16420" s="1362"/>
      <c r="L16420" s="1362"/>
    </row>
    <row r="16421" spans="1:12" x14ac:dyDescent="0.25">
      <c r="A16421">
        <v>55</v>
      </c>
      <c r="B16421" t="s">
        <v>19923</v>
      </c>
      <c r="C16421" t="s">
        <v>2537</v>
      </c>
      <c r="D16421" s="254">
        <v>5.35</v>
      </c>
      <c r="E16421"/>
      <c r="F16421"/>
      <c r="G16421"/>
      <c r="H16421"/>
      <c r="I16421" s="489"/>
      <c r="J16421" s="1362"/>
      <c r="K16421" s="1362"/>
      <c r="L16421" s="1362"/>
    </row>
    <row r="16422" spans="1:12" x14ac:dyDescent="0.25">
      <c r="A16422">
        <v>61</v>
      </c>
      <c r="B16422" t="s">
        <v>19924</v>
      </c>
      <c r="C16422" t="s">
        <v>2537</v>
      </c>
      <c r="D16422" s="254">
        <v>5.0599999999999996</v>
      </c>
      <c r="E16422"/>
      <c r="F16422"/>
      <c r="G16422"/>
      <c r="H16422"/>
      <c r="I16422" s="489"/>
      <c r="J16422" s="1362"/>
      <c r="K16422" s="1362"/>
      <c r="L16422" s="1362"/>
    </row>
    <row r="16423" spans="1:12" x14ac:dyDescent="0.25">
      <c r="A16423">
        <v>62</v>
      </c>
      <c r="B16423" t="s">
        <v>19925</v>
      </c>
      <c r="C16423" t="s">
        <v>2537</v>
      </c>
      <c r="D16423" s="254">
        <v>10.48</v>
      </c>
      <c r="E16423"/>
      <c r="F16423"/>
      <c r="G16423"/>
      <c r="H16423"/>
      <c r="I16423" s="489"/>
      <c r="J16423" s="1362"/>
      <c r="K16423" s="1362"/>
      <c r="L16423" s="1362"/>
    </row>
    <row r="16424" spans="1:12" x14ac:dyDescent="0.25">
      <c r="A16424">
        <v>77</v>
      </c>
      <c r="B16424" t="s">
        <v>19926</v>
      </c>
      <c r="C16424" t="s">
        <v>2537</v>
      </c>
      <c r="D16424" s="254">
        <v>1.44</v>
      </c>
      <c r="E16424"/>
      <c r="F16424"/>
      <c r="G16424"/>
      <c r="H16424"/>
      <c r="I16424" s="489"/>
      <c r="J16424" s="1362"/>
      <c r="K16424" s="1362"/>
      <c r="L16424" s="1362"/>
    </row>
    <row r="16425" spans="1:12" x14ac:dyDescent="0.25">
      <c r="A16425">
        <v>76</v>
      </c>
      <c r="B16425" t="s">
        <v>19927</v>
      </c>
      <c r="C16425" t="s">
        <v>2537</v>
      </c>
      <c r="D16425" s="254">
        <v>1.47</v>
      </c>
      <c r="E16425"/>
      <c r="F16425"/>
      <c r="G16425"/>
      <c r="H16425"/>
      <c r="I16425" s="489"/>
      <c r="J16425" s="1362"/>
      <c r="K16425" s="1362"/>
      <c r="L16425" s="1362"/>
    </row>
    <row r="16426" spans="1:12" x14ac:dyDescent="0.25">
      <c r="A16426">
        <v>67</v>
      </c>
      <c r="B16426" t="s">
        <v>19928</v>
      </c>
      <c r="C16426" t="s">
        <v>2537</v>
      </c>
      <c r="D16426" s="254">
        <v>14.14</v>
      </c>
      <c r="E16426"/>
      <c r="F16426"/>
      <c r="G16426"/>
      <c r="H16426"/>
      <c r="I16426" s="489"/>
      <c r="J16426" s="1362"/>
      <c r="K16426" s="1362"/>
      <c r="L16426" s="1362"/>
    </row>
    <row r="16427" spans="1:12" x14ac:dyDescent="0.25">
      <c r="A16427">
        <v>71</v>
      </c>
      <c r="B16427" t="s">
        <v>19929</v>
      </c>
      <c r="C16427" t="s">
        <v>2537</v>
      </c>
      <c r="D16427" s="254">
        <v>25.98</v>
      </c>
      <c r="E16427"/>
      <c r="F16427"/>
      <c r="G16427"/>
      <c r="H16427"/>
      <c r="I16427" s="489"/>
      <c r="J16427" s="1362"/>
      <c r="K16427" s="1362"/>
      <c r="L16427" s="1362"/>
    </row>
    <row r="16428" spans="1:12" x14ac:dyDescent="0.25">
      <c r="A16428">
        <v>73</v>
      </c>
      <c r="B16428" t="s">
        <v>19930</v>
      </c>
      <c r="C16428" t="s">
        <v>2537</v>
      </c>
      <c r="D16428" s="254">
        <v>19.399999999999999</v>
      </c>
      <c r="E16428"/>
      <c r="F16428"/>
      <c r="G16428"/>
      <c r="H16428"/>
      <c r="I16428" s="489"/>
      <c r="J16428" s="1362"/>
      <c r="K16428" s="1362"/>
      <c r="L16428" s="1362"/>
    </row>
    <row r="16429" spans="1:12" x14ac:dyDescent="0.25">
      <c r="A16429">
        <v>103</v>
      </c>
      <c r="B16429" t="s">
        <v>19931</v>
      </c>
      <c r="C16429" t="s">
        <v>2537</v>
      </c>
      <c r="D16429" s="254">
        <v>57.71</v>
      </c>
      <c r="E16429"/>
      <c r="F16429"/>
      <c r="G16429"/>
      <c r="H16429"/>
      <c r="I16429" s="489"/>
      <c r="J16429" s="1362"/>
      <c r="K16429" s="1362"/>
      <c r="L16429" s="1362"/>
    </row>
    <row r="16430" spans="1:12" x14ac:dyDescent="0.25">
      <c r="A16430">
        <v>107</v>
      </c>
      <c r="B16430" t="s">
        <v>19932</v>
      </c>
      <c r="C16430" t="s">
        <v>2537</v>
      </c>
      <c r="D16430" s="254">
        <v>0.9</v>
      </c>
      <c r="E16430"/>
      <c r="F16430"/>
      <c r="G16430"/>
      <c r="H16430"/>
      <c r="I16430" s="489"/>
      <c r="J16430" s="1362"/>
      <c r="K16430" s="1362"/>
      <c r="L16430" s="1362"/>
    </row>
    <row r="16431" spans="1:12" x14ac:dyDescent="0.25">
      <c r="A16431">
        <v>65</v>
      </c>
      <c r="B16431" t="s">
        <v>19933</v>
      </c>
      <c r="C16431" t="s">
        <v>2537</v>
      </c>
      <c r="D16431" s="254">
        <v>1.1100000000000001</v>
      </c>
      <c r="E16431"/>
      <c r="F16431"/>
      <c r="G16431"/>
      <c r="H16431"/>
      <c r="I16431" s="489"/>
      <c r="J16431" s="1362"/>
      <c r="K16431" s="1362"/>
      <c r="L16431" s="1362"/>
    </row>
    <row r="16432" spans="1:12" x14ac:dyDescent="0.25">
      <c r="A16432">
        <v>108</v>
      </c>
      <c r="B16432" t="s">
        <v>19934</v>
      </c>
      <c r="C16432" t="s">
        <v>2537</v>
      </c>
      <c r="D16432" s="254">
        <v>2.2999999999999998</v>
      </c>
      <c r="E16432"/>
      <c r="F16432"/>
      <c r="G16432"/>
      <c r="H16432"/>
      <c r="I16432" s="489"/>
      <c r="J16432" s="1362"/>
      <c r="K16432" s="1362"/>
      <c r="L16432" s="1362"/>
    </row>
    <row r="16433" spans="1:12" x14ac:dyDescent="0.25">
      <c r="A16433">
        <v>110</v>
      </c>
      <c r="B16433" t="s">
        <v>19935</v>
      </c>
      <c r="C16433" t="s">
        <v>2537</v>
      </c>
      <c r="D16433" s="254">
        <v>8.91</v>
      </c>
      <c r="E16433"/>
      <c r="F16433"/>
      <c r="G16433"/>
      <c r="H16433"/>
      <c r="I16433" s="489"/>
      <c r="J16433" s="1362"/>
      <c r="K16433" s="1362"/>
      <c r="L16433" s="1362"/>
    </row>
    <row r="16434" spans="1:12" x14ac:dyDescent="0.25">
      <c r="A16434">
        <v>109</v>
      </c>
      <c r="B16434" t="s">
        <v>19936</v>
      </c>
      <c r="C16434" t="s">
        <v>2537</v>
      </c>
      <c r="D16434" s="254">
        <v>4.3899999999999997</v>
      </c>
      <c r="E16434"/>
      <c r="F16434"/>
      <c r="G16434"/>
      <c r="H16434"/>
      <c r="I16434" s="489"/>
      <c r="J16434" s="1362"/>
      <c r="K16434" s="1362"/>
      <c r="L16434" s="1362"/>
    </row>
    <row r="16435" spans="1:12" x14ac:dyDescent="0.25">
      <c r="A16435">
        <v>111</v>
      </c>
      <c r="B16435" t="s">
        <v>19937</v>
      </c>
      <c r="C16435" t="s">
        <v>2537</v>
      </c>
      <c r="D16435" s="254">
        <v>10.27</v>
      </c>
      <c r="E16435"/>
      <c r="F16435"/>
      <c r="G16435"/>
      <c r="H16435"/>
      <c r="I16435" s="489"/>
      <c r="J16435" s="1362"/>
      <c r="K16435" s="1362"/>
      <c r="L16435" s="1362"/>
    </row>
    <row r="16436" spans="1:12" x14ac:dyDescent="0.25">
      <c r="A16436">
        <v>112</v>
      </c>
      <c r="B16436" t="s">
        <v>19938</v>
      </c>
      <c r="C16436" t="s">
        <v>2537</v>
      </c>
      <c r="D16436" s="254">
        <v>5.59</v>
      </c>
      <c r="E16436"/>
      <c r="F16436"/>
      <c r="G16436"/>
      <c r="H16436"/>
      <c r="I16436" s="489"/>
      <c r="J16436" s="1362"/>
      <c r="K16436" s="1362"/>
      <c r="L16436" s="1362"/>
    </row>
    <row r="16437" spans="1:12" x14ac:dyDescent="0.25">
      <c r="A16437">
        <v>113</v>
      </c>
      <c r="B16437" t="s">
        <v>19939</v>
      </c>
      <c r="C16437" t="s">
        <v>2537</v>
      </c>
      <c r="D16437" s="254">
        <v>15.18</v>
      </c>
      <c r="E16437"/>
      <c r="F16437"/>
      <c r="G16437"/>
      <c r="H16437"/>
      <c r="I16437" s="489"/>
      <c r="J16437" s="1362"/>
      <c r="K16437" s="1362"/>
      <c r="L16437" s="1362"/>
    </row>
    <row r="16438" spans="1:12" x14ac:dyDescent="0.25">
      <c r="A16438">
        <v>104</v>
      </c>
      <c r="B16438" t="s">
        <v>19940</v>
      </c>
      <c r="C16438" t="s">
        <v>2537</v>
      </c>
      <c r="D16438" s="254">
        <v>22.08</v>
      </c>
      <c r="E16438"/>
      <c r="F16438"/>
      <c r="G16438"/>
      <c r="H16438"/>
      <c r="I16438" s="489"/>
      <c r="J16438" s="1362"/>
      <c r="K16438" s="1362"/>
      <c r="L16438" s="1362"/>
    </row>
    <row r="16439" spans="1:12" x14ac:dyDescent="0.25">
      <c r="A16439">
        <v>102</v>
      </c>
      <c r="B16439" t="s">
        <v>19941</v>
      </c>
      <c r="C16439" t="s">
        <v>2537</v>
      </c>
      <c r="D16439" s="254">
        <v>36.24</v>
      </c>
      <c r="E16439"/>
      <c r="F16439"/>
      <c r="G16439"/>
      <c r="H16439"/>
      <c r="I16439" s="489"/>
      <c r="J16439" s="1362"/>
      <c r="K16439" s="1362"/>
      <c r="L16439" s="1362"/>
    </row>
    <row r="16440" spans="1:12" x14ac:dyDescent="0.25">
      <c r="A16440">
        <v>95</v>
      </c>
      <c r="B16440" t="s">
        <v>19942</v>
      </c>
      <c r="C16440" t="s">
        <v>2537</v>
      </c>
      <c r="D16440" s="254">
        <v>12.27</v>
      </c>
      <c r="E16440"/>
      <c r="F16440"/>
      <c r="G16440"/>
      <c r="H16440"/>
      <c r="I16440" s="489"/>
      <c r="J16440" s="1362"/>
      <c r="K16440" s="1362"/>
      <c r="L16440" s="1362"/>
    </row>
    <row r="16441" spans="1:12" x14ac:dyDescent="0.25">
      <c r="A16441">
        <v>96</v>
      </c>
      <c r="B16441" t="s">
        <v>19943</v>
      </c>
      <c r="C16441" t="s">
        <v>2537</v>
      </c>
      <c r="D16441" s="254">
        <v>14.11</v>
      </c>
      <c r="E16441"/>
      <c r="F16441"/>
      <c r="G16441"/>
      <c r="H16441"/>
      <c r="I16441" s="489"/>
      <c r="J16441" s="1362"/>
      <c r="K16441" s="1362"/>
      <c r="L16441" s="1362"/>
    </row>
    <row r="16442" spans="1:12" x14ac:dyDescent="0.25">
      <c r="A16442">
        <v>97</v>
      </c>
      <c r="B16442" t="s">
        <v>19944</v>
      </c>
      <c r="C16442" t="s">
        <v>2537</v>
      </c>
      <c r="D16442" s="254">
        <v>18.32</v>
      </c>
      <c r="E16442"/>
      <c r="F16442"/>
      <c r="G16442"/>
      <c r="H16442"/>
      <c r="I16442" s="489"/>
      <c r="J16442" s="1362"/>
      <c r="K16442" s="1362"/>
      <c r="L16442" s="1362"/>
    </row>
    <row r="16443" spans="1:12" x14ac:dyDescent="0.25">
      <c r="A16443">
        <v>98</v>
      </c>
      <c r="B16443" t="s">
        <v>19945</v>
      </c>
      <c r="C16443" t="s">
        <v>2537</v>
      </c>
      <c r="D16443" s="254">
        <v>24.69</v>
      </c>
      <c r="E16443"/>
      <c r="F16443"/>
      <c r="G16443"/>
      <c r="H16443"/>
      <c r="I16443" s="489"/>
      <c r="J16443" s="1362"/>
      <c r="K16443" s="1362"/>
      <c r="L16443" s="1362"/>
    </row>
    <row r="16444" spans="1:12" x14ac:dyDescent="0.25">
      <c r="A16444">
        <v>99</v>
      </c>
      <c r="B16444" t="s">
        <v>19946</v>
      </c>
      <c r="C16444" t="s">
        <v>2537</v>
      </c>
      <c r="D16444" s="254">
        <v>29.95</v>
      </c>
      <c r="E16444"/>
      <c r="F16444"/>
      <c r="G16444"/>
      <c r="H16444"/>
      <c r="I16444" s="489"/>
      <c r="J16444" s="1362"/>
      <c r="K16444" s="1362"/>
      <c r="L16444" s="1362"/>
    </row>
    <row r="16445" spans="1:12" x14ac:dyDescent="0.25">
      <c r="A16445">
        <v>100</v>
      </c>
      <c r="B16445" t="s">
        <v>19947</v>
      </c>
      <c r="C16445" t="s">
        <v>2537</v>
      </c>
      <c r="D16445" s="254">
        <v>41.78</v>
      </c>
      <c r="E16445"/>
      <c r="F16445"/>
      <c r="G16445"/>
      <c r="H16445"/>
      <c r="I16445" s="489"/>
      <c r="J16445" s="1362"/>
      <c r="K16445" s="1362"/>
      <c r="L16445" s="1362"/>
    </row>
    <row r="16446" spans="1:12" x14ac:dyDescent="0.25">
      <c r="A16446">
        <v>75</v>
      </c>
      <c r="B16446" t="s">
        <v>19948</v>
      </c>
      <c r="C16446" t="s">
        <v>2537</v>
      </c>
      <c r="D16446" s="254">
        <v>435.44</v>
      </c>
      <c r="E16446"/>
      <c r="F16446"/>
      <c r="G16446"/>
      <c r="H16446"/>
      <c r="I16446" s="489"/>
      <c r="J16446" s="1362"/>
      <c r="K16446" s="1362"/>
      <c r="L16446" s="1362"/>
    </row>
    <row r="16447" spans="1:12" x14ac:dyDescent="0.25">
      <c r="A16447">
        <v>114</v>
      </c>
      <c r="B16447" t="s">
        <v>19949</v>
      </c>
      <c r="C16447" t="s">
        <v>2537</v>
      </c>
      <c r="D16447" s="254">
        <v>15.87</v>
      </c>
      <c r="E16447"/>
      <c r="F16447"/>
      <c r="G16447"/>
      <c r="H16447"/>
      <c r="I16447" s="489"/>
      <c r="J16447" s="1362"/>
      <c r="K16447" s="1362"/>
      <c r="L16447" s="1362"/>
    </row>
    <row r="16448" spans="1:12" x14ac:dyDescent="0.25">
      <c r="A16448">
        <v>68</v>
      </c>
      <c r="B16448" t="s">
        <v>19950</v>
      </c>
      <c r="C16448" t="s">
        <v>2537</v>
      </c>
      <c r="D16448" s="254">
        <v>24.26</v>
      </c>
      <c r="E16448"/>
      <c r="F16448"/>
      <c r="G16448"/>
      <c r="H16448"/>
      <c r="I16448" s="489"/>
      <c r="J16448" s="1362"/>
      <c r="K16448" s="1362"/>
      <c r="L16448" s="1362"/>
    </row>
    <row r="16449" spans="1:12" x14ac:dyDescent="0.25">
      <c r="A16449">
        <v>86</v>
      </c>
      <c r="B16449" t="s">
        <v>19951</v>
      </c>
      <c r="C16449" t="s">
        <v>2537</v>
      </c>
      <c r="D16449" s="254">
        <v>45.1</v>
      </c>
      <c r="E16449"/>
      <c r="F16449"/>
      <c r="G16449"/>
      <c r="H16449"/>
      <c r="I16449" s="489"/>
      <c r="J16449" s="1362"/>
      <c r="K16449" s="1362"/>
      <c r="L16449" s="1362"/>
    </row>
    <row r="16450" spans="1:12" x14ac:dyDescent="0.25">
      <c r="A16450">
        <v>66</v>
      </c>
      <c r="B16450" t="s">
        <v>19952</v>
      </c>
      <c r="C16450" t="s">
        <v>2537</v>
      </c>
      <c r="D16450" s="254">
        <v>45.27</v>
      </c>
      <c r="E16450"/>
      <c r="F16450"/>
      <c r="G16450"/>
      <c r="H16450"/>
      <c r="I16450" s="489"/>
      <c r="J16450" s="1362"/>
      <c r="K16450" s="1362"/>
      <c r="L16450" s="1362"/>
    </row>
    <row r="16451" spans="1:12" x14ac:dyDescent="0.25">
      <c r="A16451">
        <v>69</v>
      </c>
      <c r="B16451" t="s">
        <v>19953</v>
      </c>
      <c r="C16451" t="s">
        <v>2537</v>
      </c>
      <c r="D16451" s="254">
        <v>69.19</v>
      </c>
      <c r="E16451"/>
      <c r="F16451"/>
      <c r="G16451"/>
      <c r="H16451"/>
      <c r="I16451" s="489"/>
      <c r="J16451" s="1362"/>
      <c r="K16451" s="1362"/>
      <c r="L16451" s="1362"/>
    </row>
    <row r="16452" spans="1:12" x14ac:dyDescent="0.25">
      <c r="A16452">
        <v>83</v>
      </c>
      <c r="B16452" t="s">
        <v>19954</v>
      </c>
      <c r="C16452" t="s">
        <v>2537</v>
      </c>
      <c r="D16452" s="254">
        <v>220.98</v>
      </c>
      <c r="E16452"/>
      <c r="F16452"/>
      <c r="G16452"/>
      <c r="H16452"/>
      <c r="I16452" s="489"/>
      <c r="J16452" s="1362"/>
      <c r="K16452" s="1362"/>
      <c r="L16452" s="1362"/>
    </row>
    <row r="16453" spans="1:12" x14ac:dyDescent="0.25">
      <c r="A16453">
        <v>74</v>
      </c>
      <c r="B16453" t="s">
        <v>19955</v>
      </c>
      <c r="C16453" t="s">
        <v>2537</v>
      </c>
      <c r="D16453" s="254">
        <v>308.51</v>
      </c>
      <c r="E16453"/>
      <c r="F16453"/>
      <c r="G16453"/>
      <c r="H16453"/>
      <c r="I16453" s="489"/>
      <c r="J16453" s="1362"/>
      <c r="K16453" s="1362"/>
      <c r="L16453" s="1362"/>
    </row>
    <row r="16454" spans="1:12" x14ac:dyDescent="0.25">
      <c r="A16454">
        <v>106</v>
      </c>
      <c r="B16454" t="s">
        <v>19956</v>
      </c>
      <c r="C16454" t="s">
        <v>2537</v>
      </c>
      <c r="D16454" s="254">
        <v>468.68</v>
      </c>
      <c r="E16454"/>
      <c r="F16454"/>
      <c r="G16454"/>
      <c r="H16454"/>
      <c r="I16454" s="489"/>
      <c r="J16454" s="1362"/>
      <c r="K16454" s="1362"/>
      <c r="L16454" s="1362"/>
    </row>
    <row r="16455" spans="1:12" x14ac:dyDescent="0.25">
      <c r="A16455">
        <v>87</v>
      </c>
      <c r="B16455" t="s">
        <v>19957</v>
      </c>
      <c r="C16455" t="s">
        <v>2537</v>
      </c>
      <c r="D16455" s="254">
        <v>22.28</v>
      </c>
      <c r="E16455"/>
      <c r="F16455"/>
      <c r="G16455"/>
      <c r="H16455"/>
      <c r="I16455" s="489"/>
      <c r="J16455" s="1362"/>
      <c r="K16455" s="1362"/>
      <c r="L16455" s="1362"/>
    </row>
    <row r="16456" spans="1:12" x14ac:dyDescent="0.25">
      <c r="A16456">
        <v>88</v>
      </c>
      <c r="B16456" t="s">
        <v>19958</v>
      </c>
      <c r="C16456" t="s">
        <v>2537</v>
      </c>
      <c r="D16456" s="254">
        <v>24.86</v>
      </c>
      <c r="E16456"/>
      <c r="F16456"/>
      <c r="G16456"/>
      <c r="H16456"/>
      <c r="I16456" s="489"/>
      <c r="J16456" s="1362"/>
      <c r="K16456" s="1362"/>
      <c r="L16456" s="1362"/>
    </row>
    <row r="16457" spans="1:12" x14ac:dyDescent="0.25">
      <c r="A16457">
        <v>89</v>
      </c>
      <c r="B16457" t="s">
        <v>19959</v>
      </c>
      <c r="C16457" t="s">
        <v>2537</v>
      </c>
      <c r="D16457" s="254">
        <v>36.76</v>
      </c>
      <c r="E16457"/>
      <c r="F16457"/>
      <c r="G16457"/>
      <c r="H16457"/>
      <c r="I16457" s="489"/>
      <c r="J16457" s="1362"/>
      <c r="K16457" s="1362"/>
      <c r="L16457" s="1362"/>
    </row>
    <row r="16458" spans="1:12" x14ac:dyDescent="0.25">
      <c r="A16458">
        <v>90</v>
      </c>
      <c r="B16458" t="s">
        <v>19960</v>
      </c>
      <c r="C16458" t="s">
        <v>2537</v>
      </c>
      <c r="D16458" s="254">
        <v>42.12</v>
      </c>
      <c r="E16458"/>
      <c r="F16458"/>
      <c r="G16458"/>
      <c r="H16458"/>
      <c r="I16458" s="489"/>
      <c r="J16458" s="1362"/>
      <c r="K16458" s="1362"/>
      <c r="L16458" s="1362"/>
    </row>
    <row r="16459" spans="1:12" x14ac:dyDescent="0.25">
      <c r="A16459">
        <v>81</v>
      </c>
      <c r="B16459" t="s">
        <v>19961</v>
      </c>
      <c r="C16459" t="s">
        <v>2537</v>
      </c>
      <c r="D16459" s="254">
        <v>72.040000000000006</v>
      </c>
      <c r="E16459"/>
      <c r="F16459"/>
      <c r="G16459"/>
      <c r="H16459"/>
      <c r="I16459" s="489"/>
      <c r="J16459" s="1362"/>
      <c r="K16459" s="1362"/>
      <c r="L16459" s="1362"/>
    </row>
    <row r="16460" spans="1:12" x14ac:dyDescent="0.25">
      <c r="A16460">
        <v>82</v>
      </c>
      <c r="B16460" t="s">
        <v>19962</v>
      </c>
      <c r="C16460" t="s">
        <v>2537</v>
      </c>
      <c r="D16460" s="254">
        <v>279.64999999999998</v>
      </c>
      <c r="E16460"/>
      <c r="F16460"/>
      <c r="G16460"/>
      <c r="H16460"/>
      <c r="I16460" s="489"/>
      <c r="J16460" s="1362"/>
      <c r="K16460" s="1362"/>
      <c r="L16460" s="1362"/>
    </row>
    <row r="16461" spans="1:12" x14ac:dyDescent="0.25">
      <c r="A16461">
        <v>105</v>
      </c>
      <c r="B16461" t="s">
        <v>19963</v>
      </c>
      <c r="C16461" t="s">
        <v>2537</v>
      </c>
      <c r="D16461" s="254">
        <v>327.39999999999998</v>
      </c>
      <c r="E16461"/>
      <c r="F16461"/>
      <c r="G16461"/>
      <c r="H16461"/>
      <c r="I16461" s="489"/>
      <c r="J16461" s="1362"/>
      <c r="K16461" s="1362"/>
      <c r="L16461" s="1362"/>
    </row>
    <row r="16462" spans="1:12" x14ac:dyDescent="0.25">
      <c r="A16462">
        <v>60</v>
      </c>
      <c r="B16462" t="s">
        <v>19964</v>
      </c>
      <c r="C16462" t="s">
        <v>2537</v>
      </c>
      <c r="D16462" s="254">
        <v>6.94</v>
      </c>
      <c r="E16462"/>
      <c r="F16462"/>
      <c r="G16462"/>
      <c r="H16462"/>
      <c r="I16462" s="489"/>
      <c r="J16462" s="1362"/>
      <c r="K16462" s="1362"/>
      <c r="L16462" s="1362"/>
    </row>
    <row r="16463" spans="1:12" x14ac:dyDescent="0.25">
      <c r="A16463">
        <v>72</v>
      </c>
      <c r="B16463" t="s">
        <v>19965</v>
      </c>
      <c r="C16463" t="s">
        <v>2537</v>
      </c>
      <c r="D16463" s="254">
        <v>44.04</v>
      </c>
      <c r="E16463"/>
      <c r="F16463"/>
      <c r="G16463"/>
      <c r="H16463"/>
      <c r="I16463" s="489"/>
      <c r="J16463" s="1362"/>
      <c r="K16463" s="1362"/>
      <c r="L16463" s="1362"/>
    </row>
    <row r="16464" spans="1:12" x14ac:dyDescent="0.25">
      <c r="A16464">
        <v>70</v>
      </c>
      <c r="B16464" t="s">
        <v>19966</v>
      </c>
      <c r="C16464" t="s">
        <v>2537</v>
      </c>
      <c r="D16464" s="254">
        <v>36.83</v>
      </c>
      <c r="E16464"/>
      <c r="F16464"/>
      <c r="G16464"/>
      <c r="H16464"/>
      <c r="I16464" s="489"/>
      <c r="J16464" s="1362"/>
      <c r="K16464" s="1362"/>
      <c r="L16464" s="1362"/>
    </row>
    <row r="16465" spans="1:12" x14ac:dyDescent="0.25">
      <c r="A16465">
        <v>85</v>
      </c>
      <c r="B16465" t="s">
        <v>19967</v>
      </c>
      <c r="C16465" t="s">
        <v>2537</v>
      </c>
      <c r="D16465" s="254">
        <v>53.45</v>
      </c>
      <c r="E16465"/>
      <c r="F16465"/>
      <c r="G16465"/>
      <c r="H16465"/>
      <c r="I16465" s="489"/>
      <c r="J16465" s="1362"/>
      <c r="K16465" s="1362"/>
      <c r="L16465" s="1362"/>
    </row>
    <row r="16466" spans="1:12" x14ac:dyDescent="0.25">
      <c r="A16466">
        <v>84</v>
      </c>
      <c r="B16466" t="s">
        <v>19968</v>
      </c>
      <c r="C16466" t="s">
        <v>2537</v>
      </c>
      <c r="D16466" s="254">
        <v>0.62</v>
      </c>
      <c r="E16466"/>
      <c r="F16466"/>
      <c r="G16466"/>
      <c r="H16466"/>
      <c r="I16466" s="489"/>
      <c r="J16466" s="1362"/>
      <c r="K16466" s="1362"/>
      <c r="L16466" s="1362"/>
    </row>
    <row r="16467" spans="1:12" x14ac:dyDescent="0.25">
      <c r="A16467">
        <v>37997</v>
      </c>
      <c r="B16467" t="s">
        <v>19969</v>
      </c>
      <c r="C16467" t="s">
        <v>2537</v>
      </c>
      <c r="D16467" s="254">
        <v>5.47</v>
      </c>
      <c r="E16467"/>
      <c r="F16467"/>
      <c r="G16467"/>
      <c r="H16467"/>
      <c r="I16467" s="489"/>
      <c r="J16467" s="1362"/>
      <c r="K16467" s="1362"/>
      <c r="L16467" s="1362"/>
    </row>
    <row r="16468" spans="1:12" x14ac:dyDescent="0.25">
      <c r="A16468">
        <v>37998</v>
      </c>
      <c r="B16468" t="s">
        <v>19970</v>
      </c>
      <c r="C16468" t="s">
        <v>2537</v>
      </c>
      <c r="D16468" s="254">
        <v>5.67</v>
      </c>
      <c r="E16468"/>
      <c r="F16468"/>
      <c r="G16468"/>
      <c r="H16468"/>
      <c r="I16468" s="489"/>
      <c r="J16468" s="1362"/>
      <c r="K16468" s="1362"/>
      <c r="L16468" s="1362"/>
    </row>
    <row r="16469" spans="1:12" x14ac:dyDescent="0.25">
      <c r="A16469">
        <v>10899</v>
      </c>
      <c r="B16469" t="s">
        <v>19971</v>
      </c>
      <c r="C16469" t="s">
        <v>2537</v>
      </c>
      <c r="D16469" s="254">
        <v>48.16</v>
      </c>
      <c r="E16469"/>
      <c r="F16469"/>
      <c r="G16469"/>
      <c r="H16469"/>
      <c r="I16469" s="489"/>
      <c r="J16469" s="1362"/>
      <c r="K16469" s="1362"/>
      <c r="L16469" s="1362"/>
    </row>
    <row r="16470" spans="1:12" x14ac:dyDescent="0.25">
      <c r="A16470">
        <v>10900</v>
      </c>
      <c r="B16470" t="s">
        <v>19972</v>
      </c>
      <c r="C16470" t="s">
        <v>2537</v>
      </c>
      <c r="D16470" s="254">
        <v>37.69</v>
      </c>
      <c r="E16470"/>
      <c r="F16470"/>
      <c r="G16470"/>
      <c r="H16470"/>
      <c r="I16470" s="489"/>
      <c r="J16470" s="1362"/>
      <c r="K16470" s="1362"/>
      <c r="L16470" s="1362"/>
    </row>
    <row r="16471" spans="1:12" x14ac:dyDescent="0.25">
      <c r="A16471">
        <v>46</v>
      </c>
      <c r="B16471" t="s">
        <v>19973</v>
      </c>
      <c r="C16471" t="s">
        <v>2537</v>
      </c>
      <c r="D16471" s="254">
        <v>55.05</v>
      </c>
      <c r="E16471"/>
      <c r="F16471"/>
      <c r="G16471"/>
      <c r="H16471"/>
      <c r="I16471" s="489"/>
      <c r="J16471" s="1362"/>
      <c r="K16471" s="1362"/>
      <c r="L16471" s="1362"/>
    </row>
    <row r="16472" spans="1:12" x14ac:dyDescent="0.25">
      <c r="A16472">
        <v>51</v>
      </c>
      <c r="B16472" t="s">
        <v>19974</v>
      </c>
      <c r="C16472" t="s">
        <v>2537</v>
      </c>
      <c r="D16472" s="254">
        <v>151.87</v>
      </c>
      <c r="E16472"/>
      <c r="F16472"/>
      <c r="G16472"/>
      <c r="H16472"/>
      <c r="I16472" s="489"/>
      <c r="J16472" s="1362"/>
      <c r="K16472" s="1362"/>
      <c r="L16472" s="1362"/>
    </row>
    <row r="16473" spans="1:12" x14ac:dyDescent="0.25">
      <c r="A16473">
        <v>12863</v>
      </c>
      <c r="B16473" t="s">
        <v>19975</v>
      </c>
      <c r="C16473" t="s">
        <v>2537</v>
      </c>
      <c r="D16473" s="254">
        <v>34.979999999999997</v>
      </c>
      <c r="E16473"/>
      <c r="F16473"/>
      <c r="G16473"/>
      <c r="H16473"/>
      <c r="I16473" s="489"/>
      <c r="J16473" s="1362"/>
      <c r="K16473" s="1362"/>
      <c r="L16473" s="1362"/>
    </row>
    <row r="16474" spans="1:12" x14ac:dyDescent="0.25">
      <c r="A16474">
        <v>50</v>
      </c>
      <c r="B16474" t="s">
        <v>19976</v>
      </c>
      <c r="C16474" t="s">
        <v>2537</v>
      </c>
      <c r="D16474" s="254">
        <v>79.31</v>
      </c>
      <c r="E16474"/>
      <c r="F16474"/>
      <c r="G16474"/>
      <c r="H16474"/>
      <c r="I16474" s="489"/>
      <c r="J16474" s="1362"/>
      <c r="K16474" s="1362"/>
      <c r="L16474" s="1362"/>
    </row>
    <row r="16475" spans="1:12" x14ac:dyDescent="0.25">
      <c r="A16475">
        <v>47</v>
      </c>
      <c r="B16475" t="s">
        <v>19977</v>
      </c>
      <c r="C16475" t="s">
        <v>2537</v>
      </c>
      <c r="D16475" s="254">
        <v>94.13</v>
      </c>
      <c r="E16475"/>
      <c r="F16475"/>
      <c r="G16475"/>
      <c r="H16475"/>
      <c r="I16475" s="489"/>
      <c r="J16475" s="1362"/>
      <c r="K16475" s="1362"/>
      <c r="L16475" s="1362"/>
    </row>
    <row r="16476" spans="1:12" x14ac:dyDescent="0.25">
      <c r="A16476">
        <v>48</v>
      </c>
      <c r="B16476" t="s">
        <v>19978</v>
      </c>
      <c r="C16476" t="s">
        <v>2537</v>
      </c>
      <c r="D16476" s="254">
        <v>24.55</v>
      </c>
      <c r="E16476"/>
      <c r="F16476"/>
      <c r="G16476"/>
      <c r="H16476"/>
      <c r="I16476" s="489"/>
      <c r="J16476" s="1362"/>
      <c r="K16476" s="1362"/>
      <c r="L16476" s="1362"/>
    </row>
    <row r="16477" spans="1:12" x14ac:dyDescent="0.25">
      <c r="A16477">
        <v>52</v>
      </c>
      <c r="B16477" t="s">
        <v>19979</v>
      </c>
      <c r="C16477" t="s">
        <v>2537</v>
      </c>
      <c r="D16477" s="254">
        <v>18.649999999999999</v>
      </c>
      <c r="E16477"/>
      <c r="F16477"/>
      <c r="G16477"/>
      <c r="H16477"/>
      <c r="I16477" s="489"/>
      <c r="J16477" s="1362"/>
      <c r="K16477" s="1362"/>
      <c r="L16477" s="1362"/>
    </row>
    <row r="16478" spans="1:12" x14ac:dyDescent="0.25">
      <c r="A16478">
        <v>43</v>
      </c>
      <c r="B16478" t="s">
        <v>19980</v>
      </c>
      <c r="C16478" t="s">
        <v>2537</v>
      </c>
      <c r="D16478" s="254">
        <v>62.96</v>
      </c>
      <c r="E16478"/>
      <c r="F16478"/>
      <c r="G16478"/>
      <c r="H16478"/>
      <c r="I16478" s="489"/>
      <c r="J16478" s="1362"/>
      <c r="K16478" s="1362"/>
      <c r="L16478" s="1362"/>
    </row>
    <row r="16479" spans="1:12" x14ac:dyDescent="0.25">
      <c r="A16479">
        <v>39719</v>
      </c>
      <c r="B16479" t="s">
        <v>19981</v>
      </c>
      <c r="C16479" t="s">
        <v>2543</v>
      </c>
      <c r="D16479" s="254">
        <v>188.35</v>
      </c>
      <c r="E16479"/>
      <c r="F16479"/>
      <c r="G16479"/>
      <c r="H16479"/>
      <c r="I16479" s="489"/>
      <c r="J16479" s="1362"/>
      <c r="K16479" s="1362"/>
      <c r="L16479" s="1362"/>
    </row>
    <row r="16480" spans="1:12" x14ac:dyDescent="0.25">
      <c r="A16480">
        <v>3410</v>
      </c>
      <c r="B16480" t="s">
        <v>19982</v>
      </c>
      <c r="C16480" t="s">
        <v>2542</v>
      </c>
      <c r="D16480" s="254">
        <v>42.37</v>
      </c>
      <c r="E16480"/>
      <c r="F16480"/>
      <c r="G16480"/>
      <c r="H16480"/>
      <c r="I16480" s="489"/>
      <c r="J16480" s="1362"/>
      <c r="K16480" s="1362"/>
      <c r="L16480" s="1362"/>
    </row>
    <row r="16481" spans="1:12" x14ac:dyDescent="0.25">
      <c r="A16481">
        <v>4791</v>
      </c>
      <c r="B16481" t="s">
        <v>19983</v>
      </c>
      <c r="C16481" t="s">
        <v>2542</v>
      </c>
      <c r="D16481" s="254">
        <v>30.63</v>
      </c>
      <c r="E16481"/>
      <c r="F16481"/>
      <c r="G16481"/>
      <c r="H16481"/>
      <c r="I16481" s="489"/>
      <c r="J16481" s="1362"/>
      <c r="K16481" s="1362"/>
      <c r="L16481" s="1362"/>
    </row>
    <row r="16482" spans="1:12" x14ac:dyDescent="0.25">
      <c r="A16482">
        <v>157</v>
      </c>
      <c r="B16482" t="s">
        <v>19984</v>
      </c>
      <c r="C16482" t="s">
        <v>2542</v>
      </c>
      <c r="D16482" s="254">
        <v>137.59</v>
      </c>
      <c r="E16482"/>
      <c r="F16482"/>
      <c r="G16482"/>
      <c r="H16482"/>
      <c r="I16482" s="489"/>
      <c r="J16482" s="1362"/>
      <c r="K16482" s="1362"/>
      <c r="L16482" s="1362"/>
    </row>
    <row r="16483" spans="1:12" x14ac:dyDescent="0.25">
      <c r="A16483">
        <v>156</v>
      </c>
      <c r="B16483" t="s">
        <v>19985</v>
      </c>
      <c r="C16483" t="s">
        <v>2542</v>
      </c>
      <c r="D16483" s="254">
        <v>48.99</v>
      </c>
      <c r="E16483"/>
      <c r="F16483"/>
      <c r="G16483"/>
      <c r="H16483"/>
      <c r="I16483" s="489"/>
      <c r="J16483" s="1362"/>
      <c r="K16483" s="1362"/>
      <c r="L16483" s="1362"/>
    </row>
    <row r="16484" spans="1:12" x14ac:dyDescent="0.25">
      <c r="A16484">
        <v>131</v>
      </c>
      <c r="B16484" t="s">
        <v>19986</v>
      </c>
      <c r="C16484" t="s">
        <v>2542</v>
      </c>
      <c r="D16484" s="254">
        <v>41.89</v>
      </c>
      <c r="E16484"/>
      <c r="F16484"/>
      <c r="G16484"/>
      <c r="H16484"/>
      <c r="I16484" s="489"/>
      <c r="J16484" s="1362"/>
      <c r="K16484" s="1362"/>
      <c r="L16484" s="1362"/>
    </row>
    <row r="16485" spans="1:12" x14ac:dyDescent="0.25">
      <c r="A16485">
        <v>21114</v>
      </c>
      <c r="B16485" t="s">
        <v>19987</v>
      </c>
      <c r="C16485" t="s">
        <v>2537</v>
      </c>
      <c r="D16485" s="254">
        <v>37.130000000000003</v>
      </c>
      <c r="E16485"/>
      <c r="F16485"/>
      <c r="G16485"/>
      <c r="H16485"/>
      <c r="I16485" s="489"/>
      <c r="J16485" s="1362"/>
      <c r="K16485" s="1362"/>
      <c r="L16485" s="1362"/>
    </row>
    <row r="16486" spans="1:12" x14ac:dyDescent="0.25">
      <c r="A16486">
        <v>119</v>
      </c>
      <c r="B16486" t="s">
        <v>19988</v>
      </c>
      <c r="C16486" t="s">
        <v>2537</v>
      </c>
      <c r="D16486" s="254">
        <v>9.41</v>
      </c>
      <c r="E16486"/>
      <c r="F16486"/>
      <c r="G16486"/>
      <c r="H16486"/>
      <c r="I16486" s="489"/>
      <c r="J16486" s="1362"/>
      <c r="K16486" s="1362"/>
      <c r="L16486" s="1362"/>
    </row>
    <row r="16487" spans="1:12" x14ac:dyDescent="0.25">
      <c r="A16487">
        <v>122</v>
      </c>
      <c r="B16487" t="s">
        <v>19989</v>
      </c>
      <c r="C16487" t="s">
        <v>2537</v>
      </c>
      <c r="D16487" s="254">
        <v>72.400000000000006</v>
      </c>
      <c r="E16487"/>
      <c r="F16487"/>
      <c r="G16487"/>
      <c r="H16487"/>
      <c r="I16487" s="489"/>
      <c r="J16487" s="1362"/>
      <c r="K16487" s="1362"/>
      <c r="L16487" s="1362"/>
    </row>
    <row r="16488" spans="1:12" x14ac:dyDescent="0.25">
      <c r="A16488">
        <v>20080</v>
      </c>
      <c r="B16488" t="s">
        <v>19990</v>
      </c>
      <c r="C16488" t="s">
        <v>2537</v>
      </c>
      <c r="D16488" s="254">
        <v>23.63</v>
      </c>
      <c r="E16488"/>
      <c r="F16488"/>
      <c r="G16488"/>
      <c r="H16488"/>
      <c r="I16488" s="489"/>
      <c r="J16488" s="1362"/>
      <c r="K16488" s="1362"/>
      <c r="L16488" s="1362"/>
    </row>
    <row r="16489" spans="1:12" x14ac:dyDescent="0.25">
      <c r="A16489">
        <v>124</v>
      </c>
      <c r="B16489" t="s">
        <v>19991</v>
      </c>
      <c r="C16489" t="s">
        <v>2543</v>
      </c>
      <c r="D16489" s="254">
        <v>16.149999999999999</v>
      </c>
      <c r="E16489"/>
      <c r="F16489"/>
      <c r="G16489"/>
      <c r="H16489"/>
      <c r="I16489" s="489"/>
      <c r="J16489" s="1362"/>
      <c r="K16489" s="1362"/>
      <c r="L16489" s="1362"/>
    </row>
    <row r="16490" spans="1:12" x14ac:dyDescent="0.25">
      <c r="A16490">
        <v>7334</v>
      </c>
      <c r="B16490" t="s">
        <v>19992</v>
      </c>
      <c r="C16490" t="s">
        <v>2543</v>
      </c>
      <c r="D16490" s="254">
        <v>13.95</v>
      </c>
      <c r="E16490"/>
      <c r="F16490"/>
      <c r="G16490"/>
      <c r="H16490"/>
      <c r="I16490" s="489"/>
      <c r="J16490" s="1362"/>
      <c r="K16490" s="1362"/>
      <c r="L16490" s="1362"/>
    </row>
    <row r="16491" spans="1:12" x14ac:dyDescent="0.25">
      <c r="A16491">
        <v>123</v>
      </c>
      <c r="B16491" t="s">
        <v>19993</v>
      </c>
      <c r="C16491" t="s">
        <v>2543</v>
      </c>
      <c r="D16491" s="254">
        <v>6.61</v>
      </c>
      <c r="E16491"/>
      <c r="F16491"/>
      <c r="G16491"/>
      <c r="H16491"/>
      <c r="I16491" s="489"/>
      <c r="J16491" s="1362"/>
      <c r="K16491" s="1362"/>
      <c r="L16491" s="1362"/>
    </row>
    <row r="16492" spans="1:12" x14ac:dyDescent="0.25">
      <c r="A16492">
        <v>127</v>
      </c>
      <c r="B16492" t="s">
        <v>19994</v>
      </c>
      <c r="C16492" t="s">
        <v>2543</v>
      </c>
      <c r="D16492" s="254">
        <v>15.78</v>
      </c>
      <c r="E16492"/>
      <c r="F16492"/>
      <c r="G16492"/>
      <c r="H16492"/>
      <c r="I16492" s="489"/>
      <c r="J16492" s="1362"/>
      <c r="K16492" s="1362"/>
      <c r="L16492" s="1362"/>
    </row>
    <row r="16493" spans="1:12" x14ac:dyDescent="0.25">
      <c r="A16493">
        <v>41373</v>
      </c>
      <c r="B16493" t="s">
        <v>19995</v>
      </c>
      <c r="C16493" t="s">
        <v>2543</v>
      </c>
      <c r="D16493" s="254">
        <v>21.98</v>
      </c>
      <c r="E16493"/>
      <c r="F16493"/>
      <c r="G16493"/>
      <c r="H16493"/>
      <c r="I16493" s="489"/>
      <c r="J16493" s="1362"/>
      <c r="K16493" s="1362"/>
      <c r="L16493" s="1362"/>
    </row>
    <row r="16494" spans="1:12" x14ac:dyDescent="0.25">
      <c r="A16494">
        <v>133</v>
      </c>
      <c r="B16494" t="s">
        <v>19996</v>
      </c>
      <c r="C16494" t="s">
        <v>2543</v>
      </c>
      <c r="D16494" s="254">
        <v>6.55</v>
      </c>
      <c r="E16494"/>
      <c r="F16494"/>
      <c r="G16494"/>
      <c r="H16494"/>
      <c r="I16494" s="489"/>
      <c r="J16494" s="1362"/>
      <c r="K16494" s="1362"/>
      <c r="L16494" s="1362"/>
    </row>
    <row r="16495" spans="1:12" x14ac:dyDescent="0.25">
      <c r="A16495">
        <v>43617</v>
      </c>
      <c r="B16495" t="s">
        <v>19997</v>
      </c>
      <c r="C16495" t="s">
        <v>2543</v>
      </c>
      <c r="D16495" s="254">
        <v>7.32</v>
      </c>
      <c r="E16495"/>
      <c r="F16495"/>
      <c r="G16495"/>
      <c r="H16495"/>
      <c r="I16495" s="489"/>
      <c r="J16495" s="1362"/>
      <c r="K16495" s="1362"/>
      <c r="L16495" s="1362"/>
    </row>
    <row r="16496" spans="1:12" x14ac:dyDescent="0.25">
      <c r="A16496">
        <v>132</v>
      </c>
      <c r="B16496" t="s">
        <v>19998</v>
      </c>
      <c r="C16496" t="s">
        <v>2543</v>
      </c>
      <c r="D16496" s="254">
        <v>6.79</v>
      </c>
      <c r="E16496"/>
      <c r="F16496"/>
      <c r="G16496"/>
      <c r="H16496"/>
      <c r="I16496" s="489"/>
      <c r="J16496" s="1362"/>
      <c r="K16496" s="1362"/>
      <c r="L16496" s="1362"/>
    </row>
    <row r="16497" spans="1:12" x14ac:dyDescent="0.25">
      <c r="A16497">
        <v>43618</v>
      </c>
      <c r="B16497" t="s">
        <v>19999</v>
      </c>
      <c r="C16497" t="s">
        <v>2542</v>
      </c>
      <c r="D16497" s="254">
        <v>17.100000000000001</v>
      </c>
      <c r="E16497"/>
      <c r="F16497"/>
      <c r="G16497"/>
      <c r="H16497"/>
      <c r="I16497" s="489"/>
      <c r="J16497" s="1362"/>
      <c r="K16497" s="1362"/>
      <c r="L16497" s="1362"/>
    </row>
    <row r="16498" spans="1:12" x14ac:dyDescent="0.25">
      <c r="A16498">
        <v>37476</v>
      </c>
      <c r="B16498" t="s">
        <v>20000</v>
      </c>
      <c r="C16498" t="s">
        <v>2537</v>
      </c>
      <c r="D16498" s="254">
        <v>3494.11</v>
      </c>
      <c r="E16498"/>
      <c r="F16498"/>
      <c r="G16498"/>
      <c r="H16498"/>
      <c r="I16498" s="489"/>
      <c r="J16498" s="1362"/>
      <c r="K16498" s="1362"/>
      <c r="L16498" s="1362"/>
    </row>
    <row r="16499" spans="1:12" x14ac:dyDescent="0.25">
      <c r="A16499">
        <v>37478</v>
      </c>
      <c r="B16499" t="s">
        <v>20001</v>
      </c>
      <c r="C16499" t="s">
        <v>2537</v>
      </c>
      <c r="D16499" s="254">
        <v>4376.47</v>
      </c>
      <c r="E16499"/>
      <c r="F16499"/>
      <c r="G16499"/>
      <c r="H16499"/>
      <c r="I16499" s="489"/>
      <c r="J16499" s="1362"/>
      <c r="K16499" s="1362"/>
      <c r="L16499" s="1362"/>
    </row>
    <row r="16500" spans="1:12" x14ac:dyDescent="0.25">
      <c r="A16500">
        <v>37477</v>
      </c>
      <c r="B16500" t="s">
        <v>20002</v>
      </c>
      <c r="C16500" t="s">
        <v>2537</v>
      </c>
      <c r="D16500" s="254">
        <v>5929.41</v>
      </c>
      <c r="E16500"/>
      <c r="F16500"/>
      <c r="G16500"/>
      <c r="H16500"/>
      <c r="I16500" s="489"/>
      <c r="J16500" s="1362"/>
      <c r="K16500" s="1362"/>
      <c r="L16500" s="1362"/>
    </row>
    <row r="16501" spans="1:12" x14ac:dyDescent="0.25">
      <c r="A16501">
        <v>37479</v>
      </c>
      <c r="B16501" t="s">
        <v>20003</v>
      </c>
      <c r="C16501" t="s">
        <v>2537</v>
      </c>
      <c r="D16501" s="254">
        <v>7032.35</v>
      </c>
      <c r="E16501"/>
      <c r="F16501"/>
      <c r="G16501"/>
      <c r="H16501"/>
      <c r="I16501" s="489"/>
      <c r="J16501" s="1362"/>
      <c r="K16501" s="1362"/>
      <c r="L16501" s="1362"/>
    </row>
    <row r="16502" spans="1:12" x14ac:dyDescent="0.25">
      <c r="A16502">
        <v>4319</v>
      </c>
      <c r="B16502" t="s">
        <v>20004</v>
      </c>
      <c r="C16502" t="s">
        <v>2537</v>
      </c>
      <c r="D16502" s="254">
        <v>1.91</v>
      </c>
      <c r="E16502"/>
      <c r="F16502"/>
      <c r="G16502"/>
      <c r="H16502"/>
      <c r="I16502" s="489"/>
      <c r="J16502" s="1362"/>
      <c r="K16502" s="1362"/>
      <c r="L16502" s="1362"/>
    </row>
    <row r="16503" spans="1:12" x14ac:dyDescent="0.25">
      <c r="A16503">
        <v>42409</v>
      </c>
      <c r="B16503" t="s">
        <v>20005</v>
      </c>
      <c r="C16503" t="s">
        <v>2542</v>
      </c>
      <c r="D16503" s="254">
        <v>10.77</v>
      </c>
      <c r="E16503"/>
      <c r="F16503"/>
      <c r="G16503"/>
      <c r="H16503"/>
      <c r="I16503" s="489"/>
      <c r="J16503" s="1362"/>
      <c r="K16503" s="1362"/>
      <c r="L16503" s="1362"/>
    </row>
    <row r="16504" spans="1:12" x14ac:dyDescent="0.25">
      <c r="A16504">
        <v>40553</v>
      </c>
      <c r="B16504" t="s">
        <v>20006</v>
      </c>
      <c r="C16504" t="s">
        <v>2540</v>
      </c>
      <c r="D16504" s="254">
        <v>48.5</v>
      </c>
      <c r="E16504"/>
      <c r="F16504"/>
      <c r="G16504"/>
      <c r="H16504"/>
      <c r="I16504" s="489"/>
      <c r="J16504" s="1362"/>
      <c r="K16504" s="1362"/>
      <c r="L16504" s="1362"/>
    </row>
    <row r="16505" spans="1:12" x14ac:dyDescent="0.25">
      <c r="A16505">
        <v>6114</v>
      </c>
      <c r="B16505" t="s">
        <v>20007</v>
      </c>
      <c r="C16505" t="s">
        <v>2538</v>
      </c>
      <c r="D16505" s="254">
        <v>17.73</v>
      </c>
      <c r="E16505"/>
      <c r="F16505"/>
      <c r="G16505"/>
      <c r="H16505"/>
      <c r="I16505" s="489"/>
      <c r="J16505" s="1362"/>
      <c r="K16505" s="1362"/>
      <c r="L16505" s="1362"/>
    </row>
    <row r="16506" spans="1:12" x14ac:dyDescent="0.25">
      <c r="A16506">
        <v>40912</v>
      </c>
      <c r="B16506" t="s">
        <v>20008</v>
      </c>
      <c r="C16506" t="s">
        <v>2544</v>
      </c>
      <c r="D16506" s="254">
        <v>3129.81</v>
      </c>
      <c r="E16506"/>
      <c r="F16506"/>
      <c r="G16506"/>
      <c r="H16506"/>
      <c r="I16506" s="489"/>
      <c r="J16506" s="1362"/>
      <c r="K16506" s="1362"/>
      <c r="L16506" s="1362"/>
    </row>
    <row r="16507" spans="1:12" x14ac:dyDescent="0.25">
      <c r="A16507">
        <v>247</v>
      </c>
      <c r="B16507" t="s">
        <v>20009</v>
      </c>
      <c r="C16507" t="s">
        <v>2538</v>
      </c>
      <c r="D16507" s="254">
        <v>23.29</v>
      </c>
      <c r="E16507"/>
      <c r="F16507"/>
      <c r="G16507"/>
      <c r="H16507"/>
      <c r="I16507" s="489"/>
      <c r="J16507" s="1362"/>
      <c r="K16507" s="1362"/>
      <c r="L16507" s="1362"/>
    </row>
    <row r="16508" spans="1:12" x14ac:dyDescent="0.25">
      <c r="A16508">
        <v>40919</v>
      </c>
      <c r="B16508" t="s">
        <v>20010</v>
      </c>
      <c r="C16508" t="s">
        <v>2544</v>
      </c>
      <c r="D16508" s="254">
        <v>4110.26</v>
      </c>
      <c r="E16508"/>
      <c r="F16508"/>
      <c r="G16508"/>
      <c r="H16508"/>
      <c r="I16508" s="489"/>
      <c r="J16508" s="1362"/>
      <c r="K16508" s="1362"/>
      <c r="L16508" s="1362"/>
    </row>
    <row r="16509" spans="1:12" x14ac:dyDescent="0.25">
      <c r="A16509">
        <v>40984</v>
      </c>
      <c r="B16509" t="s">
        <v>20011</v>
      </c>
      <c r="C16509" t="s">
        <v>2544</v>
      </c>
      <c r="D16509" s="254">
        <v>2920.57</v>
      </c>
      <c r="E16509"/>
      <c r="F16509"/>
      <c r="G16509"/>
      <c r="H16509"/>
      <c r="I16509" s="489"/>
      <c r="J16509" s="1362"/>
      <c r="K16509" s="1362"/>
      <c r="L16509" s="1362"/>
    </row>
    <row r="16510" spans="1:12" x14ac:dyDescent="0.25">
      <c r="A16510">
        <v>44499</v>
      </c>
      <c r="B16510" t="s">
        <v>20012</v>
      </c>
      <c r="C16510" t="s">
        <v>2538</v>
      </c>
      <c r="D16510" s="254">
        <v>16.53</v>
      </c>
      <c r="E16510"/>
      <c r="F16510"/>
      <c r="G16510"/>
      <c r="H16510"/>
      <c r="I16510" s="489"/>
      <c r="J16510" s="1362"/>
      <c r="K16510" s="1362"/>
      <c r="L16510" s="1362"/>
    </row>
    <row r="16511" spans="1:12" x14ac:dyDescent="0.25">
      <c r="A16511">
        <v>248</v>
      </c>
      <c r="B16511" t="s">
        <v>20013</v>
      </c>
      <c r="C16511" t="s">
        <v>2538</v>
      </c>
      <c r="D16511" s="254">
        <v>17.66</v>
      </c>
      <c r="E16511"/>
      <c r="F16511"/>
      <c r="G16511"/>
      <c r="H16511"/>
      <c r="I16511" s="489"/>
      <c r="J16511" s="1362"/>
      <c r="K16511" s="1362"/>
      <c r="L16511" s="1362"/>
    </row>
    <row r="16512" spans="1:12" x14ac:dyDescent="0.25">
      <c r="A16512">
        <v>41086</v>
      </c>
      <c r="B16512" t="s">
        <v>20014</v>
      </c>
      <c r="C16512" t="s">
        <v>2544</v>
      </c>
      <c r="D16512" s="254">
        <v>3118.67</v>
      </c>
      <c r="E16512"/>
      <c r="F16512"/>
      <c r="G16512"/>
      <c r="H16512"/>
      <c r="I16512" s="489"/>
      <c r="J16512" s="1362"/>
      <c r="K16512" s="1362"/>
      <c r="L16512" s="1362"/>
    </row>
    <row r="16513" spans="1:12" x14ac:dyDescent="0.25">
      <c r="A16513">
        <v>34466</v>
      </c>
      <c r="B16513" t="s">
        <v>20015</v>
      </c>
      <c r="C16513" t="s">
        <v>2538</v>
      </c>
      <c r="D16513" s="254">
        <v>18.600000000000001</v>
      </c>
      <c r="E16513"/>
      <c r="F16513"/>
      <c r="G16513"/>
      <c r="H16513"/>
      <c r="I16513" s="489"/>
      <c r="J16513" s="1362"/>
      <c r="K16513" s="1362"/>
      <c r="L16513" s="1362"/>
    </row>
    <row r="16514" spans="1:12" x14ac:dyDescent="0.25">
      <c r="A16514">
        <v>41083</v>
      </c>
      <c r="B16514" t="s">
        <v>20016</v>
      </c>
      <c r="C16514" t="s">
        <v>2544</v>
      </c>
      <c r="D16514" s="254">
        <v>3282.72</v>
      </c>
      <c r="E16514"/>
      <c r="F16514"/>
      <c r="G16514"/>
      <c r="H16514"/>
      <c r="I16514" s="489"/>
      <c r="J16514" s="1362"/>
      <c r="K16514" s="1362"/>
      <c r="L16514" s="1362"/>
    </row>
    <row r="16515" spans="1:12" x14ac:dyDescent="0.25">
      <c r="A16515">
        <v>252</v>
      </c>
      <c r="B16515" t="s">
        <v>20017</v>
      </c>
      <c r="C16515" t="s">
        <v>2538</v>
      </c>
      <c r="D16515" s="254">
        <v>19.45</v>
      </c>
      <c r="E16515"/>
      <c r="F16515"/>
      <c r="G16515"/>
      <c r="H16515"/>
      <c r="I16515" s="489"/>
      <c r="J16515" s="1362"/>
      <c r="K16515" s="1362"/>
      <c r="L16515" s="1362"/>
    </row>
    <row r="16516" spans="1:12" x14ac:dyDescent="0.25">
      <c r="A16516">
        <v>40909</v>
      </c>
      <c r="B16516" t="s">
        <v>20018</v>
      </c>
      <c r="C16516" t="s">
        <v>2544</v>
      </c>
      <c r="D16516" s="254">
        <v>3436.68</v>
      </c>
      <c r="E16516"/>
      <c r="F16516"/>
      <c r="G16516"/>
      <c r="H16516"/>
      <c r="I16516" s="489"/>
      <c r="J16516" s="1362"/>
      <c r="K16516" s="1362"/>
      <c r="L16516" s="1362"/>
    </row>
    <row r="16517" spans="1:12" x14ac:dyDescent="0.25">
      <c r="A16517">
        <v>242</v>
      </c>
      <c r="B16517" t="s">
        <v>20019</v>
      </c>
      <c r="C16517" t="s">
        <v>2538</v>
      </c>
      <c r="D16517" s="254">
        <v>18.989999999999998</v>
      </c>
      <c r="E16517"/>
      <c r="F16517"/>
      <c r="G16517"/>
      <c r="H16517"/>
      <c r="I16517" s="489"/>
      <c r="J16517" s="1362"/>
      <c r="K16517" s="1362"/>
      <c r="L16517" s="1362"/>
    </row>
    <row r="16518" spans="1:12" x14ac:dyDescent="0.25">
      <c r="A16518">
        <v>41085</v>
      </c>
      <c r="B16518" t="s">
        <v>20020</v>
      </c>
      <c r="C16518" t="s">
        <v>2544</v>
      </c>
      <c r="D16518" s="254">
        <v>3353.72</v>
      </c>
      <c r="E16518"/>
      <c r="F16518"/>
      <c r="G16518"/>
      <c r="H16518"/>
      <c r="I16518" s="489"/>
      <c r="J16518" s="1362"/>
      <c r="K16518" s="1362"/>
      <c r="L16518" s="1362"/>
    </row>
    <row r="16519" spans="1:12" x14ac:dyDescent="0.25">
      <c r="A16519">
        <v>427</v>
      </c>
      <c r="B16519" t="s">
        <v>20021</v>
      </c>
      <c r="C16519" t="s">
        <v>2537</v>
      </c>
      <c r="D16519" s="254">
        <v>13.95</v>
      </c>
      <c r="E16519"/>
      <c r="F16519"/>
      <c r="G16519"/>
      <c r="H16519"/>
      <c r="I16519" s="489"/>
      <c r="J16519" s="1362"/>
      <c r="K16519" s="1362"/>
      <c r="L16519" s="1362"/>
    </row>
    <row r="16520" spans="1:12" x14ac:dyDescent="0.25">
      <c r="A16520">
        <v>417</v>
      </c>
      <c r="B16520" t="s">
        <v>20022</v>
      </c>
      <c r="C16520" t="s">
        <v>2537</v>
      </c>
      <c r="D16520" s="254">
        <v>6.58</v>
      </c>
      <c r="E16520"/>
      <c r="F16520"/>
      <c r="G16520"/>
      <c r="H16520"/>
      <c r="I16520" s="489"/>
      <c r="J16520" s="1362"/>
      <c r="K16520" s="1362"/>
      <c r="L16520" s="1362"/>
    </row>
    <row r="16521" spans="1:12" x14ac:dyDescent="0.25">
      <c r="A16521">
        <v>11273</v>
      </c>
      <c r="B16521" t="s">
        <v>20023</v>
      </c>
      <c r="C16521" t="s">
        <v>2537</v>
      </c>
      <c r="D16521" s="254">
        <v>20.41</v>
      </c>
      <c r="E16521"/>
      <c r="F16521"/>
      <c r="G16521"/>
      <c r="H16521"/>
      <c r="I16521" s="489"/>
      <c r="J16521" s="1362"/>
      <c r="K16521" s="1362"/>
      <c r="L16521" s="1362"/>
    </row>
    <row r="16522" spans="1:12" x14ac:dyDescent="0.25">
      <c r="A16522">
        <v>11272</v>
      </c>
      <c r="B16522" t="s">
        <v>20024</v>
      </c>
      <c r="C16522" t="s">
        <v>2537</v>
      </c>
      <c r="D16522" s="254">
        <v>12.32</v>
      </c>
      <c r="E16522"/>
      <c r="F16522"/>
      <c r="G16522"/>
      <c r="H16522"/>
      <c r="I16522" s="489"/>
      <c r="J16522" s="1362"/>
      <c r="K16522" s="1362"/>
      <c r="L16522" s="1362"/>
    </row>
    <row r="16523" spans="1:12" x14ac:dyDescent="0.25">
      <c r="A16523">
        <v>11275</v>
      </c>
      <c r="B16523" t="s">
        <v>20025</v>
      </c>
      <c r="C16523" t="s">
        <v>2537</v>
      </c>
      <c r="D16523" s="254">
        <v>4.9400000000000004</v>
      </c>
      <c r="E16523"/>
      <c r="F16523"/>
      <c r="G16523"/>
      <c r="H16523"/>
      <c r="I16523" s="489"/>
      <c r="J16523" s="1362"/>
      <c r="K16523" s="1362"/>
      <c r="L16523" s="1362"/>
    </row>
    <row r="16524" spans="1:12" x14ac:dyDescent="0.25">
      <c r="A16524">
        <v>11274</v>
      </c>
      <c r="B16524" t="s">
        <v>20026</v>
      </c>
      <c r="C16524" t="s">
        <v>2537</v>
      </c>
      <c r="D16524" s="254">
        <v>3.77</v>
      </c>
      <c r="E16524"/>
      <c r="F16524"/>
      <c r="G16524"/>
      <c r="H16524"/>
      <c r="I16524" s="489"/>
      <c r="J16524" s="1362"/>
      <c r="K16524" s="1362"/>
      <c r="L16524" s="1362"/>
    </row>
    <row r="16525" spans="1:12" x14ac:dyDescent="0.25">
      <c r="A16525">
        <v>38470</v>
      </c>
      <c r="B16525" t="s">
        <v>20027</v>
      </c>
      <c r="C16525" t="s">
        <v>2537</v>
      </c>
      <c r="D16525" s="254">
        <v>40.85</v>
      </c>
      <c r="E16525"/>
      <c r="F16525"/>
      <c r="G16525"/>
      <c r="H16525"/>
      <c r="I16525" s="489"/>
      <c r="J16525" s="1362"/>
      <c r="K16525" s="1362"/>
      <c r="L16525" s="1362"/>
    </row>
    <row r="16526" spans="1:12" x14ac:dyDescent="0.25">
      <c r="A16526">
        <v>38547</v>
      </c>
      <c r="B16526" t="s">
        <v>20028</v>
      </c>
      <c r="C16526" t="s">
        <v>2537</v>
      </c>
      <c r="D16526" s="254">
        <v>111.47</v>
      </c>
      <c r="E16526"/>
      <c r="F16526"/>
      <c r="G16526"/>
      <c r="H16526"/>
      <c r="I16526" s="489"/>
      <c r="J16526" s="1362"/>
      <c r="K16526" s="1362"/>
      <c r="L16526" s="1362"/>
    </row>
    <row r="16527" spans="1:12" x14ac:dyDescent="0.25">
      <c r="A16527">
        <v>38469</v>
      </c>
      <c r="B16527" t="s">
        <v>20029</v>
      </c>
      <c r="C16527" t="s">
        <v>2537</v>
      </c>
      <c r="D16527" s="254">
        <v>119.86</v>
      </c>
      <c r="E16527"/>
      <c r="F16527"/>
      <c r="G16527"/>
      <c r="H16527"/>
      <c r="I16527" s="489"/>
      <c r="J16527" s="1362"/>
      <c r="K16527" s="1362"/>
      <c r="L16527" s="1362"/>
    </row>
    <row r="16528" spans="1:12" x14ac:dyDescent="0.25">
      <c r="A16528">
        <v>38467</v>
      </c>
      <c r="B16528" t="s">
        <v>20030</v>
      </c>
      <c r="C16528" t="s">
        <v>2537</v>
      </c>
      <c r="D16528" s="254">
        <v>67.44</v>
      </c>
      <c r="E16528"/>
      <c r="F16528"/>
      <c r="G16528"/>
      <c r="H16528"/>
      <c r="I16528" s="489"/>
      <c r="J16528" s="1362"/>
      <c r="K16528" s="1362"/>
      <c r="L16528" s="1362"/>
    </row>
    <row r="16529" spans="1:12" x14ac:dyDescent="0.25">
      <c r="A16529">
        <v>38468</v>
      </c>
      <c r="B16529" t="s">
        <v>20031</v>
      </c>
      <c r="C16529" t="s">
        <v>2537</v>
      </c>
      <c r="D16529" s="254">
        <v>74.209999999999994</v>
      </c>
      <c r="E16529"/>
      <c r="F16529"/>
      <c r="G16529"/>
      <c r="H16529"/>
      <c r="I16529" s="489"/>
      <c r="J16529" s="1362"/>
      <c r="K16529" s="1362"/>
      <c r="L16529" s="1362"/>
    </row>
    <row r="16530" spans="1:12" x14ac:dyDescent="0.25">
      <c r="A16530">
        <v>38471</v>
      </c>
      <c r="B16530" t="s">
        <v>20032</v>
      </c>
      <c r="C16530" t="s">
        <v>2537</v>
      </c>
      <c r="D16530" s="254">
        <v>96.38</v>
      </c>
      <c r="E16530"/>
      <c r="F16530"/>
      <c r="G16530"/>
      <c r="H16530"/>
      <c r="I16530" s="489"/>
      <c r="J16530" s="1362"/>
      <c r="K16530" s="1362"/>
      <c r="L16530" s="1362"/>
    </row>
    <row r="16531" spans="1:12" x14ac:dyDescent="0.25">
      <c r="A16531">
        <v>37370</v>
      </c>
      <c r="B16531" t="s">
        <v>20033</v>
      </c>
      <c r="C16531" t="s">
        <v>2538</v>
      </c>
      <c r="D16531" s="254">
        <v>0.01</v>
      </c>
      <c r="E16531"/>
      <c r="F16531"/>
      <c r="G16531"/>
      <c r="H16531"/>
      <c r="I16531" s="489"/>
      <c r="J16531" s="1362"/>
      <c r="K16531" s="1362"/>
      <c r="L16531" s="1362"/>
    </row>
    <row r="16532" spans="1:12" x14ac:dyDescent="0.25">
      <c r="A16532">
        <v>40862</v>
      </c>
      <c r="B16532" t="s">
        <v>20034</v>
      </c>
      <c r="C16532" t="s">
        <v>2544</v>
      </c>
      <c r="D16532" s="254">
        <v>0.01</v>
      </c>
      <c r="E16532"/>
      <c r="F16532"/>
      <c r="G16532"/>
      <c r="H16532"/>
      <c r="I16532" s="489"/>
      <c r="J16532" s="1362"/>
      <c r="K16532" s="1362"/>
      <c r="L16532" s="1362"/>
    </row>
    <row r="16533" spans="1:12" x14ac:dyDescent="0.25">
      <c r="A16533">
        <v>10658</v>
      </c>
      <c r="B16533" t="s">
        <v>20035</v>
      </c>
      <c r="C16533" t="s">
        <v>2537</v>
      </c>
      <c r="D16533" s="254">
        <v>7770</v>
      </c>
      <c r="E16533"/>
      <c r="F16533"/>
      <c r="G16533"/>
      <c r="H16533"/>
      <c r="I16533" s="489"/>
      <c r="J16533" s="1362"/>
      <c r="K16533" s="1362"/>
      <c r="L16533" s="1362"/>
    </row>
    <row r="16534" spans="1:12" x14ac:dyDescent="0.25">
      <c r="A16534">
        <v>253</v>
      </c>
      <c r="B16534" t="s">
        <v>20036</v>
      </c>
      <c r="C16534" t="s">
        <v>2538</v>
      </c>
      <c r="D16534" s="254">
        <v>27.4</v>
      </c>
      <c r="E16534"/>
      <c r="F16534"/>
      <c r="G16534"/>
      <c r="H16534"/>
      <c r="I16534" s="489"/>
      <c r="J16534" s="1362"/>
      <c r="K16534" s="1362"/>
      <c r="L16534" s="1362"/>
    </row>
    <row r="16535" spans="1:12" x14ac:dyDescent="0.25">
      <c r="A16535">
        <v>40809</v>
      </c>
      <c r="B16535" t="s">
        <v>20037</v>
      </c>
      <c r="C16535" t="s">
        <v>2544</v>
      </c>
      <c r="D16535" s="254">
        <v>4835.66</v>
      </c>
      <c r="E16535"/>
      <c r="F16535"/>
      <c r="G16535"/>
      <c r="H16535"/>
      <c r="I16535" s="489"/>
      <c r="J16535" s="1362"/>
      <c r="K16535" s="1362"/>
      <c r="L16535" s="1362"/>
    </row>
    <row r="16536" spans="1:12" x14ac:dyDescent="0.25">
      <c r="A16536">
        <v>42428</v>
      </c>
      <c r="B16536" t="s">
        <v>20038</v>
      </c>
      <c r="C16536" t="s">
        <v>2537</v>
      </c>
      <c r="D16536" s="254">
        <v>2251</v>
      </c>
      <c r="E16536"/>
      <c r="F16536"/>
      <c r="G16536"/>
      <c r="H16536"/>
      <c r="I16536" s="489"/>
      <c r="J16536" s="1362"/>
      <c r="K16536" s="1362"/>
      <c r="L16536" s="1362"/>
    </row>
    <row r="16537" spans="1:12" x14ac:dyDescent="0.25">
      <c r="A16537">
        <v>583</v>
      </c>
      <c r="B16537" t="s">
        <v>20039</v>
      </c>
      <c r="C16537" t="s">
        <v>2542</v>
      </c>
      <c r="D16537" s="254">
        <v>69.569999999999993</v>
      </c>
      <c r="E16537"/>
      <c r="F16537"/>
      <c r="G16537"/>
      <c r="H16537"/>
      <c r="I16537" s="489"/>
      <c r="J16537" s="1362"/>
      <c r="K16537" s="1362"/>
      <c r="L16537" s="1362"/>
    </row>
    <row r="16538" spans="1:12" x14ac:dyDescent="0.25">
      <c r="A16538">
        <v>301</v>
      </c>
      <c r="B16538" t="s">
        <v>20040</v>
      </c>
      <c r="C16538" t="s">
        <v>2537</v>
      </c>
      <c r="D16538" s="254">
        <v>3.22</v>
      </c>
      <c r="E16538"/>
      <c r="F16538"/>
      <c r="G16538"/>
      <c r="H16538"/>
      <c r="I16538" s="489"/>
      <c r="J16538" s="1362"/>
      <c r="K16538" s="1362"/>
      <c r="L16538" s="1362"/>
    </row>
    <row r="16539" spans="1:12" x14ac:dyDescent="0.25">
      <c r="A16539">
        <v>296</v>
      </c>
      <c r="B16539" t="s">
        <v>20041</v>
      </c>
      <c r="C16539" t="s">
        <v>2537</v>
      </c>
      <c r="D16539" s="254">
        <v>1.82</v>
      </c>
      <c r="E16539"/>
      <c r="F16539"/>
      <c r="G16539"/>
      <c r="H16539"/>
      <c r="I16539" s="489"/>
      <c r="J16539" s="1362"/>
      <c r="K16539" s="1362"/>
      <c r="L16539" s="1362"/>
    </row>
    <row r="16540" spans="1:12" x14ac:dyDescent="0.25">
      <c r="A16540">
        <v>297</v>
      </c>
      <c r="B16540" t="s">
        <v>20042</v>
      </c>
      <c r="C16540" t="s">
        <v>2537</v>
      </c>
      <c r="D16540" s="254">
        <v>2.67</v>
      </c>
      <c r="E16540"/>
      <c r="F16540"/>
      <c r="G16540"/>
      <c r="H16540"/>
      <c r="I16540" s="489"/>
      <c r="J16540" s="1362"/>
      <c r="K16540" s="1362"/>
      <c r="L16540" s="1362"/>
    </row>
    <row r="16541" spans="1:12" x14ac:dyDescent="0.25">
      <c r="A16541">
        <v>299</v>
      </c>
      <c r="B16541" t="s">
        <v>20043</v>
      </c>
      <c r="C16541" t="s">
        <v>2537</v>
      </c>
      <c r="D16541" s="254">
        <v>3.78</v>
      </c>
      <c r="E16541"/>
      <c r="F16541"/>
      <c r="G16541"/>
      <c r="H16541"/>
      <c r="I16541" s="489"/>
      <c r="J16541" s="1362"/>
      <c r="K16541" s="1362"/>
      <c r="L16541" s="1362"/>
    </row>
    <row r="16542" spans="1:12" x14ac:dyDescent="0.25">
      <c r="A16542">
        <v>300</v>
      </c>
      <c r="B16542" t="s">
        <v>20044</v>
      </c>
      <c r="C16542" t="s">
        <v>2537</v>
      </c>
      <c r="D16542" s="254">
        <v>13.07</v>
      </c>
      <c r="E16542"/>
      <c r="F16542"/>
      <c r="G16542"/>
      <c r="H16542"/>
      <c r="I16542" s="489"/>
      <c r="J16542" s="1362"/>
      <c r="K16542" s="1362"/>
      <c r="L16542" s="1362"/>
    </row>
    <row r="16543" spans="1:12" x14ac:dyDescent="0.25">
      <c r="A16543">
        <v>20085</v>
      </c>
      <c r="B16543" t="s">
        <v>20045</v>
      </c>
      <c r="C16543" t="s">
        <v>2537</v>
      </c>
      <c r="D16543" s="254">
        <v>2.39</v>
      </c>
      <c r="E16543"/>
      <c r="F16543"/>
      <c r="G16543"/>
      <c r="H16543"/>
      <c r="I16543" s="489"/>
      <c r="J16543" s="1362"/>
      <c r="K16543" s="1362"/>
      <c r="L16543" s="1362"/>
    </row>
    <row r="16544" spans="1:12" x14ac:dyDescent="0.25">
      <c r="A16544">
        <v>298</v>
      </c>
      <c r="B16544" t="s">
        <v>20046</v>
      </c>
      <c r="C16544" t="s">
        <v>2537</v>
      </c>
      <c r="D16544" s="254">
        <v>2.9</v>
      </c>
      <c r="E16544"/>
      <c r="F16544"/>
      <c r="G16544"/>
      <c r="H16544"/>
      <c r="I16544" s="489"/>
      <c r="J16544" s="1362"/>
      <c r="K16544" s="1362"/>
      <c r="L16544" s="1362"/>
    </row>
    <row r="16545" spans="1:12" x14ac:dyDescent="0.25">
      <c r="A16545">
        <v>311</v>
      </c>
      <c r="B16545" t="s">
        <v>20047</v>
      </c>
      <c r="C16545" t="s">
        <v>2537</v>
      </c>
      <c r="D16545" s="254">
        <v>10.78</v>
      </c>
      <c r="E16545"/>
      <c r="F16545"/>
      <c r="G16545"/>
      <c r="H16545"/>
      <c r="I16545" s="489"/>
      <c r="J16545" s="1362"/>
      <c r="K16545" s="1362"/>
      <c r="L16545" s="1362"/>
    </row>
    <row r="16546" spans="1:12" x14ac:dyDescent="0.25">
      <c r="A16546">
        <v>318</v>
      </c>
      <c r="B16546" t="s">
        <v>20048</v>
      </c>
      <c r="C16546" t="s">
        <v>2537</v>
      </c>
      <c r="D16546" s="254">
        <v>21.71</v>
      </c>
      <c r="E16546"/>
      <c r="F16546"/>
      <c r="G16546"/>
      <c r="H16546"/>
      <c r="I16546" s="489"/>
      <c r="J16546" s="1362"/>
      <c r="K16546" s="1362"/>
      <c r="L16546" s="1362"/>
    </row>
    <row r="16547" spans="1:12" x14ac:dyDescent="0.25">
      <c r="A16547">
        <v>319</v>
      </c>
      <c r="B16547" t="s">
        <v>20049</v>
      </c>
      <c r="C16547" t="s">
        <v>2537</v>
      </c>
      <c r="D16547" s="254">
        <v>34.04</v>
      </c>
      <c r="E16547"/>
      <c r="F16547"/>
      <c r="G16547"/>
      <c r="H16547"/>
      <c r="I16547" s="489"/>
      <c r="J16547" s="1362"/>
      <c r="K16547" s="1362"/>
      <c r="L16547" s="1362"/>
    </row>
    <row r="16548" spans="1:12" x14ac:dyDescent="0.25">
      <c r="A16548">
        <v>303</v>
      </c>
      <c r="B16548" t="s">
        <v>20050</v>
      </c>
      <c r="C16548" t="s">
        <v>2537</v>
      </c>
      <c r="D16548" s="254">
        <v>3.56</v>
      </c>
      <c r="E16548"/>
      <c r="F16548"/>
      <c r="G16548"/>
      <c r="H16548"/>
      <c r="I16548" s="489"/>
      <c r="J16548" s="1362"/>
      <c r="K16548" s="1362"/>
      <c r="L16548" s="1362"/>
    </row>
    <row r="16549" spans="1:12" x14ac:dyDescent="0.25">
      <c r="A16549">
        <v>305</v>
      </c>
      <c r="B16549" t="s">
        <v>20051</v>
      </c>
      <c r="C16549" t="s">
        <v>2537</v>
      </c>
      <c r="D16549" s="254">
        <v>11.22</v>
      </c>
      <c r="E16549"/>
      <c r="F16549"/>
      <c r="G16549"/>
      <c r="H16549"/>
      <c r="I16549" s="489"/>
      <c r="J16549" s="1362"/>
      <c r="K16549" s="1362"/>
      <c r="L16549" s="1362"/>
    </row>
    <row r="16550" spans="1:12" x14ac:dyDescent="0.25">
      <c r="A16550">
        <v>306</v>
      </c>
      <c r="B16550" t="s">
        <v>20052</v>
      </c>
      <c r="C16550" t="s">
        <v>2537</v>
      </c>
      <c r="D16550" s="254">
        <v>17.02</v>
      </c>
      <c r="E16550"/>
      <c r="F16550"/>
      <c r="G16550"/>
      <c r="H16550"/>
      <c r="I16550" s="489"/>
      <c r="J16550" s="1362"/>
      <c r="K16550" s="1362"/>
      <c r="L16550" s="1362"/>
    </row>
    <row r="16551" spans="1:12" x14ac:dyDescent="0.25">
      <c r="A16551">
        <v>307</v>
      </c>
      <c r="B16551" t="s">
        <v>20053</v>
      </c>
      <c r="C16551" t="s">
        <v>2537</v>
      </c>
      <c r="D16551" s="254">
        <v>43</v>
      </c>
      <c r="E16551"/>
      <c r="F16551"/>
      <c r="G16551"/>
      <c r="H16551"/>
      <c r="I16551" s="489"/>
      <c r="J16551" s="1362"/>
      <c r="K16551" s="1362"/>
      <c r="L16551" s="1362"/>
    </row>
    <row r="16552" spans="1:12" x14ac:dyDescent="0.25">
      <c r="A16552">
        <v>309</v>
      </c>
      <c r="B16552" t="s">
        <v>20054</v>
      </c>
      <c r="C16552" t="s">
        <v>2537</v>
      </c>
      <c r="D16552" s="254">
        <v>70.430000000000007</v>
      </c>
      <c r="E16552"/>
      <c r="F16552"/>
      <c r="G16552"/>
      <c r="H16552"/>
      <c r="I16552" s="489"/>
      <c r="J16552" s="1362"/>
      <c r="K16552" s="1362"/>
      <c r="L16552" s="1362"/>
    </row>
    <row r="16553" spans="1:12" x14ac:dyDescent="0.25">
      <c r="A16553">
        <v>310</v>
      </c>
      <c r="B16553" t="s">
        <v>20055</v>
      </c>
      <c r="C16553" t="s">
        <v>2537</v>
      </c>
      <c r="D16553" s="254">
        <v>97.62</v>
      </c>
      <c r="E16553"/>
      <c r="F16553"/>
      <c r="G16553"/>
      <c r="H16553"/>
      <c r="I16553" s="489"/>
      <c r="J16553" s="1362"/>
      <c r="K16553" s="1362"/>
      <c r="L16553" s="1362"/>
    </row>
    <row r="16554" spans="1:12" x14ac:dyDescent="0.25">
      <c r="A16554">
        <v>328</v>
      </c>
      <c r="B16554" t="s">
        <v>20056</v>
      </c>
      <c r="C16554" t="s">
        <v>2537</v>
      </c>
      <c r="D16554" s="254">
        <v>8.5299999999999994</v>
      </c>
      <c r="E16554"/>
      <c r="F16554"/>
      <c r="G16554"/>
      <c r="H16554"/>
      <c r="I16554" s="489"/>
      <c r="J16554" s="1362"/>
      <c r="K16554" s="1362"/>
      <c r="L16554" s="1362"/>
    </row>
    <row r="16555" spans="1:12" x14ac:dyDescent="0.25">
      <c r="A16555">
        <v>325</v>
      </c>
      <c r="B16555" t="s">
        <v>20057</v>
      </c>
      <c r="C16555" t="s">
        <v>2537</v>
      </c>
      <c r="D16555" s="254">
        <v>2.52</v>
      </c>
      <c r="E16555"/>
      <c r="F16555"/>
      <c r="G16555"/>
      <c r="H16555"/>
      <c r="I16555" s="489"/>
      <c r="J16555" s="1362"/>
      <c r="K16555" s="1362"/>
      <c r="L16555" s="1362"/>
    </row>
    <row r="16556" spans="1:12" x14ac:dyDescent="0.25">
      <c r="A16556">
        <v>20326</v>
      </c>
      <c r="B16556" t="s">
        <v>20058</v>
      </c>
      <c r="C16556" t="s">
        <v>2537</v>
      </c>
      <c r="D16556" s="254">
        <v>4.5999999999999996</v>
      </c>
      <c r="E16556"/>
      <c r="F16556"/>
      <c r="G16556"/>
      <c r="H16556"/>
      <c r="I16556" s="489"/>
      <c r="J16556" s="1362"/>
      <c r="K16556" s="1362"/>
      <c r="L16556" s="1362"/>
    </row>
    <row r="16557" spans="1:12" x14ac:dyDescent="0.25">
      <c r="A16557">
        <v>329</v>
      </c>
      <c r="B16557" t="s">
        <v>20059</v>
      </c>
      <c r="C16557" t="s">
        <v>2537</v>
      </c>
      <c r="D16557" s="254">
        <v>7.13</v>
      </c>
      <c r="E16557"/>
      <c r="F16557"/>
      <c r="G16557"/>
      <c r="H16557"/>
      <c r="I16557" s="489"/>
      <c r="J16557" s="1362"/>
      <c r="K16557" s="1362"/>
      <c r="L16557" s="1362"/>
    </row>
    <row r="16558" spans="1:12" x14ac:dyDescent="0.25">
      <c r="A16558">
        <v>308</v>
      </c>
      <c r="B16558" t="s">
        <v>20060</v>
      </c>
      <c r="C16558" t="s">
        <v>2537</v>
      </c>
      <c r="D16558" s="254">
        <v>95.96</v>
      </c>
      <c r="E16558"/>
      <c r="F16558"/>
      <c r="G16558"/>
      <c r="H16558"/>
      <c r="I16558" s="489"/>
      <c r="J16558" s="1362"/>
      <c r="K16558" s="1362"/>
      <c r="L16558" s="1362"/>
    </row>
    <row r="16559" spans="1:12" x14ac:dyDescent="0.25">
      <c r="A16559">
        <v>39642</v>
      </c>
      <c r="B16559" t="s">
        <v>20061</v>
      </c>
      <c r="C16559" t="s">
        <v>2537</v>
      </c>
      <c r="D16559" s="254">
        <v>3.16</v>
      </c>
      <c r="E16559"/>
      <c r="F16559"/>
      <c r="G16559"/>
      <c r="H16559"/>
      <c r="I16559" s="489"/>
      <c r="J16559" s="1362"/>
      <c r="K16559" s="1362"/>
      <c r="L16559" s="1362"/>
    </row>
    <row r="16560" spans="1:12" x14ac:dyDescent="0.25">
      <c r="A16560">
        <v>39641</v>
      </c>
      <c r="B16560" t="s">
        <v>20062</v>
      </c>
      <c r="C16560" t="s">
        <v>2537</v>
      </c>
      <c r="D16560" s="254">
        <v>2.77</v>
      </c>
      <c r="E16560"/>
      <c r="F16560"/>
      <c r="G16560"/>
      <c r="H16560"/>
      <c r="I16560" s="489"/>
      <c r="J16560" s="1362"/>
      <c r="K16560" s="1362"/>
      <c r="L16560" s="1362"/>
    </row>
    <row r="16561" spans="1:12" x14ac:dyDescent="0.25">
      <c r="A16561">
        <v>39643</v>
      </c>
      <c r="B16561" t="s">
        <v>20063</v>
      </c>
      <c r="C16561" t="s">
        <v>2537</v>
      </c>
      <c r="D16561" s="254">
        <v>3.71</v>
      </c>
      <c r="E16561"/>
      <c r="F16561"/>
      <c r="G16561"/>
      <c r="H16561"/>
      <c r="I16561" s="489"/>
      <c r="J16561" s="1362"/>
      <c r="K16561" s="1362"/>
      <c r="L16561" s="1362"/>
    </row>
    <row r="16562" spans="1:12" x14ac:dyDescent="0.25">
      <c r="A16562">
        <v>39644</v>
      </c>
      <c r="B16562" t="s">
        <v>20064</v>
      </c>
      <c r="C16562" t="s">
        <v>2537</v>
      </c>
      <c r="D16562" s="254">
        <v>5.75</v>
      </c>
      <c r="E16562"/>
      <c r="F16562"/>
      <c r="G16562"/>
      <c r="H16562"/>
      <c r="I16562" s="489"/>
      <c r="J16562" s="1362"/>
      <c r="K16562" s="1362"/>
      <c r="L16562" s="1362"/>
    </row>
    <row r="16563" spans="1:12" x14ac:dyDescent="0.25">
      <c r="A16563">
        <v>39645</v>
      </c>
      <c r="B16563" t="s">
        <v>20065</v>
      </c>
      <c r="C16563" t="s">
        <v>2537</v>
      </c>
      <c r="D16563" s="254">
        <v>6.31</v>
      </c>
      <c r="E16563"/>
      <c r="F16563"/>
      <c r="G16563"/>
      <c r="H16563"/>
      <c r="I16563" s="489"/>
      <c r="J16563" s="1362"/>
      <c r="K16563" s="1362"/>
      <c r="L16563" s="1362"/>
    </row>
    <row r="16564" spans="1:12" x14ac:dyDescent="0.25">
      <c r="A16564">
        <v>41610</v>
      </c>
      <c r="B16564" t="s">
        <v>20066</v>
      </c>
      <c r="C16564" t="s">
        <v>2537</v>
      </c>
      <c r="D16564" s="254">
        <v>648.24</v>
      </c>
      <c r="E16564"/>
      <c r="F16564"/>
      <c r="G16564"/>
      <c r="H16564"/>
      <c r="I16564" s="489"/>
      <c r="J16564" s="1362"/>
      <c r="K16564" s="1362"/>
      <c r="L16564" s="1362"/>
    </row>
    <row r="16565" spans="1:12" x14ac:dyDescent="0.25">
      <c r="A16565">
        <v>41611</v>
      </c>
      <c r="B16565" t="s">
        <v>20067</v>
      </c>
      <c r="C16565" t="s">
        <v>2537</v>
      </c>
      <c r="D16565" s="254">
        <v>1021.76</v>
      </c>
      <c r="E16565"/>
      <c r="F16565"/>
      <c r="G16565"/>
      <c r="H16565"/>
      <c r="I16565" s="489"/>
      <c r="J16565" s="1362"/>
      <c r="K16565" s="1362"/>
      <c r="L16565" s="1362"/>
    </row>
    <row r="16566" spans="1:12" x14ac:dyDescent="0.25">
      <c r="A16566">
        <v>41612</v>
      </c>
      <c r="B16566" t="s">
        <v>20068</v>
      </c>
      <c r="C16566" t="s">
        <v>2537</v>
      </c>
      <c r="D16566" s="254">
        <v>1434.7</v>
      </c>
      <c r="E16566"/>
      <c r="F16566"/>
      <c r="G16566"/>
      <c r="H16566"/>
      <c r="I16566" s="489"/>
      <c r="J16566" s="1362"/>
      <c r="K16566" s="1362"/>
      <c r="L16566" s="1362"/>
    </row>
    <row r="16567" spans="1:12" x14ac:dyDescent="0.25">
      <c r="A16567">
        <v>41637</v>
      </c>
      <c r="B16567" t="s">
        <v>20069</v>
      </c>
      <c r="C16567" t="s">
        <v>2537</v>
      </c>
      <c r="D16567" s="254">
        <v>134.11000000000001</v>
      </c>
      <c r="E16567"/>
      <c r="F16567"/>
      <c r="G16567"/>
      <c r="H16567"/>
      <c r="I16567" s="489"/>
      <c r="J16567" s="1362"/>
      <c r="K16567" s="1362"/>
      <c r="L16567" s="1362"/>
    </row>
    <row r="16568" spans="1:12" x14ac:dyDescent="0.25">
      <c r="A16568">
        <v>41638</v>
      </c>
      <c r="B16568" t="s">
        <v>20070</v>
      </c>
      <c r="C16568" t="s">
        <v>2537</v>
      </c>
      <c r="D16568" s="254">
        <v>174.7</v>
      </c>
      <c r="E16568"/>
      <c r="F16568"/>
      <c r="G16568"/>
      <c r="H16568"/>
      <c r="I16568" s="489"/>
      <c r="J16568" s="1362"/>
      <c r="K16568" s="1362"/>
      <c r="L16568" s="1362"/>
    </row>
    <row r="16569" spans="1:12" x14ac:dyDescent="0.25">
      <c r="A16569">
        <v>41639</v>
      </c>
      <c r="B16569" t="s">
        <v>20071</v>
      </c>
      <c r="C16569" t="s">
        <v>2537</v>
      </c>
      <c r="D16569" s="254">
        <v>422.64</v>
      </c>
      <c r="E16569"/>
      <c r="F16569"/>
      <c r="G16569"/>
      <c r="H16569"/>
      <c r="I16569" s="489"/>
      <c r="J16569" s="1362"/>
      <c r="K16569" s="1362"/>
      <c r="L16569" s="1362"/>
    </row>
    <row r="16570" spans="1:12" x14ac:dyDescent="0.25">
      <c r="A16570">
        <v>11789</v>
      </c>
      <c r="B16570" t="s">
        <v>20072</v>
      </c>
      <c r="C16570" t="s">
        <v>2537</v>
      </c>
      <c r="D16570" s="254">
        <v>1.86</v>
      </c>
      <c r="E16570"/>
      <c r="F16570"/>
      <c r="G16570"/>
      <c r="H16570"/>
      <c r="I16570" s="489"/>
      <c r="J16570" s="1362"/>
      <c r="K16570" s="1362"/>
      <c r="L16570" s="1362"/>
    </row>
    <row r="16571" spans="1:12" x14ac:dyDescent="0.25">
      <c r="A16571">
        <v>20975</v>
      </c>
      <c r="B16571" t="s">
        <v>20073</v>
      </c>
      <c r="C16571" t="s">
        <v>2537</v>
      </c>
      <c r="D16571" s="254">
        <v>7.55</v>
      </c>
      <c r="E16571"/>
      <c r="F16571"/>
      <c r="G16571"/>
      <c r="H16571"/>
      <c r="I16571" s="489"/>
      <c r="J16571" s="1362"/>
      <c r="K16571" s="1362"/>
      <c r="L16571" s="1362"/>
    </row>
    <row r="16572" spans="1:12" x14ac:dyDescent="0.25">
      <c r="A16572">
        <v>20976</v>
      </c>
      <c r="B16572" t="s">
        <v>20074</v>
      </c>
      <c r="C16572" t="s">
        <v>2537</v>
      </c>
      <c r="D16572" s="254">
        <v>11.41</v>
      </c>
      <c r="E16572"/>
      <c r="F16572"/>
      <c r="G16572"/>
      <c r="H16572"/>
      <c r="I16572" s="489"/>
      <c r="J16572" s="1362"/>
      <c r="K16572" s="1362"/>
      <c r="L16572" s="1362"/>
    </row>
    <row r="16573" spans="1:12" x14ac:dyDescent="0.25">
      <c r="A16573">
        <v>40340</v>
      </c>
      <c r="B16573" t="s">
        <v>20075</v>
      </c>
      <c r="C16573" t="s">
        <v>2537</v>
      </c>
      <c r="D16573" s="254">
        <v>23.69</v>
      </c>
      <c r="E16573"/>
      <c r="F16573"/>
      <c r="G16573"/>
      <c r="H16573"/>
      <c r="I16573" s="489"/>
      <c r="J16573" s="1362"/>
      <c r="K16573" s="1362"/>
      <c r="L16573" s="1362"/>
    </row>
    <row r="16574" spans="1:12" x14ac:dyDescent="0.25">
      <c r="A16574">
        <v>40341</v>
      </c>
      <c r="B16574" t="s">
        <v>20076</v>
      </c>
      <c r="C16574" t="s">
        <v>2537</v>
      </c>
      <c r="D16574" s="254">
        <v>28.27</v>
      </c>
      <c r="E16574"/>
      <c r="F16574"/>
      <c r="G16574"/>
      <c r="H16574"/>
      <c r="I16574" s="489"/>
      <c r="J16574" s="1362"/>
      <c r="K16574" s="1362"/>
      <c r="L16574" s="1362"/>
    </row>
    <row r="16575" spans="1:12" x14ac:dyDescent="0.25">
      <c r="A16575">
        <v>40342</v>
      </c>
      <c r="B16575" t="s">
        <v>20077</v>
      </c>
      <c r="C16575" t="s">
        <v>2537</v>
      </c>
      <c r="D16575" s="254">
        <v>33.71</v>
      </c>
      <c r="E16575"/>
      <c r="F16575"/>
      <c r="G16575"/>
      <c r="H16575"/>
      <c r="I16575" s="489"/>
      <c r="J16575" s="1362"/>
      <c r="K16575" s="1362"/>
      <c r="L16575" s="1362"/>
    </row>
    <row r="16576" spans="1:12" x14ac:dyDescent="0.25">
      <c r="A16576">
        <v>40343</v>
      </c>
      <c r="B16576" t="s">
        <v>20078</v>
      </c>
      <c r="C16576" t="s">
        <v>2537</v>
      </c>
      <c r="D16576" s="254">
        <v>39.99</v>
      </c>
      <c r="E16576"/>
      <c r="F16576"/>
      <c r="G16576"/>
      <c r="H16576"/>
      <c r="I16576" s="489"/>
      <c r="J16576" s="1362"/>
      <c r="K16576" s="1362"/>
      <c r="L16576" s="1362"/>
    </row>
    <row r="16577" spans="1:12" x14ac:dyDescent="0.25">
      <c r="A16577">
        <v>40344</v>
      </c>
      <c r="B16577" t="s">
        <v>20079</v>
      </c>
      <c r="C16577" t="s">
        <v>2537</v>
      </c>
      <c r="D16577" s="254">
        <v>54.51</v>
      </c>
      <c r="E16577"/>
      <c r="F16577"/>
      <c r="G16577"/>
      <c r="H16577"/>
      <c r="I16577" s="489"/>
      <c r="J16577" s="1362"/>
      <c r="K16577" s="1362"/>
      <c r="L16577" s="1362"/>
    </row>
    <row r="16578" spans="1:12" x14ac:dyDescent="0.25">
      <c r="A16578">
        <v>40345</v>
      </c>
      <c r="B16578" t="s">
        <v>20080</v>
      </c>
      <c r="C16578" t="s">
        <v>2537</v>
      </c>
      <c r="D16578" s="254">
        <v>67.17</v>
      </c>
      <c r="E16578"/>
      <c r="F16578"/>
      <c r="G16578"/>
      <c r="H16578"/>
      <c r="I16578" s="489"/>
      <c r="J16578" s="1362"/>
      <c r="K16578" s="1362"/>
      <c r="L16578" s="1362"/>
    </row>
    <row r="16579" spans="1:12" x14ac:dyDescent="0.25">
      <c r="A16579">
        <v>40346</v>
      </c>
      <c r="B16579" t="s">
        <v>20081</v>
      </c>
      <c r="C16579" t="s">
        <v>2537</v>
      </c>
      <c r="D16579" s="254">
        <v>77.92</v>
      </c>
      <c r="E16579"/>
      <c r="F16579"/>
      <c r="G16579"/>
      <c r="H16579"/>
      <c r="I16579" s="489"/>
      <c r="J16579" s="1362"/>
      <c r="K16579" s="1362"/>
      <c r="L16579" s="1362"/>
    </row>
    <row r="16580" spans="1:12" x14ac:dyDescent="0.25">
      <c r="A16580">
        <v>40347</v>
      </c>
      <c r="B16580" t="s">
        <v>20082</v>
      </c>
      <c r="C16580" t="s">
        <v>2537</v>
      </c>
      <c r="D16580" s="254">
        <v>97.9</v>
      </c>
      <c r="E16580"/>
      <c r="F16580"/>
      <c r="G16580"/>
      <c r="H16580"/>
      <c r="I16580" s="489"/>
      <c r="J16580" s="1362"/>
      <c r="K16580" s="1362"/>
      <c r="L16580" s="1362"/>
    </row>
    <row r="16581" spans="1:12" x14ac:dyDescent="0.25">
      <c r="A16581">
        <v>6138</v>
      </c>
      <c r="B16581" t="s">
        <v>20083</v>
      </c>
      <c r="C16581" t="s">
        <v>2537</v>
      </c>
      <c r="D16581" s="254">
        <v>11.62</v>
      </c>
      <c r="E16581"/>
      <c r="F16581"/>
      <c r="G16581"/>
      <c r="H16581"/>
      <c r="I16581" s="489"/>
      <c r="J16581" s="1362"/>
      <c r="K16581" s="1362"/>
      <c r="L16581" s="1362"/>
    </row>
    <row r="16582" spans="1:12" x14ac:dyDescent="0.25">
      <c r="A16582">
        <v>38840</v>
      </c>
      <c r="B16582" t="s">
        <v>20084</v>
      </c>
      <c r="C16582" t="s">
        <v>2537</v>
      </c>
      <c r="D16582" s="254">
        <v>2.3199999999999998</v>
      </c>
      <c r="E16582"/>
      <c r="F16582"/>
      <c r="G16582"/>
      <c r="H16582"/>
      <c r="I16582" s="489"/>
      <c r="J16582" s="1362"/>
      <c r="K16582" s="1362"/>
      <c r="L16582" s="1362"/>
    </row>
    <row r="16583" spans="1:12" x14ac:dyDescent="0.25">
      <c r="A16583">
        <v>38841</v>
      </c>
      <c r="B16583" t="s">
        <v>20085</v>
      </c>
      <c r="C16583" t="s">
        <v>2537</v>
      </c>
      <c r="D16583" s="254">
        <v>2.58</v>
      </c>
      <c r="E16583"/>
      <c r="F16583"/>
      <c r="G16583"/>
      <c r="H16583"/>
      <c r="I16583" s="489"/>
      <c r="J16583" s="1362"/>
      <c r="K16583" s="1362"/>
      <c r="L16583" s="1362"/>
    </row>
    <row r="16584" spans="1:12" x14ac:dyDescent="0.25">
      <c r="A16584">
        <v>38842</v>
      </c>
      <c r="B16584" t="s">
        <v>20086</v>
      </c>
      <c r="C16584" t="s">
        <v>2537</v>
      </c>
      <c r="D16584" s="254">
        <v>5.09</v>
      </c>
      <c r="E16584"/>
      <c r="F16584"/>
      <c r="G16584"/>
      <c r="H16584"/>
      <c r="I16584" s="489"/>
      <c r="J16584" s="1362"/>
      <c r="K16584" s="1362"/>
      <c r="L16584" s="1362"/>
    </row>
    <row r="16585" spans="1:12" x14ac:dyDescent="0.25">
      <c r="A16585">
        <v>38843</v>
      </c>
      <c r="B16585" t="s">
        <v>20087</v>
      </c>
      <c r="C16585" t="s">
        <v>2537</v>
      </c>
      <c r="D16585" s="254">
        <v>7.95</v>
      </c>
      <c r="E16585"/>
      <c r="F16585"/>
      <c r="G16585"/>
      <c r="H16585"/>
      <c r="I16585" s="489"/>
      <c r="J16585" s="1362"/>
      <c r="K16585" s="1362"/>
      <c r="L16585" s="1362"/>
    </row>
    <row r="16586" spans="1:12" x14ac:dyDescent="0.25">
      <c r="A16586">
        <v>43424</v>
      </c>
      <c r="B16586" t="s">
        <v>20088</v>
      </c>
      <c r="C16586" t="s">
        <v>2537</v>
      </c>
      <c r="D16586" s="254">
        <v>543.12</v>
      </c>
      <c r="E16586"/>
      <c r="F16586"/>
      <c r="G16586"/>
      <c r="H16586"/>
      <c r="I16586" s="489"/>
      <c r="J16586" s="1362"/>
      <c r="K16586" s="1362"/>
      <c r="L16586" s="1362"/>
    </row>
    <row r="16587" spans="1:12" x14ac:dyDescent="0.25">
      <c r="A16587">
        <v>43426</v>
      </c>
      <c r="B16587" t="s">
        <v>20089</v>
      </c>
      <c r="C16587" t="s">
        <v>2537</v>
      </c>
      <c r="D16587" s="254">
        <v>1873.23</v>
      </c>
      <c r="E16587"/>
      <c r="F16587"/>
      <c r="G16587"/>
      <c r="H16587"/>
      <c r="I16587" s="489"/>
      <c r="J16587" s="1362"/>
      <c r="K16587" s="1362"/>
      <c r="L16587" s="1362"/>
    </row>
    <row r="16588" spans="1:12" x14ac:dyDescent="0.25">
      <c r="A16588">
        <v>12565</v>
      </c>
      <c r="B16588" t="s">
        <v>20090</v>
      </c>
      <c r="C16588" t="s">
        <v>2537</v>
      </c>
      <c r="D16588" s="254">
        <v>656.92</v>
      </c>
      <c r="E16588"/>
      <c r="F16588"/>
      <c r="G16588"/>
      <c r="H16588"/>
      <c r="I16588" s="489"/>
      <c r="J16588" s="1362"/>
      <c r="K16588" s="1362"/>
      <c r="L16588" s="1362"/>
    </row>
    <row r="16589" spans="1:12" x14ac:dyDescent="0.25">
      <c r="A16589">
        <v>12567</v>
      </c>
      <c r="B16589" t="s">
        <v>20091</v>
      </c>
      <c r="C16589" t="s">
        <v>2537</v>
      </c>
      <c r="D16589" s="254">
        <v>882.35</v>
      </c>
      <c r="E16589"/>
      <c r="F16589"/>
      <c r="G16589"/>
      <c r="H16589"/>
      <c r="I16589" s="489"/>
      <c r="J16589" s="1362"/>
      <c r="K16589" s="1362"/>
      <c r="L16589" s="1362"/>
    </row>
    <row r="16590" spans="1:12" x14ac:dyDescent="0.25">
      <c r="A16590">
        <v>12568</v>
      </c>
      <c r="B16590" t="s">
        <v>20092</v>
      </c>
      <c r="C16590" t="s">
        <v>2537</v>
      </c>
      <c r="D16590" s="254">
        <v>1235.29</v>
      </c>
      <c r="E16590"/>
      <c r="F16590"/>
      <c r="G16590"/>
      <c r="H16590"/>
      <c r="I16590" s="489"/>
      <c r="J16590" s="1362"/>
      <c r="K16590" s="1362"/>
      <c r="L16590" s="1362"/>
    </row>
    <row r="16591" spans="1:12" x14ac:dyDescent="0.25">
      <c r="A16591">
        <v>43441</v>
      </c>
      <c r="B16591" t="s">
        <v>20093</v>
      </c>
      <c r="C16591" t="s">
        <v>2537</v>
      </c>
      <c r="D16591" s="254">
        <v>158.82</v>
      </c>
      <c r="E16591"/>
      <c r="F16591"/>
      <c r="G16591"/>
      <c r="H16591"/>
      <c r="I16591" s="489"/>
      <c r="J16591" s="1362"/>
      <c r="K16591" s="1362"/>
      <c r="L16591" s="1362"/>
    </row>
    <row r="16592" spans="1:12" x14ac:dyDescent="0.25">
      <c r="A16592">
        <v>43423</v>
      </c>
      <c r="B16592" t="s">
        <v>20094</v>
      </c>
      <c r="C16592" t="s">
        <v>2537</v>
      </c>
      <c r="D16592" s="254">
        <v>74.11</v>
      </c>
      <c r="E16592"/>
      <c r="F16592"/>
      <c r="G16592"/>
      <c r="H16592"/>
      <c r="I16592" s="489"/>
      <c r="J16592" s="1362"/>
      <c r="K16592" s="1362"/>
      <c r="L16592" s="1362"/>
    </row>
    <row r="16593" spans="1:12" x14ac:dyDescent="0.25">
      <c r="A16593">
        <v>12532</v>
      </c>
      <c r="B16593" t="s">
        <v>20095</v>
      </c>
      <c r="C16593" t="s">
        <v>2537</v>
      </c>
      <c r="D16593" s="254">
        <v>114.3</v>
      </c>
      <c r="E16593"/>
      <c r="F16593"/>
      <c r="G16593"/>
      <c r="H16593"/>
      <c r="I16593" s="489"/>
      <c r="J16593" s="1362"/>
      <c r="K16593" s="1362"/>
      <c r="L16593" s="1362"/>
    </row>
    <row r="16594" spans="1:12" x14ac:dyDescent="0.25">
      <c r="A16594">
        <v>43444</v>
      </c>
      <c r="B16594" t="s">
        <v>20096</v>
      </c>
      <c r="C16594" t="s">
        <v>2537</v>
      </c>
      <c r="D16594" s="254">
        <v>383.82</v>
      </c>
      <c r="E16594"/>
      <c r="F16594"/>
      <c r="G16594"/>
      <c r="H16594"/>
      <c r="I16594" s="489"/>
      <c r="J16594" s="1362"/>
      <c r="K16594" s="1362"/>
      <c r="L16594" s="1362"/>
    </row>
    <row r="16595" spans="1:12" x14ac:dyDescent="0.25">
      <c r="A16595">
        <v>12551</v>
      </c>
      <c r="B16595" t="s">
        <v>20097</v>
      </c>
      <c r="C16595" t="s">
        <v>2537</v>
      </c>
      <c r="D16595" s="254">
        <v>273.83999999999997</v>
      </c>
      <c r="E16595"/>
      <c r="F16595"/>
      <c r="G16595"/>
      <c r="H16595"/>
      <c r="I16595" s="489"/>
      <c r="J16595" s="1362"/>
      <c r="K16595" s="1362"/>
      <c r="L16595" s="1362"/>
    </row>
    <row r="16596" spans="1:12" x14ac:dyDescent="0.25">
      <c r="A16596">
        <v>43442</v>
      </c>
      <c r="B16596" t="s">
        <v>20098</v>
      </c>
      <c r="C16596" t="s">
        <v>2537</v>
      </c>
      <c r="D16596" s="254">
        <v>211.76</v>
      </c>
      <c r="E16596"/>
      <c r="F16596"/>
      <c r="G16596"/>
      <c r="H16596"/>
      <c r="I16596" s="489"/>
      <c r="J16596" s="1362"/>
      <c r="K16596" s="1362"/>
      <c r="L16596" s="1362"/>
    </row>
    <row r="16597" spans="1:12" x14ac:dyDescent="0.25">
      <c r="A16597">
        <v>43443</v>
      </c>
      <c r="B16597" t="s">
        <v>20099</v>
      </c>
      <c r="C16597" t="s">
        <v>2537</v>
      </c>
      <c r="D16597" s="254">
        <v>277.94</v>
      </c>
      <c r="E16597"/>
      <c r="F16597"/>
      <c r="G16597"/>
      <c r="H16597"/>
      <c r="I16597" s="489"/>
      <c r="J16597" s="1362"/>
      <c r="K16597" s="1362"/>
      <c r="L16597" s="1362"/>
    </row>
    <row r="16598" spans="1:12" x14ac:dyDescent="0.25">
      <c r="A16598">
        <v>12544</v>
      </c>
      <c r="B16598" t="s">
        <v>20100</v>
      </c>
      <c r="C16598" t="s">
        <v>2537</v>
      </c>
      <c r="D16598" s="254">
        <v>149.99</v>
      </c>
      <c r="E16598"/>
      <c r="F16598"/>
      <c r="G16598"/>
      <c r="H16598"/>
      <c r="I16598" s="489"/>
      <c r="J16598" s="1362"/>
      <c r="K16598" s="1362"/>
      <c r="L16598" s="1362"/>
    </row>
    <row r="16599" spans="1:12" x14ac:dyDescent="0.25">
      <c r="A16599">
        <v>12547</v>
      </c>
      <c r="B16599" t="s">
        <v>20101</v>
      </c>
      <c r="C16599" t="s">
        <v>2537</v>
      </c>
      <c r="D16599" s="254">
        <v>201.74</v>
      </c>
      <c r="E16599"/>
      <c r="F16599"/>
      <c r="G16599"/>
      <c r="H16599"/>
      <c r="I16599" s="489"/>
      <c r="J16599" s="1362"/>
      <c r="K16599" s="1362"/>
      <c r="L16599" s="1362"/>
    </row>
    <row r="16600" spans="1:12" x14ac:dyDescent="0.25">
      <c r="A16600">
        <v>43445</v>
      </c>
      <c r="B16600" t="s">
        <v>20102</v>
      </c>
      <c r="C16600" t="s">
        <v>2537</v>
      </c>
      <c r="D16600" s="254">
        <v>529.41</v>
      </c>
      <c r="E16600"/>
      <c r="F16600"/>
      <c r="G16600"/>
      <c r="H16600"/>
      <c r="I16600" s="489"/>
      <c r="J16600" s="1362"/>
      <c r="K16600" s="1362"/>
      <c r="L16600" s="1362"/>
    </row>
    <row r="16601" spans="1:12" x14ac:dyDescent="0.25">
      <c r="A16601">
        <v>12563</v>
      </c>
      <c r="B16601" t="s">
        <v>20103</v>
      </c>
      <c r="C16601" t="s">
        <v>2537</v>
      </c>
      <c r="D16601" s="254">
        <v>378.77</v>
      </c>
      <c r="E16601"/>
      <c r="F16601"/>
      <c r="G16601"/>
      <c r="H16601"/>
      <c r="I16601" s="489"/>
      <c r="J16601" s="1362"/>
      <c r="K16601" s="1362"/>
      <c r="L16601" s="1362"/>
    </row>
    <row r="16602" spans="1:12" x14ac:dyDescent="0.25">
      <c r="A16602">
        <v>43425</v>
      </c>
      <c r="B16602" t="s">
        <v>20104</v>
      </c>
      <c r="C16602" t="s">
        <v>2537</v>
      </c>
      <c r="D16602" s="254">
        <v>238.23</v>
      </c>
      <c r="E16602"/>
      <c r="F16602"/>
      <c r="G16602"/>
      <c r="H16602"/>
      <c r="I16602" s="489"/>
      <c r="J16602" s="1362"/>
      <c r="K16602" s="1362"/>
      <c r="L16602" s="1362"/>
    </row>
    <row r="16603" spans="1:12" x14ac:dyDescent="0.25">
      <c r="A16603">
        <v>43446</v>
      </c>
      <c r="B16603" t="s">
        <v>20105</v>
      </c>
      <c r="C16603" t="s">
        <v>2537</v>
      </c>
      <c r="D16603" s="254">
        <v>502.94</v>
      </c>
      <c r="E16603"/>
      <c r="F16603"/>
      <c r="G16603"/>
      <c r="H16603"/>
      <c r="I16603" s="489"/>
      <c r="J16603" s="1362"/>
      <c r="K16603" s="1362"/>
      <c r="L16603" s="1362"/>
    </row>
    <row r="16604" spans="1:12" x14ac:dyDescent="0.25">
      <c r="A16604">
        <v>43447</v>
      </c>
      <c r="B16604" t="s">
        <v>20106</v>
      </c>
      <c r="C16604" t="s">
        <v>2537</v>
      </c>
      <c r="D16604" s="254">
        <v>617.64</v>
      </c>
      <c r="E16604"/>
      <c r="F16604"/>
      <c r="G16604"/>
      <c r="H16604"/>
      <c r="I16604" s="489"/>
      <c r="J16604" s="1362"/>
      <c r="K16604" s="1362"/>
      <c r="L16604" s="1362"/>
    </row>
    <row r="16605" spans="1:12" x14ac:dyDescent="0.25">
      <c r="A16605">
        <v>43448</v>
      </c>
      <c r="B16605" t="s">
        <v>20107</v>
      </c>
      <c r="C16605" t="s">
        <v>2537</v>
      </c>
      <c r="D16605" s="254">
        <v>864.7</v>
      </c>
      <c r="E16605"/>
      <c r="F16605"/>
      <c r="G16605"/>
      <c r="H16605"/>
      <c r="I16605" s="489"/>
      <c r="J16605" s="1362"/>
      <c r="K16605" s="1362"/>
      <c r="L16605" s="1362"/>
    </row>
    <row r="16606" spans="1:12" x14ac:dyDescent="0.25">
      <c r="A16606">
        <v>13761</v>
      </c>
      <c r="B16606" t="s">
        <v>20108</v>
      </c>
      <c r="C16606" t="s">
        <v>2537</v>
      </c>
      <c r="D16606" s="254">
        <v>3929.28</v>
      </c>
      <c r="E16606"/>
      <c r="F16606"/>
      <c r="G16606"/>
      <c r="H16606"/>
      <c r="I16606" s="489"/>
      <c r="J16606" s="1362"/>
      <c r="K16606" s="1362"/>
      <c r="L16606" s="1362"/>
    </row>
    <row r="16607" spans="1:12" x14ac:dyDescent="0.25">
      <c r="A16607">
        <v>4814</v>
      </c>
      <c r="B16607" t="s">
        <v>20109</v>
      </c>
      <c r="C16607" t="s">
        <v>2537</v>
      </c>
      <c r="D16607" s="254">
        <v>91.09</v>
      </c>
      <c r="E16607"/>
      <c r="F16607"/>
      <c r="G16607"/>
      <c r="H16607"/>
      <c r="I16607" s="489"/>
      <c r="J16607" s="1362"/>
      <c r="K16607" s="1362"/>
      <c r="L16607" s="1362"/>
    </row>
    <row r="16608" spans="1:12" x14ac:dyDescent="0.25">
      <c r="A16608">
        <v>44473</v>
      </c>
      <c r="B16608" t="s">
        <v>20110</v>
      </c>
      <c r="C16608" t="s">
        <v>2537</v>
      </c>
      <c r="D16608" s="254">
        <v>2697.76</v>
      </c>
      <c r="E16608"/>
      <c r="F16608"/>
      <c r="G16608"/>
      <c r="H16608"/>
      <c r="I16608" s="489"/>
      <c r="J16608" s="1362"/>
      <c r="K16608" s="1362"/>
      <c r="L16608" s="1362"/>
    </row>
    <row r="16609" spans="1:12" x14ac:dyDescent="0.25">
      <c r="A16609">
        <v>6122</v>
      </c>
      <c r="B16609" t="s">
        <v>20111</v>
      </c>
      <c r="C16609" t="s">
        <v>2538</v>
      </c>
      <c r="D16609" s="254">
        <v>25.36</v>
      </c>
      <c r="E16609"/>
      <c r="F16609"/>
      <c r="G16609"/>
      <c r="H16609"/>
      <c r="I16609" s="489"/>
      <c r="J16609" s="1362"/>
      <c r="K16609" s="1362"/>
      <c r="L16609" s="1362"/>
    </row>
    <row r="16610" spans="1:12" x14ac:dyDescent="0.25">
      <c r="A16610">
        <v>40810</v>
      </c>
      <c r="B16610" t="s">
        <v>20112</v>
      </c>
      <c r="C16610" t="s">
        <v>2544</v>
      </c>
      <c r="D16610" s="254">
        <v>4475.24</v>
      </c>
      <c r="E16610"/>
      <c r="F16610"/>
      <c r="G16610"/>
      <c r="H16610"/>
      <c r="I16610" s="489"/>
      <c r="J16610" s="1362"/>
      <c r="K16610" s="1362"/>
      <c r="L16610" s="1362"/>
    </row>
    <row r="16611" spans="1:12" x14ac:dyDescent="0.25">
      <c r="A16611">
        <v>21100</v>
      </c>
      <c r="B16611" t="s">
        <v>20113</v>
      </c>
      <c r="C16611" t="s">
        <v>2537</v>
      </c>
      <c r="D16611" s="254">
        <v>3563.75</v>
      </c>
      <c r="E16611"/>
      <c r="F16611"/>
      <c r="G16611"/>
      <c r="H16611"/>
      <c r="I16611" s="489"/>
      <c r="J16611" s="1362"/>
      <c r="K16611" s="1362"/>
      <c r="L16611" s="1362"/>
    </row>
    <row r="16612" spans="1:12" x14ac:dyDescent="0.25">
      <c r="A16612">
        <v>11816</v>
      </c>
      <c r="B16612" t="s">
        <v>20114</v>
      </c>
      <c r="C16612" t="s">
        <v>2537</v>
      </c>
      <c r="D16612" s="254">
        <v>3800</v>
      </c>
      <c r="E16612"/>
      <c r="F16612"/>
      <c r="G16612"/>
      <c r="H16612"/>
      <c r="I16612" s="489"/>
      <c r="J16612" s="1362"/>
      <c r="K16612" s="1362"/>
      <c r="L16612" s="1362"/>
    </row>
    <row r="16613" spans="1:12" x14ac:dyDescent="0.25">
      <c r="A16613">
        <v>11814</v>
      </c>
      <c r="B16613" t="s">
        <v>20115</v>
      </c>
      <c r="C16613" t="s">
        <v>2537</v>
      </c>
      <c r="D16613" s="254">
        <v>8271.64</v>
      </c>
      <c r="E16613"/>
      <c r="F16613"/>
      <c r="G16613"/>
      <c r="H16613"/>
      <c r="I16613" s="489"/>
      <c r="J16613" s="1362"/>
      <c r="K16613" s="1362"/>
      <c r="L16613" s="1362"/>
    </row>
    <row r="16614" spans="1:12" x14ac:dyDescent="0.25">
      <c r="A16614">
        <v>14186</v>
      </c>
      <c r="B16614" t="s">
        <v>20116</v>
      </c>
      <c r="C16614" t="s">
        <v>2537</v>
      </c>
      <c r="D16614" s="254">
        <v>10386.17</v>
      </c>
      <c r="E16614"/>
      <c r="F16614"/>
      <c r="G16614"/>
      <c r="H16614"/>
      <c r="I16614" s="489"/>
      <c r="J16614" s="1362"/>
      <c r="K16614" s="1362"/>
      <c r="L16614" s="1362"/>
    </row>
    <row r="16615" spans="1:12" x14ac:dyDescent="0.25">
      <c r="A16615">
        <v>14185</v>
      </c>
      <c r="B16615" t="s">
        <v>20117</v>
      </c>
      <c r="C16615" t="s">
        <v>2537</v>
      </c>
      <c r="D16615" s="254">
        <v>13454.13</v>
      </c>
      <c r="E16615"/>
      <c r="F16615"/>
      <c r="G16615"/>
      <c r="H16615"/>
      <c r="I16615" s="489"/>
      <c r="J16615" s="1362"/>
      <c r="K16615" s="1362"/>
      <c r="L16615" s="1362"/>
    </row>
    <row r="16616" spans="1:12" x14ac:dyDescent="0.25">
      <c r="A16616">
        <v>11811</v>
      </c>
      <c r="B16616" t="s">
        <v>20118</v>
      </c>
      <c r="C16616" t="s">
        <v>2537</v>
      </c>
      <c r="D16616" s="254">
        <v>5144.3500000000004</v>
      </c>
      <c r="E16616"/>
      <c r="F16616"/>
      <c r="G16616"/>
      <c r="H16616"/>
      <c r="I16616" s="489"/>
      <c r="J16616" s="1362"/>
      <c r="K16616" s="1362"/>
      <c r="L16616" s="1362"/>
    </row>
    <row r="16617" spans="1:12" x14ac:dyDescent="0.25">
      <c r="A16617">
        <v>44498</v>
      </c>
      <c r="B16617" t="s">
        <v>20119</v>
      </c>
      <c r="C16617" t="s">
        <v>2537</v>
      </c>
      <c r="D16617" s="254">
        <v>330548.62</v>
      </c>
      <c r="E16617"/>
      <c r="F16617"/>
      <c r="G16617"/>
      <c r="H16617"/>
      <c r="I16617" s="489"/>
      <c r="J16617" s="1362"/>
      <c r="K16617" s="1362"/>
      <c r="L16617" s="1362"/>
    </row>
    <row r="16618" spans="1:12" x14ac:dyDescent="0.25">
      <c r="A16618">
        <v>34469</v>
      </c>
      <c r="B16618" t="s">
        <v>20120</v>
      </c>
      <c r="C16618" t="s">
        <v>2537</v>
      </c>
      <c r="D16618" s="254">
        <v>10386.5</v>
      </c>
      <c r="E16618"/>
      <c r="F16618"/>
      <c r="G16618"/>
      <c r="H16618"/>
      <c r="I16618" s="489"/>
      <c r="J16618" s="1362"/>
      <c r="K16618" s="1362"/>
      <c r="L16618" s="1362"/>
    </row>
    <row r="16619" spans="1:12" x14ac:dyDescent="0.25">
      <c r="A16619">
        <v>34476</v>
      </c>
      <c r="B16619" t="s">
        <v>20121</v>
      </c>
      <c r="C16619" t="s">
        <v>2537</v>
      </c>
      <c r="D16619" s="254">
        <v>5416.99</v>
      </c>
      <c r="E16619"/>
      <c r="F16619"/>
      <c r="G16619"/>
      <c r="H16619"/>
      <c r="I16619" s="489"/>
      <c r="J16619" s="1362"/>
      <c r="K16619" s="1362"/>
      <c r="L16619" s="1362"/>
    </row>
    <row r="16620" spans="1:12" x14ac:dyDescent="0.25">
      <c r="A16620">
        <v>34477</v>
      </c>
      <c r="B16620" t="s">
        <v>20122</v>
      </c>
      <c r="C16620" t="s">
        <v>2537</v>
      </c>
      <c r="D16620" s="254">
        <v>7189.4</v>
      </c>
      <c r="E16620"/>
      <c r="F16620"/>
      <c r="G16620"/>
      <c r="H16620"/>
      <c r="I16620" s="489"/>
      <c r="J16620" s="1362"/>
      <c r="K16620" s="1362"/>
      <c r="L16620" s="1362"/>
    </row>
    <row r="16621" spans="1:12" x14ac:dyDescent="0.25">
      <c r="A16621">
        <v>34482</v>
      </c>
      <c r="B16621" t="s">
        <v>20123</v>
      </c>
      <c r="C16621" t="s">
        <v>2537</v>
      </c>
      <c r="D16621" s="254">
        <v>6714.5</v>
      </c>
      <c r="E16621"/>
      <c r="F16621"/>
      <c r="G16621"/>
      <c r="H16621"/>
      <c r="I16621" s="489"/>
      <c r="J16621" s="1362"/>
      <c r="K16621" s="1362"/>
      <c r="L16621" s="1362"/>
    </row>
    <row r="16622" spans="1:12" x14ac:dyDescent="0.25">
      <c r="A16622">
        <v>34472</v>
      </c>
      <c r="B16622" t="s">
        <v>20124</v>
      </c>
      <c r="C16622" t="s">
        <v>2537</v>
      </c>
      <c r="D16622" s="254">
        <v>3195.6</v>
      </c>
      <c r="E16622"/>
      <c r="F16622"/>
      <c r="G16622"/>
      <c r="H16622"/>
      <c r="I16622" s="489"/>
      <c r="J16622" s="1362"/>
      <c r="K16622" s="1362"/>
      <c r="L16622" s="1362"/>
    </row>
    <row r="16623" spans="1:12" x14ac:dyDescent="0.25">
      <c r="A16623">
        <v>42425</v>
      </c>
      <c r="B16623" t="s">
        <v>20125</v>
      </c>
      <c r="C16623" t="s">
        <v>2537</v>
      </c>
      <c r="D16623" s="254">
        <v>2356.9699999999998</v>
      </c>
      <c r="E16623"/>
      <c r="F16623"/>
      <c r="G16623"/>
      <c r="H16623"/>
      <c r="I16623" s="489"/>
      <c r="J16623" s="1362"/>
      <c r="K16623" s="1362"/>
      <c r="L16623" s="1362"/>
    </row>
    <row r="16624" spans="1:12" x14ac:dyDescent="0.25">
      <c r="A16624">
        <v>42422</v>
      </c>
      <c r="B16624" t="s">
        <v>20126</v>
      </c>
      <c r="C16624" t="s">
        <v>2537</v>
      </c>
      <c r="D16624" s="254">
        <v>3499</v>
      </c>
      <c r="E16624"/>
      <c r="F16624"/>
      <c r="G16624"/>
      <c r="H16624"/>
      <c r="I16624" s="489"/>
      <c r="J16624" s="1362"/>
      <c r="K16624" s="1362"/>
      <c r="L16624" s="1362"/>
    </row>
    <row r="16625" spans="1:12" x14ac:dyDescent="0.25">
      <c r="A16625">
        <v>43184</v>
      </c>
      <c r="B16625" t="s">
        <v>20127</v>
      </c>
      <c r="C16625" t="s">
        <v>2537</v>
      </c>
      <c r="D16625" s="254">
        <v>4835.95</v>
      </c>
      <c r="E16625"/>
      <c r="F16625"/>
      <c r="G16625"/>
      <c r="H16625"/>
      <c r="I16625" s="489"/>
      <c r="J16625" s="1362"/>
      <c r="K16625" s="1362"/>
      <c r="L16625" s="1362"/>
    </row>
    <row r="16626" spans="1:12" x14ac:dyDescent="0.25">
      <c r="A16626">
        <v>42424</v>
      </c>
      <c r="B16626" t="s">
        <v>20128</v>
      </c>
      <c r="C16626" t="s">
        <v>2537</v>
      </c>
      <c r="D16626" s="254">
        <v>2104.98</v>
      </c>
      <c r="E16626"/>
      <c r="F16626"/>
      <c r="G16626"/>
      <c r="H16626"/>
      <c r="I16626" s="489"/>
      <c r="J16626" s="1362"/>
      <c r="K16626" s="1362"/>
      <c r="L16626" s="1362"/>
    </row>
    <row r="16627" spans="1:12" x14ac:dyDescent="0.25">
      <c r="A16627">
        <v>42421</v>
      </c>
      <c r="B16627" t="s">
        <v>20129</v>
      </c>
      <c r="C16627" t="s">
        <v>2537</v>
      </c>
      <c r="D16627" s="254">
        <v>19165.599999999999</v>
      </c>
      <c r="E16627"/>
      <c r="F16627"/>
      <c r="G16627"/>
      <c r="H16627"/>
      <c r="I16627" s="489"/>
      <c r="J16627" s="1362"/>
      <c r="K16627" s="1362"/>
      <c r="L16627" s="1362"/>
    </row>
    <row r="16628" spans="1:12" x14ac:dyDescent="0.25">
      <c r="A16628">
        <v>42416</v>
      </c>
      <c r="B16628" t="s">
        <v>20130</v>
      </c>
      <c r="C16628" t="s">
        <v>2537</v>
      </c>
      <c r="D16628" s="254">
        <v>9074.32</v>
      </c>
      <c r="E16628"/>
      <c r="F16628"/>
      <c r="G16628"/>
      <c r="H16628"/>
      <c r="I16628" s="489"/>
      <c r="J16628" s="1362"/>
      <c r="K16628" s="1362"/>
      <c r="L16628" s="1362"/>
    </row>
    <row r="16629" spans="1:12" x14ac:dyDescent="0.25">
      <c r="A16629">
        <v>42417</v>
      </c>
      <c r="B16629" t="s">
        <v>20131</v>
      </c>
      <c r="C16629" t="s">
        <v>2537</v>
      </c>
      <c r="D16629" s="254">
        <v>10173.06</v>
      </c>
      <c r="E16629"/>
      <c r="F16629"/>
      <c r="G16629"/>
      <c r="H16629"/>
      <c r="I16629" s="489"/>
      <c r="J16629" s="1362"/>
      <c r="K16629" s="1362"/>
      <c r="L16629" s="1362"/>
    </row>
    <row r="16630" spans="1:12" x14ac:dyDescent="0.25">
      <c r="A16630">
        <v>42419</v>
      </c>
      <c r="B16630" t="s">
        <v>20132</v>
      </c>
      <c r="C16630" t="s">
        <v>2537</v>
      </c>
      <c r="D16630" s="254">
        <v>11493.39</v>
      </c>
      <c r="E16630"/>
      <c r="F16630"/>
      <c r="G16630"/>
      <c r="H16630"/>
      <c r="I16630" s="489"/>
      <c r="J16630" s="1362"/>
      <c r="K16630" s="1362"/>
      <c r="L16630" s="1362"/>
    </row>
    <row r="16631" spans="1:12" x14ac:dyDescent="0.25">
      <c r="A16631">
        <v>42420</v>
      </c>
      <c r="B16631" t="s">
        <v>20133</v>
      </c>
      <c r="C16631" t="s">
        <v>2537</v>
      </c>
      <c r="D16631" s="254">
        <v>15796.82</v>
      </c>
      <c r="E16631"/>
      <c r="F16631"/>
      <c r="G16631"/>
      <c r="H16631"/>
      <c r="I16631" s="489"/>
      <c r="J16631" s="1362"/>
      <c r="K16631" s="1362"/>
      <c r="L16631" s="1362"/>
    </row>
    <row r="16632" spans="1:12" x14ac:dyDescent="0.25">
      <c r="A16632">
        <v>43195</v>
      </c>
      <c r="B16632" t="s">
        <v>20134</v>
      </c>
      <c r="C16632" t="s">
        <v>2537</v>
      </c>
      <c r="D16632" s="254">
        <v>5562.28</v>
      </c>
      <c r="E16632"/>
      <c r="F16632"/>
      <c r="G16632"/>
      <c r="H16632"/>
      <c r="I16632" s="489"/>
      <c r="J16632" s="1362"/>
      <c r="K16632" s="1362"/>
      <c r="L16632" s="1362"/>
    </row>
    <row r="16633" spans="1:12" x14ac:dyDescent="0.25">
      <c r="A16633">
        <v>43196</v>
      </c>
      <c r="B16633" t="s">
        <v>20135</v>
      </c>
      <c r="C16633" t="s">
        <v>2537</v>
      </c>
      <c r="D16633" s="254">
        <v>6893.65</v>
      </c>
      <c r="E16633"/>
      <c r="F16633"/>
      <c r="G16633"/>
      <c r="H16633"/>
      <c r="I16633" s="489"/>
      <c r="J16633" s="1362"/>
      <c r="K16633" s="1362"/>
      <c r="L16633" s="1362"/>
    </row>
    <row r="16634" spans="1:12" x14ac:dyDescent="0.25">
      <c r="A16634">
        <v>43198</v>
      </c>
      <c r="B16634" t="s">
        <v>20136</v>
      </c>
      <c r="C16634" t="s">
        <v>2537</v>
      </c>
      <c r="D16634" s="254">
        <v>10243.799999999999</v>
      </c>
      <c r="E16634"/>
      <c r="F16634"/>
      <c r="G16634"/>
      <c r="H16634"/>
      <c r="I16634" s="489"/>
      <c r="J16634" s="1362"/>
      <c r="K16634" s="1362"/>
      <c r="L16634" s="1362"/>
    </row>
    <row r="16635" spans="1:12" x14ac:dyDescent="0.25">
      <c r="A16635">
        <v>43199</v>
      </c>
      <c r="B16635" t="s">
        <v>20137</v>
      </c>
      <c r="C16635" t="s">
        <v>2537</v>
      </c>
      <c r="D16635" s="254">
        <v>10619.17</v>
      </c>
      <c r="E16635"/>
      <c r="F16635"/>
      <c r="G16635"/>
      <c r="H16635"/>
      <c r="I16635" s="489"/>
      <c r="J16635" s="1362"/>
      <c r="K16635" s="1362"/>
      <c r="L16635" s="1362"/>
    </row>
    <row r="16636" spans="1:12" x14ac:dyDescent="0.25">
      <c r="A16636">
        <v>43200</v>
      </c>
      <c r="B16636" t="s">
        <v>20138</v>
      </c>
      <c r="C16636" t="s">
        <v>2537</v>
      </c>
      <c r="D16636" s="254">
        <v>12186.27</v>
      </c>
      <c r="E16636"/>
      <c r="F16636"/>
      <c r="G16636"/>
      <c r="H16636"/>
      <c r="I16636" s="489"/>
      <c r="J16636" s="1362"/>
      <c r="K16636" s="1362"/>
      <c r="L16636" s="1362"/>
    </row>
    <row r="16637" spans="1:12" x14ac:dyDescent="0.25">
      <c r="A16637">
        <v>39556</v>
      </c>
      <c r="B16637" t="s">
        <v>20139</v>
      </c>
      <c r="C16637" t="s">
        <v>2537</v>
      </c>
      <c r="D16637" s="254">
        <v>6655.78</v>
      </c>
      <c r="E16637"/>
      <c r="F16637"/>
      <c r="G16637"/>
      <c r="H16637"/>
      <c r="I16637" s="489"/>
      <c r="J16637" s="1362"/>
      <c r="K16637" s="1362"/>
      <c r="L16637" s="1362"/>
    </row>
    <row r="16638" spans="1:12" x14ac:dyDescent="0.25">
      <c r="A16638">
        <v>39557</v>
      </c>
      <c r="B16638" t="s">
        <v>20140</v>
      </c>
      <c r="C16638" t="s">
        <v>2537</v>
      </c>
      <c r="D16638" s="254">
        <v>7166.83</v>
      </c>
      <c r="E16638"/>
      <c r="F16638"/>
      <c r="G16638"/>
      <c r="H16638"/>
      <c r="I16638" s="489"/>
      <c r="J16638" s="1362"/>
      <c r="K16638" s="1362"/>
      <c r="L16638" s="1362"/>
    </row>
    <row r="16639" spans="1:12" x14ac:dyDescent="0.25">
      <c r="A16639">
        <v>39559</v>
      </c>
      <c r="B16639" t="s">
        <v>20141</v>
      </c>
      <c r="C16639" t="s">
        <v>2537</v>
      </c>
      <c r="D16639" s="254">
        <v>10591.19</v>
      </c>
      <c r="E16639"/>
      <c r="F16639"/>
      <c r="G16639"/>
      <c r="H16639"/>
      <c r="I16639" s="489"/>
      <c r="J16639" s="1362"/>
      <c r="K16639" s="1362"/>
      <c r="L16639" s="1362"/>
    </row>
    <row r="16640" spans="1:12" x14ac:dyDescent="0.25">
      <c r="A16640">
        <v>39560</v>
      </c>
      <c r="B16640" t="s">
        <v>20142</v>
      </c>
      <c r="C16640" t="s">
        <v>2537</v>
      </c>
      <c r="D16640" s="254">
        <v>12252.97</v>
      </c>
      <c r="E16640"/>
      <c r="F16640"/>
      <c r="G16640"/>
      <c r="H16640"/>
      <c r="I16640" s="489"/>
      <c r="J16640" s="1362"/>
      <c r="K16640" s="1362"/>
      <c r="L16640" s="1362"/>
    </row>
    <row r="16641" spans="1:12" x14ac:dyDescent="0.25">
      <c r="A16641">
        <v>39561</v>
      </c>
      <c r="B16641" t="s">
        <v>20143</v>
      </c>
      <c r="C16641" t="s">
        <v>2537</v>
      </c>
      <c r="D16641" s="254">
        <v>12818.17</v>
      </c>
      <c r="E16641"/>
      <c r="F16641"/>
      <c r="G16641"/>
      <c r="H16641"/>
      <c r="I16641" s="489"/>
      <c r="J16641" s="1362"/>
      <c r="K16641" s="1362"/>
      <c r="L16641" s="1362"/>
    </row>
    <row r="16642" spans="1:12" x14ac:dyDescent="0.25">
      <c r="A16642">
        <v>43190</v>
      </c>
      <c r="B16642" t="s">
        <v>20144</v>
      </c>
      <c r="C16642" t="s">
        <v>2537</v>
      </c>
      <c r="D16642" s="254">
        <v>1891.62</v>
      </c>
      <c r="E16642"/>
      <c r="F16642"/>
      <c r="G16642"/>
      <c r="H16642"/>
      <c r="I16642" s="489"/>
      <c r="J16642" s="1362"/>
      <c r="K16642" s="1362"/>
      <c r="L16642" s="1362"/>
    </row>
    <row r="16643" spans="1:12" x14ac:dyDescent="0.25">
      <c r="A16643">
        <v>39555</v>
      </c>
      <c r="B16643" t="s">
        <v>20145</v>
      </c>
      <c r="C16643" t="s">
        <v>2537</v>
      </c>
      <c r="D16643" s="254">
        <v>2046.25</v>
      </c>
      <c r="E16643"/>
      <c r="F16643"/>
      <c r="G16643"/>
      <c r="H16643"/>
      <c r="I16643" s="489"/>
      <c r="J16643" s="1362"/>
      <c r="K16643" s="1362"/>
      <c r="L16643" s="1362"/>
    </row>
    <row r="16644" spans="1:12" x14ac:dyDescent="0.25">
      <c r="A16644">
        <v>43191</v>
      </c>
      <c r="B16644" t="s">
        <v>20146</v>
      </c>
      <c r="C16644" t="s">
        <v>2537</v>
      </c>
      <c r="D16644" s="254">
        <v>2721.79</v>
      </c>
      <c r="E16644"/>
      <c r="F16644"/>
      <c r="G16644"/>
      <c r="H16644"/>
      <c r="I16644" s="489"/>
      <c r="J16644" s="1362"/>
      <c r="K16644" s="1362"/>
      <c r="L16644" s="1362"/>
    </row>
    <row r="16645" spans="1:12" x14ac:dyDescent="0.25">
      <c r="A16645">
        <v>39548</v>
      </c>
      <c r="B16645" t="s">
        <v>20147</v>
      </c>
      <c r="C16645" t="s">
        <v>2537</v>
      </c>
      <c r="D16645" s="254">
        <v>3035.22</v>
      </c>
      <c r="E16645"/>
      <c r="F16645"/>
      <c r="G16645"/>
      <c r="H16645"/>
      <c r="I16645" s="489"/>
      <c r="J16645" s="1362"/>
      <c r="K16645" s="1362"/>
      <c r="L16645" s="1362"/>
    </row>
    <row r="16646" spans="1:12" x14ac:dyDescent="0.25">
      <c r="A16646">
        <v>43192</v>
      </c>
      <c r="B16646" t="s">
        <v>20148</v>
      </c>
      <c r="C16646" t="s">
        <v>2537</v>
      </c>
      <c r="D16646" s="254">
        <v>3565.3</v>
      </c>
      <c r="E16646"/>
      <c r="F16646"/>
      <c r="G16646"/>
      <c r="H16646"/>
      <c r="I16646" s="489"/>
      <c r="J16646" s="1362"/>
      <c r="K16646" s="1362"/>
      <c r="L16646" s="1362"/>
    </row>
    <row r="16647" spans="1:12" x14ac:dyDescent="0.25">
      <c r="A16647">
        <v>39554</v>
      </c>
      <c r="B16647" t="s">
        <v>20149</v>
      </c>
      <c r="C16647" t="s">
        <v>2537</v>
      </c>
      <c r="D16647" s="254">
        <v>4013.62</v>
      </c>
      <c r="E16647"/>
      <c r="F16647"/>
      <c r="G16647"/>
      <c r="H16647"/>
      <c r="I16647" s="489"/>
      <c r="J16647" s="1362"/>
      <c r="K16647" s="1362"/>
      <c r="L16647" s="1362"/>
    </row>
    <row r="16648" spans="1:12" x14ac:dyDescent="0.25">
      <c r="A16648">
        <v>43194</v>
      </c>
      <c r="B16648" t="s">
        <v>20150</v>
      </c>
      <c r="C16648" t="s">
        <v>2537</v>
      </c>
      <c r="D16648" s="254">
        <v>1620.5</v>
      </c>
      <c r="E16648"/>
      <c r="F16648"/>
      <c r="G16648"/>
      <c r="H16648"/>
      <c r="I16648" s="489"/>
      <c r="J16648" s="1362"/>
      <c r="K16648" s="1362"/>
      <c r="L16648" s="1362"/>
    </row>
    <row r="16649" spans="1:12" x14ac:dyDescent="0.25">
      <c r="A16649">
        <v>39551</v>
      </c>
      <c r="B16649" t="s">
        <v>20151</v>
      </c>
      <c r="C16649" t="s">
        <v>2537</v>
      </c>
      <c r="D16649" s="254">
        <v>1784.34</v>
      </c>
      <c r="E16649"/>
      <c r="F16649"/>
      <c r="G16649"/>
      <c r="H16649"/>
      <c r="I16649" s="489"/>
      <c r="J16649" s="1362"/>
      <c r="K16649" s="1362"/>
      <c r="L16649" s="1362"/>
    </row>
    <row r="16650" spans="1:12" x14ac:dyDescent="0.25">
      <c r="A16650">
        <v>43185</v>
      </c>
      <c r="B16650" t="s">
        <v>20152</v>
      </c>
      <c r="C16650" t="s">
        <v>2537</v>
      </c>
      <c r="D16650" s="254">
        <v>5070.7700000000004</v>
      </c>
      <c r="E16650"/>
      <c r="F16650"/>
      <c r="G16650"/>
      <c r="H16650"/>
      <c r="I16650" s="489"/>
      <c r="J16650" s="1362"/>
      <c r="K16650" s="1362"/>
      <c r="L16650" s="1362"/>
    </row>
    <row r="16651" spans="1:12" x14ac:dyDescent="0.25">
      <c r="A16651">
        <v>43186</v>
      </c>
      <c r="B16651" t="s">
        <v>20153</v>
      </c>
      <c r="C16651" t="s">
        <v>2537</v>
      </c>
      <c r="D16651" s="254">
        <v>5348.64</v>
      </c>
      <c r="E16651"/>
      <c r="F16651"/>
      <c r="G16651"/>
      <c r="H16651"/>
      <c r="I16651" s="489"/>
      <c r="J16651" s="1362"/>
      <c r="K16651" s="1362"/>
      <c r="L16651" s="1362"/>
    </row>
    <row r="16652" spans="1:12" x14ac:dyDescent="0.25">
      <c r="A16652">
        <v>43187</v>
      </c>
      <c r="B16652" t="s">
        <v>20154</v>
      </c>
      <c r="C16652" t="s">
        <v>2537</v>
      </c>
      <c r="D16652" s="254">
        <v>7097.7</v>
      </c>
      <c r="E16652"/>
      <c r="F16652"/>
      <c r="G16652"/>
      <c r="H16652"/>
      <c r="I16652" s="489"/>
      <c r="J16652" s="1362"/>
      <c r="K16652" s="1362"/>
      <c r="L16652" s="1362"/>
    </row>
    <row r="16653" spans="1:12" x14ac:dyDescent="0.25">
      <c r="A16653">
        <v>43188</v>
      </c>
      <c r="B16653" t="s">
        <v>20155</v>
      </c>
      <c r="C16653" t="s">
        <v>2537</v>
      </c>
      <c r="D16653" s="254">
        <v>8599.81</v>
      </c>
      <c r="E16653"/>
      <c r="F16653"/>
      <c r="G16653"/>
      <c r="H16653"/>
      <c r="I16653" s="489"/>
      <c r="J16653" s="1362"/>
      <c r="K16653" s="1362"/>
      <c r="L16653" s="1362"/>
    </row>
    <row r="16654" spans="1:12" x14ac:dyDescent="0.25">
      <c r="A16654">
        <v>43189</v>
      </c>
      <c r="B16654" t="s">
        <v>20156</v>
      </c>
      <c r="C16654" t="s">
        <v>2537</v>
      </c>
      <c r="D16654" s="254">
        <v>9673.35</v>
      </c>
      <c r="E16654"/>
      <c r="F16654"/>
      <c r="G16654"/>
      <c r="H16654"/>
      <c r="I16654" s="489"/>
      <c r="J16654" s="1362"/>
      <c r="K16654" s="1362"/>
      <c r="L16654" s="1362"/>
    </row>
    <row r="16655" spans="1:12" x14ac:dyDescent="0.25">
      <c r="A16655">
        <v>39580</v>
      </c>
      <c r="B16655" t="s">
        <v>20157</v>
      </c>
      <c r="C16655" t="s">
        <v>2537</v>
      </c>
      <c r="D16655" s="254">
        <v>76229.98</v>
      </c>
      <c r="E16655"/>
      <c r="F16655"/>
      <c r="G16655"/>
      <c r="H16655"/>
      <c r="I16655" s="489"/>
      <c r="J16655" s="1362"/>
      <c r="K16655" s="1362"/>
      <c r="L16655" s="1362"/>
    </row>
    <row r="16656" spans="1:12" x14ac:dyDescent="0.25">
      <c r="A16656">
        <v>39577</v>
      </c>
      <c r="B16656" t="s">
        <v>20158</v>
      </c>
      <c r="C16656" t="s">
        <v>2537</v>
      </c>
      <c r="D16656" s="254">
        <v>23859.82</v>
      </c>
      <c r="E16656"/>
      <c r="F16656"/>
      <c r="G16656"/>
      <c r="H16656"/>
      <c r="I16656" s="489"/>
      <c r="J16656" s="1362"/>
      <c r="K16656" s="1362"/>
      <c r="L16656" s="1362"/>
    </row>
    <row r="16657" spans="1:12" x14ac:dyDescent="0.25">
      <c r="A16657">
        <v>39578</v>
      </c>
      <c r="B16657" t="s">
        <v>20159</v>
      </c>
      <c r="C16657" t="s">
        <v>2537</v>
      </c>
      <c r="D16657" s="254">
        <v>30791.57</v>
      </c>
      <c r="E16657"/>
      <c r="F16657"/>
      <c r="G16657"/>
      <c r="H16657"/>
      <c r="I16657" s="489"/>
      <c r="J16657" s="1362"/>
      <c r="K16657" s="1362"/>
      <c r="L16657" s="1362"/>
    </row>
    <row r="16658" spans="1:12" x14ac:dyDescent="0.25">
      <c r="A16658">
        <v>39579</v>
      </c>
      <c r="B16658" t="s">
        <v>20160</v>
      </c>
      <c r="C16658" t="s">
        <v>2537</v>
      </c>
      <c r="D16658" s="254">
        <v>44799.33</v>
      </c>
      <c r="E16658"/>
      <c r="F16658"/>
      <c r="G16658"/>
      <c r="H16658"/>
      <c r="I16658" s="489"/>
      <c r="J16658" s="1362"/>
      <c r="K16658" s="1362"/>
      <c r="L16658" s="1362"/>
    </row>
    <row r="16659" spans="1:12" x14ac:dyDescent="0.25">
      <c r="A16659">
        <v>39826</v>
      </c>
      <c r="B16659" t="s">
        <v>20161</v>
      </c>
      <c r="C16659" t="s">
        <v>2537</v>
      </c>
      <c r="D16659" s="254">
        <v>5502.17</v>
      </c>
      <c r="E16659"/>
      <c r="F16659"/>
      <c r="G16659"/>
      <c r="H16659"/>
      <c r="I16659" s="489"/>
      <c r="J16659" s="1362"/>
      <c r="K16659" s="1362"/>
      <c r="L16659" s="1362"/>
    </row>
    <row r="16660" spans="1:12" x14ac:dyDescent="0.25">
      <c r="A16660">
        <v>10700</v>
      </c>
      <c r="B16660" t="s">
        <v>20162</v>
      </c>
      <c r="C16660" t="s">
        <v>2537</v>
      </c>
      <c r="D16660" s="254">
        <v>28703.46</v>
      </c>
      <c r="E16660"/>
      <c r="F16660"/>
      <c r="G16660"/>
      <c r="H16660"/>
      <c r="I16660" s="489"/>
      <c r="J16660" s="1362"/>
      <c r="K16660" s="1362"/>
      <c r="L16660" s="1362"/>
    </row>
    <row r="16661" spans="1:12" x14ac:dyDescent="0.25">
      <c r="A16661">
        <v>346</v>
      </c>
      <c r="B16661" t="s">
        <v>20163</v>
      </c>
      <c r="C16661" t="s">
        <v>2542</v>
      </c>
      <c r="D16661" s="254">
        <v>35.54</v>
      </c>
      <c r="E16661"/>
      <c r="F16661"/>
      <c r="G16661"/>
      <c r="H16661"/>
      <c r="I16661" s="489"/>
      <c r="J16661" s="1362"/>
      <c r="K16661" s="1362"/>
      <c r="L16661" s="1362"/>
    </row>
    <row r="16662" spans="1:12" x14ac:dyDescent="0.25">
      <c r="A16662">
        <v>3312</v>
      </c>
      <c r="B16662" t="s">
        <v>20164</v>
      </c>
      <c r="C16662" t="s">
        <v>2542</v>
      </c>
      <c r="D16662" s="254">
        <v>31.47</v>
      </c>
      <c r="E16662"/>
      <c r="F16662"/>
      <c r="G16662"/>
      <c r="H16662"/>
      <c r="I16662" s="489"/>
      <c r="J16662" s="1362"/>
      <c r="K16662" s="1362"/>
      <c r="L16662" s="1362"/>
    </row>
    <row r="16663" spans="1:12" x14ac:dyDescent="0.25">
      <c r="A16663">
        <v>339</v>
      </c>
      <c r="B16663" t="s">
        <v>20165</v>
      </c>
      <c r="C16663" t="s">
        <v>2541</v>
      </c>
      <c r="D16663" s="254">
        <v>1.83</v>
      </c>
      <c r="E16663"/>
      <c r="F16663"/>
      <c r="G16663"/>
      <c r="H16663"/>
      <c r="I16663" s="489"/>
      <c r="J16663" s="1362"/>
      <c r="K16663" s="1362"/>
      <c r="L16663" s="1362"/>
    </row>
    <row r="16664" spans="1:12" x14ac:dyDescent="0.25">
      <c r="A16664">
        <v>340</v>
      </c>
      <c r="B16664" t="s">
        <v>20166</v>
      </c>
      <c r="C16664" t="s">
        <v>2541</v>
      </c>
      <c r="D16664" s="254">
        <v>1.65</v>
      </c>
      <c r="E16664"/>
      <c r="F16664"/>
      <c r="G16664"/>
      <c r="H16664"/>
      <c r="I16664" s="489"/>
      <c r="J16664" s="1362"/>
      <c r="K16664" s="1362"/>
      <c r="L16664" s="1362"/>
    </row>
    <row r="16665" spans="1:12" x14ac:dyDescent="0.25">
      <c r="A16665">
        <v>43130</v>
      </c>
      <c r="B16665" t="s">
        <v>20167</v>
      </c>
      <c r="C16665" t="s">
        <v>2542</v>
      </c>
      <c r="D16665" s="254">
        <v>30</v>
      </c>
      <c r="E16665"/>
      <c r="F16665"/>
      <c r="G16665"/>
      <c r="H16665"/>
      <c r="I16665" s="489"/>
      <c r="J16665" s="1362"/>
      <c r="K16665" s="1362"/>
      <c r="L16665" s="1362"/>
    </row>
    <row r="16666" spans="1:12" x14ac:dyDescent="0.25">
      <c r="A16666">
        <v>344</v>
      </c>
      <c r="B16666" t="s">
        <v>20168</v>
      </c>
      <c r="C16666" t="s">
        <v>2542</v>
      </c>
      <c r="D16666" s="254">
        <v>39.44</v>
      </c>
      <c r="E16666"/>
      <c r="F16666"/>
      <c r="G16666"/>
      <c r="H16666"/>
      <c r="I16666" s="489"/>
      <c r="J16666" s="1362"/>
      <c r="K16666" s="1362"/>
      <c r="L16666" s="1362"/>
    </row>
    <row r="16667" spans="1:12" x14ac:dyDescent="0.25">
      <c r="A16667">
        <v>345</v>
      </c>
      <c r="B16667" t="s">
        <v>20169</v>
      </c>
      <c r="C16667" t="s">
        <v>2542</v>
      </c>
      <c r="D16667" s="254">
        <v>42.79</v>
      </c>
      <c r="E16667"/>
      <c r="F16667"/>
      <c r="G16667"/>
      <c r="H16667"/>
      <c r="I16667" s="489"/>
      <c r="J16667" s="1362"/>
      <c r="K16667" s="1362"/>
      <c r="L16667" s="1362"/>
    </row>
    <row r="16668" spans="1:12" x14ac:dyDescent="0.25">
      <c r="A16668">
        <v>43131</v>
      </c>
      <c r="B16668" t="s">
        <v>20170</v>
      </c>
      <c r="C16668" t="s">
        <v>2542</v>
      </c>
      <c r="D16668" s="254">
        <v>34.85</v>
      </c>
      <c r="E16668"/>
      <c r="F16668"/>
      <c r="G16668"/>
      <c r="H16668"/>
      <c r="I16668" s="489"/>
      <c r="J16668" s="1362"/>
      <c r="K16668" s="1362"/>
      <c r="L16668" s="1362"/>
    </row>
    <row r="16669" spans="1:12" x14ac:dyDescent="0.25">
      <c r="A16669">
        <v>3313</v>
      </c>
      <c r="B16669" t="s">
        <v>20171</v>
      </c>
      <c r="C16669" t="s">
        <v>2542</v>
      </c>
      <c r="D16669" s="254">
        <v>40.5</v>
      </c>
      <c r="E16669"/>
      <c r="F16669"/>
      <c r="G16669"/>
      <c r="H16669"/>
      <c r="I16669" s="489"/>
      <c r="J16669" s="1362"/>
      <c r="K16669" s="1362"/>
      <c r="L16669" s="1362"/>
    </row>
    <row r="16670" spans="1:12" x14ac:dyDescent="0.25">
      <c r="A16670">
        <v>43132</v>
      </c>
      <c r="B16670" t="s">
        <v>20172</v>
      </c>
      <c r="C16670" t="s">
        <v>2542</v>
      </c>
      <c r="D16670" s="254">
        <v>30</v>
      </c>
      <c r="E16670"/>
      <c r="F16670"/>
      <c r="G16670"/>
      <c r="H16670"/>
      <c r="I16670" s="489"/>
      <c r="J16670" s="1362"/>
      <c r="K16670" s="1362"/>
      <c r="L16670" s="1362"/>
    </row>
    <row r="16671" spans="1:12" x14ac:dyDescent="0.25">
      <c r="A16671">
        <v>366</v>
      </c>
      <c r="B16671" t="s">
        <v>20173</v>
      </c>
      <c r="C16671" t="s">
        <v>2540</v>
      </c>
      <c r="D16671" s="254">
        <v>150</v>
      </c>
      <c r="E16671"/>
      <c r="F16671"/>
      <c r="G16671"/>
      <c r="H16671"/>
      <c r="I16671" s="489"/>
      <c r="J16671" s="1362"/>
      <c r="K16671" s="1362"/>
      <c r="L16671" s="1362"/>
    </row>
    <row r="16672" spans="1:12" x14ac:dyDescent="0.25">
      <c r="A16672">
        <v>367</v>
      </c>
      <c r="B16672" t="s">
        <v>20174</v>
      </c>
      <c r="C16672" t="s">
        <v>2540</v>
      </c>
      <c r="D16672" s="254">
        <v>151.96</v>
      </c>
      <c r="E16672"/>
      <c r="F16672"/>
      <c r="G16672"/>
      <c r="H16672"/>
      <c r="I16672" s="489"/>
      <c r="J16672" s="1362"/>
      <c r="K16672" s="1362"/>
      <c r="L16672" s="1362"/>
    </row>
    <row r="16673" spans="1:12" x14ac:dyDescent="0.25">
      <c r="A16673">
        <v>370</v>
      </c>
      <c r="B16673" t="s">
        <v>20175</v>
      </c>
      <c r="C16673" t="s">
        <v>2540</v>
      </c>
      <c r="D16673" s="254">
        <v>150</v>
      </c>
      <c r="E16673"/>
      <c r="F16673"/>
      <c r="G16673"/>
      <c r="H16673"/>
      <c r="I16673" s="489"/>
      <c r="J16673" s="1362"/>
      <c r="K16673" s="1362"/>
      <c r="L16673" s="1362"/>
    </row>
    <row r="16674" spans="1:12" x14ac:dyDescent="0.25">
      <c r="A16674">
        <v>368</v>
      </c>
      <c r="B16674" t="s">
        <v>20176</v>
      </c>
      <c r="C16674" t="s">
        <v>2540</v>
      </c>
      <c r="D16674" s="254">
        <v>75</v>
      </c>
      <c r="E16674"/>
      <c r="F16674"/>
      <c r="G16674"/>
      <c r="H16674"/>
      <c r="I16674" s="489"/>
      <c r="J16674" s="1362"/>
      <c r="K16674" s="1362"/>
      <c r="L16674" s="1362"/>
    </row>
    <row r="16675" spans="1:12" x14ac:dyDescent="0.25">
      <c r="A16675">
        <v>11075</v>
      </c>
      <c r="B16675" t="s">
        <v>20177</v>
      </c>
      <c r="C16675" t="s">
        <v>2540</v>
      </c>
      <c r="D16675" s="254">
        <v>1721.53</v>
      </c>
      <c r="E16675"/>
      <c r="F16675"/>
      <c r="G16675"/>
      <c r="H16675"/>
      <c r="I16675" s="489"/>
      <c r="J16675" s="1362"/>
      <c r="K16675" s="1362"/>
      <c r="L16675" s="1362"/>
    </row>
    <row r="16676" spans="1:12" x14ac:dyDescent="0.25">
      <c r="A16676">
        <v>1381</v>
      </c>
      <c r="B16676" t="s">
        <v>20178</v>
      </c>
      <c r="C16676" t="s">
        <v>2542</v>
      </c>
      <c r="D16676" s="254">
        <v>0.6</v>
      </c>
      <c r="E16676"/>
      <c r="F16676"/>
      <c r="G16676"/>
      <c r="H16676"/>
      <c r="I16676" s="489"/>
      <c r="J16676" s="1362"/>
      <c r="K16676" s="1362"/>
      <c r="L16676" s="1362"/>
    </row>
    <row r="16677" spans="1:12" x14ac:dyDescent="0.25">
      <c r="A16677">
        <v>34353</v>
      </c>
      <c r="B16677" t="s">
        <v>20179</v>
      </c>
      <c r="C16677" t="s">
        <v>2542</v>
      </c>
      <c r="D16677" s="254">
        <v>1.1100000000000001</v>
      </c>
      <c r="E16677"/>
      <c r="F16677"/>
      <c r="G16677"/>
      <c r="H16677"/>
      <c r="I16677" s="489"/>
      <c r="J16677" s="1362"/>
      <c r="K16677" s="1362"/>
      <c r="L16677" s="1362"/>
    </row>
    <row r="16678" spans="1:12" x14ac:dyDescent="0.25">
      <c r="A16678">
        <v>37595</v>
      </c>
      <c r="B16678" t="s">
        <v>20180</v>
      </c>
      <c r="C16678" t="s">
        <v>2542</v>
      </c>
      <c r="D16678" s="254">
        <v>1.84</v>
      </c>
      <c r="E16678"/>
      <c r="F16678"/>
      <c r="G16678"/>
      <c r="H16678"/>
      <c r="I16678" s="489"/>
      <c r="J16678" s="1362"/>
      <c r="K16678" s="1362"/>
      <c r="L16678" s="1362"/>
    </row>
    <row r="16679" spans="1:12" x14ac:dyDescent="0.25">
      <c r="A16679">
        <v>37596</v>
      </c>
      <c r="B16679" t="s">
        <v>20181</v>
      </c>
      <c r="C16679" t="s">
        <v>2542</v>
      </c>
      <c r="D16679" s="254">
        <v>2.11</v>
      </c>
      <c r="E16679"/>
      <c r="F16679"/>
      <c r="G16679"/>
      <c r="H16679"/>
      <c r="I16679" s="489"/>
      <c r="J16679" s="1362"/>
      <c r="K16679" s="1362"/>
      <c r="L16679" s="1362"/>
    </row>
    <row r="16680" spans="1:12" x14ac:dyDescent="0.25">
      <c r="A16680">
        <v>371</v>
      </c>
      <c r="B16680" t="s">
        <v>20182</v>
      </c>
      <c r="C16680" t="s">
        <v>2542</v>
      </c>
      <c r="D16680" s="254">
        <v>0.65</v>
      </c>
      <c r="E16680"/>
      <c r="F16680"/>
      <c r="G16680"/>
      <c r="H16680"/>
      <c r="I16680" s="489"/>
      <c r="J16680" s="1362"/>
      <c r="K16680" s="1362"/>
      <c r="L16680" s="1362"/>
    </row>
    <row r="16681" spans="1:12" x14ac:dyDescent="0.25">
      <c r="A16681">
        <v>37553</v>
      </c>
      <c r="B16681" t="s">
        <v>20183</v>
      </c>
      <c r="C16681" t="s">
        <v>2542</v>
      </c>
      <c r="D16681" s="254">
        <v>1.22</v>
      </c>
      <c r="E16681"/>
      <c r="F16681"/>
      <c r="G16681"/>
      <c r="H16681"/>
      <c r="I16681" s="489"/>
      <c r="J16681" s="1362"/>
      <c r="K16681" s="1362"/>
      <c r="L16681" s="1362"/>
    </row>
    <row r="16682" spans="1:12" x14ac:dyDescent="0.25">
      <c r="A16682">
        <v>37552</v>
      </c>
      <c r="B16682" t="s">
        <v>20184</v>
      </c>
      <c r="C16682" t="s">
        <v>2542</v>
      </c>
      <c r="D16682" s="254">
        <v>1.97</v>
      </c>
      <c r="E16682"/>
      <c r="F16682"/>
      <c r="G16682"/>
      <c r="H16682"/>
      <c r="I16682" s="489"/>
      <c r="J16682" s="1362"/>
      <c r="K16682" s="1362"/>
      <c r="L16682" s="1362"/>
    </row>
    <row r="16683" spans="1:12" x14ac:dyDescent="0.25">
      <c r="A16683">
        <v>36880</v>
      </c>
      <c r="B16683" t="s">
        <v>20185</v>
      </c>
      <c r="C16683" t="s">
        <v>2542</v>
      </c>
      <c r="D16683" s="254">
        <v>2</v>
      </c>
      <c r="E16683"/>
      <c r="F16683"/>
      <c r="G16683"/>
      <c r="H16683"/>
      <c r="I16683" s="489"/>
      <c r="J16683" s="1362"/>
      <c r="K16683" s="1362"/>
      <c r="L16683" s="1362"/>
    </row>
    <row r="16684" spans="1:12" x14ac:dyDescent="0.25">
      <c r="A16684">
        <v>34355</v>
      </c>
      <c r="B16684" t="s">
        <v>20186</v>
      </c>
      <c r="C16684" t="s">
        <v>2542</v>
      </c>
      <c r="D16684" s="254">
        <v>1.72</v>
      </c>
      <c r="E16684"/>
      <c r="F16684"/>
      <c r="G16684"/>
      <c r="H16684"/>
      <c r="I16684" s="489"/>
      <c r="J16684" s="1362"/>
      <c r="K16684" s="1362"/>
      <c r="L16684" s="1362"/>
    </row>
    <row r="16685" spans="1:12" x14ac:dyDescent="0.25">
      <c r="A16685">
        <v>130</v>
      </c>
      <c r="B16685" t="s">
        <v>20187</v>
      </c>
      <c r="C16685" t="s">
        <v>2542</v>
      </c>
      <c r="D16685" s="254">
        <v>3.77</v>
      </c>
      <c r="E16685"/>
      <c r="F16685"/>
      <c r="G16685"/>
      <c r="H16685"/>
      <c r="I16685" s="489"/>
      <c r="J16685" s="1362"/>
      <c r="K16685" s="1362"/>
      <c r="L16685" s="1362"/>
    </row>
    <row r="16686" spans="1:12" x14ac:dyDescent="0.25">
      <c r="A16686">
        <v>135</v>
      </c>
      <c r="B16686" t="s">
        <v>20188</v>
      </c>
      <c r="C16686" t="s">
        <v>2542</v>
      </c>
      <c r="D16686" s="254">
        <v>3.03</v>
      </c>
      <c r="E16686"/>
      <c r="F16686"/>
      <c r="G16686"/>
      <c r="H16686"/>
      <c r="I16686" s="489"/>
      <c r="J16686" s="1362"/>
      <c r="K16686" s="1362"/>
      <c r="L16686" s="1362"/>
    </row>
    <row r="16687" spans="1:12" x14ac:dyDescent="0.25">
      <c r="A16687">
        <v>36886</v>
      </c>
      <c r="B16687" t="s">
        <v>20189</v>
      </c>
      <c r="C16687" t="s">
        <v>2542</v>
      </c>
      <c r="D16687" s="254">
        <v>0.62</v>
      </c>
      <c r="E16687"/>
      <c r="F16687"/>
      <c r="G16687"/>
      <c r="H16687"/>
      <c r="I16687" s="489"/>
      <c r="J16687" s="1362"/>
      <c r="K16687" s="1362"/>
      <c r="L16687" s="1362"/>
    </row>
    <row r="16688" spans="1:12" x14ac:dyDescent="0.25">
      <c r="A16688">
        <v>38546</v>
      </c>
      <c r="B16688" t="s">
        <v>20190</v>
      </c>
      <c r="C16688" t="s">
        <v>2540</v>
      </c>
      <c r="D16688" s="254">
        <v>521.55999999999995</v>
      </c>
      <c r="E16688"/>
      <c r="F16688"/>
      <c r="G16688"/>
      <c r="H16688"/>
      <c r="I16688" s="489"/>
      <c r="J16688" s="1362"/>
      <c r="K16688" s="1362"/>
      <c r="L16688" s="1362"/>
    </row>
    <row r="16689" spans="1:12" x14ac:dyDescent="0.25">
      <c r="A16689">
        <v>34549</v>
      </c>
      <c r="B16689" t="s">
        <v>20191</v>
      </c>
      <c r="C16689" t="s">
        <v>2540</v>
      </c>
      <c r="D16689" s="254">
        <v>1119.8800000000001</v>
      </c>
      <c r="E16689"/>
      <c r="F16689"/>
      <c r="G16689"/>
      <c r="H16689"/>
      <c r="I16689" s="489"/>
      <c r="J16689" s="1362"/>
      <c r="K16689" s="1362"/>
      <c r="L16689" s="1362"/>
    </row>
    <row r="16690" spans="1:12" x14ac:dyDescent="0.25">
      <c r="A16690">
        <v>6081</v>
      </c>
      <c r="B16690" t="s">
        <v>20192</v>
      </c>
      <c r="C16690" t="s">
        <v>2540</v>
      </c>
      <c r="D16690" s="254">
        <v>78.39</v>
      </c>
      <c r="E16690"/>
      <c r="F16690"/>
      <c r="G16690"/>
      <c r="H16690"/>
      <c r="I16690" s="489"/>
      <c r="J16690" s="1362"/>
      <c r="K16690" s="1362"/>
      <c r="L16690" s="1362"/>
    </row>
    <row r="16691" spans="1:12" x14ac:dyDescent="0.25">
      <c r="A16691">
        <v>6077</v>
      </c>
      <c r="B16691" t="s">
        <v>20193</v>
      </c>
      <c r="C16691" t="s">
        <v>2540</v>
      </c>
      <c r="D16691" s="254">
        <v>55.99</v>
      </c>
      <c r="E16691"/>
      <c r="F16691"/>
      <c r="G16691"/>
      <c r="H16691"/>
      <c r="I16691" s="489"/>
      <c r="J16691" s="1362"/>
      <c r="K16691" s="1362"/>
      <c r="L16691" s="1362"/>
    </row>
    <row r="16692" spans="1:12" x14ac:dyDescent="0.25">
      <c r="A16692">
        <v>6079</v>
      </c>
      <c r="B16692" t="s">
        <v>20194</v>
      </c>
      <c r="C16692" t="s">
        <v>2540</v>
      </c>
      <c r="D16692" s="254">
        <v>55.99</v>
      </c>
      <c r="E16692"/>
      <c r="F16692"/>
      <c r="G16692"/>
      <c r="H16692"/>
      <c r="I16692" s="489"/>
      <c r="J16692" s="1362"/>
      <c r="K16692" s="1362"/>
      <c r="L16692" s="1362"/>
    </row>
    <row r="16693" spans="1:12" x14ac:dyDescent="0.25">
      <c r="A16693">
        <v>1091</v>
      </c>
      <c r="B16693" t="s">
        <v>20195</v>
      </c>
      <c r="C16693" t="s">
        <v>2537</v>
      </c>
      <c r="D16693" s="254">
        <v>55.57</v>
      </c>
      <c r="E16693"/>
      <c r="F16693"/>
      <c r="G16693"/>
      <c r="H16693"/>
      <c r="I16693" s="489"/>
      <c r="J16693" s="1362"/>
      <c r="K16693" s="1362"/>
      <c r="L16693" s="1362"/>
    </row>
    <row r="16694" spans="1:12" x14ac:dyDescent="0.25">
      <c r="A16694">
        <v>1094</v>
      </c>
      <c r="B16694" t="s">
        <v>20196</v>
      </c>
      <c r="C16694" t="s">
        <v>2537</v>
      </c>
      <c r="D16694" s="254">
        <v>38.869999999999997</v>
      </c>
      <c r="E16694"/>
      <c r="F16694"/>
      <c r="G16694"/>
      <c r="H16694"/>
      <c r="I16694" s="489"/>
      <c r="J16694" s="1362"/>
      <c r="K16694" s="1362"/>
      <c r="L16694" s="1362"/>
    </row>
    <row r="16695" spans="1:12" x14ac:dyDescent="0.25">
      <c r="A16695">
        <v>1095</v>
      </c>
      <c r="B16695" t="s">
        <v>20197</v>
      </c>
      <c r="C16695" t="s">
        <v>2537</v>
      </c>
      <c r="D16695" s="254">
        <v>82.61</v>
      </c>
      <c r="E16695"/>
      <c r="F16695"/>
      <c r="G16695"/>
      <c r="H16695"/>
      <c r="I16695" s="489"/>
      <c r="J16695" s="1362"/>
      <c r="K16695" s="1362"/>
      <c r="L16695" s="1362"/>
    </row>
    <row r="16696" spans="1:12" x14ac:dyDescent="0.25">
      <c r="A16696">
        <v>1092</v>
      </c>
      <c r="B16696" t="s">
        <v>20198</v>
      </c>
      <c r="C16696" t="s">
        <v>2537</v>
      </c>
      <c r="D16696" s="254">
        <v>63.92</v>
      </c>
      <c r="E16696"/>
      <c r="F16696"/>
      <c r="G16696"/>
      <c r="H16696"/>
      <c r="I16696" s="489"/>
      <c r="J16696" s="1362"/>
      <c r="K16696" s="1362"/>
      <c r="L16696" s="1362"/>
    </row>
    <row r="16697" spans="1:12" x14ac:dyDescent="0.25">
      <c r="A16697">
        <v>1093</v>
      </c>
      <c r="B16697" t="s">
        <v>20199</v>
      </c>
      <c r="C16697" t="s">
        <v>2537</v>
      </c>
      <c r="D16697" s="254">
        <v>149.27000000000001</v>
      </c>
      <c r="E16697"/>
      <c r="F16697"/>
      <c r="G16697"/>
      <c r="H16697"/>
      <c r="I16697" s="489"/>
      <c r="J16697" s="1362"/>
      <c r="K16697" s="1362"/>
      <c r="L16697" s="1362"/>
    </row>
    <row r="16698" spans="1:12" x14ac:dyDescent="0.25">
      <c r="A16698">
        <v>1090</v>
      </c>
      <c r="B16698" t="s">
        <v>20200</v>
      </c>
      <c r="C16698" t="s">
        <v>2537</v>
      </c>
      <c r="D16698" s="254">
        <v>106.88</v>
      </c>
      <c r="E16698"/>
      <c r="F16698"/>
      <c r="G16698"/>
      <c r="H16698"/>
      <c r="I16698" s="489"/>
      <c r="J16698" s="1362"/>
      <c r="K16698" s="1362"/>
      <c r="L16698" s="1362"/>
    </row>
    <row r="16699" spans="1:12" x14ac:dyDescent="0.25">
      <c r="A16699">
        <v>1096</v>
      </c>
      <c r="B16699" t="s">
        <v>20201</v>
      </c>
      <c r="C16699" t="s">
        <v>2537</v>
      </c>
      <c r="D16699" s="254">
        <v>192.34</v>
      </c>
      <c r="E16699"/>
      <c r="F16699"/>
      <c r="G16699"/>
      <c r="H16699"/>
      <c r="I16699" s="489"/>
      <c r="J16699" s="1362"/>
      <c r="K16699" s="1362"/>
      <c r="L16699" s="1362"/>
    </row>
    <row r="16700" spans="1:12" x14ac:dyDescent="0.25">
      <c r="A16700">
        <v>1097</v>
      </c>
      <c r="B16700" t="s">
        <v>20202</v>
      </c>
      <c r="C16700" t="s">
        <v>2537</v>
      </c>
      <c r="D16700" s="254">
        <v>163.27000000000001</v>
      </c>
      <c r="E16700"/>
      <c r="F16700"/>
      <c r="G16700"/>
      <c r="H16700"/>
      <c r="I16700" s="489"/>
      <c r="J16700" s="1362"/>
      <c r="K16700" s="1362"/>
      <c r="L16700" s="1362"/>
    </row>
    <row r="16701" spans="1:12" x14ac:dyDescent="0.25">
      <c r="A16701">
        <v>378</v>
      </c>
      <c r="B16701" t="s">
        <v>20203</v>
      </c>
      <c r="C16701" t="s">
        <v>2538</v>
      </c>
      <c r="D16701" s="254">
        <v>26.64</v>
      </c>
      <c r="E16701"/>
      <c r="F16701"/>
      <c r="G16701"/>
      <c r="H16701"/>
      <c r="I16701" s="489"/>
      <c r="J16701" s="1362"/>
      <c r="K16701" s="1362"/>
      <c r="L16701" s="1362"/>
    </row>
    <row r="16702" spans="1:12" x14ac:dyDescent="0.25">
      <c r="A16702">
        <v>40911</v>
      </c>
      <c r="B16702" t="s">
        <v>20204</v>
      </c>
      <c r="C16702" t="s">
        <v>2544</v>
      </c>
      <c r="D16702" s="254">
        <v>4700.3</v>
      </c>
      <c r="E16702"/>
      <c r="F16702"/>
      <c r="G16702"/>
      <c r="H16702"/>
      <c r="I16702" s="489"/>
      <c r="J16702" s="1362"/>
      <c r="K16702" s="1362"/>
      <c r="L16702" s="1362"/>
    </row>
    <row r="16703" spans="1:12" x14ac:dyDescent="0.25">
      <c r="A16703">
        <v>33939</v>
      </c>
      <c r="B16703" t="s">
        <v>20205</v>
      </c>
      <c r="C16703" t="s">
        <v>2538</v>
      </c>
      <c r="D16703" s="254">
        <v>77.88</v>
      </c>
      <c r="E16703"/>
      <c r="F16703"/>
      <c r="G16703"/>
      <c r="H16703"/>
      <c r="I16703" s="489"/>
      <c r="J16703" s="1362"/>
      <c r="K16703" s="1362"/>
      <c r="L16703" s="1362"/>
    </row>
    <row r="16704" spans="1:12" x14ac:dyDescent="0.25">
      <c r="A16704">
        <v>40815</v>
      </c>
      <c r="B16704" t="s">
        <v>20206</v>
      </c>
      <c r="C16704" t="s">
        <v>2544</v>
      </c>
      <c r="D16704" s="254">
        <v>13741.95</v>
      </c>
      <c r="E16704"/>
      <c r="F16704"/>
      <c r="G16704"/>
      <c r="H16704"/>
      <c r="I16704" s="489"/>
      <c r="J16704" s="1362"/>
      <c r="K16704" s="1362"/>
      <c r="L16704" s="1362"/>
    </row>
    <row r="16705" spans="1:12" x14ac:dyDescent="0.25">
      <c r="A16705">
        <v>34760</v>
      </c>
      <c r="B16705" t="s">
        <v>20207</v>
      </c>
      <c r="C16705" t="s">
        <v>2538</v>
      </c>
      <c r="D16705" s="254">
        <v>79.180000000000007</v>
      </c>
      <c r="E16705"/>
      <c r="F16705"/>
      <c r="G16705"/>
      <c r="H16705"/>
      <c r="I16705" s="489"/>
      <c r="J16705" s="1362"/>
      <c r="K16705" s="1362"/>
      <c r="L16705" s="1362"/>
    </row>
    <row r="16706" spans="1:12" x14ac:dyDescent="0.25">
      <c r="A16706">
        <v>40935</v>
      </c>
      <c r="B16706" t="s">
        <v>20208</v>
      </c>
      <c r="C16706" t="s">
        <v>2544</v>
      </c>
      <c r="D16706" s="254">
        <v>13969.78</v>
      </c>
      <c r="E16706"/>
      <c r="F16706"/>
      <c r="G16706"/>
      <c r="H16706"/>
      <c r="I16706" s="489"/>
      <c r="J16706" s="1362"/>
      <c r="K16706" s="1362"/>
      <c r="L16706" s="1362"/>
    </row>
    <row r="16707" spans="1:12" x14ac:dyDescent="0.25">
      <c r="A16707">
        <v>33952</v>
      </c>
      <c r="B16707" t="s">
        <v>20209</v>
      </c>
      <c r="C16707" t="s">
        <v>2538</v>
      </c>
      <c r="D16707" s="254">
        <v>110.61</v>
      </c>
      <c r="E16707"/>
      <c r="F16707"/>
      <c r="G16707"/>
      <c r="H16707"/>
      <c r="I16707" s="489"/>
      <c r="J16707" s="1362"/>
      <c r="K16707" s="1362"/>
      <c r="L16707" s="1362"/>
    </row>
    <row r="16708" spans="1:12" x14ac:dyDescent="0.25">
      <c r="A16708">
        <v>40816</v>
      </c>
      <c r="B16708" t="s">
        <v>20210</v>
      </c>
      <c r="C16708" t="s">
        <v>2544</v>
      </c>
      <c r="D16708" s="254">
        <v>19519.3</v>
      </c>
      <c r="E16708"/>
      <c r="F16708"/>
      <c r="G16708"/>
      <c r="H16708"/>
      <c r="I16708" s="489"/>
      <c r="J16708" s="1362"/>
      <c r="K16708" s="1362"/>
      <c r="L16708" s="1362"/>
    </row>
    <row r="16709" spans="1:12" x14ac:dyDescent="0.25">
      <c r="A16709">
        <v>33953</v>
      </c>
      <c r="B16709" t="s">
        <v>20211</v>
      </c>
      <c r="C16709" t="s">
        <v>2538</v>
      </c>
      <c r="D16709" s="254">
        <v>146.25</v>
      </c>
      <c r="E16709"/>
      <c r="F16709"/>
      <c r="G16709"/>
      <c r="H16709"/>
      <c r="I16709" s="489"/>
      <c r="J16709" s="1362"/>
      <c r="K16709" s="1362"/>
      <c r="L16709" s="1362"/>
    </row>
    <row r="16710" spans="1:12" x14ac:dyDescent="0.25">
      <c r="A16710">
        <v>40817</v>
      </c>
      <c r="B16710" t="s">
        <v>20212</v>
      </c>
      <c r="C16710" t="s">
        <v>2544</v>
      </c>
      <c r="D16710" s="254">
        <v>25806.25</v>
      </c>
      <c r="E16710"/>
      <c r="F16710"/>
      <c r="G16710"/>
      <c r="H16710"/>
      <c r="I16710" s="489"/>
      <c r="J16710" s="1362"/>
      <c r="K16710" s="1362"/>
      <c r="L16710" s="1362"/>
    </row>
    <row r="16711" spans="1:12" x14ac:dyDescent="0.25">
      <c r="A16711">
        <v>13348</v>
      </c>
      <c r="B16711" t="s">
        <v>20213</v>
      </c>
      <c r="C16711" t="s">
        <v>2537</v>
      </c>
      <c r="D16711" s="254">
        <v>1.31</v>
      </c>
      <c r="E16711"/>
      <c r="F16711"/>
      <c r="G16711"/>
      <c r="H16711"/>
      <c r="I16711" s="489"/>
      <c r="J16711" s="1362"/>
      <c r="K16711" s="1362"/>
      <c r="L16711" s="1362"/>
    </row>
    <row r="16712" spans="1:12" x14ac:dyDescent="0.25">
      <c r="A16712">
        <v>39211</v>
      </c>
      <c r="B16712" t="s">
        <v>20214</v>
      </c>
      <c r="C16712" t="s">
        <v>2537</v>
      </c>
      <c r="D16712" s="254">
        <v>1.83</v>
      </c>
      <c r="E16712"/>
      <c r="F16712"/>
      <c r="G16712"/>
      <c r="H16712"/>
      <c r="I16712" s="489"/>
      <c r="J16712" s="1362"/>
      <c r="K16712" s="1362"/>
      <c r="L16712" s="1362"/>
    </row>
    <row r="16713" spans="1:12" x14ac:dyDescent="0.25">
      <c r="A16713">
        <v>39212</v>
      </c>
      <c r="B16713" t="s">
        <v>20215</v>
      </c>
      <c r="C16713" t="s">
        <v>2537</v>
      </c>
      <c r="D16713" s="254">
        <v>2.04</v>
      </c>
      <c r="E16713"/>
      <c r="F16713"/>
      <c r="G16713"/>
      <c r="H16713"/>
      <c r="I16713" s="489"/>
      <c r="J16713" s="1362"/>
      <c r="K16713" s="1362"/>
      <c r="L16713" s="1362"/>
    </row>
    <row r="16714" spans="1:12" x14ac:dyDescent="0.25">
      <c r="A16714">
        <v>39208</v>
      </c>
      <c r="B16714" t="s">
        <v>20216</v>
      </c>
      <c r="C16714" t="s">
        <v>2537</v>
      </c>
      <c r="D16714" s="254">
        <v>0.56000000000000005</v>
      </c>
      <c r="E16714"/>
      <c r="F16714"/>
      <c r="G16714"/>
      <c r="H16714"/>
      <c r="I16714" s="489"/>
      <c r="J16714" s="1362"/>
      <c r="K16714" s="1362"/>
      <c r="L16714" s="1362"/>
    </row>
    <row r="16715" spans="1:12" x14ac:dyDescent="0.25">
      <c r="A16715">
        <v>39210</v>
      </c>
      <c r="B16715" t="s">
        <v>20217</v>
      </c>
      <c r="C16715" t="s">
        <v>2537</v>
      </c>
      <c r="D16715" s="254">
        <v>1.02</v>
      </c>
      <c r="E16715"/>
      <c r="F16715"/>
      <c r="G16715"/>
      <c r="H16715"/>
      <c r="I16715" s="489"/>
      <c r="J16715" s="1362"/>
      <c r="K16715" s="1362"/>
      <c r="L16715" s="1362"/>
    </row>
    <row r="16716" spans="1:12" x14ac:dyDescent="0.25">
      <c r="A16716">
        <v>39214</v>
      </c>
      <c r="B16716" t="s">
        <v>20218</v>
      </c>
      <c r="C16716" t="s">
        <v>2537</v>
      </c>
      <c r="D16716" s="254">
        <v>3.78</v>
      </c>
      <c r="E16716"/>
      <c r="F16716"/>
      <c r="G16716"/>
      <c r="H16716"/>
      <c r="I16716" s="489"/>
      <c r="J16716" s="1362"/>
      <c r="K16716" s="1362"/>
      <c r="L16716" s="1362"/>
    </row>
    <row r="16717" spans="1:12" x14ac:dyDescent="0.25">
      <c r="A16717">
        <v>39213</v>
      </c>
      <c r="B16717" t="s">
        <v>20219</v>
      </c>
      <c r="C16717" t="s">
        <v>2537</v>
      </c>
      <c r="D16717" s="254">
        <v>2.67</v>
      </c>
      <c r="E16717"/>
      <c r="F16717"/>
      <c r="G16717"/>
      <c r="H16717"/>
      <c r="I16717" s="489"/>
      <c r="J16717" s="1362"/>
      <c r="K16717" s="1362"/>
      <c r="L16717" s="1362"/>
    </row>
    <row r="16718" spans="1:12" x14ac:dyDescent="0.25">
      <c r="A16718">
        <v>39209</v>
      </c>
      <c r="B16718" t="s">
        <v>20220</v>
      </c>
      <c r="C16718" t="s">
        <v>2537</v>
      </c>
      <c r="D16718" s="254">
        <v>0.66</v>
      </c>
      <c r="E16718"/>
      <c r="F16718"/>
      <c r="G16718"/>
      <c r="H16718"/>
      <c r="I16718" s="489"/>
      <c r="J16718" s="1362"/>
      <c r="K16718" s="1362"/>
      <c r="L16718" s="1362"/>
    </row>
    <row r="16719" spans="1:12" x14ac:dyDescent="0.25">
      <c r="A16719">
        <v>39207</v>
      </c>
      <c r="B16719" t="s">
        <v>20221</v>
      </c>
      <c r="C16719" t="s">
        <v>2537</v>
      </c>
      <c r="D16719" s="254">
        <v>1.02</v>
      </c>
      <c r="E16719"/>
      <c r="F16719"/>
      <c r="G16719"/>
      <c r="H16719"/>
      <c r="I16719" s="489"/>
      <c r="J16719" s="1362"/>
      <c r="K16719" s="1362"/>
      <c r="L16719" s="1362"/>
    </row>
    <row r="16720" spans="1:12" x14ac:dyDescent="0.25">
      <c r="A16720">
        <v>39215</v>
      </c>
      <c r="B16720" t="s">
        <v>20222</v>
      </c>
      <c r="C16720" t="s">
        <v>2537</v>
      </c>
      <c r="D16720" s="254">
        <v>6.88</v>
      </c>
      <c r="E16720"/>
      <c r="F16720"/>
      <c r="G16720"/>
      <c r="H16720"/>
      <c r="I16720" s="489"/>
      <c r="J16720" s="1362"/>
      <c r="K16720" s="1362"/>
      <c r="L16720" s="1362"/>
    </row>
    <row r="16721" spans="1:12" x14ac:dyDescent="0.25">
      <c r="A16721">
        <v>39216</v>
      </c>
      <c r="B16721" t="s">
        <v>20223</v>
      </c>
      <c r="C16721" t="s">
        <v>2537</v>
      </c>
      <c r="D16721" s="254">
        <v>9.6</v>
      </c>
      <c r="E16721"/>
      <c r="F16721"/>
      <c r="G16721"/>
      <c r="H16721"/>
      <c r="I16721" s="489"/>
      <c r="J16721" s="1362"/>
      <c r="K16721" s="1362"/>
      <c r="L16721" s="1362"/>
    </row>
    <row r="16722" spans="1:12" x14ac:dyDescent="0.25">
      <c r="A16722">
        <v>11267</v>
      </c>
      <c r="B16722" t="s">
        <v>20224</v>
      </c>
      <c r="C16722" t="s">
        <v>2537</v>
      </c>
      <c r="D16722" s="254">
        <v>1.1499999999999999</v>
      </c>
      <c r="E16722"/>
      <c r="F16722"/>
      <c r="G16722"/>
      <c r="H16722"/>
      <c r="I16722" s="489"/>
      <c r="J16722" s="1362"/>
      <c r="K16722" s="1362"/>
      <c r="L16722" s="1362"/>
    </row>
    <row r="16723" spans="1:12" x14ac:dyDescent="0.25">
      <c r="A16723">
        <v>379</v>
      </c>
      <c r="B16723" t="s">
        <v>20225</v>
      </c>
      <c r="C16723" t="s">
        <v>2537</v>
      </c>
      <c r="D16723" s="254">
        <v>1.1499999999999999</v>
      </c>
      <c r="E16723"/>
      <c r="F16723"/>
      <c r="G16723"/>
      <c r="H16723"/>
      <c r="I16723" s="489"/>
      <c r="J16723" s="1362"/>
      <c r="K16723" s="1362"/>
      <c r="L16723" s="1362"/>
    </row>
    <row r="16724" spans="1:12" x14ac:dyDescent="0.25">
      <c r="A16724">
        <v>510</v>
      </c>
      <c r="B16724" t="s">
        <v>20226</v>
      </c>
      <c r="C16724" t="s">
        <v>2542</v>
      </c>
      <c r="D16724" s="254">
        <v>8.5399999999999991</v>
      </c>
      <c r="E16724"/>
      <c r="F16724"/>
      <c r="G16724"/>
      <c r="H16724"/>
      <c r="I16724" s="489"/>
      <c r="J16724" s="1362"/>
      <c r="K16724" s="1362"/>
      <c r="L16724" s="1362"/>
    </row>
    <row r="16725" spans="1:12" x14ac:dyDescent="0.25">
      <c r="A16725">
        <v>516</v>
      </c>
      <c r="B16725" t="s">
        <v>20227</v>
      </c>
      <c r="C16725" t="s">
        <v>2542</v>
      </c>
      <c r="D16725" s="254">
        <v>10.119999999999999</v>
      </c>
      <c r="E16725"/>
      <c r="F16725"/>
      <c r="G16725"/>
      <c r="H16725"/>
      <c r="I16725" s="489"/>
      <c r="J16725" s="1362"/>
      <c r="K16725" s="1362"/>
      <c r="L16725" s="1362"/>
    </row>
    <row r="16726" spans="1:12" x14ac:dyDescent="0.25">
      <c r="A16726">
        <v>509</v>
      </c>
      <c r="B16726" t="s">
        <v>20228</v>
      </c>
      <c r="C16726" t="s">
        <v>2542</v>
      </c>
      <c r="D16726" s="254">
        <v>11.35</v>
      </c>
      <c r="E16726"/>
      <c r="F16726"/>
      <c r="G16726"/>
      <c r="H16726"/>
      <c r="I16726" s="489"/>
      <c r="J16726" s="1362"/>
      <c r="K16726" s="1362"/>
      <c r="L16726" s="1362"/>
    </row>
    <row r="16727" spans="1:12" x14ac:dyDescent="0.25">
      <c r="A16727">
        <v>40331</v>
      </c>
      <c r="B16727" t="s">
        <v>20229</v>
      </c>
      <c r="C16727" t="s">
        <v>2538</v>
      </c>
      <c r="D16727" s="254">
        <v>21.52</v>
      </c>
      <c r="E16727"/>
      <c r="F16727"/>
      <c r="G16727"/>
      <c r="H16727"/>
      <c r="I16727" s="489"/>
      <c r="J16727" s="1362"/>
      <c r="K16727" s="1362"/>
      <c r="L16727" s="1362"/>
    </row>
    <row r="16728" spans="1:12" x14ac:dyDescent="0.25">
      <c r="A16728">
        <v>40930</v>
      </c>
      <c r="B16728" t="s">
        <v>20230</v>
      </c>
      <c r="C16728" t="s">
        <v>2544</v>
      </c>
      <c r="D16728" s="254">
        <v>3798.23</v>
      </c>
      <c r="E16728"/>
      <c r="F16728"/>
      <c r="G16728"/>
      <c r="H16728"/>
      <c r="I16728" s="489"/>
      <c r="J16728" s="1362"/>
      <c r="K16728" s="1362"/>
      <c r="L16728" s="1362"/>
    </row>
    <row r="16729" spans="1:12" x14ac:dyDescent="0.25">
      <c r="A16729">
        <v>11761</v>
      </c>
      <c r="B16729" t="s">
        <v>20231</v>
      </c>
      <c r="C16729" t="s">
        <v>2537</v>
      </c>
      <c r="D16729" s="254">
        <v>82.8</v>
      </c>
      <c r="E16729"/>
      <c r="F16729"/>
      <c r="G16729"/>
      <c r="H16729"/>
      <c r="I16729" s="489"/>
      <c r="J16729" s="1362"/>
      <c r="K16729" s="1362"/>
      <c r="L16729" s="1362"/>
    </row>
    <row r="16730" spans="1:12" x14ac:dyDescent="0.25">
      <c r="A16730">
        <v>377</v>
      </c>
      <c r="B16730" t="s">
        <v>20232</v>
      </c>
      <c r="C16730" t="s">
        <v>2537</v>
      </c>
      <c r="D16730" s="254">
        <v>38.909999999999997</v>
      </c>
      <c r="E16730"/>
      <c r="F16730"/>
      <c r="G16730"/>
      <c r="H16730"/>
      <c r="I16730" s="489"/>
      <c r="J16730" s="1362"/>
      <c r="K16730" s="1362"/>
      <c r="L16730" s="1362"/>
    </row>
    <row r="16731" spans="1:12" x14ac:dyDescent="0.25">
      <c r="A16731">
        <v>7588</v>
      </c>
      <c r="B16731" t="s">
        <v>20233</v>
      </c>
      <c r="C16731" t="s">
        <v>2537</v>
      </c>
      <c r="D16731" s="254">
        <v>53.55</v>
      </c>
      <c r="E16731"/>
      <c r="F16731"/>
      <c r="G16731"/>
      <c r="H16731"/>
      <c r="I16731" s="489"/>
      <c r="J16731" s="1362"/>
      <c r="K16731" s="1362"/>
      <c r="L16731" s="1362"/>
    </row>
    <row r="16732" spans="1:12" x14ac:dyDescent="0.25">
      <c r="A16732">
        <v>34392</v>
      </c>
      <c r="B16732" t="s">
        <v>20234</v>
      </c>
      <c r="C16732" t="s">
        <v>2538</v>
      </c>
      <c r="D16732" s="254">
        <v>24.25</v>
      </c>
      <c r="E16732"/>
      <c r="F16732"/>
      <c r="G16732"/>
      <c r="H16732"/>
      <c r="I16732" s="489"/>
      <c r="J16732" s="1362"/>
      <c r="K16732" s="1362"/>
      <c r="L16732" s="1362"/>
    </row>
    <row r="16733" spans="1:12" x14ac:dyDescent="0.25">
      <c r="A16733">
        <v>40908</v>
      </c>
      <c r="B16733" t="s">
        <v>20235</v>
      </c>
      <c r="C16733" t="s">
        <v>2544</v>
      </c>
      <c r="D16733" s="254">
        <v>4280.79</v>
      </c>
      <c r="E16733"/>
      <c r="F16733"/>
      <c r="G16733"/>
      <c r="H16733"/>
      <c r="I16733" s="489"/>
      <c r="J16733" s="1362"/>
      <c r="K16733" s="1362"/>
      <c r="L16733" s="1362"/>
    </row>
    <row r="16734" spans="1:12" x14ac:dyDescent="0.25">
      <c r="A16734">
        <v>34551</v>
      </c>
      <c r="B16734" t="s">
        <v>20236</v>
      </c>
      <c r="C16734" t="s">
        <v>2538</v>
      </c>
      <c r="D16734" s="254">
        <v>17.73</v>
      </c>
      <c r="E16734"/>
      <c r="F16734"/>
      <c r="G16734"/>
      <c r="H16734"/>
      <c r="I16734" s="489"/>
      <c r="J16734" s="1362"/>
      <c r="K16734" s="1362"/>
      <c r="L16734" s="1362"/>
    </row>
    <row r="16735" spans="1:12" x14ac:dyDescent="0.25">
      <c r="A16735">
        <v>41078</v>
      </c>
      <c r="B16735" t="s">
        <v>20237</v>
      </c>
      <c r="C16735" t="s">
        <v>2544</v>
      </c>
      <c r="D16735" s="254">
        <v>3129.81</v>
      </c>
      <c r="E16735"/>
      <c r="F16735"/>
      <c r="G16735"/>
      <c r="H16735"/>
      <c r="I16735" s="489"/>
      <c r="J16735" s="1362"/>
      <c r="K16735" s="1362"/>
      <c r="L16735" s="1362"/>
    </row>
    <row r="16736" spans="1:12" x14ac:dyDescent="0.25">
      <c r="A16736">
        <v>246</v>
      </c>
      <c r="B16736" t="s">
        <v>20238</v>
      </c>
      <c r="C16736" t="s">
        <v>2538</v>
      </c>
      <c r="D16736" s="254">
        <v>19.28</v>
      </c>
      <c r="E16736"/>
      <c r="F16736"/>
      <c r="G16736"/>
      <c r="H16736"/>
      <c r="I16736" s="489"/>
      <c r="J16736" s="1362"/>
      <c r="K16736" s="1362"/>
      <c r="L16736" s="1362"/>
    </row>
    <row r="16737" spans="1:12" x14ac:dyDescent="0.25">
      <c r="A16737">
        <v>40927</v>
      </c>
      <c r="B16737" t="s">
        <v>20239</v>
      </c>
      <c r="C16737" t="s">
        <v>2544</v>
      </c>
      <c r="D16737" s="254">
        <v>3406.43</v>
      </c>
      <c r="E16737"/>
      <c r="F16737"/>
      <c r="G16737"/>
      <c r="H16737"/>
      <c r="I16737" s="489"/>
      <c r="J16737" s="1362"/>
      <c r="K16737" s="1362"/>
      <c r="L16737" s="1362"/>
    </row>
    <row r="16738" spans="1:12" x14ac:dyDescent="0.25">
      <c r="A16738">
        <v>2350</v>
      </c>
      <c r="B16738" t="s">
        <v>20240</v>
      </c>
      <c r="C16738" t="s">
        <v>2538</v>
      </c>
      <c r="D16738" s="254">
        <v>24.66</v>
      </c>
      <c r="E16738"/>
      <c r="F16738"/>
      <c r="G16738"/>
      <c r="H16738"/>
      <c r="I16738" s="489"/>
      <c r="J16738" s="1362"/>
      <c r="K16738" s="1362"/>
      <c r="L16738" s="1362"/>
    </row>
    <row r="16739" spans="1:12" x14ac:dyDescent="0.25">
      <c r="A16739">
        <v>40812</v>
      </c>
      <c r="B16739" t="s">
        <v>20241</v>
      </c>
      <c r="C16739" t="s">
        <v>2544</v>
      </c>
      <c r="D16739" s="254">
        <v>4354.1499999999996</v>
      </c>
      <c r="E16739"/>
      <c r="F16739"/>
      <c r="G16739"/>
      <c r="H16739"/>
      <c r="I16739" s="489"/>
      <c r="J16739" s="1362"/>
      <c r="K16739" s="1362"/>
      <c r="L16739" s="1362"/>
    </row>
    <row r="16740" spans="1:12" x14ac:dyDescent="0.25">
      <c r="A16740">
        <v>245</v>
      </c>
      <c r="B16740" t="s">
        <v>20242</v>
      </c>
      <c r="C16740" t="s">
        <v>2538</v>
      </c>
      <c r="D16740" s="254">
        <v>32.03</v>
      </c>
      <c r="E16740"/>
      <c r="F16740"/>
      <c r="G16740"/>
      <c r="H16740"/>
      <c r="I16740" s="489"/>
      <c r="J16740" s="1362"/>
      <c r="K16740" s="1362"/>
      <c r="L16740" s="1362"/>
    </row>
    <row r="16741" spans="1:12" x14ac:dyDescent="0.25">
      <c r="A16741">
        <v>41090</v>
      </c>
      <c r="B16741" t="s">
        <v>20243</v>
      </c>
      <c r="C16741" t="s">
        <v>2544</v>
      </c>
      <c r="D16741" s="254">
        <v>5654.75</v>
      </c>
      <c r="E16741"/>
      <c r="F16741"/>
      <c r="G16741"/>
      <c r="H16741"/>
      <c r="I16741" s="489"/>
      <c r="J16741" s="1362"/>
      <c r="K16741" s="1362"/>
      <c r="L16741" s="1362"/>
    </row>
    <row r="16742" spans="1:12" x14ac:dyDescent="0.25">
      <c r="A16742">
        <v>251</v>
      </c>
      <c r="B16742" t="s">
        <v>20244</v>
      </c>
      <c r="C16742" t="s">
        <v>2538</v>
      </c>
      <c r="D16742" s="254">
        <v>16.489999999999998</v>
      </c>
      <c r="E16742"/>
      <c r="F16742"/>
      <c r="G16742"/>
      <c r="H16742"/>
      <c r="I16742" s="489"/>
      <c r="J16742" s="1362"/>
      <c r="K16742" s="1362"/>
      <c r="L16742" s="1362"/>
    </row>
    <row r="16743" spans="1:12" x14ac:dyDescent="0.25">
      <c r="A16743">
        <v>40975</v>
      </c>
      <c r="B16743" t="s">
        <v>20245</v>
      </c>
      <c r="C16743" t="s">
        <v>2544</v>
      </c>
      <c r="D16743" s="254">
        <v>2910.87</v>
      </c>
      <c r="E16743"/>
      <c r="F16743"/>
      <c r="G16743"/>
      <c r="H16743"/>
      <c r="I16743" s="489"/>
      <c r="J16743" s="1362"/>
      <c r="K16743" s="1362"/>
      <c r="L16743" s="1362"/>
    </row>
    <row r="16744" spans="1:12" x14ac:dyDescent="0.25">
      <c r="A16744">
        <v>6127</v>
      </c>
      <c r="B16744" t="s">
        <v>20246</v>
      </c>
      <c r="C16744" t="s">
        <v>2538</v>
      </c>
      <c r="D16744" s="254">
        <v>17.73</v>
      </c>
      <c r="E16744"/>
      <c r="F16744"/>
      <c r="G16744"/>
      <c r="H16744"/>
      <c r="I16744" s="489"/>
      <c r="J16744" s="1362"/>
      <c r="K16744" s="1362"/>
      <c r="L16744" s="1362"/>
    </row>
    <row r="16745" spans="1:12" x14ac:dyDescent="0.25">
      <c r="A16745">
        <v>41072</v>
      </c>
      <c r="B16745" t="s">
        <v>20247</v>
      </c>
      <c r="C16745" t="s">
        <v>2544</v>
      </c>
      <c r="D16745" s="254">
        <v>3129.81</v>
      </c>
      <c r="E16745"/>
      <c r="F16745"/>
      <c r="G16745"/>
      <c r="H16745"/>
      <c r="I16745" s="489"/>
      <c r="J16745" s="1362"/>
      <c r="K16745" s="1362"/>
      <c r="L16745" s="1362"/>
    </row>
    <row r="16746" spans="1:12" x14ac:dyDescent="0.25">
      <c r="A16746">
        <v>6121</v>
      </c>
      <c r="B16746" t="s">
        <v>20248</v>
      </c>
      <c r="C16746" t="s">
        <v>2538</v>
      </c>
      <c r="D16746" s="254">
        <v>17.3</v>
      </c>
      <c r="E16746"/>
      <c r="F16746"/>
      <c r="G16746"/>
      <c r="H16746"/>
      <c r="I16746" s="489"/>
      <c r="J16746" s="1362"/>
      <c r="K16746" s="1362"/>
      <c r="L16746" s="1362"/>
    </row>
    <row r="16747" spans="1:12" x14ac:dyDescent="0.25">
      <c r="A16747">
        <v>41071</v>
      </c>
      <c r="B16747" t="s">
        <v>20249</v>
      </c>
      <c r="C16747" t="s">
        <v>2544</v>
      </c>
      <c r="D16747" s="254">
        <v>3053.31</v>
      </c>
      <c r="E16747"/>
      <c r="F16747"/>
      <c r="G16747"/>
      <c r="H16747"/>
      <c r="I16747" s="489"/>
      <c r="J16747" s="1362"/>
      <c r="K16747" s="1362"/>
      <c r="L16747" s="1362"/>
    </row>
    <row r="16748" spans="1:12" x14ac:dyDescent="0.25">
      <c r="A16748">
        <v>244</v>
      </c>
      <c r="B16748" t="s">
        <v>20250</v>
      </c>
      <c r="C16748" t="s">
        <v>2538</v>
      </c>
      <c r="D16748" s="254">
        <v>11.44</v>
      </c>
      <c r="E16748"/>
      <c r="F16748"/>
      <c r="G16748"/>
      <c r="H16748"/>
      <c r="I16748" s="489"/>
      <c r="J16748" s="1362"/>
      <c r="K16748" s="1362"/>
      <c r="L16748" s="1362"/>
    </row>
    <row r="16749" spans="1:12" x14ac:dyDescent="0.25">
      <c r="A16749">
        <v>41093</v>
      </c>
      <c r="B16749" t="s">
        <v>20251</v>
      </c>
      <c r="C16749" t="s">
        <v>2544</v>
      </c>
      <c r="D16749" s="254">
        <v>2020.49</v>
      </c>
      <c r="E16749"/>
      <c r="F16749"/>
      <c r="G16749"/>
      <c r="H16749"/>
      <c r="I16749" s="489"/>
      <c r="J16749" s="1362"/>
      <c r="K16749" s="1362"/>
      <c r="L16749" s="1362"/>
    </row>
    <row r="16750" spans="1:12" x14ac:dyDescent="0.25">
      <c r="A16750">
        <v>532</v>
      </c>
      <c r="B16750" t="s">
        <v>20252</v>
      </c>
      <c r="C16750" t="s">
        <v>2538</v>
      </c>
      <c r="D16750" s="254">
        <v>28.7</v>
      </c>
      <c r="E16750"/>
      <c r="F16750"/>
      <c r="G16750"/>
      <c r="H16750"/>
      <c r="I16750" s="489"/>
      <c r="J16750" s="1362"/>
      <c r="K16750" s="1362"/>
      <c r="L16750" s="1362"/>
    </row>
    <row r="16751" spans="1:12" x14ac:dyDescent="0.25">
      <c r="A16751">
        <v>40931</v>
      </c>
      <c r="B16751" t="s">
        <v>20253</v>
      </c>
      <c r="C16751" t="s">
        <v>2544</v>
      </c>
      <c r="D16751" s="254">
        <v>5068.54</v>
      </c>
      <c r="E16751"/>
      <c r="F16751"/>
      <c r="G16751"/>
      <c r="H16751"/>
      <c r="I16751" s="489"/>
      <c r="J16751" s="1362"/>
      <c r="K16751" s="1362"/>
      <c r="L16751" s="1362"/>
    </row>
    <row r="16752" spans="1:12" x14ac:dyDescent="0.25">
      <c r="A16752">
        <v>36150</v>
      </c>
      <c r="B16752" t="s">
        <v>20254</v>
      </c>
      <c r="C16752" t="s">
        <v>2537</v>
      </c>
      <c r="D16752" s="254">
        <v>44.25</v>
      </c>
      <c r="E16752"/>
      <c r="F16752"/>
      <c r="G16752"/>
      <c r="H16752"/>
      <c r="I16752" s="489"/>
      <c r="J16752" s="1362"/>
      <c r="K16752" s="1362"/>
      <c r="L16752" s="1362"/>
    </row>
    <row r="16753" spans="1:12" x14ac:dyDescent="0.25">
      <c r="A16753">
        <v>4760</v>
      </c>
      <c r="B16753" t="s">
        <v>20255</v>
      </c>
      <c r="C16753" t="s">
        <v>2538</v>
      </c>
      <c r="D16753" s="254">
        <v>26.64</v>
      </c>
      <c r="E16753"/>
      <c r="F16753"/>
      <c r="G16753"/>
      <c r="H16753"/>
      <c r="I16753" s="489"/>
      <c r="J16753" s="1362"/>
      <c r="K16753" s="1362"/>
      <c r="L16753" s="1362"/>
    </row>
    <row r="16754" spans="1:12" x14ac:dyDescent="0.25">
      <c r="A16754">
        <v>41069</v>
      </c>
      <c r="B16754" t="s">
        <v>20256</v>
      </c>
      <c r="C16754" t="s">
        <v>2544</v>
      </c>
      <c r="D16754" s="254">
        <v>4700.3</v>
      </c>
      <c r="E16754"/>
      <c r="F16754"/>
      <c r="G16754"/>
      <c r="H16754"/>
      <c r="I16754" s="489"/>
      <c r="J16754" s="1362"/>
      <c r="K16754" s="1362"/>
      <c r="L16754" s="1362"/>
    </row>
    <row r="16755" spans="1:12" x14ac:dyDescent="0.25">
      <c r="A16755">
        <v>10422</v>
      </c>
      <c r="B16755" t="s">
        <v>20257</v>
      </c>
      <c r="C16755" t="s">
        <v>2537</v>
      </c>
      <c r="D16755" s="254">
        <v>329.3</v>
      </c>
      <c r="E16755"/>
      <c r="F16755"/>
      <c r="G16755"/>
      <c r="H16755"/>
      <c r="I16755" s="489"/>
      <c r="J16755" s="1362"/>
      <c r="K16755" s="1362"/>
      <c r="L16755" s="1362"/>
    </row>
    <row r="16756" spans="1:12" x14ac:dyDescent="0.25">
      <c r="A16756">
        <v>44019</v>
      </c>
      <c r="B16756" t="s">
        <v>20258</v>
      </c>
      <c r="C16756" t="s">
        <v>2537</v>
      </c>
      <c r="D16756" s="254">
        <v>455.83</v>
      </c>
      <c r="E16756"/>
      <c r="F16756"/>
      <c r="G16756"/>
      <c r="H16756"/>
      <c r="I16756" s="489"/>
      <c r="J16756" s="1362"/>
      <c r="K16756" s="1362"/>
      <c r="L16756" s="1362"/>
    </row>
    <row r="16757" spans="1:12" x14ac:dyDescent="0.25">
      <c r="A16757">
        <v>36520</v>
      </c>
      <c r="B16757" t="s">
        <v>20259</v>
      </c>
      <c r="C16757" t="s">
        <v>2537</v>
      </c>
      <c r="D16757" s="254">
        <v>554.23</v>
      </c>
      <c r="E16757"/>
      <c r="F16757"/>
      <c r="G16757"/>
      <c r="H16757"/>
      <c r="I16757" s="489"/>
      <c r="J16757" s="1362"/>
      <c r="K16757" s="1362"/>
      <c r="L16757" s="1362"/>
    </row>
    <row r="16758" spans="1:12" x14ac:dyDescent="0.25">
      <c r="A16758">
        <v>42319</v>
      </c>
      <c r="B16758" t="s">
        <v>20260</v>
      </c>
      <c r="C16758" t="s">
        <v>2537</v>
      </c>
      <c r="D16758" s="254">
        <v>496.62</v>
      </c>
      <c r="E16758"/>
      <c r="F16758"/>
      <c r="G16758"/>
      <c r="H16758"/>
      <c r="I16758" s="489"/>
      <c r="J16758" s="1362"/>
      <c r="K16758" s="1362"/>
      <c r="L16758" s="1362"/>
    </row>
    <row r="16759" spans="1:12" x14ac:dyDescent="0.25">
      <c r="A16759">
        <v>10420</v>
      </c>
      <c r="B16759" t="s">
        <v>20261</v>
      </c>
      <c r="C16759" t="s">
        <v>2537</v>
      </c>
      <c r="D16759" s="254">
        <v>176.17</v>
      </c>
      <c r="E16759"/>
      <c r="F16759"/>
      <c r="G16759"/>
      <c r="H16759"/>
      <c r="I16759" s="489"/>
      <c r="J16759" s="1362"/>
      <c r="K16759" s="1362"/>
      <c r="L16759" s="1362"/>
    </row>
    <row r="16760" spans="1:12" x14ac:dyDescent="0.25">
      <c r="A16760">
        <v>10421</v>
      </c>
      <c r="B16760" t="s">
        <v>20262</v>
      </c>
      <c r="C16760" t="s">
        <v>2537</v>
      </c>
      <c r="D16760" s="254">
        <v>193.59</v>
      </c>
      <c r="E16760"/>
      <c r="F16760"/>
      <c r="G16760"/>
      <c r="H16760"/>
      <c r="I16760" s="489"/>
      <c r="J16760" s="1362"/>
      <c r="K16760" s="1362"/>
      <c r="L16760" s="1362"/>
    </row>
    <row r="16761" spans="1:12" x14ac:dyDescent="0.25">
      <c r="A16761">
        <v>11786</v>
      </c>
      <c r="B16761" t="s">
        <v>20263</v>
      </c>
      <c r="C16761" t="s">
        <v>2537</v>
      </c>
      <c r="D16761" s="254">
        <v>390.35</v>
      </c>
      <c r="E16761"/>
      <c r="F16761"/>
      <c r="G16761"/>
      <c r="H16761"/>
      <c r="I16761" s="489"/>
      <c r="J16761" s="1362"/>
      <c r="K16761" s="1362"/>
      <c r="L16761" s="1362"/>
    </row>
    <row r="16762" spans="1:12" x14ac:dyDescent="0.25">
      <c r="A16762">
        <v>10</v>
      </c>
      <c r="B16762" t="s">
        <v>20264</v>
      </c>
      <c r="C16762" t="s">
        <v>2537</v>
      </c>
      <c r="D16762" s="254">
        <v>11.22</v>
      </c>
      <c r="E16762"/>
      <c r="F16762"/>
      <c r="G16762"/>
      <c r="H16762"/>
      <c r="I16762" s="489"/>
      <c r="J16762" s="1362"/>
      <c r="K16762" s="1362"/>
      <c r="L16762" s="1362"/>
    </row>
    <row r="16763" spans="1:12" x14ac:dyDescent="0.25">
      <c r="A16763">
        <v>4815</v>
      </c>
      <c r="B16763" t="s">
        <v>20265</v>
      </c>
      <c r="C16763" t="s">
        <v>2537</v>
      </c>
      <c r="D16763" s="254">
        <v>6.25</v>
      </c>
      <c r="E16763"/>
      <c r="F16763"/>
      <c r="G16763"/>
      <c r="H16763"/>
      <c r="I16763" s="489"/>
      <c r="J16763" s="1362"/>
      <c r="K16763" s="1362"/>
      <c r="L16763" s="1362"/>
    </row>
    <row r="16764" spans="1:12" x14ac:dyDescent="0.25">
      <c r="A16764">
        <v>541</v>
      </c>
      <c r="B16764" t="s">
        <v>20266</v>
      </c>
      <c r="C16764" t="s">
        <v>2537</v>
      </c>
      <c r="D16764" s="254">
        <v>196</v>
      </c>
      <c r="E16764"/>
      <c r="F16764"/>
      <c r="G16764"/>
      <c r="H16764"/>
      <c r="I16764" s="489"/>
      <c r="J16764" s="1362"/>
      <c r="K16764" s="1362"/>
      <c r="L16764" s="1362"/>
    </row>
    <row r="16765" spans="1:12" x14ac:dyDescent="0.25">
      <c r="A16765">
        <v>542</v>
      </c>
      <c r="B16765" t="s">
        <v>20267</v>
      </c>
      <c r="C16765" t="s">
        <v>2537</v>
      </c>
      <c r="D16765" s="254">
        <v>245.69</v>
      </c>
      <c r="E16765"/>
      <c r="F16765"/>
      <c r="G16765"/>
      <c r="H16765"/>
      <c r="I16765" s="489"/>
      <c r="J16765" s="1362"/>
      <c r="K16765" s="1362"/>
      <c r="L16765" s="1362"/>
    </row>
    <row r="16766" spans="1:12" x14ac:dyDescent="0.25">
      <c r="A16766">
        <v>540</v>
      </c>
      <c r="B16766" t="s">
        <v>20268</v>
      </c>
      <c r="C16766" t="s">
        <v>2537</v>
      </c>
      <c r="D16766" s="254">
        <v>553.65</v>
      </c>
      <c r="E16766"/>
      <c r="F16766"/>
      <c r="G16766"/>
      <c r="H16766"/>
      <c r="I16766" s="489"/>
      <c r="J16766" s="1362"/>
      <c r="K16766" s="1362"/>
      <c r="L16766" s="1362"/>
    </row>
    <row r="16767" spans="1:12" x14ac:dyDescent="0.25">
      <c r="A16767">
        <v>38364</v>
      </c>
      <c r="B16767" t="s">
        <v>20269</v>
      </c>
      <c r="C16767" t="s">
        <v>2537</v>
      </c>
      <c r="D16767" s="254">
        <v>880.5</v>
      </c>
      <c r="E16767"/>
      <c r="F16767"/>
      <c r="G16767"/>
      <c r="H16767"/>
      <c r="I16767" s="489"/>
      <c r="J16767" s="1362"/>
      <c r="K16767" s="1362"/>
      <c r="L16767" s="1362"/>
    </row>
    <row r="16768" spans="1:12" x14ac:dyDescent="0.25">
      <c r="A16768">
        <v>11692</v>
      </c>
      <c r="B16768" t="s">
        <v>20270</v>
      </c>
      <c r="C16768" t="s">
        <v>2539</v>
      </c>
      <c r="D16768" s="254">
        <v>571.35</v>
      </c>
      <c r="E16768"/>
      <c r="F16768"/>
      <c r="G16768"/>
      <c r="H16768"/>
      <c r="I16768" s="489"/>
      <c r="J16768" s="1362"/>
      <c r="K16768" s="1362"/>
      <c r="L16768" s="1362"/>
    </row>
    <row r="16769" spans="1:12" x14ac:dyDescent="0.25">
      <c r="A16769">
        <v>1746</v>
      </c>
      <c r="B16769" t="s">
        <v>20271</v>
      </c>
      <c r="C16769" t="s">
        <v>2537</v>
      </c>
      <c r="D16769" s="254">
        <v>227.57</v>
      </c>
      <c r="E16769"/>
      <c r="F16769"/>
      <c r="G16769"/>
      <c r="H16769"/>
      <c r="I16769" s="489"/>
      <c r="J16769" s="1362"/>
      <c r="K16769" s="1362"/>
      <c r="L16769" s="1362"/>
    </row>
    <row r="16770" spans="1:12" x14ac:dyDescent="0.25">
      <c r="A16770">
        <v>1748</v>
      </c>
      <c r="B16770" t="s">
        <v>20272</v>
      </c>
      <c r="C16770" t="s">
        <v>2537</v>
      </c>
      <c r="D16770" s="254">
        <v>302.61</v>
      </c>
      <c r="E16770"/>
      <c r="F16770"/>
      <c r="G16770"/>
      <c r="H16770"/>
      <c r="I16770" s="489"/>
      <c r="J16770" s="1362"/>
      <c r="K16770" s="1362"/>
      <c r="L16770" s="1362"/>
    </row>
    <row r="16771" spans="1:12" x14ac:dyDescent="0.25">
      <c r="A16771">
        <v>1749</v>
      </c>
      <c r="B16771" t="s">
        <v>20273</v>
      </c>
      <c r="C16771" t="s">
        <v>2537</v>
      </c>
      <c r="D16771" s="254">
        <v>438.43</v>
      </c>
      <c r="E16771"/>
      <c r="F16771"/>
      <c r="G16771"/>
      <c r="H16771"/>
      <c r="I16771" s="489"/>
      <c r="J16771" s="1362"/>
      <c r="K16771" s="1362"/>
      <c r="L16771" s="1362"/>
    </row>
    <row r="16772" spans="1:12" x14ac:dyDescent="0.25">
      <c r="A16772">
        <v>37412</v>
      </c>
      <c r="B16772" t="s">
        <v>20274</v>
      </c>
      <c r="C16772" t="s">
        <v>2537</v>
      </c>
      <c r="D16772" s="254">
        <v>222.45</v>
      </c>
      <c r="E16772"/>
      <c r="F16772"/>
      <c r="G16772"/>
      <c r="H16772"/>
      <c r="I16772" s="489"/>
      <c r="J16772" s="1362"/>
      <c r="K16772" s="1362"/>
      <c r="L16772" s="1362"/>
    </row>
    <row r="16773" spans="1:12" x14ac:dyDescent="0.25">
      <c r="A16773">
        <v>1745</v>
      </c>
      <c r="B16773" t="s">
        <v>20275</v>
      </c>
      <c r="C16773" t="s">
        <v>2537</v>
      </c>
      <c r="D16773" s="254">
        <v>264.52</v>
      </c>
      <c r="E16773"/>
      <c r="F16773"/>
      <c r="G16773"/>
      <c r="H16773"/>
      <c r="I16773" s="489"/>
      <c r="J16773" s="1362"/>
      <c r="K16773" s="1362"/>
      <c r="L16773" s="1362"/>
    </row>
    <row r="16774" spans="1:12" x14ac:dyDescent="0.25">
      <c r="A16774">
        <v>1750</v>
      </c>
      <c r="B16774" t="s">
        <v>20276</v>
      </c>
      <c r="C16774" t="s">
        <v>2537</v>
      </c>
      <c r="D16774" s="254">
        <v>618.15</v>
      </c>
      <c r="E16774"/>
      <c r="F16774"/>
      <c r="G16774"/>
      <c r="H16774"/>
      <c r="I16774" s="489"/>
      <c r="J16774" s="1362"/>
      <c r="K16774" s="1362"/>
      <c r="L16774" s="1362"/>
    </row>
    <row r="16775" spans="1:12" x14ac:dyDescent="0.25">
      <c r="A16775">
        <v>11687</v>
      </c>
      <c r="B16775" t="s">
        <v>20277</v>
      </c>
      <c r="C16775" t="s">
        <v>2541</v>
      </c>
      <c r="D16775" s="254">
        <v>984.9</v>
      </c>
      <c r="E16775"/>
      <c r="F16775"/>
      <c r="G16775"/>
      <c r="H16775"/>
      <c r="I16775" s="489"/>
      <c r="J16775" s="1362"/>
      <c r="K16775" s="1362"/>
      <c r="L16775" s="1362"/>
    </row>
    <row r="16776" spans="1:12" x14ac:dyDescent="0.25">
      <c r="A16776">
        <v>11689</v>
      </c>
      <c r="B16776" t="s">
        <v>20278</v>
      </c>
      <c r="C16776" t="s">
        <v>2541</v>
      </c>
      <c r="D16776" s="254">
        <v>1234.02</v>
      </c>
      <c r="E16776"/>
      <c r="F16776"/>
      <c r="G16776"/>
      <c r="H16776"/>
      <c r="I16776" s="489"/>
      <c r="J16776" s="1362"/>
      <c r="K16776" s="1362"/>
      <c r="L16776" s="1362"/>
    </row>
    <row r="16777" spans="1:12" x14ac:dyDescent="0.25">
      <c r="A16777">
        <v>11693</v>
      </c>
      <c r="B16777" t="s">
        <v>20279</v>
      </c>
      <c r="C16777" t="s">
        <v>2539</v>
      </c>
      <c r="D16777" s="254">
        <v>217.32</v>
      </c>
      <c r="E16777"/>
      <c r="F16777"/>
      <c r="G16777"/>
      <c r="H16777"/>
      <c r="I16777" s="489"/>
      <c r="J16777" s="1362"/>
      <c r="K16777" s="1362"/>
      <c r="L16777" s="1362"/>
    </row>
    <row r="16778" spans="1:12" x14ac:dyDescent="0.25">
      <c r="A16778">
        <v>36215</v>
      </c>
      <c r="B16778" t="s">
        <v>20280</v>
      </c>
      <c r="C16778" t="s">
        <v>2537</v>
      </c>
      <c r="D16778" s="254">
        <v>651.9</v>
      </c>
      <c r="E16778"/>
      <c r="F16778"/>
      <c r="G16778"/>
      <c r="H16778"/>
      <c r="I16778" s="489"/>
      <c r="J16778" s="1362"/>
      <c r="K16778" s="1362"/>
      <c r="L16778" s="1362"/>
    </row>
    <row r="16779" spans="1:12" x14ac:dyDescent="0.25">
      <c r="A16779">
        <v>42439</v>
      </c>
      <c r="B16779" t="s">
        <v>20281</v>
      </c>
      <c r="C16779" t="s">
        <v>2537</v>
      </c>
      <c r="D16779" s="254">
        <v>1197.21</v>
      </c>
      <c r="E16779"/>
      <c r="F16779"/>
      <c r="G16779"/>
      <c r="H16779"/>
      <c r="I16779" s="489"/>
      <c r="J16779" s="1362"/>
      <c r="K16779" s="1362"/>
      <c r="L16779" s="1362"/>
    </row>
    <row r="16780" spans="1:12" x14ac:dyDescent="0.25">
      <c r="A16780">
        <v>38381</v>
      </c>
      <c r="B16780" t="s">
        <v>20282</v>
      </c>
      <c r="C16780" t="s">
        <v>2537</v>
      </c>
      <c r="D16780" s="254">
        <v>10.199999999999999</v>
      </c>
      <c r="E16780"/>
      <c r="F16780"/>
      <c r="G16780"/>
      <c r="H16780"/>
      <c r="I16780" s="489"/>
      <c r="J16780" s="1362"/>
      <c r="K16780" s="1362"/>
      <c r="L16780" s="1362"/>
    </row>
    <row r="16781" spans="1:12" x14ac:dyDescent="0.25">
      <c r="A16781">
        <v>39621</v>
      </c>
      <c r="B16781" t="s">
        <v>20283</v>
      </c>
      <c r="C16781" t="s">
        <v>2545</v>
      </c>
      <c r="D16781" s="254">
        <v>1150.52</v>
      </c>
      <c r="E16781"/>
      <c r="F16781"/>
      <c r="G16781"/>
      <c r="H16781"/>
      <c r="I16781" s="489"/>
      <c r="J16781" s="1362"/>
      <c r="K16781" s="1362"/>
      <c r="L16781" s="1362"/>
    </row>
    <row r="16782" spans="1:12" x14ac:dyDescent="0.25">
      <c r="A16782">
        <v>39624</v>
      </c>
      <c r="B16782" t="s">
        <v>20284</v>
      </c>
      <c r="C16782" t="s">
        <v>2545</v>
      </c>
      <c r="D16782" s="254">
        <v>1269.1500000000001</v>
      </c>
      <c r="E16782"/>
      <c r="F16782"/>
      <c r="G16782"/>
      <c r="H16782"/>
      <c r="I16782" s="489"/>
      <c r="J16782" s="1362"/>
      <c r="K16782" s="1362"/>
      <c r="L16782" s="1362"/>
    </row>
    <row r="16783" spans="1:12" x14ac:dyDescent="0.25">
      <c r="A16783">
        <v>39615</v>
      </c>
      <c r="B16783" t="s">
        <v>20285</v>
      </c>
      <c r="C16783" t="s">
        <v>2537</v>
      </c>
      <c r="D16783" s="254">
        <v>512.85</v>
      </c>
      <c r="E16783"/>
      <c r="F16783"/>
      <c r="G16783"/>
      <c r="H16783"/>
      <c r="I16783" s="489"/>
      <c r="J16783" s="1362"/>
      <c r="K16783" s="1362"/>
      <c r="L16783" s="1362"/>
    </row>
    <row r="16784" spans="1:12" x14ac:dyDescent="0.25">
      <c r="A16784">
        <v>39620</v>
      </c>
      <c r="B16784" t="s">
        <v>20286</v>
      </c>
      <c r="C16784" t="s">
        <v>2537</v>
      </c>
      <c r="D16784" s="254">
        <v>783.26</v>
      </c>
      <c r="E16784"/>
      <c r="F16784"/>
      <c r="G16784"/>
      <c r="H16784"/>
      <c r="I16784" s="489"/>
      <c r="J16784" s="1362"/>
      <c r="K16784" s="1362"/>
      <c r="L16784" s="1362"/>
    </row>
    <row r="16785" spans="1:12" x14ac:dyDescent="0.25">
      <c r="A16785">
        <v>39623</v>
      </c>
      <c r="B16785" t="s">
        <v>20287</v>
      </c>
      <c r="C16785" t="s">
        <v>2537</v>
      </c>
      <c r="D16785" s="254">
        <v>838.94</v>
      </c>
      <c r="E16785"/>
      <c r="F16785"/>
      <c r="G16785"/>
      <c r="H16785"/>
      <c r="I16785" s="489"/>
      <c r="J16785" s="1362"/>
      <c r="K16785" s="1362"/>
      <c r="L16785" s="1362"/>
    </row>
    <row r="16786" spans="1:12" x14ac:dyDescent="0.25">
      <c r="A16786">
        <v>546</v>
      </c>
      <c r="B16786" t="s">
        <v>20288</v>
      </c>
      <c r="C16786" t="s">
        <v>2542</v>
      </c>
      <c r="D16786" s="254">
        <v>11.79</v>
      </c>
      <c r="E16786"/>
      <c r="F16786"/>
      <c r="G16786"/>
      <c r="H16786"/>
      <c r="I16786" s="489"/>
      <c r="J16786" s="1362"/>
      <c r="K16786" s="1362"/>
      <c r="L16786" s="1362"/>
    </row>
    <row r="16787" spans="1:12" x14ac:dyDescent="0.25">
      <c r="A16787">
        <v>566</v>
      </c>
      <c r="B16787" t="s">
        <v>20289</v>
      </c>
      <c r="C16787" t="s">
        <v>2541</v>
      </c>
      <c r="D16787" s="254">
        <v>5.59</v>
      </c>
      <c r="E16787"/>
      <c r="F16787"/>
      <c r="G16787"/>
      <c r="H16787"/>
      <c r="I16787" s="489"/>
      <c r="J16787" s="1362"/>
      <c r="K16787" s="1362"/>
      <c r="L16787" s="1362"/>
    </row>
    <row r="16788" spans="1:12" x14ac:dyDescent="0.25">
      <c r="A16788">
        <v>565</v>
      </c>
      <c r="B16788" t="s">
        <v>20290</v>
      </c>
      <c r="C16788" t="s">
        <v>2541</v>
      </c>
      <c r="D16788" s="254">
        <v>20.39</v>
      </c>
      <c r="E16788"/>
      <c r="F16788"/>
      <c r="G16788"/>
      <c r="H16788"/>
      <c r="I16788" s="489"/>
      <c r="J16788" s="1362"/>
      <c r="K16788" s="1362"/>
      <c r="L16788" s="1362"/>
    </row>
    <row r="16789" spans="1:12" x14ac:dyDescent="0.25">
      <c r="A16789">
        <v>555</v>
      </c>
      <c r="B16789" t="s">
        <v>20291</v>
      </c>
      <c r="C16789" t="s">
        <v>2541</v>
      </c>
      <c r="D16789" s="254">
        <v>14.46</v>
      </c>
      <c r="E16789"/>
      <c r="F16789"/>
      <c r="G16789"/>
      <c r="H16789"/>
      <c r="I16789" s="489"/>
      <c r="J16789" s="1362"/>
      <c r="K16789" s="1362"/>
      <c r="L16789" s="1362"/>
    </row>
    <row r="16790" spans="1:12" x14ac:dyDescent="0.25">
      <c r="A16790">
        <v>557</v>
      </c>
      <c r="B16790" t="s">
        <v>20292</v>
      </c>
      <c r="C16790" t="s">
        <v>2541</v>
      </c>
      <c r="D16790" s="254">
        <v>45.36</v>
      </c>
      <c r="E16790"/>
      <c r="F16790"/>
      <c r="G16790"/>
      <c r="H16790"/>
      <c r="I16790" s="489"/>
      <c r="J16790" s="1362"/>
      <c r="K16790" s="1362"/>
      <c r="L16790" s="1362"/>
    </row>
    <row r="16791" spans="1:12" x14ac:dyDescent="0.25">
      <c r="A16791">
        <v>552</v>
      </c>
      <c r="B16791" t="s">
        <v>20293</v>
      </c>
      <c r="C16791" t="s">
        <v>2541</v>
      </c>
      <c r="D16791" s="254">
        <v>22.51</v>
      </c>
      <c r="E16791"/>
      <c r="F16791"/>
      <c r="G16791"/>
      <c r="H16791"/>
      <c r="I16791" s="489"/>
      <c r="J16791" s="1362"/>
      <c r="K16791" s="1362"/>
      <c r="L16791" s="1362"/>
    </row>
    <row r="16792" spans="1:12" x14ac:dyDescent="0.25">
      <c r="A16792">
        <v>563</v>
      </c>
      <c r="B16792" t="s">
        <v>20294</v>
      </c>
      <c r="C16792" t="s">
        <v>2541</v>
      </c>
      <c r="D16792" s="254">
        <v>33.82</v>
      </c>
      <c r="E16792"/>
      <c r="F16792"/>
      <c r="G16792"/>
      <c r="H16792"/>
      <c r="I16792" s="489"/>
      <c r="J16792" s="1362"/>
      <c r="K16792" s="1362"/>
      <c r="L16792" s="1362"/>
    </row>
    <row r="16793" spans="1:12" x14ac:dyDescent="0.25">
      <c r="A16793">
        <v>549</v>
      </c>
      <c r="B16793" t="s">
        <v>20295</v>
      </c>
      <c r="C16793" t="s">
        <v>2541</v>
      </c>
      <c r="D16793" s="254">
        <v>60.87</v>
      </c>
      <c r="E16793"/>
      <c r="F16793"/>
      <c r="G16793"/>
      <c r="H16793"/>
      <c r="I16793" s="489"/>
      <c r="J16793" s="1362"/>
      <c r="K16793" s="1362"/>
      <c r="L16793" s="1362"/>
    </row>
    <row r="16794" spans="1:12" x14ac:dyDescent="0.25">
      <c r="A16794">
        <v>551</v>
      </c>
      <c r="B16794" t="s">
        <v>20296</v>
      </c>
      <c r="C16794" t="s">
        <v>2541</v>
      </c>
      <c r="D16794" s="254">
        <v>120.53</v>
      </c>
      <c r="E16794"/>
      <c r="F16794"/>
      <c r="G16794"/>
      <c r="H16794"/>
      <c r="I16794" s="489"/>
      <c r="J16794" s="1362"/>
      <c r="K16794" s="1362"/>
      <c r="L16794" s="1362"/>
    </row>
    <row r="16795" spans="1:12" x14ac:dyDescent="0.25">
      <c r="A16795">
        <v>559</v>
      </c>
      <c r="B16795" t="s">
        <v>20297</v>
      </c>
      <c r="C16795" t="s">
        <v>2541</v>
      </c>
      <c r="D16795" s="254">
        <v>30.13</v>
      </c>
      <c r="E16795"/>
      <c r="F16795"/>
      <c r="G16795"/>
      <c r="H16795"/>
      <c r="I16795" s="489"/>
      <c r="J16795" s="1362"/>
      <c r="K16795" s="1362"/>
      <c r="L16795" s="1362"/>
    </row>
    <row r="16796" spans="1:12" x14ac:dyDescent="0.25">
      <c r="A16796">
        <v>560</v>
      </c>
      <c r="B16796" t="s">
        <v>20298</v>
      </c>
      <c r="C16796" t="s">
        <v>2541</v>
      </c>
      <c r="D16796" s="254">
        <v>37.69</v>
      </c>
      <c r="E16796"/>
      <c r="F16796"/>
      <c r="G16796"/>
      <c r="H16796"/>
      <c r="I16796" s="489"/>
      <c r="J16796" s="1362"/>
      <c r="K16796" s="1362"/>
      <c r="L16796" s="1362"/>
    </row>
    <row r="16797" spans="1:12" x14ac:dyDescent="0.25">
      <c r="A16797">
        <v>547</v>
      </c>
      <c r="B16797" t="s">
        <v>20299</v>
      </c>
      <c r="C16797" t="s">
        <v>2541</v>
      </c>
      <c r="D16797" s="254">
        <v>45.14</v>
      </c>
      <c r="E16797"/>
      <c r="F16797"/>
      <c r="G16797"/>
      <c r="H16797"/>
      <c r="I16797" s="489"/>
      <c r="J16797" s="1362"/>
      <c r="K16797" s="1362"/>
      <c r="L16797" s="1362"/>
    </row>
    <row r="16798" spans="1:12" x14ac:dyDescent="0.25">
      <c r="A16798">
        <v>36207</v>
      </c>
      <c r="B16798" t="s">
        <v>20300</v>
      </c>
      <c r="C16798" t="s">
        <v>2537</v>
      </c>
      <c r="D16798" s="254">
        <v>288.75</v>
      </c>
      <c r="E16798"/>
      <c r="F16798"/>
      <c r="G16798"/>
      <c r="H16798"/>
      <c r="I16798" s="489"/>
      <c r="J16798" s="1362"/>
      <c r="K16798" s="1362"/>
      <c r="L16798" s="1362"/>
    </row>
    <row r="16799" spans="1:12" x14ac:dyDescent="0.25">
      <c r="A16799">
        <v>36209</v>
      </c>
      <c r="B16799" t="s">
        <v>20301</v>
      </c>
      <c r="C16799" t="s">
        <v>2537</v>
      </c>
      <c r="D16799" s="254">
        <v>331.38</v>
      </c>
      <c r="E16799"/>
      <c r="F16799"/>
      <c r="G16799"/>
      <c r="H16799"/>
      <c r="I16799" s="489"/>
      <c r="J16799" s="1362"/>
      <c r="K16799" s="1362"/>
      <c r="L16799" s="1362"/>
    </row>
    <row r="16800" spans="1:12" x14ac:dyDescent="0.25">
      <c r="A16800">
        <v>36210</v>
      </c>
      <c r="B16800" t="s">
        <v>20302</v>
      </c>
      <c r="C16800" t="s">
        <v>2537</v>
      </c>
      <c r="D16800" s="254">
        <v>358.54</v>
      </c>
      <c r="E16800"/>
      <c r="F16800"/>
      <c r="G16800"/>
      <c r="H16800"/>
      <c r="I16800" s="489"/>
      <c r="J16800" s="1362"/>
      <c r="K16800" s="1362"/>
      <c r="L16800" s="1362"/>
    </row>
    <row r="16801" spans="1:12" x14ac:dyDescent="0.25">
      <c r="A16801">
        <v>36204</v>
      </c>
      <c r="B16801" t="s">
        <v>20303</v>
      </c>
      <c r="C16801" t="s">
        <v>2537</v>
      </c>
      <c r="D16801" s="254">
        <v>127.12</v>
      </c>
      <c r="E16801"/>
      <c r="F16801"/>
      <c r="G16801"/>
      <c r="H16801"/>
      <c r="I16801" s="489"/>
      <c r="J16801" s="1362"/>
      <c r="K16801" s="1362"/>
      <c r="L16801" s="1362"/>
    </row>
    <row r="16802" spans="1:12" x14ac:dyDescent="0.25">
      <c r="A16802">
        <v>36205</v>
      </c>
      <c r="B16802" t="s">
        <v>20304</v>
      </c>
      <c r="C16802" t="s">
        <v>2537</v>
      </c>
      <c r="D16802" s="254">
        <v>141.18</v>
      </c>
      <c r="E16802"/>
      <c r="F16802"/>
      <c r="G16802"/>
      <c r="H16802"/>
      <c r="I16802" s="489"/>
      <c r="J16802" s="1362"/>
      <c r="K16802" s="1362"/>
      <c r="L16802" s="1362"/>
    </row>
    <row r="16803" spans="1:12" x14ac:dyDescent="0.25">
      <c r="A16803">
        <v>36081</v>
      </c>
      <c r="B16803" t="s">
        <v>20305</v>
      </c>
      <c r="C16803" t="s">
        <v>2537</v>
      </c>
      <c r="D16803" s="254">
        <v>150.54</v>
      </c>
      <c r="E16803"/>
      <c r="F16803"/>
      <c r="G16803"/>
      <c r="H16803"/>
      <c r="I16803" s="489"/>
      <c r="J16803" s="1362"/>
      <c r="K16803" s="1362"/>
      <c r="L16803" s="1362"/>
    </row>
    <row r="16804" spans="1:12" x14ac:dyDescent="0.25">
      <c r="A16804">
        <v>36206</v>
      </c>
      <c r="B16804" t="s">
        <v>20306</v>
      </c>
      <c r="C16804" t="s">
        <v>2537</v>
      </c>
      <c r="D16804" s="254">
        <v>157.71</v>
      </c>
      <c r="E16804"/>
      <c r="F16804"/>
      <c r="G16804"/>
      <c r="H16804"/>
      <c r="I16804" s="489"/>
      <c r="J16804" s="1362"/>
      <c r="K16804" s="1362"/>
      <c r="L16804" s="1362"/>
    </row>
    <row r="16805" spans="1:12" x14ac:dyDescent="0.25">
      <c r="A16805">
        <v>36218</v>
      </c>
      <c r="B16805" t="s">
        <v>20307</v>
      </c>
      <c r="C16805" t="s">
        <v>2537</v>
      </c>
      <c r="D16805" s="254">
        <v>136.26</v>
      </c>
      <c r="E16805"/>
      <c r="F16805"/>
      <c r="G16805"/>
      <c r="H16805"/>
      <c r="I16805" s="489"/>
      <c r="J16805" s="1362"/>
      <c r="K16805" s="1362"/>
      <c r="L16805" s="1362"/>
    </row>
    <row r="16806" spans="1:12" x14ac:dyDescent="0.25">
      <c r="A16806">
        <v>36220</v>
      </c>
      <c r="B16806" t="s">
        <v>20308</v>
      </c>
      <c r="C16806" t="s">
        <v>2537</v>
      </c>
      <c r="D16806" s="254">
        <v>156.24</v>
      </c>
      <c r="E16806"/>
      <c r="F16806"/>
      <c r="G16806"/>
      <c r="H16806"/>
      <c r="I16806" s="489"/>
      <c r="J16806" s="1362"/>
      <c r="K16806" s="1362"/>
      <c r="L16806" s="1362"/>
    </row>
    <row r="16807" spans="1:12" x14ac:dyDescent="0.25">
      <c r="A16807">
        <v>36080</v>
      </c>
      <c r="B16807" t="s">
        <v>20309</v>
      </c>
      <c r="C16807" t="s">
        <v>2537</v>
      </c>
      <c r="D16807" s="254">
        <v>169</v>
      </c>
      <c r="E16807"/>
      <c r="F16807"/>
      <c r="G16807"/>
      <c r="H16807"/>
      <c r="I16807" s="489"/>
      <c r="J16807" s="1362"/>
      <c r="K16807" s="1362"/>
      <c r="L16807" s="1362"/>
    </row>
    <row r="16808" spans="1:12" x14ac:dyDescent="0.25">
      <c r="A16808">
        <v>36223</v>
      </c>
      <c r="B16808" t="s">
        <v>20310</v>
      </c>
      <c r="C16808" t="s">
        <v>2537</v>
      </c>
      <c r="D16808" s="254">
        <v>176.97</v>
      </c>
      <c r="E16808"/>
      <c r="F16808"/>
      <c r="G16808"/>
      <c r="H16808"/>
      <c r="I16808" s="489"/>
      <c r="J16808" s="1362"/>
      <c r="K16808" s="1362"/>
      <c r="L16808" s="1362"/>
    </row>
    <row r="16809" spans="1:12" x14ac:dyDescent="0.25">
      <c r="A16809">
        <v>38127</v>
      </c>
      <c r="B16809" t="s">
        <v>20311</v>
      </c>
      <c r="C16809" t="s">
        <v>2537</v>
      </c>
      <c r="D16809" s="254">
        <v>383.45</v>
      </c>
      <c r="E16809"/>
      <c r="F16809"/>
      <c r="G16809"/>
      <c r="H16809"/>
      <c r="I16809" s="489"/>
      <c r="J16809" s="1362"/>
      <c r="K16809" s="1362"/>
      <c r="L16809" s="1362"/>
    </row>
    <row r="16810" spans="1:12" x14ac:dyDescent="0.25">
      <c r="A16810">
        <v>38060</v>
      </c>
      <c r="B16810" t="s">
        <v>20312</v>
      </c>
      <c r="C16810" t="s">
        <v>2537</v>
      </c>
      <c r="D16810" s="254">
        <v>54.35</v>
      </c>
      <c r="E16810"/>
      <c r="F16810"/>
      <c r="G16810"/>
      <c r="H16810"/>
      <c r="I16810" s="489"/>
      <c r="J16810" s="1362"/>
      <c r="K16810" s="1362"/>
      <c r="L16810" s="1362"/>
    </row>
    <row r="16811" spans="1:12" x14ac:dyDescent="0.25">
      <c r="A16811">
        <v>10956</v>
      </c>
      <c r="B16811" t="s">
        <v>20313</v>
      </c>
      <c r="C16811" t="s">
        <v>2537</v>
      </c>
      <c r="D16811" s="254">
        <v>59.61</v>
      </c>
      <c r="E16811"/>
      <c r="F16811"/>
      <c r="G16811"/>
      <c r="H16811"/>
      <c r="I16811" s="489"/>
      <c r="J16811" s="1362"/>
      <c r="K16811" s="1362"/>
      <c r="L16811" s="1362"/>
    </row>
    <row r="16812" spans="1:12" x14ac:dyDescent="0.25">
      <c r="A16812">
        <v>39380</v>
      </c>
      <c r="B16812" t="s">
        <v>20314</v>
      </c>
      <c r="C16812" t="s">
        <v>2537</v>
      </c>
      <c r="D16812" s="254">
        <v>22.52</v>
      </c>
      <c r="E16812"/>
      <c r="F16812"/>
      <c r="G16812"/>
      <c r="H16812"/>
      <c r="I16812" s="489"/>
      <c r="J16812" s="1362"/>
      <c r="K16812" s="1362"/>
      <c r="L16812" s="1362"/>
    </row>
    <row r="16813" spans="1:12" x14ac:dyDescent="0.25">
      <c r="A16813">
        <v>44172</v>
      </c>
      <c r="B16813" t="s">
        <v>20315</v>
      </c>
      <c r="C16813" t="s">
        <v>2537</v>
      </c>
      <c r="D16813" s="254">
        <v>9.4600000000000009</v>
      </c>
      <c r="E16813"/>
      <c r="F16813"/>
      <c r="G16813"/>
      <c r="H16813"/>
      <c r="I16813" s="489"/>
      <c r="J16813" s="1362"/>
      <c r="K16813" s="1362"/>
      <c r="L16813" s="1362"/>
    </row>
    <row r="16814" spans="1:12" x14ac:dyDescent="0.25">
      <c r="A16814">
        <v>37597</v>
      </c>
      <c r="B16814" t="s">
        <v>20316</v>
      </c>
      <c r="C16814" t="s">
        <v>2537</v>
      </c>
      <c r="D16814" s="254">
        <v>625312.5</v>
      </c>
      <c r="E16814"/>
      <c r="F16814"/>
      <c r="G16814"/>
      <c r="H16814"/>
      <c r="I16814" s="489"/>
      <c r="J16814" s="1362"/>
      <c r="K16814" s="1362"/>
      <c r="L16814" s="1362"/>
    </row>
    <row r="16815" spans="1:12" x14ac:dyDescent="0.25">
      <c r="A16815">
        <v>183</v>
      </c>
      <c r="B16815" t="s">
        <v>20317</v>
      </c>
      <c r="C16815" t="s">
        <v>2546</v>
      </c>
      <c r="D16815" s="254">
        <v>230.3</v>
      </c>
      <c r="E16815"/>
      <c r="F16815"/>
      <c r="G16815"/>
      <c r="H16815"/>
      <c r="I16815" s="489"/>
      <c r="J16815" s="1362"/>
      <c r="K16815" s="1362"/>
      <c r="L16815" s="1362"/>
    </row>
    <row r="16816" spans="1:12" x14ac:dyDescent="0.25">
      <c r="A16816">
        <v>184</v>
      </c>
      <c r="B16816" t="s">
        <v>20318</v>
      </c>
      <c r="C16816" t="s">
        <v>2546</v>
      </c>
      <c r="D16816" s="254">
        <v>142.63</v>
      </c>
      <c r="E16816"/>
      <c r="F16816"/>
      <c r="G16816"/>
      <c r="H16816"/>
      <c r="I16816" s="489"/>
      <c r="J16816" s="1362"/>
      <c r="K16816" s="1362"/>
      <c r="L16816" s="1362"/>
    </row>
    <row r="16817" spans="1:12" x14ac:dyDescent="0.25">
      <c r="A16817">
        <v>181</v>
      </c>
      <c r="B16817" t="s">
        <v>20319</v>
      </c>
      <c r="C16817" t="s">
        <v>2546</v>
      </c>
      <c r="D16817" s="254">
        <v>307.56</v>
      </c>
      <c r="E16817"/>
      <c r="F16817"/>
      <c r="G16817"/>
      <c r="H16817"/>
      <c r="I16817" s="489"/>
      <c r="J16817" s="1362"/>
      <c r="K16817" s="1362"/>
      <c r="L16817" s="1362"/>
    </row>
    <row r="16818" spans="1:12" x14ac:dyDescent="0.25">
      <c r="A16818">
        <v>20001</v>
      </c>
      <c r="B16818" t="s">
        <v>20320</v>
      </c>
      <c r="C16818" t="s">
        <v>2546</v>
      </c>
      <c r="D16818" s="254">
        <v>178.29</v>
      </c>
      <c r="E16818"/>
      <c r="F16818"/>
      <c r="G16818"/>
      <c r="H16818"/>
      <c r="I16818" s="489"/>
      <c r="J16818" s="1362"/>
      <c r="K16818" s="1362"/>
      <c r="L16818" s="1362"/>
    </row>
    <row r="16819" spans="1:12" x14ac:dyDescent="0.25">
      <c r="A16819">
        <v>39837</v>
      </c>
      <c r="B16819" t="s">
        <v>20321</v>
      </c>
      <c r="C16819" t="s">
        <v>2546</v>
      </c>
      <c r="D16819" s="254">
        <v>289.24</v>
      </c>
      <c r="E16819"/>
      <c r="F16819"/>
      <c r="G16819"/>
      <c r="H16819"/>
      <c r="I16819" s="489"/>
      <c r="J16819" s="1362"/>
      <c r="K16819" s="1362"/>
      <c r="L16819" s="1362"/>
    </row>
    <row r="16820" spans="1:12" x14ac:dyDescent="0.25">
      <c r="A16820">
        <v>43366</v>
      </c>
      <c r="B16820" t="s">
        <v>20322</v>
      </c>
      <c r="C16820" t="s">
        <v>2542</v>
      </c>
      <c r="D16820" s="254">
        <v>2.37</v>
      </c>
      <c r="E16820"/>
      <c r="F16820"/>
      <c r="G16820"/>
      <c r="H16820"/>
      <c r="I16820" s="489"/>
      <c r="J16820" s="1362"/>
      <c r="K16820" s="1362"/>
      <c r="L16820" s="1362"/>
    </row>
    <row r="16821" spans="1:12" x14ac:dyDescent="0.25">
      <c r="A16821">
        <v>10535</v>
      </c>
      <c r="B16821" t="s">
        <v>20323</v>
      </c>
      <c r="C16821" t="s">
        <v>2537</v>
      </c>
      <c r="D16821" s="254">
        <v>4890</v>
      </c>
      <c r="E16821"/>
      <c r="F16821"/>
      <c r="G16821"/>
      <c r="H16821"/>
      <c r="I16821" s="489"/>
      <c r="J16821" s="1362"/>
      <c r="K16821" s="1362"/>
      <c r="L16821" s="1362"/>
    </row>
    <row r="16822" spans="1:12" x14ac:dyDescent="0.25">
      <c r="A16822">
        <v>10537</v>
      </c>
      <c r="B16822" t="s">
        <v>20324</v>
      </c>
      <c r="C16822" t="s">
        <v>2537</v>
      </c>
      <c r="D16822" s="254">
        <v>6668.63</v>
      </c>
      <c r="E16822"/>
      <c r="F16822"/>
      <c r="G16822"/>
      <c r="H16822"/>
      <c r="I16822" s="489"/>
      <c r="J16822" s="1362"/>
      <c r="K16822" s="1362"/>
      <c r="L16822" s="1362"/>
    </row>
    <row r="16823" spans="1:12" x14ac:dyDescent="0.25">
      <c r="A16823">
        <v>13891</v>
      </c>
      <c r="B16823" t="s">
        <v>20325</v>
      </c>
      <c r="C16823" t="s">
        <v>2537</v>
      </c>
      <c r="D16823" s="254">
        <v>6116.64</v>
      </c>
      <c r="E16823"/>
      <c r="F16823"/>
      <c r="G16823"/>
      <c r="H16823"/>
      <c r="I16823" s="489"/>
      <c r="J16823" s="1362"/>
      <c r="K16823" s="1362"/>
      <c r="L16823" s="1362"/>
    </row>
    <row r="16824" spans="1:12" x14ac:dyDescent="0.25">
      <c r="A16824">
        <v>44492</v>
      </c>
      <c r="B16824" t="s">
        <v>20326</v>
      </c>
      <c r="C16824" t="s">
        <v>2537</v>
      </c>
      <c r="D16824" s="254">
        <v>26604.91</v>
      </c>
      <c r="E16824"/>
      <c r="F16824"/>
      <c r="G16824"/>
      <c r="H16824"/>
      <c r="I16824" s="489"/>
      <c r="J16824" s="1362"/>
      <c r="K16824" s="1362"/>
      <c r="L16824" s="1362"/>
    </row>
    <row r="16825" spans="1:12" x14ac:dyDescent="0.25">
      <c r="A16825">
        <v>36396</v>
      </c>
      <c r="B16825" t="s">
        <v>20327</v>
      </c>
      <c r="C16825" t="s">
        <v>2537</v>
      </c>
      <c r="D16825" s="254">
        <v>5594.49</v>
      </c>
      <c r="E16825"/>
      <c r="F16825"/>
      <c r="G16825"/>
      <c r="H16825"/>
      <c r="I16825" s="489"/>
      <c r="J16825" s="1362"/>
      <c r="K16825" s="1362"/>
      <c r="L16825" s="1362"/>
    </row>
    <row r="16826" spans="1:12" x14ac:dyDescent="0.25">
      <c r="A16826">
        <v>36397</v>
      </c>
      <c r="B16826" t="s">
        <v>20328</v>
      </c>
      <c r="C16826" t="s">
        <v>2537</v>
      </c>
      <c r="D16826" s="254">
        <v>19891.52</v>
      </c>
      <c r="E16826"/>
      <c r="F16826"/>
      <c r="G16826"/>
      <c r="H16826"/>
      <c r="I16826" s="489"/>
      <c r="J16826" s="1362"/>
      <c r="K16826" s="1362"/>
      <c r="L16826" s="1362"/>
    </row>
    <row r="16827" spans="1:12" x14ac:dyDescent="0.25">
      <c r="A16827">
        <v>36398</v>
      </c>
      <c r="B16827" t="s">
        <v>20329</v>
      </c>
      <c r="C16827" t="s">
        <v>2537</v>
      </c>
      <c r="D16827" s="254">
        <v>24176.49</v>
      </c>
      <c r="E16827"/>
      <c r="F16827"/>
      <c r="G16827"/>
      <c r="H16827"/>
      <c r="I16827" s="489"/>
      <c r="J16827" s="1362"/>
      <c r="K16827" s="1362"/>
      <c r="L16827" s="1362"/>
    </row>
    <row r="16828" spans="1:12" x14ac:dyDescent="0.25">
      <c r="A16828">
        <v>647</v>
      </c>
      <c r="B16828" t="s">
        <v>20330</v>
      </c>
      <c r="C16828" t="s">
        <v>2538</v>
      </c>
      <c r="D16828" s="254">
        <v>20.63</v>
      </c>
      <c r="E16828"/>
      <c r="F16828"/>
      <c r="G16828"/>
      <c r="H16828"/>
      <c r="I16828" s="489"/>
      <c r="J16828" s="1362"/>
      <c r="K16828" s="1362"/>
      <c r="L16828" s="1362"/>
    </row>
    <row r="16829" spans="1:12" x14ac:dyDescent="0.25">
      <c r="A16829">
        <v>40920</v>
      </c>
      <c r="B16829" t="s">
        <v>20331</v>
      </c>
      <c r="C16829" t="s">
        <v>2544</v>
      </c>
      <c r="D16829" s="254">
        <v>3642.4</v>
      </c>
      <c r="E16829"/>
      <c r="F16829"/>
      <c r="G16829"/>
      <c r="H16829"/>
      <c r="I16829" s="489"/>
      <c r="J16829" s="1362"/>
      <c r="K16829" s="1362"/>
      <c r="L16829" s="1362"/>
    </row>
    <row r="16830" spans="1:12" x14ac:dyDescent="0.25">
      <c r="A16830">
        <v>715</v>
      </c>
      <c r="B16830" t="s">
        <v>20332</v>
      </c>
      <c r="C16830" t="s">
        <v>2537</v>
      </c>
      <c r="D16830" s="254">
        <v>21.6</v>
      </c>
      <c r="E16830"/>
      <c r="F16830"/>
      <c r="G16830"/>
      <c r="H16830"/>
      <c r="I16830" s="489"/>
      <c r="J16830" s="1362"/>
      <c r="K16830" s="1362"/>
      <c r="L16830" s="1362"/>
    </row>
    <row r="16831" spans="1:12" x14ac:dyDescent="0.25">
      <c r="A16831">
        <v>716</v>
      </c>
      <c r="B16831" t="s">
        <v>20333</v>
      </c>
      <c r="C16831" t="s">
        <v>2537</v>
      </c>
      <c r="D16831" s="254">
        <v>24.42</v>
      </c>
      <c r="E16831"/>
      <c r="F16831"/>
      <c r="G16831"/>
      <c r="H16831"/>
      <c r="I16831" s="489"/>
      <c r="J16831" s="1362"/>
      <c r="K16831" s="1362"/>
      <c r="L16831" s="1362"/>
    </row>
    <row r="16832" spans="1:12" x14ac:dyDescent="0.25">
      <c r="A16832">
        <v>38783</v>
      </c>
      <c r="B16832" t="s">
        <v>20334</v>
      </c>
      <c r="C16832" t="s">
        <v>2537</v>
      </c>
      <c r="D16832" s="254">
        <v>1.56</v>
      </c>
      <c r="E16832"/>
      <c r="F16832"/>
      <c r="G16832"/>
      <c r="H16832"/>
      <c r="I16832" s="489"/>
      <c r="J16832" s="1362"/>
      <c r="K16832" s="1362"/>
      <c r="L16832" s="1362"/>
    </row>
    <row r="16833" spans="1:12" x14ac:dyDescent="0.25">
      <c r="A16833">
        <v>37593</v>
      </c>
      <c r="B16833" t="s">
        <v>20335</v>
      </c>
      <c r="C16833" t="s">
        <v>2537</v>
      </c>
      <c r="D16833" s="254">
        <v>3.84</v>
      </c>
      <c r="E16833"/>
      <c r="F16833"/>
      <c r="G16833"/>
      <c r="H16833"/>
      <c r="I16833" s="489"/>
      <c r="J16833" s="1362"/>
      <c r="K16833" s="1362"/>
      <c r="L16833" s="1362"/>
    </row>
    <row r="16834" spans="1:12" x14ac:dyDescent="0.25">
      <c r="A16834">
        <v>37594</v>
      </c>
      <c r="B16834" t="s">
        <v>20336</v>
      </c>
      <c r="C16834" t="s">
        <v>2537</v>
      </c>
      <c r="D16834" s="254">
        <v>4.78</v>
      </c>
      <c r="E16834"/>
      <c r="F16834"/>
      <c r="G16834"/>
      <c r="H16834"/>
      <c r="I16834" s="489"/>
      <c r="J16834" s="1362"/>
      <c r="K16834" s="1362"/>
      <c r="L16834" s="1362"/>
    </row>
    <row r="16835" spans="1:12" x14ac:dyDescent="0.25">
      <c r="A16835">
        <v>37592</v>
      </c>
      <c r="B16835" t="s">
        <v>20337</v>
      </c>
      <c r="C16835" t="s">
        <v>2537</v>
      </c>
      <c r="D16835" s="254">
        <v>3.03</v>
      </c>
      <c r="E16835"/>
      <c r="F16835"/>
      <c r="G16835"/>
      <c r="H16835"/>
      <c r="I16835" s="489"/>
      <c r="J16835" s="1362"/>
      <c r="K16835" s="1362"/>
      <c r="L16835" s="1362"/>
    </row>
    <row r="16836" spans="1:12" x14ac:dyDescent="0.25">
      <c r="A16836">
        <v>7270</v>
      </c>
      <c r="B16836" t="s">
        <v>20338</v>
      </c>
      <c r="C16836" t="s">
        <v>2537</v>
      </c>
      <c r="D16836" s="254">
        <v>1.35</v>
      </c>
      <c r="E16836"/>
      <c r="F16836"/>
      <c r="G16836"/>
      <c r="H16836"/>
      <c r="I16836" s="489"/>
      <c r="J16836" s="1362"/>
      <c r="K16836" s="1362"/>
      <c r="L16836" s="1362"/>
    </row>
    <row r="16837" spans="1:12" x14ac:dyDescent="0.25">
      <c r="A16837">
        <v>7267</v>
      </c>
      <c r="B16837" t="s">
        <v>20339</v>
      </c>
      <c r="C16837" t="s">
        <v>2537</v>
      </c>
      <c r="D16837" s="254">
        <v>1.06</v>
      </c>
      <c r="E16837"/>
      <c r="F16837"/>
      <c r="G16837"/>
      <c r="H16837"/>
      <c r="I16837" s="489"/>
      <c r="J16837" s="1362"/>
      <c r="K16837" s="1362"/>
      <c r="L16837" s="1362"/>
    </row>
    <row r="16838" spans="1:12" x14ac:dyDescent="0.25">
      <c r="A16838">
        <v>7271</v>
      </c>
      <c r="B16838" t="s">
        <v>20340</v>
      </c>
      <c r="C16838" t="s">
        <v>2537</v>
      </c>
      <c r="D16838" s="254">
        <v>1.17</v>
      </c>
      <c r="E16838"/>
      <c r="F16838"/>
      <c r="G16838"/>
      <c r="H16838"/>
      <c r="I16838" s="489"/>
      <c r="J16838" s="1362"/>
      <c r="K16838" s="1362"/>
      <c r="L16838" s="1362"/>
    </row>
    <row r="16839" spans="1:12" x14ac:dyDescent="0.25">
      <c r="A16839">
        <v>7268</v>
      </c>
      <c r="B16839" t="s">
        <v>20341</v>
      </c>
      <c r="C16839" t="s">
        <v>2537</v>
      </c>
      <c r="D16839" s="254">
        <v>1.62</v>
      </c>
      <c r="E16839"/>
      <c r="F16839"/>
      <c r="G16839"/>
      <c r="H16839"/>
      <c r="I16839" s="489"/>
      <c r="J16839" s="1362"/>
      <c r="K16839" s="1362"/>
      <c r="L16839" s="1362"/>
    </row>
    <row r="16840" spans="1:12" x14ac:dyDescent="0.25">
      <c r="A16840">
        <v>41372</v>
      </c>
      <c r="B16840" t="s">
        <v>20342</v>
      </c>
      <c r="C16840" t="s">
        <v>2539</v>
      </c>
      <c r="D16840" s="254">
        <v>74.540000000000006</v>
      </c>
      <c r="E16840"/>
      <c r="F16840"/>
      <c r="G16840"/>
      <c r="H16840"/>
      <c r="I16840" s="489"/>
      <c r="J16840" s="1362"/>
      <c r="K16840" s="1362"/>
      <c r="L16840" s="1362"/>
    </row>
    <row r="16841" spans="1:12" x14ac:dyDescent="0.25">
      <c r="A16841">
        <v>41371</v>
      </c>
      <c r="B16841" t="s">
        <v>20343</v>
      </c>
      <c r="C16841" t="s">
        <v>2539</v>
      </c>
      <c r="D16841" s="254">
        <v>44.06</v>
      </c>
      <c r="E16841"/>
      <c r="F16841"/>
      <c r="G16841"/>
      <c r="H16841"/>
      <c r="I16841" s="489"/>
      <c r="J16841" s="1362"/>
      <c r="K16841" s="1362"/>
      <c r="L16841" s="1362"/>
    </row>
    <row r="16842" spans="1:12" x14ac:dyDescent="0.25">
      <c r="A16842">
        <v>34556</v>
      </c>
      <c r="B16842" t="s">
        <v>20344</v>
      </c>
      <c r="C16842" t="s">
        <v>2537</v>
      </c>
      <c r="D16842" s="254">
        <v>4.7699999999999996</v>
      </c>
      <c r="E16842"/>
      <c r="F16842"/>
      <c r="G16842"/>
      <c r="H16842"/>
      <c r="I16842" s="489"/>
      <c r="J16842" s="1362"/>
      <c r="K16842" s="1362"/>
      <c r="L16842" s="1362"/>
    </row>
    <row r="16843" spans="1:12" x14ac:dyDescent="0.25">
      <c r="A16843">
        <v>37873</v>
      </c>
      <c r="B16843" t="s">
        <v>20345</v>
      </c>
      <c r="C16843" t="s">
        <v>2537</v>
      </c>
      <c r="D16843" s="254">
        <v>4.8600000000000003</v>
      </c>
      <c r="E16843"/>
      <c r="F16843"/>
      <c r="G16843"/>
      <c r="H16843"/>
      <c r="I16843" s="489"/>
      <c r="J16843" s="1362"/>
      <c r="K16843" s="1362"/>
      <c r="L16843" s="1362"/>
    </row>
    <row r="16844" spans="1:12" x14ac:dyDescent="0.25">
      <c r="A16844">
        <v>34564</v>
      </c>
      <c r="B16844" t="s">
        <v>20346</v>
      </c>
      <c r="C16844" t="s">
        <v>2537</v>
      </c>
      <c r="D16844" s="254">
        <v>5.09</v>
      </c>
      <c r="E16844"/>
      <c r="F16844"/>
      <c r="G16844"/>
      <c r="H16844"/>
      <c r="I16844" s="489"/>
      <c r="J16844" s="1362"/>
      <c r="K16844" s="1362"/>
      <c r="L16844" s="1362"/>
    </row>
    <row r="16845" spans="1:12" x14ac:dyDescent="0.25">
      <c r="A16845">
        <v>34565</v>
      </c>
      <c r="B16845" t="s">
        <v>20347</v>
      </c>
      <c r="C16845" t="s">
        <v>2537</v>
      </c>
      <c r="D16845" s="254">
        <v>5.38</v>
      </c>
      <c r="E16845"/>
      <c r="F16845"/>
      <c r="G16845"/>
      <c r="H16845"/>
      <c r="I16845" s="489"/>
      <c r="J16845" s="1362"/>
      <c r="K16845" s="1362"/>
      <c r="L16845" s="1362"/>
    </row>
    <row r="16846" spans="1:12" x14ac:dyDescent="0.25">
      <c r="A16846">
        <v>38590</v>
      </c>
      <c r="B16846" t="s">
        <v>20348</v>
      </c>
      <c r="C16846" t="s">
        <v>2537</v>
      </c>
      <c r="D16846" s="254">
        <v>3.98</v>
      </c>
      <c r="E16846"/>
      <c r="F16846"/>
      <c r="G16846"/>
      <c r="H16846"/>
      <c r="I16846" s="489"/>
      <c r="J16846" s="1362"/>
      <c r="K16846" s="1362"/>
      <c r="L16846" s="1362"/>
    </row>
    <row r="16847" spans="1:12" x14ac:dyDescent="0.25">
      <c r="A16847">
        <v>34566</v>
      </c>
      <c r="B16847" t="s">
        <v>20349</v>
      </c>
      <c r="C16847" t="s">
        <v>2537</v>
      </c>
      <c r="D16847" s="254">
        <v>4.18</v>
      </c>
      <c r="E16847"/>
      <c r="F16847"/>
      <c r="G16847"/>
      <c r="H16847"/>
      <c r="I16847" s="489"/>
      <c r="J16847" s="1362"/>
      <c r="K16847" s="1362"/>
      <c r="L16847" s="1362"/>
    </row>
    <row r="16848" spans="1:12" x14ac:dyDescent="0.25">
      <c r="A16848">
        <v>34567</v>
      </c>
      <c r="B16848" t="s">
        <v>20350</v>
      </c>
      <c r="C16848" t="s">
        <v>2537</v>
      </c>
      <c r="D16848" s="254">
        <v>4.43</v>
      </c>
      <c r="E16848"/>
      <c r="F16848"/>
      <c r="G16848"/>
      <c r="H16848"/>
      <c r="I16848" s="489"/>
      <c r="J16848" s="1362"/>
      <c r="K16848" s="1362"/>
      <c r="L16848" s="1362"/>
    </row>
    <row r="16849" spans="1:12" x14ac:dyDescent="0.25">
      <c r="A16849">
        <v>38591</v>
      </c>
      <c r="B16849" t="s">
        <v>20351</v>
      </c>
      <c r="C16849" t="s">
        <v>2537</v>
      </c>
      <c r="D16849" s="254">
        <v>4.0199999999999996</v>
      </c>
      <c r="E16849"/>
      <c r="F16849"/>
      <c r="G16849"/>
      <c r="H16849"/>
      <c r="I16849" s="489"/>
      <c r="J16849" s="1362"/>
      <c r="K16849" s="1362"/>
      <c r="L16849" s="1362"/>
    </row>
    <row r="16850" spans="1:12" x14ac:dyDescent="0.25">
      <c r="A16850">
        <v>34568</v>
      </c>
      <c r="B16850" t="s">
        <v>20352</v>
      </c>
      <c r="C16850" t="s">
        <v>2537</v>
      </c>
      <c r="D16850" s="254">
        <v>5.23</v>
      </c>
      <c r="E16850"/>
      <c r="F16850"/>
      <c r="G16850"/>
      <c r="H16850"/>
      <c r="I16850" s="489"/>
      <c r="J16850" s="1362"/>
      <c r="K16850" s="1362"/>
      <c r="L16850" s="1362"/>
    </row>
    <row r="16851" spans="1:12" x14ac:dyDescent="0.25">
      <c r="A16851">
        <v>34569</v>
      </c>
      <c r="B16851" t="s">
        <v>20353</v>
      </c>
      <c r="C16851" t="s">
        <v>2537</v>
      </c>
      <c r="D16851" s="254">
        <v>5.38</v>
      </c>
      <c r="E16851"/>
      <c r="F16851"/>
      <c r="G16851"/>
      <c r="H16851"/>
      <c r="I16851" s="489"/>
      <c r="J16851" s="1362"/>
      <c r="K16851" s="1362"/>
      <c r="L16851" s="1362"/>
    </row>
    <row r="16852" spans="1:12" x14ac:dyDescent="0.25">
      <c r="A16852">
        <v>34570</v>
      </c>
      <c r="B16852" t="s">
        <v>20354</v>
      </c>
      <c r="C16852" t="s">
        <v>2537</v>
      </c>
      <c r="D16852" s="254">
        <v>5.84</v>
      </c>
      <c r="E16852"/>
      <c r="F16852"/>
      <c r="G16852"/>
      <c r="H16852"/>
      <c r="I16852" s="489"/>
      <c r="J16852" s="1362"/>
      <c r="K16852" s="1362"/>
      <c r="L16852" s="1362"/>
    </row>
    <row r="16853" spans="1:12" x14ac:dyDescent="0.25">
      <c r="A16853">
        <v>25070</v>
      </c>
      <c r="B16853" t="s">
        <v>20355</v>
      </c>
      <c r="C16853" t="s">
        <v>2537</v>
      </c>
      <c r="D16853" s="254">
        <v>4.3899999999999997</v>
      </c>
      <c r="E16853"/>
      <c r="F16853"/>
      <c r="G16853"/>
      <c r="H16853"/>
      <c r="I16853" s="489"/>
      <c r="J16853" s="1362"/>
      <c r="K16853" s="1362"/>
      <c r="L16853" s="1362"/>
    </row>
    <row r="16854" spans="1:12" x14ac:dyDescent="0.25">
      <c r="A16854">
        <v>34571</v>
      </c>
      <c r="B16854" t="s">
        <v>20356</v>
      </c>
      <c r="C16854" t="s">
        <v>2537</v>
      </c>
      <c r="D16854" s="254">
        <v>4.4400000000000004</v>
      </c>
      <c r="E16854"/>
      <c r="F16854"/>
      <c r="G16854"/>
      <c r="H16854"/>
      <c r="I16854" s="489"/>
      <c r="J16854" s="1362"/>
      <c r="K16854" s="1362"/>
      <c r="L16854" s="1362"/>
    </row>
    <row r="16855" spans="1:12" x14ac:dyDescent="0.25">
      <c r="A16855">
        <v>34573</v>
      </c>
      <c r="B16855" t="s">
        <v>20357</v>
      </c>
      <c r="C16855" t="s">
        <v>2537</v>
      </c>
      <c r="D16855" s="254">
        <v>4.67</v>
      </c>
      <c r="E16855"/>
      <c r="F16855"/>
      <c r="G16855"/>
      <c r="H16855"/>
      <c r="I16855" s="489"/>
      <c r="J16855" s="1362"/>
      <c r="K16855" s="1362"/>
      <c r="L16855" s="1362"/>
    </row>
    <row r="16856" spans="1:12" x14ac:dyDescent="0.25">
      <c r="A16856">
        <v>37107</v>
      </c>
      <c r="B16856" t="s">
        <v>20358</v>
      </c>
      <c r="C16856" t="s">
        <v>2537</v>
      </c>
      <c r="D16856" s="254">
        <v>6.17</v>
      </c>
      <c r="E16856"/>
      <c r="F16856"/>
      <c r="G16856"/>
      <c r="H16856"/>
      <c r="I16856" s="489"/>
      <c r="J16856" s="1362"/>
      <c r="K16856" s="1362"/>
      <c r="L16856" s="1362"/>
    </row>
    <row r="16857" spans="1:12" x14ac:dyDescent="0.25">
      <c r="A16857">
        <v>34576</v>
      </c>
      <c r="B16857" t="s">
        <v>20359</v>
      </c>
      <c r="C16857" t="s">
        <v>2537</v>
      </c>
      <c r="D16857" s="254">
        <v>6.8</v>
      </c>
      <c r="E16857"/>
      <c r="F16857"/>
      <c r="G16857"/>
      <c r="H16857"/>
      <c r="I16857" s="489"/>
      <c r="J16857" s="1362"/>
      <c r="K16857" s="1362"/>
      <c r="L16857" s="1362"/>
    </row>
    <row r="16858" spans="1:12" x14ac:dyDescent="0.25">
      <c r="A16858">
        <v>34577</v>
      </c>
      <c r="B16858" t="s">
        <v>20360</v>
      </c>
      <c r="C16858" t="s">
        <v>2537</v>
      </c>
      <c r="D16858" s="254">
        <v>7.1</v>
      </c>
      <c r="E16858"/>
      <c r="F16858"/>
      <c r="G16858"/>
      <c r="H16858"/>
      <c r="I16858" s="489"/>
      <c r="J16858" s="1362"/>
      <c r="K16858" s="1362"/>
      <c r="L16858" s="1362"/>
    </row>
    <row r="16859" spans="1:12" x14ac:dyDescent="0.25">
      <c r="A16859">
        <v>34578</v>
      </c>
      <c r="B16859" t="s">
        <v>20361</v>
      </c>
      <c r="C16859" t="s">
        <v>2537</v>
      </c>
      <c r="D16859" s="254">
        <v>7.7</v>
      </c>
      <c r="E16859"/>
      <c r="F16859"/>
      <c r="G16859"/>
      <c r="H16859"/>
      <c r="I16859" s="489"/>
      <c r="J16859" s="1362"/>
      <c r="K16859" s="1362"/>
      <c r="L16859" s="1362"/>
    </row>
    <row r="16860" spans="1:12" x14ac:dyDescent="0.25">
      <c r="A16860">
        <v>34579</v>
      </c>
      <c r="B16860" t="s">
        <v>20362</v>
      </c>
      <c r="C16860" t="s">
        <v>2537</v>
      </c>
      <c r="D16860" s="254">
        <v>8.2100000000000009</v>
      </c>
      <c r="E16860"/>
      <c r="F16860"/>
      <c r="G16860"/>
      <c r="H16860"/>
      <c r="I16860" s="489"/>
      <c r="J16860" s="1362"/>
      <c r="K16860" s="1362"/>
      <c r="L16860" s="1362"/>
    </row>
    <row r="16861" spans="1:12" x14ac:dyDescent="0.25">
      <c r="A16861">
        <v>25067</v>
      </c>
      <c r="B16861" t="s">
        <v>20363</v>
      </c>
      <c r="C16861" t="s">
        <v>2537</v>
      </c>
      <c r="D16861" s="254">
        <v>5.5</v>
      </c>
      <c r="E16861"/>
      <c r="F16861"/>
      <c r="G16861"/>
      <c r="H16861"/>
      <c r="I16861" s="489"/>
      <c r="J16861" s="1362"/>
      <c r="K16861" s="1362"/>
      <c r="L16861" s="1362"/>
    </row>
    <row r="16862" spans="1:12" x14ac:dyDescent="0.25">
      <c r="A16862">
        <v>34580</v>
      </c>
      <c r="B16862" t="s">
        <v>20364</v>
      </c>
      <c r="C16862" t="s">
        <v>2537</v>
      </c>
      <c r="D16862" s="254">
        <v>6.13</v>
      </c>
      <c r="E16862"/>
      <c r="F16862"/>
      <c r="G16862"/>
      <c r="H16862"/>
      <c r="I16862" s="489"/>
      <c r="J16862" s="1362"/>
      <c r="K16862" s="1362"/>
      <c r="L16862" s="1362"/>
    </row>
    <row r="16863" spans="1:12" x14ac:dyDescent="0.25">
      <c r="A16863">
        <v>25071</v>
      </c>
      <c r="B16863" t="s">
        <v>20365</v>
      </c>
      <c r="C16863" t="s">
        <v>2537</v>
      </c>
      <c r="D16863" s="254">
        <v>3.05</v>
      </c>
      <c r="E16863"/>
      <c r="F16863"/>
      <c r="G16863"/>
      <c r="H16863"/>
      <c r="I16863" s="489"/>
      <c r="J16863" s="1362"/>
      <c r="K16863" s="1362"/>
      <c r="L16863" s="1362"/>
    </row>
    <row r="16864" spans="1:12" x14ac:dyDescent="0.25">
      <c r="A16864">
        <v>44171</v>
      </c>
      <c r="B16864" t="s">
        <v>20366</v>
      </c>
      <c r="C16864" t="s">
        <v>2537</v>
      </c>
      <c r="D16864" s="254">
        <v>27</v>
      </c>
      <c r="E16864"/>
      <c r="F16864"/>
      <c r="G16864"/>
      <c r="H16864"/>
      <c r="I16864" s="489"/>
      <c r="J16864" s="1362"/>
      <c r="K16864" s="1362"/>
      <c r="L16864" s="1362"/>
    </row>
    <row r="16865" spans="1:12" x14ac:dyDescent="0.25">
      <c r="A16865">
        <v>38395</v>
      </c>
      <c r="B16865" t="s">
        <v>20367</v>
      </c>
      <c r="C16865" t="s">
        <v>2537</v>
      </c>
      <c r="D16865" s="254">
        <v>8.52</v>
      </c>
      <c r="E16865"/>
      <c r="F16865"/>
      <c r="G16865"/>
      <c r="H16865"/>
      <c r="I16865" s="489"/>
      <c r="J16865" s="1362"/>
      <c r="K16865" s="1362"/>
      <c r="L16865" s="1362"/>
    </row>
    <row r="16866" spans="1:12" x14ac:dyDescent="0.25">
      <c r="A16866">
        <v>34583</v>
      </c>
      <c r="B16866" t="s">
        <v>20368</v>
      </c>
      <c r="C16866" t="s">
        <v>2539</v>
      </c>
      <c r="D16866" s="254">
        <v>65.77</v>
      </c>
      <c r="E16866"/>
      <c r="F16866"/>
      <c r="G16866"/>
      <c r="H16866"/>
      <c r="I16866" s="489"/>
      <c r="J16866" s="1362"/>
      <c r="K16866" s="1362"/>
      <c r="L16866" s="1362"/>
    </row>
    <row r="16867" spans="1:12" x14ac:dyDescent="0.25">
      <c r="A16867">
        <v>34584</v>
      </c>
      <c r="B16867" t="s">
        <v>20369</v>
      </c>
      <c r="C16867" t="s">
        <v>2539</v>
      </c>
      <c r="D16867" s="254">
        <v>48.23</v>
      </c>
      <c r="E16867"/>
      <c r="F16867"/>
      <c r="G16867"/>
      <c r="H16867"/>
      <c r="I16867" s="489"/>
      <c r="J16867" s="1362"/>
      <c r="K16867" s="1362"/>
      <c r="L16867" s="1362"/>
    </row>
    <row r="16868" spans="1:12" x14ac:dyDescent="0.25">
      <c r="A16868">
        <v>709</v>
      </c>
      <c r="B16868" t="s">
        <v>20370</v>
      </c>
      <c r="C16868" t="s">
        <v>2539</v>
      </c>
      <c r="D16868" s="254">
        <v>813.39</v>
      </c>
      <c r="E16868"/>
      <c r="F16868"/>
      <c r="G16868"/>
      <c r="H16868"/>
      <c r="I16868" s="489"/>
      <c r="J16868" s="1362"/>
      <c r="K16868" s="1362"/>
      <c r="L16868" s="1362"/>
    </row>
    <row r="16869" spans="1:12" x14ac:dyDescent="0.25">
      <c r="A16869">
        <v>34599</v>
      </c>
      <c r="B16869" t="s">
        <v>20371</v>
      </c>
      <c r="C16869" t="s">
        <v>2537</v>
      </c>
      <c r="D16869" s="254">
        <v>3.14</v>
      </c>
      <c r="E16869"/>
      <c r="F16869"/>
      <c r="G16869"/>
      <c r="H16869"/>
      <c r="I16869" s="489"/>
      <c r="J16869" s="1362"/>
      <c r="K16869" s="1362"/>
      <c r="L16869" s="1362"/>
    </row>
    <row r="16870" spans="1:12" x14ac:dyDescent="0.25">
      <c r="A16870">
        <v>34592</v>
      </c>
      <c r="B16870" t="s">
        <v>20372</v>
      </c>
      <c r="C16870" t="s">
        <v>2537</v>
      </c>
      <c r="D16870" s="254">
        <v>3.49</v>
      </c>
      <c r="E16870"/>
      <c r="F16870"/>
      <c r="G16870"/>
      <c r="H16870"/>
      <c r="I16870" s="489"/>
      <c r="J16870" s="1362"/>
      <c r="K16870" s="1362"/>
      <c r="L16870" s="1362"/>
    </row>
    <row r="16871" spans="1:12" x14ac:dyDescent="0.25">
      <c r="A16871">
        <v>37103</v>
      </c>
      <c r="B16871" t="s">
        <v>20373</v>
      </c>
      <c r="C16871" t="s">
        <v>2537</v>
      </c>
      <c r="D16871" s="254">
        <v>4</v>
      </c>
      <c r="E16871"/>
      <c r="F16871"/>
      <c r="G16871"/>
      <c r="H16871"/>
      <c r="I16871" s="489"/>
      <c r="J16871" s="1362"/>
      <c r="K16871" s="1362"/>
      <c r="L16871" s="1362"/>
    </row>
    <row r="16872" spans="1:12" x14ac:dyDescent="0.25">
      <c r="A16872">
        <v>34555</v>
      </c>
      <c r="B16872" t="s">
        <v>20374</v>
      </c>
      <c r="C16872" t="s">
        <v>2537</v>
      </c>
      <c r="D16872" s="254">
        <v>5.08</v>
      </c>
      <c r="E16872"/>
      <c r="F16872"/>
      <c r="G16872"/>
      <c r="H16872"/>
      <c r="I16872" s="489"/>
      <c r="J16872" s="1362"/>
      <c r="K16872" s="1362"/>
      <c r="L16872" s="1362"/>
    </row>
    <row r="16873" spans="1:12" x14ac:dyDescent="0.25">
      <c r="A16873">
        <v>674</v>
      </c>
      <c r="B16873" t="s">
        <v>20375</v>
      </c>
      <c r="C16873" t="s">
        <v>2539</v>
      </c>
      <c r="D16873" s="254">
        <v>53.11</v>
      </c>
      <c r="E16873"/>
      <c r="F16873"/>
      <c r="G16873"/>
      <c r="H16873"/>
      <c r="I16873" s="489"/>
      <c r="J16873" s="1362"/>
      <c r="K16873" s="1362"/>
      <c r="L16873" s="1362"/>
    </row>
    <row r="16874" spans="1:12" x14ac:dyDescent="0.25">
      <c r="A16874">
        <v>34600</v>
      </c>
      <c r="B16874" t="s">
        <v>20376</v>
      </c>
      <c r="C16874" t="s">
        <v>2539</v>
      </c>
      <c r="D16874" s="254">
        <v>78.02</v>
      </c>
      <c r="E16874"/>
      <c r="F16874"/>
      <c r="G16874"/>
      <c r="H16874"/>
      <c r="I16874" s="489"/>
      <c r="J16874" s="1362"/>
      <c r="K16874" s="1362"/>
      <c r="L16874" s="1362"/>
    </row>
    <row r="16875" spans="1:12" x14ac:dyDescent="0.25">
      <c r="A16875">
        <v>652</v>
      </c>
      <c r="B16875" t="s">
        <v>20377</v>
      </c>
      <c r="C16875" t="s">
        <v>2539</v>
      </c>
      <c r="D16875" s="254">
        <v>119.51</v>
      </c>
      <c r="E16875"/>
      <c r="F16875"/>
      <c r="G16875"/>
      <c r="H16875"/>
      <c r="I16875" s="489"/>
      <c r="J16875" s="1362"/>
      <c r="K16875" s="1362"/>
      <c r="L16875" s="1362"/>
    </row>
    <row r="16876" spans="1:12" x14ac:dyDescent="0.25">
      <c r="A16876">
        <v>651</v>
      </c>
      <c r="B16876" t="s">
        <v>20378</v>
      </c>
      <c r="C16876" t="s">
        <v>2537</v>
      </c>
      <c r="D16876" s="254">
        <v>3.85</v>
      </c>
      <c r="E16876"/>
      <c r="F16876"/>
      <c r="G16876"/>
      <c r="H16876"/>
      <c r="I16876" s="489"/>
      <c r="J16876" s="1362"/>
      <c r="K16876" s="1362"/>
      <c r="L16876" s="1362"/>
    </row>
    <row r="16877" spans="1:12" x14ac:dyDescent="0.25">
      <c r="A16877">
        <v>654</v>
      </c>
      <c r="B16877" t="s">
        <v>20379</v>
      </c>
      <c r="C16877" t="s">
        <v>2537</v>
      </c>
      <c r="D16877" s="254">
        <v>4.7699999999999996</v>
      </c>
      <c r="E16877"/>
      <c r="F16877"/>
      <c r="G16877"/>
      <c r="H16877"/>
      <c r="I16877" s="489"/>
      <c r="J16877" s="1362"/>
      <c r="K16877" s="1362"/>
      <c r="L16877" s="1362"/>
    </row>
    <row r="16878" spans="1:12" x14ac:dyDescent="0.25">
      <c r="A16878">
        <v>650</v>
      </c>
      <c r="B16878" t="s">
        <v>20380</v>
      </c>
      <c r="C16878" t="s">
        <v>2537</v>
      </c>
      <c r="D16878" s="254">
        <v>3.08</v>
      </c>
      <c r="E16878"/>
      <c r="F16878"/>
      <c r="G16878"/>
      <c r="H16878"/>
      <c r="I16878" s="489"/>
      <c r="J16878" s="1362"/>
      <c r="K16878" s="1362"/>
      <c r="L16878" s="1362"/>
    </row>
    <row r="16879" spans="1:12" x14ac:dyDescent="0.25">
      <c r="A16879">
        <v>718</v>
      </c>
      <c r="B16879" t="s">
        <v>20381</v>
      </c>
      <c r="C16879" t="s">
        <v>2537</v>
      </c>
      <c r="D16879" s="254">
        <v>21.34</v>
      </c>
      <c r="E16879"/>
      <c r="F16879"/>
      <c r="G16879"/>
      <c r="H16879"/>
      <c r="I16879" s="489"/>
      <c r="J16879" s="1362"/>
      <c r="K16879" s="1362"/>
      <c r="L16879" s="1362"/>
    </row>
    <row r="16880" spans="1:12" x14ac:dyDescent="0.25">
      <c r="A16880">
        <v>11981</v>
      </c>
      <c r="B16880" t="s">
        <v>20382</v>
      </c>
      <c r="C16880" t="s">
        <v>2537</v>
      </c>
      <c r="D16880" s="254">
        <v>20.73</v>
      </c>
      <c r="E16880"/>
      <c r="F16880"/>
      <c r="G16880"/>
      <c r="H16880"/>
      <c r="I16880" s="489"/>
      <c r="J16880" s="1362"/>
      <c r="K16880" s="1362"/>
      <c r="L16880" s="1362"/>
    </row>
    <row r="16881" spans="1:12" x14ac:dyDescent="0.25">
      <c r="A16881">
        <v>34586</v>
      </c>
      <c r="B16881" t="s">
        <v>20383</v>
      </c>
      <c r="C16881" t="s">
        <v>2537</v>
      </c>
      <c r="D16881" s="254">
        <v>3.28</v>
      </c>
      <c r="E16881"/>
      <c r="F16881"/>
      <c r="G16881"/>
      <c r="H16881"/>
      <c r="I16881" s="489"/>
      <c r="J16881" s="1362"/>
      <c r="K16881" s="1362"/>
      <c r="L16881" s="1362"/>
    </row>
    <row r="16882" spans="1:12" x14ac:dyDescent="0.25">
      <c r="A16882">
        <v>38603</v>
      </c>
      <c r="B16882" t="s">
        <v>20384</v>
      </c>
      <c r="C16882" t="s">
        <v>2537</v>
      </c>
      <c r="D16882" s="254">
        <v>3.97</v>
      </c>
      <c r="E16882"/>
      <c r="F16882"/>
      <c r="G16882"/>
      <c r="H16882"/>
      <c r="I16882" s="489"/>
      <c r="J16882" s="1362"/>
      <c r="K16882" s="1362"/>
      <c r="L16882" s="1362"/>
    </row>
    <row r="16883" spans="1:12" x14ac:dyDescent="0.25">
      <c r="A16883">
        <v>34588</v>
      </c>
      <c r="B16883" t="s">
        <v>20385</v>
      </c>
      <c r="C16883" t="s">
        <v>2537</v>
      </c>
      <c r="D16883" s="254">
        <v>4.29</v>
      </c>
      <c r="E16883"/>
      <c r="F16883"/>
      <c r="G16883"/>
      <c r="H16883"/>
      <c r="I16883" s="489"/>
      <c r="J16883" s="1362"/>
      <c r="K16883" s="1362"/>
      <c r="L16883" s="1362"/>
    </row>
    <row r="16884" spans="1:12" x14ac:dyDescent="0.25">
      <c r="A16884">
        <v>34590</v>
      </c>
      <c r="B16884" t="s">
        <v>20386</v>
      </c>
      <c r="C16884" t="s">
        <v>2537</v>
      </c>
      <c r="D16884" s="254">
        <v>3.91</v>
      </c>
      <c r="E16884"/>
      <c r="F16884"/>
      <c r="G16884"/>
      <c r="H16884"/>
      <c r="I16884" s="489"/>
      <c r="J16884" s="1362"/>
      <c r="K16884" s="1362"/>
      <c r="L16884" s="1362"/>
    </row>
    <row r="16885" spans="1:12" x14ac:dyDescent="0.25">
      <c r="A16885">
        <v>34591</v>
      </c>
      <c r="B16885" t="s">
        <v>20387</v>
      </c>
      <c r="C16885" t="s">
        <v>2537</v>
      </c>
      <c r="D16885" s="254">
        <v>5.31</v>
      </c>
      <c r="E16885"/>
      <c r="F16885"/>
      <c r="G16885"/>
      <c r="H16885"/>
      <c r="I16885" s="489"/>
      <c r="J16885" s="1362"/>
      <c r="K16885" s="1362"/>
      <c r="L16885" s="1362"/>
    </row>
    <row r="16886" spans="1:12" x14ac:dyDescent="0.25">
      <c r="A16886">
        <v>40517</v>
      </c>
      <c r="B16886" t="s">
        <v>20388</v>
      </c>
      <c r="C16886" t="s">
        <v>2539</v>
      </c>
      <c r="D16886" s="254">
        <v>42.09</v>
      </c>
      <c r="E16886"/>
      <c r="F16886"/>
      <c r="G16886"/>
      <c r="H16886"/>
      <c r="I16886" s="489"/>
      <c r="J16886" s="1362"/>
      <c r="K16886" s="1362"/>
      <c r="L16886" s="1362"/>
    </row>
    <row r="16887" spans="1:12" x14ac:dyDescent="0.25">
      <c r="A16887">
        <v>40515</v>
      </c>
      <c r="B16887" t="s">
        <v>20389</v>
      </c>
      <c r="C16887" t="s">
        <v>2539</v>
      </c>
      <c r="D16887" s="254">
        <v>94.7</v>
      </c>
      <c r="E16887"/>
      <c r="F16887"/>
      <c r="G16887"/>
      <c r="H16887"/>
      <c r="I16887" s="489"/>
      <c r="J16887" s="1362"/>
      <c r="K16887" s="1362"/>
      <c r="L16887" s="1362"/>
    </row>
    <row r="16888" spans="1:12" x14ac:dyDescent="0.25">
      <c r="A16888">
        <v>40529</v>
      </c>
      <c r="B16888" t="s">
        <v>20390</v>
      </c>
      <c r="C16888" t="s">
        <v>2539</v>
      </c>
      <c r="D16888" s="254">
        <v>60.5</v>
      </c>
      <c r="E16888"/>
      <c r="F16888"/>
      <c r="G16888"/>
      <c r="H16888"/>
      <c r="I16888" s="489"/>
      <c r="J16888" s="1362"/>
      <c r="K16888" s="1362"/>
      <c r="L16888" s="1362"/>
    </row>
    <row r="16889" spans="1:12" x14ac:dyDescent="0.25">
      <c r="A16889">
        <v>36170</v>
      </c>
      <c r="B16889" t="s">
        <v>20391</v>
      </c>
      <c r="C16889" t="s">
        <v>2539</v>
      </c>
      <c r="D16889" s="254">
        <v>50.2</v>
      </c>
      <c r="E16889"/>
      <c r="F16889"/>
      <c r="G16889"/>
      <c r="H16889"/>
      <c r="I16889" s="489"/>
      <c r="J16889" s="1362"/>
      <c r="K16889" s="1362"/>
      <c r="L16889" s="1362"/>
    </row>
    <row r="16890" spans="1:12" x14ac:dyDescent="0.25">
      <c r="A16890">
        <v>40524</v>
      </c>
      <c r="B16890" t="s">
        <v>20392</v>
      </c>
      <c r="C16890" t="s">
        <v>2539</v>
      </c>
      <c r="D16890" s="254">
        <v>59.19</v>
      </c>
      <c r="E16890"/>
      <c r="F16890"/>
      <c r="G16890"/>
      <c r="H16890"/>
      <c r="I16890" s="489"/>
      <c r="J16890" s="1362"/>
      <c r="K16890" s="1362"/>
      <c r="L16890" s="1362"/>
    </row>
    <row r="16891" spans="1:12" x14ac:dyDescent="0.25">
      <c r="A16891">
        <v>36156</v>
      </c>
      <c r="B16891" t="s">
        <v>20393</v>
      </c>
      <c r="C16891" t="s">
        <v>2539</v>
      </c>
      <c r="D16891" s="254">
        <v>46.03</v>
      </c>
      <c r="E16891"/>
      <c r="F16891"/>
      <c r="G16891"/>
      <c r="H16891"/>
      <c r="I16891" s="489"/>
      <c r="J16891" s="1362"/>
      <c r="K16891" s="1362"/>
      <c r="L16891" s="1362"/>
    </row>
    <row r="16892" spans="1:12" x14ac:dyDescent="0.25">
      <c r="A16892">
        <v>36155</v>
      </c>
      <c r="B16892" t="s">
        <v>20394</v>
      </c>
      <c r="C16892" t="s">
        <v>2539</v>
      </c>
      <c r="D16892" s="254">
        <v>39.74</v>
      </c>
      <c r="E16892"/>
      <c r="F16892"/>
      <c r="G16892"/>
      <c r="H16892"/>
      <c r="I16892" s="489"/>
      <c r="J16892" s="1362"/>
      <c r="K16892" s="1362"/>
      <c r="L16892" s="1362"/>
    </row>
    <row r="16893" spans="1:12" x14ac:dyDescent="0.25">
      <c r="A16893">
        <v>36154</v>
      </c>
      <c r="B16893" t="s">
        <v>20395</v>
      </c>
      <c r="C16893" t="s">
        <v>2539</v>
      </c>
      <c r="D16893" s="254">
        <v>55.24</v>
      </c>
      <c r="E16893"/>
      <c r="F16893"/>
      <c r="G16893"/>
      <c r="H16893"/>
      <c r="I16893" s="489"/>
      <c r="J16893" s="1362"/>
      <c r="K16893" s="1362"/>
      <c r="L16893" s="1362"/>
    </row>
    <row r="16894" spans="1:12" x14ac:dyDescent="0.25">
      <c r="A16894">
        <v>695</v>
      </c>
      <c r="B16894" t="s">
        <v>20396</v>
      </c>
      <c r="C16894" t="s">
        <v>2539</v>
      </c>
      <c r="D16894" s="254">
        <v>40.57</v>
      </c>
      <c r="E16894"/>
      <c r="F16894"/>
      <c r="G16894"/>
      <c r="H16894"/>
      <c r="I16894" s="489"/>
      <c r="J16894" s="1362"/>
      <c r="K16894" s="1362"/>
      <c r="L16894" s="1362"/>
    </row>
    <row r="16895" spans="1:12" x14ac:dyDescent="0.25">
      <c r="A16895">
        <v>679</v>
      </c>
      <c r="B16895" t="s">
        <v>20397</v>
      </c>
      <c r="C16895" t="s">
        <v>2539</v>
      </c>
      <c r="D16895" s="254">
        <v>60.5</v>
      </c>
      <c r="E16895"/>
      <c r="F16895"/>
      <c r="G16895"/>
      <c r="H16895"/>
      <c r="I16895" s="489"/>
      <c r="J16895" s="1362"/>
      <c r="K16895" s="1362"/>
      <c r="L16895" s="1362"/>
    </row>
    <row r="16896" spans="1:12" x14ac:dyDescent="0.25">
      <c r="A16896">
        <v>711</v>
      </c>
      <c r="B16896" t="s">
        <v>20398</v>
      </c>
      <c r="C16896" t="s">
        <v>2539</v>
      </c>
      <c r="D16896" s="254">
        <v>40.020000000000003</v>
      </c>
      <c r="E16896"/>
      <c r="F16896"/>
      <c r="G16896"/>
      <c r="H16896"/>
      <c r="I16896" s="489"/>
      <c r="J16896" s="1362"/>
      <c r="K16896" s="1362"/>
      <c r="L16896" s="1362"/>
    </row>
    <row r="16897" spans="1:12" x14ac:dyDescent="0.25">
      <c r="A16897">
        <v>712</v>
      </c>
      <c r="B16897" t="s">
        <v>20399</v>
      </c>
      <c r="C16897" t="s">
        <v>2539</v>
      </c>
      <c r="D16897" s="254">
        <v>50.41</v>
      </c>
      <c r="E16897"/>
      <c r="F16897"/>
      <c r="G16897"/>
      <c r="H16897"/>
      <c r="I16897" s="489"/>
      <c r="J16897" s="1362"/>
      <c r="K16897" s="1362"/>
      <c r="L16897" s="1362"/>
    </row>
    <row r="16898" spans="1:12" x14ac:dyDescent="0.25">
      <c r="A16898">
        <v>12614</v>
      </c>
      <c r="B16898" t="s">
        <v>20400</v>
      </c>
      <c r="C16898" t="s">
        <v>2537</v>
      </c>
      <c r="D16898" s="254">
        <v>22.83</v>
      </c>
      <c r="E16898"/>
      <c r="F16898"/>
      <c r="G16898"/>
      <c r="H16898"/>
      <c r="I16898" s="489"/>
      <c r="J16898" s="1362"/>
      <c r="K16898" s="1362"/>
      <c r="L16898" s="1362"/>
    </row>
    <row r="16899" spans="1:12" x14ac:dyDescent="0.25">
      <c r="A16899">
        <v>6140</v>
      </c>
      <c r="B16899" t="s">
        <v>20401</v>
      </c>
      <c r="C16899" t="s">
        <v>2537</v>
      </c>
      <c r="D16899" s="254">
        <v>3.65</v>
      </c>
      <c r="E16899"/>
      <c r="F16899"/>
      <c r="G16899"/>
      <c r="H16899"/>
      <c r="I16899" s="489"/>
      <c r="J16899" s="1362"/>
      <c r="K16899" s="1362"/>
      <c r="L16899" s="1362"/>
    </row>
    <row r="16900" spans="1:12" x14ac:dyDescent="0.25">
      <c r="A16900">
        <v>38399</v>
      </c>
      <c r="B16900" t="s">
        <v>20402</v>
      </c>
      <c r="C16900" t="s">
        <v>2537</v>
      </c>
      <c r="D16900" s="254">
        <v>310.04000000000002</v>
      </c>
      <c r="E16900"/>
      <c r="F16900"/>
      <c r="G16900"/>
      <c r="H16900"/>
      <c r="I16900" s="489"/>
      <c r="J16900" s="1362"/>
      <c r="K16900" s="1362"/>
      <c r="L16900" s="1362"/>
    </row>
    <row r="16901" spans="1:12" x14ac:dyDescent="0.25">
      <c r="A16901">
        <v>735</v>
      </c>
      <c r="B16901" t="s">
        <v>20403</v>
      </c>
      <c r="C16901" t="s">
        <v>2537</v>
      </c>
      <c r="D16901" s="254">
        <v>2251.29</v>
      </c>
      <c r="E16901"/>
      <c r="F16901"/>
      <c r="G16901"/>
      <c r="H16901"/>
      <c r="I16901" s="489"/>
      <c r="J16901" s="1362"/>
      <c r="K16901" s="1362"/>
      <c r="L16901" s="1362"/>
    </row>
    <row r="16902" spans="1:12" x14ac:dyDescent="0.25">
      <c r="A16902">
        <v>736</v>
      </c>
      <c r="B16902" t="s">
        <v>20404</v>
      </c>
      <c r="C16902" t="s">
        <v>2537</v>
      </c>
      <c r="D16902" s="254">
        <v>1892.93</v>
      </c>
      <c r="E16902"/>
      <c r="F16902"/>
      <c r="G16902"/>
      <c r="H16902"/>
      <c r="I16902" s="489"/>
      <c r="J16902" s="1362"/>
      <c r="K16902" s="1362"/>
      <c r="L16902" s="1362"/>
    </row>
    <row r="16903" spans="1:12" x14ac:dyDescent="0.25">
      <c r="A16903">
        <v>729</v>
      </c>
      <c r="B16903" t="s">
        <v>20405</v>
      </c>
      <c r="C16903" t="s">
        <v>2537</v>
      </c>
      <c r="D16903" s="254">
        <v>771.39</v>
      </c>
      <c r="E16903"/>
      <c r="F16903"/>
      <c r="G16903"/>
      <c r="H16903"/>
      <c r="I16903" s="489"/>
      <c r="J16903" s="1362"/>
      <c r="K16903" s="1362"/>
      <c r="L16903" s="1362"/>
    </row>
    <row r="16904" spans="1:12" x14ac:dyDescent="0.25">
      <c r="A16904">
        <v>39925</v>
      </c>
      <c r="B16904" t="s">
        <v>20406</v>
      </c>
      <c r="C16904" t="s">
        <v>2537</v>
      </c>
      <c r="D16904" s="254">
        <v>11146.51</v>
      </c>
      <c r="E16904"/>
      <c r="F16904"/>
      <c r="G16904"/>
      <c r="H16904"/>
      <c r="I16904" s="489"/>
      <c r="J16904" s="1362"/>
      <c r="K16904" s="1362"/>
      <c r="L16904" s="1362"/>
    </row>
    <row r="16905" spans="1:12" x14ac:dyDescent="0.25">
      <c r="A16905">
        <v>731</v>
      </c>
      <c r="B16905" t="s">
        <v>20407</v>
      </c>
      <c r="C16905" t="s">
        <v>2537</v>
      </c>
      <c r="D16905" s="254">
        <v>750.75</v>
      </c>
      <c r="E16905"/>
      <c r="F16905"/>
      <c r="G16905"/>
      <c r="H16905"/>
      <c r="I16905" s="489"/>
      <c r="J16905" s="1362"/>
      <c r="K16905" s="1362"/>
      <c r="L16905" s="1362"/>
    </row>
    <row r="16906" spans="1:12" x14ac:dyDescent="0.25">
      <c r="A16906">
        <v>10575</v>
      </c>
      <c r="B16906" t="s">
        <v>20408</v>
      </c>
      <c r="C16906" t="s">
        <v>2537</v>
      </c>
      <c r="D16906" s="254">
        <v>1171.5999999999999</v>
      </c>
      <c r="E16906"/>
      <c r="F16906"/>
      <c r="G16906"/>
      <c r="H16906"/>
      <c r="I16906" s="489"/>
      <c r="J16906" s="1362"/>
      <c r="K16906" s="1362"/>
      <c r="L16906" s="1362"/>
    </row>
    <row r="16907" spans="1:12" x14ac:dyDescent="0.25">
      <c r="A16907">
        <v>733</v>
      </c>
      <c r="B16907" t="s">
        <v>20409</v>
      </c>
      <c r="C16907" t="s">
        <v>2537</v>
      </c>
      <c r="D16907" s="254">
        <v>1282.76</v>
      </c>
      <c r="E16907"/>
      <c r="F16907"/>
      <c r="G16907"/>
      <c r="H16907"/>
      <c r="I16907" s="489"/>
      <c r="J16907" s="1362"/>
      <c r="K16907" s="1362"/>
      <c r="L16907" s="1362"/>
    </row>
    <row r="16908" spans="1:12" x14ac:dyDescent="0.25">
      <c r="A16908">
        <v>732</v>
      </c>
      <c r="B16908" t="s">
        <v>20410</v>
      </c>
      <c r="C16908" t="s">
        <v>2537</v>
      </c>
      <c r="D16908" s="254">
        <v>1265.52</v>
      </c>
      <c r="E16908"/>
      <c r="F16908"/>
      <c r="G16908"/>
      <c r="H16908"/>
      <c r="I16908" s="489"/>
      <c r="J16908" s="1362"/>
      <c r="K16908" s="1362"/>
      <c r="L16908" s="1362"/>
    </row>
    <row r="16909" spans="1:12" x14ac:dyDescent="0.25">
      <c r="A16909">
        <v>737</v>
      </c>
      <c r="B16909" t="s">
        <v>20411</v>
      </c>
      <c r="C16909" t="s">
        <v>2537</v>
      </c>
      <c r="D16909" s="254">
        <v>7096.66</v>
      </c>
      <c r="E16909"/>
      <c r="F16909"/>
      <c r="G16909"/>
      <c r="H16909"/>
      <c r="I16909" s="489"/>
      <c r="J16909" s="1362"/>
      <c r="K16909" s="1362"/>
      <c r="L16909" s="1362"/>
    </row>
    <row r="16910" spans="1:12" x14ac:dyDescent="0.25">
      <c r="A16910">
        <v>738</v>
      </c>
      <c r="B16910" t="s">
        <v>20412</v>
      </c>
      <c r="C16910" t="s">
        <v>2537</v>
      </c>
      <c r="D16910" s="254">
        <v>3290.67</v>
      </c>
      <c r="E16910"/>
      <c r="F16910"/>
      <c r="G16910"/>
      <c r="H16910"/>
      <c r="I16910" s="489"/>
      <c r="J16910" s="1362"/>
      <c r="K16910" s="1362"/>
      <c r="L16910" s="1362"/>
    </row>
    <row r="16911" spans="1:12" x14ac:dyDescent="0.25">
      <c r="A16911">
        <v>740</v>
      </c>
      <c r="B16911" t="s">
        <v>20413</v>
      </c>
      <c r="C16911" t="s">
        <v>2537</v>
      </c>
      <c r="D16911" s="254">
        <v>6676.09</v>
      </c>
      <c r="E16911"/>
      <c r="F16911"/>
      <c r="G16911"/>
      <c r="H16911"/>
      <c r="I16911" s="489"/>
      <c r="J16911" s="1362"/>
      <c r="K16911" s="1362"/>
      <c r="L16911" s="1362"/>
    </row>
    <row r="16912" spans="1:12" x14ac:dyDescent="0.25">
      <c r="A16912">
        <v>734</v>
      </c>
      <c r="B16912" t="s">
        <v>20414</v>
      </c>
      <c r="C16912" t="s">
        <v>2537</v>
      </c>
      <c r="D16912" s="254">
        <v>1356.63</v>
      </c>
      <c r="E16912"/>
      <c r="F16912"/>
      <c r="G16912"/>
      <c r="H16912"/>
      <c r="I16912" s="489"/>
      <c r="J16912" s="1362"/>
      <c r="K16912" s="1362"/>
      <c r="L16912" s="1362"/>
    </row>
    <row r="16913" spans="1:12" x14ac:dyDescent="0.25">
      <c r="A16913">
        <v>39008</v>
      </c>
      <c r="B16913" t="s">
        <v>20415</v>
      </c>
      <c r="C16913" t="s">
        <v>2537</v>
      </c>
      <c r="D16913" s="254">
        <v>59610.59</v>
      </c>
      <c r="E16913"/>
      <c r="F16913"/>
      <c r="G16913"/>
      <c r="H16913"/>
      <c r="I16913" s="489"/>
      <c r="J16913" s="1362"/>
      <c r="K16913" s="1362"/>
      <c r="L16913" s="1362"/>
    </row>
    <row r="16914" spans="1:12" x14ac:dyDescent="0.25">
      <c r="A16914">
        <v>39009</v>
      </c>
      <c r="B16914" t="s">
        <v>20416</v>
      </c>
      <c r="C16914" t="s">
        <v>2537</v>
      </c>
      <c r="D16914" s="254">
        <v>63865.36</v>
      </c>
      <c r="E16914"/>
      <c r="F16914"/>
      <c r="G16914"/>
      <c r="H16914"/>
      <c r="I16914" s="489"/>
      <c r="J16914" s="1362"/>
      <c r="K16914" s="1362"/>
      <c r="L16914" s="1362"/>
    </row>
    <row r="16915" spans="1:12" x14ac:dyDescent="0.25">
      <c r="A16915">
        <v>10587</v>
      </c>
      <c r="B16915" t="s">
        <v>20417</v>
      </c>
      <c r="C16915" t="s">
        <v>2537</v>
      </c>
      <c r="D16915" s="254">
        <v>3819.22</v>
      </c>
      <c r="E16915"/>
      <c r="F16915"/>
      <c r="G16915"/>
      <c r="H16915"/>
      <c r="I16915" s="489"/>
      <c r="J16915" s="1362"/>
      <c r="K16915" s="1362"/>
      <c r="L16915" s="1362"/>
    </row>
    <row r="16916" spans="1:12" x14ac:dyDescent="0.25">
      <c r="A16916">
        <v>759</v>
      </c>
      <c r="B16916" t="s">
        <v>20418</v>
      </c>
      <c r="C16916" t="s">
        <v>2537</v>
      </c>
      <c r="D16916" s="254">
        <v>5491.29</v>
      </c>
      <c r="E16916"/>
      <c r="F16916"/>
      <c r="G16916"/>
      <c r="H16916"/>
      <c r="I16916" s="489"/>
      <c r="J16916" s="1362"/>
      <c r="K16916" s="1362"/>
      <c r="L16916" s="1362"/>
    </row>
    <row r="16917" spans="1:12" x14ac:dyDescent="0.25">
      <c r="A16917">
        <v>761</v>
      </c>
      <c r="B16917" t="s">
        <v>20419</v>
      </c>
      <c r="C16917" t="s">
        <v>2537</v>
      </c>
      <c r="D16917" s="254">
        <v>9308.19</v>
      </c>
      <c r="E16917"/>
      <c r="F16917"/>
      <c r="G16917"/>
      <c r="H16917"/>
      <c r="I16917" s="489"/>
      <c r="J16917" s="1362"/>
      <c r="K16917" s="1362"/>
      <c r="L16917" s="1362"/>
    </row>
    <row r="16918" spans="1:12" x14ac:dyDescent="0.25">
      <c r="A16918">
        <v>750</v>
      </c>
      <c r="B16918" t="s">
        <v>20420</v>
      </c>
      <c r="C16918" t="s">
        <v>2537</v>
      </c>
      <c r="D16918" s="254">
        <v>8837.39</v>
      </c>
      <c r="E16918"/>
      <c r="F16918"/>
      <c r="G16918"/>
      <c r="H16918"/>
      <c r="I16918" s="489"/>
      <c r="J16918" s="1362"/>
      <c r="K16918" s="1362"/>
      <c r="L16918" s="1362"/>
    </row>
    <row r="16919" spans="1:12" x14ac:dyDescent="0.25">
      <c r="A16919">
        <v>755</v>
      </c>
      <c r="B16919" t="s">
        <v>20421</v>
      </c>
      <c r="C16919" t="s">
        <v>2537</v>
      </c>
      <c r="D16919" s="254">
        <v>36264.370000000003</v>
      </c>
      <c r="E16919"/>
      <c r="F16919"/>
      <c r="G16919"/>
      <c r="H16919"/>
      <c r="I16919" s="489"/>
      <c r="J16919" s="1362"/>
      <c r="K16919" s="1362"/>
      <c r="L16919" s="1362"/>
    </row>
    <row r="16920" spans="1:12" x14ac:dyDescent="0.25">
      <c r="A16920">
        <v>749</v>
      </c>
      <c r="B16920" t="s">
        <v>20422</v>
      </c>
      <c r="C16920" t="s">
        <v>2537</v>
      </c>
      <c r="D16920" s="254">
        <v>13337.36</v>
      </c>
      <c r="E16920"/>
      <c r="F16920"/>
      <c r="G16920"/>
      <c r="H16920"/>
      <c r="I16920" s="489"/>
      <c r="J16920" s="1362"/>
      <c r="K16920" s="1362"/>
      <c r="L16920" s="1362"/>
    </row>
    <row r="16921" spans="1:12" x14ac:dyDescent="0.25">
      <c r="A16921">
        <v>756</v>
      </c>
      <c r="B16921" t="s">
        <v>20423</v>
      </c>
      <c r="C16921" t="s">
        <v>2537</v>
      </c>
      <c r="D16921" s="254">
        <v>39551.15</v>
      </c>
      <c r="E16921"/>
      <c r="F16921"/>
      <c r="G16921"/>
      <c r="H16921"/>
      <c r="I16921" s="489"/>
      <c r="J16921" s="1362"/>
      <c r="K16921" s="1362"/>
      <c r="L16921" s="1362"/>
    </row>
    <row r="16922" spans="1:12" x14ac:dyDescent="0.25">
      <c r="A16922">
        <v>757</v>
      </c>
      <c r="B16922" t="s">
        <v>20424</v>
      </c>
      <c r="C16922" t="s">
        <v>2537</v>
      </c>
      <c r="D16922" s="254">
        <v>17958.75</v>
      </c>
      <c r="E16922"/>
      <c r="F16922"/>
      <c r="G16922"/>
      <c r="H16922"/>
      <c r="I16922" s="489"/>
      <c r="J16922" s="1362"/>
      <c r="K16922" s="1362"/>
      <c r="L16922" s="1362"/>
    </row>
    <row r="16923" spans="1:12" x14ac:dyDescent="0.25">
      <c r="A16923">
        <v>10588</v>
      </c>
      <c r="B16923" t="s">
        <v>20425</v>
      </c>
      <c r="C16923" t="s">
        <v>2537</v>
      </c>
      <c r="D16923" s="254">
        <v>3964.84</v>
      </c>
      <c r="E16923"/>
      <c r="F16923"/>
      <c r="G16923"/>
      <c r="H16923"/>
      <c r="I16923" s="489"/>
      <c r="J16923" s="1362"/>
      <c r="K16923" s="1362"/>
      <c r="L16923" s="1362"/>
    </row>
    <row r="16924" spans="1:12" x14ac:dyDescent="0.25">
      <c r="A16924">
        <v>10592</v>
      </c>
      <c r="B16924" t="s">
        <v>20426</v>
      </c>
      <c r="C16924" t="s">
        <v>2537</v>
      </c>
      <c r="D16924" s="254">
        <v>4789</v>
      </c>
      <c r="E16924"/>
      <c r="F16924"/>
      <c r="G16924"/>
      <c r="H16924"/>
      <c r="I16924" s="489"/>
      <c r="J16924" s="1362"/>
      <c r="K16924" s="1362"/>
      <c r="L16924" s="1362"/>
    </row>
    <row r="16925" spans="1:12" x14ac:dyDescent="0.25">
      <c r="A16925">
        <v>10589</v>
      </c>
      <c r="B16925" t="s">
        <v>20427</v>
      </c>
      <c r="C16925" t="s">
        <v>2537</v>
      </c>
      <c r="D16925" s="254">
        <v>6433.72</v>
      </c>
      <c r="E16925"/>
      <c r="F16925"/>
      <c r="G16925"/>
      <c r="H16925"/>
      <c r="I16925" s="489"/>
      <c r="J16925" s="1362"/>
      <c r="K16925" s="1362"/>
      <c r="L16925" s="1362"/>
    </row>
    <row r="16926" spans="1:12" x14ac:dyDescent="0.25">
      <c r="A16926">
        <v>760</v>
      </c>
      <c r="B16926" t="s">
        <v>20428</v>
      </c>
      <c r="C16926" t="s">
        <v>2537</v>
      </c>
      <c r="D16926" s="254">
        <v>35917.5</v>
      </c>
      <c r="E16926"/>
      <c r="F16926"/>
      <c r="G16926"/>
      <c r="H16926"/>
      <c r="I16926" s="489"/>
      <c r="J16926" s="1362"/>
      <c r="K16926" s="1362"/>
      <c r="L16926" s="1362"/>
    </row>
    <row r="16927" spans="1:12" x14ac:dyDescent="0.25">
      <c r="A16927">
        <v>751</v>
      </c>
      <c r="B16927" t="s">
        <v>20429</v>
      </c>
      <c r="C16927" t="s">
        <v>2537</v>
      </c>
      <c r="D16927" s="254">
        <v>5657</v>
      </c>
      <c r="E16927"/>
      <c r="F16927"/>
      <c r="G16927"/>
      <c r="H16927"/>
      <c r="I16927" s="489"/>
      <c r="J16927" s="1362"/>
      <c r="K16927" s="1362"/>
      <c r="L16927" s="1362"/>
    </row>
    <row r="16928" spans="1:12" x14ac:dyDescent="0.25">
      <c r="A16928">
        <v>754</v>
      </c>
      <c r="B16928" t="s">
        <v>20430</v>
      </c>
      <c r="C16928" t="s">
        <v>2537</v>
      </c>
      <c r="D16928" s="254">
        <v>8979.3700000000008</v>
      </c>
      <c r="E16928"/>
      <c r="F16928"/>
      <c r="G16928"/>
      <c r="H16928"/>
      <c r="I16928" s="489"/>
      <c r="J16928" s="1362"/>
      <c r="K16928" s="1362"/>
      <c r="L16928" s="1362"/>
    </row>
    <row r="16929" spans="1:12" x14ac:dyDescent="0.25">
      <c r="A16929">
        <v>44489</v>
      </c>
      <c r="B16929" t="s">
        <v>20431</v>
      </c>
      <c r="C16929" t="s">
        <v>2537</v>
      </c>
      <c r="D16929" s="254">
        <v>191767.21</v>
      </c>
      <c r="E16929"/>
      <c r="F16929"/>
      <c r="G16929"/>
      <c r="H16929"/>
      <c r="I16929" s="489"/>
      <c r="J16929" s="1362"/>
      <c r="K16929" s="1362"/>
      <c r="L16929" s="1362"/>
    </row>
    <row r="16930" spans="1:12" x14ac:dyDescent="0.25">
      <c r="A16930">
        <v>39917</v>
      </c>
      <c r="B16930" t="s">
        <v>20432</v>
      </c>
      <c r="C16930" t="s">
        <v>2537</v>
      </c>
      <c r="D16930" s="254">
        <v>91566.17</v>
      </c>
      <c r="E16930"/>
      <c r="F16930"/>
      <c r="G16930"/>
      <c r="H16930"/>
      <c r="I16930" s="489"/>
      <c r="J16930" s="1362"/>
      <c r="K16930" s="1362"/>
      <c r="L16930" s="1362"/>
    </row>
    <row r="16931" spans="1:12" x14ac:dyDescent="0.25">
      <c r="A16931">
        <v>38167</v>
      </c>
      <c r="B16931" t="s">
        <v>20433</v>
      </c>
      <c r="C16931" t="s">
        <v>2545</v>
      </c>
      <c r="D16931" s="254">
        <v>28.61</v>
      </c>
      <c r="E16931"/>
      <c r="F16931"/>
      <c r="G16931"/>
      <c r="H16931"/>
      <c r="I16931" s="489"/>
      <c r="J16931" s="1362"/>
      <c r="K16931" s="1362"/>
      <c r="L16931" s="1362"/>
    </row>
    <row r="16932" spans="1:12" x14ac:dyDescent="0.25">
      <c r="A16932">
        <v>36145</v>
      </c>
      <c r="B16932" t="s">
        <v>20434</v>
      </c>
      <c r="C16932" t="s">
        <v>2545</v>
      </c>
      <c r="D16932" s="254">
        <v>42.91</v>
      </c>
      <c r="E16932"/>
      <c r="F16932"/>
      <c r="G16932"/>
      <c r="H16932"/>
      <c r="I16932" s="489"/>
      <c r="J16932" s="1362"/>
      <c r="K16932" s="1362"/>
      <c r="L16932" s="1362"/>
    </row>
    <row r="16933" spans="1:12" x14ac:dyDescent="0.25">
      <c r="A16933">
        <v>12893</v>
      </c>
      <c r="B16933" t="s">
        <v>20435</v>
      </c>
      <c r="C16933" t="s">
        <v>2545</v>
      </c>
      <c r="D16933" s="254">
        <v>71.52</v>
      </c>
      <c r="E16933"/>
      <c r="F16933"/>
      <c r="G16933"/>
      <c r="H16933"/>
      <c r="I16933" s="489"/>
      <c r="J16933" s="1362"/>
      <c r="K16933" s="1362"/>
      <c r="L16933" s="1362"/>
    </row>
    <row r="16934" spans="1:12" x14ac:dyDescent="0.25">
      <c r="A16934">
        <v>11685</v>
      </c>
      <c r="B16934" t="s">
        <v>20436</v>
      </c>
      <c r="C16934" t="s">
        <v>2537</v>
      </c>
      <c r="D16934" s="254">
        <v>35.29</v>
      </c>
      <c r="E16934"/>
      <c r="F16934"/>
      <c r="G16934"/>
      <c r="H16934"/>
      <c r="I16934" s="489"/>
      <c r="J16934" s="1362"/>
      <c r="K16934" s="1362"/>
      <c r="L16934" s="1362"/>
    </row>
    <row r="16935" spans="1:12" x14ac:dyDescent="0.25">
      <c r="A16935">
        <v>11680</v>
      </c>
      <c r="B16935" t="s">
        <v>20437</v>
      </c>
      <c r="C16935" t="s">
        <v>2537</v>
      </c>
      <c r="D16935" s="254">
        <v>17.79</v>
      </c>
      <c r="E16935"/>
      <c r="F16935"/>
      <c r="G16935"/>
      <c r="H16935"/>
      <c r="I16935" s="489"/>
      <c r="J16935" s="1362"/>
      <c r="K16935" s="1362"/>
      <c r="L16935" s="1362"/>
    </row>
    <row r="16936" spans="1:12" x14ac:dyDescent="0.25">
      <c r="A16936">
        <v>11679</v>
      </c>
      <c r="B16936" t="s">
        <v>20438</v>
      </c>
      <c r="C16936" t="s">
        <v>2537</v>
      </c>
      <c r="D16936" s="254">
        <v>24.12</v>
      </c>
      <c r="E16936"/>
      <c r="F16936"/>
      <c r="G16936"/>
      <c r="H16936"/>
      <c r="I16936" s="489"/>
      <c r="J16936" s="1362"/>
      <c r="K16936" s="1362"/>
      <c r="L16936" s="1362"/>
    </row>
    <row r="16937" spans="1:12" x14ac:dyDescent="0.25">
      <c r="A16937">
        <v>2512</v>
      </c>
      <c r="B16937" t="s">
        <v>20439</v>
      </c>
      <c r="C16937" t="s">
        <v>2537</v>
      </c>
      <c r="D16937" s="254">
        <v>43.3</v>
      </c>
      <c r="E16937"/>
      <c r="F16937"/>
      <c r="G16937"/>
      <c r="H16937"/>
      <c r="I16937" s="489"/>
      <c r="J16937" s="1362"/>
      <c r="K16937" s="1362"/>
      <c r="L16937" s="1362"/>
    </row>
    <row r="16938" spans="1:12" x14ac:dyDescent="0.25">
      <c r="A16938">
        <v>4374</v>
      </c>
      <c r="B16938" t="s">
        <v>20440</v>
      </c>
      <c r="C16938" t="s">
        <v>2537</v>
      </c>
      <c r="D16938" s="254">
        <v>0.37</v>
      </c>
      <c r="E16938"/>
      <c r="F16938"/>
      <c r="G16938"/>
      <c r="H16938"/>
      <c r="I16938" s="489"/>
      <c r="J16938" s="1362"/>
      <c r="K16938" s="1362"/>
      <c r="L16938" s="1362"/>
    </row>
    <row r="16939" spans="1:12" x14ac:dyDescent="0.25">
      <c r="A16939">
        <v>7568</v>
      </c>
      <c r="B16939" t="s">
        <v>20441</v>
      </c>
      <c r="C16939" t="s">
        <v>2537</v>
      </c>
      <c r="D16939" s="254">
        <v>0.61</v>
      </c>
      <c r="E16939"/>
      <c r="F16939"/>
      <c r="G16939"/>
      <c r="H16939"/>
      <c r="I16939" s="489"/>
      <c r="J16939" s="1362"/>
      <c r="K16939" s="1362"/>
      <c r="L16939" s="1362"/>
    </row>
    <row r="16940" spans="1:12" x14ac:dyDescent="0.25">
      <c r="A16940">
        <v>7584</v>
      </c>
      <c r="B16940" t="s">
        <v>20442</v>
      </c>
      <c r="C16940" t="s">
        <v>2537</v>
      </c>
      <c r="D16940" s="254">
        <v>0.93</v>
      </c>
      <c r="E16940"/>
      <c r="F16940"/>
      <c r="G16940"/>
      <c r="H16940"/>
      <c r="I16940" s="489"/>
      <c r="J16940" s="1362"/>
      <c r="K16940" s="1362"/>
      <c r="L16940" s="1362"/>
    </row>
    <row r="16941" spans="1:12" x14ac:dyDescent="0.25">
      <c r="A16941">
        <v>11945</v>
      </c>
      <c r="B16941" t="s">
        <v>20443</v>
      </c>
      <c r="C16941" t="s">
        <v>2537</v>
      </c>
      <c r="D16941" s="254">
        <v>0.06</v>
      </c>
      <c r="E16941"/>
      <c r="F16941"/>
      <c r="G16941"/>
      <c r="H16941"/>
      <c r="I16941" s="489"/>
      <c r="J16941" s="1362"/>
      <c r="K16941" s="1362"/>
      <c r="L16941" s="1362"/>
    </row>
    <row r="16942" spans="1:12" x14ac:dyDescent="0.25">
      <c r="A16942">
        <v>11946</v>
      </c>
      <c r="B16942" t="s">
        <v>20444</v>
      </c>
      <c r="C16942" t="s">
        <v>2537</v>
      </c>
      <c r="D16942" s="254">
        <v>0.06</v>
      </c>
      <c r="E16942"/>
      <c r="F16942"/>
      <c r="G16942"/>
      <c r="H16942"/>
      <c r="I16942" s="489"/>
      <c r="J16942" s="1362"/>
      <c r="K16942" s="1362"/>
      <c r="L16942" s="1362"/>
    </row>
    <row r="16943" spans="1:12" x14ac:dyDescent="0.25">
      <c r="A16943">
        <v>4375</v>
      </c>
      <c r="B16943" t="s">
        <v>20445</v>
      </c>
      <c r="C16943" t="s">
        <v>2537</v>
      </c>
      <c r="D16943" s="254">
        <v>0.1</v>
      </c>
      <c r="E16943"/>
      <c r="F16943"/>
      <c r="G16943"/>
      <c r="H16943"/>
      <c r="I16943" s="489"/>
      <c r="J16943" s="1362"/>
      <c r="K16943" s="1362"/>
      <c r="L16943" s="1362"/>
    </row>
    <row r="16944" spans="1:12" x14ac:dyDescent="0.25">
      <c r="A16944">
        <v>11950</v>
      </c>
      <c r="B16944" t="s">
        <v>20446</v>
      </c>
      <c r="C16944" t="s">
        <v>2537</v>
      </c>
      <c r="D16944" s="254">
        <v>0.2</v>
      </c>
      <c r="E16944"/>
      <c r="F16944"/>
      <c r="G16944"/>
      <c r="H16944"/>
      <c r="I16944" s="489"/>
      <c r="J16944" s="1362"/>
      <c r="K16944" s="1362"/>
      <c r="L16944" s="1362"/>
    </row>
    <row r="16945" spans="1:12" x14ac:dyDescent="0.25">
      <c r="A16945">
        <v>4376</v>
      </c>
      <c r="B16945" t="s">
        <v>20447</v>
      </c>
      <c r="C16945" t="s">
        <v>2537</v>
      </c>
      <c r="D16945" s="254">
        <v>0.19</v>
      </c>
      <c r="E16945"/>
      <c r="F16945"/>
      <c r="G16945"/>
      <c r="H16945"/>
      <c r="I16945" s="489"/>
      <c r="J16945" s="1362"/>
      <c r="K16945" s="1362"/>
      <c r="L16945" s="1362"/>
    </row>
    <row r="16946" spans="1:12" x14ac:dyDescent="0.25">
      <c r="A16946">
        <v>7583</v>
      </c>
      <c r="B16946" t="s">
        <v>20448</v>
      </c>
      <c r="C16946" t="s">
        <v>2537</v>
      </c>
      <c r="D16946" s="254">
        <v>0.41</v>
      </c>
      <c r="E16946"/>
      <c r="F16946"/>
      <c r="G16946"/>
      <c r="H16946"/>
      <c r="I16946" s="489"/>
      <c r="J16946" s="1362"/>
      <c r="K16946" s="1362"/>
      <c r="L16946" s="1362"/>
    </row>
    <row r="16947" spans="1:12" x14ac:dyDescent="0.25">
      <c r="A16947">
        <v>4350</v>
      </c>
      <c r="B16947" t="s">
        <v>20449</v>
      </c>
      <c r="C16947" t="s">
        <v>2537</v>
      </c>
      <c r="D16947" s="254">
        <v>1.01</v>
      </c>
      <c r="E16947"/>
      <c r="F16947"/>
      <c r="G16947"/>
      <c r="H16947"/>
      <c r="I16947" s="489"/>
      <c r="J16947" s="1362"/>
      <c r="K16947" s="1362"/>
      <c r="L16947" s="1362"/>
    </row>
    <row r="16948" spans="1:12" x14ac:dyDescent="0.25">
      <c r="A16948">
        <v>39886</v>
      </c>
      <c r="B16948" t="s">
        <v>20450</v>
      </c>
      <c r="C16948" t="s">
        <v>2537</v>
      </c>
      <c r="D16948" s="254">
        <v>5.66</v>
      </c>
      <c r="E16948"/>
      <c r="F16948"/>
      <c r="G16948"/>
      <c r="H16948"/>
      <c r="I16948" s="489"/>
      <c r="J16948" s="1362"/>
      <c r="K16948" s="1362"/>
      <c r="L16948" s="1362"/>
    </row>
    <row r="16949" spans="1:12" x14ac:dyDescent="0.25">
      <c r="A16949">
        <v>39887</v>
      </c>
      <c r="B16949" t="s">
        <v>20451</v>
      </c>
      <c r="C16949" t="s">
        <v>2537</v>
      </c>
      <c r="D16949" s="254">
        <v>8.49</v>
      </c>
      <c r="E16949"/>
      <c r="F16949"/>
      <c r="G16949"/>
      <c r="H16949"/>
      <c r="I16949" s="489"/>
      <c r="J16949" s="1362"/>
      <c r="K16949" s="1362"/>
      <c r="L16949" s="1362"/>
    </row>
    <row r="16950" spans="1:12" x14ac:dyDescent="0.25">
      <c r="A16950">
        <v>39888</v>
      </c>
      <c r="B16950" t="s">
        <v>20452</v>
      </c>
      <c r="C16950" t="s">
        <v>2537</v>
      </c>
      <c r="D16950" s="254">
        <v>19.41</v>
      </c>
      <c r="E16950"/>
      <c r="F16950"/>
      <c r="G16950"/>
      <c r="H16950"/>
      <c r="I16950" s="489"/>
      <c r="J16950" s="1362"/>
      <c r="K16950" s="1362"/>
      <c r="L16950" s="1362"/>
    </row>
    <row r="16951" spans="1:12" x14ac:dyDescent="0.25">
      <c r="A16951">
        <v>39890</v>
      </c>
      <c r="B16951" t="s">
        <v>20453</v>
      </c>
      <c r="C16951" t="s">
        <v>2537</v>
      </c>
      <c r="D16951" s="254">
        <v>33.130000000000003</v>
      </c>
      <c r="E16951"/>
      <c r="F16951"/>
      <c r="G16951"/>
      <c r="H16951"/>
      <c r="I16951" s="489"/>
      <c r="J16951" s="1362"/>
      <c r="K16951" s="1362"/>
      <c r="L16951" s="1362"/>
    </row>
    <row r="16952" spans="1:12" x14ac:dyDescent="0.25">
      <c r="A16952">
        <v>39891</v>
      </c>
      <c r="B16952" t="s">
        <v>20454</v>
      </c>
      <c r="C16952" t="s">
        <v>2537</v>
      </c>
      <c r="D16952" s="254">
        <v>46.72</v>
      </c>
      <c r="E16952"/>
      <c r="F16952"/>
      <c r="G16952"/>
      <c r="H16952"/>
      <c r="I16952" s="489"/>
      <c r="J16952" s="1362"/>
      <c r="K16952" s="1362"/>
      <c r="L16952" s="1362"/>
    </row>
    <row r="16953" spans="1:12" x14ac:dyDescent="0.25">
      <c r="A16953">
        <v>39892</v>
      </c>
      <c r="B16953" t="s">
        <v>20455</v>
      </c>
      <c r="C16953" t="s">
        <v>2537</v>
      </c>
      <c r="D16953" s="254">
        <v>145.63</v>
      </c>
      <c r="E16953"/>
      <c r="F16953"/>
      <c r="G16953"/>
      <c r="H16953"/>
      <c r="I16953" s="489"/>
      <c r="J16953" s="1362"/>
      <c r="K16953" s="1362"/>
      <c r="L16953" s="1362"/>
    </row>
    <row r="16954" spans="1:12" x14ac:dyDescent="0.25">
      <c r="A16954">
        <v>790</v>
      </c>
      <c r="B16954" t="s">
        <v>20456</v>
      </c>
      <c r="C16954" t="s">
        <v>2537</v>
      </c>
      <c r="D16954" s="254">
        <v>21.7</v>
      </c>
      <c r="E16954"/>
      <c r="F16954"/>
      <c r="G16954"/>
      <c r="H16954"/>
      <c r="I16954" s="489"/>
      <c r="J16954" s="1362"/>
      <c r="K16954" s="1362"/>
      <c r="L16954" s="1362"/>
    </row>
    <row r="16955" spans="1:12" x14ac:dyDescent="0.25">
      <c r="A16955">
        <v>766</v>
      </c>
      <c r="B16955" t="s">
        <v>20457</v>
      </c>
      <c r="C16955" t="s">
        <v>2537</v>
      </c>
      <c r="D16955" s="254">
        <v>21.7</v>
      </c>
      <c r="E16955"/>
      <c r="F16955"/>
      <c r="G16955"/>
      <c r="H16955"/>
      <c r="I16955" s="489"/>
      <c r="J16955" s="1362"/>
      <c r="K16955" s="1362"/>
      <c r="L16955" s="1362"/>
    </row>
    <row r="16956" spans="1:12" x14ac:dyDescent="0.25">
      <c r="A16956">
        <v>791</v>
      </c>
      <c r="B16956" t="s">
        <v>20458</v>
      </c>
      <c r="C16956" t="s">
        <v>2537</v>
      </c>
      <c r="D16956" s="254">
        <v>21.7</v>
      </c>
      <c r="E16956"/>
      <c r="F16956"/>
      <c r="G16956"/>
      <c r="H16956"/>
      <c r="I16956" s="489"/>
      <c r="J16956" s="1362"/>
      <c r="K16956" s="1362"/>
      <c r="L16956" s="1362"/>
    </row>
    <row r="16957" spans="1:12" x14ac:dyDescent="0.25">
      <c r="A16957">
        <v>767</v>
      </c>
      <c r="B16957" t="s">
        <v>20459</v>
      </c>
      <c r="C16957" t="s">
        <v>2537</v>
      </c>
      <c r="D16957" s="254">
        <v>21.7</v>
      </c>
      <c r="E16957"/>
      <c r="F16957"/>
      <c r="G16957"/>
      <c r="H16957"/>
      <c r="I16957" s="489"/>
      <c r="J16957" s="1362"/>
      <c r="K16957" s="1362"/>
      <c r="L16957" s="1362"/>
    </row>
    <row r="16958" spans="1:12" x14ac:dyDescent="0.25">
      <c r="A16958">
        <v>768</v>
      </c>
      <c r="B16958" t="s">
        <v>20460</v>
      </c>
      <c r="C16958" t="s">
        <v>2537</v>
      </c>
      <c r="D16958" s="254">
        <v>17.04</v>
      </c>
      <c r="E16958"/>
      <c r="F16958"/>
      <c r="G16958"/>
      <c r="H16958"/>
      <c r="I16958" s="489"/>
      <c r="J16958" s="1362"/>
      <c r="K16958" s="1362"/>
      <c r="L16958" s="1362"/>
    </row>
    <row r="16959" spans="1:12" x14ac:dyDescent="0.25">
      <c r="A16959">
        <v>789</v>
      </c>
      <c r="B16959" t="s">
        <v>20461</v>
      </c>
      <c r="C16959" t="s">
        <v>2537</v>
      </c>
      <c r="D16959" s="254">
        <v>16.68</v>
      </c>
      <c r="E16959"/>
      <c r="F16959"/>
      <c r="G16959"/>
      <c r="H16959"/>
      <c r="I16959" s="489"/>
      <c r="J16959" s="1362"/>
      <c r="K16959" s="1362"/>
      <c r="L16959" s="1362"/>
    </row>
    <row r="16960" spans="1:12" x14ac:dyDescent="0.25">
      <c r="A16960">
        <v>769</v>
      </c>
      <c r="B16960" t="s">
        <v>20462</v>
      </c>
      <c r="C16960" t="s">
        <v>2537</v>
      </c>
      <c r="D16960" s="254">
        <v>17.04</v>
      </c>
      <c r="E16960"/>
      <c r="F16960"/>
      <c r="G16960"/>
      <c r="H16960"/>
      <c r="I16960" s="489"/>
      <c r="J16960" s="1362"/>
      <c r="K16960" s="1362"/>
      <c r="L16960" s="1362"/>
    </row>
    <row r="16961" spans="1:12" x14ac:dyDescent="0.25">
      <c r="A16961">
        <v>770</v>
      </c>
      <c r="B16961" t="s">
        <v>20463</v>
      </c>
      <c r="C16961" t="s">
        <v>2537</v>
      </c>
      <c r="D16961" s="254">
        <v>6.01</v>
      </c>
      <c r="E16961"/>
      <c r="F16961"/>
      <c r="G16961"/>
      <c r="H16961"/>
      <c r="I16961" s="489"/>
      <c r="J16961" s="1362"/>
      <c r="K16961" s="1362"/>
      <c r="L16961" s="1362"/>
    </row>
    <row r="16962" spans="1:12" x14ac:dyDescent="0.25">
      <c r="A16962">
        <v>12394</v>
      </c>
      <c r="B16962" t="s">
        <v>20464</v>
      </c>
      <c r="C16962" t="s">
        <v>2537</v>
      </c>
      <c r="D16962" s="254">
        <v>6.01</v>
      </c>
      <c r="E16962"/>
      <c r="F16962"/>
      <c r="G16962"/>
      <c r="H16962"/>
      <c r="I16962" s="489"/>
      <c r="J16962" s="1362"/>
      <c r="K16962" s="1362"/>
      <c r="L16962" s="1362"/>
    </row>
    <row r="16963" spans="1:12" x14ac:dyDescent="0.25">
      <c r="A16963">
        <v>764</v>
      </c>
      <c r="B16963" t="s">
        <v>20465</v>
      </c>
      <c r="C16963" t="s">
        <v>2537</v>
      </c>
      <c r="D16963" s="254">
        <v>10.49</v>
      </c>
      <c r="E16963"/>
      <c r="F16963"/>
      <c r="G16963"/>
      <c r="H16963"/>
      <c r="I16963" s="489"/>
      <c r="J16963" s="1362"/>
      <c r="K16963" s="1362"/>
      <c r="L16963" s="1362"/>
    </row>
    <row r="16964" spans="1:12" x14ac:dyDescent="0.25">
      <c r="A16964">
        <v>765</v>
      </c>
      <c r="B16964" t="s">
        <v>20466</v>
      </c>
      <c r="C16964" t="s">
        <v>2537</v>
      </c>
      <c r="D16964" s="254">
        <v>10.49</v>
      </c>
      <c r="E16964"/>
      <c r="F16964"/>
      <c r="G16964"/>
      <c r="H16964"/>
      <c r="I16964" s="489"/>
      <c r="J16964" s="1362"/>
      <c r="K16964" s="1362"/>
      <c r="L16964" s="1362"/>
    </row>
    <row r="16965" spans="1:12" x14ac:dyDescent="0.25">
      <c r="A16965">
        <v>787</v>
      </c>
      <c r="B16965" t="s">
        <v>20467</v>
      </c>
      <c r="C16965" t="s">
        <v>2537</v>
      </c>
      <c r="D16965" s="254">
        <v>46.86</v>
      </c>
      <c r="E16965"/>
      <c r="F16965"/>
      <c r="G16965"/>
      <c r="H16965"/>
      <c r="I16965" s="489"/>
      <c r="J16965" s="1362"/>
      <c r="K16965" s="1362"/>
      <c r="L16965" s="1362"/>
    </row>
    <row r="16966" spans="1:12" x14ac:dyDescent="0.25">
      <c r="A16966">
        <v>774</v>
      </c>
      <c r="B16966" t="s">
        <v>20468</v>
      </c>
      <c r="C16966" t="s">
        <v>2537</v>
      </c>
      <c r="D16966" s="254">
        <v>46.86</v>
      </c>
      <c r="E16966"/>
      <c r="F16966"/>
      <c r="G16966"/>
      <c r="H16966"/>
      <c r="I16966" s="489"/>
      <c r="J16966" s="1362"/>
      <c r="K16966" s="1362"/>
      <c r="L16966" s="1362"/>
    </row>
    <row r="16967" spans="1:12" x14ac:dyDescent="0.25">
      <c r="A16967">
        <v>773</v>
      </c>
      <c r="B16967" t="s">
        <v>20469</v>
      </c>
      <c r="C16967" t="s">
        <v>2537</v>
      </c>
      <c r="D16967" s="254">
        <v>46.86</v>
      </c>
      <c r="E16967"/>
      <c r="F16967"/>
      <c r="G16967"/>
      <c r="H16967"/>
      <c r="I16967" s="489"/>
      <c r="J16967" s="1362"/>
      <c r="K16967" s="1362"/>
      <c r="L16967" s="1362"/>
    </row>
    <row r="16968" spans="1:12" x14ac:dyDescent="0.25">
      <c r="A16968">
        <v>775</v>
      </c>
      <c r="B16968" t="s">
        <v>20470</v>
      </c>
      <c r="C16968" t="s">
        <v>2537</v>
      </c>
      <c r="D16968" s="254">
        <v>46.86</v>
      </c>
      <c r="E16968"/>
      <c r="F16968"/>
      <c r="G16968"/>
      <c r="H16968"/>
      <c r="I16968" s="489"/>
      <c r="J16968" s="1362"/>
      <c r="K16968" s="1362"/>
      <c r="L16968" s="1362"/>
    </row>
    <row r="16969" spans="1:12" x14ac:dyDescent="0.25">
      <c r="A16969">
        <v>788</v>
      </c>
      <c r="B16969" t="s">
        <v>20471</v>
      </c>
      <c r="C16969" t="s">
        <v>2537</v>
      </c>
      <c r="D16969" s="254">
        <v>29.12</v>
      </c>
      <c r="E16969"/>
      <c r="F16969"/>
      <c r="G16969"/>
      <c r="H16969"/>
      <c r="I16969" s="489"/>
      <c r="J16969" s="1362"/>
      <c r="K16969" s="1362"/>
      <c r="L16969" s="1362"/>
    </row>
    <row r="16970" spans="1:12" x14ac:dyDescent="0.25">
      <c r="A16970">
        <v>772</v>
      </c>
      <c r="B16970" t="s">
        <v>20472</v>
      </c>
      <c r="C16970" t="s">
        <v>2537</v>
      </c>
      <c r="D16970" s="254">
        <v>29.12</v>
      </c>
      <c r="E16970"/>
      <c r="F16970"/>
      <c r="G16970"/>
      <c r="H16970"/>
      <c r="I16970" s="489"/>
      <c r="J16970" s="1362"/>
      <c r="K16970" s="1362"/>
      <c r="L16970" s="1362"/>
    </row>
    <row r="16971" spans="1:12" x14ac:dyDescent="0.25">
      <c r="A16971">
        <v>771</v>
      </c>
      <c r="B16971" t="s">
        <v>20473</v>
      </c>
      <c r="C16971" t="s">
        <v>2537</v>
      </c>
      <c r="D16971" s="254">
        <v>29.12</v>
      </c>
      <c r="E16971"/>
      <c r="F16971"/>
      <c r="G16971"/>
      <c r="H16971"/>
      <c r="I16971" s="489"/>
      <c r="J16971" s="1362"/>
      <c r="K16971" s="1362"/>
      <c r="L16971" s="1362"/>
    </row>
    <row r="16972" spans="1:12" x14ac:dyDescent="0.25">
      <c r="A16972">
        <v>779</v>
      </c>
      <c r="B16972" t="s">
        <v>20474</v>
      </c>
      <c r="C16972" t="s">
        <v>2537</v>
      </c>
      <c r="D16972" s="254">
        <v>7.24</v>
      </c>
      <c r="E16972"/>
      <c r="F16972"/>
      <c r="G16972"/>
      <c r="H16972"/>
      <c r="I16972" s="489"/>
      <c r="J16972" s="1362"/>
      <c r="K16972" s="1362"/>
      <c r="L16972" s="1362"/>
    </row>
    <row r="16973" spans="1:12" x14ac:dyDescent="0.25">
      <c r="A16973">
        <v>776</v>
      </c>
      <c r="B16973" t="s">
        <v>20475</v>
      </c>
      <c r="C16973" t="s">
        <v>2537</v>
      </c>
      <c r="D16973" s="254">
        <v>69.08</v>
      </c>
      <c r="E16973"/>
      <c r="F16973"/>
      <c r="G16973"/>
      <c r="H16973"/>
      <c r="I16973" s="489"/>
      <c r="J16973" s="1362"/>
      <c r="K16973" s="1362"/>
      <c r="L16973" s="1362"/>
    </row>
    <row r="16974" spans="1:12" x14ac:dyDescent="0.25">
      <c r="A16974">
        <v>777</v>
      </c>
      <c r="B16974" t="s">
        <v>20476</v>
      </c>
      <c r="C16974" t="s">
        <v>2537</v>
      </c>
      <c r="D16974" s="254">
        <v>67.150000000000006</v>
      </c>
      <c r="E16974"/>
      <c r="F16974"/>
      <c r="G16974"/>
      <c r="H16974"/>
      <c r="I16974" s="489"/>
      <c r="J16974" s="1362"/>
      <c r="K16974" s="1362"/>
      <c r="L16974" s="1362"/>
    </row>
    <row r="16975" spans="1:12" x14ac:dyDescent="0.25">
      <c r="A16975">
        <v>780</v>
      </c>
      <c r="B16975" t="s">
        <v>20477</v>
      </c>
      <c r="C16975" t="s">
        <v>2537</v>
      </c>
      <c r="D16975" s="254">
        <v>67.489999999999995</v>
      </c>
      <c r="E16975"/>
      <c r="F16975"/>
      <c r="G16975"/>
      <c r="H16975"/>
      <c r="I16975" s="489"/>
      <c r="J16975" s="1362"/>
      <c r="K16975" s="1362"/>
      <c r="L16975" s="1362"/>
    </row>
    <row r="16976" spans="1:12" x14ac:dyDescent="0.25">
      <c r="A16976">
        <v>778</v>
      </c>
      <c r="B16976" t="s">
        <v>20478</v>
      </c>
      <c r="C16976" t="s">
        <v>2537</v>
      </c>
      <c r="D16976" s="254">
        <v>69.08</v>
      </c>
      <c r="E16976"/>
      <c r="F16976"/>
      <c r="G16976"/>
      <c r="H16976"/>
      <c r="I16976" s="489"/>
      <c r="J16976" s="1362"/>
      <c r="K16976" s="1362"/>
      <c r="L16976" s="1362"/>
    </row>
    <row r="16977" spans="1:12" x14ac:dyDescent="0.25">
      <c r="A16977">
        <v>781</v>
      </c>
      <c r="B16977" t="s">
        <v>20479</v>
      </c>
      <c r="C16977" t="s">
        <v>2537</v>
      </c>
      <c r="D16977" s="254">
        <v>127.63</v>
      </c>
      <c r="E16977"/>
      <c r="F16977"/>
      <c r="G16977"/>
      <c r="H16977"/>
      <c r="I16977" s="489"/>
      <c r="J16977" s="1362"/>
      <c r="K16977" s="1362"/>
      <c r="L16977" s="1362"/>
    </row>
    <row r="16978" spans="1:12" x14ac:dyDescent="0.25">
      <c r="A16978">
        <v>786</v>
      </c>
      <c r="B16978" t="s">
        <v>20480</v>
      </c>
      <c r="C16978" t="s">
        <v>2537</v>
      </c>
      <c r="D16978" s="254">
        <v>127.63</v>
      </c>
      <c r="E16978"/>
      <c r="F16978"/>
      <c r="G16978"/>
      <c r="H16978"/>
      <c r="I16978" s="489"/>
      <c r="J16978" s="1362"/>
      <c r="K16978" s="1362"/>
      <c r="L16978" s="1362"/>
    </row>
    <row r="16979" spans="1:12" x14ac:dyDescent="0.25">
      <c r="A16979">
        <v>782</v>
      </c>
      <c r="B16979" t="s">
        <v>20481</v>
      </c>
      <c r="C16979" t="s">
        <v>2537</v>
      </c>
      <c r="D16979" s="254">
        <v>127.63</v>
      </c>
      <c r="E16979"/>
      <c r="F16979"/>
      <c r="G16979"/>
      <c r="H16979"/>
      <c r="I16979" s="489"/>
      <c r="J16979" s="1362"/>
      <c r="K16979" s="1362"/>
      <c r="L16979" s="1362"/>
    </row>
    <row r="16980" spans="1:12" x14ac:dyDescent="0.25">
      <c r="A16980">
        <v>783</v>
      </c>
      <c r="B16980" t="s">
        <v>20482</v>
      </c>
      <c r="C16980" t="s">
        <v>2537</v>
      </c>
      <c r="D16980" s="254">
        <v>349.3</v>
      </c>
      <c r="E16980"/>
      <c r="F16980"/>
      <c r="G16980"/>
      <c r="H16980"/>
      <c r="I16980" s="489"/>
      <c r="J16980" s="1362"/>
      <c r="K16980" s="1362"/>
      <c r="L16980" s="1362"/>
    </row>
    <row r="16981" spans="1:12" x14ac:dyDescent="0.25">
      <c r="A16981">
        <v>785</v>
      </c>
      <c r="B16981" t="s">
        <v>20483</v>
      </c>
      <c r="C16981" t="s">
        <v>2537</v>
      </c>
      <c r="D16981" s="254">
        <v>369.07</v>
      </c>
      <c r="E16981"/>
      <c r="F16981"/>
      <c r="G16981"/>
      <c r="H16981"/>
      <c r="I16981" s="489"/>
      <c r="J16981" s="1362"/>
      <c r="K16981" s="1362"/>
      <c r="L16981" s="1362"/>
    </row>
    <row r="16982" spans="1:12" x14ac:dyDescent="0.25">
      <c r="A16982">
        <v>784</v>
      </c>
      <c r="B16982" t="s">
        <v>20484</v>
      </c>
      <c r="C16982" t="s">
        <v>2537</v>
      </c>
      <c r="D16982" s="254">
        <v>395.92</v>
      </c>
      <c r="E16982"/>
      <c r="F16982"/>
      <c r="G16982"/>
      <c r="H16982"/>
      <c r="I16982" s="489"/>
      <c r="J16982" s="1362"/>
      <c r="K16982" s="1362"/>
      <c r="L16982" s="1362"/>
    </row>
    <row r="16983" spans="1:12" x14ac:dyDescent="0.25">
      <c r="A16983">
        <v>831</v>
      </c>
      <c r="B16983" t="s">
        <v>20485</v>
      </c>
      <c r="C16983" t="s">
        <v>2537</v>
      </c>
      <c r="D16983" s="254">
        <v>94.44</v>
      </c>
      <c r="E16983"/>
      <c r="F16983"/>
      <c r="G16983"/>
      <c r="H16983"/>
      <c r="I16983" s="489"/>
      <c r="J16983" s="1362"/>
      <c r="K16983" s="1362"/>
      <c r="L16983" s="1362"/>
    </row>
    <row r="16984" spans="1:12" x14ac:dyDescent="0.25">
      <c r="A16984">
        <v>828</v>
      </c>
      <c r="B16984" t="s">
        <v>20486</v>
      </c>
      <c r="C16984" t="s">
        <v>2537</v>
      </c>
      <c r="D16984" s="254">
        <v>0.54</v>
      </c>
      <c r="E16984"/>
      <c r="F16984"/>
      <c r="G16984"/>
      <c r="H16984"/>
      <c r="I16984" s="489"/>
      <c r="J16984" s="1362"/>
      <c r="K16984" s="1362"/>
      <c r="L16984" s="1362"/>
    </row>
    <row r="16985" spans="1:12" x14ac:dyDescent="0.25">
      <c r="A16985">
        <v>829</v>
      </c>
      <c r="B16985" t="s">
        <v>20487</v>
      </c>
      <c r="C16985" t="s">
        <v>2537</v>
      </c>
      <c r="D16985" s="254">
        <v>1.1399999999999999</v>
      </c>
      <c r="E16985"/>
      <c r="F16985"/>
      <c r="G16985"/>
      <c r="H16985"/>
      <c r="I16985" s="489"/>
      <c r="J16985" s="1362"/>
      <c r="K16985" s="1362"/>
      <c r="L16985" s="1362"/>
    </row>
    <row r="16986" spans="1:12" x14ac:dyDescent="0.25">
      <c r="A16986">
        <v>812</v>
      </c>
      <c r="B16986" t="s">
        <v>20488</v>
      </c>
      <c r="C16986" t="s">
        <v>2537</v>
      </c>
      <c r="D16986" s="254">
        <v>2.48</v>
      </c>
      <c r="E16986"/>
      <c r="F16986"/>
      <c r="G16986"/>
      <c r="H16986"/>
      <c r="I16986" s="489"/>
      <c r="J16986" s="1362"/>
      <c r="K16986" s="1362"/>
      <c r="L16986" s="1362"/>
    </row>
    <row r="16987" spans="1:12" x14ac:dyDescent="0.25">
      <c r="A16987">
        <v>819</v>
      </c>
      <c r="B16987" t="s">
        <v>20489</v>
      </c>
      <c r="C16987" t="s">
        <v>2537</v>
      </c>
      <c r="D16987" s="254">
        <v>4.08</v>
      </c>
      <c r="E16987"/>
      <c r="F16987"/>
      <c r="G16987"/>
      <c r="H16987"/>
      <c r="I16987" s="489"/>
      <c r="J16987" s="1362"/>
      <c r="K16987" s="1362"/>
      <c r="L16987" s="1362"/>
    </row>
    <row r="16988" spans="1:12" x14ac:dyDescent="0.25">
      <c r="A16988">
        <v>818</v>
      </c>
      <c r="B16988" t="s">
        <v>20490</v>
      </c>
      <c r="C16988" t="s">
        <v>2537</v>
      </c>
      <c r="D16988" s="254">
        <v>6.86</v>
      </c>
      <c r="E16988"/>
      <c r="F16988"/>
      <c r="G16988"/>
      <c r="H16988"/>
      <c r="I16988" s="489"/>
      <c r="J16988" s="1362"/>
      <c r="K16988" s="1362"/>
      <c r="L16988" s="1362"/>
    </row>
    <row r="16989" spans="1:12" x14ac:dyDescent="0.25">
      <c r="A16989">
        <v>823</v>
      </c>
      <c r="B16989" t="s">
        <v>20491</v>
      </c>
      <c r="C16989" t="s">
        <v>2537</v>
      </c>
      <c r="D16989" s="254">
        <v>20.66</v>
      </c>
      <c r="E16989"/>
      <c r="F16989"/>
      <c r="G16989"/>
      <c r="H16989"/>
      <c r="I16989" s="489"/>
      <c r="J16989" s="1362"/>
      <c r="K16989" s="1362"/>
      <c r="L16989" s="1362"/>
    </row>
    <row r="16990" spans="1:12" x14ac:dyDescent="0.25">
      <c r="A16990">
        <v>830</v>
      </c>
      <c r="B16990" t="s">
        <v>20492</v>
      </c>
      <c r="C16990" t="s">
        <v>2537</v>
      </c>
      <c r="D16990" s="254">
        <v>17.02</v>
      </c>
      <c r="E16990"/>
      <c r="F16990"/>
      <c r="G16990"/>
      <c r="H16990"/>
      <c r="I16990" s="489"/>
      <c r="J16990" s="1362"/>
      <c r="K16990" s="1362"/>
      <c r="L16990" s="1362"/>
    </row>
    <row r="16991" spans="1:12" x14ac:dyDescent="0.25">
      <c r="A16991">
        <v>826</v>
      </c>
      <c r="B16991" t="s">
        <v>20493</v>
      </c>
      <c r="C16991" t="s">
        <v>2537</v>
      </c>
      <c r="D16991" s="254">
        <v>52.97</v>
      </c>
      <c r="E16991"/>
      <c r="F16991"/>
      <c r="G16991"/>
      <c r="H16991"/>
      <c r="I16991" s="489"/>
      <c r="J16991" s="1362"/>
      <c r="K16991" s="1362"/>
      <c r="L16991" s="1362"/>
    </row>
    <row r="16992" spans="1:12" x14ac:dyDescent="0.25">
      <c r="A16992">
        <v>827</v>
      </c>
      <c r="B16992" t="s">
        <v>20494</v>
      </c>
      <c r="C16992" t="s">
        <v>2537</v>
      </c>
      <c r="D16992" s="254">
        <v>44.75</v>
      </c>
      <c r="E16992"/>
      <c r="F16992"/>
      <c r="G16992"/>
      <c r="H16992"/>
      <c r="I16992" s="489"/>
      <c r="J16992" s="1362"/>
      <c r="K16992" s="1362"/>
      <c r="L16992" s="1362"/>
    </row>
    <row r="16993" spans="1:12" x14ac:dyDescent="0.25">
      <c r="A16993">
        <v>832</v>
      </c>
      <c r="B16993" t="s">
        <v>20495</v>
      </c>
      <c r="C16993" t="s">
        <v>2537</v>
      </c>
      <c r="D16993" s="254">
        <v>3.09</v>
      </c>
      <c r="E16993"/>
      <c r="F16993"/>
      <c r="G16993"/>
      <c r="H16993"/>
      <c r="I16993" s="489"/>
      <c r="J16993" s="1362"/>
      <c r="K16993" s="1362"/>
      <c r="L16993" s="1362"/>
    </row>
    <row r="16994" spans="1:12" x14ac:dyDescent="0.25">
      <c r="A16994">
        <v>833</v>
      </c>
      <c r="B16994" t="s">
        <v>20496</v>
      </c>
      <c r="C16994" t="s">
        <v>2537</v>
      </c>
      <c r="D16994" s="254">
        <v>4.3899999999999997</v>
      </c>
      <c r="E16994"/>
      <c r="F16994"/>
      <c r="G16994"/>
      <c r="H16994"/>
      <c r="I16994" s="489"/>
      <c r="J16994" s="1362"/>
      <c r="K16994" s="1362"/>
      <c r="L16994" s="1362"/>
    </row>
    <row r="16995" spans="1:12" x14ac:dyDescent="0.25">
      <c r="A16995">
        <v>834</v>
      </c>
      <c r="B16995" t="s">
        <v>20497</v>
      </c>
      <c r="C16995" t="s">
        <v>2537</v>
      </c>
      <c r="D16995" s="254">
        <v>4.8099999999999996</v>
      </c>
      <c r="E16995"/>
      <c r="F16995"/>
      <c r="G16995"/>
      <c r="H16995"/>
      <c r="I16995" s="489"/>
      <c r="J16995" s="1362"/>
      <c r="K16995" s="1362"/>
      <c r="L16995" s="1362"/>
    </row>
    <row r="16996" spans="1:12" x14ac:dyDescent="0.25">
      <c r="A16996">
        <v>825</v>
      </c>
      <c r="B16996" t="s">
        <v>20498</v>
      </c>
      <c r="C16996" t="s">
        <v>2537</v>
      </c>
      <c r="D16996" s="254">
        <v>5.37</v>
      </c>
      <c r="E16996"/>
      <c r="F16996"/>
      <c r="G16996"/>
      <c r="H16996"/>
      <c r="I16996" s="489"/>
      <c r="J16996" s="1362"/>
      <c r="K16996" s="1362"/>
      <c r="L16996" s="1362"/>
    </row>
    <row r="16997" spans="1:12" x14ac:dyDescent="0.25">
      <c r="A16997">
        <v>813</v>
      </c>
      <c r="B16997" t="s">
        <v>20499</v>
      </c>
      <c r="C16997" t="s">
        <v>2537</v>
      </c>
      <c r="D16997" s="254">
        <v>5.28</v>
      </c>
      <c r="E16997"/>
      <c r="F16997"/>
      <c r="G16997"/>
      <c r="H16997"/>
      <c r="I16997" s="489"/>
      <c r="J16997" s="1362"/>
      <c r="K16997" s="1362"/>
      <c r="L16997" s="1362"/>
    </row>
    <row r="16998" spans="1:12" x14ac:dyDescent="0.25">
      <c r="A16998">
        <v>820</v>
      </c>
      <c r="B16998" t="s">
        <v>20500</v>
      </c>
      <c r="C16998" t="s">
        <v>2537</v>
      </c>
      <c r="D16998" s="254">
        <v>6.7</v>
      </c>
      <c r="E16998"/>
      <c r="F16998"/>
      <c r="G16998"/>
      <c r="H16998"/>
      <c r="I16998" s="489"/>
      <c r="J16998" s="1362"/>
      <c r="K16998" s="1362"/>
      <c r="L16998" s="1362"/>
    </row>
    <row r="16999" spans="1:12" x14ac:dyDescent="0.25">
      <c r="A16999">
        <v>816</v>
      </c>
      <c r="B16999" t="s">
        <v>20501</v>
      </c>
      <c r="C16999" t="s">
        <v>2537</v>
      </c>
      <c r="D16999" s="254">
        <v>11.4</v>
      </c>
      <c r="E16999"/>
      <c r="F16999"/>
      <c r="G16999"/>
      <c r="H16999"/>
      <c r="I16999" s="489"/>
      <c r="J16999" s="1362"/>
      <c r="K16999" s="1362"/>
      <c r="L16999" s="1362"/>
    </row>
    <row r="17000" spans="1:12" x14ac:dyDescent="0.25">
      <c r="A17000">
        <v>814</v>
      </c>
      <c r="B17000" t="s">
        <v>20502</v>
      </c>
      <c r="C17000" t="s">
        <v>2537</v>
      </c>
      <c r="D17000" s="254">
        <v>13.77</v>
      </c>
      <c r="E17000"/>
      <c r="F17000"/>
      <c r="G17000"/>
      <c r="H17000"/>
      <c r="I17000" s="489"/>
      <c r="J17000" s="1362"/>
      <c r="K17000" s="1362"/>
      <c r="L17000" s="1362"/>
    </row>
    <row r="17001" spans="1:12" x14ac:dyDescent="0.25">
      <c r="A17001">
        <v>815</v>
      </c>
      <c r="B17001" t="s">
        <v>20503</v>
      </c>
      <c r="C17001" t="s">
        <v>2537</v>
      </c>
      <c r="D17001" s="254">
        <v>14.89</v>
      </c>
      <c r="E17001"/>
      <c r="F17001"/>
      <c r="G17001"/>
      <c r="H17001"/>
      <c r="I17001" s="489"/>
      <c r="J17001" s="1362"/>
      <c r="K17001" s="1362"/>
      <c r="L17001" s="1362"/>
    </row>
    <row r="17002" spans="1:12" x14ac:dyDescent="0.25">
      <c r="A17002">
        <v>822</v>
      </c>
      <c r="B17002" t="s">
        <v>20504</v>
      </c>
      <c r="C17002" t="s">
        <v>2537</v>
      </c>
      <c r="D17002" s="254">
        <v>18.13</v>
      </c>
      <c r="E17002"/>
      <c r="F17002"/>
      <c r="G17002"/>
      <c r="H17002"/>
      <c r="I17002" s="489"/>
      <c r="J17002" s="1362"/>
      <c r="K17002" s="1362"/>
      <c r="L17002" s="1362"/>
    </row>
    <row r="17003" spans="1:12" x14ac:dyDescent="0.25">
      <c r="A17003">
        <v>821</v>
      </c>
      <c r="B17003" t="s">
        <v>20505</v>
      </c>
      <c r="C17003" t="s">
        <v>2537</v>
      </c>
      <c r="D17003" s="254">
        <v>21.19</v>
      </c>
      <c r="E17003"/>
      <c r="F17003"/>
      <c r="G17003"/>
      <c r="H17003"/>
      <c r="I17003" s="489"/>
      <c r="J17003" s="1362"/>
      <c r="K17003" s="1362"/>
      <c r="L17003" s="1362"/>
    </row>
    <row r="17004" spans="1:12" x14ac:dyDescent="0.25">
      <c r="A17004">
        <v>817</v>
      </c>
      <c r="B17004" t="s">
        <v>20506</v>
      </c>
      <c r="C17004" t="s">
        <v>2537</v>
      </c>
      <c r="D17004" s="254">
        <v>25.2</v>
      </c>
      <c r="E17004"/>
      <c r="F17004"/>
      <c r="G17004"/>
      <c r="H17004"/>
      <c r="I17004" s="489"/>
      <c r="J17004" s="1362"/>
      <c r="K17004" s="1362"/>
      <c r="L17004" s="1362"/>
    </row>
    <row r="17005" spans="1:12" x14ac:dyDescent="0.25">
      <c r="A17005">
        <v>20086</v>
      </c>
      <c r="B17005" t="s">
        <v>20507</v>
      </c>
      <c r="C17005" t="s">
        <v>2537</v>
      </c>
      <c r="D17005" s="254">
        <v>2.5</v>
      </c>
      <c r="E17005"/>
      <c r="F17005"/>
      <c r="G17005"/>
      <c r="H17005"/>
      <c r="I17005" s="489"/>
      <c r="J17005" s="1362"/>
      <c r="K17005" s="1362"/>
      <c r="L17005" s="1362"/>
    </row>
    <row r="17006" spans="1:12" x14ac:dyDescent="0.25">
      <c r="A17006">
        <v>39191</v>
      </c>
      <c r="B17006" t="s">
        <v>20508</v>
      </c>
      <c r="C17006" t="s">
        <v>2537</v>
      </c>
      <c r="D17006" s="254">
        <v>21.44</v>
      </c>
      <c r="E17006"/>
      <c r="F17006"/>
      <c r="G17006"/>
      <c r="H17006"/>
      <c r="I17006" s="489"/>
      <c r="J17006" s="1362"/>
      <c r="K17006" s="1362"/>
      <c r="L17006" s="1362"/>
    </row>
    <row r="17007" spans="1:12" x14ac:dyDescent="0.25">
      <c r="A17007">
        <v>39190</v>
      </c>
      <c r="B17007" t="s">
        <v>20509</v>
      </c>
      <c r="C17007" t="s">
        <v>2537</v>
      </c>
      <c r="D17007" s="254">
        <v>22.4</v>
      </c>
      <c r="E17007"/>
      <c r="F17007"/>
      <c r="G17007"/>
      <c r="H17007"/>
      <c r="I17007" s="489"/>
      <c r="J17007" s="1362"/>
      <c r="K17007" s="1362"/>
      <c r="L17007" s="1362"/>
    </row>
    <row r="17008" spans="1:12" x14ac:dyDescent="0.25">
      <c r="A17008">
        <v>39189</v>
      </c>
      <c r="B17008" t="s">
        <v>20510</v>
      </c>
      <c r="C17008" t="s">
        <v>2537</v>
      </c>
      <c r="D17008" s="254">
        <v>23.7</v>
      </c>
      <c r="E17008"/>
      <c r="F17008"/>
      <c r="G17008"/>
      <c r="H17008"/>
      <c r="I17008" s="489"/>
      <c r="J17008" s="1362"/>
      <c r="K17008" s="1362"/>
      <c r="L17008" s="1362"/>
    </row>
    <row r="17009" spans="1:12" x14ac:dyDescent="0.25">
      <c r="A17009">
        <v>39186</v>
      </c>
      <c r="B17009" t="s">
        <v>20511</v>
      </c>
      <c r="C17009" t="s">
        <v>2537</v>
      </c>
      <c r="D17009" s="254">
        <v>21.21</v>
      </c>
      <c r="E17009"/>
      <c r="F17009"/>
      <c r="G17009"/>
      <c r="H17009"/>
      <c r="I17009" s="489"/>
      <c r="J17009" s="1362"/>
      <c r="K17009" s="1362"/>
      <c r="L17009" s="1362"/>
    </row>
    <row r="17010" spans="1:12" x14ac:dyDescent="0.25">
      <c r="A17010">
        <v>39188</v>
      </c>
      <c r="B17010" t="s">
        <v>20512</v>
      </c>
      <c r="C17010" t="s">
        <v>2537</v>
      </c>
      <c r="D17010" s="254">
        <v>17.45</v>
      </c>
      <c r="E17010"/>
      <c r="F17010"/>
      <c r="G17010"/>
      <c r="H17010"/>
      <c r="I17010" s="489"/>
      <c r="J17010" s="1362"/>
      <c r="K17010" s="1362"/>
      <c r="L17010" s="1362"/>
    </row>
    <row r="17011" spans="1:12" x14ac:dyDescent="0.25">
      <c r="A17011">
        <v>39187</v>
      </c>
      <c r="B17011" t="s">
        <v>20513</v>
      </c>
      <c r="C17011" t="s">
        <v>2537</v>
      </c>
      <c r="D17011" s="254">
        <v>18.29</v>
      </c>
      <c r="E17011"/>
      <c r="F17011"/>
      <c r="G17011"/>
      <c r="H17011"/>
      <c r="I17011" s="489"/>
      <c r="J17011" s="1362"/>
      <c r="K17011" s="1362"/>
      <c r="L17011" s="1362"/>
    </row>
    <row r="17012" spans="1:12" x14ac:dyDescent="0.25">
      <c r="A17012">
        <v>39184</v>
      </c>
      <c r="B17012" t="s">
        <v>20514</v>
      </c>
      <c r="C17012" t="s">
        <v>2537</v>
      </c>
      <c r="D17012" s="254">
        <v>6.88</v>
      </c>
      <c r="E17012"/>
      <c r="F17012"/>
      <c r="G17012"/>
      <c r="H17012"/>
      <c r="I17012" s="489"/>
      <c r="J17012" s="1362"/>
      <c r="K17012" s="1362"/>
      <c r="L17012" s="1362"/>
    </row>
    <row r="17013" spans="1:12" x14ac:dyDescent="0.25">
      <c r="A17013">
        <v>39185</v>
      </c>
      <c r="B17013" t="s">
        <v>20515</v>
      </c>
      <c r="C17013" t="s">
        <v>2537</v>
      </c>
      <c r="D17013" s="254">
        <v>6.27</v>
      </c>
      <c r="E17013"/>
      <c r="F17013"/>
      <c r="G17013"/>
      <c r="H17013"/>
      <c r="I17013" s="489"/>
      <c r="J17013" s="1362"/>
      <c r="K17013" s="1362"/>
      <c r="L17013" s="1362"/>
    </row>
    <row r="17014" spans="1:12" x14ac:dyDescent="0.25">
      <c r="A17014">
        <v>39198</v>
      </c>
      <c r="B17014" t="s">
        <v>20516</v>
      </c>
      <c r="C17014" t="s">
        <v>2537</v>
      </c>
      <c r="D17014" s="254">
        <v>70.33</v>
      </c>
      <c r="E17014"/>
      <c r="F17014"/>
      <c r="G17014"/>
      <c r="H17014"/>
      <c r="I17014" s="489"/>
      <c r="J17014" s="1362"/>
      <c r="K17014" s="1362"/>
      <c r="L17014" s="1362"/>
    </row>
    <row r="17015" spans="1:12" x14ac:dyDescent="0.25">
      <c r="A17015">
        <v>39197</v>
      </c>
      <c r="B17015" t="s">
        <v>20517</v>
      </c>
      <c r="C17015" t="s">
        <v>2537</v>
      </c>
      <c r="D17015" s="254">
        <v>73.47</v>
      </c>
      <c r="E17015"/>
      <c r="F17015"/>
      <c r="G17015"/>
      <c r="H17015"/>
      <c r="I17015" s="489"/>
      <c r="J17015" s="1362"/>
      <c r="K17015" s="1362"/>
      <c r="L17015" s="1362"/>
    </row>
    <row r="17016" spans="1:12" x14ac:dyDescent="0.25">
      <c r="A17016">
        <v>39196</v>
      </c>
      <c r="B17016" t="s">
        <v>20518</v>
      </c>
      <c r="C17016" t="s">
        <v>2537</v>
      </c>
      <c r="D17016" s="254">
        <v>75.77</v>
      </c>
      <c r="E17016"/>
      <c r="F17016"/>
      <c r="G17016"/>
      <c r="H17016"/>
      <c r="I17016" s="489"/>
      <c r="J17016" s="1362"/>
      <c r="K17016" s="1362"/>
      <c r="L17016" s="1362"/>
    </row>
    <row r="17017" spans="1:12" x14ac:dyDescent="0.25">
      <c r="A17017">
        <v>39199</v>
      </c>
      <c r="B17017" t="s">
        <v>20519</v>
      </c>
      <c r="C17017" t="s">
        <v>2537</v>
      </c>
      <c r="D17017" s="254">
        <v>67.69</v>
      </c>
      <c r="E17017"/>
      <c r="F17017"/>
      <c r="G17017"/>
      <c r="H17017"/>
      <c r="I17017" s="489"/>
      <c r="J17017" s="1362"/>
      <c r="K17017" s="1362"/>
      <c r="L17017" s="1362"/>
    </row>
    <row r="17018" spans="1:12" x14ac:dyDescent="0.25">
      <c r="A17018">
        <v>39195</v>
      </c>
      <c r="B17018" t="s">
        <v>20520</v>
      </c>
      <c r="C17018" t="s">
        <v>2537</v>
      </c>
      <c r="D17018" s="254">
        <v>39.07</v>
      </c>
      <c r="E17018"/>
      <c r="F17018"/>
      <c r="G17018"/>
      <c r="H17018"/>
      <c r="I17018" s="489"/>
      <c r="J17018" s="1362"/>
      <c r="K17018" s="1362"/>
      <c r="L17018" s="1362"/>
    </row>
    <row r="17019" spans="1:12" x14ac:dyDescent="0.25">
      <c r="A17019">
        <v>39194</v>
      </c>
      <c r="B17019" t="s">
        <v>20521</v>
      </c>
      <c r="C17019" t="s">
        <v>2537</v>
      </c>
      <c r="D17019" s="254">
        <v>41.81</v>
      </c>
      <c r="E17019"/>
      <c r="F17019"/>
      <c r="G17019"/>
      <c r="H17019"/>
      <c r="I17019" s="489"/>
      <c r="J17019" s="1362"/>
      <c r="K17019" s="1362"/>
      <c r="L17019" s="1362"/>
    </row>
    <row r="17020" spans="1:12" x14ac:dyDescent="0.25">
      <c r="A17020">
        <v>39193</v>
      </c>
      <c r="B17020" t="s">
        <v>20522</v>
      </c>
      <c r="C17020" t="s">
        <v>2537</v>
      </c>
      <c r="D17020" s="254">
        <v>45.82</v>
      </c>
      <c r="E17020"/>
      <c r="F17020"/>
      <c r="G17020"/>
      <c r="H17020"/>
      <c r="I17020" s="489"/>
      <c r="J17020" s="1362"/>
      <c r="K17020" s="1362"/>
      <c r="L17020" s="1362"/>
    </row>
    <row r="17021" spans="1:12" x14ac:dyDescent="0.25">
      <c r="A17021">
        <v>39192</v>
      </c>
      <c r="B17021" t="s">
        <v>20523</v>
      </c>
      <c r="C17021" t="s">
        <v>2537</v>
      </c>
      <c r="D17021" s="254">
        <v>47.67</v>
      </c>
      <c r="E17021"/>
      <c r="F17021"/>
      <c r="G17021"/>
      <c r="H17021"/>
      <c r="I17021" s="489"/>
      <c r="J17021" s="1362"/>
      <c r="K17021" s="1362"/>
      <c r="L17021" s="1362"/>
    </row>
    <row r="17022" spans="1:12" x14ac:dyDescent="0.25">
      <c r="A17022">
        <v>39920</v>
      </c>
      <c r="B17022" t="s">
        <v>20524</v>
      </c>
      <c r="C17022" t="s">
        <v>2537</v>
      </c>
      <c r="D17022" s="254">
        <v>5.77</v>
      </c>
      <c r="E17022"/>
      <c r="F17022"/>
      <c r="G17022"/>
      <c r="H17022"/>
      <c r="I17022" s="489"/>
      <c r="J17022" s="1362"/>
      <c r="K17022" s="1362"/>
      <c r="L17022" s="1362"/>
    </row>
    <row r="17023" spans="1:12" x14ac:dyDescent="0.25">
      <c r="A17023">
        <v>39201</v>
      </c>
      <c r="B17023" t="s">
        <v>20525</v>
      </c>
      <c r="C17023" t="s">
        <v>2537</v>
      </c>
      <c r="D17023" s="254">
        <v>84.09</v>
      </c>
      <c r="E17023"/>
      <c r="F17023"/>
      <c r="G17023"/>
      <c r="H17023"/>
      <c r="I17023" s="489"/>
      <c r="J17023" s="1362"/>
      <c r="K17023" s="1362"/>
      <c r="L17023" s="1362"/>
    </row>
    <row r="17024" spans="1:12" x14ac:dyDescent="0.25">
      <c r="A17024">
        <v>39200</v>
      </c>
      <c r="B17024" t="s">
        <v>20526</v>
      </c>
      <c r="C17024" t="s">
        <v>2537</v>
      </c>
      <c r="D17024" s="254">
        <v>84.77</v>
      </c>
      <c r="E17024"/>
      <c r="F17024"/>
      <c r="G17024"/>
      <c r="H17024"/>
      <c r="I17024" s="489"/>
      <c r="J17024" s="1362"/>
      <c r="K17024" s="1362"/>
      <c r="L17024" s="1362"/>
    </row>
    <row r="17025" spans="1:12" x14ac:dyDescent="0.25">
      <c r="A17025">
        <v>39203</v>
      </c>
      <c r="B17025" t="s">
        <v>20527</v>
      </c>
      <c r="C17025" t="s">
        <v>2537</v>
      </c>
      <c r="D17025" s="254">
        <v>68.44</v>
      </c>
      <c r="E17025"/>
      <c r="F17025"/>
      <c r="G17025"/>
      <c r="H17025"/>
      <c r="I17025" s="489"/>
      <c r="J17025" s="1362"/>
      <c r="K17025" s="1362"/>
      <c r="L17025" s="1362"/>
    </row>
    <row r="17026" spans="1:12" x14ac:dyDescent="0.25">
      <c r="A17026">
        <v>39202</v>
      </c>
      <c r="B17026" t="s">
        <v>20528</v>
      </c>
      <c r="C17026" t="s">
        <v>2537</v>
      </c>
      <c r="D17026" s="254">
        <v>80.400000000000006</v>
      </c>
      <c r="E17026"/>
      <c r="F17026"/>
      <c r="G17026"/>
      <c r="H17026"/>
      <c r="I17026" s="489"/>
      <c r="J17026" s="1362"/>
      <c r="K17026" s="1362"/>
      <c r="L17026" s="1362"/>
    </row>
    <row r="17027" spans="1:12" x14ac:dyDescent="0.25">
      <c r="A17027">
        <v>39205</v>
      </c>
      <c r="B17027" t="s">
        <v>20529</v>
      </c>
      <c r="C17027" t="s">
        <v>2537</v>
      </c>
      <c r="D17027" s="254">
        <v>134.13999999999999</v>
      </c>
      <c r="E17027"/>
      <c r="F17027"/>
      <c r="G17027"/>
      <c r="H17027"/>
      <c r="I17027" s="489"/>
      <c r="J17027" s="1362"/>
      <c r="K17027" s="1362"/>
      <c r="L17027" s="1362"/>
    </row>
    <row r="17028" spans="1:12" x14ac:dyDescent="0.25">
      <c r="A17028">
        <v>39204</v>
      </c>
      <c r="B17028" t="s">
        <v>20530</v>
      </c>
      <c r="C17028" t="s">
        <v>2537</v>
      </c>
      <c r="D17028" s="254">
        <v>137.38</v>
      </c>
      <c r="E17028"/>
      <c r="F17028"/>
      <c r="G17028"/>
      <c r="H17028"/>
      <c r="I17028" s="489"/>
      <c r="J17028" s="1362"/>
      <c r="K17028" s="1362"/>
      <c r="L17028" s="1362"/>
    </row>
    <row r="17029" spans="1:12" x14ac:dyDescent="0.25">
      <c r="A17029">
        <v>39206</v>
      </c>
      <c r="B17029" t="s">
        <v>20531</v>
      </c>
      <c r="C17029" t="s">
        <v>2537</v>
      </c>
      <c r="D17029" s="254">
        <v>130.33000000000001</v>
      </c>
      <c r="E17029"/>
      <c r="F17029"/>
      <c r="G17029"/>
      <c r="H17029"/>
      <c r="I17029" s="489"/>
      <c r="J17029" s="1362"/>
      <c r="K17029" s="1362"/>
      <c r="L17029" s="1362"/>
    </row>
    <row r="17030" spans="1:12" x14ac:dyDescent="0.25">
      <c r="A17030">
        <v>797</v>
      </c>
      <c r="B17030" t="s">
        <v>20532</v>
      </c>
      <c r="C17030" t="s">
        <v>2537</v>
      </c>
      <c r="D17030" s="254">
        <v>9.86</v>
      </c>
      <c r="E17030"/>
      <c r="F17030"/>
      <c r="G17030"/>
      <c r="H17030"/>
      <c r="I17030" s="489"/>
      <c r="J17030" s="1362"/>
      <c r="K17030" s="1362"/>
      <c r="L17030" s="1362"/>
    </row>
    <row r="17031" spans="1:12" x14ac:dyDescent="0.25">
      <c r="A17031">
        <v>798</v>
      </c>
      <c r="B17031" t="s">
        <v>20533</v>
      </c>
      <c r="C17031" t="s">
        <v>2537</v>
      </c>
      <c r="D17031" s="254">
        <v>1.35</v>
      </c>
      <c r="E17031"/>
      <c r="F17031"/>
      <c r="G17031"/>
      <c r="H17031"/>
      <c r="I17031" s="489"/>
      <c r="J17031" s="1362"/>
      <c r="K17031" s="1362"/>
      <c r="L17031" s="1362"/>
    </row>
    <row r="17032" spans="1:12" x14ac:dyDescent="0.25">
      <c r="A17032">
        <v>796</v>
      </c>
      <c r="B17032" t="s">
        <v>20534</v>
      </c>
      <c r="C17032" t="s">
        <v>2537</v>
      </c>
      <c r="D17032" s="254">
        <v>9.44</v>
      </c>
      <c r="E17032"/>
      <c r="F17032"/>
      <c r="G17032"/>
      <c r="H17032"/>
      <c r="I17032" s="489"/>
      <c r="J17032" s="1362"/>
      <c r="K17032" s="1362"/>
      <c r="L17032" s="1362"/>
    </row>
    <row r="17033" spans="1:12" x14ac:dyDescent="0.25">
      <c r="A17033">
        <v>799</v>
      </c>
      <c r="B17033" t="s">
        <v>20535</v>
      </c>
      <c r="C17033" t="s">
        <v>2537</v>
      </c>
      <c r="D17033" s="254">
        <v>4.4400000000000004</v>
      </c>
      <c r="E17033"/>
      <c r="F17033"/>
      <c r="G17033"/>
      <c r="H17033"/>
      <c r="I17033" s="489"/>
      <c r="J17033" s="1362"/>
      <c r="K17033" s="1362"/>
      <c r="L17033" s="1362"/>
    </row>
    <row r="17034" spans="1:12" x14ac:dyDescent="0.25">
      <c r="A17034">
        <v>792</v>
      </c>
      <c r="B17034" t="s">
        <v>20536</v>
      </c>
      <c r="C17034" t="s">
        <v>2537</v>
      </c>
      <c r="D17034" s="254">
        <v>4.51</v>
      </c>
      <c r="E17034"/>
      <c r="F17034"/>
      <c r="G17034"/>
      <c r="H17034"/>
      <c r="I17034" s="489"/>
      <c r="J17034" s="1362"/>
      <c r="K17034" s="1362"/>
      <c r="L17034" s="1362"/>
    </row>
    <row r="17035" spans="1:12" x14ac:dyDescent="0.25">
      <c r="A17035">
        <v>804</v>
      </c>
      <c r="B17035" t="s">
        <v>20537</v>
      </c>
      <c r="C17035" t="s">
        <v>2537</v>
      </c>
      <c r="D17035" s="254">
        <v>22.38</v>
      </c>
      <c r="E17035"/>
      <c r="F17035"/>
      <c r="G17035"/>
      <c r="H17035"/>
      <c r="I17035" s="489"/>
      <c r="J17035" s="1362"/>
      <c r="K17035" s="1362"/>
      <c r="L17035" s="1362"/>
    </row>
    <row r="17036" spans="1:12" x14ac:dyDescent="0.25">
      <c r="A17036">
        <v>793</v>
      </c>
      <c r="B17036" t="s">
        <v>20538</v>
      </c>
      <c r="C17036" t="s">
        <v>2537</v>
      </c>
      <c r="D17036" s="254">
        <v>9.61</v>
      </c>
      <c r="E17036"/>
      <c r="F17036"/>
      <c r="G17036"/>
      <c r="H17036"/>
      <c r="I17036" s="489"/>
      <c r="J17036" s="1362"/>
      <c r="K17036" s="1362"/>
      <c r="L17036" s="1362"/>
    </row>
    <row r="17037" spans="1:12" x14ac:dyDescent="0.25">
      <c r="A17037">
        <v>801</v>
      </c>
      <c r="B17037" t="s">
        <v>20539</v>
      </c>
      <c r="C17037" t="s">
        <v>2537</v>
      </c>
      <c r="D17037" s="254">
        <v>6.85</v>
      </c>
      <c r="E17037"/>
      <c r="F17037"/>
      <c r="G17037"/>
      <c r="H17037"/>
      <c r="I17037" s="489"/>
      <c r="J17037" s="1362"/>
      <c r="K17037" s="1362"/>
      <c r="L17037" s="1362"/>
    </row>
    <row r="17038" spans="1:12" x14ac:dyDescent="0.25">
      <c r="A17038">
        <v>794</v>
      </c>
      <c r="B17038" t="s">
        <v>20540</v>
      </c>
      <c r="C17038" t="s">
        <v>2537</v>
      </c>
      <c r="D17038" s="254">
        <v>7.08</v>
      </c>
      <c r="E17038"/>
      <c r="F17038"/>
      <c r="G17038"/>
      <c r="H17038"/>
      <c r="I17038" s="489"/>
      <c r="J17038" s="1362"/>
      <c r="K17038" s="1362"/>
      <c r="L17038" s="1362"/>
    </row>
    <row r="17039" spans="1:12" x14ac:dyDescent="0.25">
      <c r="A17039">
        <v>802</v>
      </c>
      <c r="B17039" t="s">
        <v>20541</v>
      </c>
      <c r="C17039" t="s">
        <v>2537</v>
      </c>
      <c r="D17039" s="254">
        <v>19.739999999999998</v>
      </c>
      <c r="E17039"/>
      <c r="F17039"/>
      <c r="G17039"/>
      <c r="H17039"/>
      <c r="I17039" s="489"/>
      <c r="J17039" s="1362"/>
      <c r="K17039" s="1362"/>
      <c r="L17039" s="1362"/>
    </row>
    <row r="17040" spans="1:12" x14ac:dyDescent="0.25">
      <c r="A17040">
        <v>803</v>
      </c>
      <c r="B17040" t="s">
        <v>20542</v>
      </c>
      <c r="C17040" t="s">
        <v>2537</v>
      </c>
      <c r="D17040" s="254">
        <v>17.22</v>
      </c>
      <c r="E17040"/>
      <c r="F17040"/>
      <c r="G17040"/>
      <c r="H17040"/>
      <c r="I17040" s="489"/>
      <c r="J17040" s="1362"/>
      <c r="K17040" s="1362"/>
      <c r="L17040" s="1362"/>
    </row>
    <row r="17041" spans="1:12" x14ac:dyDescent="0.25">
      <c r="A17041">
        <v>38001</v>
      </c>
      <c r="B17041" t="s">
        <v>20543</v>
      </c>
      <c r="C17041" t="s">
        <v>2537</v>
      </c>
      <c r="D17041" s="254">
        <v>0.9</v>
      </c>
      <c r="E17041"/>
      <c r="F17041"/>
      <c r="G17041"/>
      <c r="H17041"/>
      <c r="I17041" s="489"/>
      <c r="J17041" s="1362"/>
      <c r="K17041" s="1362"/>
      <c r="L17041" s="1362"/>
    </row>
    <row r="17042" spans="1:12" x14ac:dyDescent="0.25">
      <c r="A17042">
        <v>38002</v>
      </c>
      <c r="B17042" t="s">
        <v>20544</v>
      </c>
      <c r="C17042" t="s">
        <v>2537</v>
      </c>
      <c r="D17042" s="254">
        <v>1.67</v>
      </c>
      <c r="E17042"/>
      <c r="F17042"/>
      <c r="G17042"/>
      <c r="H17042"/>
      <c r="I17042" s="489"/>
      <c r="J17042" s="1362"/>
      <c r="K17042" s="1362"/>
      <c r="L17042" s="1362"/>
    </row>
    <row r="17043" spans="1:12" x14ac:dyDescent="0.25">
      <c r="A17043">
        <v>38003</v>
      </c>
      <c r="B17043" t="s">
        <v>20545</v>
      </c>
      <c r="C17043" t="s">
        <v>2537</v>
      </c>
      <c r="D17043" s="254">
        <v>20.02</v>
      </c>
      <c r="E17043"/>
      <c r="F17043"/>
      <c r="G17043"/>
      <c r="H17043"/>
      <c r="I17043" s="489"/>
      <c r="J17043" s="1362"/>
      <c r="K17043" s="1362"/>
      <c r="L17043" s="1362"/>
    </row>
    <row r="17044" spans="1:12" x14ac:dyDescent="0.25">
      <c r="A17044">
        <v>38004</v>
      </c>
      <c r="B17044" t="s">
        <v>20546</v>
      </c>
      <c r="C17044" t="s">
        <v>2537</v>
      </c>
      <c r="D17044" s="254">
        <v>26.77</v>
      </c>
      <c r="E17044"/>
      <c r="F17044"/>
      <c r="G17044"/>
      <c r="H17044"/>
      <c r="I17044" s="489"/>
      <c r="J17044" s="1362"/>
      <c r="K17044" s="1362"/>
      <c r="L17044" s="1362"/>
    </row>
    <row r="17045" spans="1:12" x14ac:dyDescent="0.25">
      <c r="A17045">
        <v>36327</v>
      </c>
      <c r="B17045" t="s">
        <v>20547</v>
      </c>
      <c r="C17045" t="s">
        <v>2537</v>
      </c>
      <c r="D17045" s="254">
        <v>2.39</v>
      </c>
      <c r="E17045"/>
      <c r="F17045"/>
      <c r="G17045"/>
      <c r="H17045"/>
      <c r="I17045" s="489"/>
      <c r="J17045" s="1362"/>
      <c r="K17045" s="1362"/>
      <c r="L17045" s="1362"/>
    </row>
    <row r="17046" spans="1:12" x14ac:dyDescent="0.25">
      <c r="A17046">
        <v>38992</v>
      </c>
      <c r="B17046" t="s">
        <v>20548</v>
      </c>
      <c r="C17046" t="s">
        <v>2537</v>
      </c>
      <c r="D17046" s="254">
        <v>3.81</v>
      </c>
      <c r="E17046"/>
      <c r="F17046"/>
      <c r="G17046"/>
      <c r="H17046"/>
      <c r="I17046" s="489"/>
      <c r="J17046" s="1362"/>
      <c r="K17046" s="1362"/>
      <c r="L17046" s="1362"/>
    </row>
    <row r="17047" spans="1:12" x14ac:dyDescent="0.25">
      <c r="A17047">
        <v>38993</v>
      </c>
      <c r="B17047" t="s">
        <v>20549</v>
      </c>
      <c r="C17047" t="s">
        <v>2537</v>
      </c>
      <c r="D17047" s="254">
        <v>10.88</v>
      </c>
      <c r="E17047"/>
      <c r="F17047"/>
      <c r="G17047"/>
      <c r="H17047"/>
      <c r="I17047" s="489"/>
      <c r="J17047" s="1362"/>
      <c r="K17047" s="1362"/>
      <c r="L17047" s="1362"/>
    </row>
    <row r="17048" spans="1:12" x14ac:dyDescent="0.25">
      <c r="A17048">
        <v>38418</v>
      </c>
      <c r="B17048" t="s">
        <v>20550</v>
      </c>
      <c r="C17048" t="s">
        <v>2537</v>
      </c>
      <c r="D17048" s="254">
        <v>7.27</v>
      </c>
      <c r="E17048"/>
      <c r="F17048"/>
      <c r="G17048"/>
      <c r="H17048"/>
      <c r="I17048" s="489"/>
      <c r="J17048" s="1362"/>
      <c r="K17048" s="1362"/>
      <c r="L17048" s="1362"/>
    </row>
    <row r="17049" spans="1:12" x14ac:dyDescent="0.25">
      <c r="A17049">
        <v>39178</v>
      </c>
      <c r="B17049" t="s">
        <v>20551</v>
      </c>
      <c r="C17049" t="s">
        <v>2537</v>
      </c>
      <c r="D17049" s="254">
        <v>2.3199999999999998</v>
      </c>
      <c r="E17049"/>
      <c r="F17049"/>
      <c r="G17049"/>
      <c r="H17049"/>
      <c r="I17049" s="489"/>
      <c r="J17049" s="1362"/>
      <c r="K17049" s="1362"/>
      <c r="L17049" s="1362"/>
    </row>
    <row r="17050" spans="1:12" x14ac:dyDescent="0.25">
      <c r="A17050">
        <v>39177</v>
      </c>
      <c r="B17050" t="s">
        <v>20552</v>
      </c>
      <c r="C17050" t="s">
        <v>2537</v>
      </c>
      <c r="D17050" s="254">
        <v>2.1</v>
      </c>
      <c r="E17050"/>
      <c r="F17050"/>
      <c r="G17050"/>
      <c r="H17050"/>
      <c r="I17050" s="489"/>
      <c r="J17050" s="1362"/>
      <c r="K17050" s="1362"/>
      <c r="L17050" s="1362"/>
    </row>
    <row r="17051" spans="1:12" x14ac:dyDescent="0.25">
      <c r="A17051">
        <v>39174</v>
      </c>
      <c r="B17051" t="s">
        <v>20553</v>
      </c>
      <c r="C17051" t="s">
        <v>2537</v>
      </c>
      <c r="D17051" s="254">
        <v>1.04</v>
      </c>
      <c r="E17051"/>
      <c r="F17051"/>
      <c r="G17051"/>
      <c r="H17051"/>
      <c r="I17051" s="489"/>
      <c r="J17051" s="1362"/>
      <c r="K17051" s="1362"/>
      <c r="L17051" s="1362"/>
    </row>
    <row r="17052" spans="1:12" x14ac:dyDescent="0.25">
      <c r="A17052">
        <v>39176</v>
      </c>
      <c r="B17052" t="s">
        <v>20554</v>
      </c>
      <c r="C17052" t="s">
        <v>2537</v>
      </c>
      <c r="D17052" s="254">
        <v>1.37</v>
      </c>
      <c r="E17052"/>
      <c r="F17052"/>
      <c r="G17052"/>
      <c r="H17052"/>
      <c r="I17052" s="489"/>
      <c r="J17052" s="1362"/>
      <c r="K17052" s="1362"/>
      <c r="L17052" s="1362"/>
    </row>
    <row r="17053" spans="1:12" x14ac:dyDescent="0.25">
      <c r="A17053">
        <v>39180</v>
      </c>
      <c r="B17053" t="s">
        <v>20555</v>
      </c>
      <c r="C17053" t="s">
        <v>2537</v>
      </c>
      <c r="D17053" s="254">
        <v>6.3</v>
      </c>
      <c r="E17053"/>
      <c r="F17053"/>
      <c r="G17053"/>
      <c r="H17053"/>
      <c r="I17053" s="489"/>
      <c r="J17053" s="1362"/>
      <c r="K17053" s="1362"/>
      <c r="L17053" s="1362"/>
    </row>
    <row r="17054" spans="1:12" x14ac:dyDescent="0.25">
      <c r="A17054">
        <v>39179</v>
      </c>
      <c r="B17054" t="s">
        <v>20556</v>
      </c>
      <c r="C17054" t="s">
        <v>2537</v>
      </c>
      <c r="D17054" s="254">
        <v>5.57</v>
      </c>
      <c r="E17054"/>
      <c r="F17054"/>
      <c r="G17054"/>
      <c r="H17054"/>
      <c r="I17054" s="489"/>
      <c r="J17054" s="1362"/>
      <c r="K17054" s="1362"/>
      <c r="L17054" s="1362"/>
    </row>
    <row r="17055" spans="1:12" x14ac:dyDescent="0.25">
      <c r="A17055">
        <v>39175</v>
      </c>
      <c r="B17055" t="s">
        <v>20557</v>
      </c>
      <c r="C17055" t="s">
        <v>2537</v>
      </c>
      <c r="D17055" s="254">
        <v>1.28</v>
      </c>
      <c r="E17055"/>
      <c r="F17055"/>
      <c r="G17055"/>
      <c r="H17055"/>
      <c r="I17055" s="489"/>
      <c r="J17055" s="1362"/>
      <c r="K17055" s="1362"/>
      <c r="L17055" s="1362"/>
    </row>
    <row r="17056" spans="1:12" x14ac:dyDescent="0.25">
      <c r="A17056">
        <v>39217</v>
      </c>
      <c r="B17056" t="s">
        <v>20558</v>
      </c>
      <c r="C17056" t="s">
        <v>2537</v>
      </c>
      <c r="D17056" s="254">
        <v>0.99</v>
      </c>
      <c r="E17056"/>
      <c r="F17056"/>
      <c r="G17056"/>
      <c r="H17056"/>
      <c r="I17056" s="489"/>
      <c r="J17056" s="1362"/>
      <c r="K17056" s="1362"/>
      <c r="L17056" s="1362"/>
    </row>
    <row r="17057" spans="1:12" x14ac:dyDescent="0.25">
      <c r="A17057">
        <v>39181</v>
      </c>
      <c r="B17057" t="s">
        <v>20559</v>
      </c>
      <c r="C17057" t="s">
        <v>2537</v>
      </c>
      <c r="D17057" s="254">
        <v>8.44</v>
      </c>
      <c r="E17057"/>
      <c r="F17057"/>
      <c r="G17057"/>
      <c r="H17057"/>
      <c r="I17057" s="489"/>
      <c r="J17057" s="1362"/>
      <c r="K17057" s="1362"/>
      <c r="L17057" s="1362"/>
    </row>
    <row r="17058" spans="1:12" x14ac:dyDescent="0.25">
      <c r="A17058">
        <v>39182</v>
      </c>
      <c r="B17058" t="s">
        <v>20560</v>
      </c>
      <c r="C17058" t="s">
        <v>2537</v>
      </c>
      <c r="D17058" s="254">
        <v>11.87</v>
      </c>
      <c r="E17058"/>
      <c r="F17058"/>
      <c r="G17058"/>
      <c r="H17058"/>
      <c r="I17058" s="489"/>
      <c r="J17058" s="1362"/>
      <c r="K17058" s="1362"/>
      <c r="L17058" s="1362"/>
    </row>
    <row r="17059" spans="1:12" x14ac:dyDescent="0.25">
      <c r="A17059">
        <v>12616</v>
      </c>
      <c r="B17059" t="s">
        <v>20561</v>
      </c>
      <c r="C17059" t="s">
        <v>2537</v>
      </c>
      <c r="D17059" s="254">
        <v>6.77</v>
      </c>
      <c r="E17059"/>
      <c r="F17059"/>
      <c r="G17059"/>
      <c r="H17059"/>
      <c r="I17059" s="489"/>
      <c r="J17059" s="1362"/>
      <c r="K17059" s="1362"/>
      <c r="L17059" s="1362"/>
    </row>
    <row r="17060" spans="1:12" x14ac:dyDescent="0.25">
      <c r="A17060">
        <v>1049</v>
      </c>
      <c r="B17060" t="s">
        <v>20562</v>
      </c>
      <c r="C17060" t="s">
        <v>2537</v>
      </c>
      <c r="D17060" s="254">
        <v>9.94</v>
      </c>
      <c r="E17060"/>
      <c r="F17060"/>
      <c r="G17060"/>
      <c r="H17060"/>
      <c r="I17060" s="489"/>
      <c r="J17060" s="1362"/>
      <c r="K17060" s="1362"/>
      <c r="L17060" s="1362"/>
    </row>
    <row r="17061" spans="1:12" x14ac:dyDescent="0.25">
      <c r="A17061">
        <v>1099</v>
      </c>
      <c r="B17061" t="s">
        <v>20563</v>
      </c>
      <c r="C17061" t="s">
        <v>2537</v>
      </c>
      <c r="D17061" s="254">
        <v>7.6</v>
      </c>
      <c r="E17061"/>
      <c r="F17061"/>
      <c r="G17061"/>
      <c r="H17061"/>
      <c r="I17061" s="489"/>
      <c r="J17061" s="1362"/>
      <c r="K17061" s="1362"/>
      <c r="L17061" s="1362"/>
    </row>
    <row r="17062" spans="1:12" x14ac:dyDescent="0.25">
      <c r="A17062">
        <v>39678</v>
      </c>
      <c r="B17062" t="s">
        <v>20564</v>
      </c>
      <c r="C17062" t="s">
        <v>2537</v>
      </c>
      <c r="D17062" s="254">
        <v>3.06</v>
      </c>
      <c r="E17062"/>
      <c r="F17062"/>
      <c r="G17062"/>
      <c r="H17062"/>
      <c r="I17062" s="489"/>
      <c r="J17062" s="1362"/>
      <c r="K17062" s="1362"/>
      <c r="L17062" s="1362"/>
    </row>
    <row r="17063" spans="1:12" x14ac:dyDescent="0.25">
      <c r="A17063">
        <v>1050</v>
      </c>
      <c r="B17063" t="s">
        <v>20565</v>
      </c>
      <c r="C17063" t="s">
        <v>2537</v>
      </c>
      <c r="D17063" s="254">
        <v>5.2</v>
      </c>
      <c r="E17063"/>
      <c r="F17063"/>
      <c r="G17063"/>
      <c r="H17063"/>
      <c r="I17063" s="489"/>
      <c r="J17063" s="1362"/>
      <c r="K17063" s="1362"/>
      <c r="L17063" s="1362"/>
    </row>
    <row r="17064" spans="1:12" x14ac:dyDescent="0.25">
      <c r="A17064">
        <v>1101</v>
      </c>
      <c r="B17064" t="s">
        <v>20566</v>
      </c>
      <c r="C17064" t="s">
        <v>2537</v>
      </c>
      <c r="D17064" s="254">
        <v>32.78</v>
      </c>
      <c r="E17064"/>
      <c r="F17064"/>
      <c r="G17064"/>
      <c r="H17064"/>
      <c r="I17064" s="489"/>
      <c r="J17064" s="1362"/>
      <c r="K17064" s="1362"/>
      <c r="L17064" s="1362"/>
    </row>
    <row r="17065" spans="1:12" x14ac:dyDescent="0.25">
      <c r="A17065">
        <v>1100</v>
      </c>
      <c r="B17065" t="s">
        <v>20567</v>
      </c>
      <c r="C17065" t="s">
        <v>2537</v>
      </c>
      <c r="D17065" s="254">
        <v>16.91</v>
      </c>
      <c r="E17065"/>
      <c r="F17065"/>
      <c r="G17065"/>
      <c r="H17065"/>
      <c r="I17065" s="489"/>
      <c r="J17065" s="1362"/>
      <c r="K17065" s="1362"/>
      <c r="L17065" s="1362"/>
    </row>
    <row r="17066" spans="1:12" x14ac:dyDescent="0.25">
      <c r="A17066">
        <v>39679</v>
      </c>
      <c r="B17066" t="s">
        <v>20568</v>
      </c>
      <c r="C17066" t="s">
        <v>2537</v>
      </c>
      <c r="D17066" s="254">
        <v>65.33</v>
      </c>
      <c r="E17066"/>
      <c r="F17066"/>
      <c r="G17066"/>
      <c r="H17066"/>
      <c r="I17066" s="489"/>
      <c r="J17066" s="1362"/>
      <c r="K17066" s="1362"/>
      <c r="L17066" s="1362"/>
    </row>
    <row r="17067" spans="1:12" x14ac:dyDescent="0.25">
      <c r="A17067">
        <v>1098</v>
      </c>
      <c r="B17067" t="s">
        <v>20569</v>
      </c>
      <c r="C17067" t="s">
        <v>2537</v>
      </c>
      <c r="D17067" s="254">
        <v>4.05</v>
      </c>
      <c r="E17067"/>
      <c r="F17067"/>
      <c r="G17067"/>
      <c r="H17067"/>
      <c r="I17067" s="489"/>
      <c r="J17067" s="1362"/>
      <c r="K17067" s="1362"/>
      <c r="L17067" s="1362"/>
    </row>
    <row r="17068" spans="1:12" x14ac:dyDescent="0.25">
      <c r="A17068">
        <v>1102</v>
      </c>
      <c r="B17068" t="s">
        <v>20570</v>
      </c>
      <c r="C17068" t="s">
        <v>2537</v>
      </c>
      <c r="D17068" s="254">
        <v>48.88</v>
      </c>
      <c r="E17068"/>
      <c r="F17068"/>
      <c r="G17068"/>
      <c r="H17068"/>
      <c r="I17068" s="489"/>
      <c r="J17068" s="1362"/>
      <c r="K17068" s="1362"/>
      <c r="L17068" s="1362"/>
    </row>
    <row r="17069" spans="1:12" x14ac:dyDescent="0.25">
      <c r="A17069">
        <v>1051</v>
      </c>
      <c r="B17069" t="s">
        <v>20571</v>
      </c>
      <c r="C17069" t="s">
        <v>2537</v>
      </c>
      <c r="D17069" s="254">
        <v>71.040000000000006</v>
      </c>
      <c r="E17069"/>
      <c r="F17069"/>
      <c r="G17069"/>
      <c r="H17069"/>
      <c r="I17069" s="489"/>
      <c r="J17069" s="1362"/>
      <c r="K17069" s="1362"/>
      <c r="L17069" s="1362"/>
    </row>
    <row r="17070" spans="1:12" x14ac:dyDescent="0.25">
      <c r="A17070">
        <v>37399</v>
      </c>
      <c r="B17070" t="s">
        <v>20572</v>
      </c>
      <c r="C17070" t="s">
        <v>2537</v>
      </c>
      <c r="D17070" s="254">
        <v>25.06</v>
      </c>
      <c r="E17070"/>
      <c r="F17070"/>
      <c r="G17070"/>
      <c r="H17070"/>
      <c r="I17070" s="489"/>
      <c r="J17070" s="1362"/>
      <c r="K17070" s="1362"/>
      <c r="L17070" s="1362"/>
    </row>
    <row r="17071" spans="1:12" x14ac:dyDescent="0.25">
      <c r="A17071">
        <v>41955</v>
      </c>
      <c r="B17071" t="s">
        <v>20573</v>
      </c>
      <c r="C17071" t="s">
        <v>2542</v>
      </c>
      <c r="D17071" s="254">
        <v>100.41</v>
      </c>
      <c r="E17071"/>
      <c r="F17071"/>
      <c r="G17071"/>
      <c r="H17071"/>
      <c r="I17071" s="489"/>
      <c r="J17071" s="1362"/>
      <c r="K17071" s="1362"/>
      <c r="L17071" s="1362"/>
    </row>
    <row r="17072" spans="1:12" x14ac:dyDescent="0.25">
      <c r="A17072">
        <v>41953</v>
      </c>
      <c r="B17072" t="s">
        <v>20574</v>
      </c>
      <c r="C17072" t="s">
        <v>2542</v>
      </c>
      <c r="D17072" s="254">
        <v>95.82</v>
      </c>
      <c r="E17072"/>
      <c r="F17072"/>
      <c r="G17072"/>
      <c r="H17072"/>
      <c r="I17072" s="489"/>
      <c r="J17072" s="1362"/>
      <c r="K17072" s="1362"/>
      <c r="L17072" s="1362"/>
    </row>
    <row r="17073" spans="1:12" x14ac:dyDescent="0.25">
      <c r="A17073">
        <v>41954</v>
      </c>
      <c r="B17073" t="s">
        <v>20575</v>
      </c>
      <c r="C17073" t="s">
        <v>2542</v>
      </c>
      <c r="D17073" s="254">
        <v>94.91</v>
      </c>
      <c r="E17073"/>
      <c r="F17073"/>
      <c r="G17073"/>
      <c r="H17073"/>
      <c r="I17073" s="489"/>
      <c r="J17073" s="1362"/>
      <c r="K17073" s="1362"/>
      <c r="L17073" s="1362"/>
    </row>
    <row r="17074" spans="1:12" x14ac:dyDescent="0.25">
      <c r="A17074">
        <v>25004</v>
      </c>
      <c r="B17074" t="s">
        <v>20576</v>
      </c>
      <c r="C17074" t="s">
        <v>2542</v>
      </c>
      <c r="D17074" s="254">
        <v>45.69</v>
      </c>
      <c r="E17074"/>
      <c r="F17074"/>
      <c r="G17074"/>
      <c r="H17074"/>
      <c r="I17074" s="489"/>
      <c r="J17074" s="1362"/>
      <c r="K17074" s="1362"/>
      <c r="L17074" s="1362"/>
    </row>
    <row r="17075" spans="1:12" x14ac:dyDescent="0.25">
      <c r="A17075">
        <v>25002</v>
      </c>
      <c r="B17075" t="s">
        <v>20577</v>
      </c>
      <c r="C17075" t="s">
        <v>2542</v>
      </c>
      <c r="D17075" s="254">
        <v>45.69</v>
      </c>
      <c r="E17075"/>
      <c r="F17075"/>
      <c r="G17075"/>
      <c r="H17075"/>
      <c r="I17075" s="489"/>
      <c r="J17075" s="1362"/>
      <c r="K17075" s="1362"/>
      <c r="L17075" s="1362"/>
    </row>
    <row r="17076" spans="1:12" x14ac:dyDescent="0.25">
      <c r="A17076">
        <v>37409</v>
      </c>
      <c r="B17076" t="s">
        <v>20578</v>
      </c>
      <c r="C17076" t="s">
        <v>2542</v>
      </c>
      <c r="D17076" s="254">
        <v>45.69</v>
      </c>
      <c r="E17076"/>
      <c r="F17076"/>
      <c r="G17076"/>
      <c r="H17076"/>
      <c r="I17076" s="489"/>
      <c r="J17076" s="1362"/>
      <c r="K17076" s="1362"/>
      <c r="L17076" s="1362"/>
    </row>
    <row r="17077" spans="1:12" x14ac:dyDescent="0.25">
      <c r="A17077">
        <v>841</v>
      </c>
      <c r="B17077" t="s">
        <v>20579</v>
      </c>
      <c r="C17077" t="s">
        <v>2542</v>
      </c>
      <c r="D17077" s="254">
        <v>46.25</v>
      </c>
      <c r="E17077"/>
      <c r="F17077"/>
      <c r="G17077"/>
      <c r="H17077"/>
      <c r="I17077" s="489"/>
      <c r="J17077" s="1362"/>
      <c r="K17077" s="1362"/>
      <c r="L17077" s="1362"/>
    </row>
    <row r="17078" spans="1:12" x14ac:dyDescent="0.25">
      <c r="A17078">
        <v>25005</v>
      </c>
      <c r="B17078" t="s">
        <v>20580</v>
      </c>
      <c r="C17078" t="s">
        <v>2542</v>
      </c>
      <c r="D17078" s="254">
        <v>50.14</v>
      </c>
      <c r="E17078"/>
      <c r="F17078"/>
      <c r="G17078"/>
      <c r="H17078"/>
      <c r="I17078" s="489"/>
      <c r="J17078" s="1362"/>
      <c r="K17078" s="1362"/>
      <c r="L17078" s="1362"/>
    </row>
    <row r="17079" spans="1:12" x14ac:dyDescent="0.25">
      <c r="A17079">
        <v>25003</v>
      </c>
      <c r="B17079" t="s">
        <v>20581</v>
      </c>
      <c r="C17079" t="s">
        <v>2542</v>
      </c>
      <c r="D17079" s="254">
        <v>50.89</v>
      </c>
      <c r="E17079"/>
      <c r="F17079"/>
      <c r="G17079"/>
      <c r="H17079"/>
      <c r="I17079" s="489"/>
      <c r="J17079" s="1362"/>
      <c r="K17079" s="1362"/>
      <c r="L17079" s="1362"/>
    </row>
    <row r="17080" spans="1:12" x14ac:dyDescent="0.25">
      <c r="A17080">
        <v>37410</v>
      </c>
      <c r="B17080" t="s">
        <v>20582</v>
      </c>
      <c r="C17080" t="s">
        <v>2542</v>
      </c>
      <c r="D17080" s="254">
        <v>50.14</v>
      </c>
      <c r="E17080"/>
      <c r="F17080"/>
      <c r="G17080"/>
      <c r="H17080"/>
      <c r="I17080" s="489"/>
      <c r="J17080" s="1362"/>
      <c r="K17080" s="1362"/>
      <c r="L17080" s="1362"/>
    </row>
    <row r="17081" spans="1:12" x14ac:dyDescent="0.25">
      <c r="A17081">
        <v>842</v>
      </c>
      <c r="B17081" t="s">
        <v>20583</v>
      </c>
      <c r="C17081" t="s">
        <v>2542</v>
      </c>
      <c r="D17081" s="254">
        <v>50.85</v>
      </c>
      <c r="E17081"/>
      <c r="F17081"/>
      <c r="G17081"/>
      <c r="H17081"/>
      <c r="I17081" s="489"/>
      <c r="J17081" s="1362"/>
      <c r="K17081" s="1362"/>
      <c r="L17081" s="1362"/>
    </row>
    <row r="17082" spans="1:12" x14ac:dyDescent="0.25">
      <c r="A17082">
        <v>44391</v>
      </c>
      <c r="B17082" t="s">
        <v>20584</v>
      </c>
      <c r="C17082" t="s">
        <v>2541</v>
      </c>
      <c r="D17082" s="254">
        <v>108.36</v>
      </c>
      <c r="E17082"/>
      <c r="F17082"/>
      <c r="G17082"/>
      <c r="H17082"/>
      <c r="I17082" s="489"/>
      <c r="J17082" s="1362"/>
      <c r="K17082" s="1362"/>
      <c r="L17082" s="1362"/>
    </row>
    <row r="17083" spans="1:12" x14ac:dyDescent="0.25">
      <c r="A17083">
        <v>44388</v>
      </c>
      <c r="B17083" t="s">
        <v>20585</v>
      </c>
      <c r="C17083" t="s">
        <v>2541</v>
      </c>
      <c r="D17083" s="254">
        <v>2.34</v>
      </c>
      <c r="E17083"/>
      <c r="F17083"/>
      <c r="G17083"/>
      <c r="H17083"/>
      <c r="I17083" s="489"/>
      <c r="J17083" s="1362"/>
      <c r="K17083" s="1362"/>
      <c r="L17083" s="1362"/>
    </row>
    <row r="17084" spans="1:12" x14ac:dyDescent="0.25">
      <c r="A17084">
        <v>44392</v>
      </c>
      <c r="B17084" t="s">
        <v>20586</v>
      </c>
      <c r="C17084" t="s">
        <v>2541</v>
      </c>
      <c r="D17084" s="254">
        <v>215.75</v>
      </c>
      <c r="E17084"/>
      <c r="F17084"/>
      <c r="G17084"/>
      <c r="H17084"/>
      <c r="I17084" s="489"/>
      <c r="J17084" s="1362"/>
      <c r="K17084" s="1362"/>
      <c r="L17084" s="1362"/>
    </row>
    <row r="17085" spans="1:12" x14ac:dyDescent="0.25">
      <c r="A17085">
        <v>44390</v>
      </c>
      <c r="B17085" t="s">
        <v>20587</v>
      </c>
      <c r="C17085" t="s">
        <v>2541</v>
      </c>
      <c r="D17085" s="254">
        <v>45.71</v>
      </c>
      <c r="E17085"/>
      <c r="F17085"/>
      <c r="G17085"/>
      <c r="H17085"/>
      <c r="I17085" s="489"/>
      <c r="J17085" s="1362"/>
      <c r="K17085" s="1362"/>
      <c r="L17085" s="1362"/>
    </row>
    <row r="17086" spans="1:12" x14ac:dyDescent="0.25">
      <c r="A17086">
        <v>44389</v>
      </c>
      <c r="B17086" t="s">
        <v>20588</v>
      </c>
      <c r="C17086" t="s">
        <v>2541</v>
      </c>
      <c r="D17086" s="254">
        <v>5.4</v>
      </c>
      <c r="E17086"/>
      <c r="F17086"/>
      <c r="G17086"/>
      <c r="H17086"/>
      <c r="I17086" s="489"/>
      <c r="J17086" s="1362"/>
      <c r="K17086" s="1362"/>
      <c r="L17086" s="1362"/>
    </row>
    <row r="17087" spans="1:12" x14ac:dyDescent="0.25">
      <c r="A17087">
        <v>862</v>
      </c>
      <c r="B17087" t="s">
        <v>20589</v>
      </c>
      <c r="C17087" t="s">
        <v>2541</v>
      </c>
      <c r="D17087" s="254">
        <v>9.89</v>
      </c>
      <c r="E17087"/>
      <c r="F17087"/>
      <c r="G17087"/>
      <c r="H17087"/>
      <c r="I17087" s="489"/>
      <c r="J17087" s="1362"/>
      <c r="K17087" s="1362"/>
      <c r="L17087" s="1362"/>
    </row>
    <row r="17088" spans="1:12" x14ac:dyDescent="0.25">
      <c r="A17088">
        <v>866</v>
      </c>
      <c r="B17088" t="s">
        <v>20590</v>
      </c>
      <c r="C17088" t="s">
        <v>2541</v>
      </c>
      <c r="D17088" s="254">
        <v>125.63</v>
      </c>
      <c r="E17088"/>
      <c r="F17088"/>
      <c r="G17088"/>
      <c r="H17088"/>
      <c r="I17088" s="489"/>
      <c r="J17088" s="1362"/>
      <c r="K17088" s="1362"/>
      <c r="L17088" s="1362"/>
    </row>
    <row r="17089" spans="1:12" x14ac:dyDescent="0.25">
      <c r="A17089">
        <v>892</v>
      </c>
      <c r="B17089" t="s">
        <v>20591</v>
      </c>
      <c r="C17089" t="s">
        <v>2541</v>
      </c>
      <c r="D17089" s="254">
        <v>152.08000000000001</v>
      </c>
      <c r="E17089"/>
      <c r="F17089"/>
      <c r="G17089"/>
      <c r="H17089"/>
      <c r="I17089" s="489"/>
      <c r="J17089" s="1362"/>
      <c r="K17089" s="1362"/>
      <c r="L17089" s="1362"/>
    </row>
    <row r="17090" spans="1:12" x14ac:dyDescent="0.25">
      <c r="A17090">
        <v>857</v>
      </c>
      <c r="B17090" t="s">
        <v>20592</v>
      </c>
      <c r="C17090" t="s">
        <v>2541</v>
      </c>
      <c r="D17090" s="254">
        <v>16.54</v>
      </c>
      <c r="E17090"/>
      <c r="F17090"/>
      <c r="G17090"/>
      <c r="H17090"/>
      <c r="I17090" s="489"/>
      <c r="J17090" s="1362"/>
      <c r="K17090" s="1362"/>
      <c r="L17090" s="1362"/>
    </row>
    <row r="17091" spans="1:12" x14ac:dyDescent="0.25">
      <c r="A17091">
        <v>37404</v>
      </c>
      <c r="B17091" t="s">
        <v>20593</v>
      </c>
      <c r="C17091" t="s">
        <v>2541</v>
      </c>
      <c r="D17091" s="254">
        <v>175.95</v>
      </c>
      <c r="E17091"/>
      <c r="F17091"/>
      <c r="G17091"/>
      <c r="H17091"/>
      <c r="I17091" s="489"/>
      <c r="J17091" s="1362"/>
      <c r="K17091" s="1362"/>
      <c r="L17091" s="1362"/>
    </row>
    <row r="17092" spans="1:12" x14ac:dyDescent="0.25">
      <c r="A17092">
        <v>868</v>
      </c>
      <c r="B17092" t="s">
        <v>20594</v>
      </c>
      <c r="C17092" t="s">
        <v>2541</v>
      </c>
      <c r="D17092" s="254">
        <v>23.57</v>
      </c>
      <c r="E17092"/>
      <c r="F17092"/>
      <c r="G17092"/>
      <c r="H17092"/>
      <c r="I17092" s="489"/>
      <c r="J17092" s="1362"/>
      <c r="K17092" s="1362"/>
      <c r="L17092" s="1362"/>
    </row>
    <row r="17093" spans="1:12" x14ac:dyDescent="0.25">
      <c r="A17093">
        <v>863</v>
      </c>
      <c r="B17093" t="s">
        <v>20595</v>
      </c>
      <c r="C17093" t="s">
        <v>2541</v>
      </c>
      <c r="D17093" s="254">
        <v>34.71</v>
      </c>
      <c r="E17093"/>
      <c r="F17093"/>
      <c r="G17093"/>
      <c r="H17093"/>
      <c r="I17093" s="489"/>
      <c r="J17093" s="1362"/>
      <c r="K17093" s="1362"/>
      <c r="L17093" s="1362"/>
    </row>
    <row r="17094" spans="1:12" x14ac:dyDescent="0.25">
      <c r="A17094">
        <v>867</v>
      </c>
      <c r="B17094" t="s">
        <v>20596</v>
      </c>
      <c r="C17094" t="s">
        <v>2541</v>
      </c>
      <c r="D17094" s="254">
        <v>49.45</v>
      </c>
      <c r="E17094"/>
      <c r="F17094"/>
      <c r="G17094"/>
      <c r="H17094"/>
      <c r="I17094" s="489"/>
      <c r="J17094" s="1362"/>
      <c r="K17094" s="1362"/>
      <c r="L17094" s="1362"/>
    </row>
    <row r="17095" spans="1:12" x14ac:dyDescent="0.25">
      <c r="A17095">
        <v>864</v>
      </c>
      <c r="B17095" t="s">
        <v>20597</v>
      </c>
      <c r="C17095" t="s">
        <v>2541</v>
      </c>
      <c r="D17095" s="254">
        <v>65.319999999999993</v>
      </c>
      <c r="E17095"/>
      <c r="F17095"/>
      <c r="G17095"/>
      <c r="H17095"/>
      <c r="I17095" s="489"/>
      <c r="J17095" s="1362"/>
      <c r="K17095" s="1362"/>
      <c r="L17095" s="1362"/>
    </row>
    <row r="17096" spans="1:12" x14ac:dyDescent="0.25">
      <c r="A17096">
        <v>865</v>
      </c>
      <c r="B17096" t="s">
        <v>20598</v>
      </c>
      <c r="C17096" t="s">
        <v>2541</v>
      </c>
      <c r="D17096" s="254">
        <v>93.96</v>
      </c>
      <c r="E17096"/>
      <c r="F17096"/>
      <c r="G17096"/>
      <c r="H17096"/>
      <c r="I17096" s="489"/>
      <c r="J17096" s="1362"/>
      <c r="K17096" s="1362"/>
      <c r="L17096" s="1362"/>
    </row>
    <row r="17097" spans="1:12" x14ac:dyDescent="0.25">
      <c r="A17097">
        <v>993</v>
      </c>
      <c r="B17097" t="s">
        <v>20599</v>
      </c>
      <c r="C17097" t="s">
        <v>2541</v>
      </c>
      <c r="D17097" s="254">
        <v>1.78</v>
      </c>
      <c r="E17097"/>
      <c r="F17097"/>
      <c r="G17097"/>
      <c r="H17097"/>
      <c r="I17097" s="489"/>
      <c r="J17097" s="1362"/>
      <c r="K17097" s="1362"/>
      <c r="L17097" s="1362"/>
    </row>
    <row r="17098" spans="1:12" x14ac:dyDescent="0.25">
      <c r="A17098">
        <v>1020</v>
      </c>
      <c r="B17098" t="s">
        <v>20600</v>
      </c>
      <c r="C17098" t="s">
        <v>2541</v>
      </c>
      <c r="D17098" s="254">
        <v>9.11</v>
      </c>
      <c r="E17098"/>
      <c r="F17098"/>
      <c r="G17098"/>
      <c r="H17098"/>
      <c r="I17098" s="489"/>
      <c r="J17098" s="1362"/>
      <c r="K17098" s="1362"/>
      <c r="L17098" s="1362"/>
    </row>
    <row r="17099" spans="1:12" x14ac:dyDescent="0.25">
      <c r="A17099">
        <v>1017</v>
      </c>
      <c r="B17099" t="s">
        <v>20601</v>
      </c>
      <c r="C17099" t="s">
        <v>2541</v>
      </c>
      <c r="D17099" s="254">
        <v>111.72</v>
      </c>
      <c r="E17099"/>
      <c r="F17099"/>
      <c r="G17099"/>
      <c r="H17099"/>
      <c r="I17099" s="489"/>
      <c r="J17099" s="1362"/>
      <c r="K17099" s="1362"/>
      <c r="L17099" s="1362"/>
    </row>
    <row r="17100" spans="1:12" x14ac:dyDescent="0.25">
      <c r="A17100">
        <v>999</v>
      </c>
      <c r="B17100" t="s">
        <v>20602</v>
      </c>
      <c r="C17100" t="s">
        <v>2541</v>
      </c>
      <c r="D17100" s="254">
        <v>135.35</v>
      </c>
      <c r="E17100"/>
      <c r="F17100"/>
      <c r="G17100"/>
      <c r="H17100"/>
      <c r="I17100" s="489"/>
      <c r="J17100" s="1362"/>
      <c r="K17100" s="1362"/>
      <c r="L17100" s="1362"/>
    </row>
    <row r="17101" spans="1:12" x14ac:dyDescent="0.25">
      <c r="A17101">
        <v>995</v>
      </c>
      <c r="B17101" t="s">
        <v>20603</v>
      </c>
      <c r="C17101" t="s">
        <v>2541</v>
      </c>
      <c r="D17101" s="254">
        <v>14.51</v>
      </c>
      <c r="E17101"/>
      <c r="F17101"/>
      <c r="G17101"/>
      <c r="H17101"/>
      <c r="I17101" s="489"/>
      <c r="J17101" s="1362"/>
      <c r="K17101" s="1362"/>
      <c r="L17101" s="1362"/>
    </row>
    <row r="17102" spans="1:12" x14ac:dyDescent="0.25">
      <c r="A17102">
        <v>1000</v>
      </c>
      <c r="B17102" t="s">
        <v>20604</v>
      </c>
      <c r="C17102" t="s">
        <v>2541</v>
      </c>
      <c r="D17102" s="254">
        <v>166.25</v>
      </c>
      <c r="E17102"/>
      <c r="F17102"/>
      <c r="G17102"/>
      <c r="H17102"/>
      <c r="I17102" s="489"/>
      <c r="J17102" s="1362"/>
      <c r="K17102" s="1362"/>
      <c r="L17102" s="1362"/>
    </row>
    <row r="17103" spans="1:12" x14ac:dyDescent="0.25">
      <c r="A17103">
        <v>1022</v>
      </c>
      <c r="B17103" t="s">
        <v>20605</v>
      </c>
      <c r="C17103" t="s">
        <v>2541</v>
      </c>
      <c r="D17103" s="254">
        <v>2.4900000000000002</v>
      </c>
      <c r="E17103"/>
      <c r="F17103"/>
      <c r="G17103"/>
      <c r="H17103"/>
      <c r="I17103" s="489"/>
      <c r="J17103" s="1362"/>
      <c r="K17103" s="1362"/>
      <c r="L17103" s="1362"/>
    </row>
    <row r="17104" spans="1:12" x14ac:dyDescent="0.25">
      <c r="A17104">
        <v>1015</v>
      </c>
      <c r="B17104" t="s">
        <v>20606</v>
      </c>
      <c r="C17104" t="s">
        <v>2541</v>
      </c>
      <c r="D17104" s="254">
        <v>220.93</v>
      </c>
      <c r="E17104"/>
      <c r="F17104"/>
      <c r="G17104"/>
      <c r="H17104"/>
      <c r="I17104" s="489"/>
      <c r="J17104" s="1362"/>
      <c r="K17104" s="1362"/>
      <c r="L17104" s="1362"/>
    </row>
    <row r="17105" spans="1:12" x14ac:dyDescent="0.25">
      <c r="A17105">
        <v>996</v>
      </c>
      <c r="B17105" t="s">
        <v>20607</v>
      </c>
      <c r="C17105" t="s">
        <v>2541</v>
      </c>
      <c r="D17105" s="254">
        <v>22.51</v>
      </c>
      <c r="E17105"/>
      <c r="F17105"/>
      <c r="G17105"/>
      <c r="H17105"/>
      <c r="I17105" s="489"/>
      <c r="J17105" s="1362"/>
      <c r="K17105" s="1362"/>
      <c r="L17105" s="1362"/>
    </row>
    <row r="17106" spans="1:12" x14ac:dyDescent="0.25">
      <c r="A17106">
        <v>1001</v>
      </c>
      <c r="B17106" t="s">
        <v>20608</v>
      </c>
      <c r="C17106" t="s">
        <v>2541</v>
      </c>
      <c r="D17106" s="254">
        <v>286.64</v>
      </c>
      <c r="E17106"/>
      <c r="F17106"/>
      <c r="G17106"/>
      <c r="H17106"/>
      <c r="I17106" s="489"/>
      <c r="J17106" s="1362"/>
      <c r="K17106" s="1362"/>
      <c r="L17106" s="1362"/>
    </row>
    <row r="17107" spans="1:12" x14ac:dyDescent="0.25">
      <c r="A17107">
        <v>1019</v>
      </c>
      <c r="B17107" t="s">
        <v>20609</v>
      </c>
      <c r="C17107" t="s">
        <v>2541</v>
      </c>
      <c r="D17107" s="254">
        <v>31.81</v>
      </c>
      <c r="E17107"/>
      <c r="F17107"/>
      <c r="G17107"/>
      <c r="H17107"/>
      <c r="I17107" s="489"/>
      <c r="J17107" s="1362"/>
      <c r="K17107" s="1362"/>
      <c r="L17107" s="1362"/>
    </row>
    <row r="17108" spans="1:12" x14ac:dyDescent="0.25">
      <c r="A17108">
        <v>1021</v>
      </c>
      <c r="B17108" t="s">
        <v>20610</v>
      </c>
      <c r="C17108" t="s">
        <v>2541</v>
      </c>
      <c r="D17108" s="254">
        <v>3.82</v>
      </c>
      <c r="E17108"/>
      <c r="F17108"/>
      <c r="G17108"/>
      <c r="H17108"/>
      <c r="I17108" s="489"/>
      <c r="J17108" s="1362"/>
      <c r="K17108" s="1362"/>
      <c r="L17108" s="1362"/>
    </row>
    <row r="17109" spans="1:12" x14ac:dyDescent="0.25">
      <c r="A17109">
        <v>39249</v>
      </c>
      <c r="B17109" t="s">
        <v>20611</v>
      </c>
      <c r="C17109" t="s">
        <v>2541</v>
      </c>
      <c r="D17109" s="254">
        <v>385.41</v>
      </c>
      <c r="E17109"/>
      <c r="F17109"/>
      <c r="G17109"/>
      <c r="H17109"/>
      <c r="I17109" s="489"/>
      <c r="J17109" s="1362"/>
      <c r="K17109" s="1362"/>
      <c r="L17109" s="1362"/>
    </row>
    <row r="17110" spans="1:12" x14ac:dyDescent="0.25">
      <c r="A17110">
        <v>1018</v>
      </c>
      <c r="B17110" t="s">
        <v>20612</v>
      </c>
      <c r="C17110" t="s">
        <v>2541</v>
      </c>
      <c r="D17110" s="254">
        <v>47.03</v>
      </c>
      <c r="E17110"/>
      <c r="F17110"/>
      <c r="G17110"/>
      <c r="H17110"/>
      <c r="I17110" s="489"/>
      <c r="J17110" s="1362"/>
      <c r="K17110" s="1362"/>
      <c r="L17110" s="1362"/>
    </row>
    <row r="17111" spans="1:12" x14ac:dyDescent="0.25">
      <c r="A17111">
        <v>39250</v>
      </c>
      <c r="B17111" t="s">
        <v>20613</v>
      </c>
      <c r="C17111" t="s">
        <v>2541</v>
      </c>
      <c r="D17111" s="254">
        <v>461.04</v>
      </c>
      <c r="E17111"/>
      <c r="F17111"/>
      <c r="G17111"/>
      <c r="H17111"/>
      <c r="I17111" s="489"/>
      <c r="J17111" s="1362"/>
      <c r="K17111" s="1362"/>
      <c r="L17111" s="1362"/>
    </row>
    <row r="17112" spans="1:12" x14ac:dyDescent="0.25">
      <c r="A17112">
        <v>994</v>
      </c>
      <c r="B17112" t="s">
        <v>20614</v>
      </c>
      <c r="C17112" t="s">
        <v>2541</v>
      </c>
      <c r="D17112" s="254">
        <v>5.56</v>
      </c>
      <c r="E17112"/>
      <c r="F17112"/>
      <c r="G17112"/>
      <c r="H17112"/>
      <c r="I17112" s="489"/>
      <c r="J17112" s="1362"/>
      <c r="K17112" s="1362"/>
      <c r="L17112" s="1362"/>
    </row>
    <row r="17113" spans="1:12" x14ac:dyDescent="0.25">
      <c r="A17113">
        <v>977</v>
      </c>
      <c r="B17113" t="s">
        <v>20615</v>
      </c>
      <c r="C17113" t="s">
        <v>2541</v>
      </c>
      <c r="D17113" s="254">
        <v>65.8</v>
      </c>
      <c r="E17113"/>
      <c r="F17113"/>
      <c r="G17113"/>
      <c r="H17113"/>
      <c r="I17113" s="489"/>
      <c r="J17113" s="1362"/>
      <c r="K17113" s="1362"/>
      <c r="L17113" s="1362"/>
    </row>
    <row r="17114" spans="1:12" x14ac:dyDescent="0.25">
      <c r="A17114">
        <v>998</v>
      </c>
      <c r="B17114" t="s">
        <v>20616</v>
      </c>
      <c r="C17114" t="s">
        <v>2541</v>
      </c>
      <c r="D17114" s="254">
        <v>85.43</v>
      </c>
      <c r="E17114"/>
      <c r="F17114"/>
      <c r="G17114"/>
      <c r="H17114"/>
      <c r="I17114" s="489"/>
      <c r="J17114" s="1362"/>
      <c r="K17114" s="1362"/>
      <c r="L17114" s="1362"/>
    </row>
    <row r="17115" spans="1:12" x14ac:dyDescent="0.25">
      <c r="A17115">
        <v>39251</v>
      </c>
      <c r="B17115" t="s">
        <v>20617</v>
      </c>
      <c r="C17115" t="s">
        <v>2541</v>
      </c>
      <c r="D17115" s="254">
        <v>0.62</v>
      </c>
      <c r="E17115"/>
      <c r="F17115"/>
      <c r="G17115"/>
      <c r="H17115"/>
      <c r="I17115" s="489"/>
      <c r="J17115" s="1362"/>
      <c r="K17115" s="1362"/>
      <c r="L17115" s="1362"/>
    </row>
    <row r="17116" spans="1:12" x14ac:dyDescent="0.25">
      <c r="A17116">
        <v>1011</v>
      </c>
      <c r="B17116" t="s">
        <v>20618</v>
      </c>
      <c r="C17116" t="s">
        <v>2541</v>
      </c>
      <c r="D17116" s="254">
        <v>0.84</v>
      </c>
      <c r="E17116"/>
      <c r="F17116"/>
      <c r="G17116"/>
      <c r="H17116"/>
      <c r="I17116" s="489"/>
      <c r="J17116" s="1362"/>
      <c r="K17116" s="1362"/>
      <c r="L17116" s="1362"/>
    </row>
    <row r="17117" spans="1:12" x14ac:dyDescent="0.25">
      <c r="A17117">
        <v>39252</v>
      </c>
      <c r="B17117" t="s">
        <v>20619</v>
      </c>
      <c r="C17117" t="s">
        <v>2541</v>
      </c>
      <c r="D17117" s="254">
        <v>1.1000000000000001</v>
      </c>
      <c r="E17117"/>
      <c r="F17117"/>
      <c r="G17117"/>
      <c r="H17117"/>
      <c r="I17117" s="489"/>
      <c r="J17117" s="1362"/>
      <c r="K17117" s="1362"/>
      <c r="L17117" s="1362"/>
    </row>
    <row r="17118" spans="1:12" x14ac:dyDescent="0.25">
      <c r="A17118">
        <v>1013</v>
      </c>
      <c r="B17118" t="s">
        <v>20620</v>
      </c>
      <c r="C17118" t="s">
        <v>2541</v>
      </c>
      <c r="D17118" s="254">
        <v>1.32</v>
      </c>
      <c r="E17118"/>
      <c r="F17118"/>
      <c r="G17118"/>
      <c r="H17118"/>
      <c r="I17118" s="489"/>
      <c r="J17118" s="1362"/>
      <c r="K17118" s="1362"/>
      <c r="L17118" s="1362"/>
    </row>
    <row r="17119" spans="1:12" x14ac:dyDescent="0.25">
      <c r="A17119">
        <v>980</v>
      </c>
      <c r="B17119" t="s">
        <v>20621</v>
      </c>
      <c r="C17119" t="s">
        <v>2541</v>
      </c>
      <c r="D17119" s="254">
        <v>9.56</v>
      </c>
      <c r="E17119"/>
      <c r="F17119"/>
      <c r="G17119"/>
      <c r="H17119"/>
      <c r="I17119" s="489"/>
      <c r="J17119" s="1362"/>
      <c r="K17119" s="1362"/>
      <c r="L17119" s="1362"/>
    </row>
    <row r="17120" spans="1:12" x14ac:dyDescent="0.25">
      <c r="A17120">
        <v>39237</v>
      </c>
      <c r="B17120" t="s">
        <v>20622</v>
      </c>
      <c r="C17120" t="s">
        <v>2541</v>
      </c>
      <c r="D17120" s="254">
        <v>101.71</v>
      </c>
      <c r="E17120"/>
      <c r="F17120"/>
      <c r="G17120"/>
      <c r="H17120"/>
      <c r="I17120" s="489"/>
      <c r="J17120" s="1362"/>
      <c r="K17120" s="1362"/>
      <c r="L17120" s="1362"/>
    </row>
    <row r="17121" spans="1:12" x14ac:dyDescent="0.25">
      <c r="A17121">
        <v>39238</v>
      </c>
      <c r="B17121" t="s">
        <v>20623</v>
      </c>
      <c r="C17121" t="s">
        <v>2541</v>
      </c>
      <c r="D17121" s="254">
        <v>128.27000000000001</v>
      </c>
      <c r="E17121"/>
      <c r="F17121"/>
      <c r="G17121"/>
      <c r="H17121"/>
      <c r="I17121" s="489"/>
      <c r="J17121" s="1362"/>
      <c r="K17121" s="1362"/>
      <c r="L17121" s="1362"/>
    </row>
    <row r="17122" spans="1:12" x14ac:dyDescent="0.25">
      <c r="A17122">
        <v>979</v>
      </c>
      <c r="B17122" t="s">
        <v>20624</v>
      </c>
      <c r="C17122" t="s">
        <v>2541</v>
      </c>
      <c r="D17122" s="254">
        <v>13.66</v>
      </c>
      <c r="E17122"/>
      <c r="F17122"/>
      <c r="G17122"/>
      <c r="H17122"/>
      <c r="I17122" s="489"/>
      <c r="J17122" s="1362"/>
      <c r="K17122" s="1362"/>
      <c r="L17122" s="1362"/>
    </row>
    <row r="17123" spans="1:12" x14ac:dyDescent="0.25">
      <c r="A17123">
        <v>39239</v>
      </c>
      <c r="B17123" t="s">
        <v>20625</v>
      </c>
      <c r="C17123" t="s">
        <v>2541</v>
      </c>
      <c r="D17123" s="254">
        <v>154.97</v>
      </c>
      <c r="E17123"/>
      <c r="F17123"/>
      <c r="G17123"/>
      <c r="H17123"/>
      <c r="I17123" s="489"/>
      <c r="J17123" s="1362"/>
      <c r="K17123" s="1362"/>
      <c r="L17123" s="1362"/>
    </row>
    <row r="17124" spans="1:12" x14ac:dyDescent="0.25">
      <c r="A17124">
        <v>1014</v>
      </c>
      <c r="B17124" t="s">
        <v>20626</v>
      </c>
      <c r="C17124" t="s">
        <v>2541</v>
      </c>
      <c r="D17124" s="254">
        <v>2.1</v>
      </c>
      <c r="E17124"/>
      <c r="F17124"/>
      <c r="G17124"/>
      <c r="H17124"/>
      <c r="I17124" s="489"/>
      <c r="J17124" s="1362"/>
      <c r="K17124" s="1362"/>
      <c r="L17124" s="1362"/>
    </row>
    <row r="17125" spans="1:12" x14ac:dyDescent="0.25">
      <c r="A17125">
        <v>39240</v>
      </c>
      <c r="B17125" t="s">
        <v>20627</v>
      </c>
      <c r="C17125" t="s">
        <v>2541</v>
      </c>
      <c r="D17125" s="254">
        <v>203.82</v>
      </c>
      <c r="E17125"/>
      <c r="F17125"/>
      <c r="G17125"/>
      <c r="H17125"/>
      <c r="I17125" s="489"/>
      <c r="J17125" s="1362"/>
      <c r="K17125" s="1362"/>
      <c r="L17125" s="1362"/>
    </row>
    <row r="17126" spans="1:12" x14ac:dyDescent="0.25">
      <c r="A17126">
        <v>39232</v>
      </c>
      <c r="B17126" t="s">
        <v>20628</v>
      </c>
      <c r="C17126" t="s">
        <v>2541</v>
      </c>
      <c r="D17126" s="254">
        <v>21.39</v>
      </c>
      <c r="E17126"/>
      <c r="F17126"/>
      <c r="G17126"/>
      <c r="H17126"/>
      <c r="I17126" s="489"/>
      <c r="J17126" s="1362"/>
      <c r="K17126" s="1362"/>
      <c r="L17126" s="1362"/>
    </row>
    <row r="17127" spans="1:12" x14ac:dyDescent="0.25">
      <c r="A17127">
        <v>39233</v>
      </c>
      <c r="B17127" t="s">
        <v>20629</v>
      </c>
      <c r="C17127" t="s">
        <v>2541</v>
      </c>
      <c r="D17127" s="254">
        <v>31.18</v>
      </c>
      <c r="E17127"/>
      <c r="F17127"/>
      <c r="G17127"/>
      <c r="H17127"/>
      <c r="I17127" s="489"/>
      <c r="J17127" s="1362"/>
      <c r="K17127" s="1362"/>
      <c r="L17127" s="1362"/>
    </row>
    <row r="17128" spans="1:12" x14ac:dyDescent="0.25">
      <c r="A17128">
        <v>981</v>
      </c>
      <c r="B17128" t="s">
        <v>20630</v>
      </c>
      <c r="C17128" t="s">
        <v>2541</v>
      </c>
      <c r="D17128" s="254">
        <v>3.48</v>
      </c>
      <c r="E17128"/>
      <c r="F17128"/>
      <c r="G17128"/>
      <c r="H17128"/>
      <c r="I17128" s="489"/>
      <c r="J17128" s="1362"/>
      <c r="K17128" s="1362"/>
      <c r="L17128" s="1362"/>
    </row>
    <row r="17129" spans="1:12" x14ac:dyDescent="0.25">
      <c r="A17129">
        <v>39234</v>
      </c>
      <c r="B17129" t="s">
        <v>20631</v>
      </c>
      <c r="C17129" t="s">
        <v>2541</v>
      </c>
      <c r="D17129" s="254">
        <v>43.4</v>
      </c>
      <c r="E17129"/>
      <c r="F17129"/>
      <c r="G17129"/>
      <c r="H17129"/>
      <c r="I17129" s="489"/>
      <c r="J17129" s="1362"/>
      <c r="K17129" s="1362"/>
      <c r="L17129" s="1362"/>
    </row>
    <row r="17130" spans="1:12" x14ac:dyDescent="0.25">
      <c r="A17130">
        <v>982</v>
      </c>
      <c r="B17130" t="s">
        <v>20632</v>
      </c>
      <c r="C17130" t="s">
        <v>2541</v>
      </c>
      <c r="D17130" s="254">
        <v>5</v>
      </c>
      <c r="E17130"/>
      <c r="F17130"/>
      <c r="G17130"/>
      <c r="H17130"/>
      <c r="I17130" s="489"/>
      <c r="J17130" s="1362"/>
      <c r="K17130" s="1362"/>
      <c r="L17130" s="1362"/>
    </row>
    <row r="17131" spans="1:12" x14ac:dyDescent="0.25">
      <c r="A17131">
        <v>39235</v>
      </c>
      <c r="B17131" t="s">
        <v>20633</v>
      </c>
      <c r="C17131" t="s">
        <v>2541</v>
      </c>
      <c r="D17131" s="254">
        <v>64.010000000000005</v>
      </c>
      <c r="E17131"/>
      <c r="F17131"/>
      <c r="G17131"/>
      <c r="H17131"/>
      <c r="I17131" s="489"/>
      <c r="J17131" s="1362"/>
      <c r="K17131" s="1362"/>
      <c r="L17131" s="1362"/>
    </row>
    <row r="17132" spans="1:12" x14ac:dyDescent="0.25">
      <c r="A17132">
        <v>39236</v>
      </c>
      <c r="B17132" t="s">
        <v>20634</v>
      </c>
      <c r="C17132" t="s">
        <v>2541</v>
      </c>
      <c r="D17132" s="254">
        <v>84.83</v>
      </c>
      <c r="E17132"/>
      <c r="F17132"/>
      <c r="G17132"/>
      <c r="H17132"/>
      <c r="I17132" s="489"/>
      <c r="J17132" s="1362"/>
      <c r="K17132" s="1362"/>
      <c r="L17132" s="1362"/>
    </row>
    <row r="17133" spans="1:12" x14ac:dyDescent="0.25">
      <c r="A17133">
        <v>990</v>
      </c>
      <c r="B17133" t="s">
        <v>20635</v>
      </c>
      <c r="C17133" t="s">
        <v>2541</v>
      </c>
      <c r="D17133" s="254">
        <v>150.52000000000001</v>
      </c>
      <c r="E17133"/>
      <c r="F17133"/>
      <c r="G17133"/>
      <c r="H17133"/>
      <c r="I17133" s="489"/>
      <c r="J17133" s="1362"/>
      <c r="K17133" s="1362"/>
      <c r="L17133" s="1362"/>
    </row>
    <row r="17134" spans="1:12" x14ac:dyDescent="0.25">
      <c r="A17134">
        <v>39241</v>
      </c>
      <c r="B17134" t="s">
        <v>20636</v>
      </c>
      <c r="C17134" t="s">
        <v>2541</v>
      </c>
      <c r="D17134" s="254">
        <v>14.82</v>
      </c>
      <c r="E17134"/>
      <c r="F17134"/>
      <c r="G17134"/>
      <c r="H17134"/>
      <c r="I17134" s="489"/>
      <c r="J17134" s="1362"/>
      <c r="K17134" s="1362"/>
      <c r="L17134" s="1362"/>
    </row>
    <row r="17135" spans="1:12" x14ac:dyDescent="0.25">
      <c r="A17135">
        <v>1005</v>
      </c>
      <c r="B17135" t="s">
        <v>20637</v>
      </c>
      <c r="C17135" t="s">
        <v>2541</v>
      </c>
      <c r="D17135" s="254">
        <v>187.41</v>
      </c>
      <c r="E17135"/>
      <c r="F17135"/>
      <c r="G17135"/>
      <c r="H17135"/>
      <c r="I17135" s="489"/>
      <c r="J17135" s="1362"/>
      <c r="K17135" s="1362"/>
      <c r="L17135" s="1362"/>
    </row>
    <row r="17136" spans="1:12" x14ac:dyDescent="0.25">
      <c r="A17136">
        <v>991</v>
      </c>
      <c r="B17136" t="s">
        <v>20638</v>
      </c>
      <c r="C17136" t="s">
        <v>2541</v>
      </c>
      <c r="D17136" s="254">
        <v>245.47</v>
      </c>
      <c r="E17136"/>
      <c r="F17136"/>
      <c r="G17136"/>
      <c r="H17136"/>
      <c r="I17136" s="489"/>
      <c r="J17136" s="1362"/>
      <c r="K17136" s="1362"/>
      <c r="L17136" s="1362"/>
    </row>
    <row r="17137" spans="1:12" x14ac:dyDescent="0.25">
      <c r="A17137">
        <v>986</v>
      </c>
      <c r="B17137" t="s">
        <v>20639</v>
      </c>
      <c r="C17137" t="s">
        <v>2541</v>
      </c>
      <c r="D17137" s="254">
        <v>23.41</v>
      </c>
      <c r="E17137"/>
      <c r="F17137"/>
      <c r="G17137"/>
      <c r="H17137"/>
      <c r="I17137" s="489"/>
      <c r="J17137" s="1362"/>
      <c r="K17137" s="1362"/>
      <c r="L17137" s="1362"/>
    </row>
    <row r="17138" spans="1:12" x14ac:dyDescent="0.25">
      <c r="A17138">
        <v>987</v>
      </c>
      <c r="B17138" t="s">
        <v>20640</v>
      </c>
      <c r="C17138" t="s">
        <v>2541</v>
      </c>
      <c r="D17138" s="254">
        <v>32.049999999999997</v>
      </c>
      <c r="E17138"/>
      <c r="F17138"/>
      <c r="G17138"/>
      <c r="H17138"/>
      <c r="I17138" s="489"/>
      <c r="J17138" s="1362"/>
      <c r="K17138" s="1362"/>
      <c r="L17138" s="1362"/>
    </row>
    <row r="17139" spans="1:12" x14ac:dyDescent="0.25">
      <c r="A17139">
        <v>1007</v>
      </c>
      <c r="B17139" t="s">
        <v>20641</v>
      </c>
      <c r="C17139" t="s">
        <v>2541</v>
      </c>
      <c r="D17139" s="254">
        <v>44.36</v>
      </c>
      <c r="E17139"/>
      <c r="F17139"/>
      <c r="G17139"/>
      <c r="H17139"/>
      <c r="I17139" s="489"/>
      <c r="J17139" s="1362"/>
      <c r="K17139" s="1362"/>
      <c r="L17139" s="1362"/>
    </row>
    <row r="17140" spans="1:12" x14ac:dyDescent="0.25">
      <c r="A17140">
        <v>1008</v>
      </c>
      <c r="B17140" t="s">
        <v>20642</v>
      </c>
      <c r="C17140" t="s">
        <v>2541</v>
      </c>
      <c r="D17140" s="254">
        <v>5.63</v>
      </c>
      <c r="E17140"/>
      <c r="F17140"/>
      <c r="G17140"/>
      <c r="H17140"/>
      <c r="I17140" s="489"/>
      <c r="J17140" s="1362"/>
      <c r="K17140" s="1362"/>
      <c r="L17140" s="1362"/>
    </row>
    <row r="17141" spans="1:12" x14ac:dyDescent="0.25">
      <c r="A17141">
        <v>988</v>
      </c>
      <c r="B17141" t="s">
        <v>20643</v>
      </c>
      <c r="C17141" t="s">
        <v>2541</v>
      </c>
      <c r="D17141" s="254">
        <v>61.17</v>
      </c>
      <c r="E17141"/>
      <c r="F17141"/>
      <c r="G17141"/>
      <c r="H17141"/>
      <c r="I17141" s="489"/>
      <c r="J17141" s="1362"/>
      <c r="K17141" s="1362"/>
      <c r="L17141" s="1362"/>
    </row>
    <row r="17142" spans="1:12" x14ac:dyDescent="0.25">
      <c r="A17142">
        <v>989</v>
      </c>
      <c r="B17142" t="s">
        <v>20644</v>
      </c>
      <c r="C17142" t="s">
        <v>2541</v>
      </c>
      <c r="D17142" s="254">
        <v>84.44</v>
      </c>
      <c r="E17142"/>
      <c r="F17142"/>
      <c r="G17142"/>
      <c r="H17142"/>
      <c r="I17142" s="489"/>
      <c r="J17142" s="1362"/>
      <c r="K17142" s="1362"/>
      <c r="L17142" s="1362"/>
    </row>
    <row r="17143" spans="1:12" x14ac:dyDescent="0.25">
      <c r="A17143">
        <v>1006</v>
      </c>
      <c r="B17143" t="s">
        <v>20645</v>
      </c>
      <c r="C17143" t="s">
        <v>2541</v>
      </c>
      <c r="D17143" s="254">
        <v>113.2</v>
      </c>
      <c r="E17143"/>
      <c r="F17143"/>
      <c r="G17143"/>
      <c r="H17143"/>
      <c r="I17143" s="489"/>
      <c r="J17143" s="1362"/>
      <c r="K17143" s="1362"/>
      <c r="L17143" s="1362"/>
    </row>
    <row r="17144" spans="1:12" x14ac:dyDescent="0.25">
      <c r="A17144">
        <v>43972</v>
      </c>
      <c r="B17144" t="s">
        <v>20646</v>
      </c>
      <c r="C17144" t="s">
        <v>2541</v>
      </c>
      <c r="D17144" s="254">
        <v>4.33</v>
      </c>
      <c r="E17144"/>
      <c r="F17144"/>
      <c r="G17144"/>
      <c r="H17144"/>
      <c r="I17144" s="489"/>
      <c r="J17144" s="1362"/>
      <c r="K17144" s="1362"/>
      <c r="L17144" s="1362"/>
    </row>
    <row r="17145" spans="1:12" x14ac:dyDescent="0.25">
      <c r="A17145">
        <v>43971</v>
      </c>
      <c r="B17145" t="s">
        <v>20647</v>
      </c>
      <c r="C17145" t="s">
        <v>2541</v>
      </c>
      <c r="D17145" s="254">
        <v>3.31</v>
      </c>
      <c r="E17145"/>
      <c r="F17145"/>
      <c r="G17145"/>
      <c r="H17145"/>
      <c r="I17145" s="489"/>
      <c r="J17145" s="1362"/>
      <c r="K17145" s="1362"/>
      <c r="L17145" s="1362"/>
    </row>
    <row r="17146" spans="1:12" x14ac:dyDescent="0.25">
      <c r="A17146">
        <v>39598</v>
      </c>
      <c r="B17146" t="s">
        <v>20648</v>
      </c>
      <c r="C17146" t="s">
        <v>2541</v>
      </c>
      <c r="D17146" s="254">
        <v>6.14</v>
      </c>
      <c r="E17146"/>
      <c r="F17146"/>
      <c r="G17146"/>
      <c r="H17146"/>
      <c r="I17146" s="489"/>
      <c r="J17146" s="1362"/>
      <c r="K17146" s="1362"/>
      <c r="L17146" s="1362"/>
    </row>
    <row r="17147" spans="1:12" x14ac:dyDescent="0.25">
      <c r="A17147">
        <v>43973</v>
      </c>
      <c r="B17147" t="s">
        <v>20649</v>
      </c>
      <c r="C17147" t="s">
        <v>2541</v>
      </c>
      <c r="D17147" s="254">
        <v>4.53</v>
      </c>
      <c r="E17147"/>
      <c r="F17147"/>
      <c r="G17147"/>
      <c r="H17147"/>
      <c r="I17147" s="489"/>
      <c r="J17147" s="1362"/>
      <c r="K17147" s="1362"/>
      <c r="L17147" s="1362"/>
    </row>
    <row r="17148" spans="1:12" x14ac:dyDescent="0.25">
      <c r="A17148">
        <v>39599</v>
      </c>
      <c r="B17148" t="s">
        <v>20650</v>
      </c>
      <c r="C17148" t="s">
        <v>2541</v>
      </c>
      <c r="D17148" s="254">
        <v>8.83</v>
      </c>
      <c r="E17148"/>
      <c r="F17148"/>
      <c r="G17148"/>
      <c r="H17148"/>
      <c r="I17148" s="489"/>
      <c r="J17148" s="1362"/>
      <c r="K17148" s="1362"/>
      <c r="L17148" s="1362"/>
    </row>
    <row r="17149" spans="1:12" x14ac:dyDescent="0.25">
      <c r="A17149">
        <v>43832</v>
      </c>
      <c r="B17149" t="s">
        <v>20651</v>
      </c>
      <c r="C17149" t="s">
        <v>2541</v>
      </c>
      <c r="D17149" s="254">
        <v>23.26</v>
      </c>
      <c r="E17149"/>
      <c r="F17149"/>
      <c r="G17149"/>
      <c r="H17149"/>
      <c r="I17149" s="489"/>
      <c r="J17149" s="1362"/>
      <c r="K17149" s="1362"/>
      <c r="L17149" s="1362"/>
    </row>
    <row r="17150" spans="1:12" x14ac:dyDescent="0.25">
      <c r="A17150">
        <v>34602</v>
      </c>
      <c r="B17150" t="s">
        <v>20652</v>
      </c>
      <c r="C17150" t="s">
        <v>2541</v>
      </c>
      <c r="D17150" s="254">
        <v>3.87</v>
      </c>
      <c r="E17150"/>
      <c r="F17150"/>
      <c r="G17150"/>
      <c r="H17150"/>
      <c r="I17150" s="489"/>
      <c r="J17150" s="1362"/>
      <c r="K17150" s="1362"/>
      <c r="L17150" s="1362"/>
    </row>
    <row r="17151" spans="1:12" x14ac:dyDescent="0.25">
      <c r="A17151">
        <v>34607</v>
      </c>
      <c r="B17151" t="s">
        <v>20653</v>
      </c>
      <c r="C17151" t="s">
        <v>2541</v>
      </c>
      <c r="D17151" s="254">
        <v>9.49</v>
      </c>
      <c r="E17151"/>
      <c r="F17151"/>
      <c r="G17151"/>
      <c r="H17151"/>
      <c r="I17151" s="489"/>
      <c r="J17151" s="1362"/>
      <c r="K17151" s="1362"/>
      <c r="L17151" s="1362"/>
    </row>
    <row r="17152" spans="1:12" x14ac:dyDescent="0.25">
      <c r="A17152">
        <v>34609</v>
      </c>
      <c r="B17152" t="s">
        <v>20654</v>
      </c>
      <c r="C17152" t="s">
        <v>2541</v>
      </c>
      <c r="D17152" s="254">
        <v>13.81</v>
      </c>
      <c r="E17152"/>
      <c r="F17152"/>
      <c r="G17152"/>
      <c r="H17152"/>
      <c r="I17152" s="489"/>
      <c r="J17152" s="1362"/>
      <c r="K17152" s="1362"/>
      <c r="L17152" s="1362"/>
    </row>
    <row r="17153" spans="1:12" x14ac:dyDescent="0.25">
      <c r="A17153">
        <v>34618</v>
      </c>
      <c r="B17153" t="s">
        <v>20655</v>
      </c>
      <c r="C17153" t="s">
        <v>2541</v>
      </c>
      <c r="D17153" s="254">
        <v>5.28</v>
      </c>
      <c r="E17153"/>
      <c r="F17153"/>
      <c r="G17153"/>
      <c r="H17153"/>
      <c r="I17153" s="489"/>
      <c r="J17153" s="1362"/>
      <c r="K17153" s="1362"/>
      <c r="L17153" s="1362"/>
    </row>
    <row r="17154" spans="1:12" x14ac:dyDescent="0.25">
      <c r="A17154">
        <v>34621</v>
      </c>
      <c r="B17154" t="s">
        <v>20656</v>
      </c>
      <c r="C17154" t="s">
        <v>2541</v>
      </c>
      <c r="D17154" s="254">
        <v>13.08</v>
      </c>
      <c r="E17154"/>
      <c r="F17154"/>
      <c r="G17154"/>
      <c r="H17154"/>
      <c r="I17154" s="489"/>
      <c r="J17154" s="1362"/>
      <c r="K17154" s="1362"/>
      <c r="L17154" s="1362"/>
    </row>
    <row r="17155" spans="1:12" x14ac:dyDescent="0.25">
      <c r="A17155">
        <v>34622</v>
      </c>
      <c r="B17155" t="s">
        <v>20657</v>
      </c>
      <c r="C17155" t="s">
        <v>2541</v>
      </c>
      <c r="D17155" s="254">
        <v>19.440000000000001</v>
      </c>
      <c r="E17155"/>
      <c r="F17155"/>
      <c r="G17155"/>
      <c r="H17155"/>
      <c r="I17155" s="489"/>
      <c r="J17155" s="1362"/>
      <c r="K17155" s="1362"/>
      <c r="L17155" s="1362"/>
    </row>
    <row r="17156" spans="1:12" x14ac:dyDescent="0.25">
      <c r="A17156">
        <v>34624</v>
      </c>
      <c r="B17156" t="s">
        <v>20658</v>
      </c>
      <c r="C17156" t="s">
        <v>2541</v>
      </c>
      <c r="D17156" s="254">
        <v>7.05</v>
      </c>
      <c r="E17156"/>
      <c r="F17156"/>
      <c r="G17156"/>
      <c r="H17156"/>
      <c r="I17156" s="489"/>
      <c r="J17156" s="1362"/>
      <c r="K17156" s="1362"/>
      <c r="L17156" s="1362"/>
    </row>
    <row r="17157" spans="1:12" x14ac:dyDescent="0.25">
      <c r="A17157">
        <v>34627</v>
      </c>
      <c r="B17157" t="s">
        <v>20659</v>
      </c>
      <c r="C17157" t="s">
        <v>2541</v>
      </c>
      <c r="D17157" s="254">
        <v>17</v>
      </c>
      <c r="E17157"/>
      <c r="F17157"/>
      <c r="G17157"/>
      <c r="H17157"/>
      <c r="I17157" s="489"/>
      <c r="J17157" s="1362"/>
      <c r="K17157" s="1362"/>
      <c r="L17157" s="1362"/>
    </row>
    <row r="17158" spans="1:12" x14ac:dyDescent="0.25">
      <c r="A17158">
        <v>34629</v>
      </c>
      <c r="B17158" t="s">
        <v>20660</v>
      </c>
      <c r="C17158" t="s">
        <v>2541</v>
      </c>
      <c r="D17158" s="254">
        <v>25.97</v>
      </c>
      <c r="E17158"/>
      <c r="F17158"/>
      <c r="G17158"/>
      <c r="H17158"/>
      <c r="I17158" s="489"/>
      <c r="J17158" s="1362"/>
      <c r="K17158" s="1362"/>
      <c r="L17158" s="1362"/>
    </row>
    <row r="17159" spans="1:12" x14ac:dyDescent="0.25">
      <c r="A17159">
        <v>39257</v>
      </c>
      <c r="B17159" t="s">
        <v>20661</v>
      </c>
      <c r="C17159" t="s">
        <v>2541</v>
      </c>
      <c r="D17159" s="254">
        <v>5.28</v>
      </c>
      <c r="E17159"/>
      <c r="F17159"/>
      <c r="G17159"/>
      <c r="H17159"/>
      <c r="I17159" s="489"/>
      <c r="J17159" s="1362"/>
      <c r="K17159" s="1362"/>
      <c r="L17159" s="1362"/>
    </row>
    <row r="17160" spans="1:12" x14ac:dyDescent="0.25">
      <c r="A17160">
        <v>39261</v>
      </c>
      <c r="B17160" t="s">
        <v>20662</v>
      </c>
      <c r="C17160" t="s">
        <v>2541</v>
      </c>
      <c r="D17160" s="254">
        <v>30.26</v>
      </c>
      <c r="E17160"/>
      <c r="F17160"/>
      <c r="G17160"/>
      <c r="H17160"/>
      <c r="I17160" s="489"/>
      <c r="J17160" s="1362"/>
      <c r="K17160" s="1362"/>
      <c r="L17160" s="1362"/>
    </row>
    <row r="17161" spans="1:12" x14ac:dyDescent="0.25">
      <c r="A17161">
        <v>39268</v>
      </c>
      <c r="B17161" t="s">
        <v>20663</v>
      </c>
      <c r="C17161" t="s">
        <v>2541</v>
      </c>
      <c r="D17161" s="254">
        <v>473</v>
      </c>
      <c r="E17161"/>
      <c r="F17161"/>
      <c r="G17161"/>
      <c r="H17161"/>
      <c r="I17161" s="489"/>
      <c r="J17161" s="1362"/>
      <c r="K17161" s="1362"/>
      <c r="L17161" s="1362"/>
    </row>
    <row r="17162" spans="1:12" x14ac:dyDescent="0.25">
      <c r="A17162">
        <v>39262</v>
      </c>
      <c r="B17162" t="s">
        <v>20664</v>
      </c>
      <c r="C17162" t="s">
        <v>2541</v>
      </c>
      <c r="D17162" s="254">
        <v>48.19</v>
      </c>
      <c r="E17162"/>
      <c r="F17162"/>
      <c r="G17162"/>
      <c r="H17162"/>
      <c r="I17162" s="489"/>
      <c r="J17162" s="1362"/>
      <c r="K17162" s="1362"/>
      <c r="L17162" s="1362"/>
    </row>
    <row r="17163" spans="1:12" x14ac:dyDescent="0.25">
      <c r="A17163">
        <v>39258</v>
      </c>
      <c r="B17163" t="s">
        <v>20665</v>
      </c>
      <c r="C17163" t="s">
        <v>2541</v>
      </c>
      <c r="D17163" s="254">
        <v>7.96</v>
      </c>
      <c r="E17163"/>
      <c r="F17163"/>
      <c r="G17163"/>
      <c r="H17163"/>
      <c r="I17163" s="489"/>
      <c r="J17163" s="1362"/>
      <c r="K17163" s="1362"/>
      <c r="L17163" s="1362"/>
    </row>
    <row r="17164" spans="1:12" x14ac:dyDescent="0.25">
      <c r="A17164">
        <v>39263</v>
      </c>
      <c r="B17164" t="s">
        <v>20666</v>
      </c>
      <c r="C17164" t="s">
        <v>2541</v>
      </c>
      <c r="D17164" s="254">
        <v>83.33</v>
      </c>
      <c r="E17164"/>
      <c r="F17164"/>
      <c r="G17164"/>
      <c r="H17164"/>
      <c r="I17164" s="489"/>
      <c r="J17164" s="1362"/>
      <c r="K17164" s="1362"/>
      <c r="L17164" s="1362"/>
    </row>
    <row r="17165" spans="1:12" x14ac:dyDescent="0.25">
      <c r="A17165">
        <v>39264</v>
      </c>
      <c r="B17165" t="s">
        <v>20667</v>
      </c>
      <c r="C17165" t="s">
        <v>2541</v>
      </c>
      <c r="D17165" s="254">
        <v>115.43</v>
      </c>
      <c r="E17165"/>
      <c r="F17165"/>
      <c r="G17165"/>
      <c r="H17165"/>
      <c r="I17165" s="489"/>
      <c r="J17165" s="1362"/>
      <c r="K17165" s="1362"/>
      <c r="L17165" s="1362"/>
    </row>
    <row r="17166" spans="1:12" x14ac:dyDescent="0.25">
      <c r="A17166">
        <v>39259</v>
      </c>
      <c r="B17166" t="s">
        <v>20668</v>
      </c>
      <c r="C17166" t="s">
        <v>2541</v>
      </c>
      <c r="D17166" s="254">
        <v>12.27</v>
      </c>
      <c r="E17166"/>
      <c r="F17166"/>
      <c r="G17166"/>
      <c r="H17166"/>
      <c r="I17166" s="489"/>
      <c r="J17166" s="1362"/>
      <c r="K17166" s="1362"/>
      <c r="L17166" s="1362"/>
    </row>
    <row r="17167" spans="1:12" x14ac:dyDescent="0.25">
      <c r="A17167">
        <v>39265</v>
      </c>
      <c r="B17167" t="s">
        <v>20669</v>
      </c>
      <c r="C17167" t="s">
        <v>2541</v>
      </c>
      <c r="D17167" s="254">
        <v>156.72</v>
      </c>
      <c r="E17167"/>
      <c r="F17167"/>
      <c r="G17167"/>
      <c r="H17167"/>
      <c r="I17167" s="489"/>
      <c r="J17167" s="1362"/>
      <c r="K17167" s="1362"/>
      <c r="L17167" s="1362"/>
    </row>
    <row r="17168" spans="1:12" x14ac:dyDescent="0.25">
      <c r="A17168">
        <v>39260</v>
      </c>
      <c r="B17168" t="s">
        <v>20670</v>
      </c>
      <c r="C17168" t="s">
        <v>2541</v>
      </c>
      <c r="D17168" s="254">
        <v>18.78</v>
      </c>
      <c r="E17168"/>
      <c r="F17168"/>
      <c r="G17168"/>
      <c r="H17168"/>
      <c r="I17168" s="489"/>
      <c r="J17168" s="1362"/>
      <c r="K17168" s="1362"/>
      <c r="L17168" s="1362"/>
    </row>
    <row r="17169" spans="1:12" x14ac:dyDescent="0.25">
      <c r="A17169">
        <v>39266</v>
      </c>
      <c r="B17169" t="s">
        <v>20671</v>
      </c>
      <c r="C17169" t="s">
        <v>2541</v>
      </c>
      <c r="D17169" s="254">
        <v>236.48</v>
      </c>
      <c r="E17169"/>
      <c r="F17169"/>
      <c r="G17169"/>
      <c r="H17169"/>
      <c r="I17169" s="489"/>
      <c r="J17169" s="1362"/>
      <c r="K17169" s="1362"/>
      <c r="L17169" s="1362"/>
    </row>
    <row r="17170" spans="1:12" x14ac:dyDescent="0.25">
      <c r="A17170">
        <v>39267</v>
      </c>
      <c r="B17170" t="s">
        <v>20672</v>
      </c>
      <c r="C17170" t="s">
        <v>2541</v>
      </c>
      <c r="D17170" s="254">
        <v>295.66000000000003</v>
      </c>
      <c r="E17170"/>
      <c r="F17170"/>
      <c r="G17170"/>
      <c r="H17170"/>
      <c r="I17170" s="489"/>
      <c r="J17170" s="1362"/>
      <c r="K17170" s="1362"/>
      <c r="L17170" s="1362"/>
    </row>
    <row r="17171" spans="1:12" x14ac:dyDescent="0.25">
      <c r="A17171">
        <v>11901</v>
      </c>
      <c r="B17171" t="s">
        <v>20673</v>
      </c>
      <c r="C17171" t="s">
        <v>2541</v>
      </c>
      <c r="D17171" s="254">
        <v>0.79</v>
      </c>
      <c r="E17171"/>
      <c r="F17171"/>
      <c r="G17171"/>
      <c r="H17171"/>
      <c r="I17171" s="489"/>
      <c r="J17171" s="1362"/>
      <c r="K17171" s="1362"/>
      <c r="L17171" s="1362"/>
    </row>
    <row r="17172" spans="1:12" x14ac:dyDescent="0.25">
      <c r="A17172">
        <v>11902</v>
      </c>
      <c r="B17172" t="s">
        <v>20674</v>
      </c>
      <c r="C17172" t="s">
        <v>2541</v>
      </c>
      <c r="D17172" s="254">
        <v>1.52</v>
      </c>
      <c r="E17172"/>
      <c r="F17172"/>
      <c r="G17172"/>
      <c r="H17172"/>
      <c r="I17172" s="489"/>
      <c r="J17172" s="1362"/>
      <c r="K17172" s="1362"/>
      <c r="L17172" s="1362"/>
    </row>
    <row r="17173" spans="1:12" x14ac:dyDescent="0.25">
      <c r="A17173">
        <v>11903</v>
      </c>
      <c r="B17173" t="s">
        <v>20675</v>
      </c>
      <c r="C17173" t="s">
        <v>2541</v>
      </c>
      <c r="D17173" s="254">
        <v>1.61</v>
      </c>
      <c r="E17173"/>
      <c r="F17173"/>
      <c r="G17173"/>
      <c r="H17173"/>
      <c r="I17173" s="489"/>
      <c r="J17173" s="1362"/>
      <c r="K17173" s="1362"/>
      <c r="L17173" s="1362"/>
    </row>
    <row r="17174" spans="1:12" x14ac:dyDescent="0.25">
      <c r="A17174">
        <v>11904</v>
      </c>
      <c r="B17174" t="s">
        <v>20676</v>
      </c>
      <c r="C17174" t="s">
        <v>2541</v>
      </c>
      <c r="D17174" s="254">
        <v>2.44</v>
      </c>
      <c r="E17174"/>
      <c r="F17174"/>
      <c r="G17174"/>
      <c r="H17174"/>
      <c r="I17174" s="489"/>
      <c r="J17174" s="1362"/>
      <c r="K17174" s="1362"/>
      <c r="L17174" s="1362"/>
    </row>
    <row r="17175" spans="1:12" x14ac:dyDescent="0.25">
      <c r="A17175">
        <v>11905</v>
      </c>
      <c r="B17175" t="s">
        <v>20677</v>
      </c>
      <c r="C17175" t="s">
        <v>2541</v>
      </c>
      <c r="D17175" s="254">
        <v>2.98</v>
      </c>
      <c r="E17175"/>
      <c r="F17175"/>
      <c r="G17175"/>
      <c r="H17175"/>
      <c r="I17175" s="489"/>
      <c r="J17175" s="1362"/>
      <c r="K17175" s="1362"/>
      <c r="L17175" s="1362"/>
    </row>
    <row r="17176" spans="1:12" x14ac:dyDescent="0.25">
      <c r="A17176">
        <v>11906</v>
      </c>
      <c r="B17176" t="s">
        <v>20678</v>
      </c>
      <c r="C17176" t="s">
        <v>2541</v>
      </c>
      <c r="D17176" s="254">
        <v>3.79</v>
      </c>
      <c r="E17176"/>
      <c r="F17176"/>
      <c r="G17176"/>
      <c r="H17176"/>
      <c r="I17176" s="489"/>
      <c r="J17176" s="1362"/>
      <c r="K17176" s="1362"/>
      <c r="L17176" s="1362"/>
    </row>
    <row r="17177" spans="1:12" x14ac:dyDescent="0.25">
      <c r="A17177">
        <v>11919</v>
      </c>
      <c r="B17177" t="s">
        <v>20679</v>
      </c>
      <c r="C17177" t="s">
        <v>2541</v>
      </c>
      <c r="D17177" s="254">
        <v>6.94</v>
      </c>
      <c r="E17177"/>
      <c r="F17177"/>
      <c r="G17177"/>
      <c r="H17177"/>
      <c r="I17177" s="489"/>
      <c r="J17177" s="1362"/>
      <c r="K17177" s="1362"/>
      <c r="L17177" s="1362"/>
    </row>
    <row r="17178" spans="1:12" x14ac:dyDescent="0.25">
      <c r="A17178">
        <v>11920</v>
      </c>
      <c r="B17178" t="s">
        <v>20680</v>
      </c>
      <c r="C17178" t="s">
        <v>2541</v>
      </c>
      <c r="D17178" s="254">
        <v>13.19</v>
      </c>
      <c r="E17178"/>
      <c r="F17178"/>
      <c r="G17178"/>
      <c r="H17178"/>
      <c r="I17178" s="489"/>
      <c r="J17178" s="1362"/>
      <c r="K17178" s="1362"/>
      <c r="L17178" s="1362"/>
    </row>
    <row r="17179" spans="1:12" x14ac:dyDescent="0.25">
      <c r="A17179">
        <v>11924</v>
      </c>
      <c r="B17179" t="s">
        <v>20681</v>
      </c>
      <c r="C17179" t="s">
        <v>2541</v>
      </c>
      <c r="D17179" s="254">
        <v>110.74</v>
      </c>
      <c r="E17179"/>
      <c r="F17179"/>
      <c r="G17179"/>
      <c r="H17179"/>
      <c r="I17179" s="489"/>
      <c r="J17179" s="1362"/>
      <c r="K17179" s="1362"/>
      <c r="L17179" s="1362"/>
    </row>
    <row r="17180" spans="1:12" x14ac:dyDescent="0.25">
      <c r="A17180">
        <v>11921</v>
      </c>
      <c r="B17180" t="s">
        <v>20682</v>
      </c>
      <c r="C17180" t="s">
        <v>2541</v>
      </c>
      <c r="D17180" s="254">
        <v>19.3</v>
      </c>
      <c r="E17180"/>
      <c r="F17180"/>
      <c r="G17180"/>
      <c r="H17180"/>
      <c r="I17180" s="489"/>
      <c r="J17180" s="1362"/>
      <c r="K17180" s="1362"/>
      <c r="L17180" s="1362"/>
    </row>
    <row r="17181" spans="1:12" x14ac:dyDescent="0.25">
      <c r="A17181">
        <v>11922</v>
      </c>
      <c r="B17181" t="s">
        <v>20683</v>
      </c>
      <c r="C17181" t="s">
        <v>2541</v>
      </c>
      <c r="D17181" s="254">
        <v>31.21</v>
      </c>
      <c r="E17181"/>
      <c r="F17181"/>
      <c r="G17181"/>
      <c r="H17181"/>
      <c r="I17181" s="489"/>
      <c r="J17181" s="1362"/>
      <c r="K17181" s="1362"/>
      <c r="L17181" s="1362"/>
    </row>
    <row r="17182" spans="1:12" x14ac:dyDescent="0.25">
      <c r="A17182">
        <v>11923</v>
      </c>
      <c r="B17182" t="s">
        <v>20684</v>
      </c>
      <c r="C17182" t="s">
        <v>2541</v>
      </c>
      <c r="D17182" s="254">
        <v>45.69</v>
      </c>
      <c r="E17182"/>
      <c r="F17182"/>
      <c r="G17182"/>
      <c r="H17182"/>
      <c r="I17182" s="489"/>
      <c r="J17182" s="1362"/>
      <c r="K17182" s="1362"/>
      <c r="L17182" s="1362"/>
    </row>
    <row r="17183" spans="1:12" x14ac:dyDescent="0.25">
      <c r="A17183">
        <v>11916</v>
      </c>
      <c r="B17183" t="s">
        <v>20685</v>
      </c>
      <c r="C17183" t="s">
        <v>2541</v>
      </c>
      <c r="D17183" s="254">
        <v>9.5</v>
      </c>
      <c r="E17183"/>
      <c r="F17183"/>
      <c r="G17183"/>
      <c r="H17183"/>
      <c r="I17183" s="489"/>
      <c r="J17183" s="1362"/>
      <c r="K17183" s="1362"/>
      <c r="L17183" s="1362"/>
    </row>
    <row r="17184" spans="1:12" x14ac:dyDescent="0.25">
      <c r="A17184">
        <v>11914</v>
      </c>
      <c r="B17184" t="s">
        <v>20686</v>
      </c>
      <c r="C17184" t="s">
        <v>2541</v>
      </c>
      <c r="D17184" s="254">
        <v>68.45</v>
      </c>
      <c r="E17184"/>
      <c r="F17184"/>
      <c r="G17184"/>
      <c r="H17184"/>
      <c r="I17184" s="489"/>
      <c r="J17184" s="1362"/>
      <c r="K17184" s="1362"/>
      <c r="L17184" s="1362"/>
    </row>
    <row r="17185" spans="1:12" x14ac:dyDescent="0.25">
      <c r="A17185">
        <v>11917</v>
      </c>
      <c r="B17185" t="s">
        <v>20687</v>
      </c>
      <c r="C17185" t="s">
        <v>2541</v>
      </c>
      <c r="D17185" s="254">
        <v>16.73</v>
      </c>
      <c r="E17185"/>
      <c r="F17185"/>
      <c r="G17185"/>
      <c r="H17185"/>
      <c r="I17185" s="489"/>
      <c r="J17185" s="1362"/>
      <c r="K17185" s="1362"/>
      <c r="L17185" s="1362"/>
    </row>
    <row r="17186" spans="1:12" x14ac:dyDescent="0.25">
      <c r="A17186">
        <v>11918</v>
      </c>
      <c r="B17186" t="s">
        <v>20688</v>
      </c>
      <c r="C17186" t="s">
        <v>2541</v>
      </c>
      <c r="D17186" s="254">
        <v>19.850000000000001</v>
      </c>
      <c r="E17186"/>
      <c r="F17186"/>
      <c r="G17186"/>
      <c r="H17186"/>
      <c r="I17186" s="489"/>
      <c r="J17186" s="1362"/>
      <c r="K17186" s="1362"/>
      <c r="L17186" s="1362"/>
    </row>
    <row r="17187" spans="1:12" x14ac:dyDescent="0.25">
      <c r="A17187">
        <v>37734</v>
      </c>
      <c r="B17187" t="s">
        <v>20689</v>
      </c>
      <c r="C17187" t="s">
        <v>2537</v>
      </c>
      <c r="D17187" s="254">
        <v>69801.710000000006</v>
      </c>
      <c r="E17187"/>
      <c r="F17187"/>
      <c r="G17187"/>
      <c r="H17187"/>
      <c r="I17187" s="489"/>
      <c r="J17187" s="1362"/>
      <c r="K17187" s="1362"/>
      <c r="L17187" s="1362"/>
    </row>
    <row r="17188" spans="1:12" x14ac:dyDescent="0.25">
      <c r="A17188">
        <v>42251</v>
      </c>
      <c r="B17188" t="s">
        <v>20690</v>
      </c>
      <c r="C17188" t="s">
        <v>2537</v>
      </c>
      <c r="D17188" s="254">
        <v>79264.100000000006</v>
      </c>
      <c r="E17188"/>
      <c r="F17188"/>
      <c r="G17188"/>
      <c r="H17188"/>
      <c r="I17188" s="489"/>
      <c r="J17188" s="1362"/>
      <c r="K17188" s="1362"/>
      <c r="L17188" s="1362"/>
    </row>
    <row r="17189" spans="1:12" x14ac:dyDescent="0.25">
      <c r="A17189">
        <v>37733</v>
      </c>
      <c r="B17189" t="s">
        <v>20691</v>
      </c>
      <c r="C17189" t="s">
        <v>2537</v>
      </c>
      <c r="D17189" s="254">
        <v>52337.06</v>
      </c>
      <c r="E17189"/>
      <c r="F17189"/>
      <c r="G17189"/>
      <c r="H17189"/>
      <c r="I17189" s="489"/>
      <c r="J17189" s="1362"/>
      <c r="K17189" s="1362"/>
      <c r="L17189" s="1362"/>
    </row>
    <row r="17190" spans="1:12" x14ac:dyDescent="0.25">
      <c r="A17190">
        <v>37735</v>
      </c>
      <c r="B17190" t="s">
        <v>20692</v>
      </c>
      <c r="C17190" t="s">
        <v>2537</v>
      </c>
      <c r="D17190" s="254">
        <v>63066.16</v>
      </c>
      <c r="E17190"/>
      <c r="F17190"/>
      <c r="G17190"/>
      <c r="H17190"/>
      <c r="I17190" s="489"/>
      <c r="J17190" s="1362"/>
      <c r="K17190" s="1362"/>
      <c r="L17190" s="1362"/>
    </row>
    <row r="17191" spans="1:12" x14ac:dyDescent="0.25">
      <c r="A17191">
        <v>5090</v>
      </c>
      <c r="B17191" t="s">
        <v>20693</v>
      </c>
      <c r="C17191" t="s">
        <v>2537</v>
      </c>
      <c r="D17191" s="254">
        <v>21</v>
      </c>
      <c r="E17191"/>
      <c r="F17191"/>
      <c r="G17191"/>
      <c r="H17191"/>
      <c r="I17191" s="489"/>
      <c r="J17191" s="1362"/>
      <c r="K17191" s="1362"/>
      <c r="L17191" s="1362"/>
    </row>
    <row r="17192" spans="1:12" x14ac:dyDescent="0.25">
      <c r="A17192">
        <v>5085</v>
      </c>
      <c r="B17192" t="s">
        <v>20694</v>
      </c>
      <c r="C17192" t="s">
        <v>2537</v>
      </c>
      <c r="D17192" s="254">
        <v>31.26</v>
      </c>
      <c r="E17192"/>
      <c r="F17192"/>
      <c r="G17192"/>
      <c r="H17192"/>
      <c r="I17192" s="489"/>
      <c r="J17192" s="1362"/>
      <c r="K17192" s="1362"/>
      <c r="L17192" s="1362"/>
    </row>
    <row r="17193" spans="1:12" x14ac:dyDescent="0.25">
      <c r="A17193">
        <v>43603</v>
      </c>
      <c r="B17193" t="s">
        <v>20695</v>
      </c>
      <c r="C17193" t="s">
        <v>2537</v>
      </c>
      <c r="D17193" s="254">
        <v>44.66</v>
      </c>
      <c r="E17193"/>
      <c r="F17193"/>
      <c r="G17193"/>
      <c r="H17193"/>
      <c r="I17193" s="489"/>
      <c r="J17193" s="1362"/>
      <c r="K17193" s="1362"/>
      <c r="L17193" s="1362"/>
    </row>
    <row r="17194" spans="1:12" x14ac:dyDescent="0.25">
      <c r="A17194">
        <v>38374</v>
      </c>
      <c r="B17194" t="s">
        <v>20696</v>
      </c>
      <c r="C17194" t="s">
        <v>2537</v>
      </c>
      <c r="D17194" s="254">
        <v>1075.7</v>
      </c>
      <c r="E17194"/>
      <c r="F17194"/>
      <c r="G17194"/>
      <c r="H17194"/>
      <c r="I17194" s="489"/>
      <c r="J17194" s="1362"/>
      <c r="K17194" s="1362"/>
      <c r="L17194" s="1362"/>
    </row>
    <row r="17195" spans="1:12" x14ac:dyDescent="0.25">
      <c r="A17195">
        <v>20209</v>
      </c>
      <c r="B17195" t="s">
        <v>20697</v>
      </c>
      <c r="C17195" t="s">
        <v>2541</v>
      </c>
      <c r="D17195" s="254">
        <v>38.78</v>
      </c>
      <c r="E17195"/>
      <c r="F17195"/>
      <c r="G17195"/>
      <c r="H17195"/>
      <c r="I17195" s="489"/>
      <c r="J17195" s="1362"/>
      <c r="K17195" s="1362"/>
      <c r="L17195" s="1362"/>
    </row>
    <row r="17196" spans="1:12" x14ac:dyDescent="0.25">
      <c r="A17196">
        <v>20212</v>
      </c>
      <c r="B17196" t="s">
        <v>20698</v>
      </c>
      <c r="C17196" t="s">
        <v>2541</v>
      </c>
      <c r="D17196" s="254">
        <v>32.46</v>
      </c>
      <c r="E17196"/>
      <c r="F17196"/>
      <c r="G17196"/>
      <c r="H17196"/>
      <c r="I17196" s="489"/>
      <c r="J17196" s="1362"/>
      <c r="K17196" s="1362"/>
      <c r="L17196" s="1362"/>
    </row>
    <row r="17197" spans="1:12" x14ac:dyDescent="0.25">
      <c r="A17197">
        <v>4433</v>
      </c>
      <c r="B17197" t="s">
        <v>20699</v>
      </c>
      <c r="C17197" t="s">
        <v>2541</v>
      </c>
      <c r="D17197" s="254">
        <v>37.15</v>
      </c>
      <c r="E17197"/>
      <c r="F17197"/>
      <c r="G17197"/>
      <c r="H17197"/>
      <c r="I17197" s="489"/>
      <c r="J17197" s="1362"/>
      <c r="K17197" s="1362"/>
      <c r="L17197" s="1362"/>
    </row>
    <row r="17198" spans="1:12" x14ac:dyDescent="0.25">
      <c r="A17198">
        <v>4430</v>
      </c>
      <c r="B17198" t="s">
        <v>20700</v>
      </c>
      <c r="C17198" t="s">
        <v>2541</v>
      </c>
      <c r="D17198" s="254">
        <v>19</v>
      </c>
      <c r="E17198"/>
      <c r="F17198"/>
      <c r="G17198"/>
      <c r="H17198"/>
      <c r="I17198" s="489"/>
      <c r="J17198" s="1362"/>
      <c r="K17198" s="1362"/>
      <c r="L17198" s="1362"/>
    </row>
    <row r="17199" spans="1:12" x14ac:dyDescent="0.25">
      <c r="A17199">
        <v>4400</v>
      </c>
      <c r="B17199" t="s">
        <v>20701</v>
      </c>
      <c r="C17199" t="s">
        <v>2541</v>
      </c>
      <c r="D17199" s="254">
        <v>30.24</v>
      </c>
      <c r="E17199"/>
      <c r="F17199"/>
      <c r="G17199"/>
      <c r="H17199"/>
      <c r="I17199" s="489"/>
      <c r="J17199" s="1362"/>
      <c r="K17199" s="1362"/>
      <c r="L17199" s="1362"/>
    </row>
    <row r="17200" spans="1:12" x14ac:dyDescent="0.25">
      <c r="A17200">
        <v>2729</v>
      </c>
      <c r="B17200" t="s">
        <v>20702</v>
      </c>
      <c r="C17200" t="s">
        <v>2537</v>
      </c>
      <c r="D17200" s="254">
        <v>25.85</v>
      </c>
      <c r="E17200"/>
      <c r="F17200"/>
      <c r="G17200"/>
      <c r="H17200"/>
      <c r="I17200" s="489"/>
      <c r="J17200" s="1362"/>
      <c r="K17200" s="1362"/>
      <c r="L17200" s="1362"/>
    </row>
    <row r="17201" spans="1:12" x14ac:dyDescent="0.25">
      <c r="A17201">
        <v>4513</v>
      </c>
      <c r="B17201" t="s">
        <v>20703</v>
      </c>
      <c r="C17201" t="s">
        <v>2541</v>
      </c>
      <c r="D17201" s="254">
        <v>5.71</v>
      </c>
      <c r="E17201"/>
      <c r="F17201"/>
      <c r="G17201"/>
      <c r="H17201"/>
      <c r="I17201" s="489"/>
      <c r="J17201" s="1362"/>
      <c r="K17201" s="1362"/>
      <c r="L17201" s="1362"/>
    </row>
    <row r="17202" spans="1:12" x14ac:dyDescent="0.25">
      <c r="A17202">
        <v>11871</v>
      </c>
      <c r="B17202" t="s">
        <v>20704</v>
      </c>
      <c r="C17202" t="s">
        <v>2537</v>
      </c>
      <c r="D17202" s="254">
        <v>348</v>
      </c>
      <c r="E17202"/>
      <c r="F17202"/>
      <c r="G17202"/>
      <c r="H17202"/>
      <c r="I17202" s="489"/>
      <c r="J17202" s="1362"/>
      <c r="K17202" s="1362"/>
      <c r="L17202" s="1362"/>
    </row>
    <row r="17203" spans="1:12" x14ac:dyDescent="0.25">
      <c r="A17203">
        <v>34636</v>
      </c>
      <c r="B17203" t="s">
        <v>20705</v>
      </c>
      <c r="C17203" t="s">
        <v>2537</v>
      </c>
      <c r="D17203" s="254">
        <v>399.5</v>
      </c>
      <c r="E17203"/>
      <c r="F17203"/>
      <c r="G17203"/>
      <c r="H17203"/>
      <c r="I17203" s="489"/>
      <c r="J17203" s="1362"/>
      <c r="K17203" s="1362"/>
      <c r="L17203" s="1362"/>
    </row>
    <row r="17204" spans="1:12" x14ac:dyDescent="0.25">
      <c r="A17204">
        <v>34639</v>
      </c>
      <c r="B17204" t="s">
        <v>20706</v>
      </c>
      <c r="C17204" t="s">
        <v>2537</v>
      </c>
      <c r="D17204" s="254">
        <v>811.38</v>
      </c>
      <c r="E17204"/>
      <c r="F17204"/>
      <c r="G17204"/>
      <c r="H17204"/>
      <c r="I17204" s="489"/>
      <c r="J17204" s="1362"/>
      <c r="K17204" s="1362"/>
      <c r="L17204" s="1362"/>
    </row>
    <row r="17205" spans="1:12" x14ac:dyDescent="0.25">
      <c r="A17205">
        <v>34640</v>
      </c>
      <c r="B17205" t="s">
        <v>20707</v>
      </c>
      <c r="C17205" t="s">
        <v>2537</v>
      </c>
      <c r="D17205" s="254">
        <v>911.39</v>
      </c>
      <c r="E17205"/>
      <c r="F17205"/>
      <c r="G17205"/>
      <c r="H17205"/>
      <c r="I17205" s="489"/>
      <c r="J17205" s="1362"/>
      <c r="K17205" s="1362"/>
      <c r="L17205" s="1362"/>
    </row>
    <row r="17206" spans="1:12" x14ac:dyDescent="0.25">
      <c r="A17206">
        <v>34637</v>
      </c>
      <c r="B17206" t="s">
        <v>20708</v>
      </c>
      <c r="C17206" t="s">
        <v>2537</v>
      </c>
      <c r="D17206" s="254">
        <v>229.37</v>
      </c>
      <c r="E17206"/>
      <c r="F17206"/>
      <c r="G17206"/>
      <c r="H17206"/>
      <c r="I17206" s="489"/>
      <c r="J17206" s="1362"/>
      <c r="K17206" s="1362"/>
      <c r="L17206" s="1362"/>
    </row>
    <row r="17207" spans="1:12" x14ac:dyDescent="0.25">
      <c r="A17207">
        <v>34638</v>
      </c>
      <c r="B17207" t="s">
        <v>20709</v>
      </c>
      <c r="C17207" t="s">
        <v>2537</v>
      </c>
      <c r="D17207" s="254">
        <v>393.34</v>
      </c>
      <c r="E17207"/>
      <c r="F17207"/>
      <c r="G17207"/>
      <c r="H17207"/>
      <c r="I17207" s="489"/>
      <c r="J17207" s="1362"/>
      <c r="K17207" s="1362"/>
      <c r="L17207" s="1362"/>
    </row>
    <row r="17208" spans="1:12" x14ac:dyDescent="0.25">
      <c r="A17208">
        <v>11868</v>
      </c>
      <c r="B17208" t="s">
        <v>20710</v>
      </c>
      <c r="C17208" t="s">
        <v>2537</v>
      </c>
      <c r="D17208" s="254">
        <v>478.28</v>
      </c>
      <c r="E17208"/>
      <c r="F17208"/>
      <c r="G17208"/>
      <c r="H17208"/>
      <c r="I17208" s="489"/>
      <c r="J17208" s="1362"/>
      <c r="K17208" s="1362"/>
      <c r="L17208" s="1362"/>
    </row>
    <row r="17209" spans="1:12" x14ac:dyDescent="0.25">
      <c r="A17209">
        <v>37106</v>
      </c>
      <c r="B17209" t="s">
        <v>20711</v>
      </c>
      <c r="C17209" t="s">
        <v>2537</v>
      </c>
      <c r="D17209" s="254">
        <v>4619.62</v>
      </c>
      <c r="E17209"/>
      <c r="F17209"/>
      <c r="G17209"/>
      <c r="H17209"/>
      <c r="I17209" s="489"/>
      <c r="J17209" s="1362"/>
      <c r="K17209" s="1362"/>
      <c r="L17209" s="1362"/>
    </row>
    <row r="17210" spans="1:12" x14ac:dyDescent="0.25">
      <c r="A17210">
        <v>11869</v>
      </c>
      <c r="B17210" t="s">
        <v>20712</v>
      </c>
      <c r="C17210" t="s">
        <v>2537</v>
      </c>
      <c r="D17210" s="254">
        <v>776</v>
      </c>
      <c r="E17210"/>
      <c r="F17210"/>
      <c r="G17210"/>
      <c r="H17210"/>
      <c r="I17210" s="489"/>
      <c r="J17210" s="1362"/>
      <c r="K17210" s="1362"/>
      <c r="L17210" s="1362"/>
    </row>
    <row r="17211" spans="1:12" x14ac:dyDescent="0.25">
      <c r="A17211">
        <v>37104</v>
      </c>
      <c r="B17211" t="s">
        <v>20713</v>
      </c>
      <c r="C17211" t="s">
        <v>2537</v>
      </c>
      <c r="D17211" s="254">
        <v>1000.31</v>
      </c>
      <c r="E17211"/>
      <c r="F17211"/>
      <c r="G17211"/>
      <c r="H17211"/>
      <c r="I17211" s="489"/>
      <c r="J17211" s="1362"/>
      <c r="K17211" s="1362"/>
      <c r="L17211" s="1362"/>
    </row>
    <row r="17212" spans="1:12" x14ac:dyDescent="0.25">
      <c r="A17212">
        <v>37105</v>
      </c>
      <c r="B17212" t="s">
        <v>20714</v>
      </c>
      <c r="C17212" t="s">
        <v>2537</v>
      </c>
      <c r="D17212" s="254">
        <v>2227.84</v>
      </c>
      <c r="E17212"/>
      <c r="F17212"/>
      <c r="G17212"/>
      <c r="H17212"/>
      <c r="I17212" s="489"/>
      <c r="J17212" s="1362"/>
      <c r="K17212" s="1362"/>
      <c r="L17212" s="1362"/>
    </row>
    <row r="17213" spans="1:12" x14ac:dyDescent="0.25">
      <c r="A17213">
        <v>34641</v>
      </c>
      <c r="B17213" t="s">
        <v>20715</v>
      </c>
      <c r="C17213" t="s">
        <v>2537</v>
      </c>
      <c r="D17213" s="254">
        <v>97.93</v>
      </c>
      <c r="E17213"/>
      <c r="F17213"/>
      <c r="G17213"/>
      <c r="H17213"/>
      <c r="I17213" s="489"/>
      <c r="J17213" s="1362"/>
      <c r="K17213" s="1362"/>
      <c r="L17213" s="1362"/>
    </row>
    <row r="17214" spans="1:12" x14ac:dyDescent="0.25">
      <c r="A17214">
        <v>43434</v>
      </c>
      <c r="B17214" t="s">
        <v>20716</v>
      </c>
      <c r="C17214" t="s">
        <v>2537</v>
      </c>
      <c r="D17214" s="254">
        <v>105.88</v>
      </c>
      <c r="E17214"/>
      <c r="F17214"/>
      <c r="G17214"/>
      <c r="H17214"/>
      <c r="I17214" s="489"/>
      <c r="J17214" s="1362"/>
      <c r="K17214" s="1362"/>
      <c r="L17214" s="1362"/>
    </row>
    <row r="17215" spans="1:12" x14ac:dyDescent="0.25">
      <c r="A17215">
        <v>43435</v>
      </c>
      <c r="B17215" t="s">
        <v>20717</v>
      </c>
      <c r="C17215" t="s">
        <v>2537</v>
      </c>
      <c r="D17215" s="254">
        <v>194.11</v>
      </c>
      <c r="E17215"/>
      <c r="F17215"/>
      <c r="G17215"/>
      <c r="H17215"/>
      <c r="I17215" s="489"/>
      <c r="J17215" s="1362"/>
      <c r="K17215" s="1362"/>
      <c r="L17215" s="1362"/>
    </row>
    <row r="17216" spans="1:12" x14ac:dyDescent="0.25">
      <c r="A17216">
        <v>43436</v>
      </c>
      <c r="B17216" t="s">
        <v>20718</v>
      </c>
      <c r="C17216" t="s">
        <v>2537</v>
      </c>
      <c r="D17216" s="254">
        <v>339.7</v>
      </c>
      <c r="E17216"/>
      <c r="F17216"/>
      <c r="G17216"/>
      <c r="H17216"/>
      <c r="I17216" s="489"/>
      <c r="J17216" s="1362"/>
      <c r="K17216" s="1362"/>
      <c r="L17216" s="1362"/>
    </row>
    <row r="17217" spans="1:12" x14ac:dyDescent="0.25">
      <c r="A17217">
        <v>43437</v>
      </c>
      <c r="B17217" t="s">
        <v>20719</v>
      </c>
      <c r="C17217" t="s">
        <v>2537</v>
      </c>
      <c r="D17217" s="254">
        <v>615.88</v>
      </c>
      <c r="E17217"/>
      <c r="F17217"/>
      <c r="G17217"/>
      <c r="H17217"/>
      <c r="I17217" s="489"/>
      <c r="J17217" s="1362"/>
      <c r="K17217" s="1362"/>
      <c r="L17217" s="1362"/>
    </row>
    <row r="17218" spans="1:12" x14ac:dyDescent="0.25">
      <c r="A17218">
        <v>43438</v>
      </c>
      <c r="B17218" t="s">
        <v>20720</v>
      </c>
      <c r="C17218" t="s">
        <v>2537</v>
      </c>
      <c r="D17218" s="254">
        <v>1102.94</v>
      </c>
      <c r="E17218"/>
      <c r="F17218"/>
      <c r="G17218"/>
      <c r="H17218"/>
      <c r="I17218" s="489"/>
      <c r="J17218" s="1362"/>
      <c r="K17218" s="1362"/>
      <c r="L17218" s="1362"/>
    </row>
    <row r="17219" spans="1:12" x14ac:dyDescent="0.25">
      <c r="A17219">
        <v>41627</v>
      </c>
      <c r="B17219" t="s">
        <v>20721</v>
      </c>
      <c r="C17219" t="s">
        <v>2537</v>
      </c>
      <c r="D17219" s="254">
        <v>163.22999999999999</v>
      </c>
      <c r="E17219"/>
      <c r="F17219"/>
      <c r="G17219"/>
      <c r="H17219"/>
      <c r="I17219" s="489"/>
      <c r="J17219" s="1362"/>
      <c r="K17219" s="1362"/>
      <c r="L17219" s="1362"/>
    </row>
    <row r="17220" spans="1:12" x14ac:dyDescent="0.25">
      <c r="A17220">
        <v>41628</v>
      </c>
      <c r="B17220" t="s">
        <v>20722</v>
      </c>
      <c r="C17220" t="s">
        <v>2537</v>
      </c>
      <c r="D17220" s="254">
        <v>299.99</v>
      </c>
      <c r="E17220"/>
      <c r="F17220"/>
      <c r="G17220"/>
      <c r="H17220"/>
      <c r="I17220" s="489"/>
      <c r="J17220" s="1362"/>
      <c r="K17220" s="1362"/>
      <c r="L17220" s="1362"/>
    </row>
    <row r="17221" spans="1:12" x14ac:dyDescent="0.25">
      <c r="A17221">
        <v>41629</v>
      </c>
      <c r="B17221" t="s">
        <v>20723</v>
      </c>
      <c r="C17221" t="s">
        <v>2537</v>
      </c>
      <c r="D17221" s="254">
        <v>381.17</v>
      </c>
      <c r="E17221"/>
      <c r="F17221"/>
      <c r="G17221"/>
      <c r="H17221"/>
      <c r="I17221" s="489"/>
      <c r="J17221" s="1362"/>
      <c r="K17221" s="1362"/>
      <c r="L17221" s="1362"/>
    </row>
    <row r="17222" spans="1:12" x14ac:dyDescent="0.25">
      <c r="A17222">
        <v>43429</v>
      </c>
      <c r="B17222" t="s">
        <v>20724</v>
      </c>
      <c r="C17222" t="s">
        <v>2537</v>
      </c>
      <c r="D17222" s="254">
        <v>84.45</v>
      </c>
      <c r="E17222"/>
      <c r="F17222"/>
      <c r="G17222"/>
      <c r="H17222"/>
      <c r="I17222" s="489"/>
      <c r="J17222" s="1362"/>
      <c r="K17222" s="1362"/>
      <c r="L17222" s="1362"/>
    </row>
    <row r="17223" spans="1:12" x14ac:dyDescent="0.25">
      <c r="A17223">
        <v>43430</v>
      </c>
      <c r="B17223" t="s">
        <v>20725</v>
      </c>
      <c r="C17223" t="s">
        <v>2537</v>
      </c>
      <c r="D17223" s="254">
        <v>140.29</v>
      </c>
      <c r="E17223"/>
      <c r="F17223"/>
      <c r="G17223"/>
      <c r="H17223"/>
      <c r="I17223" s="489"/>
      <c r="J17223" s="1362"/>
      <c r="K17223" s="1362"/>
      <c r="L17223" s="1362"/>
    </row>
    <row r="17224" spans="1:12" x14ac:dyDescent="0.25">
      <c r="A17224">
        <v>43431</v>
      </c>
      <c r="B17224" t="s">
        <v>20726</v>
      </c>
      <c r="C17224" t="s">
        <v>2537</v>
      </c>
      <c r="D17224" s="254">
        <v>271.76</v>
      </c>
      <c r="E17224"/>
      <c r="F17224"/>
      <c r="G17224"/>
      <c r="H17224"/>
      <c r="I17224" s="489"/>
      <c r="J17224" s="1362"/>
      <c r="K17224" s="1362"/>
      <c r="L17224" s="1362"/>
    </row>
    <row r="17225" spans="1:12" x14ac:dyDescent="0.25">
      <c r="A17225">
        <v>43432</v>
      </c>
      <c r="B17225" t="s">
        <v>20727</v>
      </c>
      <c r="C17225" t="s">
        <v>2537</v>
      </c>
      <c r="D17225" s="254">
        <v>564.70000000000005</v>
      </c>
      <c r="E17225"/>
      <c r="F17225"/>
      <c r="G17225"/>
      <c r="H17225"/>
      <c r="I17225" s="489"/>
      <c r="J17225" s="1362"/>
      <c r="K17225" s="1362"/>
      <c r="L17225" s="1362"/>
    </row>
    <row r="17226" spans="1:12" x14ac:dyDescent="0.25">
      <c r="A17226">
        <v>43433</v>
      </c>
      <c r="B17226" t="s">
        <v>20728</v>
      </c>
      <c r="C17226" t="s">
        <v>2537</v>
      </c>
      <c r="D17226" s="254">
        <v>890.29</v>
      </c>
      <c r="E17226"/>
      <c r="F17226"/>
      <c r="G17226"/>
      <c r="H17226"/>
      <c r="I17226" s="489"/>
      <c r="J17226" s="1362"/>
      <c r="K17226" s="1362"/>
      <c r="L17226" s="1362"/>
    </row>
    <row r="17227" spans="1:12" x14ac:dyDescent="0.25">
      <c r="A17227">
        <v>43094</v>
      </c>
      <c r="B17227" t="s">
        <v>20729</v>
      </c>
      <c r="C17227" t="s">
        <v>2537</v>
      </c>
      <c r="D17227" s="254">
        <v>338.4</v>
      </c>
      <c r="E17227"/>
      <c r="F17227"/>
      <c r="G17227"/>
      <c r="H17227"/>
      <c r="I17227" s="489"/>
      <c r="J17227" s="1362"/>
      <c r="K17227" s="1362"/>
      <c r="L17227" s="1362"/>
    </row>
    <row r="17228" spans="1:12" x14ac:dyDescent="0.25">
      <c r="A17228">
        <v>43093</v>
      </c>
      <c r="B17228" t="s">
        <v>20730</v>
      </c>
      <c r="C17228" t="s">
        <v>2537</v>
      </c>
      <c r="D17228" s="254">
        <v>359.62</v>
      </c>
      <c r="E17228"/>
      <c r="F17228"/>
      <c r="G17228"/>
      <c r="H17228"/>
      <c r="I17228" s="489"/>
      <c r="J17228" s="1362"/>
      <c r="K17228" s="1362"/>
      <c r="L17228" s="1362"/>
    </row>
    <row r="17229" spans="1:12" x14ac:dyDescent="0.25">
      <c r="A17229">
        <v>1030</v>
      </c>
      <c r="B17229" t="s">
        <v>20731</v>
      </c>
      <c r="C17229" t="s">
        <v>2537</v>
      </c>
      <c r="D17229" s="254">
        <v>42</v>
      </c>
      <c r="E17229"/>
      <c r="F17229"/>
      <c r="G17229"/>
      <c r="H17229"/>
      <c r="I17229" s="489"/>
      <c r="J17229" s="1362"/>
      <c r="K17229" s="1362"/>
      <c r="L17229" s="1362"/>
    </row>
    <row r="17230" spans="1:12" x14ac:dyDescent="0.25">
      <c r="A17230">
        <v>11694</v>
      </c>
      <c r="B17230" t="s">
        <v>20732</v>
      </c>
      <c r="C17230" t="s">
        <v>2537</v>
      </c>
      <c r="D17230" s="254">
        <v>928.42</v>
      </c>
      <c r="E17230"/>
      <c r="F17230"/>
      <c r="G17230"/>
      <c r="H17230"/>
      <c r="I17230" s="489"/>
      <c r="J17230" s="1362"/>
      <c r="K17230" s="1362"/>
      <c r="L17230" s="1362"/>
    </row>
    <row r="17231" spans="1:12" x14ac:dyDescent="0.25">
      <c r="A17231">
        <v>11881</v>
      </c>
      <c r="B17231" t="s">
        <v>20733</v>
      </c>
      <c r="C17231" t="s">
        <v>2537</v>
      </c>
      <c r="D17231" s="254">
        <v>149.99</v>
      </c>
      <c r="E17231"/>
      <c r="F17231"/>
      <c r="G17231"/>
      <c r="H17231"/>
      <c r="I17231" s="489"/>
      <c r="J17231" s="1362"/>
      <c r="K17231" s="1362"/>
      <c r="L17231" s="1362"/>
    </row>
    <row r="17232" spans="1:12" x14ac:dyDescent="0.25">
      <c r="A17232">
        <v>35277</v>
      </c>
      <c r="B17232" t="s">
        <v>20734</v>
      </c>
      <c r="C17232" t="s">
        <v>2537</v>
      </c>
      <c r="D17232" s="254">
        <v>381.5</v>
      </c>
      <c r="E17232"/>
      <c r="F17232"/>
      <c r="G17232"/>
      <c r="H17232"/>
      <c r="I17232" s="489"/>
      <c r="J17232" s="1362"/>
      <c r="K17232" s="1362"/>
      <c r="L17232" s="1362"/>
    </row>
    <row r="17233" spans="1:12" x14ac:dyDescent="0.25">
      <c r="A17233">
        <v>10521</v>
      </c>
      <c r="B17233" t="s">
        <v>20735</v>
      </c>
      <c r="C17233" t="s">
        <v>2537</v>
      </c>
      <c r="D17233" s="254">
        <v>284.45</v>
      </c>
      <c r="E17233"/>
      <c r="F17233"/>
      <c r="G17233"/>
      <c r="H17233"/>
      <c r="I17233" s="489"/>
      <c r="J17233" s="1362"/>
      <c r="K17233" s="1362"/>
      <c r="L17233" s="1362"/>
    </row>
    <row r="17234" spans="1:12" x14ac:dyDescent="0.25">
      <c r="A17234">
        <v>10885</v>
      </c>
      <c r="B17234" t="s">
        <v>20736</v>
      </c>
      <c r="C17234" t="s">
        <v>2537</v>
      </c>
      <c r="D17234" s="254">
        <v>359.8</v>
      </c>
      <c r="E17234"/>
      <c r="F17234"/>
      <c r="G17234"/>
      <c r="H17234"/>
      <c r="I17234" s="489"/>
      <c r="J17234" s="1362"/>
      <c r="K17234" s="1362"/>
      <c r="L17234" s="1362"/>
    </row>
    <row r="17235" spans="1:12" x14ac:dyDescent="0.25">
      <c r="A17235">
        <v>20962</v>
      </c>
      <c r="B17235" t="s">
        <v>20737</v>
      </c>
      <c r="C17235" t="s">
        <v>2537</v>
      </c>
      <c r="D17235" s="254">
        <v>298</v>
      </c>
      <c r="E17235"/>
      <c r="F17235"/>
      <c r="G17235"/>
      <c r="H17235"/>
      <c r="I17235" s="489"/>
      <c r="J17235" s="1362"/>
      <c r="K17235" s="1362"/>
      <c r="L17235" s="1362"/>
    </row>
    <row r="17236" spans="1:12" x14ac:dyDescent="0.25">
      <c r="A17236">
        <v>20963</v>
      </c>
      <c r="B17236" t="s">
        <v>20738</v>
      </c>
      <c r="C17236" t="s">
        <v>2537</v>
      </c>
      <c r="D17236" s="254">
        <v>364.03</v>
      </c>
      <c r="E17236"/>
      <c r="F17236"/>
      <c r="G17236"/>
      <c r="H17236"/>
      <c r="I17236" s="489"/>
      <c r="J17236" s="1362"/>
      <c r="K17236" s="1362"/>
      <c r="L17236" s="1362"/>
    </row>
    <row r="17237" spans="1:12" x14ac:dyDescent="0.25">
      <c r="A17237">
        <v>34643</v>
      </c>
      <c r="B17237" t="s">
        <v>20739</v>
      </c>
      <c r="C17237" t="s">
        <v>2537</v>
      </c>
      <c r="D17237" s="254">
        <v>43.93</v>
      </c>
      <c r="E17237"/>
      <c r="F17237"/>
      <c r="G17237"/>
      <c r="H17237"/>
      <c r="I17237" s="489"/>
      <c r="J17237" s="1362"/>
      <c r="K17237" s="1362"/>
      <c r="L17237" s="1362"/>
    </row>
    <row r="17238" spans="1:12" x14ac:dyDescent="0.25">
      <c r="A17238">
        <v>41480</v>
      </c>
      <c r="B17238" t="s">
        <v>20740</v>
      </c>
      <c r="C17238" t="s">
        <v>2537</v>
      </c>
      <c r="D17238" s="254">
        <v>50.94</v>
      </c>
      <c r="E17238"/>
      <c r="F17238"/>
      <c r="G17238"/>
      <c r="H17238"/>
      <c r="I17238" s="489"/>
      <c r="J17238" s="1362"/>
      <c r="K17238" s="1362"/>
      <c r="L17238" s="1362"/>
    </row>
    <row r="17239" spans="1:12" x14ac:dyDescent="0.25">
      <c r="A17239">
        <v>41474</v>
      </c>
      <c r="B17239" t="s">
        <v>20741</v>
      </c>
      <c r="C17239" t="s">
        <v>2537</v>
      </c>
      <c r="D17239" s="254">
        <v>81.38</v>
      </c>
      <c r="E17239"/>
      <c r="F17239"/>
      <c r="G17239"/>
      <c r="H17239"/>
      <c r="I17239" s="489"/>
      <c r="J17239" s="1362"/>
      <c r="K17239" s="1362"/>
      <c r="L17239" s="1362"/>
    </row>
    <row r="17240" spans="1:12" x14ac:dyDescent="0.25">
      <c r="A17240">
        <v>41475</v>
      </c>
      <c r="B17240" t="s">
        <v>20742</v>
      </c>
      <c r="C17240" t="s">
        <v>2537</v>
      </c>
      <c r="D17240" s="254">
        <v>69.430000000000007</v>
      </c>
      <c r="E17240"/>
      <c r="F17240"/>
      <c r="G17240"/>
      <c r="H17240"/>
      <c r="I17240" s="489"/>
      <c r="J17240" s="1362"/>
      <c r="K17240" s="1362"/>
      <c r="L17240" s="1362"/>
    </row>
    <row r="17241" spans="1:12" x14ac:dyDescent="0.25">
      <c r="A17241">
        <v>41476</v>
      </c>
      <c r="B17241" t="s">
        <v>20743</v>
      </c>
      <c r="C17241" t="s">
        <v>2537</v>
      </c>
      <c r="D17241" s="254">
        <v>152.03</v>
      </c>
      <c r="E17241"/>
      <c r="F17241"/>
      <c r="G17241"/>
      <c r="H17241"/>
      <c r="I17241" s="489"/>
      <c r="J17241" s="1362"/>
      <c r="K17241" s="1362"/>
      <c r="L17241" s="1362"/>
    </row>
    <row r="17242" spans="1:12" x14ac:dyDescent="0.25">
      <c r="A17242">
        <v>2555</v>
      </c>
      <c r="B17242" t="s">
        <v>20744</v>
      </c>
      <c r="C17242" t="s">
        <v>2537</v>
      </c>
      <c r="D17242" s="254">
        <v>1.74</v>
      </c>
      <c r="E17242"/>
      <c r="F17242"/>
      <c r="G17242"/>
      <c r="H17242"/>
      <c r="I17242" s="489"/>
      <c r="J17242" s="1362"/>
      <c r="K17242" s="1362"/>
      <c r="L17242" s="1362"/>
    </row>
    <row r="17243" spans="1:12" x14ac:dyDescent="0.25">
      <c r="A17243">
        <v>2556</v>
      </c>
      <c r="B17243" t="s">
        <v>20745</v>
      </c>
      <c r="C17243" t="s">
        <v>2537</v>
      </c>
      <c r="D17243" s="254">
        <v>1.8</v>
      </c>
      <c r="E17243"/>
      <c r="F17243"/>
      <c r="G17243"/>
      <c r="H17243"/>
      <c r="I17243" s="489"/>
      <c r="J17243" s="1362"/>
      <c r="K17243" s="1362"/>
      <c r="L17243" s="1362"/>
    </row>
    <row r="17244" spans="1:12" x14ac:dyDescent="0.25">
      <c r="A17244">
        <v>2557</v>
      </c>
      <c r="B17244" t="s">
        <v>20746</v>
      </c>
      <c r="C17244" t="s">
        <v>2537</v>
      </c>
      <c r="D17244" s="254">
        <v>3.81</v>
      </c>
      <c r="E17244"/>
      <c r="F17244"/>
      <c r="G17244"/>
      <c r="H17244"/>
      <c r="I17244" s="489"/>
      <c r="J17244" s="1362"/>
      <c r="K17244" s="1362"/>
      <c r="L17244" s="1362"/>
    </row>
    <row r="17245" spans="1:12" x14ac:dyDescent="0.25">
      <c r="A17245">
        <v>10569</v>
      </c>
      <c r="B17245" t="s">
        <v>20747</v>
      </c>
      <c r="C17245" t="s">
        <v>2537</v>
      </c>
      <c r="D17245" s="254">
        <v>3.81</v>
      </c>
      <c r="E17245"/>
      <c r="F17245"/>
      <c r="G17245"/>
      <c r="H17245"/>
      <c r="I17245" s="489"/>
      <c r="J17245" s="1362"/>
      <c r="K17245" s="1362"/>
      <c r="L17245" s="1362"/>
    </row>
    <row r="17246" spans="1:12" x14ac:dyDescent="0.25">
      <c r="A17246">
        <v>39810</v>
      </c>
      <c r="B17246" t="s">
        <v>20748</v>
      </c>
      <c r="C17246" t="s">
        <v>2537</v>
      </c>
      <c r="D17246" s="254">
        <v>45.67</v>
      </c>
      <c r="E17246"/>
      <c r="F17246"/>
      <c r="G17246"/>
      <c r="H17246"/>
      <c r="I17246" s="489"/>
      <c r="J17246" s="1362"/>
      <c r="K17246" s="1362"/>
      <c r="L17246" s="1362"/>
    </row>
    <row r="17247" spans="1:12" x14ac:dyDescent="0.25">
      <c r="A17247">
        <v>39811</v>
      </c>
      <c r="B17247" t="s">
        <v>20749</v>
      </c>
      <c r="C17247" t="s">
        <v>2537</v>
      </c>
      <c r="D17247" s="254">
        <v>55.86</v>
      </c>
      <c r="E17247"/>
      <c r="F17247"/>
      <c r="G17247"/>
      <c r="H17247"/>
      <c r="I17247" s="489"/>
      <c r="J17247" s="1362"/>
      <c r="K17247" s="1362"/>
      <c r="L17247" s="1362"/>
    </row>
    <row r="17248" spans="1:12" x14ac:dyDescent="0.25">
      <c r="A17248">
        <v>39812</v>
      </c>
      <c r="B17248" t="s">
        <v>20750</v>
      </c>
      <c r="C17248" t="s">
        <v>2537</v>
      </c>
      <c r="D17248" s="254">
        <v>91.85</v>
      </c>
      <c r="E17248"/>
      <c r="F17248"/>
      <c r="G17248"/>
      <c r="H17248"/>
      <c r="I17248" s="489"/>
      <c r="J17248" s="1362"/>
      <c r="K17248" s="1362"/>
      <c r="L17248" s="1362"/>
    </row>
    <row r="17249" spans="1:12" x14ac:dyDescent="0.25">
      <c r="A17249">
        <v>43096</v>
      </c>
      <c r="B17249" t="s">
        <v>20751</v>
      </c>
      <c r="C17249" t="s">
        <v>2537</v>
      </c>
      <c r="D17249" s="254">
        <v>304.45</v>
      </c>
      <c r="E17249"/>
      <c r="F17249"/>
      <c r="G17249"/>
      <c r="H17249"/>
      <c r="I17249" s="489"/>
      <c r="J17249" s="1362"/>
      <c r="K17249" s="1362"/>
      <c r="L17249" s="1362"/>
    </row>
    <row r="17250" spans="1:12" x14ac:dyDescent="0.25">
      <c r="A17250">
        <v>43102</v>
      </c>
      <c r="B17250" t="s">
        <v>20752</v>
      </c>
      <c r="C17250" t="s">
        <v>2537</v>
      </c>
      <c r="D17250" s="254">
        <v>185.12</v>
      </c>
      <c r="E17250"/>
      <c r="F17250"/>
      <c r="G17250"/>
      <c r="H17250"/>
      <c r="I17250" s="489"/>
      <c r="J17250" s="1362"/>
      <c r="K17250" s="1362"/>
      <c r="L17250" s="1362"/>
    </row>
    <row r="17251" spans="1:12" x14ac:dyDescent="0.25">
      <c r="A17251">
        <v>43103</v>
      </c>
      <c r="B17251" t="s">
        <v>20753</v>
      </c>
      <c r="C17251" t="s">
        <v>2537</v>
      </c>
      <c r="D17251" s="254">
        <v>272.60000000000002</v>
      </c>
      <c r="E17251"/>
      <c r="F17251"/>
      <c r="G17251"/>
      <c r="H17251"/>
      <c r="I17251" s="489"/>
      <c r="J17251" s="1362"/>
      <c r="K17251" s="1362"/>
      <c r="L17251" s="1362"/>
    </row>
    <row r="17252" spans="1:12" x14ac:dyDescent="0.25">
      <c r="A17252">
        <v>43098</v>
      </c>
      <c r="B17252" t="s">
        <v>20754</v>
      </c>
      <c r="C17252" t="s">
        <v>2537</v>
      </c>
      <c r="D17252" s="254">
        <v>103.13</v>
      </c>
      <c r="E17252"/>
      <c r="F17252"/>
      <c r="G17252"/>
      <c r="H17252"/>
      <c r="I17252" s="489"/>
      <c r="J17252" s="1362"/>
      <c r="K17252" s="1362"/>
      <c r="L17252" s="1362"/>
    </row>
    <row r="17253" spans="1:12" x14ac:dyDescent="0.25">
      <c r="A17253">
        <v>43097</v>
      </c>
      <c r="B17253" t="s">
        <v>20755</v>
      </c>
      <c r="C17253" t="s">
        <v>2537</v>
      </c>
      <c r="D17253" s="254">
        <v>61.1</v>
      </c>
      <c r="E17253"/>
      <c r="F17253"/>
      <c r="G17253"/>
      <c r="H17253"/>
      <c r="I17253" s="489"/>
      <c r="J17253" s="1362"/>
      <c r="K17253" s="1362"/>
      <c r="L17253" s="1362"/>
    </row>
    <row r="17254" spans="1:12" x14ac:dyDescent="0.25">
      <c r="A17254">
        <v>43104</v>
      </c>
      <c r="B17254" t="s">
        <v>20756</v>
      </c>
      <c r="C17254" t="s">
        <v>2537</v>
      </c>
      <c r="D17254" s="254">
        <v>722.73</v>
      </c>
      <c r="E17254"/>
      <c r="F17254"/>
      <c r="G17254"/>
      <c r="H17254"/>
      <c r="I17254" s="489"/>
      <c r="J17254" s="1362"/>
      <c r="K17254" s="1362"/>
      <c r="L17254" s="1362"/>
    </row>
    <row r="17255" spans="1:12" x14ac:dyDescent="0.25">
      <c r="A17255">
        <v>39771</v>
      </c>
      <c r="B17255" t="s">
        <v>20757</v>
      </c>
      <c r="C17255" t="s">
        <v>2537</v>
      </c>
      <c r="D17255" s="254">
        <v>36.61</v>
      </c>
      <c r="E17255"/>
      <c r="F17255"/>
      <c r="G17255"/>
      <c r="H17255"/>
      <c r="I17255" s="489"/>
      <c r="J17255" s="1362"/>
      <c r="K17255" s="1362"/>
      <c r="L17255" s="1362"/>
    </row>
    <row r="17256" spans="1:12" x14ac:dyDescent="0.25">
      <c r="A17256">
        <v>39772</v>
      </c>
      <c r="B17256" t="s">
        <v>20758</v>
      </c>
      <c r="C17256" t="s">
        <v>2537</v>
      </c>
      <c r="D17256" s="254">
        <v>71.95</v>
      </c>
      <c r="E17256"/>
      <c r="F17256"/>
      <c r="G17256"/>
      <c r="H17256"/>
      <c r="I17256" s="489"/>
      <c r="J17256" s="1362"/>
      <c r="K17256" s="1362"/>
      <c r="L17256" s="1362"/>
    </row>
    <row r="17257" spans="1:12" x14ac:dyDescent="0.25">
      <c r="A17257">
        <v>39773</v>
      </c>
      <c r="B17257" t="s">
        <v>20759</v>
      </c>
      <c r="C17257" t="s">
        <v>2537</v>
      </c>
      <c r="D17257" s="254">
        <v>115.65</v>
      </c>
      <c r="E17257"/>
      <c r="F17257"/>
      <c r="G17257"/>
      <c r="H17257"/>
      <c r="I17257" s="489"/>
      <c r="J17257" s="1362"/>
      <c r="K17257" s="1362"/>
      <c r="L17257" s="1362"/>
    </row>
    <row r="17258" spans="1:12" x14ac:dyDescent="0.25">
      <c r="A17258">
        <v>39774</v>
      </c>
      <c r="B17258" t="s">
        <v>20760</v>
      </c>
      <c r="C17258" t="s">
        <v>2537</v>
      </c>
      <c r="D17258" s="254">
        <v>172.98</v>
      </c>
      <c r="E17258"/>
      <c r="F17258"/>
      <c r="G17258"/>
      <c r="H17258"/>
      <c r="I17258" s="489"/>
      <c r="J17258" s="1362"/>
      <c r="K17258" s="1362"/>
      <c r="L17258" s="1362"/>
    </row>
    <row r="17259" spans="1:12" x14ac:dyDescent="0.25">
      <c r="A17259">
        <v>39775</v>
      </c>
      <c r="B17259" t="s">
        <v>20761</v>
      </c>
      <c r="C17259" t="s">
        <v>2537</v>
      </c>
      <c r="D17259" s="254">
        <v>230.87</v>
      </c>
      <c r="E17259"/>
      <c r="F17259"/>
      <c r="G17259"/>
      <c r="H17259"/>
      <c r="I17259" s="489"/>
      <c r="J17259" s="1362"/>
      <c r="K17259" s="1362"/>
      <c r="L17259" s="1362"/>
    </row>
    <row r="17260" spans="1:12" x14ac:dyDescent="0.25">
      <c r="A17260">
        <v>39776</v>
      </c>
      <c r="B17260" t="s">
        <v>20762</v>
      </c>
      <c r="C17260" t="s">
        <v>2537</v>
      </c>
      <c r="D17260" s="254">
        <v>279.01</v>
      </c>
      <c r="E17260"/>
      <c r="F17260"/>
      <c r="G17260"/>
      <c r="H17260"/>
      <c r="I17260" s="489"/>
      <c r="J17260" s="1362"/>
      <c r="K17260" s="1362"/>
      <c r="L17260" s="1362"/>
    </row>
    <row r="17261" spans="1:12" x14ac:dyDescent="0.25">
      <c r="A17261">
        <v>39777</v>
      </c>
      <c r="B17261" t="s">
        <v>20763</v>
      </c>
      <c r="C17261" t="s">
        <v>2537</v>
      </c>
      <c r="D17261" s="254">
        <v>353.63</v>
      </c>
      <c r="E17261"/>
      <c r="F17261"/>
      <c r="G17261"/>
      <c r="H17261"/>
      <c r="I17261" s="489"/>
      <c r="J17261" s="1362"/>
      <c r="K17261" s="1362"/>
      <c r="L17261" s="1362"/>
    </row>
    <row r="17262" spans="1:12" x14ac:dyDescent="0.25">
      <c r="A17262">
        <v>20254</v>
      </c>
      <c r="B17262" t="s">
        <v>20764</v>
      </c>
      <c r="C17262" t="s">
        <v>2537</v>
      </c>
      <c r="D17262" s="254">
        <v>25.67</v>
      </c>
      <c r="E17262"/>
      <c r="F17262"/>
      <c r="G17262"/>
      <c r="H17262"/>
      <c r="I17262" s="489"/>
      <c r="J17262" s="1362"/>
      <c r="K17262" s="1362"/>
      <c r="L17262" s="1362"/>
    </row>
    <row r="17263" spans="1:12" x14ac:dyDescent="0.25">
      <c r="A17263">
        <v>20253</v>
      </c>
      <c r="B17263" t="s">
        <v>20765</v>
      </c>
      <c r="C17263" t="s">
        <v>2537</v>
      </c>
      <c r="D17263" s="254">
        <v>84.28</v>
      </c>
      <c r="E17263"/>
      <c r="F17263"/>
      <c r="G17263"/>
      <c r="H17263"/>
      <c r="I17263" s="489"/>
      <c r="J17263" s="1362"/>
      <c r="K17263" s="1362"/>
      <c r="L17263" s="1362"/>
    </row>
    <row r="17264" spans="1:12" x14ac:dyDescent="0.25">
      <c r="A17264">
        <v>11247</v>
      </c>
      <c r="B17264" t="s">
        <v>20766</v>
      </c>
      <c r="C17264" t="s">
        <v>2537</v>
      </c>
      <c r="D17264" s="254">
        <v>1620.7</v>
      </c>
      <c r="E17264"/>
      <c r="F17264"/>
      <c r="G17264"/>
      <c r="H17264"/>
      <c r="I17264" s="489"/>
      <c r="J17264" s="1362"/>
      <c r="K17264" s="1362"/>
      <c r="L17264" s="1362"/>
    </row>
    <row r="17265" spans="1:12" x14ac:dyDescent="0.25">
      <c r="A17265">
        <v>11250</v>
      </c>
      <c r="B17265" t="s">
        <v>20767</v>
      </c>
      <c r="C17265" t="s">
        <v>2537</v>
      </c>
      <c r="D17265" s="254">
        <v>69.77</v>
      </c>
      <c r="E17265"/>
      <c r="F17265"/>
      <c r="G17265"/>
      <c r="H17265"/>
      <c r="I17265" s="489"/>
      <c r="J17265" s="1362"/>
      <c r="K17265" s="1362"/>
      <c r="L17265" s="1362"/>
    </row>
    <row r="17266" spans="1:12" x14ac:dyDescent="0.25">
      <c r="A17266">
        <v>11249</v>
      </c>
      <c r="B17266" t="s">
        <v>20768</v>
      </c>
      <c r="C17266" t="s">
        <v>2537</v>
      </c>
      <c r="D17266" s="254">
        <v>3165.8</v>
      </c>
      <c r="E17266"/>
      <c r="F17266"/>
      <c r="G17266"/>
      <c r="H17266"/>
      <c r="I17266" s="489"/>
      <c r="J17266" s="1362"/>
      <c r="K17266" s="1362"/>
      <c r="L17266" s="1362"/>
    </row>
    <row r="17267" spans="1:12" x14ac:dyDescent="0.25">
      <c r="A17267">
        <v>11251</v>
      </c>
      <c r="B17267" t="s">
        <v>20769</v>
      </c>
      <c r="C17267" t="s">
        <v>2537</v>
      </c>
      <c r="D17267" s="254">
        <v>154.55000000000001</v>
      </c>
      <c r="E17267"/>
      <c r="F17267"/>
      <c r="G17267"/>
      <c r="H17267"/>
      <c r="I17267" s="489"/>
      <c r="J17267" s="1362"/>
      <c r="K17267" s="1362"/>
      <c r="L17267" s="1362"/>
    </row>
    <row r="17268" spans="1:12" x14ac:dyDescent="0.25">
      <c r="A17268">
        <v>11253</v>
      </c>
      <c r="B17268" t="s">
        <v>20770</v>
      </c>
      <c r="C17268" t="s">
        <v>2537</v>
      </c>
      <c r="D17268" s="254">
        <v>256.11</v>
      </c>
      <c r="E17268"/>
      <c r="F17268"/>
      <c r="G17268"/>
      <c r="H17268"/>
      <c r="I17268" s="489"/>
      <c r="J17268" s="1362"/>
      <c r="K17268" s="1362"/>
      <c r="L17268" s="1362"/>
    </row>
    <row r="17269" spans="1:12" x14ac:dyDescent="0.25">
      <c r="A17269">
        <v>11255</v>
      </c>
      <c r="B17269" t="s">
        <v>20771</v>
      </c>
      <c r="C17269" t="s">
        <v>2537</v>
      </c>
      <c r="D17269" s="254">
        <v>382.88</v>
      </c>
      <c r="E17269"/>
      <c r="F17269"/>
      <c r="G17269"/>
      <c r="H17269"/>
      <c r="I17269" s="489"/>
      <c r="J17269" s="1362"/>
      <c r="K17269" s="1362"/>
      <c r="L17269" s="1362"/>
    </row>
    <row r="17270" spans="1:12" x14ac:dyDescent="0.25">
      <c r="A17270">
        <v>14055</v>
      </c>
      <c r="B17270" t="s">
        <v>20772</v>
      </c>
      <c r="C17270" t="s">
        <v>2537</v>
      </c>
      <c r="D17270" s="254">
        <v>770.22</v>
      </c>
      <c r="E17270"/>
      <c r="F17270"/>
      <c r="G17270"/>
      <c r="H17270"/>
      <c r="I17270" s="489"/>
      <c r="J17270" s="1362"/>
      <c r="K17270" s="1362"/>
      <c r="L17270" s="1362"/>
    </row>
    <row r="17271" spans="1:12" x14ac:dyDescent="0.25">
      <c r="A17271">
        <v>11256</v>
      </c>
      <c r="B17271" t="s">
        <v>20773</v>
      </c>
      <c r="C17271" t="s">
        <v>2537</v>
      </c>
      <c r="D17271" s="254">
        <v>479.59</v>
      </c>
      <c r="E17271"/>
      <c r="F17271"/>
      <c r="G17271"/>
      <c r="H17271"/>
      <c r="I17271" s="489"/>
      <c r="J17271" s="1362"/>
      <c r="K17271" s="1362"/>
      <c r="L17271" s="1362"/>
    </row>
    <row r="17272" spans="1:12" x14ac:dyDescent="0.25">
      <c r="A17272">
        <v>1872</v>
      </c>
      <c r="B17272" t="s">
        <v>20774</v>
      </c>
      <c r="C17272" t="s">
        <v>2537</v>
      </c>
      <c r="D17272" s="254">
        <v>2.42</v>
      </c>
      <c r="E17272"/>
      <c r="F17272"/>
      <c r="G17272"/>
      <c r="H17272"/>
      <c r="I17272" s="489"/>
      <c r="J17272" s="1362"/>
      <c r="K17272" s="1362"/>
      <c r="L17272" s="1362"/>
    </row>
    <row r="17273" spans="1:12" x14ac:dyDescent="0.25">
      <c r="A17273">
        <v>1873</v>
      </c>
      <c r="B17273" t="s">
        <v>20775</v>
      </c>
      <c r="C17273" t="s">
        <v>2537</v>
      </c>
      <c r="D17273" s="254">
        <v>4.8099999999999996</v>
      </c>
      <c r="E17273"/>
      <c r="F17273"/>
      <c r="G17273"/>
      <c r="H17273"/>
      <c r="I17273" s="489"/>
      <c r="J17273" s="1362"/>
      <c r="K17273" s="1362"/>
      <c r="L17273" s="1362"/>
    </row>
    <row r="17274" spans="1:12" x14ac:dyDescent="0.25">
      <c r="A17274">
        <v>39693</v>
      </c>
      <c r="B17274" t="s">
        <v>20776</v>
      </c>
      <c r="C17274" t="s">
        <v>2537</v>
      </c>
      <c r="D17274" s="254">
        <v>3012.07</v>
      </c>
      <c r="E17274"/>
      <c r="F17274"/>
      <c r="G17274"/>
      <c r="H17274"/>
      <c r="I17274" s="489"/>
      <c r="J17274" s="1362"/>
      <c r="K17274" s="1362"/>
      <c r="L17274" s="1362"/>
    </row>
    <row r="17275" spans="1:12" x14ac:dyDescent="0.25">
      <c r="A17275">
        <v>39692</v>
      </c>
      <c r="B17275" t="s">
        <v>20777</v>
      </c>
      <c r="C17275" t="s">
        <v>2537</v>
      </c>
      <c r="D17275" s="254">
        <v>963.79</v>
      </c>
      <c r="E17275"/>
      <c r="F17275"/>
      <c r="G17275"/>
      <c r="H17275"/>
      <c r="I17275" s="489"/>
      <c r="J17275" s="1362"/>
      <c r="K17275" s="1362"/>
      <c r="L17275" s="1362"/>
    </row>
    <row r="17276" spans="1:12" x14ac:dyDescent="0.25">
      <c r="A17276">
        <v>1062</v>
      </c>
      <c r="B17276" t="s">
        <v>20778</v>
      </c>
      <c r="C17276" t="s">
        <v>2537</v>
      </c>
      <c r="D17276" s="254">
        <v>305.44</v>
      </c>
      <c r="E17276"/>
      <c r="F17276"/>
      <c r="G17276"/>
      <c r="H17276"/>
      <c r="I17276" s="489"/>
      <c r="J17276" s="1362"/>
      <c r="K17276" s="1362"/>
      <c r="L17276" s="1362"/>
    </row>
    <row r="17277" spans="1:12" x14ac:dyDescent="0.25">
      <c r="A17277">
        <v>39686</v>
      </c>
      <c r="B17277" t="s">
        <v>20779</v>
      </c>
      <c r="C17277" t="s">
        <v>2537</v>
      </c>
      <c r="D17277" s="254">
        <v>494.58</v>
      </c>
      <c r="E17277"/>
      <c r="F17277"/>
      <c r="G17277"/>
      <c r="H17277"/>
      <c r="I17277" s="489"/>
      <c r="J17277" s="1362"/>
      <c r="K17277" s="1362"/>
      <c r="L17277" s="1362"/>
    </row>
    <row r="17278" spans="1:12" x14ac:dyDescent="0.25">
      <c r="A17278">
        <v>43095</v>
      </c>
      <c r="B17278" t="s">
        <v>20780</v>
      </c>
      <c r="C17278" t="s">
        <v>2537</v>
      </c>
      <c r="D17278" s="254">
        <v>200.62</v>
      </c>
      <c r="E17278"/>
      <c r="F17278"/>
      <c r="G17278"/>
      <c r="H17278"/>
      <c r="I17278" s="489"/>
      <c r="J17278" s="1362"/>
      <c r="K17278" s="1362"/>
      <c r="L17278" s="1362"/>
    </row>
    <row r="17279" spans="1:12" x14ac:dyDescent="0.25">
      <c r="A17279">
        <v>1871</v>
      </c>
      <c r="B17279" t="s">
        <v>20781</v>
      </c>
      <c r="C17279" t="s">
        <v>2537</v>
      </c>
      <c r="D17279" s="254">
        <v>4.33</v>
      </c>
      <c r="E17279"/>
      <c r="F17279"/>
      <c r="G17279"/>
      <c r="H17279"/>
      <c r="I17279" s="489"/>
      <c r="J17279" s="1362"/>
      <c r="K17279" s="1362"/>
      <c r="L17279" s="1362"/>
    </row>
    <row r="17280" spans="1:12" x14ac:dyDescent="0.25">
      <c r="A17280">
        <v>12001</v>
      </c>
      <c r="B17280" t="s">
        <v>20782</v>
      </c>
      <c r="C17280" t="s">
        <v>2537</v>
      </c>
      <c r="D17280" s="254">
        <v>6.26</v>
      </c>
      <c r="E17280"/>
      <c r="F17280"/>
      <c r="G17280"/>
      <c r="H17280"/>
      <c r="I17280" s="489"/>
      <c r="J17280" s="1362"/>
      <c r="K17280" s="1362"/>
      <c r="L17280" s="1362"/>
    </row>
    <row r="17281" spans="1:12" x14ac:dyDescent="0.25">
      <c r="A17281">
        <v>11882</v>
      </c>
      <c r="B17281" t="s">
        <v>20783</v>
      </c>
      <c r="C17281" t="s">
        <v>2537</v>
      </c>
      <c r="D17281" s="254">
        <v>107.64</v>
      </c>
      <c r="E17281"/>
      <c r="F17281"/>
      <c r="G17281"/>
      <c r="H17281"/>
      <c r="I17281" s="489"/>
      <c r="J17281" s="1362"/>
      <c r="K17281" s="1362"/>
      <c r="L17281" s="1362"/>
    </row>
    <row r="17282" spans="1:12" x14ac:dyDescent="0.25">
      <c r="A17282">
        <v>1068</v>
      </c>
      <c r="B17282" t="s">
        <v>20784</v>
      </c>
      <c r="C17282" t="s">
        <v>2537</v>
      </c>
      <c r="D17282" s="254">
        <v>2014.71</v>
      </c>
      <c r="E17282"/>
      <c r="F17282"/>
      <c r="G17282"/>
      <c r="H17282"/>
      <c r="I17282" s="489"/>
      <c r="J17282" s="1362"/>
      <c r="K17282" s="1362"/>
      <c r="L17282" s="1362"/>
    </row>
    <row r="17283" spans="1:12" x14ac:dyDescent="0.25">
      <c r="A17283">
        <v>39690</v>
      </c>
      <c r="B17283" t="s">
        <v>20785</v>
      </c>
      <c r="C17283" t="s">
        <v>2537</v>
      </c>
      <c r="D17283" s="254">
        <v>3380.02</v>
      </c>
      <c r="E17283"/>
      <c r="F17283"/>
      <c r="G17283"/>
      <c r="H17283"/>
      <c r="I17283" s="489"/>
      <c r="J17283" s="1362"/>
      <c r="K17283" s="1362"/>
      <c r="L17283" s="1362"/>
    </row>
    <row r="17284" spans="1:12" x14ac:dyDescent="0.25">
      <c r="A17284">
        <v>39691</v>
      </c>
      <c r="B17284" t="s">
        <v>20786</v>
      </c>
      <c r="C17284" t="s">
        <v>2537</v>
      </c>
      <c r="D17284" s="254">
        <v>4251.12</v>
      </c>
      <c r="E17284"/>
      <c r="F17284"/>
      <c r="G17284"/>
      <c r="H17284"/>
      <c r="I17284" s="489"/>
      <c r="J17284" s="1362"/>
      <c r="K17284" s="1362"/>
      <c r="L17284" s="1362"/>
    </row>
    <row r="17285" spans="1:12" x14ac:dyDescent="0.25">
      <c r="A17285">
        <v>39808</v>
      </c>
      <c r="B17285" t="s">
        <v>20787</v>
      </c>
      <c r="C17285" t="s">
        <v>2537</v>
      </c>
      <c r="D17285" s="254">
        <v>104.74</v>
      </c>
      <c r="E17285"/>
      <c r="F17285"/>
      <c r="G17285"/>
      <c r="H17285"/>
      <c r="I17285" s="489"/>
      <c r="J17285" s="1362"/>
      <c r="K17285" s="1362"/>
      <c r="L17285" s="1362"/>
    </row>
    <row r="17286" spans="1:12" x14ac:dyDescent="0.25">
      <c r="A17286">
        <v>39809</v>
      </c>
      <c r="B17286" t="s">
        <v>20788</v>
      </c>
      <c r="C17286" t="s">
        <v>2537</v>
      </c>
      <c r="D17286" s="254">
        <v>248.43</v>
      </c>
      <c r="E17286"/>
      <c r="F17286"/>
      <c r="G17286"/>
      <c r="H17286"/>
      <c r="I17286" s="489"/>
      <c r="J17286" s="1362"/>
      <c r="K17286" s="1362"/>
      <c r="L17286" s="1362"/>
    </row>
    <row r="17287" spans="1:12" x14ac:dyDescent="0.25">
      <c r="A17287">
        <v>43439</v>
      </c>
      <c r="B17287" t="s">
        <v>20789</v>
      </c>
      <c r="C17287" t="s">
        <v>2537</v>
      </c>
      <c r="D17287" s="254">
        <v>494.11</v>
      </c>
      <c r="E17287"/>
      <c r="F17287"/>
      <c r="G17287"/>
      <c r="H17287"/>
      <c r="I17287" s="489"/>
      <c r="J17287" s="1362"/>
      <c r="K17287" s="1362"/>
      <c r="L17287" s="1362"/>
    </row>
    <row r="17288" spans="1:12" x14ac:dyDescent="0.25">
      <c r="A17288">
        <v>5103</v>
      </c>
      <c r="B17288" t="s">
        <v>20790</v>
      </c>
      <c r="C17288" t="s">
        <v>2537</v>
      </c>
      <c r="D17288" s="254">
        <v>24.15</v>
      </c>
      <c r="E17288"/>
      <c r="F17288"/>
      <c r="G17288"/>
      <c r="H17288"/>
      <c r="I17288" s="489"/>
      <c r="J17288" s="1362"/>
      <c r="K17288" s="1362"/>
      <c r="L17288" s="1362"/>
    </row>
    <row r="17289" spans="1:12" x14ac:dyDescent="0.25">
      <c r="A17289">
        <v>11880</v>
      </c>
      <c r="B17289" t="s">
        <v>20791</v>
      </c>
      <c r="C17289" t="s">
        <v>2537</v>
      </c>
      <c r="D17289" s="254">
        <v>101.58</v>
      </c>
      <c r="E17289"/>
      <c r="F17289"/>
      <c r="G17289"/>
      <c r="H17289"/>
      <c r="I17289" s="489"/>
      <c r="J17289" s="1362"/>
      <c r="K17289" s="1362"/>
      <c r="L17289" s="1362"/>
    </row>
    <row r="17290" spans="1:12" x14ac:dyDescent="0.25">
      <c r="A17290">
        <v>11714</v>
      </c>
      <c r="B17290" t="s">
        <v>20792</v>
      </c>
      <c r="C17290" t="s">
        <v>2537</v>
      </c>
      <c r="D17290" s="254">
        <v>69.2</v>
      </c>
      <c r="E17290"/>
      <c r="F17290"/>
      <c r="G17290"/>
      <c r="H17290"/>
      <c r="I17290" s="489"/>
      <c r="J17290" s="1362"/>
      <c r="K17290" s="1362"/>
      <c r="L17290" s="1362"/>
    </row>
    <row r="17291" spans="1:12" x14ac:dyDescent="0.25">
      <c r="A17291">
        <v>11712</v>
      </c>
      <c r="B17291" t="s">
        <v>20793</v>
      </c>
      <c r="C17291" t="s">
        <v>2537</v>
      </c>
      <c r="D17291" s="254">
        <v>45.19</v>
      </c>
      <c r="E17291"/>
      <c r="F17291"/>
      <c r="G17291"/>
      <c r="H17291"/>
      <c r="I17291" s="489"/>
      <c r="J17291" s="1362"/>
      <c r="K17291" s="1362"/>
      <c r="L17291" s="1362"/>
    </row>
    <row r="17292" spans="1:12" x14ac:dyDescent="0.25">
      <c r="A17292">
        <v>11717</v>
      </c>
      <c r="B17292" t="s">
        <v>20794</v>
      </c>
      <c r="C17292" t="s">
        <v>2537</v>
      </c>
      <c r="D17292" s="254">
        <v>54.47</v>
      </c>
      <c r="E17292"/>
      <c r="F17292"/>
      <c r="G17292"/>
      <c r="H17292"/>
      <c r="I17292" s="489"/>
      <c r="J17292" s="1362"/>
      <c r="K17292" s="1362"/>
      <c r="L17292" s="1362"/>
    </row>
    <row r="17293" spans="1:12" x14ac:dyDescent="0.25">
      <c r="A17293">
        <v>1106</v>
      </c>
      <c r="B17293" t="s">
        <v>20795</v>
      </c>
      <c r="C17293" t="s">
        <v>2542</v>
      </c>
      <c r="D17293" s="254">
        <v>0.8</v>
      </c>
      <c r="E17293"/>
      <c r="F17293"/>
      <c r="G17293"/>
      <c r="H17293"/>
      <c r="I17293" s="489"/>
      <c r="J17293" s="1362"/>
      <c r="K17293" s="1362"/>
      <c r="L17293" s="1362"/>
    </row>
    <row r="17294" spans="1:12" x14ac:dyDescent="0.25">
      <c r="A17294">
        <v>11161</v>
      </c>
      <c r="B17294" t="s">
        <v>20796</v>
      </c>
      <c r="C17294" t="s">
        <v>2542</v>
      </c>
      <c r="D17294" s="254">
        <v>1.33</v>
      </c>
      <c r="E17294"/>
      <c r="F17294"/>
      <c r="G17294"/>
      <c r="H17294"/>
      <c r="I17294" s="489"/>
      <c r="J17294" s="1362"/>
      <c r="K17294" s="1362"/>
      <c r="L17294" s="1362"/>
    </row>
    <row r="17295" spans="1:12" x14ac:dyDescent="0.25">
      <c r="A17295">
        <v>1107</v>
      </c>
      <c r="B17295" t="s">
        <v>20797</v>
      </c>
      <c r="C17295" t="s">
        <v>2542</v>
      </c>
      <c r="D17295" s="254">
        <v>0.68</v>
      </c>
      <c r="E17295"/>
      <c r="F17295"/>
      <c r="G17295"/>
      <c r="H17295"/>
      <c r="I17295" s="489"/>
      <c r="J17295" s="1362"/>
      <c r="K17295" s="1362"/>
      <c r="L17295" s="1362"/>
    </row>
    <row r="17296" spans="1:12" x14ac:dyDescent="0.25">
      <c r="A17296">
        <v>44479</v>
      </c>
      <c r="B17296" t="s">
        <v>20798</v>
      </c>
      <c r="C17296" t="s">
        <v>2542</v>
      </c>
      <c r="D17296" s="254">
        <v>0.15</v>
      </c>
      <c r="E17296"/>
      <c r="F17296"/>
      <c r="G17296"/>
      <c r="H17296"/>
      <c r="I17296" s="489"/>
      <c r="J17296" s="1362"/>
      <c r="K17296" s="1362"/>
      <c r="L17296" s="1362"/>
    </row>
    <row r="17297" spans="1:12" x14ac:dyDescent="0.25">
      <c r="A17297">
        <v>41068</v>
      </c>
      <c r="B17297" t="s">
        <v>20799</v>
      </c>
      <c r="C17297" t="s">
        <v>2544</v>
      </c>
      <c r="D17297" s="254">
        <v>4700.3</v>
      </c>
      <c r="E17297"/>
      <c r="F17297"/>
      <c r="G17297"/>
      <c r="H17297"/>
      <c r="I17297" s="489"/>
      <c r="J17297" s="1362"/>
      <c r="K17297" s="1362"/>
      <c r="L17297" s="1362"/>
    </row>
    <row r="17298" spans="1:12" x14ac:dyDescent="0.25">
      <c r="A17298">
        <v>4759</v>
      </c>
      <c r="B17298" t="s">
        <v>20800</v>
      </c>
      <c r="C17298" t="s">
        <v>2538</v>
      </c>
      <c r="D17298" s="254">
        <v>26.64</v>
      </c>
      <c r="E17298"/>
      <c r="F17298"/>
      <c r="G17298"/>
      <c r="H17298"/>
      <c r="I17298" s="489"/>
      <c r="J17298" s="1362"/>
      <c r="K17298" s="1362"/>
      <c r="L17298" s="1362"/>
    </row>
    <row r="17299" spans="1:12" x14ac:dyDescent="0.25">
      <c r="A17299">
        <v>1108</v>
      </c>
      <c r="B17299" t="s">
        <v>20801</v>
      </c>
      <c r="C17299" t="s">
        <v>2541</v>
      </c>
      <c r="D17299" s="254">
        <v>32.85</v>
      </c>
      <c r="E17299"/>
      <c r="F17299"/>
      <c r="G17299"/>
      <c r="H17299"/>
      <c r="I17299" s="489"/>
      <c r="J17299" s="1362"/>
      <c r="K17299" s="1362"/>
      <c r="L17299" s="1362"/>
    </row>
    <row r="17300" spans="1:12" x14ac:dyDescent="0.25">
      <c r="A17300">
        <v>1117</v>
      </c>
      <c r="B17300" t="s">
        <v>20802</v>
      </c>
      <c r="C17300" t="s">
        <v>2541</v>
      </c>
      <c r="D17300" s="254">
        <v>33.11</v>
      </c>
      <c r="E17300"/>
      <c r="F17300"/>
      <c r="G17300"/>
      <c r="H17300"/>
      <c r="I17300" s="489"/>
      <c r="J17300" s="1362"/>
      <c r="K17300" s="1362"/>
      <c r="L17300" s="1362"/>
    </row>
    <row r="17301" spans="1:12" x14ac:dyDescent="0.25">
      <c r="A17301">
        <v>1118</v>
      </c>
      <c r="B17301" t="s">
        <v>20803</v>
      </c>
      <c r="C17301" t="s">
        <v>2541</v>
      </c>
      <c r="D17301" s="254">
        <v>39.14</v>
      </c>
      <c r="E17301"/>
      <c r="F17301"/>
      <c r="G17301"/>
      <c r="H17301"/>
      <c r="I17301" s="489"/>
      <c r="J17301" s="1362"/>
      <c r="K17301" s="1362"/>
      <c r="L17301" s="1362"/>
    </row>
    <row r="17302" spans="1:12" x14ac:dyDescent="0.25">
      <c r="A17302">
        <v>1110</v>
      </c>
      <c r="B17302" t="s">
        <v>20804</v>
      </c>
      <c r="C17302" t="s">
        <v>2541</v>
      </c>
      <c r="D17302" s="254">
        <v>39.14</v>
      </c>
      <c r="E17302"/>
      <c r="F17302"/>
      <c r="G17302"/>
      <c r="H17302"/>
      <c r="I17302" s="489"/>
      <c r="J17302" s="1362"/>
      <c r="K17302" s="1362"/>
      <c r="L17302" s="1362"/>
    </row>
    <row r="17303" spans="1:12" x14ac:dyDescent="0.25">
      <c r="A17303">
        <v>12618</v>
      </c>
      <c r="B17303" t="s">
        <v>20805</v>
      </c>
      <c r="C17303" t="s">
        <v>2537</v>
      </c>
      <c r="D17303" s="254">
        <v>54.45</v>
      </c>
      <c r="E17303"/>
      <c r="F17303"/>
      <c r="G17303"/>
      <c r="H17303"/>
      <c r="I17303" s="489"/>
      <c r="J17303" s="1362"/>
      <c r="K17303" s="1362"/>
      <c r="L17303" s="1362"/>
    </row>
    <row r="17304" spans="1:12" x14ac:dyDescent="0.25">
      <c r="A17304">
        <v>40784</v>
      </c>
      <c r="B17304" t="s">
        <v>20806</v>
      </c>
      <c r="C17304" t="s">
        <v>2541</v>
      </c>
      <c r="D17304" s="254">
        <v>107.95</v>
      </c>
      <c r="E17304"/>
      <c r="F17304"/>
      <c r="G17304"/>
      <c r="H17304"/>
      <c r="I17304" s="489"/>
      <c r="J17304" s="1362"/>
      <c r="K17304" s="1362"/>
      <c r="L17304" s="1362"/>
    </row>
    <row r="17305" spans="1:12" x14ac:dyDescent="0.25">
      <c r="A17305">
        <v>40782</v>
      </c>
      <c r="B17305" t="s">
        <v>20807</v>
      </c>
      <c r="C17305" t="s">
        <v>2541</v>
      </c>
      <c r="D17305" s="254">
        <v>42.36</v>
      </c>
      <c r="E17305"/>
      <c r="F17305"/>
      <c r="G17305"/>
      <c r="H17305"/>
      <c r="I17305" s="489"/>
      <c r="J17305" s="1362"/>
      <c r="K17305" s="1362"/>
      <c r="L17305" s="1362"/>
    </row>
    <row r="17306" spans="1:12" x14ac:dyDescent="0.25">
      <c r="A17306">
        <v>40783</v>
      </c>
      <c r="B17306" t="s">
        <v>20808</v>
      </c>
      <c r="C17306" t="s">
        <v>2541</v>
      </c>
      <c r="D17306" s="254">
        <v>55.18</v>
      </c>
      <c r="E17306"/>
      <c r="F17306"/>
      <c r="G17306"/>
      <c r="H17306"/>
      <c r="I17306" s="489"/>
      <c r="J17306" s="1362"/>
      <c r="K17306" s="1362"/>
      <c r="L17306" s="1362"/>
    </row>
    <row r="17307" spans="1:12" x14ac:dyDescent="0.25">
      <c r="A17307">
        <v>1109</v>
      </c>
      <c r="B17307" t="s">
        <v>20809</v>
      </c>
      <c r="C17307" t="s">
        <v>2541</v>
      </c>
      <c r="D17307" s="254">
        <v>32.85</v>
      </c>
      <c r="E17307"/>
      <c r="F17307"/>
      <c r="G17307"/>
      <c r="H17307"/>
      <c r="I17307" s="489"/>
      <c r="J17307" s="1362"/>
      <c r="K17307" s="1362"/>
      <c r="L17307" s="1362"/>
    </row>
    <row r="17308" spans="1:12" x14ac:dyDescent="0.25">
      <c r="A17308">
        <v>1119</v>
      </c>
      <c r="B17308" t="s">
        <v>20810</v>
      </c>
      <c r="C17308" t="s">
        <v>2541</v>
      </c>
      <c r="D17308" s="254">
        <v>21.18</v>
      </c>
      <c r="E17308"/>
      <c r="F17308"/>
      <c r="G17308"/>
      <c r="H17308"/>
      <c r="I17308" s="489"/>
      <c r="J17308" s="1362"/>
      <c r="K17308" s="1362"/>
      <c r="L17308" s="1362"/>
    </row>
    <row r="17309" spans="1:12" x14ac:dyDescent="0.25">
      <c r="A17309">
        <v>13115</v>
      </c>
      <c r="B17309" t="s">
        <v>20811</v>
      </c>
      <c r="C17309" t="s">
        <v>2541</v>
      </c>
      <c r="D17309" s="254">
        <v>15.5</v>
      </c>
      <c r="E17309"/>
      <c r="F17309"/>
      <c r="G17309"/>
      <c r="H17309"/>
      <c r="I17309" s="489"/>
      <c r="J17309" s="1362"/>
      <c r="K17309" s="1362"/>
      <c r="L17309" s="1362"/>
    </row>
    <row r="17310" spans="1:12" x14ac:dyDescent="0.25">
      <c r="A17310">
        <v>10541</v>
      </c>
      <c r="B17310" t="s">
        <v>20812</v>
      </c>
      <c r="C17310" t="s">
        <v>2541</v>
      </c>
      <c r="D17310" s="254">
        <v>18.940000000000001</v>
      </c>
      <c r="E17310"/>
      <c r="F17310"/>
      <c r="G17310"/>
      <c r="H17310"/>
      <c r="I17310" s="489"/>
      <c r="J17310" s="1362"/>
      <c r="K17310" s="1362"/>
      <c r="L17310" s="1362"/>
    </row>
    <row r="17311" spans="1:12" x14ac:dyDescent="0.25">
      <c r="A17311">
        <v>10542</v>
      </c>
      <c r="B17311" t="s">
        <v>20813</v>
      </c>
      <c r="C17311" t="s">
        <v>2541</v>
      </c>
      <c r="D17311" s="254">
        <v>24.77</v>
      </c>
      <c r="E17311"/>
      <c r="F17311"/>
      <c r="G17311"/>
      <c r="H17311"/>
      <c r="I17311" s="489"/>
      <c r="J17311" s="1362"/>
      <c r="K17311" s="1362"/>
      <c r="L17311" s="1362"/>
    </row>
    <row r="17312" spans="1:12" x14ac:dyDescent="0.25">
      <c r="A17312">
        <v>10543</v>
      </c>
      <c r="B17312" t="s">
        <v>20814</v>
      </c>
      <c r="C17312" t="s">
        <v>2541</v>
      </c>
      <c r="D17312" s="254">
        <v>40.200000000000003</v>
      </c>
      <c r="E17312"/>
      <c r="F17312"/>
      <c r="G17312"/>
      <c r="H17312"/>
      <c r="I17312" s="489"/>
      <c r="J17312" s="1362"/>
      <c r="K17312" s="1362"/>
      <c r="L17312" s="1362"/>
    </row>
    <row r="17313" spans="1:12" x14ac:dyDescent="0.25">
      <c r="A17313">
        <v>10544</v>
      </c>
      <c r="B17313" t="s">
        <v>20815</v>
      </c>
      <c r="C17313" t="s">
        <v>2541</v>
      </c>
      <c r="D17313" s="254">
        <v>51.99</v>
      </c>
      <c r="E17313"/>
      <c r="F17313"/>
      <c r="G17313"/>
      <c r="H17313"/>
      <c r="I17313" s="489"/>
      <c r="J17313" s="1362"/>
      <c r="K17313" s="1362"/>
      <c r="L17313" s="1362"/>
    </row>
    <row r="17314" spans="1:12" x14ac:dyDescent="0.25">
      <c r="A17314">
        <v>10545</v>
      </c>
      <c r="B17314" t="s">
        <v>20816</v>
      </c>
      <c r="C17314" t="s">
        <v>2541</v>
      </c>
      <c r="D17314" s="254">
        <v>97.17</v>
      </c>
      <c r="E17314"/>
      <c r="F17314"/>
      <c r="G17314"/>
      <c r="H17314"/>
      <c r="I17314" s="489"/>
      <c r="J17314" s="1362"/>
      <c r="K17314" s="1362"/>
      <c r="L17314" s="1362"/>
    </row>
    <row r="17315" spans="1:12" x14ac:dyDescent="0.25">
      <c r="A17315">
        <v>38365</v>
      </c>
      <c r="B17315" t="s">
        <v>20817</v>
      </c>
      <c r="C17315" t="s">
        <v>2539</v>
      </c>
      <c r="D17315" s="254">
        <v>1.91</v>
      </c>
      <c r="E17315"/>
      <c r="F17315"/>
      <c r="G17315"/>
      <c r="H17315"/>
      <c r="I17315" s="489"/>
      <c r="J17315" s="1362"/>
      <c r="K17315" s="1362"/>
      <c r="L17315" s="1362"/>
    </row>
    <row r="17316" spans="1:12" x14ac:dyDescent="0.25">
      <c r="A17316">
        <v>44056</v>
      </c>
      <c r="B17316" t="s">
        <v>20818</v>
      </c>
      <c r="C17316" t="s">
        <v>2537</v>
      </c>
      <c r="D17316" s="254">
        <v>412757.91</v>
      </c>
      <c r="E17316"/>
      <c r="F17316"/>
      <c r="G17316"/>
      <c r="H17316"/>
      <c r="I17316" s="489"/>
      <c r="J17316" s="1362"/>
      <c r="K17316" s="1362"/>
      <c r="L17316" s="1362"/>
    </row>
    <row r="17317" spans="1:12" x14ac:dyDescent="0.25">
      <c r="A17317">
        <v>44057</v>
      </c>
      <c r="B17317" t="s">
        <v>20819</v>
      </c>
      <c r="C17317" t="s">
        <v>2537</v>
      </c>
      <c r="D17317" s="254">
        <v>440539.72</v>
      </c>
      <c r="E17317"/>
      <c r="F17317"/>
      <c r="G17317"/>
      <c r="H17317"/>
      <c r="I17317" s="489"/>
      <c r="J17317" s="1362"/>
      <c r="K17317" s="1362"/>
      <c r="L17317" s="1362"/>
    </row>
    <row r="17318" spans="1:12" x14ac:dyDescent="0.25">
      <c r="A17318">
        <v>37754</v>
      </c>
      <c r="B17318" t="s">
        <v>20820</v>
      </c>
      <c r="C17318" t="s">
        <v>2537</v>
      </c>
      <c r="D17318" s="254">
        <v>455462.51</v>
      </c>
      <c r="E17318"/>
      <c r="F17318"/>
      <c r="G17318"/>
      <c r="H17318"/>
      <c r="I17318" s="489"/>
      <c r="J17318" s="1362"/>
      <c r="K17318" s="1362"/>
      <c r="L17318" s="1362"/>
    </row>
    <row r="17319" spans="1:12" x14ac:dyDescent="0.25">
      <c r="A17319">
        <v>37757</v>
      </c>
      <c r="B17319" t="s">
        <v>20821</v>
      </c>
      <c r="C17319" t="s">
        <v>2537</v>
      </c>
      <c r="D17319" s="254">
        <v>508009.78</v>
      </c>
      <c r="E17319"/>
      <c r="F17319"/>
      <c r="G17319"/>
      <c r="H17319"/>
      <c r="I17319" s="489"/>
      <c r="J17319" s="1362"/>
      <c r="K17319" s="1362"/>
      <c r="L17319" s="1362"/>
    </row>
    <row r="17320" spans="1:12" x14ac:dyDescent="0.25">
      <c r="A17320">
        <v>44058</v>
      </c>
      <c r="B17320" t="s">
        <v>20822</v>
      </c>
      <c r="C17320" t="s">
        <v>2537</v>
      </c>
      <c r="D17320" s="254">
        <v>480227.98</v>
      </c>
      <c r="E17320"/>
      <c r="F17320"/>
      <c r="G17320"/>
      <c r="H17320"/>
      <c r="I17320" s="489"/>
      <c r="J17320" s="1362"/>
      <c r="K17320" s="1362"/>
      <c r="L17320" s="1362"/>
    </row>
    <row r="17321" spans="1:12" x14ac:dyDescent="0.25">
      <c r="A17321">
        <v>37752</v>
      </c>
      <c r="B17321" t="s">
        <v>20823</v>
      </c>
      <c r="C17321" t="s">
        <v>2537</v>
      </c>
      <c r="D17321" s="254">
        <v>500072.09</v>
      </c>
      <c r="E17321"/>
      <c r="F17321"/>
      <c r="G17321"/>
      <c r="H17321"/>
      <c r="I17321" s="489"/>
      <c r="J17321" s="1362"/>
      <c r="K17321" s="1362"/>
      <c r="L17321" s="1362"/>
    </row>
    <row r="17322" spans="1:12" x14ac:dyDescent="0.25">
      <c r="A17322">
        <v>44059</v>
      </c>
      <c r="B17322" t="s">
        <v>20824</v>
      </c>
      <c r="C17322" t="s">
        <v>2537</v>
      </c>
      <c r="D17322" s="254">
        <v>395295.1</v>
      </c>
      <c r="E17322"/>
      <c r="F17322"/>
      <c r="G17322"/>
      <c r="H17322"/>
      <c r="I17322" s="489"/>
      <c r="J17322" s="1362"/>
      <c r="K17322" s="1362"/>
      <c r="L17322" s="1362"/>
    </row>
    <row r="17323" spans="1:12" x14ac:dyDescent="0.25">
      <c r="A17323">
        <v>37750</v>
      </c>
      <c r="B17323" t="s">
        <v>20825</v>
      </c>
      <c r="C17323" t="s">
        <v>2537</v>
      </c>
      <c r="D17323" s="254">
        <v>396088.86</v>
      </c>
      <c r="E17323"/>
      <c r="F17323"/>
      <c r="G17323"/>
      <c r="H17323"/>
      <c r="I17323" s="489"/>
      <c r="J17323" s="1362"/>
      <c r="K17323" s="1362"/>
      <c r="L17323" s="1362"/>
    </row>
    <row r="17324" spans="1:12" x14ac:dyDescent="0.25">
      <c r="A17324">
        <v>37758</v>
      </c>
      <c r="B17324" t="s">
        <v>20826</v>
      </c>
      <c r="C17324" t="s">
        <v>2537</v>
      </c>
      <c r="D17324" s="254">
        <v>630249.6</v>
      </c>
      <c r="E17324"/>
      <c r="F17324"/>
      <c r="G17324"/>
      <c r="H17324"/>
      <c r="I17324" s="489"/>
      <c r="J17324" s="1362"/>
      <c r="K17324" s="1362"/>
      <c r="L17324" s="1362"/>
    </row>
    <row r="17325" spans="1:12" x14ac:dyDescent="0.25">
      <c r="A17325">
        <v>44060</v>
      </c>
      <c r="B17325" t="s">
        <v>20827</v>
      </c>
      <c r="C17325" t="s">
        <v>2537</v>
      </c>
      <c r="D17325" s="254">
        <v>609611.72</v>
      </c>
      <c r="E17325"/>
      <c r="F17325"/>
      <c r="G17325"/>
      <c r="H17325"/>
      <c r="I17325" s="489"/>
      <c r="J17325" s="1362"/>
      <c r="K17325" s="1362"/>
      <c r="L17325" s="1362"/>
    </row>
    <row r="17326" spans="1:12" x14ac:dyDescent="0.25">
      <c r="A17326">
        <v>37749</v>
      </c>
      <c r="B17326" t="s">
        <v>20828</v>
      </c>
      <c r="C17326" t="s">
        <v>2537</v>
      </c>
      <c r="D17326" s="254">
        <v>650887.52</v>
      </c>
      <c r="E17326"/>
      <c r="F17326"/>
      <c r="G17326"/>
      <c r="H17326"/>
      <c r="I17326" s="489"/>
      <c r="J17326" s="1362"/>
      <c r="K17326" s="1362"/>
      <c r="L17326" s="1362"/>
    </row>
    <row r="17327" spans="1:12" x14ac:dyDescent="0.25">
      <c r="A17327">
        <v>44061</v>
      </c>
      <c r="B17327" t="s">
        <v>20829</v>
      </c>
      <c r="C17327" t="s">
        <v>2537</v>
      </c>
      <c r="D17327" s="254">
        <v>597705.26</v>
      </c>
      <c r="E17327"/>
      <c r="F17327"/>
      <c r="G17327"/>
      <c r="H17327"/>
      <c r="I17327" s="489"/>
      <c r="J17327" s="1362"/>
      <c r="K17327" s="1362"/>
      <c r="L17327" s="1362"/>
    </row>
    <row r="17328" spans="1:12" x14ac:dyDescent="0.25">
      <c r="A17328">
        <v>1159</v>
      </c>
      <c r="B17328" t="s">
        <v>20830</v>
      </c>
      <c r="C17328" t="s">
        <v>2537</v>
      </c>
      <c r="D17328" s="254">
        <v>266051.17</v>
      </c>
      <c r="E17328"/>
      <c r="F17328"/>
      <c r="G17328"/>
      <c r="H17328"/>
      <c r="I17328" s="489"/>
      <c r="J17328" s="1362"/>
      <c r="K17328" s="1362"/>
      <c r="L17328" s="1362"/>
    </row>
    <row r="17329" spans="1:12" x14ac:dyDescent="0.25">
      <c r="A17329">
        <v>12114</v>
      </c>
      <c r="B17329" t="s">
        <v>20831</v>
      </c>
      <c r="C17329" t="s">
        <v>2537</v>
      </c>
      <c r="D17329" s="254">
        <v>141.56</v>
      </c>
      <c r="E17329"/>
      <c r="F17329"/>
      <c r="G17329"/>
      <c r="H17329"/>
      <c r="I17329" s="489"/>
      <c r="J17329" s="1362"/>
      <c r="K17329" s="1362"/>
      <c r="L17329" s="1362"/>
    </row>
    <row r="17330" spans="1:12" x14ac:dyDescent="0.25">
      <c r="A17330">
        <v>38106</v>
      </c>
      <c r="B17330" t="s">
        <v>20832</v>
      </c>
      <c r="C17330" t="s">
        <v>2537</v>
      </c>
      <c r="D17330" s="254">
        <v>19.239999999999998</v>
      </c>
      <c r="E17330"/>
      <c r="F17330"/>
      <c r="G17330"/>
      <c r="H17330"/>
      <c r="I17330" s="489"/>
      <c r="J17330" s="1362"/>
      <c r="K17330" s="1362"/>
      <c r="L17330" s="1362"/>
    </row>
    <row r="17331" spans="1:12" x14ac:dyDescent="0.25">
      <c r="A17331">
        <v>38085</v>
      </c>
      <c r="B17331" t="s">
        <v>20833</v>
      </c>
      <c r="C17331" t="s">
        <v>2537</v>
      </c>
      <c r="D17331" s="254">
        <v>22.72</v>
      </c>
      <c r="E17331"/>
      <c r="F17331"/>
      <c r="G17331"/>
      <c r="H17331"/>
      <c r="I17331" s="489"/>
      <c r="J17331" s="1362"/>
      <c r="K17331" s="1362"/>
      <c r="L17331" s="1362"/>
    </row>
    <row r="17332" spans="1:12" x14ac:dyDescent="0.25">
      <c r="A17332">
        <v>38599</v>
      </c>
      <c r="B17332" t="s">
        <v>20834</v>
      </c>
      <c r="C17332" t="s">
        <v>2537</v>
      </c>
      <c r="D17332" s="254">
        <v>5.92</v>
      </c>
      <c r="E17332"/>
      <c r="F17332"/>
      <c r="G17332"/>
      <c r="H17332"/>
      <c r="I17332" s="489"/>
      <c r="J17332" s="1362"/>
      <c r="K17332" s="1362"/>
      <c r="L17332" s="1362"/>
    </row>
    <row r="17333" spans="1:12" x14ac:dyDescent="0.25">
      <c r="A17333">
        <v>38596</v>
      </c>
      <c r="B17333" t="s">
        <v>20835</v>
      </c>
      <c r="C17333" t="s">
        <v>2537</v>
      </c>
      <c r="D17333" s="254">
        <v>4.92</v>
      </c>
      <c r="E17333"/>
      <c r="F17333"/>
      <c r="G17333"/>
      <c r="H17333"/>
      <c r="I17333" s="489"/>
      <c r="J17333" s="1362"/>
      <c r="K17333" s="1362"/>
      <c r="L17333" s="1362"/>
    </row>
    <row r="17334" spans="1:12" x14ac:dyDescent="0.25">
      <c r="A17334">
        <v>38600</v>
      </c>
      <c r="B17334" t="s">
        <v>20836</v>
      </c>
      <c r="C17334" t="s">
        <v>2537</v>
      </c>
      <c r="D17334" s="254">
        <v>6.28</v>
      </c>
      <c r="E17334"/>
      <c r="F17334"/>
      <c r="G17334"/>
      <c r="H17334"/>
      <c r="I17334" s="489"/>
      <c r="J17334" s="1362"/>
      <c r="K17334" s="1362"/>
      <c r="L17334" s="1362"/>
    </row>
    <row r="17335" spans="1:12" x14ac:dyDescent="0.25">
      <c r="A17335">
        <v>38597</v>
      </c>
      <c r="B17335" t="s">
        <v>20837</v>
      </c>
      <c r="C17335" t="s">
        <v>2537</v>
      </c>
      <c r="D17335" s="254">
        <v>4.95</v>
      </c>
      <c r="E17335"/>
      <c r="F17335"/>
      <c r="G17335"/>
      <c r="H17335"/>
      <c r="I17335" s="489"/>
      <c r="J17335" s="1362"/>
      <c r="K17335" s="1362"/>
      <c r="L17335" s="1362"/>
    </row>
    <row r="17336" spans="1:12" x14ac:dyDescent="0.25">
      <c r="A17336">
        <v>659</v>
      </c>
      <c r="B17336" t="s">
        <v>20838</v>
      </c>
      <c r="C17336" t="s">
        <v>2537</v>
      </c>
      <c r="D17336" s="254">
        <v>2.84</v>
      </c>
      <c r="E17336"/>
      <c r="F17336"/>
      <c r="G17336"/>
      <c r="H17336"/>
      <c r="I17336" s="489"/>
      <c r="J17336" s="1362"/>
      <c r="K17336" s="1362"/>
      <c r="L17336" s="1362"/>
    </row>
    <row r="17337" spans="1:12" x14ac:dyDescent="0.25">
      <c r="A17337">
        <v>660</v>
      </c>
      <c r="B17337" t="s">
        <v>20839</v>
      </c>
      <c r="C17337" t="s">
        <v>2537</v>
      </c>
      <c r="D17337" s="254">
        <v>3.41</v>
      </c>
      <c r="E17337"/>
      <c r="F17337"/>
      <c r="G17337"/>
      <c r="H17337"/>
      <c r="I17337" s="489"/>
      <c r="J17337" s="1362"/>
      <c r="K17337" s="1362"/>
      <c r="L17337" s="1362"/>
    </row>
    <row r="17338" spans="1:12" x14ac:dyDescent="0.25">
      <c r="A17338">
        <v>658</v>
      </c>
      <c r="B17338" t="s">
        <v>20840</v>
      </c>
      <c r="C17338" t="s">
        <v>2537</v>
      </c>
      <c r="D17338" s="254">
        <v>1.92</v>
      </c>
      <c r="E17338"/>
      <c r="F17338"/>
      <c r="G17338"/>
      <c r="H17338"/>
      <c r="I17338" s="489"/>
      <c r="J17338" s="1362"/>
      <c r="K17338" s="1362"/>
      <c r="L17338" s="1362"/>
    </row>
    <row r="17339" spans="1:12" x14ac:dyDescent="0.25">
      <c r="A17339">
        <v>38548</v>
      </c>
      <c r="B17339" t="s">
        <v>20841</v>
      </c>
      <c r="C17339" t="s">
        <v>2537</v>
      </c>
      <c r="D17339" s="254">
        <v>2.85</v>
      </c>
      <c r="E17339"/>
      <c r="F17339"/>
      <c r="G17339"/>
      <c r="H17339"/>
      <c r="I17339" s="489"/>
      <c r="J17339" s="1362"/>
      <c r="K17339" s="1362"/>
      <c r="L17339" s="1362"/>
    </row>
    <row r="17340" spans="1:12" x14ac:dyDescent="0.25">
      <c r="A17340">
        <v>34649</v>
      </c>
      <c r="B17340" t="s">
        <v>20842</v>
      </c>
      <c r="C17340" t="s">
        <v>2537</v>
      </c>
      <c r="D17340" s="254">
        <v>3.86</v>
      </c>
      <c r="E17340"/>
      <c r="F17340"/>
      <c r="G17340"/>
      <c r="H17340"/>
      <c r="I17340" s="489"/>
      <c r="J17340" s="1362"/>
      <c r="K17340" s="1362"/>
      <c r="L17340" s="1362"/>
    </row>
    <row r="17341" spans="1:12" x14ac:dyDescent="0.25">
      <c r="A17341">
        <v>34655</v>
      </c>
      <c r="B17341" t="s">
        <v>20843</v>
      </c>
      <c r="C17341" t="s">
        <v>2537</v>
      </c>
      <c r="D17341" s="254">
        <v>5.12</v>
      </c>
      <c r="E17341"/>
      <c r="F17341"/>
      <c r="G17341"/>
      <c r="H17341"/>
      <c r="I17341" s="489"/>
      <c r="J17341" s="1362"/>
      <c r="K17341" s="1362"/>
      <c r="L17341" s="1362"/>
    </row>
    <row r="17342" spans="1:12" x14ac:dyDescent="0.25">
      <c r="A17342">
        <v>40607</v>
      </c>
      <c r="B17342" t="s">
        <v>20844</v>
      </c>
      <c r="C17342" t="s">
        <v>2537</v>
      </c>
      <c r="D17342" s="254">
        <v>4.0199999999999996</v>
      </c>
      <c r="E17342"/>
      <c r="F17342"/>
      <c r="G17342"/>
      <c r="H17342"/>
      <c r="I17342" s="489"/>
      <c r="J17342" s="1362"/>
      <c r="K17342" s="1362"/>
      <c r="L17342" s="1362"/>
    </row>
    <row r="17343" spans="1:12" x14ac:dyDescent="0.25">
      <c r="A17343">
        <v>567</v>
      </c>
      <c r="B17343" t="s">
        <v>20845</v>
      </c>
      <c r="C17343" t="s">
        <v>2541</v>
      </c>
      <c r="D17343" s="254">
        <v>14.95</v>
      </c>
      <c r="E17343"/>
      <c r="F17343"/>
      <c r="G17343"/>
      <c r="H17343"/>
      <c r="I17343" s="489"/>
      <c r="J17343" s="1362"/>
      <c r="K17343" s="1362"/>
      <c r="L17343" s="1362"/>
    </row>
    <row r="17344" spans="1:12" x14ac:dyDescent="0.25">
      <c r="A17344">
        <v>574</v>
      </c>
      <c r="B17344" t="s">
        <v>20846</v>
      </c>
      <c r="C17344" t="s">
        <v>2541</v>
      </c>
      <c r="D17344" s="254">
        <v>39.31</v>
      </c>
      <c r="E17344"/>
      <c r="F17344"/>
      <c r="G17344"/>
      <c r="H17344"/>
      <c r="I17344" s="489"/>
      <c r="J17344" s="1362"/>
      <c r="K17344" s="1362"/>
      <c r="L17344" s="1362"/>
    </row>
    <row r="17345" spans="1:12" x14ac:dyDescent="0.25">
      <c r="A17345">
        <v>568</v>
      </c>
      <c r="B17345" t="s">
        <v>20847</v>
      </c>
      <c r="C17345" t="s">
        <v>2541</v>
      </c>
      <c r="D17345" s="254">
        <v>82.83</v>
      </c>
      <c r="E17345"/>
      <c r="F17345"/>
      <c r="G17345"/>
      <c r="H17345"/>
      <c r="I17345" s="489"/>
      <c r="J17345" s="1362"/>
      <c r="K17345" s="1362"/>
      <c r="L17345" s="1362"/>
    </row>
    <row r="17346" spans="1:12" x14ac:dyDescent="0.25">
      <c r="A17346">
        <v>585</v>
      </c>
      <c r="B17346" t="s">
        <v>20848</v>
      </c>
      <c r="C17346" t="s">
        <v>2542</v>
      </c>
      <c r="D17346" s="254">
        <v>56.46</v>
      </c>
      <c r="E17346"/>
      <c r="F17346"/>
      <c r="G17346"/>
      <c r="H17346"/>
      <c r="I17346" s="489"/>
      <c r="J17346" s="1362"/>
      <c r="K17346" s="1362"/>
      <c r="L17346" s="1362"/>
    </row>
    <row r="17347" spans="1:12" x14ac:dyDescent="0.25">
      <c r="A17347">
        <v>4777</v>
      </c>
      <c r="B17347" t="s">
        <v>20849</v>
      </c>
      <c r="C17347" t="s">
        <v>2542</v>
      </c>
      <c r="D17347" s="254">
        <v>13.4</v>
      </c>
      <c r="E17347"/>
      <c r="F17347"/>
      <c r="G17347"/>
      <c r="H17347"/>
      <c r="I17347" s="489"/>
      <c r="J17347" s="1362"/>
      <c r="K17347" s="1362"/>
      <c r="L17347" s="1362"/>
    </row>
    <row r="17348" spans="1:12" x14ac:dyDescent="0.25">
      <c r="A17348">
        <v>587</v>
      </c>
      <c r="B17348" t="s">
        <v>20850</v>
      </c>
      <c r="C17348" t="s">
        <v>2542</v>
      </c>
      <c r="D17348" s="254">
        <v>60.5</v>
      </c>
      <c r="E17348"/>
      <c r="F17348"/>
      <c r="G17348"/>
      <c r="H17348"/>
      <c r="I17348" s="489"/>
      <c r="J17348" s="1362"/>
      <c r="K17348" s="1362"/>
      <c r="L17348" s="1362"/>
    </row>
    <row r="17349" spans="1:12" x14ac:dyDescent="0.25">
      <c r="A17349">
        <v>590</v>
      </c>
      <c r="B17349" t="s">
        <v>20851</v>
      </c>
      <c r="C17349" t="s">
        <v>2542</v>
      </c>
      <c r="D17349" s="254">
        <v>58.48</v>
      </c>
      <c r="E17349"/>
      <c r="F17349"/>
      <c r="G17349"/>
      <c r="H17349"/>
      <c r="I17349" s="489"/>
      <c r="J17349" s="1362"/>
      <c r="K17349" s="1362"/>
      <c r="L17349" s="1362"/>
    </row>
    <row r="17350" spans="1:12" x14ac:dyDescent="0.25">
      <c r="A17350">
        <v>592</v>
      </c>
      <c r="B17350" t="s">
        <v>20852</v>
      </c>
      <c r="C17350" t="s">
        <v>2542</v>
      </c>
      <c r="D17350" s="254">
        <v>60.5</v>
      </c>
      <c r="E17350"/>
      <c r="F17350"/>
      <c r="G17350"/>
      <c r="H17350"/>
      <c r="I17350" s="489"/>
      <c r="J17350" s="1362"/>
      <c r="K17350" s="1362"/>
      <c r="L17350" s="1362"/>
    </row>
    <row r="17351" spans="1:12" x14ac:dyDescent="0.25">
      <c r="A17351">
        <v>586</v>
      </c>
      <c r="B17351" t="s">
        <v>20853</v>
      </c>
      <c r="C17351" t="s">
        <v>2541</v>
      </c>
      <c r="D17351" s="254">
        <v>35.57</v>
      </c>
      <c r="E17351"/>
      <c r="F17351"/>
      <c r="G17351"/>
      <c r="H17351"/>
      <c r="I17351" s="489"/>
      <c r="J17351" s="1362"/>
      <c r="K17351" s="1362"/>
      <c r="L17351" s="1362"/>
    </row>
    <row r="17352" spans="1:12" x14ac:dyDescent="0.25">
      <c r="A17352">
        <v>591</v>
      </c>
      <c r="B17352" t="s">
        <v>20854</v>
      </c>
      <c r="C17352" t="s">
        <v>2542</v>
      </c>
      <c r="D17352" s="254">
        <v>56.46</v>
      </c>
      <c r="E17352"/>
      <c r="F17352"/>
      <c r="G17352"/>
      <c r="H17352"/>
      <c r="I17352" s="489"/>
      <c r="J17352" s="1362"/>
      <c r="K17352" s="1362"/>
      <c r="L17352" s="1362"/>
    </row>
    <row r="17353" spans="1:12" x14ac:dyDescent="0.25">
      <c r="A17353">
        <v>588</v>
      </c>
      <c r="B17353" t="s">
        <v>20855</v>
      </c>
      <c r="C17353" t="s">
        <v>2541</v>
      </c>
      <c r="D17353" s="254">
        <v>56.26</v>
      </c>
      <c r="E17353"/>
      <c r="F17353"/>
      <c r="G17353"/>
      <c r="H17353"/>
      <c r="I17353" s="489"/>
      <c r="J17353" s="1362"/>
      <c r="K17353" s="1362"/>
      <c r="L17353" s="1362"/>
    </row>
    <row r="17354" spans="1:12" x14ac:dyDescent="0.25">
      <c r="A17354">
        <v>589</v>
      </c>
      <c r="B17354" t="s">
        <v>20856</v>
      </c>
      <c r="C17354" t="s">
        <v>2541</v>
      </c>
      <c r="D17354" s="254">
        <v>95.1</v>
      </c>
      <c r="E17354"/>
      <c r="F17354"/>
      <c r="G17354"/>
      <c r="H17354"/>
      <c r="I17354" s="489"/>
      <c r="J17354" s="1362"/>
      <c r="K17354" s="1362"/>
      <c r="L17354" s="1362"/>
    </row>
    <row r="17355" spans="1:12" x14ac:dyDescent="0.25">
      <c r="A17355">
        <v>584</v>
      </c>
      <c r="B17355" t="s">
        <v>20857</v>
      </c>
      <c r="C17355" t="s">
        <v>2541</v>
      </c>
      <c r="D17355" s="254">
        <v>60.09</v>
      </c>
      <c r="E17355"/>
      <c r="F17355"/>
      <c r="G17355"/>
      <c r="H17355"/>
      <c r="I17355" s="489"/>
      <c r="J17355" s="1362"/>
      <c r="K17355" s="1362"/>
      <c r="L17355" s="1362"/>
    </row>
    <row r="17356" spans="1:12" x14ac:dyDescent="0.25">
      <c r="A17356">
        <v>1165</v>
      </c>
      <c r="B17356" t="s">
        <v>20858</v>
      </c>
      <c r="C17356" t="s">
        <v>2537</v>
      </c>
      <c r="D17356" s="254">
        <v>20.11</v>
      </c>
      <c r="E17356"/>
      <c r="F17356"/>
      <c r="G17356"/>
      <c r="H17356"/>
      <c r="I17356" s="489"/>
      <c r="J17356" s="1362"/>
      <c r="K17356" s="1362"/>
      <c r="L17356" s="1362"/>
    </row>
    <row r="17357" spans="1:12" x14ac:dyDescent="0.25">
      <c r="A17357">
        <v>1164</v>
      </c>
      <c r="B17357" t="s">
        <v>20859</v>
      </c>
      <c r="C17357" t="s">
        <v>2537</v>
      </c>
      <c r="D17357" s="254">
        <v>16.29</v>
      </c>
      <c r="E17357"/>
      <c r="F17357"/>
      <c r="G17357"/>
      <c r="H17357"/>
      <c r="I17357" s="489"/>
      <c r="J17357" s="1362"/>
      <c r="K17357" s="1362"/>
      <c r="L17357" s="1362"/>
    </row>
    <row r="17358" spans="1:12" x14ac:dyDescent="0.25">
      <c r="A17358">
        <v>1162</v>
      </c>
      <c r="B17358" t="s">
        <v>20860</v>
      </c>
      <c r="C17358" t="s">
        <v>2537</v>
      </c>
      <c r="D17358" s="254">
        <v>5.66</v>
      </c>
      <c r="E17358"/>
      <c r="F17358"/>
      <c r="G17358"/>
      <c r="H17358"/>
      <c r="I17358" s="489"/>
      <c r="J17358" s="1362"/>
      <c r="K17358" s="1362"/>
      <c r="L17358" s="1362"/>
    </row>
    <row r="17359" spans="1:12" x14ac:dyDescent="0.25">
      <c r="A17359">
        <v>12395</v>
      </c>
      <c r="B17359" t="s">
        <v>20861</v>
      </c>
      <c r="C17359" t="s">
        <v>2537</v>
      </c>
      <c r="D17359" s="254">
        <v>5.5</v>
      </c>
      <c r="E17359"/>
      <c r="F17359"/>
      <c r="G17359"/>
      <c r="H17359"/>
      <c r="I17359" s="489"/>
      <c r="J17359" s="1362"/>
      <c r="K17359" s="1362"/>
      <c r="L17359" s="1362"/>
    </row>
    <row r="17360" spans="1:12" x14ac:dyDescent="0.25">
      <c r="A17360">
        <v>1170</v>
      </c>
      <c r="B17360" t="s">
        <v>20862</v>
      </c>
      <c r="C17360" t="s">
        <v>2537</v>
      </c>
      <c r="D17360" s="254">
        <v>10.67</v>
      </c>
      <c r="E17360"/>
      <c r="F17360"/>
      <c r="G17360"/>
      <c r="H17360"/>
      <c r="I17360" s="489"/>
      <c r="J17360" s="1362"/>
      <c r="K17360" s="1362"/>
      <c r="L17360" s="1362"/>
    </row>
    <row r="17361" spans="1:12" x14ac:dyDescent="0.25">
      <c r="A17361">
        <v>1169</v>
      </c>
      <c r="B17361" t="s">
        <v>20863</v>
      </c>
      <c r="C17361" t="s">
        <v>2537</v>
      </c>
      <c r="D17361" s="254">
        <v>52.4</v>
      </c>
      <c r="E17361"/>
      <c r="F17361"/>
      <c r="G17361"/>
      <c r="H17361"/>
      <c r="I17361" s="489"/>
      <c r="J17361" s="1362"/>
      <c r="K17361" s="1362"/>
      <c r="L17361" s="1362"/>
    </row>
    <row r="17362" spans="1:12" x14ac:dyDescent="0.25">
      <c r="A17362">
        <v>1166</v>
      </c>
      <c r="B17362" t="s">
        <v>20864</v>
      </c>
      <c r="C17362" t="s">
        <v>2537</v>
      </c>
      <c r="D17362" s="254">
        <v>29.05</v>
      </c>
      <c r="E17362"/>
      <c r="F17362"/>
      <c r="G17362"/>
      <c r="H17362"/>
      <c r="I17362" s="489"/>
      <c r="J17362" s="1362"/>
      <c r="K17362" s="1362"/>
      <c r="L17362" s="1362"/>
    </row>
    <row r="17363" spans="1:12" x14ac:dyDescent="0.25">
      <c r="A17363">
        <v>1163</v>
      </c>
      <c r="B17363" t="s">
        <v>20865</v>
      </c>
      <c r="C17363" t="s">
        <v>2537</v>
      </c>
      <c r="D17363" s="254">
        <v>7.32</v>
      </c>
      <c r="E17363"/>
      <c r="F17363"/>
      <c r="G17363"/>
      <c r="H17363"/>
      <c r="I17363" s="489"/>
      <c r="J17363" s="1362"/>
      <c r="K17363" s="1362"/>
      <c r="L17363" s="1362"/>
    </row>
    <row r="17364" spans="1:12" x14ac:dyDescent="0.25">
      <c r="A17364">
        <v>12396</v>
      </c>
      <c r="B17364" t="s">
        <v>20866</v>
      </c>
      <c r="C17364" t="s">
        <v>2537</v>
      </c>
      <c r="D17364" s="254">
        <v>5.5</v>
      </c>
      <c r="E17364"/>
      <c r="F17364"/>
      <c r="G17364"/>
      <c r="H17364"/>
      <c r="I17364" s="489"/>
      <c r="J17364" s="1362"/>
      <c r="K17364" s="1362"/>
      <c r="L17364" s="1362"/>
    </row>
    <row r="17365" spans="1:12" x14ac:dyDescent="0.25">
      <c r="A17365">
        <v>1168</v>
      </c>
      <c r="B17365" t="s">
        <v>20867</v>
      </c>
      <c r="C17365" t="s">
        <v>2537</v>
      </c>
      <c r="D17365" s="254">
        <v>74.7</v>
      </c>
      <c r="E17365"/>
      <c r="F17365"/>
      <c r="G17365"/>
      <c r="H17365"/>
      <c r="I17365" s="489"/>
      <c r="J17365" s="1362"/>
      <c r="K17365" s="1362"/>
      <c r="L17365" s="1362"/>
    </row>
    <row r="17366" spans="1:12" x14ac:dyDescent="0.25">
      <c r="A17366">
        <v>1167</v>
      </c>
      <c r="B17366" t="s">
        <v>20868</v>
      </c>
      <c r="C17366" t="s">
        <v>2537</v>
      </c>
      <c r="D17366" s="254">
        <v>124.96</v>
      </c>
      <c r="E17366"/>
      <c r="F17366"/>
      <c r="G17366"/>
      <c r="H17366"/>
      <c r="I17366" s="489"/>
      <c r="J17366" s="1362"/>
      <c r="K17366" s="1362"/>
      <c r="L17366" s="1362"/>
    </row>
    <row r="17367" spans="1:12" x14ac:dyDescent="0.25">
      <c r="A17367">
        <v>36331</v>
      </c>
      <c r="B17367" t="s">
        <v>20869</v>
      </c>
      <c r="C17367" t="s">
        <v>2537</v>
      </c>
      <c r="D17367" s="254">
        <v>1.84</v>
      </c>
      <c r="E17367"/>
      <c r="F17367"/>
      <c r="G17367"/>
      <c r="H17367"/>
      <c r="I17367" s="489"/>
      <c r="J17367" s="1362"/>
      <c r="K17367" s="1362"/>
      <c r="L17367" s="1362"/>
    </row>
    <row r="17368" spans="1:12" x14ac:dyDescent="0.25">
      <c r="A17368">
        <v>36346</v>
      </c>
      <c r="B17368" t="s">
        <v>20870</v>
      </c>
      <c r="C17368" t="s">
        <v>2537</v>
      </c>
      <c r="D17368" s="254">
        <v>3.16</v>
      </c>
      <c r="E17368"/>
      <c r="F17368"/>
      <c r="G17368"/>
      <c r="H17368"/>
      <c r="I17368" s="489"/>
      <c r="J17368" s="1362"/>
      <c r="K17368" s="1362"/>
      <c r="L17368" s="1362"/>
    </row>
    <row r="17369" spans="1:12" x14ac:dyDescent="0.25">
      <c r="A17369">
        <v>1210</v>
      </c>
      <c r="B17369" t="s">
        <v>20871</v>
      </c>
      <c r="C17369" t="s">
        <v>2537</v>
      </c>
      <c r="D17369" s="254">
        <v>15.26</v>
      </c>
      <c r="E17369"/>
      <c r="F17369"/>
      <c r="G17369"/>
      <c r="H17369"/>
      <c r="I17369" s="489"/>
      <c r="J17369" s="1362"/>
      <c r="K17369" s="1362"/>
      <c r="L17369" s="1362"/>
    </row>
    <row r="17370" spans="1:12" x14ac:dyDescent="0.25">
      <c r="A17370">
        <v>1203</v>
      </c>
      <c r="B17370" t="s">
        <v>20872</v>
      </c>
      <c r="C17370" t="s">
        <v>2537</v>
      </c>
      <c r="D17370" s="254">
        <v>14.78</v>
      </c>
      <c r="E17370"/>
      <c r="F17370"/>
      <c r="G17370"/>
      <c r="H17370"/>
      <c r="I17370" s="489"/>
      <c r="J17370" s="1362"/>
      <c r="K17370" s="1362"/>
      <c r="L17370" s="1362"/>
    </row>
    <row r="17371" spans="1:12" x14ac:dyDescent="0.25">
      <c r="A17371">
        <v>1197</v>
      </c>
      <c r="B17371" t="s">
        <v>20873</v>
      </c>
      <c r="C17371" t="s">
        <v>2537</v>
      </c>
      <c r="D17371" s="254">
        <v>1.89</v>
      </c>
      <c r="E17371"/>
      <c r="F17371"/>
      <c r="G17371"/>
      <c r="H17371"/>
      <c r="I17371" s="489"/>
      <c r="J17371" s="1362"/>
      <c r="K17371" s="1362"/>
      <c r="L17371" s="1362"/>
    </row>
    <row r="17372" spans="1:12" x14ac:dyDescent="0.25">
      <c r="A17372">
        <v>1202</v>
      </c>
      <c r="B17372" t="s">
        <v>20874</v>
      </c>
      <c r="C17372" t="s">
        <v>2537</v>
      </c>
      <c r="D17372" s="254">
        <v>5.08</v>
      </c>
      <c r="E17372"/>
      <c r="F17372"/>
      <c r="G17372"/>
      <c r="H17372"/>
      <c r="I17372" s="489"/>
      <c r="J17372" s="1362"/>
      <c r="K17372" s="1362"/>
      <c r="L17372" s="1362"/>
    </row>
    <row r="17373" spans="1:12" x14ac:dyDescent="0.25">
      <c r="A17373">
        <v>1188</v>
      </c>
      <c r="B17373" t="s">
        <v>20875</v>
      </c>
      <c r="C17373" t="s">
        <v>2537</v>
      </c>
      <c r="D17373" s="254">
        <v>30.06</v>
      </c>
      <c r="E17373"/>
      <c r="F17373"/>
      <c r="G17373"/>
      <c r="H17373"/>
      <c r="I17373" s="489"/>
      <c r="J17373" s="1362"/>
      <c r="K17373" s="1362"/>
      <c r="L17373" s="1362"/>
    </row>
    <row r="17374" spans="1:12" x14ac:dyDescent="0.25">
      <c r="A17374">
        <v>1211</v>
      </c>
      <c r="B17374" t="s">
        <v>20876</v>
      </c>
      <c r="C17374" t="s">
        <v>2537</v>
      </c>
      <c r="D17374" s="254">
        <v>15.51</v>
      </c>
      <c r="E17374"/>
      <c r="F17374"/>
      <c r="G17374"/>
      <c r="H17374"/>
      <c r="I17374" s="489"/>
      <c r="J17374" s="1362"/>
      <c r="K17374" s="1362"/>
      <c r="L17374" s="1362"/>
    </row>
    <row r="17375" spans="1:12" x14ac:dyDescent="0.25">
      <c r="A17375">
        <v>1198</v>
      </c>
      <c r="B17375" t="s">
        <v>20877</v>
      </c>
      <c r="C17375" t="s">
        <v>2537</v>
      </c>
      <c r="D17375" s="254">
        <v>2.8</v>
      </c>
      <c r="E17375"/>
      <c r="F17375"/>
      <c r="G17375"/>
      <c r="H17375"/>
      <c r="I17375" s="489"/>
      <c r="J17375" s="1362"/>
      <c r="K17375" s="1362"/>
      <c r="L17375" s="1362"/>
    </row>
    <row r="17376" spans="1:12" x14ac:dyDescent="0.25">
      <c r="A17376">
        <v>1199</v>
      </c>
      <c r="B17376" t="s">
        <v>20878</v>
      </c>
      <c r="C17376" t="s">
        <v>2537</v>
      </c>
      <c r="D17376" s="254">
        <v>39.26</v>
      </c>
      <c r="E17376"/>
      <c r="F17376"/>
      <c r="G17376"/>
      <c r="H17376"/>
      <c r="I17376" s="489"/>
      <c r="J17376" s="1362"/>
      <c r="K17376" s="1362"/>
      <c r="L17376" s="1362"/>
    </row>
    <row r="17377" spans="1:12" x14ac:dyDescent="0.25">
      <c r="A17377">
        <v>20088</v>
      </c>
      <c r="B17377" t="s">
        <v>20879</v>
      </c>
      <c r="C17377" t="s">
        <v>2537</v>
      </c>
      <c r="D17377" s="254">
        <v>16.739999999999998</v>
      </c>
      <c r="E17377"/>
      <c r="F17377"/>
      <c r="G17377"/>
      <c r="H17377"/>
      <c r="I17377" s="489"/>
      <c r="J17377" s="1362"/>
      <c r="K17377" s="1362"/>
      <c r="L17377" s="1362"/>
    </row>
    <row r="17378" spans="1:12" x14ac:dyDescent="0.25">
      <c r="A17378">
        <v>20089</v>
      </c>
      <c r="B17378" t="s">
        <v>20880</v>
      </c>
      <c r="C17378" t="s">
        <v>2537</v>
      </c>
      <c r="D17378" s="254">
        <v>79.8</v>
      </c>
      <c r="E17378"/>
      <c r="F17378"/>
      <c r="G17378"/>
      <c r="H17378"/>
      <c r="I17378" s="489"/>
      <c r="J17378" s="1362"/>
      <c r="K17378" s="1362"/>
      <c r="L17378" s="1362"/>
    </row>
    <row r="17379" spans="1:12" x14ac:dyDescent="0.25">
      <c r="A17379">
        <v>20087</v>
      </c>
      <c r="B17379" t="s">
        <v>20881</v>
      </c>
      <c r="C17379" t="s">
        <v>2537</v>
      </c>
      <c r="D17379" s="254">
        <v>12.05</v>
      </c>
      <c r="E17379"/>
      <c r="F17379"/>
      <c r="G17379"/>
      <c r="H17379"/>
      <c r="I17379" s="489"/>
      <c r="J17379" s="1362"/>
      <c r="K17379" s="1362"/>
      <c r="L17379" s="1362"/>
    </row>
    <row r="17380" spans="1:12" x14ac:dyDescent="0.25">
      <c r="A17380">
        <v>1200</v>
      </c>
      <c r="B17380" t="s">
        <v>20882</v>
      </c>
      <c r="C17380" t="s">
        <v>2537</v>
      </c>
      <c r="D17380" s="254">
        <v>9.7899999999999991</v>
      </c>
      <c r="E17380"/>
      <c r="F17380"/>
      <c r="G17380"/>
      <c r="H17380"/>
      <c r="I17380" s="489"/>
      <c r="J17380" s="1362"/>
      <c r="K17380" s="1362"/>
      <c r="L17380" s="1362"/>
    </row>
    <row r="17381" spans="1:12" x14ac:dyDescent="0.25">
      <c r="A17381">
        <v>12909</v>
      </c>
      <c r="B17381" t="s">
        <v>20883</v>
      </c>
      <c r="C17381" t="s">
        <v>2537</v>
      </c>
      <c r="D17381" s="254">
        <v>4.4400000000000004</v>
      </c>
      <c r="E17381"/>
      <c r="F17381"/>
      <c r="G17381"/>
      <c r="H17381"/>
      <c r="I17381" s="489"/>
      <c r="J17381" s="1362"/>
      <c r="K17381" s="1362"/>
      <c r="L17381" s="1362"/>
    </row>
    <row r="17382" spans="1:12" x14ac:dyDescent="0.25">
      <c r="A17382">
        <v>12910</v>
      </c>
      <c r="B17382" t="s">
        <v>20884</v>
      </c>
      <c r="C17382" t="s">
        <v>2537</v>
      </c>
      <c r="D17382" s="254">
        <v>7.41</v>
      </c>
      <c r="E17382"/>
      <c r="F17382"/>
      <c r="G17382"/>
      <c r="H17382"/>
      <c r="I17382" s="489"/>
      <c r="J17382" s="1362"/>
      <c r="K17382" s="1362"/>
      <c r="L17382" s="1362"/>
    </row>
    <row r="17383" spans="1:12" x14ac:dyDescent="0.25">
      <c r="A17383">
        <v>1184</v>
      </c>
      <c r="B17383" t="s">
        <v>20885</v>
      </c>
      <c r="C17383" t="s">
        <v>2537</v>
      </c>
      <c r="D17383" s="254">
        <v>96.53</v>
      </c>
      <c r="E17383"/>
      <c r="F17383"/>
      <c r="G17383"/>
      <c r="H17383"/>
      <c r="I17383" s="489"/>
      <c r="J17383" s="1362"/>
      <c r="K17383" s="1362"/>
      <c r="L17383" s="1362"/>
    </row>
    <row r="17384" spans="1:12" x14ac:dyDescent="0.25">
      <c r="A17384">
        <v>1191</v>
      </c>
      <c r="B17384" t="s">
        <v>20886</v>
      </c>
      <c r="C17384" t="s">
        <v>2537</v>
      </c>
      <c r="D17384" s="254">
        <v>1.37</v>
      </c>
      <c r="E17384"/>
      <c r="F17384"/>
      <c r="G17384"/>
      <c r="H17384"/>
      <c r="I17384" s="489"/>
      <c r="J17384" s="1362"/>
      <c r="K17384" s="1362"/>
      <c r="L17384" s="1362"/>
    </row>
    <row r="17385" spans="1:12" x14ac:dyDescent="0.25">
      <c r="A17385">
        <v>1185</v>
      </c>
      <c r="B17385" t="s">
        <v>20887</v>
      </c>
      <c r="C17385" t="s">
        <v>2537</v>
      </c>
      <c r="D17385" s="254">
        <v>1.57</v>
      </c>
      <c r="E17385"/>
      <c r="F17385"/>
      <c r="G17385"/>
      <c r="H17385"/>
      <c r="I17385" s="489"/>
      <c r="J17385" s="1362"/>
      <c r="K17385" s="1362"/>
      <c r="L17385" s="1362"/>
    </row>
    <row r="17386" spans="1:12" x14ac:dyDescent="0.25">
      <c r="A17386">
        <v>1189</v>
      </c>
      <c r="B17386" t="s">
        <v>20888</v>
      </c>
      <c r="C17386" t="s">
        <v>2537</v>
      </c>
      <c r="D17386" s="254">
        <v>2.72</v>
      </c>
      <c r="E17386"/>
      <c r="F17386"/>
      <c r="G17386"/>
      <c r="H17386"/>
      <c r="I17386" s="489"/>
      <c r="J17386" s="1362"/>
      <c r="K17386" s="1362"/>
      <c r="L17386" s="1362"/>
    </row>
    <row r="17387" spans="1:12" x14ac:dyDescent="0.25">
      <c r="A17387">
        <v>1193</v>
      </c>
      <c r="B17387" t="s">
        <v>20889</v>
      </c>
      <c r="C17387" t="s">
        <v>2537</v>
      </c>
      <c r="D17387" s="254">
        <v>5.23</v>
      </c>
      <c r="E17387"/>
      <c r="F17387"/>
      <c r="G17387"/>
      <c r="H17387"/>
      <c r="I17387" s="489"/>
      <c r="J17387" s="1362"/>
      <c r="K17387" s="1362"/>
      <c r="L17387" s="1362"/>
    </row>
    <row r="17388" spans="1:12" x14ac:dyDescent="0.25">
      <c r="A17388">
        <v>1194</v>
      </c>
      <c r="B17388" t="s">
        <v>20890</v>
      </c>
      <c r="C17388" t="s">
        <v>2537</v>
      </c>
      <c r="D17388" s="254">
        <v>9.9</v>
      </c>
      <c r="E17388"/>
      <c r="F17388"/>
      <c r="G17388"/>
      <c r="H17388"/>
      <c r="I17388" s="489"/>
      <c r="J17388" s="1362"/>
      <c r="K17388" s="1362"/>
      <c r="L17388" s="1362"/>
    </row>
    <row r="17389" spans="1:12" x14ac:dyDescent="0.25">
      <c r="A17389">
        <v>1195</v>
      </c>
      <c r="B17389" t="s">
        <v>20891</v>
      </c>
      <c r="C17389" t="s">
        <v>2537</v>
      </c>
      <c r="D17389" s="254">
        <v>14.89</v>
      </c>
      <c r="E17389"/>
      <c r="F17389"/>
      <c r="G17389"/>
      <c r="H17389"/>
      <c r="I17389" s="489"/>
      <c r="J17389" s="1362"/>
      <c r="K17389" s="1362"/>
      <c r="L17389" s="1362"/>
    </row>
    <row r="17390" spans="1:12" x14ac:dyDescent="0.25">
      <c r="A17390">
        <v>1204</v>
      </c>
      <c r="B17390" t="s">
        <v>20892</v>
      </c>
      <c r="C17390" t="s">
        <v>2537</v>
      </c>
      <c r="D17390" s="254">
        <v>27.08</v>
      </c>
      <c r="E17390"/>
      <c r="F17390"/>
      <c r="G17390"/>
      <c r="H17390"/>
      <c r="I17390" s="489"/>
      <c r="J17390" s="1362"/>
      <c r="K17390" s="1362"/>
      <c r="L17390" s="1362"/>
    </row>
    <row r="17391" spans="1:12" x14ac:dyDescent="0.25">
      <c r="A17391">
        <v>1205</v>
      </c>
      <c r="B17391" t="s">
        <v>20893</v>
      </c>
      <c r="C17391" t="s">
        <v>2537</v>
      </c>
      <c r="D17391" s="254">
        <v>64.22</v>
      </c>
      <c r="E17391"/>
      <c r="F17391"/>
      <c r="G17391"/>
      <c r="H17391"/>
      <c r="I17391" s="489"/>
      <c r="J17391" s="1362"/>
      <c r="K17391" s="1362"/>
      <c r="L17391" s="1362"/>
    </row>
    <row r="17392" spans="1:12" x14ac:dyDescent="0.25">
      <c r="A17392">
        <v>1207</v>
      </c>
      <c r="B17392" t="s">
        <v>20894</v>
      </c>
      <c r="C17392" t="s">
        <v>2537</v>
      </c>
      <c r="D17392" s="254">
        <v>38.56</v>
      </c>
      <c r="E17392"/>
      <c r="F17392"/>
      <c r="G17392"/>
      <c r="H17392"/>
      <c r="I17392" s="489"/>
      <c r="J17392" s="1362"/>
      <c r="K17392" s="1362"/>
      <c r="L17392" s="1362"/>
    </row>
    <row r="17393" spans="1:12" x14ac:dyDescent="0.25">
      <c r="A17393">
        <v>1206</v>
      </c>
      <c r="B17393" t="s">
        <v>20895</v>
      </c>
      <c r="C17393" t="s">
        <v>2537</v>
      </c>
      <c r="D17393" s="254">
        <v>9.67</v>
      </c>
      <c r="E17393"/>
      <c r="F17393"/>
      <c r="G17393"/>
      <c r="H17393"/>
      <c r="I17393" s="489"/>
      <c r="J17393" s="1362"/>
      <c r="K17393" s="1362"/>
      <c r="L17393" s="1362"/>
    </row>
    <row r="17394" spans="1:12" x14ac:dyDescent="0.25">
      <c r="A17394">
        <v>1183</v>
      </c>
      <c r="B17394" t="s">
        <v>20896</v>
      </c>
      <c r="C17394" t="s">
        <v>2537</v>
      </c>
      <c r="D17394" s="254">
        <v>25.18</v>
      </c>
      <c r="E17394"/>
      <c r="F17394"/>
      <c r="G17394"/>
      <c r="H17394"/>
      <c r="I17394" s="489"/>
      <c r="J17394" s="1362"/>
      <c r="K17394" s="1362"/>
      <c r="L17394" s="1362"/>
    </row>
    <row r="17395" spans="1:12" x14ac:dyDescent="0.25">
      <c r="A17395">
        <v>42685</v>
      </c>
      <c r="B17395" t="s">
        <v>20897</v>
      </c>
      <c r="C17395" t="s">
        <v>2537</v>
      </c>
      <c r="D17395" s="254">
        <v>101.57</v>
      </c>
      <c r="E17395"/>
      <c r="F17395"/>
      <c r="G17395"/>
      <c r="H17395"/>
      <c r="I17395" s="489"/>
      <c r="J17395" s="1362"/>
      <c r="K17395" s="1362"/>
      <c r="L17395" s="1362"/>
    </row>
    <row r="17396" spans="1:12" x14ac:dyDescent="0.25">
      <c r="A17396">
        <v>42686</v>
      </c>
      <c r="B17396" t="s">
        <v>20898</v>
      </c>
      <c r="C17396" t="s">
        <v>2537</v>
      </c>
      <c r="D17396" s="254">
        <v>158.13999999999999</v>
      </c>
      <c r="E17396"/>
      <c r="F17396"/>
      <c r="G17396"/>
      <c r="H17396"/>
      <c r="I17396" s="489"/>
      <c r="J17396" s="1362"/>
      <c r="K17396" s="1362"/>
      <c r="L17396" s="1362"/>
    </row>
    <row r="17397" spans="1:12" x14ac:dyDescent="0.25">
      <c r="A17397">
        <v>12894</v>
      </c>
      <c r="B17397" t="s">
        <v>20899</v>
      </c>
      <c r="C17397" t="s">
        <v>2537</v>
      </c>
      <c r="D17397" s="254">
        <v>19.37</v>
      </c>
      <c r="E17397"/>
      <c r="F17397"/>
      <c r="G17397"/>
      <c r="H17397"/>
      <c r="I17397" s="489"/>
      <c r="J17397" s="1362"/>
      <c r="K17397" s="1362"/>
      <c r="L17397" s="1362"/>
    </row>
    <row r="17398" spans="1:12" x14ac:dyDescent="0.25">
      <c r="A17398">
        <v>12895</v>
      </c>
      <c r="B17398" t="s">
        <v>20900</v>
      </c>
      <c r="C17398" t="s">
        <v>2537</v>
      </c>
      <c r="D17398" s="254">
        <v>14.9</v>
      </c>
      <c r="E17398"/>
      <c r="F17398"/>
      <c r="G17398"/>
      <c r="H17398"/>
      <c r="I17398" s="489"/>
      <c r="J17398" s="1362"/>
      <c r="K17398" s="1362"/>
      <c r="L17398" s="1362"/>
    </row>
    <row r="17399" spans="1:12" x14ac:dyDescent="0.25">
      <c r="A17399">
        <v>1631</v>
      </c>
      <c r="B17399" t="s">
        <v>20901</v>
      </c>
      <c r="C17399" t="s">
        <v>2537</v>
      </c>
      <c r="D17399" s="254">
        <v>166.11</v>
      </c>
      <c r="E17399"/>
      <c r="F17399"/>
      <c r="G17399"/>
      <c r="H17399"/>
      <c r="I17399" s="489"/>
      <c r="J17399" s="1362"/>
      <c r="K17399" s="1362"/>
      <c r="L17399" s="1362"/>
    </row>
    <row r="17400" spans="1:12" x14ac:dyDescent="0.25">
      <c r="A17400">
        <v>1633</v>
      </c>
      <c r="B17400" t="s">
        <v>20902</v>
      </c>
      <c r="C17400" t="s">
        <v>2537</v>
      </c>
      <c r="D17400" s="254">
        <v>282.24</v>
      </c>
      <c r="E17400"/>
      <c r="F17400"/>
      <c r="G17400"/>
      <c r="H17400"/>
      <c r="I17400" s="489"/>
      <c r="J17400" s="1362"/>
      <c r="K17400" s="1362"/>
      <c r="L17400" s="1362"/>
    </row>
    <row r="17401" spans="1:12" x14ac:dyDescent="0.25">
      <c r="A17401">
        <v>10818</v>
      </c>
      <c r="B17401" t="s">
        <v>20903</v>
      </c>
      <c r="C17401" t="s">
        <v>2542</v>
      </c>
      <c r="D17401" s="254">
        <v>44.35</v>
      </c>
      <c r="E17401"/>
      <c r="F17401"/>
      <c r="G17401"/>
      <c r="H17401"/>
      <c r="I17401" s="489"/>
      <c r="J17401" s="1362"/>
      <c r="K17401" s="1362"/>
      <c r="L17401" s="1362"/>
    </row>
    <row r="17402" spans="1:12" x14ac:dyDescent="0.25">
      <c r="A17402">
        <v>41410</v>
      </c>
      <c r="B17402" t="s">
        <v>20904</v>
      </c>
      <c r="C17402" t="s">
        <v>2537</v>
      </c>
      <c r="D17402" s="254">
        <v>76.819999999999993</v>
      </c>
      <c r="E17402"/>
      <c r="F17402"/>
      <c r="G17402"/>
      <c r="H17402"/>
      <c r="I17402" s="489"/>
      <c r="J17402" s="1362"/>
      <c r="K17402" s="1362"/>
      <c r="L17402" s="1362"/>
    </row>
    <row r="17403" spans="1:12" x14ac:dyDescent="0.25">
      <c r="A17403">
        <v>41411</v>
      </c>
      <c r="B17403" t="s">
        <v>20905</v>
      </c>
      <c r="C17403" t="s">
        <v>2537</v>
      </c>
      <c r="D17403" s="254">
        <v>69.64</v>
      </c>
      <c r="E17403"/>
      <c r="F17403"/>
      <c r="G17403"/>
      <c r="H17403"/>
      <c r="I17403" s="489"/>
      <c r="J17403" s="1362"/>
      <c r="K17403" s="1362"/>
      <c r="L17403" s="1362"/>
    </row>
    <row r="17404" spans="1:12" x14ac:dyDescent="0.25">
      <c r="A17404">
        <v>41412</v>
      </c>
      <c r="B17404" t="s">
        <v>20906</v>
      </c>
      <c r="C17404" t="s">
        <v>2537</v>
      </c>
      <c r="D17404" s="254">
        <v>134.69999999999999</v>
      </c>
      <c r="E17404"/>
      <c r="F17404"/>
      <c r="G17404"/>
      <c r="H17404"/>
      <c r="I17404" s="489"/>
      <c r="J17404" s="1362"/>
      <c r="K17404" s="1362"/>
      <c r="L17404" s="1362"/>
    </row>
    <row r="17405" spans="1:12" x14ac:dyDescent="0.25">
      <c r="A17405">
        <v>41413</v>
      </c>
      <c r="B17405" t="s">
        <v>20907</v>
      </c>
      <c r="C17405" t="s">
        <v>2537</v>
      </c>
      <c r="D17405" s="254">
        <v>121.21</v>
      </c>
      <c r="E17405"/>
      <c r="F17405"/>
      <c r="G17405"/>
      <c r="H17405"/>
      <c r="I17405" s="489"/>
      <c r="J17405" s="1362"/>
      <c r="K17405" s="1362"/>
      <c r="L17405" s="1362"/>
    </row>
    <row r="17406" spans="1:12" x14ac:dyDescent="0.25">
      <c r="A17406">
        <v>39359</v>
      </c>
      <c r="B17406" t="s">
        <v>20908</v>
      </c>
      <c r="C17406" t="s">
        <v>2537</v>
      </c>
      <c r="D17406" s="254">
        <v>26.26</v>
      </c>
      <c r="E17406"/>
      <c r="F17406"/>
      <c r="G17406"/>
      <c r="H17406"/>
      <c r="I17406" s="489"/>
      <c r="J17406" s="1362"/>
      <c r="K17406" s="1362"/>
      <c r="L17406" s="1362"/>
    </row>
    <row r="17407" spans="1:12" x14ac:dyDescent="0.25">
      <c r="A17407">
        <v>39360</v>
      </c>
      <c r="B17407" t="s">
        <v>20909</v>
      </c>
      <c r="C17407" t="s">
        <v>2537</v>
      </c>
      <c r="D17407" s="254">
        <v>23.87</v>
      </c>
      <c r="E17407"/>
      <c r="F17407"/>
      <c r="G17407"/>
      <c r="H17407"/>
      <c r="I17407" s="489"/>
      <c r="J17407" s="1362"/>
      <c r="K17407" s="1362"/>
      <c r="L17407" s="1362"/>
    </row>
    <row r="17408" spans="1:12" x14ac:dyDescent="0.25">
      <c r="A17408">
        <v>10710</v>
      </c>
      <c r="B17408" t="s">
        <v>20910</v>
      </c>
      <c r="C17408" t="s">
        <v>2539</v>
      </c>
      <c r="D17408" s="254">
        <v>106.3</v>
      </c>
      <c r="E17408"/>
      <c r="F17408"/>
      <c r="G17408"/>
      <c r="H17408"/>
      <c r="I17408" s="489"/>
      <c r="J17408" s="1362"/>
      <c r="K17408" s="1362"/>
      <c r="L17408" s="1362"/>
    </row>
    <row r="17409" spans="1:12" x14ac:dyDescent="0.25">
      <c r="A17409">
        <v>10709</v>
      </c>
      <c r="B17409" t="s">
        <v>20911</v>
      </c>
      <c r="C17409" t="s">
        <v>2539</v>
      </c>
      <c r="D17409" s="254">
        <v>130.59</v>
      </c>
      <c r="E17409"/>
      <c r="F17409"/>
      <c r="G17409"/>
      <c r="H17409"/>
      <c r="I17409" s="489"/>
      <c r="J17409" s="1362"/>
      <c r="K17409" s="1362"/>
      <c r="L17409" s="1362"/>
    </row>
    <row r="17410" spans="1:12" x14ac:dyDescent="0.25">
      <c r="A17410">
        <v>39636</v>
      </c>
      <c r="B17410" t="s">
        <v>20912</v>
      </c>
      <c r="C17410" t="s">
        <v>2539</v>
      </c>
      <c r="D17410" s="254">
        <v>133.35</v>
      </c>
      <c r="E17410"/>
      <c r="F17410"/>
      <c r="G17410"/>
      <c r="H17410"/>
      <c r="I17410" s="489"/>
      <c r="J17410" s="1362"/>
      <c r="K17410" s="1362"/>
      <c r="L17410" s="1362"/>
    </row>
    <row r="17411" spans="1:12" x14ac:dyDescent="0.25">
      <c r="A17411">
        <v>10708</v>
      </c>
      <c r="B17411" t="s">
        <v>20913</v>
      </c>
      <c r="C17411" t="s">
        <v>2539</v>
      </c>
      <c r="D17411" s="254">
        <v>41.15</v>
      </c>
      <c r="E17411"/>
      <c r="F17411"/>
      <c r="G17411"/>
      <c r="H17411"/>
      <c r="I17411" s="489"/>
      <c r="J17411" s="1362"/>
      <c r="K17411" s="1362"/>
      <c r="L17411" s="1362"/>
    </row>
    <row r="17412" spans="1:12" x14ac:dyDescent="0.25">
      <c r="A17412">
        <v>39635</v>
      </c>
      <c r="B17412" t="s">
        <v>20914</v>
      </c>
      <c r="C17412" t="s">
        <v>2539</v>
      </c>
      <c r="D17412" s="254">
        <v>70.06</v>
      </c>
      <c r="E17412"/>
      <c r="F17412"/>
      <c r="G17412"/>
      <c r="H17412"/>
      <c r="I17412" s="489"/>
      <c r="J17412" s="1362"/>
      <c r="K17412" s="1362"/>
      <c r="L17412" s="1362"/>
    </row>
    <row r="17413" spans="1:12" x14ac:dyDescent="0.25">
      <c r="A17413">
        <v>6117</v>
      </c>
      <c r="B17413" t="s">
        <v>20915</v>
      </c>
      <c r="C17413" t="s">
        <v>2538</v>
      </c>
      <c r="D17413" s="254">
        <v>18.600000000000001</v>
      </c>
      <c r="E17413"/>
      <c r="F17413"/>
      <c r="G17413"/>
      <c r="H17413"/>
      <c r="I17413" s="489"/>
      <c r="J17413" s="1362"/>
      <c r="K17413" s="1362"/>
      <c r="L17413" s="1362"/>
    </row>
    <row r="17414" spans="1:12" x14ac:dyDescent="0.25">
      <c r="A17414">
        <v>40913</v>
      </c>
      <c r="B17414" t="s">
        <v>20916</v>
      </c>
      <c r="C17414" t="s">
        <v>2544</v>
      </c>
      <c r="D17414" s="254">
        <v>3282.72</v>
      </c>
      <c r="E17414"/>
      <c r="F17414"/>
      <c r="G17414"/>
      <c r="H17414"/>
      <c r="I17414" s="489"/>
      <c r="J17414" s="1362"/>
      <c r="K17414" s="1362"/>
      <c r="L17414" s="1362"/>
    </row>
    <row r="17415" spans="1:12" x14ac:dyDescent="0.25">
      <c r="A17415">
        <v>1214</v>
      </c>
      <c r="B17415" t="s">
        <v>20917</v>
      </c>
      <c r="C17415" t="s">
        <v>2538</v>
      </c>
      <c r="D17415" s="254">
        <v>23.95</v>
      </c>
      <c r="E17415"/>
      <c r="F17415"/>
      <c r="G17415"/>
      <c r="H17415"/>
      <c r="I17415" s="489"/>
      <c r="J17415" s="1362"/>
      <c r="K17415" s="1362"/>
      <c r="L17415" s="1362"/>
    </row>
    <row r="17416" spans="1:12" x14ac:dyDescent="0.25">
      <c r="A17416">
        <v>40915</v>
      </c>
      <c r="B17416" t="s">
        <v>20918</v>
      </c>
      <c r="C17416" t="s">
        <v>2544</v>
      </c>
      <c r="D17416" s="254">
        <v>4227.74</v>
      </c>
      <c r="E17416"/>
      <c r="F17416"/>
      <c r="G17416"/>
      <c r="H17416"/>
      <c r="I17416" s="489"/>
      <c r="J17416" s="1362"/>
      <c r="K17416" s="1362"/>
      <c r="L17416" s="1362"/>
    </row>
    <row r="17417" spans="1:12" x14ac:dyDescent="0.25">
      <c r="A17417">
        <v>1213</v>
      </c>
      <c r="B17417" t="s">
        <v>20919</v>
      </c>
      <c r="C17417" t="s">
        <v>2538</v>
      </c>
      <c r="D17417" s="254">
        <v>25.44</v>
      </c>
      <c r="E17417"/>
      <c r="F17417"/>
      <c r="G17417"/>
      <c r="H17417"/>
      <c r="I17417" s="489"/>
      <c r="J17417" s="1362"/>
      <c r="K17417" s="1362"/>
      <c r="L17417" s="1362"/>
    </row>
    <row r="17418" spans="1:12" x14ac:dyDescent="0.25">
      <c r="A17418">
        <v>40914</v>
      </c>
      <c r="B17418" t="s">
        <v>20920</v>
      </c>
      <c r="C17418" t="s">
        <v>2544</v>
      </c>
      <c r="D17418" s="254">
        <v>4489.72</v>
      </c>
      <c r="E17418"/>
      <c r="F17418"/>
      <c r="G17418"/>
      <c r="H17418"/>
      <c r="I17418" s="489"/>
      <c r="J17418" s="1362"/>
      <c r="K17418" s="1362"/>
      <c r="L17418" s="1362"/>
    </row>
    <row r="17419" spans="1:12" x14ac:dyDescent="0.25">
      <c r="A17419">
        <v>5091</v>
      </c>
      <c r="B17419" t="s">
        <v>20921</v>
      </c>
      <c r="C17419" t="s">
        <v>2537</v>
      </c>
      <c r="D17419" s="254">
        <v>20.5</v>
      </c>
      <c r="E17419"/>
      <c r="F17419"/>
      <c r="G17419"/>
      <c r="H17419"/>
      <c r="I17419" s="489"/>
      <c r="J17419" s="1362"/>
      <c r="K17419" s="1362"/>
      <c r="L17419" s="1362"/>
    </row>
    <row r="17420" spans="1:12" x14ac:dyDescent="0.25">
      <c r="A17420">
        <v>14615</v>
      </c>
      <c r="B17420" t="s">
        <v>20922</v>
      </c>
      <c r="C17420" t="s">
        <v>2537</v>
      </c>
      <c r="D17420" s="254">
        <v>3883.27</v>
      </c>
      <c r="E17420"/>
      <c r="F17420"/>
      <c r="G17420"/>
      <c r="H17420"/>
      <c r="I17420" s="489"/>
      <c r="J17420" s="1362"/>
      <c r="K17420" s="1362"/>
      <c r="L17420" s="1362"/>
    </row>
    <row r="17421" spans="1:12" x14ac:dyDescent="0.25">
      <c r="A17421">
        <v>2711</v>
      </c>
      <c r="B17421" t="s">
        <v>20923</v>
      </c>
      <c r="C17421" t="s">
        <v>2537</v>
      </c>
      <c r="D17421" s="254">
        <v>250.9</v>
      </c>
      <c r="E17421"/>
      <c r="F17421"/>
      <c r="G17421"/>
      <c r="H17421"/>
      <c r="I17421" s="489"/>
      <c r="J17421" s="1362"/>
      <c r="K17421" s="1362"/>
      <c r="L17421" s="1362"/>
    </row>
    <row r="17422" spans="1:12" x14ac:dyDescent="0.25">
      <c r="A17422">
        <v>37727</v>
      </c>
      <c r="B17422" t="s">
        <v>20924</v>
      </c>
      <c r="C17422" t="s">
        <v>2537</v>
      </c>
      <c r="D17422" s="254">
        <v>16270</v>
      </c>
      <c r="E17422"/>
      <c r="F17422"/>
      <c r="G17422"/>
      <c r="H17422"/>
      <c r="I17422" s="489"/>
      <c r="J17422" s="1362"/>
      <c r="K17422" s="1362"/>
      <c r="L17422" s="1362"/>
    </row>
    <row r="17423" spans="1:12" x14ac:dyDescent="0.25">
      <c r="A17423">
        <v>37728</v>
      </c>
      <c r="B17423" t="s">
        <v>20925</v>
      </c>
      <c r="C17423" t="s">
        <v>2537</v>
      </c>
      <c r="D17423" s="254">
        <v>22072.58</v>
      </c>
      <c r="E17423"/>
      <c r="F17423"/>
      <c r="G17423"/>
      <c r="H17423"/>
      <c r="I17423" s="489"/>
      <c r="J17423" s="1362"/>
      <c r="K17423" s="1362"/>
      <c r="L17423" s="1362"/>
    </row>
    <row r="17424" spans="1:12" x14ac:dyDescent="0.25">
      <c r="A17424">
        <v>37729</v>
      </c>
      <c r="B17424" t="s">
        <v>20926</v>
      </c>
      <c r="C17424" t="s">
        <v>2537</v>
      </c>
      <c r="D17424" s="254">
        <v>23893</v>
      </c>
      <c r="E17424"/>
      <c r="F17424"/>
      <c r="G17424"/>
      <c r="H17424"/>
      <c r="I17424" s="489"/>
      <c r="J17424" s="1362"/>
      <c r="K17424" s="1362"/>
      <c r="L17424" s="1362"/>
    </row>
    <row r="17425" spans="1:12" x14ac:dyDescent="0.25">
      <c r="A17425">
        <v>37730</v>
      </c>
      <c r="B17425" t="s">
        <v>20927</v>
      </c>
      <c r="C17425" t="s">
        <v>2537</v>
      </c>
      <c r="D17425" s="254">
        <v>25713.42</v>
      </c>
      <c r="E17425"/>
      <c r="F17425"/>
      <c r="G17425"/>
      <c r="H17425"/>
      <c r="I17425" s="489"/>
      <c r="J17425" s="1362"/>
      <c r="K17425" s="1362"/>
      <c r="L17425" s="1362"/>
    </row>
    <row r="17426" spans="1:12" x14ac:dyDescent="0.25">
      <c r="A17426">
        <v>37731</v>
      </c>
      <c r="B17426" t="s">
        <v>20928</v>
      </c>
      <c r="C17426" t="s">
        <v>2537</v>
      </c>
      <c r="D17426" s="254">
        <v>27533.84</v>
      </c>
      <c r="E17426"/>
      <c r="F17426"/>
      <c r="G17426"/>
      <c r="H17426"/>
      <c r="I17426" s="489"/>
      <c r="J17426" s="1362"/>
      <c r="K17426" s="1362"/>
      <c r="L17426" s="1362"/>
    </row>
    <row r="17427" spans="1:12" x14ac:dyDescent="0.25">
      <c r="A17427">
        <v>37732</v>
      </c>
      <c r="B17427" t="s">
        <v>20929</v>
      </c>
      <c r="C17427" t="s">
        <v>2537</v>
      </c>
      <c r="D17427" s="254">
        <v>31402.23</v>
      </c>
      <c r="E17427"/>
      <c r="F17427"/>
      <c r="G17427"/>
      <c r="H17427"/>
      <c r="I17427" s="489"/>
      <c r="J17427" s="1362"/>
      <c r="K17427" s="1362"/>
      <c r="L17427" s="1362"/>
    </row>
    <row r="17428" spans="1:12" x14ac:dyDescent="0.25">
      <c r="A17428">
        <v>42256</v>
      </c>
      <c r="B17428" t="s">
        <v>20930</v>
      </c>
      <c r="C17428" t="s">
        <v>2542</v>
      </c>
      <c r="D17428" s="254">
        <v>7.71</v>
      </c>
      <c r="E17428"/>
      <c r="F17428"/>
      <c r="G17428"/>
      <c r="H17428"/>
      <c r="I17428" s="489"/>
      <c r="J17428" s="1362"/>
      <c r="K17428" s="1362"/>
      <c r="L17428" s="1362"/>
    </row>
    <row r="17429" spans="1:12" x14ac:dyDescent="0.25">
      <c r="A17429">
        <v>42250</v>
      </c>
      <c r="B17429" t="s">
        <v>20931</v>
      </c>
      <c r="C17429" t="s">
        <v>2548</v>
      </c>
      <c r="D17429" s="254">
        <v>3471.49</v>
      </c>
      <c r="E17429"/>
      <c r="F17429"/>
      <c r="G17429"/>
      <c r="H17429"/>
      <c r="I17429" s="489"/>
      <c r="J17429" s="1362"/>
      <c r="K17429" s="1362"/>
      <c r="L17429" s="1362"/>
    </row>
    <row r="17430" spans="1:12" x14ac:dyDescent="0.25">
      <c r="A17430">
        <v>4743</v>
      </c>
      <c r="B17430" t="s">
        <v>20932</v>
      </c>
      <c r="C17430" t="s">
        <v>2540</v>
      </c>
      <c r="D17430" s="254">
        <v>59.45</v>
      </c>
      <c r="E17430"/>
      <c r="F17430"/>
      <c r="G17430"/>
      <c r="H17430"/>
      <c r="I17430" s="489"/>
      <c r="J17430" s="1362"/>
      <c r="K17430" s="1362"/>
      <c r="L17430" s="1362"/>
    </row>
    <row r="17431" spans="1:12" x14ac:dyDescent="0.25">
      <c r="A17431">
        <v>4744</v>
      </c>
      <c r="B17431" t="s">
        <v>20933</v>
      </c>
      <c r="C17431" t="s">
        <v>2540</v>
      </c>
      <c r="D17431" s="254">
        <v>95.12</v>
      </c>
      <c r="E17431"/>
      <c r="F17431"/>
      <c r="G17431"/>
      <c r="H17431"/>
      <c r="I17431" s="489"/>
      <c r="J17431" s="1362"/>
      <c r="K17431" s="1362"/>
      <c r="L17431" s="1362"/>
    </row>
    <row r="17432" spans="1:12" x14ac:dyDescent="0.25">
      <c r="A17432">
        <v>4745</v>
      </c>
      <c r="B17432" t="s">
        <v>20934</v>
      </c>
      <c r="C17432" t="s">
        <v>2540</v>
      </c>
      <c r="D17432" s="254">
        <v>114.09</v>
      </c>
      <c r="E17432"/>
      <c r="F17432"/>
      <c r="G17432"/>
      <c r="H17432"/>
      <c r="I17432" s="489"/>
      <c r="J17432" s="1362"/>
      <c r="K17432" s="1362"/>
      <c r="L17432" s="1362"/>
    </row>
    <row r="17433" spans="1:12" x14ac:dyDescent="0.25">
      <c r="A17433">
        <v>36496</v>
      </c>
      <c r="B17433" t="s">
        <v>20935</v>
      </c>
      <c r="C17433" t="s">
        <v>2537</v>
      </c>
      <c r="D17433" s="254">
        <v>9859.5400000000009</v>
      </c>
      <c r="E17433"/>
      <c r="F17433"/>
      <c r="G17433"/>
      <c r="H17433"/>
      <c r="I17433" s="489"/>
      <c r="J17433" s="1362"/>
      <c r="K17433" s="1362"/>
      <c r="L17433" s="1362"/>
    </row>
    <row r="17434" spans="1:12" x14ac:dyDescent="0.25">
      <c r="A17434">
        <v>10630</v>
      </c>
      <c r="B17434" t="s">
        <v>20936</v>
      </c>
      <c r="C17434" t="s">
        <v>2537</v>
      </c>
      <c r="D17434" s="254">
        <v>658690.94999999995</v>
      </c>
      <c r="E17434"/>
      <c r="F17434"/>
      <c r="G17434"/>
      <c r="H17434"/>
      <c r="I17434" s="489"/>
      <c r="J17434" s="1362"/>
      <c r="K17434" s="1362"/>
      <c r="L17434" s="1362"/>
    </row>
    <row r="17435" spans="1:12" x14ac:dyDescent="0.25">
      <c r="A17435">
        <v>37762</v>
      </c>
      <c r="B17435" t="s">
        <v>20937</v>
      </c>
      <c r="C17435" t="s">
        <v>2537</v>
      </c>
      <c r="D17435" s="254">
        <v>564919.09</v>
      </c>
      <c r="E17435"/>
      <c r="F17435"/>
      <c r="G17435"/>
      <c r="H17435"/>
      <c r="I17435" s="489"/>
      <c r="J17435" s="1362"/>
      <c r="K17435" s="1362"/>
      <c r="L17435" s="1362"/>
    </row>
    <row r="17436" spans="1:12" x14ac:dyDescent="0.25">
      <c r="A17436">
        <v>37763</v>
      </c>
      <c r="B17436" t="s">
        <v>20938</v>
      </c>
      <c r="C17436" t="s">
        <v>2537</v>
      </c>
      <c r="D17436" s="254">
        <v>571780.36</v>
      </c>
      <c r="E17436"/>
      <c r="F17436"/>
      <c r="G17436"/>
      <c r="H17436"/>
      <c r="I17436" s="489"/>
      <c r="J17436" s="1362"/>
      <c r="K17436" s="1362"/>
      <c r="L17436" s="1362"/>
    </row>
    <row r="17437" spans="1:12" x14ac:dyDescent="0.25">
      <c r="A17437">
        <v>41992</v>
      </c>
      <c r="B17437" t="s">
        <v>20939</v>
      </c>
      <c r="C17437" t="s">
        <v>2537</v>
      </c>
      <c r="D17437" s="254">
        <v>650000</v>
      </c>
      <c r="E17437"/>
      <c r="F17437"/>
      <c r="G17437"/>
      <c r="H17437"/>
      <c r="I17437" s="489"/>
      <c r="J17437" s="1362"/>
      <c r="K17437" s="1362"/>
      <c r="L17437" s="1362"/>
    </row>
    <row r="17438" spans="1:12" x14ac:dyDescent="0.25">
      <c r="A17438">
        <v>13215</v>
      </c>
      <c r="B17438" t="s">
        <v>20940</v>
      </c>
      <c r="C17438" t="s">
        <v>2537</v>
      </c>
      <c r="D17438" s="254">
        <v>797061.85</v>
      </c>
      <c r="E17438"/>
      <c r="F17438"/>
      <c r="G17438"/>
      <c r="H17438"/>
      <c r="I17438" s="489"/>
      <c r="J17438" s="1362"/>
      <c r="K17438" s="1362"/>
      <c r="L17438" s="1362"/>
    </row>
    <row r="17439" spans="1:12" x14ac:dyDescent="0.25">
      <c r="A17439">
        <v>4235</v>
      </c>
      <c r="B17439" t="s">
        <v>20941</v>
      </c>
      <c r="C17439" t="s">
        <v>2538</v>
      </c>
      <c r="D17439" s="254">
        <v>15.23</v>
      </c>
      <c r="E17439"/>
      <c r="F17439"/>
      <c r="G17439"/>
      <c r="H17439"/>
      <c r="I17439" s="489"/>
      <c r="J17439" s="1362"/>
      <c r="K17439" s="1362"/>
      <c r="L17439" s="1362"/>
    </row>
    <row r="17440" spans="1:12" x14ac:dyDescent="0.25">
      <c r="A17440">
        <v>40976</v>
      </c>
      <c r="B17440" t="s">
        <v>20942</v>
      </c>
      <c r="C17440" t="s">
        <v>2544</v>
      </c>
      <c r="D17440" s="254">
        <v>2691.47</v>
      </c>
      <c r="E17440"/>
      <c r="F17440"/>
      <c r="G17440"/>
      <c r="H17440"/>
      <c r="I17440" s="489"/>
      <c r="J17440" s="1362"/>
      <c r="K17440" s="1362"/>
      <c r="L17440" s="1362"/>
    </row>
    <row r="17441" spans="1:12" x14ac:dyDescent="0.25">
      <c r="A17441">
        <v>43091</v>
      </c>
      <c r="B17441" t="s">
        <v>20943</v>
      </c>
      <c r="C17441" t="s">
        <v>2537</v>
      </c>
      <c r="D17441" s="254">
        <v>8379.5400000000009</v>
      </c>
      <c r="E17441"/>
      <c r="F17441"/>
      <c r="G17441"/>
      <c r="H17441"/>
      <c r="I17441" s="489"/>
      <c r="J17441" s="1362"/>
      <c r="K17441" s="1362"/>
      <c r="L17441" s="1362"/>
    </row>
    <row r="17442" spans="1:12" x14ac:dyDescent="0.25">
      <c r="A17442">
        <v>43092</v>
      </c>
      <c r="B17442" t="s">
        <v>20944</v>
      </c>
      <c r="C17442" t="s">
        <v>2537</v>
      </c>
      <c r="D17442" s="254">
        <v>11172.72</v>
      </c>
      <c r="E17442"/>
      <c r="F17442"/>
      <c r="G17442"/>
      <c r="H17442"/>
      <c r="I17442" s="489"/>
      <c r="J17442" s="1362"/>
      <c r="K17442" s="1362"/>
      <c r="L17442" s="1362"/>
    </row>
    <row r="17443" spans="1:12" x14ac:dyDescent="0.25">
      <c r="A17443">
        <v>43089</v>
      </c>
      <c r="B17443" t="s">
        <v>20945</v>
      </c>
      <c r="C17443" t="s">
        <v>2537</v>
      </c>
      <c r="D17443" s="254">
        <v>1947.17</v>
      </c>
      <c r="E17443"/>
      <c r="F17443"/>
      <c r="G17443"/>
      <c r="H17443"/>
      <c r="I17443" s="489"/>
      <c r="J17443" s="1362"/>
      <c r="K17443" s="1362"/>
      <c r="L17443" s="1362"/>
    </row>
    <row r="17444" spans="1:12" x14ac:dyDescent="0.25">
      <c r="A17444">
        <v>43090</v>
      </c>
      <c r="B17444" t="s">
        <v>20946</v>
      </c>
      <c r="C17444" t="s">
        <v>2537</v>
      </c>
      <c r="D17444" s="254">
        <v>4297.2</v>
      </c>
      <c r="E17444"/>
      <c r="F17444"/>
      <c r="G17444"/>
      <c r="H17444"/>
      <c r="I17444" s="489"/>
      <c r="J17444" s="1362"/>
      <c r="K17444" s="1362"/>
      <c r="L17444" s="1362"/>
    </row>
    <row r="17445" spans="1:12" x14ac:dyDescent="0.25">
      <c r="A17445">
        <v>41967</v>
      </c>
      <c r="B17445" t="s">
        <v>20947</v>
      </c>
      <c r="C17445" t="s">
        <v>2543</v>
      </c>
      <c r="D17445" s="254">
        <v>21.42</v>
      </c>
      <c r="E17445"/>
      <c r="F17445"/>
      <c r="G17445"/>
      <c r="H17445"/>
      <c r="I17445" s="489"/>
      <c r="J17445" s="1362"/>
      <c r="K17445" s="1362"/>
      <c r="L17445" s="1362"/>
    </row>
    <row r="17446" spans="1:12" x14ac:dyDescent="0.25">
      <c r="A17446">
        <v>12760</v>
      </c>
      <c r="B17446" t="s">
        <v>20948</v>
      </c>
      <c r="C17446" t="s">
        <v>2539</v>
      </c>
      <c r="D17446" s="254">
        <v>1323.32</v>
      </c>
      <c r="E17446"/>
      <c r="F17446"/>
      <c r="G17446"/>
      <c r="H17446"/>
      <c r="I17446" s="489"/>
      <c r="J17446" s="1362"/>
      <c r="K17446" s="1362"/>
      <c r="L17446" s="1362"/>
    </row>
    <row r="17447" spans="1:12" x14ac:dyDescent="0.25">
      <c r="A17447">
        <v>12759</v>
      </c>
      <c r="B17447" t="s">
        <v>20949</v>
      </c>
      <c r="C17447" t="s">
        <v>2539</v>
      </c>
      <c r="D17447" s="254">
        <v>882.2</v>
      </c>
      <c r="E17447"/>
      <c r="F17447"/>
      <c r="G17447"/>
      <c r="H17447"/>
      <c r="I17447" s="489"/>
      <c r="J17447" s="1362"/>
      <c r="K17447" s="1362"/>
      <c r="L17447" s="1362"/>
    </row>
    <row r="17448" spans="1:12" x14ac:dyDescent="0.25">
      <c r="A17448">
        <v>43105</v>
      </c>
      <c r="B17448" t="s">
        <v>20950</v>
      </c>
      <c r="C17448" t="s">
        <v>2542</v>
      </c>
      <c r="D17448" s="254">
        <v>42.73</v>
      </c>
      <c r="E17448"/>
      <c r="F17448"/>
      <c r="G17448"/>
      <c r="H17448"/>
      <c r="I17448" s="489"/>
      <c r="J17448" s="1362"/>
      <c r="K17448" s="1362"/>
      <c r="L17448" s="1362"/>
    </row>
    <row r="17449" spans="1:12" x14ac:dyDescent="0.25">
      <c r="A17449">
        <v>40424</v>
      </c>
      <c r="B17449" t="s">
        <v>20951</v>
      </c>
      <c r="C17449" t="s">
        <v>2542</v>
      </c>
      <c r="D17449" s="254">
        <v>10.85</v>
      </c>
      <c r="E17449"/>
      <c r="F17449"/>
      <c r="G17449"/>
      <c r="H17449"/>
      <c r="I17449" s="489"/>
      <c r="J17449" s="1362"/>
      <c r="K17449" s="1362"/>
      <c r="L17449" s="1362"/>
    </row>
    <row r="17450" spans="1:12" x14ac:dyDescent="0.25">
      <c r="A17450">
        <v>1325</v>
      </c>
      <c r="B17450" t="s">
        <v>20952</v>
      </c>
      <c r="C17450" t="s">
        <v>2542</v>
      </c>
      <c r="D17450" s="254">
        <v>11.89</v>
      </c>
      <c r="E17450"/>
      <c r="F17450"/>
      <c r="G17450"/>
      <c r="H17450"/>
      <c r="I17450" s="489"/>
      <c r="J17450" s="1362"/>
      <c r="K17450" s="1362"/>
      <c r="L17450" s="1362"/>
    </row>
    <row r="17451" spans="1:12" x14ac:dyDescent="0.25">
      <c r="A17451">
        <v>1327</v>
      </c>
      <c r="B17451" t="s">
        <v>20953</v>
      </c>
      <c r="C17451" t="s">
        <v>2542</v>
      </c>
      <c r="D17451" s="254">
        <v>12.66</v>
      </c>
      <c r="E17451"/>
      <c r="F17451"/>
      <c r="G17451"/>
      <c r="H17451"/>
      <c r="I17451" s="489"/>
      <c r="J17451" s="1362"/>
      <c r="K17451" s="1362"/>
      <c r="L17451" s="1362"/>
    </row>
    <row r="17452" spans="1:12" x14ac:dyDescent="0.25">
      <c r="A17452">
        <v>1328</v>
      </c>
      <c r="B17452" t="s">
        <v>20954</v>
      </c>
      <c r="C17452" t="s">
        <v>2542</v>
      </c>
      <c r="D17452" s="254">
        <v>11.92</v>
      </c>
      <c r="E17452"/>
      <c r="F17452"/>
      <c r="G17452"/>
      <c r="H17452"/>
      <c r="I17452" s="489"/>
      <c r="J17452" s="1362"/>
      <c r="K17452" s="1362"/>
      <c r="L17452" s="1362"/>
    </row>
    <row r="17453" spans="1:12" x14ac:dyDescent="0.25">
      <c r="A17453">
        <v>1321</v>
      </c>
      <c r="B17453" t="s">
        <v>20955</v>
      </c>
      <c r="C17453" t="s">
        <v>2542</v>
      </c>
      <c r="D17453" s="254">
        <v>11.03</v>
      </c>
      <c r="E17453"/>
      <c r="F17453"/>
      <c r="G17453"/>
      <c r="H17453"/>
      <c r="I17453" s="489"/>
      <c r="J17453" s="1362"/>
      <c r="K17453" s="1362"/>
      <c r="L17453" s="1362"/>
    </row>
    <row r="17454" spans="1:12" x14ac:dyDescent="0.25">
      <c r="A17454">
        <v>1318</v>
      </c>
      <c r="B17454" t="s">
        <v>20956</v>
      </c>
      <c r="C17454" t="s">
        <v>2542</v>
      </c>
      <c r="D17454" s="254">
        <v>11.04</v>
      </c>
      <c r="E17454"/>
      <c r="F17454"/>
      <c r="G17454"/>
      <c r="H17454"/>
      <c r="I17454" s="489"/>
      <c r="J17454" s="1362"/>
      <c r="K17454" s="1362"/>
      <c r="L17454" s="1362"/>
    </row>
    <row r="17455" spans="1:12" x14ac:dyDescent="0.25">
      <c r="A17455">
        <v>1322</v>
      </c>
      <c r="B17455" t="s">
        <v>20957</v>
      </c>
      <c r="C17455" t="s">
        <v>2542</v>
      </c>
      <c r="D17455" s="254">
        <v>11.67</v>
      </c>
      <c r="E17455"/>
      <c r="F17455"/>
      <c r="G17455"/>
      <c r="H17455"/>
      <c r="I17455" s="489"/>
      <c r="J17455" s="1362"/>
      <c r="K17455" s="1362"/>
      <c r="L17455" s="1362"/>
    </row>
    <row r="17456" spans="1:12" x14ac:dyDescent="0.25">
      <c r="A17456">
        <v>1323</v>
      </c>
      <c r="B17456" t="s">
        <v>20958</v>
      </c>
      <c r="C17456" t="s">
        <v>2542</v>
      </c>
      <c r="D17456" s="254">
        <v>11.67</v>
      </c>
      <c r="E17456"/>
      <c r="F17456"/>
      <c r="G17456"/>
      <c r="H17456"/>
      <c r="I17456" s="489"/>
      <c r="J17456" s="1362"/>
      <c r="K17456" s="1362"/>
      <c r="L17456" s="1362"/>
    </row>
    <row r="17457" spans="1:12" x14ac:dyDescent="0.25">
      <c r="A17457">
        <v>1319</v>
      </c>
      <c r="B17457" t="s">
        <v>20959</v>
      </c>
      <c r="C17457" t="s">
        <v>2542</v>
      </c>
      <c r="D17457" s="254">
        <v>9.83</v>
      </c>
      <c r="E17457"/>
      <c r="F17457"/>
      <c r="G17457"/>
      <c r="H17457"/>
      <c r="I17457" s="489"/>
      <c r="J17457" s="1362"/>
      <c r="K17457" s="1362"/>
      <c r="L17457" s="1362"/>
    </row>
    <row r="17458" spans="1:12" x14ac:dyDescent="0.25">
      <c r="A17458">
        <v>11026</v>
      </c>
      <c r="B17458" t="s">
        <v>20960</v>
      </c>
      <c r="C17458" t="s">
        <v>2542</v>
      </c>
      <c r="D17458" s="254">
        <v>13.52</v>
      </c>
      <c r="E17458"/>
      <c r="F17458"/>
      <c r="G17458"/>
      <c r="H17458"/>
      <c r="I17458" s="489"/>
      <c r="J17458" s="1362"/>
      <c r="K17458" s="1362"/>
      <c r="L17458" s="1362"/>
    </row>
    <row r="17459" spans="1:12" x14ac:dyDescent="0.25">
      <c r="A17459">
        <v>11027</v>
      </c>
      <c r="B17459" t="s">
        <v>20961</v>
      </c>
      <c r="C17459" t="s">
        <v>2542</v>
      </c>
      <c r="D17459" s="254">
        <v>14.08</v>
      </c>
      <c r="E17459"/>
      <c r="F17459"/>
      <c r="G17459"/>
      <c r="H17459"/>
      <c r="I17459" s="489"/>
      <c r="J17459" s="1362"/>
      <c r="K17459" s="1362"/>
      <c r="L17459" s="1362"/>
    </row>
    <row r="17460" spans="1:12" x14ac:dyDescent="0.25">
      <c r="A17460">
        <v>11046</v>
      </c>
      <c r="B17460" t="s">
        <v>20962</v>
      </c>
      <c r="C17460" t="s">
        <v>2542</v>
      </c>
      <c r="D17460" s="254">
        <v>13.48</v>
      </c>
      <c r="E17460"/>
      <c r="F17460"/>
      <c r="G17460"/>
      <c r="H17460"/>
      <c r="I17460" s="489"/>
      <c r="J17460" s="1362"/>
      <c r="K17460" s="1362"/>
      <c r="L17460" s="1362"/>
    </row>
    <row r="17461" spans="1:12" x14ac:dyDescent="0.25">
      <c r="A17461">
        <v>11047</v>
      </c>
      <c r="B17461" t="s">
        <v>20963</v>
      </c>
      <c r="C17461" t="s">
        <v>2542</v>
      </c>
      <c r="D17461" s="254">
        <v>14.7</v>
      </c>
      <c r="E17461"/>
      <c r="F17461"/>
      <c r="G17461"/>
      <c r="H17461"/>
      <c r="I17461" s="489"/>
      <c r="J17461" s="1362"/>
      <c r="K17461" s="1362"/>
      <c r="L17461" s="1362"/>
    </row>
    <row r="17462" spans="1:12" x14ac:dyDescent="0.25">
      <c r="A17462">
        <v>43668</v>
      </c>
      <c r="B17462" t="s">
        <v>20964</v>
      </c>
      <c r="C17462" t="s">
        <v>2542</v>
      </c>
      <c r="D17462" s="254">
        <v>12.97</v>
      </c>
      <c r="E17462"/>
      <c r="F17462"/>
      <c r="G17462"/>
      <c r="H17462"/>
      <c r="I17462" s="489"/>
      <c r="J17462" s="1362"/>
      <c r="K17462" s="1362"/>
      <c r="L17462" s="1362"/>
    </row>
    <row r="17463" spans="1:12" x14ac:dyDescent="0.25">
      <c r="A17463">
        <v>11049</v>
      </c>
      <c r="B17463" t="s">
        <v>20965</v>
      </c>
      <c r="C17463" t="s">
        <v>2542</v>
      </c>
      <c r="D17463" s="254">
        <v>14.05</v>
      </c>
      <c r="E17463"/>
      <c r="F17463"/>
      <c r="G17463"/>
      <c r="H17463"/>
      <c r="I17463" s="489"/>
      <c r="J17463" s="1362"/>
      <c r="K17463" s="1362"/>
      <c r="L17463" s="1362"/>
    </row>
    <row r="17464" spans="1:12" x14ac:dyDescent="0.25">
      <c r="A17464">
        <v>43106</v>
      </c>
      <c r="B17464" t="s">
        <v>20966</v>
      </c>
      <c r="C17464" t="s">
        <v>2542</v>
      </c>
      <c r="D17464" s="254">
        <v>14.14</v>
      </c>
      <c r="E17464"/>
      <c r="F17464"/>
      <c r="G17464"/>
      <c r="H17464"/>
      <c r="I17464" s="489"/>
      <c r="J17464" s="1362"/>
      <c r="K17464" s="1362"/>
      <c r="L17464" s="1362"/>
    </row>
    <row r="17465" spans="1:12" x14ac:dyDescent="0.25">
      <c r="A17465">
        <v>11051</v>
      </c>
      <c r="B17465" t="s">
        <v>20967</v>
      </c>
      <c r="C17465" t="s">
        <v>2542</v>
      </c>
      <c r="D17465" s="254">
        <v>14.75</v>
      </c>
      <c r="E17465"/>
      <c r="F17465"/>
      <c r="G17465"/>
      <c r="H17465"/>
      <c r="I17465" s="489"/>
      <c r="J17465" s="1362"/>
      <c r="K17465" s="1362"/>
      <c r="L17465" s="1362"/>
    </row>
    <row r="17466" spans="1:12" x14ac:dyDescent="0.25">
      <c r="A17466">
        <v>11061</v>
      </c>
      <c r="B17466" t="s">
        <v>20968</v>
      </c>
      <c r="C17466" t="s">
        <v>2542</v>
      </c>
      <c r="D17466" s="254">
        <v>17.7</v>
      </c>
      <c r="E17466"/>
      <c r="F17466"/>
      <c r="G17466"/>
      <c r="H17466"/>
      <c r="I17466" s="489"/>
      <c r="J17466" s="1362"/>
      <c r="K17466" s="1362"/>
      <c r="L17466" s="1362"/>
    </row>
    <row r="17467" spans="1:12" x14ac:dyDescent="0.25">
      <c r="A17467">
        <v>43667</v>
      </c>
      <c r="B17467" t="s">
        <v>20969</v>
      </c>
      <c r="C17467" t="s">
        <v>2542</v>
      </c>
      <c r="D17467" s="254">
        <v>12.86</v>
      </c>
      <c r="E17467"/>
      <c r="F17467"/>
      <c r="G17467"/>
      <c r="H17467"/>
      <c r="I17467" s="489"/>
      <c r="J17467" s="1362"/>
      <c r="K17467" s="1362"/>
      <c r="L17467" s="1362"/>
    </row>
    <row r="17468" spans="1:12" x14ac:dyDescent="0.25">
      <c r="A17468">
        <v>1333</v>
      </c>
      <c r="B17468" t="s">
        <v>20970</v>
      </c>
      <c r="C17468" t="s">
        <v>2542</v>
      </c>
      <c r="D17468" s="254">
        <v>10.71</v>
      </c>
      <c r="E17468"/>
      <c r="F17468"/>
      <c r="G17468"/>
      <c r="H17468"/>
      <c r="I17468" s="489"/>
      <c r="J17468" s="1362"/>
      <c r="K17468" s="1362"/>
      <c r="L17468" s="1362"/>
    </row>
    <row r="17469" spans="1:12" x14ac:dyDescent="0.25">
      <c r="A17469">
        <v>1330</v>
      </c>
      <c r="B17469" t="s">
        <v>20971</v>
      </c>
      <c r="C17469" t="s">
        <v>2542</v>
      </c>
      <c r="D17469" s="254">
        <v>10.61</v>
      </c>
      <c r="E17469"/>
      <c r="F17469"/>
      <c r="G17469"/>
      <c r="H17469"/>
      <c r="I17469" s="489"/>
      <c r="J17469" s="1362"/>
      <c r="K17469" s="1362"/>
      <c r="L17469" s="1362"/>
    </row>
    <row r="17470" spans="1:12" x14ac:dyDescent="0.25">
      <c r="A17470">
        <v>10957</v>
      </c>
      <c r="B17470" t="s">
        <v>20972</v>
      </c>
      <c r="C17470" t="s">
        <v>2542</v>
      </c>
      <c r="D17470" s="254">
        <v>12.24</v>
      </c>
      <c r="E17470"/>
      <c r="F17470"/>
      <c r="G17470"/>
      <c r="H17470"/>
      <c r="I17470" s="489"/>
      <c r="J17470" s="1362"/>
      <c r="K17470" s="1362"/>
      <c r="L17470" s="1362"/>
    </row>
    <row r="17471" spans="1:12" x14ac:dyDescent="0.25">
      <c r="A17471">
        <v>1332</v>
      </c>
      <c r="B17471" t="s">
        <v>20973</v>
      </c>
      <c r="C17471" t="s">
        <v>2542</v>
      </c>
      <c r="D17471" s="254">
        <v>10.88</v>
      </c>
      <c r="E17471"/>
      <c r="F17471"/>
      <c r="G17471"/>
      <c r="H17471"/>
      <c r="I17471" s="489"/>
      <c r="J17471" s="1362"/>
      <c r="K17471" s="1362"/>
      <c r="L17471" s="1362"/>
    </row>
    <row r="17472" spans="1:12" x14ac:dyDescent="0.25">
      <c r="A17472">
        <v>1334</v>
      </c>
      <c r="B17472" t="s">
        <v>20974</v>
      </c>
      <c r="C17472" t="s">
        <v>2542</v>
      </c>
      <c r="D17472" s="254">
        <v>12.07</v>
      </c>
      <c r="E17472"/>
      <c r="F17472"/>
      <c r="G17472"/>
      <c r="H17472"/>
      <c r="I17472" s="489"/>
      <c r="J17472" s="1362"/>
      <c r="K17472" s="1362"/>
      <c r="L17472" s="1362"/>
    </row>
    <row r="17473" spans="1:12" x14ac:dyDescent="0.25">
      <c r="A17473">
        <v>1335</v>
      </c>
      <c r="B17473" t="s">
        <v>20975</v>
      </c>
      <c r="C17473" t="s">
        <v>2542</v>
      </c>
      <c r="D17473" s="254">
        <v>12.47</v>
      </c>
      <c r="E17473"/>
      <c r="F17473"/>
      <c r="G17473"/>
      <c r="H17473"/>
      <c r="I17473" s="489"/>
      <c r="J17473" s="1362"/>
      <c r="K17473" s="1362"/>
      <c r="L17473" s="1362"/>
    </row>
    <row r="17474" spans="1:12" x14ac:dyDescent="0.25">
      <c r="A17474">
        <v>40425</v>
      </c>
      <c r="B17474" t="s">
        <v>20976</v>
      </c>
      <c r="C17474" t="s">
        <v>2542</v>
      </c>
      <c r="D17474" s="254">
        <v>10.67</v>
      </c>
      <c r="E17474"/>
      <c r="F17474"/>
      <c r="G17474"/>
      <c r="H17474"/>
      <c r="I17474" s="489"/>
      <c r="J17474" s="1362"/>
      <c r="K17474" s="1362"/>
      <c r="L17474" s="1362"/>
    </row>
    <row r="17475" spans="1:12" x14ac:dyDescent="0.25">
      <c r="A17475">
        <v>1337</v>
      </c>
      <c r="B17475" t="s">
        <v>20977</v>
      </c>
      <c r="C17475" t="s">
        <v>2542</v>
      </c>
      <c r="D17475" s="254">
        <v>12.24</v>
      </c>
      <c r="E17475"/>
      <c r="F17475"/>
      <c r="G17475"/>
      <c r="H17475"/>
      <c r="I17475" s="489"/>
      <c r="J17475" s="1362"/>
      <c r="K17475" s="1362"/>
      <c r="L17475" s="1362"/>
    </row>
    <row r="17476" spans="1:12" x14ac:dyDescent="0.25">
      <c r="A17476">
        <v>1338</v>
      </c>
      <c r="B17476" t="s">
        <v>20978</v>
      </c>
      <c r="C17476" t="s">
        <v>2539</v>
      </c>
      <c r="D17476" s="254">
        <v>58.4</v>
      </c>
      <c r="E17476"/>
      <c r="F17476"/>
      <c r="G17476"/>
      <c r="H17476"/>
      <c r="I17476" s="489"/>
      <c r="J17476" s="1362"/>
      <c r="K17476" s="1362"/>
      <c r="L17476" s="1362"/>
    </row>
    <row r="17477" spans="1:12" x14ac:dyDescent="0.25">
      <c r="A17477">
        <v>1340</v>
      </c>
      <c r="B17477" t="s">
        <v>20979</v>
      </c>
      <c r="C17477" t="s">
        <v>2539</v>
      </c>
      <c r="D17477" s="254">
        <v>67.52</v>
      </c>
      <c r="E17477"/>
      <c r="F17477"/>
      <c r="G17477"/>
      <c r="H17477"/>
      <c r="I17477" s="489"/>
      <c r="J17477" s="1362"/>
      <c r="K17477" s="1362"/>
      <c r="L17477" s="1362"/>
    </row>
    <row r="17478" spans="1:12" x14ac:dyDescent="0.25">
      <c r="A17478">
        <v>1341</v>
      </c>
      <c r="B17478" t="s">
        <v>20980</v>
      </c>
      <c r="C17478" t="s">
        <v>2539</v>
      </c>
      <c r="D17478" s="254">
        <v>65.03</v>
      </c>
      <c r="E17478"/>
      <c r="F17478"/>
      <c r="G17478"/>
      <c r="H17478"/>
      <c r="I17478" s="489"/>
      <c r="J17478" s="1362"/>
      <c r="K17478" s="1362"/>
      <c r="L17478" s="1362"/>
    </row>
    <row r="17479" spans="1:12" x14ac:dyDescent="0.25">
      <c r="A17479">
        <v>34659</v>
      </c>
      <c r="B17479" t="s">
        <v>20981</v>
      </c>
      <c r="C17479" t="s">
        <v>2539</v>
      </c>
      <c r="D17479" s="254">
        <v>43.23</v>
      </c>
      <c r="E17479"/>
      <c r="F17479"/>
      <c r="G17479"/>
      <c r="H17479"/>
      <c r="I17479" s="489"/>
      <c r="J17479" s="1362"/>
      <c r="K17479" s="1362"/>
      <c r="L17479" s="1362"/>
    </row>
    <row r="17480" spans="1:12" x14ac:dyDescent="0.25">
      <c r="A17480">
        <v>34514</v>
      </c>
      <c r="B17480" t="s">
        <v>20982</v>
      </c>
      <c r="C17480" t="s">
        <v>2539</v>
      </c>
      <c r="D17480" s="254">
        <v>47.89</v>
      </c>
      <c r="E17480"/>
      <c r="F17480"/>
      <c r="G17480"/>
      <c r="H17480"/>
      <c r="I17480" s="489"/>
      <c r="J17480" s="1362"/>
      <c r="K17480" s="1362"/>
      <c r="L17480" s="1362"/>
    </row>
    <row r="17481" spans="1:12" x14ac:dyDescent="0.25">
      <c r="A17481">
        <v>34660</v>
      </c>
      <c r="B17481" t="s">
        <v>20983</v>
      </c>
      <c r="C17481" t="s">
        <v>2539</v>
      </c>
      <c r="D17481" s="254">
        <v>60.78</v>
      </c>
      <c r="E17481"/>
      <c r="F17481"/>
      <c r="G17481"/>
      <c r="H17481"/>
      <c r="I17481" s="489"/>
      <c r="J17481" s="1362"/>
      <c r="K17481" s="1362"/>
      <c r="L17481" s="1362"/>
    </row>
    <row r="17482" spans="1:12" x14ac:dyDescent="0.25">
      <c r="A17482">
        <v>34661</v>
      </c>
      <c r="B17482" t="s">
        <v>20984</v>
      </c>
      <c r="C17482" t="s">
        <v>2539</v>
      </c>
      <c r="D17482" s="254">
        <v>87.29</v>
      </c>
      <c r="E17482"/>
      <c r="F17482"/>
      <c r="G17482"/>
      <c r="H17482"/>
      <c r="I17482" s="489"/>
      <c r="J17482" s="1362"/>
      <c r="K17482" s="1362"/>
      <c r="L17482" s="1362"/>
    </row>
    <row r="17483" spans="1:12" x14ac:dyDescent="0.25">
      <c r="A17483">
        <v>34667</v>
      </c>
      <c r="B17483" t="s">
        <v>20985</v>
      </c>
      <c r="C17483" t="s">
        <v>2539</v>
      </c>
      <c r="D17483" s="254">
        <v>31.61</v>
      </c>
      <c r="E17483"/>
      <c r="F17483"/>
      <c r="G17483"/>
      <c r="H17483"/>
      <c r="I17483" s="489"/>
      <c r="J17483" s="1362"/>
      <c r="K17483" s="1362"/>
      <c r="L17483" s="1362"/>
    </row>
    <row r="17484" spans="1:12" x14ac:dyDescent="0.25">
      <c r="A17484">
        <v>34668</v>
      </c>
      <c r="B17484" t="s">
        <v>20986</v>
      </c>
      <c r="C17484" t="s">
        <v>2539</v>
      </c>
      <c r="D17484" s="254">
        <v>41.31</v>
      </c>
      <c r="E17484"/>
      <c r="F17484"/>
      <c r="G17484"/>
      <c r="H17484"/>
      <c r="I17484" s="489"/>
      <c r="J17484" s="1362"/>
      <c r="K17484" s="1362"/>
      <c r="L17484" s="1362"/>
    </row>
    <row r="17485" spans="1:12" x14ac:dyDescent="0.25">
      <c r="A17485">
        <v>34741</v>
      </c>
      <c r="B17485" t="s">
        <v>20987</v>
      </c>
      <c r="C17485" t="s">
        <v>2539</v>
      </c>
      <c r="D17485" s="254">
        <v>45.45</v>
      </c>
      <c r="E17485"/>
      <c r="F17485"/>
      <c r="G17485"/>
      <c r="H17485"/>
      <c r="I17485" s="489"/>
      <c r="J17485" s="1362"/>
      <c r="K17485" s="1362"/>
      <c r="L17485" s="1362"/>
    </row>
    <row r="17486" spans="1:12" x14ac:dyDescent="0.25">
      <c r="A17486">
        <v>34664</v>
      </c>
      <c r="B17486" t="s">
        <v>20988</v>
      </c>
      <c r="C17486" t="s">
        <v>2539</v>
      </c>
      <c r="D17486" s="254">
        <v>49.6</v>
      </c>
      <c r="E17486"/>
      <c r="F17486"/>
      <c r="G17486"/>
      <c r="H17486"/>
      <c r="I17486" s="489"/>
      <c r="J17486" s="1362"/>
      <c r="K17486" s="1362"/>
      <c r="L17486" s="1362"/>
    </row>
    <row r="17487" spans="1:12" x14ac:dyDescent="0.25">
      <c r="A17487">
        <v>34665</v>
      </c>
      <c r="B17487" t="s">
        <v>20989</v>
      </c>
      <c r="C17487" t="s">
        <v>2539</v>
      </c>
      <c r="D17487" s="254">
        <v>61.57</v>
      </c>
      <c r="E17487"/>
      <c r="F17487"/>
      <c r="G17487"/>
      <c r="H17487"/>
      <c r="I17487" s="489"/>
      <c r="J17487" s="1362"/>
      <c r="K17487" s="1362"/>
      <c r="L17487" s="1362"/>
    </row>
    <row r="17488" spans="1:12" x14ac:dyDescent="0.25">
      <c r="A17488">
        <v>34666</v>
      </c>
      <c r="B17488" t="s">
        <v>20990</v>
      </c>
      <c r="C17488" t="s">
        <v>2539</v>
      </c>
      <c r="D17488" s="254">
        <v>93</v>
      </c>
      <c r="E17488"/>
      <c r="F17488"/>
      <c r="G17488"/>
      <c r="H17488"/>
      <c r="I17488" s="489"/>
      <c r="J17488" s="1362"/>
      <c r="K17488" s="1362"/>
      <c r="L17488" s="1362"/>
    </row>
    <row r="17489" spans="1:12" x14ac:dyDescent="0.25">
      <c r="A17489">
        <v>34669</v>
      </c>
      <c r="B17489" t="s">
        <v>20991</v>
      </c>
      <c r="C17489" t="s">
        <v>2539</v>
      </c>
      <c r="D17489" s="254">
        <v>34.1</v>
      </c>
      <c r="E17489"/>
      <c r="F17489"/>
      <c r="G17489"/>
      <c r="H17489"/>
      <c r="I17489" s="489"/>
      <c r="J17489" s="1362"/>
      <c r="K17489" s="1362"/>
      <c r="L17489" s="1362"/>
    </row>
    <row r="17490" spans="1:12" x14ac:dyDescent="0.25">
      <c r="A17490">
        <v>34670</v>
      </c>
      <c r="B17490" t="s">
        <v>20992</v>
      </c>
      <c r="C17490" t="s">
        <v>2539</v>
      </c>
      <c r="D17490" s="254">
        <v>41.7</v>
      </c>
      <c r="E17490"/>
      <c r="F17490"/>
      <c r="G17490"/>
      <c r="H17490"/>
      <c r="I17490" s="489"/>
      <c r="J17490" s="1362"/>
      <c r="K17490" s="1362"/>
      <c r="L17490" s="1362"/>
    </row>
    <row r="17491" spans="1:12" x14ac:dyDescent="0.25">
      <c r="A17491">
        <v>34671</v>
      </c>
      <c r="B17491" t="s">
        <v>20993</v>
      </c>
      <c r="C17491" t="s">
        <v>2539</v>
      </c>
      <c r="D17491" s="254">
        <v>34.81</v>
      </c>
      <c r="E17491"/>
      <c r="F17491"/>
      <c r="G17491"/>
      <c r="H17491"/>
      <c r="I17491" s="489"/>
      <c r="J17491" s="1362"/>
      <c r="K17491" s="1362"/>
      <c r="L17491" s="1362"/>
    </row>
    <row r="17492" spans="1:12" x14ac:dyDescent="0.25">
      <c r="A17492">
        <v>34672</v>
      </c>
      <c r="B17492" t="s">
        <v>20994</v>
      </c>
      <c r="C17492" t="s">
        <v>2539</v>
      </c>
      <c r="D17492" s="254">
        <v>36.71</v>
      </c>
      <c r="E17492"/>
      <c r="F17492"/>
      <c r="G17492"/>
      <c r="H17492"/>
      <c r="I17492" s="489"/>
      <c r="J17492" s="1362"/>
      <c r="K17492" s="1362"/>
      <c r="L17492" s="1362"/>
    </row>
    <row r="17493" spans="1:12" x14ac:dyDescent="0.25">
      <c r="A17493">
        <v>34673</v>
      </c>
      <c r="B17493" t="s">
        <v>20995</v>
      </c>
      <c r="C17493" t="s">
        <v>2539</v>
      </c>
      <c r="D17493" s="254">
        <v>44.79</v>
      </c>
      <c r="E17493"/>
      <c r="F17493"/>
      <c r="G17493"/>
      <c r="H17493"/>
      <c r="I17493" s="489"/>
      <c r="J17493" s="1362"/>
      <c r="K17493" s="1362"/>
      <c r="L17493" s="1362"/>
    </row>
    <row r="17494" spans="1:12" x14ac:dyDescent="0.25">
      <c r="A17494">
        <v>34674</v>
      </c>
      <c r="B17494" t="s">
        <v>20996</v>
      </c>
      <c r="C17494" t="s">
        <v>2539</v>
      </c>
      <c r="D17494" s="254">
        <v>59.55</v>
      </c>
      <c r="E17494"/>
      <c r="F17494"/>
      <c r="G17494"/>
      <c r="H17494"/>
      <c r="I17494" s="489"/>
      <c r="J17494" s="1362"/>
      <c r="K17494" s="1362"/>
      <c r="L17494" s="1362"/>
    </row>
    <row r="17495" spans="1:12" x14ac:dyDescent="0.25">
      <c r="A17495">
        <v>34675</v>
      </c>
      <c r="B17495" t="s">
        <v>20997</v>
      </c>
      <c r="C17495" t="s">
        <v>2539</v>
      </c>
      <c r="D17495" s="254">
        <v>72.61</v>
      </c>
      <c r="E17495"/>
      <c r="F17495"/>
      <c r="G17495"/>
      <c r="H17495"/>
      <c r="I17495" s="489"/>
      <c r="J17495" s="1362"/>
      <c r="K17495" s="1362"/>
      <c r="L17495" s="1362"/>
    </row>
    <row r="17496" spans="1:12" x14ac:dyDescent="0.25">
      <c r="A17496">
        <v>34676</v>
      </c>
      <c r="B17496" t="s">
        <v>20998</v>
      </c>
      <c r="C17496" t="s">
        <v>2539</v>
      </c>
      <c r="D17496" s="254">
        <v>20.9</v>
      </c>
      <c r="E17496"/>
      <c r="F17496"/>
      <c r="G17496"/>
      <c r="H17496"/>
      <c r="I17496" s="489"/>
      <c r="J17496" s="1362"/>
      <c r="K17496" s="1362"/>
      <c r="L17496" s="1362"/>
    </row>
    <row r="17497" spans="1:12" x14ac:dyDescent="0.25">
      <c r="A17497">
        <v>34677</v>
      </c>
      <c r="B17497" t="s">
        <v>20999</v>
      </c>
      <c r="C17497" t="s">
        <v>2539</v>
      </c>
      <c r="D17497" s="254">
        <v>28.1</v>
      </c>
      <c r="E17497"/>
      <c r="F17497"/>
      <c r="G17497"/>
      <c r="H17497"/>
      <c r="I17497" s="489"/>
      <c r="J17497" s="1362"/>
      <c r="K17497" s="1362"/>
      <c r="L17497" s="1362"/>
    </row>
    <row r="17498" spans="1:12" x14ac:dyDescent="0.25">
      <c r="A17498">
        <v>43126</v>
      </c>
      <c r="B17498" t="s">
        <v>21000</v>
      </c>
      <c r="C17498" t="s">
        <v>2539</v>
      </c>
      <c r="D17498" s="254">
        <v>128.43</v>
      </c>
      <c r="E17498"/>
      <c r="F17498"/>
      <c r="G17498"/>
      <c r="H17498"/>
      <c r="I17498" s="489"/>
      <c r="J17498" s="1362"/>
      <c r="K17498" s="1362"/>
      <c r="L17498" s="1362"/>
    </row>
    <row r="17499" spans="1:12" x14ac:dyDescent="0.25">
      <c r="A17499">
        <v>43124</v>
      </c>
      <c r="B17499" t="s">
        <v>21001</v>
      </c>
      <c r="C17499" t="s">
        <v>2539</v>
      </c>
      <c r="D17499" s="254">
        <v>149.94999999999999</v>
      </c>
      <c r="E17499"/>
      <c r="F17499"/>
      <c r="G17499"/>
      <c r="H17499"/>
      <c r="I17499" s="489"/>
      <c r="J17499" s="1362"/>
      <c r="K17499" s="1362"/>
      <c r="L17499" s="1362"/>
    </row>
    <row r="17500" spans="1:12" x14ac:dyDescent="0.25">
      <c r="A17500">
        <v>43125</v>
      </c>
      <c r="B17500" t="s">
        <v>21002</v>
      </c>
      <c r="C17500" t="s">
        <v>2539</v>
      </c>
      <c r="D17500" s="254">
        <v>194.48</v>
      </c>
      <c r="E17500"/>
      <c r="F17500"/>
      <c r="G17500"/>
      <c r="H17500"/>
      <c r="I17500" s="489"/>
      <c r="J17500" s="1362"/>
      <c r="K17500" s="1362"/>
      <c r="L17500" s="1362"/>
    </row>
    <row r="17501" spans="1:12" x14ac:dyDescent="0.25">
      <c r="A17501">
        <v>40623</v>
      </c>
      <c r="B17501" t="s">
        <v>21003</v>
      </c>
      <c r="C17501" t="s">
        <v>2545</v>
      </c>
      <c r="D17501" s="254">
        <v>119.17</v>
      </c>
      <c r="E17501"/>
      <c r="F17501"/>
      <c r="G17501"/>
      <c r="H17501"/>
      <c r="I17501" s="489"/>
      <c r="J17501" s="1362"/>
      <c r="K17501" s="1362"/>
      <c r="L17501" s="1362"/>
    </row>
    <row r="17502" spans="1:12" x14ac:dyDescent="0.25">
      <c r="A17502">
        <v>43701</v>
      </c>
      <c r="B17502" t="s">
        <v>21004</v>
      </c>
      <c r="C17502" t="s">
        <v>2542</v>
      </c>
      <c r="D17502" s="254">
        <v>40.299999999999997</v>
      </c>
      <c r="E17502"/>
      <c r="F17502"/>
      <c r="G17502"/>
      <c r="H17502"/>
      <c r="I17502" s="489"/>
      <c r="J17502" s="1362"/>
      <c r="K17502" s="1362"/>
      <c r="L17502" s="1362"/>
    </row>
    <row r="17503" spans="1:12" x14ac:dyDescent="0.25">
      <c r="A17503">
        <v>1345</v>
      </c>
      <c r="B17503" t="s">
        <v>21005</v>
      </c>
      <c r="C17503" t="s">
        <v>2539</v>
      </c>
      <c r="D17503" s="254">
        <v>121.95</v>
      </c>
      <c r="E17503"/>
      <c r="F17503"/>
      <c r="G17503"/>
      <c r="H17503"/>
      <c r="I17503" s="489"/>
      <c r="J17503" s="1362"/>
      <c r="K17503" s="1362"/>
      <c r="L17503" s="1362"/>
    </row>
    <row r="17504" spans="1:12" x14ac:dyDescent="0.25">
      <c r="A17504">
        <v>1346</v>
      </c>
      <c r="B17504" t="s">
        <v>21006</v>
      </c>
      <c r="C17504" t="s">
        <v>2539</v>
      </c>
      <c r="D17504" s="254">
        <v>70.930000000000007</v>
      </c>
      <c r="E17504"/>
      <c r="F17504"/>
      <c r="G17504"/>
      <c r="H17504"/>
      <c r="I17504" s="489"/>
      <c r="J17504" s="1362"/>
      <c r="K17504" s="1362"/>
      <c r="L17504" s="1362"/>
    </row>
    <row r="17505" spans="1:12" x14ac:dyDescent="0.25">
      <c r="A17505">
        <v>1347</v>
      </c>
      <c r="B17505" t="s">
        <v>21007</v>
      </c>
      <c r="C17505" t="s">
        <v>2539</v>
      </c>
      <c r="D17505" s="254">
        <v>87.89</v>
      </c>
      <c r="E17505"/>
      <c r="F17505"/>
      <c r="G17505"/>
      <c r="H17505"/>
      <c r="I17505" s="489"/>
      <c r="J17505" s="1362"/>
      <c r="K17505" s="1362"/>
      <c r="L17505" s="1362"/>
    </row>
    <row r="17506" spans="1:12" x14ac:dyDescent="0.25">
      <c r="A17506">
        <v>43678</v>
      </c>
      <c r="B17506" t="s">
        <v>21008</v>
      </c>
      <c r="C17506" t="s">
        <v>2539</v>
      </c>
      <c r="D17506" s="254">
        <v>101.95</v>
      </c>
      <c r="E17506"/>
      <c r="F17506"/>
      <c r="G17506"/>
      <c r="H17506"/>
      <c r="I17506" s="489"/>
      <c r="J17506" s="1362"/>
      <c r="K17506" s="1362"/>
      <c r="L17506" s="1362"/>
    </row>
    <row r="17507" spans="1:12" x14ac:dyDescent="0.25">
      <c r="A17507">
        <v>43680</v>
      </c>
      <c r="B17507" t="s">
        <v>21009</v>
      </c>
      <c r="C17507" t="s">
        <v>2539</v>
      </c>
      <c r="D17507" s="254">
        <v>146.87</v>
      </c>
      <c r="E17507"/>
      <c r="F17507"/>
      <c r="G17507"/>
      <c r="H17507"/>
      <c r="I17507" s="489"/>
      <c r="J17507" s="1362"/>
      <c r="K17507" s="1362"/>
      <c r="L17507" s="1362"/>
    </row>
    <row r="17508" spans="1:12" x14ac:dyDescent="0.25">
      <c r="A17508">
        <v>43679</v>
      </c>
      <c r="B17508" t="s">
        <v>21010</v>
      </c>
      <c r="C17508" t="s">
        <v>2539</v>
      </c>
      <c r="D17508" s="254">
        <v>51.54</v>
      </c>
      <c r="E17508"/>
      <c r="F17508"/>
      <c r="G17508"/>
      <c r="H17508"/>
      <c r="I17508" s="489"/>
      <c r="J17508" s="1362"/>
      <c r="K17508" s="1362"/>
      <c r="L17508" s="1362"/>
    </row>
    <row r="17509" spans="1:12" x14ac:dyDescent="0.25">
      <c r="A17509">
        <v>1355</v>
      </c>
      <c r="B17509" t="s">
        <v>21011</v>
      </c>
      <c r="C17509" t="s">
        <v>2539</v>
      </c>
      <c r="D17509" s="254">
        <v>58.66</v>
      </c>
      <c r="E17509"/>
      <c r="F17509"/>
      <c r="G17509"/>
      <c r="H17509"/>
      <c r="I17509" s="489"/>
      <c r="J17509" s="1362"/>
      <c r="K17509" s="1362"/>
      <c r="L17509" s="1362"/>
    </row>
    <row r="17510" spans="1:12" x14ac:dyDescent="0.25">
      <c r="A17510">
        <v>1358</v>
      </c>
      <c r="B17510" t="s">
        <v>21012</v>
      </c>
      <c r="C17510" t="s">
        <v>2539</v>
      </c>
      <c r="D17510" s="254">
        <v>72.010000000000005</v>
      </c>
      <c r="E17510"/>
      <c r="F17510"/>
      <c r="G17510"/>
      <c r="H17510"/>
      <c r="I17510" s="489"/>
      <c r="J17510" s="1362"/>
      <c r="K17510" s="1362"/>
      <c r="L17510" s="1362"/>
    </row>
    <row r="17511" spans="1:12" x14ac:dyDescent="0.25">
      <c r="A17511">
        <v>43681</v>
      </c>
      <c r="B17511" t="s">
        <v>21013</v>
      </c>
      <c r="C17511" t="s">
        <v>2539</v>
      </c>
      <c r="D17511" s="254">
        <v>45.37</v>
      </c>
      <c r="E17511"/>
      <c r="F17511"/>
      <c r="G17511"/>
      <c r="H17511"/>
      <c r="I17511" s="489"/>
      <c r="J17511" s="1362"/>
      <c r="K17511" s="1362"/>
      <c r="L17511" s="1362"/>
    </row>
    <row r="17512" spans="1:12" x14ac:dyDescent="0.25">
      <c r="A17512">
        <v>43677</v>
      </c>
      <c r="B17512" t="s">
        <v>21014</v>
      </c>
      <c r="C17512" t="s">
        <v>2539</v>
      </c>
      <c r="D17512" s="254">
        <v>89.34</v>
      </c>
      <c r="E17512"/>
      <c r="F17512"/>
      <c r="G17512"/>
      <c r="H17512"/>
      <c r="I17512" s="489"/>
      <c r="J17512" s="1362"/>
      <c r="K17512" s="1362"/>
      <c r="L17512" s="1362"/>
    </row>
    <row r="17513" spans="1:12" x14ac:dyDescent="0.25">
      <c r="A17513">
        <v>43682</v>
      </c>
      <c r="B17513" t="s">
        <v>21015</v>
      </c>
      <c r="C17513" t="s">
        <v>2539</v>
      </c>
      <c r="D17513" s="254">
        <v>27.39</v>
      </c>
      <c r="E17513"/>
      <c r="F17513"/>
      <c r="G17513"/>
      <c r="H17513"/>
      <c r="I17513" s="489"/>
      <c r="J17513" s="1362"/>
      <c r="K17513" s="1362"/>
      <c r="L17513" s="1362"/>
    </row>
    <row r="17514" spans="1:12" x14ac:dyDescent="0.25">
      <c r="A17514">
        <v>20971</v>
      </c>
      <c r="B17514" t="s">
        <v>21016</v>
      </c>
      <c r="C17514" t="s">
        <v>2537</v>
      </c>
      <c r="D17514" s="254">
        <v>10.47</v>
      </c>
      <c r="E17514"/>
      <c r="F17514"/>
      <c r="G17514"/>
      <c r="H17514"/>
      <c r="I17514" s="489"/>
      <c r="J17514" s="1362"/>
      <c r="K17514" s="1362"/>
      <c r="L17514" s="1362"/>
    </row>
    <row r="17515" spans="1:12" x14ac:dyDescent="0.25">
      <c r="A17515">
        <v>13279</v>
      </c>
      <c r="B17515" t="s">
        <v>21017</v>
      </c>
      <c r="C17515" t="s">
        <v>2542</v>
      </c>
      <c r="D17515" s="254">
        <v>32.799999999999997</v>
      </c>
      <c r="E17515"/>
      <c r="F17515"/>
      <c r="G17515"/>
      <c r="H17515"/>
      <c r="I17515" s="489"/>
      <c r="J17515" s="1362"/>
      <c r="K17515" s="1362"/>
      <c r="L17515" s="1362"/>
    </row>
    <row r="17516" spans="1:12" x14ac:dyDescent="0.25">
      <c r="A17516">
        <v>11977</v>
      </c>
      <c r="B17516" t="s">
        <v>21018</v>
      </c>
      <c r="C17516" t="s">
        <v>2537</v>
      </c>
      <c r="D17516" s="254">
        <v>17</v>
      </c>
      <c r="E17516"/>
      <c r="F17516"/>
      <c r="G17516"/>
      <c r="H17516"/>
      <c r="I17516" s="489"/>
      <c r="J17516" s="1362"/>
      <c r="K17516" s="1362"/>
      <c r="L17516" s="1362"/>
    </row>
    <row r="17517" spans="1:12" x14ac:dyDescent="0.25">
      <c r="A17517">
        <v>11975</v>
      </c>
      <c r="B17517" t="s">
        <v>21019</v>
      </c>
      <c r="C17517" t="s">
        <v>2537</v>
      </c>
      <c r="D17517" s="254">
        <v>37.25</v>
      </c>
      <c r="E17517"/>
      <c r="F17517"/>
      <c r="G17517"/>
      <c r="H17517"/>
      <c r="I17517" s="489"/>
      <c r="J17517" s="1362"/>
      <c r="K17517" s="1362"/>
      <c r="L17517" s="1362"/>
    </row>
    <row r="17518" spans="1:12" x14ac:dyDescent="0.25">
      <c r="A17518">
        <v>39746</v>
      </c>
      <c r="B17518" t="s">
        <v>21020</v>
      </c>
      <c r="C17518" t="s">
        <v>2537</v>
      </c>
      <c r="D17518" s="254">
        <v>414.5</v>
      </c>
      <c r="E17518"/>
      <c r="F17518"/>
      <c r="G17518"/>
      <c r="H17518"/>
      <c r="I17518" s="489"/>
      <c r="J17518" s="1362"/>
      <c r="K17518" s="1362"/>
      <c r="L17518" s="1362"/>
    </row>
    <row r="17519" spans="1:12" x14ac:dyDescent="0.25">
      <c r="A17519">
        <v>11976</v>
      </c>
      <c r="B17519" t="s">
        <v>21021</v>
      </c>
      <c r="C17519" t="s">
        <v>2537</v>
      </c>
      <c r="D17519" s="254">
        <v>1.9</v>
      </c>
      <c r="E17519"/>
      <c r="F17519"/>
      <c r="G17519"/>
      <c r="H17519"/>
      <c r="I17519" s="489"/>
      <c r="J17519" s="1362"/>
      <c r="K17519" s="1362"/>
      <c r="L17519" s="1362"/>
    </row>
    <row r="17520" spans="1:12" x14ac:dyDescent="0.25">
      <c r="A17520">
        <v>1368</v>
      </c>
      <c r="B17520" t="s">
        <v>21022</v>
      </c>
      <c r="C17520" t="s">
        <v>2537</v>
      </c>
      <c r="D17520" s="254">
        <v>69.900000000000006</v>
      </c>
      <c r="E17520"/>
      <c r="F17520"/>
      <c r="G17520"/>
      <c r="H17520"/>
      <c r="I17520" s="489"/>
      <c r="J17520" s="1362"/>
      <c r="K17520" s="1362"/>
      <c r="L17520" s="1362"/>
    </row>
    <row r="17521" spans="1:12" x14ac:dyDescent="0.25">
      <c r="A17521">
        <v>1367</v>
      </c>
      <c r="B17521" t="s">
        <v>21023</v>
      </c>
      <c r="C17521" t="s">
        <v>2537</v>
      </c>
      <c r="D17521" s="254">
        <v>226.1</v>
      </c>
      <c r="E17521"/>
      <c r="F17521"/>
      <c r="G17521"/>
      <c r="H17521"/>
      <c r="I17521" s="489"/>
      <c r="J17521" s="1362"/>
      <c r="K17521" s="1362"/>
      <c r="L17521" s="1362"/>
    </row>
    <row r="17522" spans="1:12" x14ac:dyDescent="0.25">
      <c r="A17522">
        <v>1380</v>
      </c>
      <c r="B17522" t="s">
        <v>21024</v>
      </c>
      <c r="C17522" t="s">
        <v>2542</v>
      </c>
      <c r="D17522" s="254">
        <v>2.39</v>
      </c>
      <c r="E17522"/>
      <c r="F17522"/>
      <c r="G17522"/>
      <c r="H17522"/>
      <c r="I17522" s="489"/>
      <c r="J17522" s="1362"/>
      <c r="K17522" s="1362"/>
      <c r="L17522" s="1362"/>
    </row>
    <row r="17523" spans="1:12" x14ac:dyDescent="0.25">
      <c r="A17523">
        <v>1375</v>
      </c>
      <c r="B17523" t="s">
        <v>21025</v>
      </c>
      <c r="C17523" t="s">
        <v>2542</v>
      </c>
      <c r="D17523" s="254">
        <v>15.57</v>
      </c>
      <c r="E17523"/>
      <c r="F17523"/>
      <c r="G17523"/>
      <c r="H17523"/>
      <c r="I17523" s="489"/>
      <c r="J17523" s="1362"/>
      <c r="K17523" s="1362"/>
      <c r="L17523" s="1362"/>
    </row>
    <row r="17524" spans="1:12" x14ac:dyDescent="0.25">
      <c r="A17524">
        <v>1379</v>
      </c>
      <c r="B17524" t="s">
        <v>21026</v>
      </c>
      <c r="C17524" t="s">
        <v>2542</v>
      </c>
      <c r="D17524" s="254">
        <v>0.76</v>
      </c>
      <c r="E17524"/>
      <c r="F17524"/>
      <c r="G17524"/>
      <c r="H17524"/>
      <c r="I17524" s="489"/>
      <c r="J17524" s="1362"/>
      <c r="K17524" s="1362"/>
      <c r="L17524" s="1362"/>
    </row>
    <row r="17525" spans="1:12" x14ac:dyDescent="0.25">
      <c r="A17525">
        <v>13284</v>
      </c>
      <c r="B17525" t="s">
        <v>21027</v>
      </c>
      <c r="C17525" t="s">
        <v>2542</v>
      </c>
      <c r="D17525" s="254">
        <v>0.76</v>
      </c>
      <c r="E17525"/>
      <c r="F17525"/>
      <c r="G17525"/>
      <c r="H17525"/>
      <c r="I17525" s="489"/>
      <c r="J17525" s="1362"/>
      <c r="K17525" s="1362"/>
      <c r="L17525" s="1362"/>
    </row>
    <row r="17526" spans="1:12" x14ac:dyDescent="0.25">
      <c r="A17526">
        <v>44528</v>
      </c>
      <c r="B17526" t="s">
        <v>21028</v>
      </c>
      <c r="C17526" t="s">
        <v>2542</v>
      </c>
      <c r="D17526" s="254">
        <v>2.87</v>
      </c>
      <c r="E17526"/>
      <c r="F17526"/>
      <c r="G17526"/>
      <c r="H17526"/>
      <c r="I17526" s="489"/>
      <c r="J17526" s="1362"/>
      <c r="K17526" s="1362"/>
      <c r="L17526" s="1362"/>
    </row>
    <row r="17527" spans="1:12" x14ac:dyDescent="0.25">
      <c r="A17527">
        <v>34753</v>
      </c>
      <c r="B17527" t="s">
        <v>21029</v>
      </c>
      <c r="C17527" t="s">
        <v>2542</v>
      </c>
      <c r="D17527" s="254">
        <v>0.83</v>
      </c>
      <c r="E17527"/>
      <c r="F17527"/>
      <c r="G17527"/>
      <c r="H17527"/>
      <c r="I17527" s="489"/>
      <c r="J17527" s="1362"/>
      <c r="K17527" s="1362"/>
      <c r="L17527" s="1362"/>
    </row>
    <row r="17528" spans="1:12" x14ac:dyDescent="0.25">
      <c r="A17528">
        <v>420</v>
      </c>
      <c r="B17528" t="s">
        <v>21030</v>
      </c>
      <c r="C17528" t="s">
        <v>2537</v>
      </c>
      <c r="D17528" s="254">
        <v>57.96</v>
      </c>
      <c r="E17528"/>
      <c r="F17528"/>
      <c r="G17528"/>
      <c r="H17528"/>
      <c r="I17528" s="489"/>
      <c r="J17528" s="1362"/>
      <c r="K17528" s="1362"/>
      <c r="L17528" s="1362"/>
    </row>
    <row r="17529" spans="1:12" x14ac:dyDescent="0.25">
      <c r="A17529">
        <v>12327</v>
      </c>
      <c r="B17529" t="s">
        <v>21031</v>
      </c>
      <c r="C17529" t="s">
        <v>2537</v>
      </c>
      <c r="D17529" s="254">
        <v>69.05</v>
      </c>
      <c r="E17529"/>
      <c r="F17529"/>
      <c r="G17529"/>
      <c r="H17529"/>
      <c r="I17529" s="489"/>
      <c r="J17529" s="1362"/>
      <c r="K17529" s="1362"/>
      <c r="L17529" s="1362"/>
    </row>
    <row r="17530" spans="1:12" x14ac:dyDescent="0.25">
      <c r="A17530">
        <v>36148</v>
      </c>
      <c r="B17530" t="s">
        <v>21032</v>
      </c>
      <c r="C17530" t="s">
        <v>2537</v>
      </c>
      <c r="D17530" s="254">
        <v>71.52</v>
      </c>
      <c r="E17530"/>
      <c r="F17530"/>
      <c r="G17530"/>
      <c r="H17530"/>
      <c r="I17530" s="489"/>
      <c r="J17530" s="1362"/>
      <c r="K17530" s="1362"/>
      <c r="L17530" s="1362"/>
    </row>
    <row r="17531" spans="1:12" x14ac:dyDescent="0.25">
      <c r="A17531">
        <v>12329</v>
      </c>
      <c r="B17531" t="s">
        <v>21033</v>
      </c>
      <c r="C17531" t="s">
        <v>2542</v>
      </c>
      <c r="D17531" s="254">
        <v>119.55</v>
      </c>
      <c r="E17531"/>
      <c r="F17531"/>
      <c r="G17531"/>
      <c r="H17531"/>
      <c r="I17531" s="489"/>
      <c r="J17531" s="1362"/>
      <c r="K17531" s="1362"/>
      <c r="L17531" s="1362"/>
    </row>
    <row r="17532" spans="1:12" x14ac:dyDescent="0.25">
      <c r="A17532">
        <v>1339</v>
      </c>
      <c r="B17532" t="s">
        <v>21034</v>
      </c>
      <c r="C17532" t="s">
        <v>2542</v>
      </c>
      <c r="D17532" s="254">
        <v>58.55</v>
      </c>
      <c r="E17532"/>
      <c r="F17532"/>
      <c r="G17532"/>
      <c r="H17532"/>
      <c r="I17532" s="489"/>
      <c r="J17532" s="1362"/>
      <c r="K17532" s="1362"/>
      <c r="L17532" s="1362"/>
    </row>
    <row r="17533" spans="1:12" x14ac:dyDescent="0.25">
      <c r="A17533">
        <v>44396</v>
      </c>
      <c r="B17533" t="s">
        <v>21035</v>
      </c>
      <c r="C17533" t="s">
        <v>2542</v>
      </c>
      <c r="D17533" s="254">
        <v>27.68</v>
      </c>
      <c r="E17533"/>
      <c r="F17533"/>
      <c r="G17533"/>
      <c r="H17533"/>
      <c r="I17533" s="489"/>
      <c r="J17533" s="1362"/>
      <c r="K17533" s="1362"/>
      <c r="L17533" s="1362"/>
    </row>
    <row r="17534" spans="1:12" x14ac:dyDescent="0.25">
      <c r="A17534">
        <v>44327</v>
      </c>
      <c r="B17534" t="s">
        <v>21036</v>
      </c>
      <c r="C17534" t="s">
        <v>2543</v>
      </c>
      <c r="D17534" s="254">
        <v>94.16</v>
      </c>
      <c r="E17534"/>
      <c r="F17534"/>
      <c r="G17534"/>
      <c r="H17534"/>
      <c r="I17534" s="489"/>
      <c r="J17534" s="1362"/>
      <c r="K17534" s="1362"/>
      <c r="L17534" s="1362"/>
    </row>
    <row r="17535" spans="1:12" x14ac:dyDescent="0.25">
      <c r="A17535">
        <v>37418</v>
      </c>
      <c r="B17535" t="s">
        <v>21037</v>
      </c>
      <c r="C17535" t="s">
        <v>2537</v>
      </c>
      <c r="D17535" s="254">
        <v>21.29</v>
      </c>
      <c r="E17535"/>
      <c r="F17535"/>
      <c r="G17535"/>
      <c r="H17535"/>
      <c r="I17535" s="489"/>
      <c r="J17535" s="1362"/>
      <c r="K17535" s="1362"/>
      <c r="L17535" s="1362"/>
    </row>
    <row r="17536" spans="1:12" x14ac:dyDescent="0.25">
      <c r="A17536">
        <v>37419</v>
      </c>
      <c r="B17536" t="s">
        <v>21038</v>
      </c>
      <c r="C17536" t="s">
        <v>2537</v>
      </c>
      <c r="D17536" s="254">
        <v>21.86</v>
      </c>
      <c r="E17536"/>
      <c r="F17536"/>
      <c r="G17536"/>
      <c r="H17536"/>
      <c r="I17536" s="489"/>
      <c r="J17536" s="1362"/>
      <c r="K17536" s="1362"/>
      <c r="L17536" s="1362"/>
    </row>
    <row r="17537" spans="1:12" x14ac:dyDescent="0.25">
      <c r="A17537">
        <v>1427</v>
      </c>
      <c r="B17537" t="s">
        <v>21039</v>
      </c>
      <c r="C17537" t="s">
        <v>2537</v>
      </c>
      <c r="D17537" s="254">
        <v>22.68</v>
      </c>
      <c r="E17537"/>
      <c r="F17537"/>
      <c r="G17537"/>
      <c r="H17537"/>
      <c r="I17537" s="489"/>
      <c r="J17537" s="1362"/>
      <c r="K17537" s="1362"/>
      <c r="L17537" s="1362"/>
    </row>
    <row r="17538" spans="1:12" x14ac:dyDescent="0.25">
      <c r="A17538">
        <v>1402</v>
      </c>
      <c r="B17538" t="s">
        <v>21040</v>
      </c>
      <c r="C17538" t="s">
        <v>2537</v>
      </c>
      <c r="D17538" s="254">
        <v>7.85</v>
      </c>
      <c r="E17538"/>
      <c r="F17538"/>
      <c r="G17538"/>
      <c r="H17538"/>
      <c r="I17538" s="489"/>
      <c r="J17538" s="1362"/>
      <c r="K17538" s="1362"/>
      <c r="L17538" s="1362"/>
    </row>
    <row r="17539" spans="1:12" x14ac:dyDescent="0.25">
      <c r="A17539">
        <v>1420</v>
      </c>
      <c r="B17539" t="s">
        <v>21041</v>
      </c>
      <c r="C17539" t="s">
        <v>2537</v>
      </c>
      <c r="D17539" s="254">
        <v>10.09</v>
      </c>
      <c r="E17539"/>
      <c r="F17539"/>
      <c r="G17539"/>
      <c r="H17539"/>
      <c r="I17539" s="489"/>
      <c r="J17539" s="1362"/>
      <c r="K17539" s="1362"/>
      <c r="L17539" s="1362"/>
    </row>
    <row r="17540" spans="1:12" x14ac:dyDescent="0.25">
      <c r="A17540">
        <v>1419</v>
      </c>
      <c r="B17540" t="s">
        <v>21042</v>
      </c>
      <c r="C17540" t="s">
        <v>2537</v>
      </c>
      <c r="D17540" s="254">
        <v>12.19</v>
      </c>
      <c r="E17540"/>
      <c r="F17540"/>
      <c r="G17540"/>
      <c r="H17540"/>
      <c r="I17540" s="489"/>
      <c r="J17540" s="1362"/>
      <c r="K17540" s="1362"/>
      <c r="L17540" s="1362"/>
    </row>
    <row r="17541" spans="1:12" x14ac:dyDescent="0.25">
      <c r="A17541">
        <v>1414</v>
      </c>
      <c r="B17541" t="s">
        <v>21043</v>
      </c>
      <c r="C17541" t="s">
        <v>2537</v>
      </c>
      <c r="D17541" s="254">
        <v>11.92</v>
      </c>
      <c r="E17541"/>
      <c r="F17541"/>
      <c r="G17541"/>
      <c r="H17541"/>
      <c r="I17541" s="489"/>
      <c r="J17541" s="1362"/>
      <c r="K17541" s="1362"/>
      <c r="L17541" s="1362"/>
    </row>
    <row r="17542" spans="1:12" x14ac:dyDescent="0.25">
      <c r="A17542">
        <v>1413</v>
      </c>
      <c r="B17542" t="s">
        <v>21044</v>
      </c>
      <c r="C17542" t="s">
        <v>2537</v>
      </c>
      <c r="D17542" s="254">
        <v>17.61</v>
      </c>
      <c r="E17542"/>
      <c r="F17542"/>
      <c r="G17542"/>
      <c r="H17542"/>
      <c r="I17542" s="489"/>
      <c r="J17542" s="1362"/>
      <c r="K17542" s="1362"/>
      <c r="L17542" s="1362"/>
    </row>
    <row r="17543" spans="1:12" x14ac:dyDescent="0.25">
      <c r="A17543">
        <v>1412</v>
      </c>
      <c r="B17543" t="s">
        <v>21045</v>
      </c>
      <c r="C17543" t="s">
        <v>2537</v>
      </c>
      <c r="D17543" s="254">
        <v>14.92</v>
      </c>
      <c r="E17543"/>
      <c r="F17543"/>
      <c r="G17543"/>
      <c r="H17543"/>
      <c r="I17543" s="489"/>
      <c r="J17543" s="1362"/>
      <c r="K17543" s="1362"/>
      <c r="L17543" s="1362"/>
    </row>
    <row r="17544" spans="1:12" x14ac:dyDescent="0.25">
      <c r="A17544">
        <v>1411</v>
      </c>
      <c r="B17544" t="s">
        <v>21046</v>
      </c>
      <c r="C17544" t="s">
        <v>2537</v>
      </c>
      <c r="D17544" s="254">
        <v>27.15</v>
      </c>
      <c r="E17544"/>
      <c r="F17544"/>
      <c r="G17544"/>
      <c r="H17544"/>
      <c r="I17544" s="489"/>
      <c r="J17544" s="1362"/>
      <c r="K17544" s="1362"/>
      <c r="L17544" s="1362"/>
    </row>
    <row r="17545" spans="1:12" x14ac:dyDescent="0.25">
      <c r="A17545">
        <v>1406</v>
      </c>
      <c r="B17545" t="s">
        <v>21047</v>
      </c>
      <c r="C17545" t="s">
        <v>2537</v>
      </c>
      <c r="D17545" s="254">
        <v>18.010000000000002</v>
      </c>
      <c r="E17545"/>
      <c r="F17545"/>
      <c r="G17545"/>
      <c r="H17545"/>
      <c r="I17545" s="489"/>
      <c r="J17545" s="1362"/>
      <c r="K17545" s="1362"/>
      <c r="L17545" s="1362"/>
    </row>
    <row r="17546" spans="1:12" x14ac:dyDescent="0.25">
      <c r="A17546">
        <v>1407</v>
      </c>
      <c r="B17546" t="s">
        <v>21048</v>
      </c>
      <c r="C17546" t="s">
        <v>2537</v>
      </c>
      <c r="D17546" s="254">
        <v>22.45</v>
      </c>
      <c r="E17546"/>
      <c r="F17546"/>
      <c r="G17546"/>
      <c r="H17546"/>
      <c r="I17546" s="489"/>
      <c r="J17546" s="1362"/>
      <c r="K17546" s="1362"/>
      <c r="L17546" s="1362"/>
    </row>
    <row r="17547" spans="1:12" x14ac:dyDescent="0.25">
      <c r="A17547">
        <v>1404</v>
      </c>
      <c r="B17547" t="s">
        <v>21049</v>
      </c>
      <c r="C17547" t="s">
        <v>2537</v>
      </c>
      <c r="D17547" s="254">
        <v>23.87</v>
      </c>
      <c r="E17547"/>
      <c r="F17547"/>
      <c r="G17547"/>
      <c r="H17547"/>
      <c r="I17547" s="489"/>
      <c r="J17547" s="1362"/>
      <c r="K17547" s="1362"/>
      <c r="L17547" s="1362"/>
    </row>
    <row r="17548" spans="1:12" x14ac:dyDescent="0.25">
      <c r="A17548">
        <v>11281</v>
      </c>
      <c r="B17548" t="s">
        <v>21050</v>
      </c>
      <c r="C17548" t="s">
        <v>2537</v>
      </c>
      <c r="D17548" s="254">
        <v>11999.9</v>
      </c>
      <c r="E17548"/>
      <c r="F17548"/>
      <c r="G17548"/>
      <c r="H17548"/>
      <c r="I17548" s="489"/>
      <c r="J17548" s="1362"/>
      <c r="K17548" s="1362"/>
      <c r="L17548" s="1362"/>
    </row>
    <row r="17549" spans="1:12" x14ac:dyDescent="0.25">
      <c r="A17549">
        <v>1442</v>
      </c>
      <c r="B17549" t="s">
        <v>21051</v>
      </c>
      <c r="C17549" t="s">
        <v>2537</v>
      </c>
      <c r="D17549" s="254">
        <v>10073.82</v>
      </c>
      <c r="E17549"/>
      <c r="F17549"/>
      <c r="G17549"/>
      <c r="H17549"/>
      <c r="I17549" s="489"/>
      <c r="J17549" s="1362"/>
      <c r="K17549" s="1362"/>
      <c r="L17549" s="1362"/>
    </row>
    <row r="17550" spans="1:12" x14ac:dyDescent="0.25">
      <c r="A17550">
        <v>13457</v>
      </c>
      <c r="B17550" t="s">
        <v>21052</v>
      </c>
      <c r="C17550" t="s">
        <v>2537</v>
      </c>
      <c r="D17550" s="254">
        <v>8695.57</v>
      </c>
      <c r="E17550"/>
      <c r="F17550"/>
      <c r="G17550"/>
      <c r="H17550"/>
      <c r="I17550" s="489"/>
      <c r="J17550" s="1362"/>
      <c r="K17550" s="1362"/>
      <c r="L17550" s="1362"/>
    </row>
    <row r="17551" spans="1:12" x14ac:dyDescent="0.25">
      <c r="A17551">
        <v>40699</v>
      </c>
      <c r="B17551" t="s">
        <v>21053</v>
      </c>
      <c r="C17551" t="s">
        <v>2537</v>
      </c>
      <c r="D17551" s="254">
        <v>6722.01</v>
      </c>
      <c r="E17551"/>
      <c r="F17551"/>
      <c r="G17551"/>
      <c r="H17551"/>
      <c r="I17551" s="489"/>
      <c r="J17551" s="1362"/>
      <c r="K17551" s="1362"/>
      <c r="L17551" s="1362"/>
    </row>
    <row r="17552" spans="1:12" x14ac:dyDescent="0.25">
      <c r="A17552">
        <v>40701</v>
      </c>
      <c r="B17552" t="s">
        <v>21054</v>
      </c>
      <c r="C17552" t="s">
        <v>2537</v>
      </c>
      <c r="D17552" s="254">
        <v>118854.39</v>
      </c>
      <c r="E17552"/>
      <c r="F17552"/>
      <c r="G17552"/>
      <c r="H17552"/>
      <c r="I17552" s="489"/>
      <c r="J17552" s="1362"/>
      <c r="K17552" s="1362"/>
      <c r="L17552" s="1362"/>
    </row>
    <row r="17553" spans="1:12" x14ac:dyDescent="0.25">
      <c r="A17553">
        <v>40700</v>
      </c>
      <c r="B17553" t="s">
        <v>21055</v>
      </c>
      <c r="C17553" t="s">
        <v>2537</v>
      </c>
      <c r="D17553" s="254">
        <v>15647.97</v>
      </c>
      <c r="E17553"/>
      <c r="F17553"/>
      <c r="G17553"/>
      <c r="H17553"/>
      <c r="I17553" s="489"/>
      <c r="J17553" s="1362"/>
      <c r="K17553" s="1362"/>
      <c r="L17553" s="1362"/>
    </row>
    <row r="17554" spans="1:12" x14ac:dyDescent="0.25">
      <c r="A17554">
        <v>13458</v>
      </c>
      <c r="B17554" t="s">
        <v>21056</v>
      </c>
      <c r="C17554" t="s">
        <v>2537</v>
      </c>
      <c r="D17554" s="254">
        <v>14869.44</v>
      </c>
      <c r="E17554"/>
      <c r="F17554"/>
      <c r="G17554"/>
      <c r="H17554"/>
      <c r="I17554" s="489"/>
      <c r="J17554" s="1362"/>
      <c r="K17554" s="1362"/>
      <c r="L17554" s="1362"/>
    </row>
    <row r="17555" spans="1:12" x14ac:dyDescent="0.25">
      <c r="A17555">
        <v>11134</v>
      </c>
      <c r="B17555" t="s">
        <v>21057</v>
      </c>
      <c r="C17555" t="s">
        <v>2539</v>
      </c>
      <c r="D17555" s="254">
        <v>101.05</v>
      </c>
      <c r="E17555"/>
      <c r="F17555"/>
      <c r="G17555"/>
      <c r="H17555"/>
      <c r="I17555" s="489"/>
      <c r="J17555" s="1362"/>
      <c r="K17555" s="1362"/>
      <c r="L17555" s="1362"/>
    </row>
    <row r="17556" spans="1:12" x14ac:dyDescent="0.25">
      <c r="A17556">
        <v>11135</v>
      </c>
      <c r="B17556" t="s">
        <v>21058</v>
      </c>
      <c r="C17556" t="s">
        <v>2539</v>
      </c>
      <c r="D17556" s="254">
        <v>109.1</v>
      </c>
      <c r="E17556"/>
      <c r="F17556"/>
      <c r="G17556"/>
      <c r="H17556"/>
      <c r="I17556" s="489"/>
      <c r="J17556" s="1362"/>
      <c r="K17556" s="1362"/>
      <c r="L17556" s="1362"/>
    </row>
    <row r="17557" spans="1:12" x14ac:dyDescent="0.25">
      <c r="A17557">
        <v>11136</v>
      </c>
      <c r="B17557" t="s">
        <v>21059</v>
      </c>
      <c r="C17557" t="s">
        <v>2539</v>
      </c>
      <c r="D17557" s="254">
        <v>124.93</v>
      </c>
      <c r="E17557"/>
      <c r="F17557"/>
      <c r="G17557"/>
      <c r="H17557"/>
      <c r="I17557" s="489"/>
      <c r="J17557" s="1362"/>
      <c r="K17557" s="1362"/>
      <c r="L17557" s="1362"/>
    </row>
    <row r="17558" spans="1:12" x14ac:dyDescent="0.25">
      <c r="A17558">
        <v>34743</v>
      </c>
      <c r="B17558" t="s">
        <v>21060</v>
      </c>
      <c r="C17558" t="s">
        <v>2539</v>
      </c>
      <c r="D17558" s="254">
        <v>150.74</v>
      </c>
      <c r="E17558"/>
      <c r="F17558"/>
      <c r="G17558"/>
      <c r="H17558"/>
      <c r="I17558" s="489"/>
      <c r="J17558" s="1362"/>
      <c r="K17558" s="1362"/>
      <c r="L17558" s="1362"/>
    </row>
    <row r="17559" spans="1:12" x14ac:dyDescent="0.25">
      <c r="A17559">
        <v>11137</v>
      </c>
      <c r="B17559" t="s">
        <v>21061</v>
      </c>
      <c r="C17559" t="s">
        <v>2539</v>
      </c>
      <c r="D17559" s="254">
        <v>171.2</v>
      </c>
      <c r="E17559"/>
      <c r="F17559"/>
      <c r="G17559"/>
      <c r="H17559"/>
      <c r="I17559" s="489"/>
      <c r="J17559" s="1362"/>
      <c r="K17559" s="1362"/>
      <c r="L17559" s="1362"/>
    </row>
    <row r="17560" spans="1:12" x14ac:dyDescent="0.25">
      <c r="A17560">
        <v>34745</v>
      </c>
      <c r="B17560" t="s">
        <v>21062</v>
      </c>
      <c r="C17560" t="s">
        <v>2539</v>
      </c>
      <c r="D17560" s="254">
        <v>203.59</v>
      </c>
      <c r="E17560"/>
      <c r="F17560"/>
      <c r="G17560"/>
      <c r="H17560"/>
      <c r="I17560" s="489"/>
      <c r="J17560" s="1362"/>
      <c r="K17560" s="1362"/>
      <c r="L17560" s="1362"/>
    </row>
    <row r="17561" spans="1:12" x14ac:dyDescent="0.25">
      <c r="A17561">
        <v>34746</v>
      </c>
      <c r="B17561" t="s">
        <v>21063</v>
      </c>
      <c r="C17561" t="s">
        <v>2539</v>
      </c>
      <c r="D17561" s="254">
        <v>55.52</v>
      </c>
      <c r="E17561"/>
      <c r="F17561"/>
      <c r="G17561"/>
      <c r="H17561"/>
      <c r="I17561" s="489"/>
      <c r="J17561" s="1362"/>
      <c r="K17561" s="1362"/>
      <c r="L17561" s="1362"/>
    </row>
    <row r="17562" spans="1:12" x14ac:dyDescent="0.25">
      <c r="A17562">
        <v>1360</v>
      </c>
      <c r="B17562" t="s">
        <v>21064</v>
      </c>
      <c r="C17562" t="s">
        <v>2539</v>
      </c>
      <c r="D17562" s="254">
        <v>64.78</v>
      </c>
      <c r="E17562"/>
      <c r="F17562"/>
      <c r="G17562"/>
      <c r="H17562"/>
      <c r="I17562" s="489"/>
      <c r="J17562" s="1362"/>
      <c r="K17562" s="1362"/>
      <c r="L17562" s="1362"/>
    </row>
    <row r="17563" spans="1:12" x14ac:dyDescent="0.25">
      <c r="A17563">
        <v>36524</v>
      </c>
      <c r="B17563" t="s">
        <v>21065</v>
      </c>
      <c r="C17563" t="s">
        <v>2537</v>
      </c>
      <c r="D17563" s="254">
        <v>181751.38</v>
      </c>
      <c r="E17563"/>
      <c r="F17563"/>
      <c r="G17563"/>
      <c r="H17563"/>
      <c r="I17563" s="489"/>
      <c r="J17563" s="1362"/>
      <c r="K17563" s="1362"/>
      <c r="L17563" s="1362"/>
    </row>
    <row r="17564" spans="1:12" x14ac:dyDescent="0.25">
      <c r="A17564">
        <v>36526</v>
      </c>
      <c r="B17564" t="s">
        <v>21066</v>
      </c>
      <c r="C17564" t="s">
        <v>2537</v>
      </c>
      <c r="D17564" s="254">
        <v>146462.66</v>
      </c>
      <c r="E17564"/>
      <c r="F17564"/>
      <c r="G17564"/>
      <c r="H17564"/>
      <c r="I17564" s="489"/>
      <c r="J17564" s="1362"/>
      <c r="K17564" s="1362"/>
      <c r="L17564" s="1362"/>
    </row>
    <row r="17565" spans="1:12" x14ac:dyDescent="0.25">
      <c r="A17565">
        <v>36523</v>
      </c>
      <c r="B17565" t="s">
        <v>21067</v>
      </c>
      <c r="C17565" t="s">
        <v>2537</v>
      </c>
      <c r="D17565" s="254">
        <v>313556.8</v>
      </c>
      <c r="E17565"/>
      <c r="F17565"/>
      <c r="G17565"/>
      <c r="H17565"/>
      <c r="I17565" s="489"/>
      <c r="J17565" s="1362"/>
      <c r="K17565" s="1362"/>
      <c r="L17565" s="1362"/>
    </row>
    <row r="17566" spans="1:12" x14ac:dyDescent="0.25">
      <c r="A17566">
        <v>36527</v>
      </c>
      <c r="B17566" t="s">
        <v>21068</v>
      </c>
      <c r="C17566" t="s">
        <v>2537</v>
      </c>
      <c r="D17566" s="254">
        <v>340587.27</v>
      </c>
      <c r="E17566"/>
      <c r="F17566"/>
      <c r="G17566"/>
      <c r="H17566"/>
      <c r="I17566" s="489"/>
      <c r="J17566" s="1362"/>
      <c r="K17566" s="1362"/>
      <c r="L17566" s="1362"/>
    </row>
    <row r="17567" spans="1:12" x14ac:dyDescent="0.25">
      <c r="A17567">
        <v>13803</v>
      </c>
      <c r="B17567" t="s">
        <v>21069</v>
      </c>
      <c r="C17567" t="s">
        <v>2537</v>
      </c>
      <c r="D17567" s="254">
        <v>123153.39</v>
      </c>
      <c r="E17567"/>
      <c r="F17567"/>
      <c r="G17567"/>
      <c r="H17567"/>
      <c r="I17567" s="489"/>
      <c r="J17567" s="1362"/>
      <c r="K17567" s="1362"/>
      <c r="L17567" s="1362"/>
    </row>
    <row r="17568" spans="1:12" x14ac:dyDescent="0.25">
      <c r="A17568">
        <v>38642</v>
      </c>
      <c r="B17568" t="s">
        <v>21070</v>
      </c>
      <c r="C17568" t="s">
        <v>2537</v>
      </c>
      <c r="D17568" s="254">
        <v>79297.45</v>
      </c>
      <c r="E17568"/>
      <c r="F17568"/>
      <c r="G17568"/>
      <c r="H17568"/>
      <c r="I17568" s="489"/>
      <c r="J17568" s="1362"/>
      <c r="K17568" s="1362"/>
      <c r="L17568" s="1362"/>
    </row>
    <row r="17569" spans="1:12" x14ac:dyDescent="0.25">
      <c r="A17569">
        <v>36522</v>
      </c>
      <c r="B17569" t="s">
        <v>21071</v>
      </c>
      <c r="C17569" t="s">
        <v>2537</v>
      </c>
      <c r="D17569" s="254">
        <v>92221.99</v>
      </c>
      <c r="E17569"/>
      <c r="F17569"/>
      <c r="G17569"/>
      <c r="H17569"/>
      <c r="I17569" s="489"/>
      <c r="J17569" s="1362"/>
      <c r="K17569" s="1362"/>
      <c r="L17569" s="1362"/>
    </row>
    <row r="17570" spans="1:12" x14ac:dyDescent="0.25">
      <c r="A17570">
        <v>36525</v>
      </c>
      <c r="B17570" t="s">
        <v>21072</v>
      </c>
      <c r="C17570" t="s">
        <v>2537</v>
      </c>
      <c r="D17570" s="254">
        <v>123506.79</v>
      </c>
      <c r="E17570"/>
      <c r="F17570"/>
      <c r="G17570"/>
      <c r="H17570"/>
      <c r="I17570" s="489"/>
      <c r="J17570" s="1362"/>
      <c r="K17570" s="1362"/>
      <c r="L17570" s="1362"/>
    </row>
    <row r="17571" spans="1:12" x14ac:dyDescent="0.25">
      <c r="A17571">
        <v>34348</v>
      </c>
      <c r="B17571" t="s">
        <v>21073</v>
      </c>
      <c r="C17571" t="s">
        <v>2541</v>
      </c>
      <c r="D17571" s="254">
        <v>31.42</v>
      </c>
      <c r="E17571"/>
      <c r="F17571"/>
      <c r="G17571"/>
      <c r="H17571"/>
      <c r="I17571" s="489"/>
      <c r="J17571" s="1362"/>
      <c r="K17571" s="1362"/>
      <c r="L17571" s="1362"/>
    </row>
    <row r="17572" spans="1:12" x14ac:dyDescent="0.25">
      <c r="A17572">
        <v>34347</v>
      </c>
      <c r="B17572" t="s">
        <v>21074</v>
      </c>
      <c r="C17572" t="s">
        <v>2541</v>
      </c>
      <c r="D17572" s="254">
        <v>22.46</v>
      </c>
      <c r="E17572"/>
      <c r="F17572"/>
      <c r="G17572"/>
      <c r="H17572"/>
      <c r="I17572" s="489"/>
      <c r="J17572" s="1362"/>
      <c r="K17572" s="1362"/>
      <c r="L17572" s="1362"/>
    </row>
    <row r="17573" spans="1:12" x14ac:dyDescent="0.25">
      <c r="A17573">
        <v>11146</v>
      </c>
      <c r="B17573" t="s">
        <v>21075</v>
      </c>
      <c r="C17573" t="s">
        <v>2540</v>
      </c>
      <c r="D17573" s="254">
        <v>537.87</v>
      </c>
      <c r="E17573"/>
      <c r="F17573"/>
      <c r="G17573"/>
      <c r="H17573"/>
      <c r="I17573" s="489"/>
      <c r="J17573" s="1362"/>
      <c r="K17573" s="1362"/>
      <c r="L17573" s="1362"/>
    </row>
    <row r="17574" spans="1:12" x14ac:dyDescent="0.25">
      <c r="A17574">
        <v>11147</v>
      </c>
      <c r="B17574" t="s">
        <v>21076</v>
      </c>
      <c r="C17574" t="s">
        <v>2540</v>
      </c>
      <c r="D17574" s="254">
        <v>558.91999999999996</v>
      </c>
      <c r="E17574"/>
      <c r="F17574"/>
      <c r="G17574"/>
      <c r="H17574"/>
      <c r="I17574" s="489"/>
      <c r="J17574" s="1362"/>
      <c r="K17574" s="1362"/>
      <c r="L17574" s="1362"/>
    </row>
    <row r="17575" spans="1:12" x14ac:dyDescent="0.25">
      <c r="A17575">
        <v>34872</v>
      </c>
      <c r="B17575" t="s">
        <v>21077</v>
      </c>
      <c r="C17575" t="s">
        <v>2540</v>
      </c>
      <c r="D17575" s="254">
        <v>565.19000000000005</v>
      </c>
      <c r="E17575"/>
      <c r="F17575"/>
      <c r="G17575"/>
      <c r="H17575"/>
      <c r="I17575" s="489"/>
      <c r="J17575" s="1362"/>
      <c r="K17575" s="1362"/>
      <c r="L17575" s="1362"/>
    </row>
    <row r="17576" spans="1:12" x14ac:dyDescent="0.25">
      <c r="A17576">
        <v>34491</v>
      </c>
      <c r="B17576" t="s">
        <v>21078</v>
      </c>
      <c r="C17576" t="s">
        <v>2540</v>
      </c>
      <c r="D17576" s="254">
        <v>581.57000000000005</v>
      </c>
      <c r="E17576"/>
      <c r="F17576"/>
      <c r="G17576"/>
      <c r="H17576"/>
      <c r="I17576" s="489"/>
      <c r="J17576" s="1362"/>
      <c r="K17576" s="1362"/>
      <c r="L17576" s="1362"/>
    </row>
    <row r="17577" spans="1:12" x14ac:dyDescent="0.25">
      <c r="A17577">
        <v>34770</v>
      </c>
      <c r="B17577" t="s">
        <v>21079</v>
      </c>
      <c r="C17577" t="s">
        <v>2548</v>
      </c>
      <c r="D17577" s="254">
        <v>578.72</v>
      </c>
      <c r="E17577"/>
      <c r="F17577"/>
      <c r="G17577"/>
      <c r="H17577"/>
      <c r="I17577" s="489"/>
      <c r="J17577" s="1362"/>
      <c r="K17577" s="1362"/>
      <c r="L17577" s="1362"/>
    </row>
    <row r="17578" spans="1:12" x14ac:dyDescent="0.25">
      <c r="A17578">
        <v>1518</v>
      </c>
      <c r="B17578" t="s">
        <v>21080</v>
      </c>
      <c r="C17578" t="s">
        <v>2548</v>
      </c>
      <c r="D17578" s="254">
        <v>590</v>
      </c>
      <c r="E17578"/>
      <c r="F17578"/>
      <c r="G17578"/>
      <c r="H17578"/>
      <c r="I17578" s="489"/>
      <c r="J17578" s="1362"/>
      <c r="K17578" s="1362"/>
      <c r="L17578" s="1362"/>
    </row>
    <row r="17579" spans="1:12" x14ac:dyDescent="0.25">
      <c r="A17579">
        <v>41965</v>
      </c>
      <c r="B17579" t="s">
        <v>21081</v>
      </c>
      <c r="C17579" t="s">
        <v>2548</v>
      </c>
      <c r="D17579" s="254">
        <v>517.33000000000004</v>
      </c>
      <c r="E17579"/>
      <c r="F17579"/>
      <c r="G17579"/>
      <c r="H17579"/>
      <c r="I17579" s="489"/>
      <c r="J17579" s="1362"/>
      <c r="K17579" s="1362"/>
      <c r="L17579" s="1362"/>
    </row>
    <row r="17580" spans="1:12" x14ac:dyDescent="0.25">
      <c r="A17580">
        <v>34492</v>
      </c>
      <c r="B17580" t="s">
        <v>21082</v>
      </c>
      <c r="C17580" t="s">
        <v>2540</v>
      </c>
      <c r="D17580" s="254">
        <v>478</v>
      </c>
      <c r="E17580"/>
      <c r="F17580"/>
      <c r="G17580"/>
      <c r="H17580"/>
      <c r="I17580" s="489"/>
      <c r="J17580" s="1362"/>
      <c r="K17580" s="1362"/>
      <c r="L17580" s="1362"/>
    </row>
    <row r="17581" spans="1:12" x14ac:dyDescent="0.25">
      <c r="A17581">
        <v>1524</v>
      </c>
      <c r="B17581" t="s">
        <v>21083</v>
      </c>
      <c r="C17581" t="s">
        <v>2540</v>
      </c>
      <c r="D17581" s="254">
        <v>516.04</v>
      </c>
      <c r="E17581"/>
      <c r="F17581"/>
      <c r="G17581"/>
      <c r="H17581"/>
      <c r="I17581" s="489"/>
      <c r="J17581" s="1362"/>
      <c r="K17581" s="1362"/>
      <c r="L17581" s="1362"/>
    </row>
    <row r="17582" spans="1:12" x14ac:dyDescent="0.25">
      <c r="A17582">
        <v>38404</v>
      </c>
      <c r="B17582" t="s">
        <v>21084</v>
      </c>
      <c r="C17582" t="s">
        <v>2540</v>
      </c>
      <c r="D17582" s="254">
        <v>495.11</v>
      </c>
      <c r="E17582"/>
      <c r="F17582"/>
      <c r="G17582"/>
      <c r="H17582"/>
      <c r="I17582" s="489"/>
      <c r="J17582" s="1362"/>
      <c r="K17582" s="1362"/>
      <c r="L17582" s="1362"/>
    </row>
    <row r="17583" spans="1:12" x14ac:dyDescent="0.25">
      <c r="A17583">
        <v>39849</v>
      </c>
      <c r="B17583" t="s">
        <v>21085</v>
      </c>
      <c r="C17583" t="s">
        <v>2540</v>
      </c>
      <c r="D17583" s="254">
        <v>567.4</v>
      </c>
      <c r="E17583"/>
      <c r="F17583"/>
      <c r="G17583"/>
      <c r="H17583"/>
      <c r="I17583" s="489"/>
      <c r="J17583" s="1362"/>
      <c r="K17583" s="1362"/>
      <c r="L17583" s="1362"/>
    </row>
    <row r="17584" spans="1:12" x14ac:dyDescent="0.25">
      <c r="A17584">
        <v>38464</v>
      </c>
      <c r="B17584" t="s">
        <v>21086</v>
      </c>
      <c r="C17584" t="s">
        <v>2540</v>
      </c>
      <c r="D17584" s="254">
        <v>575.64</v>
      </c>
      <c r="E17584"/>
      <c r="F17584"/>
      <c r="G17584"/>
      <c r="H17584"/>
      <c r="I17584" s="489"/>
      <c r="J17584" s="1362"/>
      <c r="K17584" s="1362"/>
      <c r="L17584" s="1362"/>
    </row>
    <row r="17585" spans="1:12" x14ac:dyDescent="0.25">
      <c r="A17585">
        <v>34493</v>
      </c>
      <c r="B17585" t="s">
        <v>21087</v>
      </c>
      <c r="C17585" t="s">
        <v>2540</v>
      </c>
      <c r="D17585" s="254">
        <v>491.47</v>
      </c>
      <c r="E17585"/>
      <c r="F17585"/>
      <c r="G17585"/>
      <c r="H17585"/>
      <c r="I17585" s="489"/>
      <c r="J17585" s="1362"/>
      <c r="K17585" s="1362"/>
      <c r="L17585" s="1362"/>
    </row>
    <row r="17586" spans="1:12" x14ac:dyDescent="0.25">
      <c r="A17586">
        <v>1527</v>
      </c>
      <c r="B17586" t="s">
        <v>21088</v>
      </c>
      <c r="C17586" t="s">
        <v>2540</v>
      </c>
      <c r="D17586" s="254">
        <v>532.42999999999995</v>
      </c>
      <c r="E17586"/>
      <c r="F17586"/>
      <c r="G17586"/>
      <c r="H17586"/>
      <c r="I17586" s="489"/>
      <c r="J17586" s="1362"/>
      <c r="K17586" s="1362"/>
      <c r="L17586" s="1362"/>
    </row>
    <row r="17587" spans="1:12" x14ac:dyDescent="0.25">
      <c r="A17587">
        <v>38405</v>
      </c>
      <c r="B17587" t="s">
        <v>21089</v>
      </c>
      <c r="C17587" t="s">
        <v>2540</v>
      </c>
      <c r="D17587" s="254">
        <v>510.38</v>
      </c>
      <c r="E17587"/>
      <c r="F17587"/>
      <c r="G17587"/>
      <c r="H17587"/>
      <c r="I17587" s="489"/>
      <c r="J17587" s="1362"/>
      <c r="K17587" s="1362"/>
      <c r="L17587" s="1362"/>
    </row>
    <row r="17588" spans="1:12" x14ac:dyDescent="0.25">
      <c r="A17588">
        <v>38408</v>
      </c>
      <c r="B17588" t="s">
        <v>21090</v>
      </c>
      <c r="C17588" t="s">
        <v>2540</v>
      </c>
      <c r="D17588" s="254">
        <v>564.94000000000005</v>
      </c>
      <c r="E17588"/>
      <c r="F17588"/>
      <c r="G17588"/>
      <c r="H17588"/>
      <c r="I17588" s="489"/>
      <c r="J17588" s="1362"/>
      <c r="K17588" s="1362"/>
      <c r="L17588" s="1362"/>
    </row>
    <row r="17589" spans="1:12" x14ac:dyDescent="0.25">
      <c r="A17589">
        <v>34494</v>
      </c>
      <c r="B17589" t="s">
        <v>21091</v>
      </c>
      <c r="C17589" t="s">
        <v>2540</v>
      </c>
      <c r="D17589" s="254">
        <v>507.85</v>
      </c>
      <c r="E17589"/>
      <c r="F17589"/>
      <c r="G17589"/>
      <c r="H17589"/>
      <c r="I17589" s="489"/>
      <c r="J17589" s="1362"/>
      <c r="K17589" s="1362"/>
      <c r="L17589" s="1362"/>
    </row>
    <row r="17590" spans="1:12" x14ac:dyDescent="0.25">
      <c r="A17590">
        <v>1525</v>
      </c>
      <c r="B17590" t="s">
        <v>21092</v>
      </c>
      <c r="C17590" t="s">
        <v>2540</v>
      </c>
      <c r="D17590" s="254">
        <v>548.80999999999995</v>
      </c>
      <c r="E17590"/>
      <c r="F17590"/>
      <c r="G17590"/>
      <c r="H17590"/>
      <c r="I17590" s="489"/>
      <c r="J17590" s="1362"/>
      <c r="K17590" s="1362"/>
      <c r="L17590" s="1362"/>
    </row>
    <row r="17591" spans="1:12" x14ac:dyDescent="0.25">
      <c r="A17591">
        <v>38406</v>
      </c>
      <c r="B17591" t="s">
        <v>21093</v>
      </c>
      <c r="C17591" t="s">
        <v>2540</v>
      </c>
      <c r="D17591" s="254">
        <v>538.92999999999995</v>
      </c>
      <c r="E17591"/>
      <c r="F17591"/>
      <c r="G17591"/>
      <c r="H17591"/>
      <c r="I17591" s="489"/>
      <c r="J17591" s="1362"/>
      <c r="K17591" s="1362"/>
      <c r="L17591" s="1362"/>
    </row>
    <row r="17592" spans="1:12" x14ac:dyDescent="0.25">
      <c r="A17592">
        <v>38409</v>
      </c>
      <c r="B17592" t="s">
        <v>21094</v>
      </c>
      <c r="C17592" t="s">
        <v>2540</v>
      </c>
      <c r="D17592" s="254">
        <v>568.79</v>
      </c>
      <c r="E17592"/>
      <c r="F17592"/>
      <c r="G17592"/>
      <c r="H17592"/>
      <c r="I17592" s="489"/>
      <c r="J17592" s="1362"/>
      <c r="K17592" s="1362"/>
      <c r="L17592" s="1362"/>
    </row>
    <row r="17593" spans="1:12" x14ac:dyDescent="0.25">
      <c r="A17593">
        <v>43360</v>
      </c>
      <c r="B17593" t="s">
        <v>21095</v>
      </c>
      <c r="C17593" t="s">
        <v>2540</v>
      </c>
      <c r="D17593" s="254">
        <v>593.09</v>
      </c>
      <c r="E17593"/>
      <c r="F17593"/>
      <c r="G17593"/>
      <c r="H17593"/>
      <c r="I17593" s="489"/>
      <c r="J17593" s="1362"/>
      <c r="K17593" s="1362"/>
      <c r="L17593" s="1362"/>
    </row>
    <row r="17594" spans="1:12" x14ac:dyDescent="0.25">
      <c r="A17594">
        <v>34495</v>
      </c>
      <c r="B17594" t="s">
        <v>21096</v>
      </c>
      <c r="C17594" t="s">
        <v>2540</v>
      </c>
      <c r="D17594" s="254">
        <v>524.23</v>
      </c>
      <c r="E17594"/>
      <c r="F17594"/>
      <c r="G17594"/>
      <c r="H17594"/>
      <c r="I17594" s="489"/>
      <c r="J17594" s="1362"/>
      <c r="K17594" s="1362"/>
      <c r="L17594" s="1362"/>
    </row>
    <row r="17595" spans="1:12" x14ac:dyDescent="0.25">
      <c r="A17595">
        <v>11145</v>
      </c>
      <c r="B17595" t="s">
        <v>21097</v>
      </c>
      <c r="C17595" t="s">
        <v>2540</v>
      </c>
      <c r="D17595" s="254">
        <v>565.19000000000005</v>
      </c>
      <c r="E17595"/>
      <c r="F17595"/>
      <c r="G17595"/>
      <c r="H17595"/>
      <c r="I17595" s="489"/>
      <c r="J17595" s="1362"/>
      <c r="K17595" s="1362"/>
      <c r="L17595" s="1362"/>
    </row>
    <row r="17596" spans="1:12" x14ac:dyDescent="0.25">
      <c r="A17596">
        <v>34496</v>
      </c>
      <c r="B17596" t="s">
        <v>21098</v>
      </c>
      <c r="C17596" t="s">
        <v>2540</v>
      </c>
      <c r="D17596" s="254">
        <v>546.87</v>
      </c>
      <c r="E17596"/>
      <c r="F17596"/>
      <c r="G17596"/>
      <c r="H17596"/>
      <c r="I17596" s="489"/>
      <c r="J17596" s="1362"/>
      <c r="K17596" s="1362"/>
      <c r="L17596" s="1362"/>
    </row>
    <row r="17597" spans="1:12" x14ac:dyDescent="0.25">
      <c r="A17597">
        <v>34479</v>
      </c>
      <c r="B17597" t="s">
        <v>21099</v>
      </c>
      <c r="C17597" t="s">
        <v>2540</v>
      </c>
      <c r="D17597" s="254">
        <v>581.57000000000005</v>
      </c>
      <c r="E17597"/>
      <c r="F17597"/>
      <c r="G17597"/>
      <c r="H17597"/>
      <c r="I17597" s="489"/>
      <c r="J17597" s="1362"/>
      <c r="K17597" s="1362"/>
      <c r="L17597" s="1362"/>
    </row>
    <row r="17598" spans="1:12" x14ac:dyDescent="0.25">
      <c r="A17598">
        <v>34481</v>
      </c>
      <c r="B17598" t="s">
        <v>21100</v>
      </c>
      <c r="C17598" t="s">
        <v>2540</v>
      </c>
      <c r="D17598" s="254">
        <v>607.66999999999996</v>
      </c>
      <c r="E17598"/>
      <c r="F17598"/>
      <c r="G17598"/>
      <c r="H17598"/>
      <c r="I17598" s="489"/>
      <c r="J17598" s="1362"/>
      <c r="K17598" s="1362"/>
      <c r="L17598" s="1362"/>
    </row>
    <row r="17599" spans="1:12" x14ac:dyDescent="0.25">
      <c r="A17599">
        <v>34483</v>
      </c>
      <c r="B17599" t="s">
        <v>21101</v>
      </c>
      <c r="C17599" t="s">
        <v>2540</v>
      </c>
      <c r="D17599" s="254">
        <v>649.26</v>
      </c>
      <c r="E17599"/>
      <c r="F17599"/>
      <c r="G17599"/>
      <c r="H17599"/>
      <c r="I17599" s="489"/>
      <c r="J17599" s="1362"/>
      <c r="K17599" s="1362"/>
      <c r="L17599" s="1362"/>
    </row>
    <row r="17600" spans="1:12" x14ac:dyDescent="0.25">
      <c r="A17600">
        <v>34485</v>
      </c>
      <c r="B17600" t="s">
        <v>21102</v>
      </c>
      <c r="C17600" t="s">
        <v>2540</v>
      </c>
      <c r="D17600" s="254">
        <v>694.31</v>
      </c>
      <c r="E17600"/>
      <c r="F17600"/>
      <c r="G17600"/>
      <c r="H17600"/>
      <c r="I17600" s="489"/>
      <c r="J17600" s="1362"/>
      <c r="K17600" s="1362"/>
      <c r="L17600" s="1362"/>
    </row>
    <row r="17601" spans="1:12" x14ac:dyDescent="0.25">
      <c r="A17601">
        <v>14041</v>
      </c>
      <c r="B17601" t="s">
        <v>21103</v>
      </c>
      <c r="C17601" t="s">
        <v>2540</v>
      </c>
      <c r="D17601" s="254">
        <v>451.33</v>
      </c>
      <c r="E17601"/>
      <c r="F17601"/>
      <c r="G17601"/>
      <c r="H17601"/>
      <c r="I17601" s="489"/>
      <c r="J17601" s="1362"/>
      <c r="K17601" s="1362"/>
      <c r="L17601" s="1362"/>
    </row>
    <row r="17602" spans="1:12" x14ac:dyDescent="0.25">
      <c r="A17602">
        <v>1523</v>
      </c>
      <c r="B17602" t="s">
        <v>21104</v>
      </c>
      <c r="C17602" t="s">
        <v>2540</v>
      </c>
      <c r="D17602" s="254">
        <v>458.71</v>
      </c>
      <c r="E17602"/>
      <c r="F17602"/>
      <c r="G17602"/>
      <c r="H17602"/>
      <c r="I17602" s="489"/>
      <c r="J17602" s="1362"/>
      <c r="K17602" s="1362"/>
      <c r="L17602" s="1362"/>
    </row>
    <row r="17603" spans="1:12" x14ac:dyDescent="0.25">
      <c r="A17603">
        <v>14052</v>
      </c>
      <c r="B17603" t="s">
        <v>21105</v>
      </c>
      <c r="C17603" t="s">
        <v>2537</v>
      </c>
      <c r="D17603" s="254">
        <v>13.73</v>
      </c>
      <c r="E17603"/>
      <c r="F17603"/>
      <c r="G17603"/>
      <c r="H17603"/>
      <c r="I17603" s="489"/>
      <c r="J17603" s="1362"/>
      <c r="K17603" s="1362"/>
      <c r="L17603" s="1362"/>
    </row>
    <row r="17604" spans="1:12" x14ac:dyDescent="0.25">
      <c r="A17604">
        <v>14054</v>
      </c>
      <c r="B17604" t="s">
        <v>21106</v>
      </c>
      <c r="C17604" t="s">
        <v>2537</v>
      </c>
      <c r="D17604" s="254">
        <v>17.850000000000001</v>
      </c>
      <c r="E17604"/>
      <c r="F17604"/>
      <c r="G17604"/>
      <c r="H17604"/>
      <c r="I17604" s="489"/>
      <c r="J17604" s="1362"/>
      <c r="K17604" s="1362"/>
      <c r="L17604" s="1362"/>
    </row>
    <row r="17605" spans="1:12" x14ac:dyDescent="0.25">
      <c r="A17605">
        <v>14053</v>
      </c>
      <c r="B17605" t="s">
        <v>21107</v>
      </c>
      <c r="C17605" t="s">
        <v>2537</v>
      </c>
      <c r="D17605" s="254">
        <v>13.94</v>
      </c>
      <c r="E17605"/>
      <c r="F17605"/>
      <c r="G17605"/>
      <c r="H17605"/>
      <c r="I17605" s="489"/>
      <c r="J17605" s="1362"/>
      <c r="K17605" s="1362"/>
      <c r="L17605" s="1362"/>
    </row>
    <row r="17606" spans="1:12" x14ac:dyDescent="0.25">
      <c r="A17606">
        <v>2558</v>
      </c>
      <c r="B17606" t="s">
        <v>21108</v>
      </c>
      <c r="C17606" t="s">
        <v>2537</v>
      </c>
      <c r="D17606" s="254">
        <v>10.49</v>
      </c>
      <c r="E17606"/>
      <c r="F17606"/>
      <c r="G17606"/>
      <c r="H17606"/>
      <c r="I17606" s="489"/>
      <c r="J17606" s="1362"/>
      <c r="K17606" s="1362"/>
      <c r="L17606" s="1362"/>
    </row>
    <row r="17607" spans="1:12" x14ac:dyDescent="0.25">
      <c r="A17607">
        <v>2560</v>
      </c>
      <c r="B17607" t="s">
        <v>21109</v>
      </c>
      <c r="C17607" t="s">
        <v>2537</v>
      </c>
      <c r="D17607" s="254">
        <v>18.47</v>
      </c>
      <c r="E17607"/>
      <c r="F17607"/>
      <c r="G17607"/>
      <c r="H17607"/>
      <c r="I17607" s="489"/>
      <c r="J17607" s="1362"/>
      <c r="K17607" s="1362"/>
      <c r="L17607" s="1362"/>
    </row>
    <row r="17608" spans="1:12" x14ac:dyDescent="0.25">
      <c r="A17608">
        <v>2559</v>
      </c>
      <c r="B17608" t="s">
        <v>21110</v>
      </c>
      <c r="C17608" t="s">
        <v>2537</v>
      </c>
      <c r="D17608" s="254">
        <v>14.77</v>
      </c>
      <c r="E17608"/>
      <c r="F17608"/>
      <c r="G17608"/>
      <c r="H17608"/>
      <c r="I17608" s="489"/>
      <c r="J17608" s="1362"/>
      <c r="K17608" s="1362"/>
      <c r="L17608" s="1362"/>
    </row>
    <row r="17609" spans="1:12" x14ac:dyDescent="0.25">
      <c r="A17609">
        <v>2592</v>
      </c>
      <c r="B17609" t="s">
        <v>21111</v>
      </c>
      <c r="C17609" t="s">
        <v>2537</v>
      </c>
      <c r="D17609" s="254">
        <v>244.85</v>
      </c>
      <c r="E17609"/>
      <c r="F17609"/>
      <c r="G17609"/>
      <c r="H17609"/>
      <c r="I17609" s="489"/>
      <c r="J17609" s="1362"/>
      <c r="K17609" s="1362"/>
      <c r="L17609" s="1362"/>
    </row>
    <row r="17610" spans="1:12" x14ac:dyDescent="0.25">
      <c r="A17610">
        <v>2566</v>
      </c>
      <c r="B17610" t="s">
        <v>21112</v>
      </c>
      <c r="C17610" t="s">
        <v>2537</v>
      </c>
      <c r="D17610" s="254">
        <v>24.64</v>
      </c>
      <c r="E17610"/>
      <c r="F17610"/>
      <c r="G17610"/>
      <c r="H17610"/>
      <c r="I17610" s="489"/>
      <c r="J17610" s="1362"/>
      <c r="K17610" s="1362"/>
      <c r="L17610" s="1362"/>
    </row>
    <row r="17611" spans="1:12" x14ac:dyDescent="0.25">
      <c r="A17611">
        <v>2589</v>
      </c>
      <c r="B17611" t="s">
        <v>21113</v>
      </c>
      <c r="C17611" t="s">
        <v>2537</v>
      </c>
      <c r="D17611" s="254">
        <v>32.75</v>
      </c>
      <c r="E17611"/>
      <c r="F17611"/>
      <c r="G17611"/>
      <c r="H17611"/>
      <c r="I17611" s="489"/>
      <c r="J17611" s="1362"/>
      <c r="K17611" s="1362"/>
      <c r="L17611" s="1362"/>
    </row>
    <row r="17612" spans="1:12" x14ac:dyDescent="0.25">
      <c r="A17612">
        <v>2591</v>
      </c>
      <c r="B17612" t="s">
        <v>21114</v>
      </c>
      <c r="C17612" t="s">
        <v>2537</v>
      </c>
      <c r="D17612" s="254">
        <v>11.94</v>
      </c>
      <c r="E17612"/>
      <c r="F17612"/>
      <c r="G17612"/>
      <c r="H17612"/>
      <c r="I17612" s="489"/>
      <c r="J17612" s="1362"/>
      <c r="K17612" s="1362"/>
      <c r="L17612" s="1362"/>
    </row>
    <row r="17613" spans="1:12" x14ac:dyDescent="0.25">
      <c r="A17613">
        <v>2590</v>
      </c>
      <c r="B17613" t="s">
        <v>21115</v>
      </c>
      <c r="C17613" t="s">
        <v>2537</v>
      </c>
      <c r="D17613" s="254">
        <v>20.100000000000001</v>
      </c>
      <c r="E17613"/>
      <c r="F17613"/>
      <c r="G17613"/>
      <c r="H17613"/>
      <c r="I17613" s="489"/>
      <c r="J17613" s="1362"/>
      <c r="K17613" s="1362"/>
      <c r="L17613" s="1362"/>
    </row>
    <row r="17614" spans="1:12" x14ac:dyDescent="0.25">
      <c r="A17614">
        <v>2567</v>
      </c>
      <c r="B17614" t="s">
        <v>21116</v>
      </c>
      <c r="C17614" t="s">
        <v>2537</v>
      </c>
      <c r="D17614" s="254">
        <v>48.04</v>
      </c>
      <c r="E17614"/>
      <c r="F17614"/>
      <c r="G17614"/>
      <c r="H17614"/>
      <c r="I17614" s="489"/>
      <c r="J17614" s="1362"/>
      <c r="K17614" s="1362"/>
      <c r="L17614" s="1362"/>
    </row>
    <row r="17615" spans="1:12" x14ac:dyDescent="0.25">
      <c r="A17615">
        <v>2565</v>
      </c>
      <c r="B17615" t="s">
        <v>21117</v>
      </c>
      <c r="C17615" t="s">
        <v>2537</v>
      </c>
      <c r="D17615" s="254">
        <v>11.96</v>
      </c>
      <c r="E17615"/>
      <c r="F17615"/>
      <c r="G17615"/>
      <c r="H17615"/>
      <c r="I17615" s="489"/>
      <c r="J17615" s="1362"/>
      <c r="K17615" s="1362"/>
      <c r="L17615" s="1362"/>
    </row>
    <row r="17616" spans="1:12" x14ac:dyDescent="0.25">
      <c r="A17616">
        <v>2568</v>
      </c>
      <c r="B17616" t="s">
        <v>21118</v>
      </c>
      <c r="C17616" t="s">
        <v>2537</v>
      </c>
      <c r="D17616" s="254">
        <v>133.4</v>
      </c>
      <c r="E17616"/>
      <c r="F17616"/>
      <c r="G17616"/>
      <c r="H17616"/>
      <c r="I17616" s="489"/>
      <c r="J17616" s="1362"/>
      <c r="K17616" s="1362"/>
      <c r="L17616" s="1362"/>
    </row>
    <row r="17617" spans="1:12" x14ac:dyDescent="0.25">
      <c r="A17617">
        <v>2594</v>
      </c>
      <c r="B17617" t="s">
        <v>21119</v>
      </c>
      <c r="C17617" t="s">
        <v>2537</v>
      </c>
      <c r="D17617" s="254">
        <v>222.24</v>
      </c>
      <c r="E17617"/>
      <c r="F17617"/>
      <c r="G17617"/>
      <c r="H17617"/>
      <c r="I17617" s="489"/>
      <c r="J17617" s="1362"/>
      <c r="K17617" s="1362"/>
      <c r="L17617" s="1362"/>
    </row>
    <row r="17618" spans="1:12" x14ac:dyDescent="0.25">
      <c r="A17618">
        <v>2587</v>
      </c>
      <c r="B17618" t="s">
        <v>21120</v>
      </c>
      <c r="C17618" t="s">
        <v>2537</v>
      </c>
      <c r="D17618" s="254">
        <v>37.869999999999997</v>
      </c>
      <c r="E17618"/>
      <c r="F17618"/>
      <c r="G17618"/>
      <c r="H17618"/>
      <c r="I17618" s="489"/>
      <c r="J17618" s="1362"/>
      <c r="K17618" s="1362"/>
      <c r="L17618" s="1362"/>
    </row>
    <row r="17619" spans="1:12" x14ac:dyDescent="0.25">
      <c r="A17619">
        <v>2588</v>
      </c>
      <c r="B17619" t="s">
        <v>21121</v>
      </c>
      <c r="C17619" t="s">
        <v>2537</v>
      </c>
      <c r="D17619" s="254">
        <v>30.08</v>
      </c>
      <c r="E17619"/>
      <c r="F17619"/>
      <c r="G17619"/>
      <c r="H17619"/>
      <c r="I17619" s="489"/>
      <c r="J17619" s="1362"/>
      <c r="K17619" s="1362"/>
      <c r="L17619" s="1362"/>
    </row>
    <row r="17620" spans="1:12" x14ac:dyDescent="0.25">
      <c r="A17620">
        <v>2569</v>
      </c>
      <c r="B17620" t="s">
        <v>21122</v>
      </c>
      <c r="C17620" t="s">
        <v>2537</v>
      </c>
      <c r="D17620" s="254">
        <v>11.59</v>
      </c>
      <c r="E17620"/>
      <c r="F17620"/>
      <c r="G17620"/>
      <c r="H17620"/>
      <c r="I17620" s="489"/>
      <c r="J17620" s="1362"/>
      <c r="K17620" s="1362"/>
      <c r="L17620" s="1362"/>
    </row>
    <row r="17621" spans="1:12" x14ac:dyDescent="0.25">
      <c r="A17621">
        <v>2570</v>
      </c>
      <c r="B17621" t="s">
        <v>21123</v>
      </c>
      <c r="C17621" t="s">
        <v>2537</v>
      </c>
      <c r="D17621" s="254">
        <v>19.43</v>
      </c>
      <c r="E17621"/>
      <c r="F17621"/>
      <c r="G17621"/>
      <c r="H17621"/>
      <c r="I17621" s="489"/>
      <c r="J17621" s="1362"/>
      <c r="K17621" s="1362"/>
      <c r="L17621" s="1362"/>
    </row>
    <row r="17622" spans="1:12" x14ac:dyDescent="0.25">
      <c r="A17622">
        <v>2571</v>
      </c>
      <c r="B17622" t="s">
        <v>21124</v>
      </c>
      <c r="C17622" t="s">
        <v>2537</v>
      </c>
      <c r="D17622" s="254">
        <v>57.69</v>
      </c>
      <c r="E17622"/>
      <c r="F17622"/>
      <c r="G17622"/>
      <c r="H17622"/>
      <c r="I17622" s="489"/>
      <c r="J17622" s="1362"/>
      <c r="K17622" s="1362"/>
      <c r="L17622" s="1362"/>
    </row>
    <row r="17623" spans="1:12" x14ac:dyDescent="0.25">
      <c r="A17623">
        <v>2593</v>
      </c>
      <c r="B17623" t="s">
        <v>21125</v>
      </c>
      <c r="C17623" t="s">
        <v>2537</v>
      </c>
      <c r="D17623" s="254">
        <v>12.36</v>
      </c>
      <c r="E17623"/>
      <c r="F17623"/>
      <c r="G17623"/>
      <c r="H17623"/>
      <c r="I17623" s="489"/>
      <c r="J17623" s="1362"/>
      <c r="K17623" s="1362"/>
      <c r="L17623" s="1362"/>
    </row>
    <row r="17624" spans="1:12" x14ac:dyDescent="0.25">
      <c r="A17624">
        <v>2572</v>
      </c>
      <c r="B17624" t="s">
        <v>21126</v>
      </c>
      <c r="C17624" t="s">
        <v>2537</v>
      </c>
      <c r="D17624" s="254">
        <v>170.6</v>
      </c>
      <c r="E17624"/>
      <c r="F17624"/>
      <c r="G17624"/>
      <c r="H17624"/>
      <c r="I17624" s="489"/>
      <c r="J17624" s="1362"/>
      <c r="K17624" s="1362"/>
      <c r="L17624" s="1362"/>
    </row>
    <row r="17625" spans="1:12" x14ac:dyDescent="0.25">
      <c r="A17625">
        <v>2595</v>
      </c>
      <c r="B17625" t="s">
        <v>21127</v>
      </c>
      <c r="C17625" t="s">
        <v>2537</v>
      </c>
      <c r="D17625" s="254">
        <v>266.17</v>
      </c>
      <c r="E17625"/>
      <c r="F17625"/>
      <c r="G17625"/>
      <c r="H17625"/>
      <c r="I17625" s="489"/>
      <c r="J17625" s="1362"/>
      <c r="K17625" s="1362"/>
      <c r="L17625" s="1362"/>
    </row>
    <row r="17626" spans="1:12" x14ac:dyDescent="0.25">
      <c r="A17626">
        <v>2576</v>
      </c>
      <c r="B17626" t="s">
        <v>21128</v>
      </c>
      <c r="C17626" t="s">
        <v>2537</v>
      </c>
      <c r="D17626" s="254">
        <v>45.37</v>
      </c>
      <c r="E17626"/>
      <c r="F17626"/>
      <c r="G17626"/>
      <c r="H17626"/>
      <c r="I17626" s="489"/>
      <c r="J17626" s="1362"/>
      <c r="K17626" s="1362"/>
      <c r="L17626" s="1362"/>
    </row>
    <row r="17627" spans="1:12" x14ac:dyDescent="0.25">
      <c r="A17627">
        <v>2575</v>
      </c>
      <c r="B17627" t="s">
        <v>21129</v>
      </c>
      <c r="C17627" t="s">
        <v>2537</v>
      </c>
      <c r="D17627" s="254">
        <v>34.11</v>
      </c>
      <c r="E17627"/>
      <c r="F17627"/>
      <c r="G17627"/>
      <c r="H17627"/>
      <c r="I17627" s="489"/>
      <c r="J17627" s="1362"/>
      <c r="K17627" s="1362"/>
      <c r="L17627" s="1362"/>
    </row>
    <row r="17628" spans="1:12" x14ac:dyDescent="0.25">
      <c r="A17628">
        <v>2573</v>
      </c>
      <c r="B17628" t="s">
        <v>21130</v>
      </c>
      <c r="C17628" t="s">
        <v>2537</v>
      </c>
      <c r="D17628" s="254">
        <v>14.16</v>
      </c>
      <c r="E17628"/>
      <c r="F17628"/>
      <c r="G17628"/>
      <c r="H17628"/>
      <c r="I17628" s="489"/>
      <c r="J17628" s="1362"/>
      <c r="K17628" s="1362"/>
      <c r="L17628" s="1362"/>
    </row>
    <row r="17629" spans="1:12" x14ac:dyDescent="0.25">
      <c r="A17629">
        <v>2586</v>
      </c>
      <c r="B17629" t="s">
        <v>21131</v>
      </c>
      <c r="C17629" t="s">
        <v>2537</v>
      </c>
      <c r="D17629" s="254">
        <v>22.96</v>
      </c>
      <c r="E17629"/>
      <c r="F17629"/>
      <c r="G17629"/>
      <c r="H17629"/>
      <c r="I17629" s="489"/>
      <c r="J17629" s="1362"/>
      <c r="K17629" s="1362"/>
      <c r="L17629" s="1362"/>
    </row>
    <row r="17630" spans="1:12" x14ac:dyDescent="0.25">
      <c r="A17630">
        <v>2577</v>
      </c>
      <c r="B17630" t="s">
        <v>21132</v>
      </c>
      <c r="C17630" t="s">
        <v>2537</v>
      </c>
      <c r="D17630" s="254">
        <v>61.48</v>
      </c>
      <c r="E17630"/>
      <c r="F17630"/>
      <c r="G17630"/>
      <c r="H17630"/>
      <c r="I17630" s="489"/>
      <c r="J17630" s="1362"/>
      <c r="K17630" s="1362"/>
      <c r="L17630" s="1362"/>
    </row>
    <row r="17631" spans="1:12" x14ac:dyDescent="0.25">
      <c r="A17631">
        <v>2574</v>
      </c>
      <c r="B17631" t="s">
        <v>21133</v>
      </c>
      <c r="C17631" t="s">
        <v>2537</v>
      </c>
      <c r="D17631" s="254">
        <v>14.26</v>
      </c>
      <c r="E17631"/>
      <c r="F17631"/>
      <c r="G17631"/>
      <c r="H17631"/>
      <c r="I17631" s="489"/>
      <c r="J17631" s="1362"/>
      <c r="K17631" s="1362"/>
      <c r="L17631" s="1362"/>
    </row>
    <row r="17632" spans="1:12" x14ac:dyDescent="0.25">
      <c r="A17632">
        <v>2578</v>
      </c>
      <c r="B17632" t="s">
        <v>21134</v>
      </c>
      <c r="C17632" t="s">
        <v>2537</v>
      </c>
      <c r="D17632" s="254">
        <v>191.95</v>
      </c>
      <c r="E17632"/>
      <c r="F17632"/>
      <c r="G17632"/>
      <c r="H17632"/>
      <c r="I17632" s="489"/>
      <c r="J17632" s="1362"/>
      <c r="K17632" s="1362"/>
      <c r="L17632" s="1362"/>
    </row>
    <row r="17633" spans="1:12" x14ac:dyDescent="0.25">
      <c r="A17633">
        <v>2585</v>
      </c>
      <c r="B17633" t="s">
        <v>21135</v>
      </c>
      <c r="C17633" t="s">
        <v>2537</v>
      </c>
      <c r="D17633" s="254">
        <v>263.41000000000003</v>
      </c>
      <c r="E17633"/>
      <c r="F17633"/>
      <c r="G17633"/>
      <c r="H17633"/>
      <c r="I17633" s="489"/>
      <c r="J17633" s="1362"/>
      <c r="K17633" s="1362"/>
      <c r="L17633" s="1362"/>
    </row>
    <row r="17634" spans="1:12" x14ac:dyDescent="0.25">
      <c r="A17634">
        <v>12008</v>
      </c>
      <c r="B17634" t="s">
        <v>21136</v>
      </c>
      <c r="C17634" t="s">
        <v>2537</v>
      </c>
      <c r="D17634" s="254">
        <v>141.33000000000001</v>
      </c>
      <c r="E17634"/>
      <c r="F17634"/>
      <c r="G17634"/>
      <c r="H17634"/>
      <c r="I17634" s="489"/>
      <c r="J17634" s="1362"/>
      <c r="K17634" s="1362"/>
      <c r="L17634" s="1362"/>
    </row>
    <row r="17635" spans="1:12" x14ac:dyDescent="0.25">
      <c r="A17635">
        <v>2582</v>
      </c>
      <c r="B17635" t="s">
        <v>21137</v>
      </c>
      <c r="C17635" t="s">
        <v>2537</v>
      </c>
      <c r="D17635" s="254">
        <v>42.09</v>
      </c>
      <c r="E17635"/>
      <c r="F17635"/>
      <c r="G17635"/>
      <c r="H17635"/>
      <c r="I17635" s="489"/>
      <c r="J17635" s="1362"/>
      <c r="K17635" s="1362"/>
      <c r="L17635" s="1362"/>
    </row>
    <row r="17636" spans="1:12" x14ac:dyDescent="0.25">
      <c r="A17636">
        <v>2597</v>
      </c>
      <c r="B17636" t="s">
        <v>21138</v>
      </c>
      <c r="C17636" t="s">
        <v>2537</v>
      </c>
      <c r="D17636" s="254">
        <v>36.07</v>
      </c>
      <c r="E17636"/>
      <c r="F17636"/>
      <c r="G17636"/>
      <c r="H17636"/>
      <c r="I17636" s="489"/>
      <c r="J17636" s="1362"/>
      <c r="K17636" s="1362"/>
      <c r="L17636" s="1362"/>
    </row>
    <row r="17637" spans="1:12" x14ac:dyDescent="0.25">
      <c r="A17637">
        <v>2579</v>
      </c>
      <c r="B17637" t="s">
        <v>21139</v>
      </c>
      <c r="C17637" t="s">
        <v>2537</v>
      </c>
      <c r="D17637" s="254">
        <v>17.170000000000002</v>
      </c>
      <c r="E17637"/>
      <c r="F17637"/>
      <c r="G17637"/>
      <c r="H17637"/>
      <c r="I17637" s="489"/>
      <c r="J17637" s="1362"/>
      <c r="K17637" s="1362"/>
      <c r="L17637" s="1362"/>
    </row>
    <row r="17638" spans="1:12" x14ac:dyDescent="0.25">
      <c r="A17638">
        <v>2581</v>
      </c>
      <c r="B17638" t="s">
        <v>21140</v>
      </c>
      <c r="C17638" t="s">
        <v>2537</v>
      </c>
      <c r="D17638" s="254">
        <v>21.97</v>
      </c>
      <c r="E17638"/>
      <c r="F17638"/>
      <c r="G17638"/>
      <c r="H17638"/>
      <c r="I17638" s="489"/>
      <c r="J17638" s="1362"/>
      <c r="K17638" s="1362"/>
      <c r="L17638" s="1362"/>
    </row>
    <row r="17639" spans="1:12" x14ac:dyDescent="0.25">
      <c r="A17639">
        <v>2596</v>
      </c>
      <c r="B17639" t="s">
        <v>21141</v>
      </c>
      <c r="C17639" t="s">
        <v>2537</v>
      </c>
      <c r="D17639" s="254">
        <v>64.989999999999995</v>
      </c>
      <c r="E17639"/>
      <c r="F17639"/>
      <c r="G17639"/>
      <c r="H17639"/>
      <c r="I17639" s="489"/>
      <c r="J17639" s="1362"/>
      <c r="K17639" s="1362"/>
      <c r="L17639" s="1362"/>
    </row>
    <row r="17640" spans="1:12" x14ac:dyDescent="0.25">
      <c r="A17640">
        <v>2580</v>
      </c>
      <c r="B17640" t="s">
        <v>21142</v>
      </c>
      <c r="C17640" t="s">
        <v>2537</v>
      </c>
      <c r="D17640" s="254">
        <v>18.82</v>
      </c>
      <c r="E17640"/>
      <c r="F17640"/>
      <c r="G17640"/>
      <c r="H17640"/>
      <c r="I17640" s="489"/>
      <c r="J17640" s="1362"/>
      <c r="K17640" s="1362"/>
      <c r="L17640" s="1362"/>
    </row>
    <row r="17641" spans="1:12" x14ac:dyDescent="0.25">
      <c r="A17641">
        <v>2583</v>
      </c>
      <c r="B17641" t="s">
        <v>21143</v>
      </c>
      <c r="C17641" t="s">
        <v>2537</v>
      </c>
      <c r="D17641" s="254">
        <v>158.07</v>
      </c>
      <c r="E17641"/>
      <c r="F17641"/>
      <c r="G17641"/>
      <c r="H17641"/>
      <c r="I17641" s="489"/>
      <c r="J17641" s="1362"/>
      <c r="K17641" s="1362"/>
      <c r="L17641" s="1362"/>
    </row>
    <row r="17642" spans="1:12" x14ac:dyDescent="0.25">
      <c r="A17642">
        <v>2584</v>
      </c>
      <c r="B17642" t="s">
        <v>21144</v>
      </c>
      <c r="C17642" t="s">
        <v>2537</v>
      </c>
      <c r="D17642" s="254">
        <v>263.14</v>
      </c>
      <c r="E17642"/>
      <c r="F17642"/>
      <c r="G17642"/>
      <c r="H17642"/>
      <c r="I17642" s="489"/>
      <c r="J17642" s="1362"/>
      <c r="K17642" s="1362"/>
      <c r="L17642" s="1362"/>
    </row>
    <row r="17643" spans="1:12" x14ac:dyDescent="0.25">
      <c r="A17643">
        <v>12010</v>
      </c>
      <c r="B17643" t="s">
        <v>21145</v>
      </c>
      <c r="C17643" t="s">
        <v>2537</v>
      </c>
      <c r="D17643" s="254">
        <v>10.18</v>
      </c>
      <c r="E17643"/>
      <c r="F17643"/>
      <c r="G17643"/>
      <c r="H17643"/>
      <c r="I17643" s="489"/>
      <c r="J17643" s="1362"/>
      <c r="K17643" s="1362"/>
      <c r="L17643" s="1362"/>
    </row>
    <row r="17644" spans="1:12" x14ac:dyDescent="0.25">
      <c r="A17644">
        <v>39329</v>
      </c>
      <c r="B17644" t="s">
        <v>21146</v>
      </c>
      <c r="C17644" t="s">
        <v>2537</v>
      </c>
      <c r="D17644" s="254">
        <v>10.64</v>
      </c>
      <c r="E17644"/>
      <c r="F17644"/>
      <c r="G17644"/>
      <c r="H17644"/>
      <c r="I17644" s="489"/>
      <c r="J17644" s="1362"/>
      <c r="K17644" s="1362"/>
      <c r="L17644" s="1362"/>
    </row>
    <row r="17645" spans="1:12" x14ac:dyDescent="0.25">
      <c r="A17645">
        <v>39330</v>
      </c>
      <c r="B17645" t="s">
        <v>21147</v>
      </c>
      <c r="C17645" t="s">
        <v>2537</v>
      </c>
      <c r="D17645" s="254">
        <v>11.2</v>
      </c>
      <c r="E17645"/>
      <c r="F17645"/>
      <c r="G17645"/>
      <c r="H17645"/>
      <c r="I17645" s="489"/>
      <c r="J17645" s="1362"/>
      <c r="K17645" s="1362"/>
      <c r="L17645" s="1362"/>
    </row>
    <row r="17646" spans="1:12" x14ac:dyDescent="0.25">
      <c r="A17646">
        <v>39332</v>
      </c>
      <c r="B17646" t="s">
        <v>21148</v>
      </c>
      <c r="C17646" t="s">
        <v>2537</v>
      </c>
      <c r="D17646" s="254">
        <v>12.51</v>
      </c>
      <c r="E17646"/>
      <c r="F17646"/>
      <c r="G17646"/>
      <c r="H17646"/>
      <c r="I17646" s="489"/>
      <c r="J17646" s="1362"/>
      <c r="K17646" s="1362"/>
      <c r="L17646" s="1362"/>
    </row>
    <row r="17647" spans="1:12" x14ac:dyDescent="0.25">
      <c r="A17647">
        <v>39331</v>
      </c>
      <c r="B17647" t="s">
        <v>21149</v>
      </c>
      <c r="C17647" t="s">
        <v>2537</v>
      </c>
      <c r="D17647" s="254">
        <v>9.9600000000000009</v>
      </c>
      <c r="E17647"/>
      <c r="F17647"/>
      <c r="G17647"/>
      <c r="H17647"/>
      <c r="I17647" s="489"/>
      <c r="J17647" s="1362"/>
      <c r="K17647" s="1362"/>
      <c r="L17647" s="1362"/>
    </row>
    <row r="17648" spans="1:12" x14ac:dyDescent="0.25">
      <c r="A17648">
        <v>39333</v>
      </c>
      <c r="B17648" t="s">
        <v>21150</v>
      </c>
      <c r="C17648" t="s">
        <v>2537</v>
      </c>
      <c r="D17648" s="254">
        <v>9.7100000000000009</v>
      </c>
      <c r="E17648"/>
      <c r="F17648"/>
      <c r="G17648"/>
      <c r="H17648"/>
      <c r="I17648" s="489"/>
      <c r="J17648" s="1362"/>
      <c r="K17648" s="1362"/>
      <c r="L17648" s="1362"/>
    </row>
    <row r="17649" spans="1:12" x14ac:dyDescent="0.25">
      <c r="A17649">
        <v>39335</v>
      </c>
      <c r="B17649" t="s">
        <v>21151</v>
      </c>
      <c r="C17649" t="s">
        <v>2537</v>
      </c>
      <c r="D17649" s="254">
        <v>11.24</v>
      </c>
      <c r="E17649"/>
      <c r="F17649"/>
      <c r="G17649"/>
      <c r="H17649"/>
      <c r="I17649" s="489"/>
      <c r="J17649" s="1362"/>
      <c r="K17649" s="1362"/>
      <c r="L17649" s="1362"/>
    </row>
    <row r="17650" spans="1:12" x14ac:dyDescent="0.25">
      <c r="A17650">
        <v>39334</v>
      </c>
      <c r="B17650" t="s">
        <v>21152</v>
      </c>
      <c r="C17650" t="s">
        <v>2537</v>
      </c>
      <c r="D17650" s="254">
        <v>8.93</v>
      </c>
      <c r="E17650"/>
      <c r="F17650"/>
      <c r="G17650"/>
      <c r="H17650"/>
      <c r="I17650" s="489"/>
      <c r="J17650" s="1362"/>
      <c r="K17650" s="1362"/>
      <c r="L17650" s="1362"/>
    </row>
    <row r="17651" spans="1:12" x14ac:dyDescent="0.25">
      <c r="A17651">
        <v>12016</v>
      </c>
      <c r="B17651" t="s">
        <v>21153</v>
      </c>
      <c r="C17651" t="s">
        <v>2537</v>
      </c>
      <c r="D17651" s="254">
        <v>11.21</v>
      </c>
      <c r="E17651"/>
      <c r="F17651"/>
      <c r="G17651"/>
      <c r="H17651"/>
      <c r="I17651" s="489"/>
      <c r="J17651" s="1362"/>
      <c r="K17651" s="1362"/>
      <c r="L17651" s="1362"/>
    </row>
    <row r="17652" spans="1:12" x14ac:dyDescent="0.25">
      <c r="A17652">
        <v>12015</v>
      </c>
      <c r="B17652" t="s">
        <v>21154</v>
      </c>
      <c r="C17652" t="s">
        <v>2537</v>
      </c>
      <c r="D17652" s="254">
        <v>13.05</v>
      </c>
      <c r="E17652"/>
      <c r="F17652"/>
      <c r="G17652"/>
      <c r="H17652"/>
      <c r="I17652" s="489"/>
      <c r="J17652" s="1362"/>
      <c r="K17652" s="1362"/>
      <c r="L17652" s="1362"/>
    </row>
    <row r="17653" spans="1:12" x14ac:dyDescent="0.25">
      <c r="A17653">
        <v>12020</v>
      </c>
      <c r="B17653" t="s">
        <v>21155</v>
      </c>
      <c r="C17653" t="s">
        <v>2537</v>
      </c>
      <c r="D17653" s="254">
        <v>11.21</v>
      </c>
      <c r="E17653"/>
      <c r="F17653"/>
      <c r="G17653"/>
      <c r="H17653"/>
      <c r="I17653" s="489"/>
      <c r="J17653" s="1362"/>
      <c r="K17653" s="1362"/>
      <c r="L17653" s="1362"/>
    </row>
    <row r="17654" spans="1:12" x14ac:dyDescent="0.25">
      <c r="A17654">
        <v>12019</v>
      </c>
      <c r="B17654" t="s">
        <v>21156</v>
      </c>
      <c r="C17654" t="s">
        <v>2537</v>
      </c>
      <c r="D17654" s="254">
        <v>13.05</v>
      </c>
      <c r="E17654"/>
      <c r="F17654"/>
      <c r="G17654"/>
      <c r="H17654"/>
      <c r="I17654" s="489"/>
      <c r="J17654" s="1362"/>
      <c r="K17654" s="1362"/>
      <c r="L17654" s="1362"/>
    </row>
    <row r="17655" spans="1:12" x14ac:dyDescent="0.25">
      <c r="A17655">
        <v>39336</v>
      </c>
      <c r="B17655" t="s">
        <v>21157</v>
      </c>
      <c r="C17655" t="s">
        <v>2537</v>
      </c>
      <c r="D17655" s="254">
        <v>11.2</v>
      </c>
      <c r="E17655"/>
      <c r="F17655"/>
      <c r="G17655"/>
      <c r="H17655"/>
      <c r="I17655" s="489"/>
      <c r="J17655" s="1362"/>
      <c r="K17655" s="1362"/>
      <c r="L17655" s="1362"/>
    </row>
    <row r="17656" spans="1:12" x14ac:dyDescent="0.25">
      <c r="A17656">
        <v>39338</v>
      </c>
      <c r="B17656" t="s">
        <v>21158</v>
      </c>
      <c r="C17656" t="s">
        <v>2537</v>
      </c>
      <c r="D17656" s="254">
        <v>12.51</v>
      </c>
      <c r="E17656"/>
      <c r="F17656"/>
      <c r="G17656"/>
      <c r="H17656"/>
      <c r="I17656" s="489"/>
      <c r="J17656" s="1362"/>
      <c r="K17656" s="1362"/>
      <c r="L17656" s="1362"/>
    </row>
    <row r="17657" spans="1:12" x14ac:dyDescent="0.25">
      <c r="A17657">
        <v>39337</v>
      </c>
      <c r="B17657" t="s">
        <v>21159</v>
      </c>
      <c r="C17657" t="s">
        <v>2537</v>
      </c>
      <c r="D17657" s="254">
        <v>9.9600000000000009</v>
      </c>
      <c r="E17657"/>
      <c r="F17657"/>
      <c r="G17657"/>
      <c r="H17657"/>
      <c r="I17657" s="489"/>
      <c r="J17657" s="1362"/>
      <c r="K17657" s="1362"/>
      <c r="L17657" s="1362"/>
    </row>
    <row r="17658" spans="1:12" x14ac:dyDescent="0.25">
      <c r="A17658">
        <v>39341</v>
      </c>
      <c r="B17658" t="s">
        <v>21160</v>
      </c>
      <c r="C17658" t="s">
        <v>2537</v>
      </c>
      <c r="D17658" s="254">
        <v>16.309999999999999</v>
      </c>
      <c r="E17658"/>
      <c r="F17658"/>
      <c r="G17658"/>
      <c r="H17658"/>
      <c r="I17658" s="489"/>
      <c r="J17658" s="1362"/>
      <c r="K17658" s="1362"/>
      <c r="L17658" s="1362"/>
    </row>
    <row r="17659" spans="1:12" x14ac:dyDescent="0.25">
      <c r="A17659">
        <v>39340</v>
      </c>
      <c r="B17659" t="s">
        <v>21161</v>
      </c>
      <c r="C17659" t="s">
        <v>2537</v>
      </c>
      <c r="D17659" s="254">
        <v>11.97</v>
      </c>
      <c r="E17659"/>
      <c r="F17659"/>
      <c r="G17659"/>
      <c r="H17659"/>
      <c r="I17659" s="489"/>
      <c r="J17659" s="1362"/>
      <c r="K17659" s="1362"/>
      <c r="L17659" s="1362"/>
    </row>
    <row r="17660" spans="1:12" x14ac:dyDescent="0.25">
      <c r="A17660">
        <v>12025</v>
      </c>
      <c r="B17660" t="s">
        <v>21162</v>
      </c>
      <c r="C17660" t="s">
        <v>2537</v>
      </c>
      <c r="D17660" s="254">
        <v>12.37</v>
      </c>
      <c r="E17660"/>
      <c r="F17660"/>
      <c r="G17660"/>
      <c r="H17660"/>
      <c r="I17660" s="489"/>
      <c r="J17660" s="1362"/>
      <c r="K17660" s="1362"/>
      <c r="L17660" s="1362"/>
    </row>
    <row r="17661" spans="1:12" x14ac:dyDescent="0.25">
      <c r="A17661">
        <v>39342</v>
      </c>
      <c r="B17661" t="s">
        <v>21163</v>
      </c>
      <c r="C17661" t="s">
        <v>2537</v>
      </c>
      <c r="D17661" s="254">
        <v>16.309999999999999</v>
      </c>
      <c r="E17661"/>
      <c r="F17661"/>
      <c r="G17661"/>
      <c r="H17661"/>
      <c r="I17661" s="489"/>
      <c r="J17661" s="1362"/>
      <c r="K17661" s="1362"/>
      <c r="L17661" s="1362"/>
    </row>
    <row r="17662" spans="1:12" x14ac:dyDescent="0.25">
      <c r="A17662">
        <v>39343</v>
      </c>
      <c r="B17662" t="s">
        <v>21164</v>
      </c>
      <c r="C17662" t="s">
        <v>2537</v>
      </c>
      <c r="D17662" s="254">
        <v>13.77</v>
      </c>
      <c r="E17662"/>
      <c r="F17662"/>
      <c r="G17662"/>
      <c r="H17662"/>
      <c r="I17662" s="489"/>
      <c r="J17662" s="1362"/>
      <c r="K17662" s="1362"/>
      <c r="L17662" s="1362"/>
    </row>
    <row r="17663" spans="1:12" x14ac:dyDescent="0.25">
      <c r="A17663">
        <v>39345</v>
      </c>
      <c r="B17663" t="s">
        <v>21165</v>
      </c>
      <c r="C17663" t="s">
        <v>2537</v>
      </c>
      <c r="D17663" s="254">
        <v>18.64</v>
      </c>
      <c r="E17663"/>
      <c r="F17663"/>
      <c r="G17663"/>
      <c r="H17663"/>
      <c r="I17663" s="489"/>
      <c r="J17663" s="1362"/>
      <c r="K17663" s="1362"/>
      <c r="L17663" s="1362"/>
    </row>
    <row r="17664" spans="1:12" x14ac:dyDescent="0.25">
      <c r="A17664">
        <v>39344</v>
      </c>
      <c r="B17664" t="s">
        <v>21166</v>
      </c>
      <c r="C17664" t="s">
        <v>2537</v>
      </c>
      <c r="D17664" s="254">
        <v>13.32</v>
      </c>
      <c r="E17664"/>
      <c r="F17664"/>
      <c r="G17664"/>
      <c r="H17664"/>
      <c r="I17664" s="489"/>
      <c r="J17664" s="1362"/>
      <c r="K17664" s="1362"/>
      <c r="L17664" s="1362"/>
    </row>
    <row r="17665" spans="1:12" x14ac:dyDescent="0.25">
      <c r="A17665">
        <v>12623</v>
      </c>
      <c r="B17665" t="s">
        <v>21167</v>
      </c>
      <c r="C17665" t="s">
        <v>2541</v>
      </c>
      <c r="D17665" s="254">
        <v>14.18</v>
      </c>
      <c r="E17665"/>
      <c r="F17665"/>
      <c r="G17665"/>
      <c r="H17665"/>
      <c r="I17665" s="489"/>
      <c r="J17665" s="1362"/>
      <c r="K17665" s="1362"/>
      <c r="L17665" s="1362"/>
    </row>
    <row r="17666" spans="1:12" x14ac:dyDescent="0.25">
      <c r="A17666">
        <v>34498</v>
      </c>
      <c r="B17666" t="s">
        <v>21168</v>
      </c>
      <c r="C17666" t="s">
        <v>2537</v>
      </c>
      <c r="D17666" s="254">
        <v>119.21</v>
      </c>
      <c r="E17666"/>
      <c r="F17666"/>
      <c r="G17666"/>
      <c r="H17666"/>
      <c r="I17666" s="489"/>
      <c r="J17666" s="1362"/>
      <c r="K17666" s="1362"/>
      <c r="L17666" s="1362"/>
    </row>
    <row r="17667" spans="1:12" x14ac:dyDescent="0.25">
      <c r="A17667">
        <v>13244</v>
      </c>
      <c r="B17667" t="s">
        <v>21169</v>
      </c>
      <c r="C17667" t="s">
        <v>2537</v>
      </c>
      <c r="D17667" s="254">
        <v>50.18</v>
      </c>
      <c r="E17667"/>
      <c r="F17667"/>
      <c r="G17667"/>
      <c r="H17667"/>
      <c r="I17667" s="489"/>
      <c r="J17667" s="1362"/>
      <c r="K17667" s="1362"/>
      <c r="L17667" s="1362"/>
    </row>
    <row r="17668" spans="1:12" x14ac:dyDescent="0.25">
      <c r="A17668">
        <v>38998</v>
      </c>
      <c r="B17668" t="s">
        <v>21170</v>
      </c>
      <c r="C17668" t="s">
        <v>2537</v>
      </c>
      <c r="D17668" s="254">
        <v>13.37</v>
      </c>
      <c r="E17668"/>
      <c r="F17668"/>
      <c r="G17668"/>
      <c r="H17668"/>
      <c r="I17668" s="489"/>
      <c r="J17668" s="1362"/>
      <c r="K17668" s="1362"/>
      <c r="L17668" s="1362"/>
    </row>
    <row r="17669" spans="1:12" x14ac:dyDescent="0.25">
      <c r="A17669">
        <v>38999</v>
      </c>
      <c r="B17669" t="s">
        <v>21171</v>
      </c>
      <c r="C17669" t="s">
        <v>2537</v>
      </c>
      <c r="D17669" s="254">
        <v>22.13</v>
      </c>
      <c r="E17669"/>
      <c r="F17669"/>
      <c r="G17669"/>
      <c r="H17669"/>
      <c r="I17669" s="489"/>
      <c r="J17669" s="1362"/>
      <c r="K17669" s="1362"/>
      <c r="L17669" s="1362"/>
    </row>
    <row r="17670" spans="1:12" x14ac:dyDescent="0.25">
      <c r="A17670">
        <v>38996</v>
      </c>
      <c r="B17670" t="s">
        <v>21172</v>
      </c>
      <c r="C17670" t="s">
        <v>2537</v>
      </c>
      <c r="D17670" s="254">
        <v>19.32</v>
      </c>
      <c r="E17670"/>
      <c r="F17670"/>
      <c r="G17670"/>
      <c r="H17670"/>
      <c r="I17670" s="489"/>
      <c r="J17670" s="1362"/>
      <c r="K17670" s="1362"/>
      <c r="L17670" s="1362"/>
    </row>
    <row r="17671" spans="1:12" x14ac:dyDescent="0.25">
      <c r="A17671">
        <v>38997</v>
      </c>
      <c r="B17671" t="s">
        <v>21173</v>
      </c>
      <c r="C17671" t="s">
        <v>2537</v>
      </c>
      <c r="D17671" s="254">
        <v>31.27</v>
      </c>
      <c r="E17671"/>
      <c r="F17671"/>
      <c r="G17671"/>
      <c r="H17671"/>
      <c r="I17671" s="489"/>
      <c r="J17671" s="1362"/>
      <c r="K17671" s="1362"/>
      <c r="L17671" s="1362"/>
    </row>
    <row r="17672" spans="1:12" x14ac:dyDescent="0.25">
      <c r="A17672">
        <v>39600</v>
      </c>
      <c r="B17672" t="s">
        <v>21174</v>
      </c>
      <c r="C17672" t="s">
        <v>2537</v>
      </c>
      <c r="D17672" s="254">
        <v>17.350000000000001</v>
      </c>
      <c r="E17672"/>
      <c r="F17672"/>
      <c r="G17672"/>
      <c r="H17672"/>
      <c r="I17672" s="489"/>
      <c r="J17672" s="1362"/>
      <c r="K17672" s="1362"/>
      <c r="L17672" s="1362"/>
    </row>
    <row r="17673" spans="1:12" x14ac:dyDescent="0.25">
      <c r="A17673">
        <v>39601</v>
      </c>
      <c r="B17673" t="s">
        <v>21175</v>
      </c>
      <c r="C17673" t="s">
        <v>2537</v>
      </c>
      <c r="D17673" s="254">
        <v>36.81</v>
      </c>
      <c r="E17673"/>
      <c r="F17673"/>
      <c r="G17673"/>
      <c r="H17673"/>
      <c r="I17673" s="489"/>
      <c r="J17673" s="1362"/>
      <c r="K17673" s="1362"/>
      <c r="L17673" s="1362"/>
    </row>
    <row r="17674" spans="1:12" x14ac:dyDescent="0.25">
      <c r="A17674">
        <v>39862</v>
      </c>
      <c r="B17674" t="s">
        <v>21176</v>
      </c>
      <c r="C17674" t="s">
        <v>2537</v>
      </c>
      <c r="D17674" s="254">
        <v>13.23</v>
      </c>
      <c r="E17674"/>
      <c r="F17674"/>
      <c r="G17674"/>
      <c r="H17674"/>
      <c r="I17674" s="489"/>
      <c r="J17674" s="1362"/>
      <c r="K17674" s="1362"/>
      <c r="L17674" s="1362"/>
    </row>
    <row r="17675" spans="1:12" x14ac:dyDescent="0.25">
      <c r="A17675">
        <v>39863</v>
      </c>
      <c r="B17675" t="s">
        <v>21177</v>
      </c>
      <c r="C17675" t="s">
        <v>2537</v>
      </c>
      <c r="D17675" s="254">
        <v>13.41</v>
      </c>
      <c r="E17675"/>
      <c r="F17675"/>
      <c r="G17675"/>
      <c r="H17675"/>
      <c r="I17675" s="489"/>
      <c r="J17675" s="1362"/>
      <c r="K17675" s="1362"/>
      <c r="L17675" s="1362"/>
    </row>
    <row r="17676" spans="1:12" x14ac:dyDescent="0.25">
      <c r="A17676">
        <v>39864</v>
      </c>
      <c r="B17676" t="s">
        <v>21178</v>
      </c>
      <c r="C17676" t="s">
        <v>2537</v>
      </c>
      <c r="D17676" s="254">
        <v>16.64</v>
      </c>
      <c r="E17676"/>
      <c r="F17676"/>
      <c r="G17676"/>
      <c r="H17676"/>
      <c r="I17676" s="489"/>
      <c r="J17676" s="1362"/>
      <c r="K17676" s="1362"/>
      <c r="L17676" s="1362"/>
    </row>
    <row r="17677" spans="1:12" x14ac:dyDescent="0.25">
      <c r="A17677">
        <v>39865</v>
      </c>
      <c r="B17677" t="s">
        <v>21179</v>
      </c>
      <c r="C17677" t="s">
        <v>2537</v>
      </c>
      <c r="D17677" s="254">
        <v>23.46</v>
      </c>
      <c r="E17677"/>
      <c r="F17677"/>
      <c r="G17677"/>
      <c r="H17677"/>
      <c r="I17677" s="489"/>
      <c r="J17677" s="1362"/>
      <c r="K17677" s="1362"/>
      <c r="L17677" s="1362"/>
    </row>
    <row r="17678" spans="1:12" x14ac:dyDescent="0.25">
      <c r="A17678">
        <v>2517</v>
      </c>
      <c r="B17678" t="s">
        <v>21180</v>
      </c>
      <c r="C17678" t="s">
        <v>2537</v>
      </c>
      <c r="D17678" s="254">
        <v>26.22</v>
      </c>
      <c r="E17678"/>
      <c r="F17678"/>
      <c r="G17678"/>
      <c r="H17678"/>
      <c r="I17678" s="489"/>
      <c r="J17678" s="1362"/>
      <c r="K17678" s="1362"/>
      <c r="L17678" s="1362"/>
    </row>
    <row r="17679" spans="1:12" x14ac:dyDescent="0.25">
      <c r="A17679">
        <v>2522</v>
      </c>
      <c r="B17679" t="s">
        <v>21181</v>
      </c>
      <c r="C17679" t="s">
        <v>2537</v>
      </c>
      <c r="D17679" s="254">
        <v>16.940000000000001</v>
      </c>
      <c r="E17679"/>
      <c r="F17679"/>
      <c r="G17679"/>
      <c r="H17679"/>
      <c r="I17679" s="489"/>
      <c r="J17679" s="1362"/>
      <c r="K17679" s="1362"/>
      <c r="L17679" s="1362"/>
    </row>
    <row r="17680" spans="1:12" x14ac:dyDescent="0.25">
      <c r="A17680">
        <v>2548</v>
      </c>
      <c r="B17680" t="s">
        <v>21182</v>
      </c>
      <c r="C17680" t="s">
        <v>2537</v>
      </c>
      <c r="D17680" s="254">
        <v>10.42</v>
      </c>
      <c r="E17680"/>
      <c r="F17680"/>
      <c r="G17680"/>
      <c r="H17680"/>
      <c r="I17680" s="489"/>
      <c r="J17680" s="1362"/>
      <c r="K17680" s="1362"/>
      <c r="L17680" s="1362"/>
    </row>
    <row r="17681" spans="1:12" x14ac:dyDescent="0.25">
      <c r="A17681">
        <v>2516</v>
      </c>
      <c r="B17681" t="s">
        <v>21183</v>
      </c>
      <c r="C17681" t="s">
        <v>2537</v>
      </c>
      <c r="D17681" s="254">
        <v>13.6</v>
      </c>
      <c r="E17681"/>
      <c r="F17681"/>
      <c r="G17681"/>
      <c r="H17681"/>
      <c r="I17681" s="489"/>
      <c r="J17681" s="1362"/>
      <c r="K17681" s="1362"/>
      <c r="L17681" s="1362"/>
    </row>
    <row r="17682" spans="1:12" x14ac:dyDescent="0.25">
      <c r="A17682">
        <v>2518</v>
      </c>
      <c r="B17682" t="s">
        <v>21184</v>
      </c>
      <c r="C17682" t="s">
        <v>2537</v>
      </c>
      <c r="D17682" s="254">
        <v>124.79</v>
      </c>
      <c r="E17682"/>
      <c r="F17682"/>
      <c r="G17682"/>
      <c r="H17682"/>
      <c r="I17682" s="489"/>
      <c r="J17682" s="1362"/>
      <c r="K17682" s="1362"/>
      <c r="L17682" s="1362"/>
    </row>
    <row r="17683" spans="1:12" x14ac:dyDescent="0.25">
      <c r="A17683">
        <v>2521</v>
      </c>
      <c r="B17683" t="s">
        <v>21185</v>
      </c>
      <c r="C17683" t="s">
        <v>2537</v>
      </c>
      <c r="D17683" s="254">
        <v>53.12</v>
      </c>
      <c r="E17683"/>
      <c r="F17683"/>
      <c r="G17683"/>
      <c r="H17683"/>
      <c r="I17683" s="489"/>
      <c r="J17683" s="1362"/>
      <c r="K17683" s="1362"/>
      <c r="L17683" s="1362"/>
    </row>
    <row r="17684" spans="1:12" x14ac:dyDescent="0.25">
      <c r="A17684">
        <v>2515</v>
      </c>
      <c r="B17684" t="s">
        <v>21186</v>
      </c>
      <c r="C17684" t="s">
        <v>2537</v>
      </c>
      <c r="D17684" s="254">
        <v>11.32</v>
      </c>
      <c r="E17684"/>
      <c r="F17684"/>
      <c r="G17684"/>
      <c r="H17684"/>
      <c r="I17684" s="489"/>
      <c r="J17684" s="1362"/>
      <c r="K17684" s="1362"/>
      <c r="L17684" s="1362"/>
    </row>
    <row r="17685" spans="1:12" x14ac:dyDescent="0.25">
      <c r="A17685">
        <v>2519</v>
      </c>
      <c r="B17685" t="s">
        <v>21187</v>
      </c>
      <c r="C17685" t="s">
        <v>2537</v>
      </c>
      <c r="D17685" s="254">
        <v>150.47</v>
      </c>
      <c r="E17685"/>
      <c r="F17685"/>
      <c r="G17685"/>
      <c r="H17685"/>
      <c r="I17685" s="489"/>
      <c r="J17685" s="1362"/>
      <c r="K17685" s="1362"/>
      <c r="L17685" s="1362"/>
    </row>
    <row r="17686" spans="1:12" x14ac:dyDescent="0.25">
      <c r="A17686">
        <v>2520</v>
      </c>
      <c r="B17686" t="s">
        <v>21188</v>
      </c>
      <c r="C17686" t="s">
        <v>2537</v>
      </c>
      <c r="D17686" s="254">
        <v>276.95</v>
      </c>
      <c r="E17686"/>
      <c r="F17686"/>
      <c r="G17686"/>
      <c r="H17686"/>
      <c r="I17686" s="489"/>
      <c r="J17686" s="1362"/>
      <c r="K17686" s="1362"/>
      <c r="L17686" s="1362"/>
    </row>
    <row r="17687" spans="1:12" x14ac:dyDescent="0.25">
      <c r="A17687">
        <v>1602</v>
      </c>
      <c r="B17687" t="s">
        <v>21189</v>
      </c>
      <c r="C17687" t="s">
        <v>2537</v>
      </c>
      <c r="D17687" s="254">
        <v>47.88</v>
      </c>
      <c r="E17687"/>
      <c r="F17687"/>
      <c r="G17687"/>
      <c r="H17687"/>
      <c r="I17687" s="489"/>
      <c r="J17687" s="1362"/>
      <c r="K17687" s="1362"/>
      <c r="L17687" s="1362"/>
    </row>
    <row r="17688" spans="1:12" x14ac:dyDescent="0.25">
      <c r="A17688">
        <v>1601</v>
      </c>
      <c r="B17688" t="s">
        <v>21190</v>
      </c>
      <c r="C17688" t="s">
        <v>2537</v>
      </c>
      <c r="D17688" s="254">
        <v>42.68</v>
      </c>
      <c r="E17688"/>
      <c r="F17688"/>
      <c r="G17688"/>
      <c r="H17688"/>
      <c r="I17688" s="489"/>
      <c r="J17688" s="1362"/>
      <c r="K17688" s="1362"/>
      <c r="L17688" s="1362"/>
    </row>
    <row r="17689" spans="1:12" x14ac:dyDescent="0.25">
      <c r="A17689">
        <v>1598</v>
      </c>
      <c r="B17689" t="s">
        <v>21191</v>
      </c>
      <c r="C17689" t="s">
        <v>2537</v>
      </c>
      <c r="D17689" s="254">
        <v>12.63</v>
      </c>
      <c r="E17689"/>
      <c r="F17689"/>
      <c r="G17689"/>
      <c r="H17689"/>
      <c r="I17689" s="489"/>
      <c r="J17689" s="1362"/>
      <c r="K17689" s="1362"/>
      <c r="L17689" s="1362"/>
    </row>
    <row r="17690" spans="1:12" x14ac:dyDescent="0.25">
      <c r="A17690">
        <v>1600</v>
      </c>
      <c r="B17690" t="s">
        <v>21192</v>
      </c>
      <c r="C17690" t="s">
        <v>2537</v>
      </c>
      <c r="D17690" s="254">
        <v>18.64</v>
      </c>
      <c r="E17690"/>
      <c r="F17690"/>
      <c r="G17690"/>
      <c r="H17690"/>
      <c r="I17690" s="489"/>
      <c r="J17690" s="1362"/>
      <c r="K17690" s="1362"/>
      <c r="L17690" s="1362"/>
    </row>
    <row r="17691" spans="1:12" x14ac:dyDescent="0.25">
      <c r="A17691">
        <v>1603</v>
      </c>
      <c r="B17691" t="s">
        <v>21193</v>
      </c>
      <c r="C17691" t="s">
        <v>2537</v>
      </c>
      <c r="D17691" s="254">
        <v>72.3</v>
      </c>
      <c r="E17691"/>
      <c r="F17691"/>
      <c r="G17691"/>
      <c r="H17691"/>
      <c r="I17691" s="489"/>
      <c r="J17691" s="1362"/>
      <c r="K17691" s="1362"/>
      <c r="L17691" s="1362"/>
    </row>
    <row r="17692" spans="1:12" x14ac:dyDescent="0.25">
      <c r="A17692">
        <v>1599</v>
      </c>
      <c r="B17692" t="s">
        <v>21194</v>
      </c>
      <c r="C17692" t="s">
        <v>2537</v>
      </c>
      <c r="D17692" s="254">
        <v>14.65</v>
      </c>
      <c r="E17692"/>
      <c r="F17692"/>
      <c r="G17692"/>
      <c r="H17692"/>
      <c r="I17692" s="489"/>
      <c r="J17692" s="1362"/>
      <c r="K17692" s="1362"/>
      <c r="L17692" s="1362"/>
    </row>
    <row r="17693" spans="1:12" x14ac:dyDescent="0.25">
      <c r="A17693">
        <v>1597</v>
      </c>
      <c r="B17693" t="s">
        <v>21195</v>
      </c>
      <c r="C17693" t="s">
        <v>2537</v>
      </c>
      <c r="D17693" s="254">
        <v>11.87</v>
      </c>
      <c r="E17693"/>
      <c r="F17693"/>
      <c r="G17693"/>
      <c r="H17693"/>
      <c r="I17693" s="489"/>
      <c r="J17693" s="1362"/>
      <c r="K17693" s="1362"/>
      <c r="L17693" s="1362"/>
    </row>
    <row r="17694" spans="1:12" x14ac:dyDescent="0.25">
      <c r="A17694">
        <v>39602</v>
      </c>
      <c r="B17694" t="s">
        <v>21196</v>
      </c>
      <c r="C17694" t="s">
        <v>2537</v>
      </c>
      <c r="D17694" s="254">
        <v>1.84</v>
      </c>
      <c r="E17694"/>
      <c r="F17694"/>
      <c r="G17694"/>
      <c r="H17694"/>
      <c r="I17694" s="489"/>
      <c r="J17694" s="1362"/>
      <c r="K17694" s="1362"/>
      <c r="L17694" s="1362"/>
    </row>
    <row r="17695" spans="1:12" x14ac:dyDescent="0.25">
      <c r="A17695">
        <v>39603</v>
      </c>
      <c r="B17695" t="s">
        <v>21197</v>
      </c>
      <c r="C17695" t="s">
        <v>2537</v>
      </c>
      <c r="D17695" s="254">
        <v>3.92</v>
      </c>
      <c r="E17695"/>
      <c r="F17695"/>
      <c r="G17695"/>
      <c r="H17695"/>
      <c r="I17695" s="489"/>
      <c r="J17695" s="1362"/>
      <c r="K17695" s="1362"/>
      <c r="L17695" s="1362"/>
    </row>
    <row r="17696" spans="1:12" x14ac:dyDescent="0.25">
      <c r="A17696">
        <v>11821</v>
      </c>
      <c r="B17696" t="s">
        <v>21198</v>
      </c>
      <c r="C17696" t="s">
        <v>2537</v>
      </c>
      <c r="D17696" s="254">
        <v>9.75</v>
      </c>
      <c r="E17696"/>
      <c r="F17696"/>
      <c r="G17696"/>
      <c r="H17696"/>
      <c r="I17696" s="489"/>
      <c r="J17696" s="1362"/>
      <c r="K17696" s="1362"/>
      <c r="L17696" s="1362"/>
    </row>
    <row r="17697" spans="1:12" x14ac:dyDescent="0.25">
      <c r="A17697">
        <v>1562</v>
      </c>
      <c r="B17697" t="s">
        <v>21199</v>
      </c>
      <c r="C17697" t="s">
        <v>2537</v>
      </c>
      <c r="D17697" s="254">
        <v>15.97</v>
      </c>
      <c r="E17697"/>
      <c r="F17697"/>
      <c r="G17697"/>
      <c r="H17697"/>
      <c r="I17697" s="489"/>
      <c r="J17697" s="1362"/>
      <c r="K17697" s="1362"/>
      <c r="L17697" s="1362"/>
    </row>
    <row r="17698" spans="1:12" x14ac:dyDescent="0.25">
      <c r="A17698">
        <v>1563</v>
      </c>
      <c r="B17698" t="s">
        <v>21200</v>
      </c>
      <c r="C17698" t="s">
        <v>2537</v>
      </c>
      <c r="D17698" s="254">
        <v>21.43</v>
      </c>
      <c r="E17698"/>
      <c r="F17698"/>
      <c r="G17698"/>
      <c r="H17698"/>
      <c r="I17698" s="489"/>
      <c r="J17698" s="1362"/>
      <c r="K17698" s="1362"/>
      <c r="L17698" s="1362"/>
    </row>
    <row r="17699" spans="1:12" x14ac:dyDescent="0.25">
      <c r="A17699">
        <v>11856</v>
      </c>
      <c r="B17699" t="s">
        <v>21201</v>
      </c>
      <c r="C17699" t="s">
        <v>2537</v>
      </c>
      <c r="D17699" s="254">
        <v>6.39</v>
      </c>
      <c r="E17699"/>
      <c r="F17699"/>
      <c r="G17699"/>
      <c r="H17699"/>
      <c r="I17699" s="489"/>
      <c r="J17699" s="1362"/>
      <c r="K17699" s="1362"/>
      <c r="L17699" s="1362"/>
    </row>
    <row r="17700" spans="1:12" x14ac:dyDescent="0.25">
      <c r="A17700">
        <v>11857</v>
      </c>
      <c r="B17700" t="s">
        <v>21202</v>
      </c>
      <c r="C17700" t="s">
        <v>2537</v>
      </c>
      <c r="D17700" s="254">
        <v>33.630000000000003</v>
      </c>
      <c r="E17700"/>
      <c r="F17700"/>
      <c r="G17700"/>
      <c r="H17700"/>
      <c r="I17700" s="489"/>
      <c r="J17700" s="1362"/>
      <c r="K17700" s="1362"/>
      <c r="L17700" s="1362"/>
    </row>
    <row r="17701" spans="1:12" x14ac:dyDescent="0.25">
      <c r="A17701">
        <v>11858</v>
      </c>
      <c r="B17701" t="s">
        <v>21203</v>
      </c>
      <c r="C17701" t="s">
        <v>2537</v>
      </c>
      <c r="D17701" s="254">
        <v>41.74</v>
      </c>
      <c r="E17701"/>
      <c r="F17701"/>
      <c r="G17701"/>
      <c r="H17701"/>
      <c r="I17701" s="489"/>
      <c r="J17701" s="1362"/>
      <c r="K17701" s="1362"/>
      <c r="L17701" s="1362"/>
    </row>
    <row r="17702" spans="1:12" x14ac:dyDescent="0.25">
      <c r="A17702">
        <v>1539</v>
      </c>
      <c r="B17702" t="s">
        <v>21204</v>
      </c>
      <c r="C17702" t="s">
        <v>2537</v>
      </c>
      <c r="D17702" s="254">
        <v>7.51</v>
      </c>
      <c r="E17702"/>
      <c r="F17702"/>
      <c r="G17702"/>
      <c r="H17702"/>
      <c r="I17702" s="489"/>
      <c r="J17702" s="1362"/>
      <c r="K17702" s="1362"/>
      <c r="L17702" s="1362"/>
    </row>
    <row r="17703" spans="1:12" x14ac:dyDescent="0.25">
      <c r="A17703">
        <v>11859</v>
      </c>
      <c r="B17703" t="s">
        <v>21205</v>
      </c>
      <c r="C17703" t="s">
        <v>2537</v>
      </c>
      <c r="D17703" s="254">
        <v>56.79</v>
      </c>
      <c r="E17703"/>
      <c r="F17703"/>
      <c r="G17703"/>
      <c r="H17703"/>
      <c r="I17703" s="489"/>
      <c r="J17703" s="1362"/>
      <c r="K17703" s="1362"/>
      <c r="L17703" s="1362"/>
    </row>
    <row r="17704" spans="1:12" x14ac:dyDescent="0.25">
      <c r="A17704">
        <v>1550</v>
      </c>
      <c r="B17704" t="s">
        <v>21206</v>
      </c>
      <c r="C17704" t="s">
        <v>2537</v>
      </c>
      <c r="D17704" s="254">
        <v>7.92</v>
      </c>
      <c r="E17704"/>
      <c r="F17704"/>
      <c r="G17704"/>
      <c r="H17704"/>
      <c r="I17704" s="489"/>
      <c r="J17704" s="1362"/>
      <c r="K17704" s="1362"/>
      <c r="L17704" s="1362"/>
    </row>
    <row r="17705" spans="1:12" x14ac:dyDescent="0.25">
      <c r="A17705">
        <v>11854</v>
      </c>
      <c r="B17705" t="s">
        <v>21207</v>
      </c>
      <c r="C17705" t="s">
        <v>2537</v>
      </c>
      <c r="D17705" s="254">
        <v>9.9</v>
      </c>
      <c r="E17705"/>
      <c r="F17705"/>
      <c r="G17705"/>
      <c r="H17705"/>
      <c r="I17705" s="489"/>
      <c r="J17705" s="1362"/>
      <c r="K17705" s="1362"/>
      <c r="L17705" s="1362"/>
    </row>
    <row r="17706" spans="1:12" x14ac:dyDescent="0.25">
      <c r="A17706">
        <v>11862</v>
      </c>
      <c r="B17706" t="s">
        <v>21208</v>
      </c>
      <c r="C17706" t="s">
        <v>2537</v>
      </c>
      <c r="D17706" s="254">
        <v>13.88</v>
      </c>
      <c r="E17706"/>
      <c r="F17706"/>
      <c r="G17706"/>
      <c r="H17706"/>
      <c r="I17706" s="489"/>
      <c r="J17706" s="1362"/>
      <c r="K17706" s="1362"/>
      <c r="L17706" s="1362"/>
    </row>
    <row r="17707" spans="1:12" x14ac:dyDescent="0.25">
      <c r="A17707">
        <v>11863</v>
      </c>
      <c r="B17707" t="s">
        <v>21209</v>
      </c>
      <c r="C17707" t="s">
        <v>2537</v>
      </c>
      <c r="D17707" s="254">
        <v>5.6</v>
      </c>
      <c r="E17707"/>
      <c r="F17707"/>
      <c r="G17707"/>
      <c r="H17707"/>
      <c r="I17707" s="489"/>
      <c r="J17707" s="1362"/>
      <c r="K17707" s="1362"/>
      <c r="L17707" s="1362"/>
    </row>
    <row r="17708" spans="1:12" x14ac:dyDescent="0.25">
      <c r="A17708">
        <v>11855</v>
      </c>
      <c r="B17708" t="s">
        <v>21210</v>
      </c>
      <c r="C17708" t="s">
        <v>2537</v>
      </c>
      <c r="D17708" s="254">
        <v>20.73</v>
      </c>
      <c r="E17708"/>
      <c r="F17708"/>
      <c r="G17708"/>
      <c r="H17708"/>
      <c r="I17708" s="489"/>
      <c r="J17708" s="1362"/>
      <c r="K17708" s="1362"/>
      <c r="L17708" s="1362"/>
    </row>
    <row r="17709" spans="1:12" x14ac:dyDescent="0.25">
      <c r="A17709">
        <v>11864</v>
      </c>
      <c r="B17709" t="s">
        <v>21211</v>
      </c>
      <c r="C17709" t="s">
        <v>2537</v>
      </c>
      <c r="D17709" s="254">
        <v>31.34</v>
      </c>
      <c r="E17709"/>
      <c r="F17709"/>
      <c r="G17709"/>
      <c r="H17709"/>
      <c r="I17709" s="489"/>
      <c r="J17709" s="1362"/>
      <c r="K17709" s="1362"/>
      <c r="L17709" s="1362"/>
    </row>
    <row r="17710" spans="1:12" x14ac:dyDescent="0.25">
      <c r="A17710">
        <v>2527</v>
      </c>
      <c r="B17710" t="s">
        <v>21212</v>
      </c>
      <c r="C17710" t="s">
        <v>2537</v>
      </c>
      <c r="D17710" s="254">
        <v>9.3800000000000008</v>
      </c>
      <c r="E17710"/>
      <c r="F17710"/>
      <c r="G17710"/>
      <c r="H17710"/>
      <c r="I17710" s="489"/>
      <c r="J17710" s="1362"/>
      <c r="K17710" s="1362"/>
      <c r="L17710" s="1362"/>
    </row>
    <row r="17711" spans="1:12" x14ac:dyDescent="0.25">
      <c r="A17711">
        <v>2526</v>
      </c>
      <c r="B17711" t="s">
        <v>21213</v>
      </c>
      <c r="C17711" t="s">
        <v>2537</v>
      </c>
      <c r="D17711" s="254">
        <v>6.01</v>
      </c>
      <c r="E17711"/>
      <c r="F17711"/>
      <c r="G17711"/>
      <c r="H17711"/>
      <c r="I17711" s="489"/>
      <c r="J17711" s="1362"/>
      <c r="K17711" s="1362"/>
      <c r="L17711" s="1362"/>
    </row>
    <row r="17712" spans="1:12" x14ac:dyDescent="0.25">
      <c r="A17712">
        <v>2487</v>
      </c>
      <c r="B17712" t="s">
        <v>21214</v>
      </c>
      <c r="C17712" t="s">
        <v>2537</v>
      </c>
      <c r="D17712" s="254">
        <v>2.0499999999999998</v>
      </c>
      <c r="E17712"/>
      <c r="F17712"/>
      <c r="G17712"/>
      <c r="H17712"/>
      <c r="I17712" s="489"/>
      <c r="J17712" s="1362"/>
      <c r="K17712" s="1362"/>
      <c r="L17712" s="1362"/>
    </row>
    <row r="17713" spans="1:12" x14ac:dyDescent="0.25">
      <c r="A17713">
        <v>2483</v>
      </c>
      <c r="B17713" t="s">
        <v>21215</v>
      </c>
      <c r="C17713" t="s">
        <v>2537</v>
      </c>
      <c r="D17713" s="254">
        <v>4.28</v>
      </c>
      <c r="E17713"/>
      <c r="F17713"/>
      <c r="G17713"/>
      <c r="H17713"/>
      <c r="I17713" s="489"/>
      <c r="J17713" s="1362"/>
      <c r="K17713" s="1362"/>
      <c r="L17713" s="1362"/>
    </row>
    <row r="17714" spans="1:12" x14ac:dyDescent="0.25">
      <c r="A17714">
        <v>2528</v>
      </c>
      <c r="B17714" t="s">
        <v>21216</v>
      </c>
      <c r="C17714" t="s">
        <v>2537</v>
      </c>
      <c r="D17714" s="254">
        <v>23.61</v>
      </c>
      <c r="E17714"/>
      <c r="F17714"/>
      <c r="G17714"/>
      <c r="H17714"/>
      <c r="I17714" s="489"/>
      <c r="J17714" s="1362"/>
      <c r="K17714" s="1362"/>
      <c r="L17714" s="1362"/>
    </row>
    <row r="17715" spans="1:12" x14ac:dyDescent="0.25">
      <c r="A17715">
        <v>2489</v>
      </c>
      <c r="B17715" t="s">
        <v>21217</v>
      </c>
      <c r="C17715" t="s">
        <v>2537</v>
      </c>
      <c r="D17715" s="254">
        <v>10.4</v>
      </c>
      <c r="E17715"/>
      <c r="F17715"/>
      <c r="G17715"/>
      <c r="H17715"/>
      <c r="I17715" s="489"/>
      <c r="J17715" s="1362"/>
      <c r="K17715" s="1362"/>
      <c r="L17715" s="1362"/>
    </row>
    <row r="17716" spans="1:12" x14ac:dyDescent="0.25">
      <c r="A17716">
        <v>2488</v>
      </c>
      <c r="B17716" t="s">
        <v>21218</v>
      </c>
      <c r="C17716" t="s">
        <v>2537</v>
      </c>
      <c r="D17716" s="254">
        <v>2.4</v>
      </c>
      <c r="E17716"/>
      <c r="F17716"/>
      <c r="G17716"/>
      <c r="H17716"/>
      <c r="I17716" s="489"/>
      <c r="J17716" s="1362"/>
      <c r="K17716" s="1362"/>
      <c r="L17716" s="1362"/>
    </row>
    <row r="17717" spans="1:12" x14ac:dyDescent="0.25">
      <c r="A17717">
        <v>2484</v>
      </c>
      <c r="B17717" t="s">
        <v>21219</v>
      </c>
      <c r="C17717" t="s">
        <v>2537</v>
      </c>
      <c r="D17717" s="254">
        <v>34.299999999999997</v>
      </c>
      <c r="E17717"/>
      <c r="F17717"/>
      <c r="G17717"/>
      <c r="H17717"/>
      <c r="I17717" s="489"/>
      <c r="J17717" s="1362"/>
      <c r="K17717" s="1362"/>
      <c r="L17717" s="1362"/>
    </row>
    <row r="17718" spans="1:12" x14ac:dyDescent="0.25">
      <c r="A17718">
        <v>2485</v>
      </c>
      <c r="B17718" t="s">
        <v>21220</v>
      </c>
      <c r="C17718" t="s">
        <v>2537</v>
      </c>
      <c r="D17718" s="254">
        <v>53.75</v>
      </c>
      <c r="E17718"/>
      <c r="F17718"/>
      <c r="G17718"/>
      <c r="H17718"/>
      <c r="I17718" s="489"/>
      <c r="J17718" s="1362"/>
      <c r="K17718" s="1362"/>
      <c r="L17718" s="1362"/>
    </row>
    <row r="17719" spans="1:12" x14ac:dyDescent="0.25">
      <c r="A17719">
        <v>38005</v>
      </c>
      <c r="B17719" t="s">
        <v>21221</v>
      </c>
      <c r="C17719" t="s">
        <v>2537</v>
      </c>
      <c r="D17719" s="254">
        <v>16.440000000000001</v>
      </c>
      <c r="E17719"/>
      <c r="F17719"/>
      <c r="G17719"/>
      <c r="H17719"/>
      <c r="I17719" s="489"/>
      <c r="J17719" s="1362"/>
      <c r="K17719" s="1362"/>
      <c r="L17719" s="1362"/>
    </row>
    <row r="17720" spans="1:12" x14ac:dyDescent="0.25">
      <c r="A17720">
        <v>38006</v>
      </c>
      <c r="B17720" t="s">
        <v>21222</v>
      </c>
      <c r="C17720" t="s">
        <v>2537</v>
      </c>
      <c r="D17720" s="254">
        <v>20.170000000000002</v>
      </c>
      <c r="E17720"/>
      <c r="F17720"/>
      <c r="G17720"/>
      <c r="H17720"/>
      <c r="I17720" s="489"/>
      <c r="J17720" s="1362"/>
      <c r="K17720" s="1362"/>
      <c r="L17720" s="1362"/>
    </row>
    <row r="17721" spans="1:12" x14ac:dyDescent="0.25">
      <c r="A17721">
        <v>38428</v>
      </c>
      <c r="B17721" t="s">
        <v>21223</v>
      </c>
      <c r="C17721" t="s">
        <v>2537</v>
      </c>
      <c r="D17721" s="254">
        <v>18.899999999999999</v>
      </c>
      <c r="E17721"/>
      <c r="F17721"/>
      <c r="G17721"/>
      <c r="H17721"/>
      <c r="I17721" s="489"/>
      <c r="J17721" s="1362"/>
      <c r="K17721" s="1362"/>
      <c r="L17721" s="1362"/>
    </row>
    <row r="17722" spans="1:12" x14ac:dyDescent="0.25">
      <c r="A17722">
        <v>38007</v>
      </c>
      <c r="B17722" t="s">
        <v>21224</v>
      </c>
      <c r="C17722" t="s">
        <v>2537</v>
      </c>
      <c r="D17722" s="254">
        <v>30.88</v>
      </c>
      <c r="E17722"/>
      <c r="F17722"/>
      <c r="G17722"/>
      <c r="H17722"/>
      <c r="I17722" s="489"/>
      <c r="J17722" s="1362"/>
      <c r="K17722" s="1362"/>
      <c r="L17722" s="1362"/>
    </row>
    <row r="17723" spans="1:12" x14ac:dyDescent="0.25">
      <c r="A17723">
        <v>38008</v>
      </c>
      <c r="B17723" t="s">
        <v>21225</v>
      </c>
      <c r="C17723" t="s">
        <v>2537</v>
      </c>
      <c r="D17723" s="254">
        <v>124.37</v>
      </c>
      <c r="E17723"/>
      <c r="F17723"/>
      <c r="G17723"/>
      <c r="H17723"/>
      <c r="I17723" s="489"/>
      <c r="J17723" s="1362"/>
      <c r="K17723" s="1362"/>
      <c r="L17723" s="1362"/>
    </row>
    <row r="17724" spans="1:12" x14ac:dyDescent="0.25">
      <c r="A17724">
        <v>38009</v>
      </c>
      <c r="B17724" t="s">
        <v>21226</v>
      </c>
      <c r="C17724" t="s">
        <v>2537</v>
      </c>
      <c r="D17724" s="254">
        <v>152</v>
      </c>
      <c r="E17724"/>
      <c r="F17724"/>
      <c r="G17724"/>
      <c r="H17724"/>
      <c r="I17724" s="489"/>
      <c r="J17724" s="1362"/>
      <c r="K17724" s="1362"/>
      <c r="L17724" s="1362"/>
    </row>
    <row r="17725" spans="1:12" x14ac:dyDescent="0.25">
      <c r="A17725">
        <v>39279</v>
      </c>
      <c r="B17725" t="s">
        <v>21227</v>
      </c>
      <c r="C17725" t="s">
        <v>2537</v>
      </c>
      <c r="D17725" s="254">
        <v>11.67</v>
      </c>
      <c r="E17725"/>
      <c r="F17725"/>
      <c r="G17725"/>
      <c r="H17725"/>
      <c r="I17725" s="489"/>
      <c r="J17725" s="1362"/>
      <c r="K17725" s="1362"/>
      <c r="L17725" s="1362"/>
    </row>
    <row r="17726" spans="1:12" x14ac:dyDescent="0.25">
      <c r="A17726">
        <v>38845</v>
      </c>
      <c r="B17726" t="s">
        <v>21228</v>
      </c>
      <c r="C17726" t="s">
        <v>2537</v>
      </c>
      <c r="D17726" s="254">
        <v>16.89</v>
      </c>
      <c r="E17726"/>
      <c r="F17726"/>
      <c r="G17726"/>
      <c r="H17726"/>
      <c r="I17726" s="489"/>
      <c r="J17726" s="1362"/>
      <c r="K17726" s="1362"/>
      <c r="L17726" s="1362"/>
    </row>
    <row r="17727" spans="1:12" x14ac:dyDescent="0.25">
      <c r="A17727">
        <v>39280</v>
      </c>
      <c r="B17727" t="s">
        <v>21229</v>
      </c>
      <c r="C17727" t="s">
        <v>2537</v>
      </c>
      <c r="D17727" s="254">
        <v>15.14</v>
      </c>
      <c r="E17727"/>
      <c r="F17727"/>
      <c r="G17727"/>
      <c r="H17727"/>
      <c r="I17727" s="489"/>
      <c r="J17727" s="1362"/>
      <c r="K17727" s="1362"/>
      <c r="L17727" s="1362"/>
    </row>
    <row r="17728" spans="1:12" x14ac:dyDescent="0.25">
      <c r="A17728">
        <v>39281</v>
      </c>
      <c r="B17728" t="s">
        <v>21230</v>
      </c>
      <c r="C17728" t="s">
        <v>2537</v>
      </c>
      <c r="D17728" s="254">
        <v>19.93</v>
      </c>
      <c r="E17728"/>
      <c r="F17728"/>
      <c r="G17728"/>
      <c r="H17728"/>
      <c r="I17728" s="489"/>
      <c r="J17728" s="1362"/>
      <c r="K17728" s="1362"/>
      <c r="L17728" s="1362"/>
    </row>
    <row r="17729" spans="1:12" x14ac:dyDescent="0.25">
      <c r="A17729">
        <v>38849</v>
      </c>
      <c r="B17729" t="s">
        <v>21231</v>
      </c>
      <c r="C17729" t="s">
        <v>2537</v>
      </c>
      <c r="D17729" s="254">
        <v>17.07</v>
      </c>
      <c r="E17729"/>
      <c r="F17729"/>
      <c r="G17729"/>
      <c r="H17729"/>
      <c r="I17729" s="489"/>
      <c r="J17729" s="1362"/>
      <c r="K17729" s="1362"/>
      <c r="L17729" s="1362"/>
    </row>
    <row r="17730" spans="1:12" x14ac:dyDescent="0.25">
      <c r="A17730">
        <v>39282</v>
      </c>
      <c r="B17730" t="s">
        <v>21232</v>
      </c>
      <c r="C17730" t="s">
        <v>2537</v>
      </c>
      <c r="D17730" s="254">
        <v>20.399999999999999</v>
      </c>
      <c r="E17730"/>
      <c r="F17730"/>
      <c r="G17730"/>
      <c r="H17730"/>
      <c r="I17730" s="489"/>
      <c r="J17730" s="1362"/>
      <c r="K17730" s="1362"/>
      <c r="L17730" s="1362"/>
    </row>
    <row r="17731" spans="1:12" x14ac:dyDescent="0.25">
      <c r="A17731">
        <v>38852</v>
      </c>
      <c r="B17731" t="s">
        <v>21233</v>
      </c>
      <c r="C17731" t="s">
        <v>2537</v>
      </c>
      <c r="D17731" s="254">
        <v>27.76</v>
      </c>
      <c r="E17731"/>
      <c r="F17731"/>
      <c r="G17731"/>
      <c r="H17731"/>
      <c r="I17731" s="489"/>
      <c r="J17731" s="1362"/>
      <c r="K17731" s="1362"/>
      <c r="L17731" s="1362"/>
    </row>
    <row r="17732" spans="1:12" x14ac:dyDescent="0.25">
      <c r="A17732">
        <v>38844</v>
      </c>
      <c r="B17732" t="s">
        <v>21234</v>
      </c>
      <c r="C17732" t="s">
        <v>2537</v>
      </c>
      <c r="D17732" s="254">
        <v>8.5299999999999994</v>
      </c>
      <c r="E17732"/>
      <c r="F17732"/>
      <c r="G17732"/>
      <c r="H17732"/>
      <c r="I17732" s="489"/>
      <c r="J17732" s="1362"/>
      <c r="K17732" s="1362"/>
      <c r="L17732" s="1362"/>
    </row>
    <row r="17733" spans="1:12" x14ac:dyDescent="0.25">
      <c r="A17733">
        <v>38846</v>
      </c>
      <c r="B17733" t="s">
        <v>21235</v>
      </c>
      <c r="C17733" t="s">
        <v>2537</v>
      </c>
      <c r="D17733" s="254">
        <v>9.33</v>
      </c>
      <c r="E17733"/>
      <c r="F17733"/>
      <c r="G17733"/>
      <c r="H17733"/>
      <c r="I17733" s="489"/>
      <c r="J17733" s="1362"/>
      <c r="K17733" s="1362"/>
      <c r="L17733" s="1362"/>
    </row>
    <row r="17734" spans="1:12" x14ac:dyDescent="0.25">
      <c r="A17734">
        <v>38847</v>
      </c>
      <c r="B17734" t="s">
        <v>21236</v>
      </c>
      <c r="C17734" t="s">
        <v>2537</v>
      </c>
      <c r="D17734" s="254">
        <v>11.48</v>
      </c>
      <c r="E17734"/>
      <c r="F17734"/>
      <c r="G17734"/>
      <c r="H17734"/>
      <c r="I17734" s="489"/>
      <c r="J17734" s="1362"/>
      <c r="K17734" s="1362"/>
      <c r="L17734" s="1362"/>
    </row>
    <row r="17735" spans="1:12" x14ac:dyDescent="0.25">
      <c r="A17735">
        <v>38850</v>
      </c>
      <c r="B17735" t="s">
        <v>21237</v>
      </c>
      <c r="C17735" t="s">
        <v>2537</v>
      </c>
      <c r="D17735" s="254">
        <v>15.95</v>
      </c>
      <c r="E17735"/>
      <c r="F17735"/>
      <c r="G17735"/>
      <c r="H17735"/>
      <c r="I17735" s="489"/>
      <c r="J17735" s="1362"/>
      <c r="K17735" s="1362"/>
      <c r="L17735" s="1362"/>
    </row>
    <row r="17736" spans="1:12" x14ac:dyDescent="0.25">
      <c r="A17736">
        <v>38848</v>
      </c>
      <c r="B17736" t="s">
        <v>21238</v>
      </c>
      <c r="C17736" t="s">
        <v>2537</v>
      </c>
      <c r="D17736" s="254">
        <v>13.34</v>
      </c>
      <c r="E17736"/>
      <c r="F17736"/>
      <c r="G17736"/>
      <c r="H17736"/>
      <c r="I17736" s="489"/>
      <c r="J17736" s="1362"/>
      <c r="K17736" s="1362"/>
      <c r="L17736" s="1362"/>
    </row>
    <row r="17737" spans="1:12" x14ac:dyDescent="0.25">
      <c r="A17737">
        <v>38851</v>
      </c>
      <c r="B17737" t="s">
        <v>21239</v>
      </c>
      <c r="C17737" t="s">
        <v>2537</v>
      </c>
      <c r="D17737" s="254">
        <v>24.25</v>
      </c>
      <c r="E17737"/>
      <c r="F17737"/>
      <c r="G17737"/>
      <c r="H17737"/>
      <c r="I17737" s="489"/>
      <c r="J17737" s="1362"/>
      <c r="K17737" s="1362"/>
      <c r="L17737" s="1362"/>
    </row>
    <row r="17738" spans="1:12" x14ac:dyDescent="0.25">
      <c r="A17738">
        <v>38860</v>
      </c>
      <c r="B17738" t="s">
        <v>21240</v>
      </c>
      <c r="C17738" t="s">
        <v>2537</v>
      </c>
      <c r="D17738" s="254">
        <v>6.85</v>
      </c>
      <c r="E17738"/>
      <c r="F17738"/>
      <c r="G17738"/>
      <c r="H17738"/>
      <c r="I17738" s="489"/>
      <c r="J17738" s="1362"/>
      <c r="K17738" s="1362"/>
      <c r="L17738" s="1362"/>
    </row>
    <row r="17739" spans="1:12" x14ac:dyDescent="0.25">
      <c r="A17739">
        <v>38861</v>
      </c>
      <c r="B17739" t="s">
        <v>21241</v>
      </c>
      <c r="C17739" t="s">
        <v>2537</v>
      </c>
      <c r="D17739" s="254">
        <v>9.2200000000000006</v>
      </c>
      <c r="E17739"/>
      <c r="F17739"/>
      <c r="G17739"/>
      <c r="H17739"/>
      <c r="I17739" s="489"/>
      <c r="J17739" s="1362"/>
      <c r="K17739" s="1362"/>
      <c r="L17739" s="1362"/>
    </row>
    <row r="17740" spans="1:12" x14ac:dyDescent="0.25">
      <c r="A17740">
        <v>38862</v>
      </c>
      <c r="B17740" t="s">
        <v>21242</v>
      </c>
      <c r="C17740" t="s">
        <v>2537</v>
      </c>
      <c r="D17740" s="254">
        <v>7.77</v>
      </c>
      <c r="E17740"/>
      <c r="F17740"/>
      <c r="G17740"/>
      <c r="H17740"/>
      <c r="I17740" s="489"/>
      <c r="J17740" s="1362"/>
      <c r="K17740" s="1362"/>
      <c r="L17740" s="1362"/>
    </row>
    <row r="17741" spans="1:12" x14ac:dyDescent="0.25">
      <c r="A17741">
        <v>38863</v>
      </c>
      <c r="B17741" t="s">
        <v>21243</v>
      </c>
      <c r="C17741" t="s">
        <v>2537</v>
      </c>
      <c r="D17741" s="254">
        <v>8.93</v>
      </c>
      <c r="E17741"/>
      <c r="F17741"/>
      <c r="G17741"/>
      <c r="H17741"/>
      <c r="I17741" s="489"/>
      <c r="J17741" s="1362"/>
      <c r="K17741" s="1362"/>
      <c r="L17741" s="1362"/>
    </row>
    <row r="17742" spans="1:12" x14ac:dyDescent="0.25">
      <c r="A17742">
        <v>38865</v>
      </c>
      <c r="B17742" t="s">
        <v>21244</v>
      </c>
      <c r="C17742" t="s">
        <v>2537</v>
      </c>
      <c r="D17742" s="254">
        <v>12.13</v>
      </c>
      <c r="E17742"/>
      <c r="F17742"/>
      <c r="G17742"/>
      <c r="H17742"/>
      <c r="I17742" s="489"/>
      <c r="J17742" s="1362"/>
      <c r="K17742" s="1362"/>
      <c r="L17742" s="1362"/>
    </row>
    <row r="17743" spans="1:12" x14ac:dyDescent="0.25">
      <c r="A17743">
        <v>38864</v>
      </c>
      <c r="B17743" t="s">
        <v>21245</v>
      </c>
      <c r="C17743" t="s">
        <v>2537</v>
      </c>
      <c r="D17743" s="254">
        <v>18.54</v>
      </c>
      <c r="E17743"/>
      <c r="F17743"/>
      <c r="G17743"/>
      <c r="H17743"/>
      <c r="I17743" s="489"/>
      <c r="J17743" s="1362"/>
      <c r="K17743" s="1362"/>
      <c r="L17743" s="1362"/>
    </row>
    <row r="17744" spans="1:12" x14ac:dyDescent="0.25">
      <c r="A17744">
        <v>38866</v>
      </c>
      <c r="B17744" t="s">
        <v>21246</v>
      </c>
      <c r="C17744" t="s">
        <v>2537</v>
      </c>
      <c r="D17744" s="254">
        <v>13.05</v>
      </c>
      <c r="E17744"/>
      <c r="F17744"/>
      <c r="G17744"/>
      <c r="H17744"/>
      <c r="I17744" s="489"/>
      <c r="J17744" s="1362"/>
      <c r="K17744" s="1362"/>
      <c r="L17744" s="1362"/>
    </row>
    <row r="17745" spans="1:12" x14ac:dyDescent="0.25">
      <c r="A17745">
        <v>38868</v>
      </c>
      <c r="B17745" t="s">
        <v>21247</v>
      </c>
      <c r="C17745" t="s">
        <v>2537</v>
      </c>
      <c r="D17745" s="254">
        <v>21.76</v>
      </c>
      <c r="E17745"/>
      <c r="F17745"/>
      <c r="G17745"/>
      <c r="H17745"/>
      <c r="I17745" s="489"/>
      <c r="J17745" s="1362"/>
      <c r="K17745" s="1362"/>
      <c r="L17745" s="1362"/>
    </row>
    <row r="17746" spans="1:12" x14ac:dyDescent="0.25">
      <c r="A17746">
        <v>38853</v>
      </c>
      <c r="B17746" t="s">
        <v>21248</v>
      </c>
      <c r="C17746" t="s">
        <v>2537</v>
      </c>
      <c r="D17746" s="254">
        <v>7.03</v>
      </c>
      <c r="E17746"/>
      <c r="F17746"/>
      <c r="G17746"/>
      <c r="H17746"/>
      <c r="I17746" s="489"/>
      <c r="J17746" s="1362"/>
      <c r="K17746" s="1362"/>
      <c r="L17746" s="1362"/>
    </row>
    <row r="17747" spans="1:12" x14ac:dyDescent="0.25">
      <c r="A17747">
        <v>38854</v>
      </c>
      <c r="B17747" t="s">
        <v>21249</v>
      </c>
      <c r="C17747" t="s">
        <v>2537</v>
      </c>
      <c r="D17747" s="254">
        <v>9.61</v>
      </c>
      <c r="E17747"/>
      <c r="F17747"/>
      <c r="G17747"/>
      <c r="H17747"/>
      <c r="I17747" s="489"/>
      <c r="J17747" s="1362"/>
      <c r="K17747" s="1362"/>
      <c r="L17747" s="1362"/>
    </row>
    <row r="17748" spans="1:12" x14ac:dyDescent="0.25">
      <c r="A17748">
        <v>38855</v>
      </c>
      <c r="B17748" t="s">
        <v>21250</v>
      </c>
      <c r="C17748" t="s">
        <v>2537</v>
      </c>
      <c r="D17748" s="254">
        <v>7.13</v>
      </c>
      <c r="E17748"/>
      <c r="F17748"/>
      <c r="G17748"/>
      <c r="H17748"/>
      <c r="I17748" s="489"/>
      <c r="J17748" s="1362"/>
      <c r="K17748" s="1362"/>
      <c r="L17748" s="1362"/>
    </row>
    <row r="17749" spans="1:12" x14ac:dyDescent="0.25">
      <c r="A17749">
        <v>38856</v>
      </c>
      <c r="B17749" t="s">
        <v>21251</v>
      </c>
      <c r="C17749" t="s">
        <v>2537</v>
      </c>
      <c r="D17749" s="254">
        <v>11.45</v>
      </c>
      <c r="E17749"/>
      <c r="F17749"/>
      <c r="G17749"/>
      <c r="H17749"/>
      <c r="I17749" s="489"/>
      <c r="J17749" s="1362"/>
      <c r="K17749" s="1362"/>
      <c r="L17749" s="1362"/>
    </row>
    <row r="17750" spans="1:12" x14ac:dyDescent="0.25">
      <c r="A17750">
        <v>38857</v>
      </c>
      <c r="B17750" t="s">
        <v>21252</v>
      </c>
      <c r="C17750" t="s">
        <v>2537</v>
      </c>
      <c r="D17750" s="254">
        <v>15.14</v>
      </c>
      <c r="E17750"/>
      <c r="F17750"/>
      <c r="G17750"/>
      <c r="H17750"/>
      <c r="I17750" s="489"/>
      <c r="J17750" s="1362"/>
      <c r="K17750" s="1362"/>
      <c r="L17750" s="1362"/>
    </row>
    <row r="17751" spans="1:12" x14ac:dyDescent="0.25">
      <c r="A17751">
        <v>38858</v>
      </c>
      <c r="B17751" t="s">
        <v>21253</v>
      </c>
      <c r="C17751" t="s">
        <v>2537</v>
      </c>
      <c r="D17751" s="254">
        <v>13.77</v>
      </c>
      <c r="E17751"/>
      <c r="F17751"/>
      <c r="G17751"/>
      <c r="H17751"/>
      <c r="I17751" s="489"/>
      <c r="J17751" s="1362"/>
      <c r="K17751" s="1362"/>
      <c r="L17751" s="1362"/>
    </row>
    <row r="17752" spans="1:12" x14ac:dyDescent="0.25">
      <c r="A17752">
        <v>38859</v>
      </c>
      <c r="B17752" t="s">
        <v>21254</v>
      </c>
      <c r="C17752" t="s">
        <v>2537</v>
      </c>
      <c r="D17752" s="254">
        <v>22.3</v>
      </c>
      <c r="E17752"/>
      <c r="F17752"/>
      <c r="G17752"/>
      <c r="H17752"/>
      <c r="I17752" s="489"/>
      <c r="J17752" s="1362"/>
      <c r="K17752" s="1362"/>
      <c r="L17752" s="1362"/>
    </row>
    <row r="17753" spans="1:12" x14ac:dyDescent="0.25">
      <c r="A17753">
        <v>3104</v>
      </c>
      <c r="B17753" t="s">
        <v>21255</v>
      </c>
      <c r="C17753" t="s">
        <v>2549</v>
      </c>
      <c r="D17753" s="254">
        <v>152.65</v>
      </c>
      <c r="E17753"/>
      <c r="F17753"/>
      <c r="G17753"/>
      <c r="H17753"/>
      <c r="I17753" s="489"/>
      <c r="J17753" s="1362"/>
      <c r="K17753" s="1362"/>
      <c r="L17753" s="1362"/>
    </row>
    <row r="17754" spans="1:12" x14ac:dyDescent="0.25">
      <c r="A17754">
        <v>1607</v>
      </c>
      <c r="B17754" t="s">
        <v>21256</v>
      </c>
      <c r="C17754" t="s">
        <v>2549</v>
      </c>
      <c r="D17754" s="254">
        <v>0.28000000000000003</v>
      </c>
      <c r="E17754"/>
      <c r="F17754"/>
      <c r="G17754"/>
      <c r="H17754"/>
      <c r="I17754" s="489"/>
      <c r="J17754" s="1362"/>
      <c r="K17754" s="1362"/>
      <c r="L17754" s="1362"/>
    </row>
    <row r="17755" spans="1:12" x14ac:dyDescent="0.25">
      <c r="A17755">
        <v>38169</v>
      </c>
      <c r="B17755" t="s">
        <v>21257</v>
      </c>
      <c r="C17755" t="s">
        <v>2549</v>
      </c>
      <c r="D17755" s="254">
        <v>82.99</v>
      </c>
      <c r="E17755"/>
      <c r="F17755"/>
      <c r="G17755"/>
      <c r="H17755"/>
      <c r="I17755" s="489"/>
      <c r="J17755" s="1362"/>
      <c r="K17755" s="1362"/>
      <c r="L17755" s="1362"/>
    </row>
    <row r="17756" spans="1:12" x14ac:dyDescent="0.25">
      <c r="A17756">
        <v>6142</v>
      </c>
      <c r="B17756" t="s">
        <v>21258</v>
      </c>
      <c r="C17756" t="s">
        <v>2537</v>
      </c>
      <c r="D17756" s="254">
        <v>7.94</v>
      </c>
      <c r="E17756"/>
      <c r="F17756"/>
      <c r="G17756"/>
      <c r="H17756"/>
      <c r="I17756" s="489"/>
      <c r="J17756" s="1362"/>
      <c r="K17756" s="1362"/>
      <c r="L17756" s="1362"/>
    </row>
    <row r="17757" spans="1:12" x14ac:dyDescent="0.25">
      <c r="A17757">
        <v>11686</v>
      </c>
      <c r="B17757" t="s">
        <v>21259</v>
      </c>
      <c r="C17757" t="s">
        <v>2537</v>
      </c>
      <c r="D17757" s="254">
        <v>11.03</v>
      </c>
      <c r="E17757"/>
      <c r="F17757"/>
      <c r="G17757"/>
      <c r="H17757"/>
      <c r="I17757" s="489"/>
      <c r="J17757" s="1362"/>
      <c r="K17757" s="1362"/>
      <c r="L17757" s="1362"/>
    </row>
    <row r="17758" spans="1:12" x14ac:dyDescent="0.25">
      <c r="A17758">
        <v>37598</v>
      </c>
      <c r="B17758" t="s">
        <v>21260</v>
      </c>
      <c r="C17758" t="s">
        <v>2537</v>
      </c>
      <c r="D17758" s="254">
        <v>45</v>
      </c>
      <c r="E17758"/>
      <c r="F17758"/>
      <c r="G17758"/>
      <c r="H17758"/>
      <c r="I17758" s="489"/>
      <c r="J17758" s="1362"/>
      <c r="K17758" s="1362"/>
      <c r="L17758" s="1362"/>
    </row>
    <row r="17759" spans="1:12" x14ac:dyDescent="0.25">
      <c r="A17759">
        <v>25398</v>
      </c>
      <c r="B17759" t="s">
        <v>21261</v>
      </c>
      <c r="C17759" t="s">
        <v>2537</v>
      </c>
      <c r="D17759" s="254">
        <v>5221.7</v>
      </c>
      <c r="E17759"/>
      <c r="F17759"/>
      <c r="G17759"/>
      <c r="H17759"/>
      <c r="I17759" s="489"/>
      <c r="J17759" s="1362"/>
      <c r="K17759" s="1362"/>
      <c r="L17759" s="1362"/>
    </row>
    <row r="17760" spans="1:12" x14ac:dyDescent="0.25">
      <c r="A17760">
        <v>25399</v>
      </c>
      <c r="B17760" t="s">
        <v>21262</v>
      </c>
      <c r="C17760" t="s">
        <v>2537</v>
      </c>
      <c r="D17760" s="254">
        <v>3170.03</v>
      </c>
      <c r="E17760"/>
      <c r="F17760"/>
      <c r="G17760"/>
      <c r="H17760"/>
      <c r="I17760" s="489"/>
      <c r="J17760" s="1362"/>
      <c r="K17760" s="1362"/>
      <c r="L17760" s="1362"/>
    </row>
    <row r="17761" spans="1:12" x14ac:dyDescent="0.25">
      <c r="A17761">
        <v>43440</v>
      </c>
      <c r="B17761" t="s">
        <v>21263</v>
      </c>
      <c r="C17761" t="s">
        <v>2537</v>
      </c>
      <c r="D17761" s="254">
        <v>426.17</v>
      </c>
      <c r="E17761"/>
      <c r="F17761"/>
      <c r="G17761"/>
      <c r="H17761"/>
      <c r="I17761" s="489"/>
      <c r="J17761" s="1362"/>
      <c r="K17761" s="1362"/>
      <c r="L17761" s="1362"/>
    </row>
    <row r="17762" spans="1:12" x14ac:dyDescent="0.25">
      <c r="A17762">
        <v>10667</v>
      </c>
      <c r="B17762" t="s">
        <v>21264</v>
      </c>
      <c r="C17762" t="s">
        <v>2537</v>
      </c>
      <c r="D17762" s="254">
        <v>22500</v>
      </c>
      <c r="E17762"/>
      <c r="F17762"/>
      <c r="G17762"/>
      <c r="H17762"/>
      <c r="I17762" s="489"/>
      <c r="J17762" s="1362"/>
      <c r="K17762" s="1362"/>
      <c r="L17762" s="1362"/>
    </row>
    <row r="17763" spans="1:12" x14ac:dyDescent="0.25">
      <c r="A17763">
        <v>1613</v>
      </c>
      <c r="B17763" t="s">
        <v>21265</v>
      </c>
      <c r="C17763" t="s">
        <v>2537</v>
      </c>
      <c r="D17763" s="254">
        <v>1667.22</v>
      </c>
      <c r="E17763"/>
      <c r="F17763"/>
      <c r="G17763"/>
      <c r="H17763"/>
      <c r="I17763" s="489"/>
      <c r="J17763" s="1362"/>
      <c r="K17763" s="1362"/>
      <c r="L17763" s="1362"/>
    </row>
    <row r="17764" spans="1:12" x14ac:dyDescent="0.25">
      <c r="A17764">
        <v>1626</v>
      </c>
      <c r="B17764" t="s">
        <v>21266</v>
      </c>
      <c r="C17764" t="s">
        <v>2537</v>
      </c>
      <c r="D17764" s="254">
        <v>2493.5300000000002</v>
      </c>
      <c r="E17764"/>
      <c r="F17764"/>
      <c r="G17764"/>
      <c r="H17764"/>
      <c r="I17764" s="489"/>
      <c r="J17764" s="1362"/>
      <c r="K17764" s="1362"/>
      <c r="L17764" s="1362"/>
    </row>
    <row r="17765" spans="1:12" x14ac:dyDescent="0.25">
      <c r="A17765">
        <v>1625</v>
      </c>
      <c r="B17765" t="s">
        <v>21267</v>
      </c>
      <c r="C17765" t="s">
        <v>2537</v>
      </c>
      <c r="D17765" s="254">
        <v>174.16</v>
      </c>
      <c r="E17765"/>
      <c r="F17765"/>
      <c r="G17765"/>
      <c r="H17765"/>
      <c r="I17765" s="489"/>
      <c r="J17765" s="1362"/>
      <c r="K17765" s="1362"/>
      <c r="L17765" s="1362"/>
    </row>
    <row r="17766" spans="1:12" x14ac:dyDescent="0.25">
      <c r="A17766">
        <v>1622</v>
      </c>
      <c r="B17766" t="s">
        <v>21268</v>
      </c>
      <c r="C17766" t="s">
        <v>2537</v>
      </c>
      <c r="D17766" s="254">
        <v>5626.87</v>
      </c>
      <c r="E17766"/>
      <c r="F17766"/>
      <c r="G17766"/>
      <c r="H17766"/>
      <c r="I17766" s="489"/>
      <c r="J17766" s="1362"/>
      <c r="K17766" s="1362"/>
      <c r="L17766" s="1362"/>
    </row>
    <row r="17767" spans="1:12" x14ac:dyDescent="0.25">
      <c r="A17767">
        <v>1620</v>
      </c>
      <c r="B17767" t="s">
        <v>21269</v>
      </c>
      <c r="C17767" t="s">
        <v>2537</v>
      </c>
      <c r="D17767" s="254">
        <v>366.88</v>
      </c>
      <c r="E17767"/>
      <c r="F17767"/>
      <c r="G17767"/>
      <c r="H17767"/>
      <c r="I17767" s="489"/>
      <c r="J17767" s="1362"/>
      <c r="K17767" s="1362"/>
      <c r="L17767" s="1362"/>
    </row>
    <row r="17768" spans="1:12" x14ac:dyDescent="0.25">
      <c r="A17768">
        <v>1629</v>
      </c>
      <c r="B17768" t="s">
        <v>21270</v>
      </c>
      <c r="C17768" t="s">
        <v>2537</v>
      </c>
      <c r="D17768" s="254">
        <v>13694.47</v>
      </c>
      <c r="E17768"/>
      <c r="F17768"/>
      <c r="G17768"/>
      <c r="H17768"/>
      <c r="I17768" s="489"/>
      <c r="J17768" s="1362"/>
      <c r="K17768" s="1362"/>
      <c r="L17768" s="1362"/>
    </row>
    <row r="17769" spans="1:12" x14ac:dyDescent="0.25">
      <c r="A17769">
        <v>1627</v>
      </c>
      <c r="B17769" t="s">
        <v>21271</v>
      </c>
      <c r="C17769" t="s">
        <v>2537</v>
      </c>
      <c r="D17769" s="254">
        <v>701.28</v>
      </c>
      <c r="E17769"/>
      <c r="F17769"/>
      <c r="G17769"/>
      <c r="H17769"/>
      <c r="I17769" s="489"/>
      <c r="J17769" s="1362"/>
      <c r="K17769" s="1362"/>
      <c r="L17769" s="1362"/>
    </row>
    <row r="17770" spans="1:12" x14ac:dyDescent="0.25">
      <c r="A17770">
        <v>1623</v>
      </c>
      <c r="B17770" t="s">
        <v>21272</v>
      </c>
      <c r="C17770" t="s">
        <v>2537</v>
      </c>
      <c r="D17770" s="254">
        <v>142.04</v>
      </c>
      <c r="E17770"/>
      <c r="F17770"/>
      <c r="G17770"/>
      <c r="H17770"/>
      <c r="I17770" s="489"/>
      <c r="J17770" s="1362"/>
      <c r="K17770" s="1362"/>
      <c r="L17770" s="1362"/>
    </row>
    <row r="17771" spans="1:12" x14ac:dyDescent="0.25">
      <c r="A17771">
        <v>1619</v>
      </c>
      <c r="B17771" t="s">
        <v>21273</v>
      </c>
      <c r="C17771" t="s">
        <v>2537</v>
      </c>
      <c r="D17771" s="254">
        <v>195.38</v>
      </c>
      <c r="E17771"/>
      <c r="F17771"/>
      <c r="G17771"/>
      <c r="H17771"/>
      <c r="I17771" s="489"/>
      <c r="J17771" s="1362"/>
      <c r="K17771" s="1362"/>
      <c r="L17771" s="1362"/>
    </row>
    <row r="17772" spans="1:12" x14ac:dyDescent="0.25">
      <c r="A17772">
        <v>1630</v>
      </c>
      <c r="B17772" t="s">
        <v>21274</v>
      </c>
      <c r="C17772" t="s">
        <v>2537</v>
      </c>
      <c r="D17772" s="254">
        <v>4301.8599999999997</v>
      </c>
      <c r="E17772"/>
      <c r="F17772"/>
      <c r="G17772"/>
      <c r="H17772"/>
      <c r="I17772" s="489"/>
      <c r="J17772" s="1362"/>
      <c r="K17772" s="1362"/>
      <c r="L17772" s="1362"/>
    </row>
    <row r="17773" spans="1:12" x14ac:dyDescent="0.25">
      <c r="A17773">
        <v>1616</v>
      </c>
      <c r="B17773" t="s">
        <v>21275</v>
      </c>
      <c r="C17773" t="s">
        <v>2537</v>
      </c>
      <c r="D17773" s="254">
        <v>6616.34</v>
      </c>
      <c r="E17773"/>
      <c r="F17773"/>
      <c r="G17773"/>
      <c r="H17773"/>
      <c r="I17773" s="489"/>
      <c r="J17773" s="1362"/>
      <c r="K17773" s="1362"/>
      <c r="L17773" s="1362"/>
    </row>
    <row r="17774" spans="1:12" x14ac:dyDescent="0.25">
      <c r="A17774">
        <v>1614</v>
      </c>
      <c r="B17774" t="s">
        <v>21276</v>
      </c>
      <c r="C17774" t="s">
        <v>2537</v>
      </c>
      <c r="D17774" s="254">
        <v>302.39</v>
      </c>
      <c r="E17774"/>
      <c r="F17774"/>
      <c r="G17774"/>
      <c r="H17774"/>
      <c r="I17774" s="489"/>
      <c r="J17774" s="1362"/>
      <c r="K17774" s="1362"/>
      <c r="L17774" s="1362"/>
    </row>
    <row r="17775" spans="1:12" x14ac:dyDescent="0.25">
      <c r="A17775">
        <v>1617</v>
      </c>
      <c r="B17775" t="s">
        <v>21277</v>
      </c>
      <c r="C17775" t="s">
        <v>2537</v>
      </c>
      <c r="D17775" s="254">
        <v>7898.48</v>
      </c>
      <c r="E17775"/>
      <c r="F17775"/>
      <c r="G17775"/>
      <c r="H17775"/>
      <c r="I17775" s="489"/>
      <c r="J17775" s="1362"/>
      <c r="K17775" s="1362"/>
      <c r="L17775" s="1362"/>
    </row>
    <row r="17776" spans="1:12" x14ac:dyDescent="0.25">
      <c r="A17776">
        <v>1621</v>
      </c>
      <c r="B17776" t="s">
        <v>21278</v>
      </c>
      <c r="C17776" t="s">
        <v>2537</v>
      </c>
      <c r="D17776" s="254">
        <v>540.82000000000005</v>
      </c>
      <c r="E17776"/>
      <c r="F17776"/>
      <c r="G17776"/>
      <c r="H17776"/>
      <c r="I17776" s="489"/>
      <c r="J17776" s="1362"/>
      <c r="K17776" s="1362"/>
      <c r="L17776" s="1362"/>
    </row>
    <row r="17777" spans="1:12" x14ac:dyDescent="0.25">
      <c r="A17777">
        <v>1624</v>
      </c>
      <c r="B17777" t="s">
        <v>21279</v>
      </c>
      <c r="C17777" t="s">
        <v>2537</v>
      </c>
      <c r="D17777" s="254">
        <v>19414.84</v>
      </c>
      <c r="E17777"/>
      <c r="F17777"/>
      <c r="G17777"/>
      <c r="H17777"/>
      <c r="I17777" s="489"/>
      <c r="J17777" s="1362"/>
      <c r="K17777" s="1362"/>
      <c r="L17777" s="1362"/>
    </row>
    <row r="17778" spans="1:12" x14ac:dyDescent="0.25">
      <c r="A17778">
        <v>1615</v>
      </c>
      <c r="B17778" t="s">
        <v>21280</v>
      </c>
      <c r="C17778" t="s">
        <v>2537</v>
      </c>
      <c r="D17778" s="254">
        <v>1015.57</v>
      </c>
      <c r="E17778"/>
      <c r="F17778"/>
      <c r="G17778"/>
      <c r="H17778"/>
      <c r="I17778" s="489"/>
      <c r="J17778" s="1362"/>
      <c r="K17778" s="1362"/>
      <c r="L17778" s="1362"/>
    </row>
    <row r="17779" spans="1:12" x14ac:dyDescent="0.25">
      <c r="A17779">
        <v>1612</v>
      </c>
      <c r="B17779" t="s">
        <v>21281</v>
      </c>
      <c r="C17779" t="s">
        <v>2537</v>
      </c>
      <c r="D17779" s="254">
        <v>133.76</v>
      </c>
      <c r="E17779"/>
      <c r="F17779"/>
      <c r="G17779"/>
      <c r="H17779"/>
      <c r="I17779" s="489"/>
      <c r="J17779" s="1362"/>
      <c r="K17779" s="1362"/>
      <c r="L17779" s="1362"/>
    </row>
    <row r="17780" spans="1:12" x14ac:dyDescent="0.25">
      <c r="A17780">
        <v>1618</v>
      </c>
      <c r="B17780" t="s">
        <v>21282</v>
      </c>
      <c r="C17780" t="s">
        <v>2537</v>
      </c>
      <c r="D17780" s="254">
        <v>1395.54</v>
      </c>
      <c r="E17780"/>
      <c r="F17780"/>
      <c r="G17780"/>
      <c r="H17780"/>
      <c r="I17780" s="489"/>
      <c r="J17780" s="1362"/>
      <c r="K17780" s="1362"/>
      <c r="L17780" s="1362"/>
    </row>
    <row r="17781" spans="1:12" x14ac:dyDescent="0.25">
      <c r="A17781">
        <v>14211</v>
      </c>
      <c r="B17781" t="s">
        <v>21283</v>
      </c>
      <c r="C17781" t="s">
        <v>2537</v>
      </c>
      <c r="D17781" s="254">
        <v>70.98</v>
      </c>
      <c r="E17781"/>
      <c r="F17781"/>
      <c r="G17781"/>
      <c r="H17781"/>
      <c r="I17781" s="489"/>
      <c r="J17781" s="1362"/>
      <c r="K17781" s="1362"/>
      <c r="L17781" s="1362"/>
    </row>
    <row r="17782" spans="1:12" x14ac:dyDescent="0.25">
      <c r="A17782">
        <v>43657</v>
      </c>
      <c r="B17782" t="s">
        <v>21284</v>
      </c>
      <c r="C17782" t="s">
        <v>2541</v>
      </c>
      <c r="D17782" s="254">
        <v>8.7200000000000006</v>
      </c>
      <c r="E17782"/>
      <c r="F17782"/>
      <c r="G17782"/>
      <c r="H17782"/>
      <c r="I17782" s="489"/>
      <c r="J17782" s="1362"/>
      <c r="K17782" s="1362"/>
      <c r="L17782" s="1362"/>
    </row>
    <row r="17783" spans="1:12" x14ac:dyDescent="0.25">
      <c r="A17783">
        <v>34500</v>
      </c>
      <c r="B17783" t="s">
        <v>21285</v>
      </c>
      <c r="C17783" t="s">
        <v>2538</v>
      </c>
      <c r="D17783" s="254">
        <v>154.88</v>
      </c>
      <c r="E17783"/>
      <c r="F17783"/>
      <c r="G17783"/>
      <c r="H17783"/>
      <c r="I17783" s="489"/>
      <c r="J17783" s="1362"/>
      <c r="K17783" s="1362"/>
      <c r="L17783" s="1362"/>
    </row>
    <row r="17784" spans="1:12" x14ac:dyDescent="0.25">
      <c r="A17784">
        <v>40934</v>
      </c>
      <c r="B17784" t="s">
        <v>21286</v>
      </c>
      <c r="C17784" t="s">
        <v>2544</v>
      </c>
      <c r="D17784" s="254">
        <v>27329.33</v>
      </c>
      <c r="E17784"/>
      <c r="F17784"/>
      <c r="G17784"/>
      <c r="H17784"/>
      <c r="I17784" s="489"/>
      <c r="J17784" s="1362"/>
      <c r="K17784" s="1362"/>
      <c r="L17784" s="1362"/>
    </row>
    <row r="17785" spans="1:12" x14ac:dyDescent="0.25">
      <c r="A17785">
        <v>38200</v>
      </c>
      <c r="B17785" t="s">
        <v>21287</v>
      </c>
      <c r="C17785" t="s">
        <v>2550</v>
      </c>
      <c r="D17785" s="254">
        <v>635.97</v>
      </c>
      <c r="E17785"/>
      <c r="F17785"/>
      <c r="G17785"/>
      <c r="H17785"/>
      <c r="I17785" s="489"/>
      <c r="J17785" s="1362"/>
      <c r="K17785" s="1362"/>
      <c r="L17785" s="1362"/>
    </row>
    <row r="17786" spans="1:12" x14ac:dyDescent="0.25">
      <c r="A17786">
        <v>39269</v>
      </c>
      <c r="B17786" t="s">
        <v>21288</v>
      </c>
      <c r="C17786" t="s">
        <v>2541</v>
      </c>
      <c r="D17786" s="254">
        <v>1.26</v>
      </c>
      <c r="E17786"/>
      <c r="F17786"/>
      <c r="G17786"/>
      <c r="H17786"/>
      <c r="I17786" s="489"/>
      <c r="J17786" s="1362"/>
      <c r="K17786" s="1362"/>
      <c r="L17786" s="1362"/>
    </row>
    <row r="17787" spans="1:12" x14ac:dyDescent="0.25">
      <c r="A17787">
        <v>11889</v>
      </c>
      <c r="B17787" t="s">
        <v>21289</v>
      </c>
      <c r="C17787" t="s">
        <v>2541</v>
      </c>
      <c r="D17787" s="254">
        <v>1.73</v>
      </c>
      <c r="E17787"/>
      <c r="F17787"/>
      <c r="G17787"/>
      <c r="H17787"/>
      <c r="I17787" s="489"/>
      <c r="J17787" s="1362"/>
      <c r="K17787" s="1362"/>
      <c r="L17787" s="1362"/>
    </row>
    <row r="17788" spans="1:12" x14ac:dyDescent="0.25">
      <c r="A17788">
        <v>39270</v>
      </c>
      <c r="B17788" t="s">
        <v>21290</v>
      </c>
      <c r="C17788" t="s">
        <v>2541</v>
      </c>
      <c r="D17788" s="254">
        <v>2.25</v>
      </c>
      <c r="E17788"/>
      <c r="F17788"/>
      <c r="G17788"/>
      <c r="H17788"/>
      <c r="I17788" s="489"/>
      <c r="J17788" s="1362"/>
      <c r="K17788" s="1362"/>
      <c r="L17788" s="1362"/>
    </row>
    <row r="17789" spans="1:12" x14ac:dyDescent="0.25">
      <c r="A17789">
        <v>11890</v>
      </c>
      <c r="B17789" t="s">
        <v>21291</v>
      </c>
      <c r="C17789" t="s">
        <v>2541</v>
      </c>
      <c r="D17789" s="254">
        <v>3.06</v>
      </c>
      <c r="E17789"/>
      <c r="F17789"/>
      <c r="G17789"/>
      <c r="H17789"/>
      <c r="I17789" s="489"/>
      <c r="J17789" s="1362"/>
      <c r="K17789" s="1362"/>
      <c r="L17789" s="1362"/>
    </row>
    <row r="17790" spans="1:12" x14ac:dyDescent="0.25">
      <c r="A17790">
        <v>11891</v>
      </c>
      <c r="B17790" t="s">
        <v>21292</v>
      </c>
      <c r="C17790" t="s">
        <v>2541</v>
      </c>
      <c r="D17790" s="254">
        <v>4.96</v>
      </c>
      <c r="E17790"/>
      <c r="F17790"/>
      <c r="G17790"/>
      <c r="H17790"/>
      <c r="I17790" s="489"/>
      <c r="J17790" s="1362"/>
      <c r="K17790" s="1362"/>
      <c r="L17790" s="1362"/>
    </row>
    <row r="17791" spans="1:12" x14ac:dyDescent="0.25">
      <c r="A17791">
        <v>11892</v>
      </c>
      <c r="B17791" t="s">
        <v>21293</v>
      </c>
      <c r="C17791" t="s">
        <v>2541</v>
      </c>
      <c r="D17791" s="254">
        <v>8.11</v>
      </c>
      <c r="E17791"/>
      <c r="F17791"/>
      <c r="G17791"/>
      <c r="H17791"/>
      <c r="I17791" s="489"/>
      <c r="J17791" s="1362"/>
      <c r="K17791" s="1362"/>
      <c r="L17791" s="1362"/>
    </row>
    <row r="17792" spans="1:12" x14ac:dyDescent="0.25">
      <c r="A17792">
        <v>37601</v>
      </c>
      <c r="B17792" t="s">
        <v>21294</v>
      </c>
      <c r="C17792" t="s">
        <v>2541</v>
      </c>
      <c r="D17792" s="254">
        <v>10</v>
      </c>
      <c r="E17792"/>
      <c r="F17792"/>
      <c r="G17792"/>
      <c r="H17792"/>
      <c r="I17792" s="489"/>
      <c r="J17792" s="1362"/>
      <c r="K17792" s="1362"/>
      <c r="L17792" s="1362"/>
    </row>
    <row r="17793" spans="1:12" x14ac:dyDescent="0.25">
      <c r="A17793">
        <v>1634</v>
      </c>
      <c r="B17793" t="s">
        <v>21295</v>
      </c>
      <c r="C17793" t="s">
        <v>2541</v>
      </c>
      <c r="D17793" s="254">
        <v>10.33</v>
      </c>
      <c r="E17793"/>
      <c r="F17793"/>
      <c r="G17793"/>
      <c r="H17793"/>
      <c r="I17793" s="489"/>
      <c r="J17793" s="1362"/>
      <c r="K17793" s="1362"/>
      <c r="L17793" s="1362"/>
    </row>
    <row r="17794" spans="1:12" x14ac:dyDescent="0.25">
      <c r="A17794">
        <v>5086</v>
      </c>
      <c r="B17794" t="s">
        <v>21296</v>
      </c>
      <c r="C17794" t="s">
        <v>2542</v>
      </c>
      <c r="D17794" s="254">
        <v>34.36</v>
      </c>
      <c r="E17794"/>
      <c r="F17794"/>
      <c r="G17794"/>
      <c r="H17794"/>
      <c r="I17794" s="489"/>
      <c r="J17794" s="1362"/>
      <c r="K17794" s="1362"/>
      <c r="L17794" s="1362"/>
    </row>
    <row r="17795" spans="1:12" x14ac:dyDescent="0.25">
      <c r="A17795">
        <v>11280</v>
      </c>
      <c r="B17795" t="s">
        <v>21297</v>
      </c>
      <c r="C17795" t="s">
        <v>2537</v>
      </c>
      <c r="D17795" s="254">
        <v>11502.83</v>
      </c>
      <c r="E17795"/>
      <c r="F17795"/>
      <c r="G17795"/>
      <c r="H17795"/>
      <c r="I17795" s="489"/>
      <c r="J17795" s="1362"/>
      <c r="K17795" s="1362"/>
      <c r="L17795" s="1362"/>
    </row>
    <row r="17796" spans="1:12" x14ac:dyDescent="0.25">
      <c r="A17796">
        <v>40519</v>
      </c>
      <c r="B17796" t="s">
        <v>21298</v>
      </c>
      <c r="C17796" t="s">
        <v>2537</v>
      </c>
      <c r="D17796" s="254">
        <v>94825.44</v>
      </c>
      <c r="E17796"/>
      <c r="F17796"/>
      <c r="G17796"/>
      <c r="H17796"/>
      <c r="I17796" s="489"/>
      <c r="J17796" s="1362"/>
      <c r="K17796" s="1362"/>
      <c r="L17796" s="1362"/>
    </row>
    <row r="17797" spans="1:12" x14ac:dyDescent="0.25">
      <c r="A17797">
        <v>39869</v>
      </c>
      <c r="B17797" t="s">
        <v>21299</v>
      </c>
      <c r="C17797" t="s">
        <v>2537</v>
      </c>
      <c r="D17797" s="254">
        <v>13.13</v>
      </c>
      <c r="E17797"/>
      <c r="F17797"/>
      <c r="G17797"/>
      <c r="H17797"/>
      <c r="I17797" s="489"/>
      <c r="J17797" s="1362"/>
      <c r="K17797" s="1362"/>
      <c r="L17797" s="1362"/>
    </row>
    <row r="17798" spans="1:12" x14ac:dyDescent="0.25">
      <c r="A17798">
        <v>39870</v>
      </c>
      <c r="B17798" t="s">
        <v>21300</v>
      </c>
      <c r="C17798" t="s">
        <v>2537</v>
      </c>
      <c r="D17798" s="254">
        <v>20.09</v>
      </c>
      <c r="E17798"/>
      <c r="F17798"/>
      <c r="G17798"/>
      <c r="H17798"/>
      <c r="I17798" s="489"/>
      <c r="J17798" s="1362"/>
      <c r="K17798" s="1362"/>
      <c r="L17798" s="1362"/>
    </row>
    <row r="17799" spans="1:12" x14ac:dyDescent="0.25">
      <c r="A17799">
        <v>39871</v>
      </c>
      <c r="B17799" t="s">
        <v>21301</v>
      </c>
      <c r="C17799" t="s">
        <v>2537</v>
      </c>
      <c r="D17799" s="254">
        <v>22.52</v>
      </c>
      <c r="E17799"/>
      <c r="F17799"/>
      <c r="G17799"/>
      <c r="H17799"/>
      <c r="I17799" s="489"/>
      <c r="J17799" s="1362"/>
      <c r="K17799" s="1362"/>
      <c r="L17799" s="1362"/>
    </row>
    <row r="17800" spans="1:12" x14ac:dyDescent="0.25">
      <c r="A17800">
        <v>12722</v>
      </c>
      <c r="B17800" t="s">
        <v>21302</v>
      </c>
      <c r="C17800" t="s">
        <v>2537</v>
      </c>
      <c r="D17800" s="254">
        <v>753.58</v>
      </c>
      <c r="E17800"/>
      <c r="F17800"/>
      <c r="G17800"/>
      <c r="H17800"/>
      <c r="I17800" s="489"/>
      <c r="J17800" s="1362"/>
      <c r="K17800" s="1362"/>
      <c r="L17800" s="1362"/>
    </row>
    <row r="17801" spans="1:12" x14ac:dyDescent="0.25">
      <c r="A17801">
        <v>12714</v>
      </c>
      <c r="B17801" t="s">
        <v>21303</v>
      </c>
      <c r="C17801" t="s">
        <v>2537</v>
      </c>
      <c r="D17801" s="254">
        <v>4.92</v>
      </c>
      <c r="E17801"/>
      <c r="F17801"/>
      <c r="G17801"/>
      <c r="H17801"/>
      <c r="I17801" s="489"/>
      <c r="J17801" s="1362"/>
      <c r="K17801" s="1362"/>
      <c r="L17801" s="1362"/>
    </row>
    <row r="17802" spans="1:12" x14ac:dyDescent="0.25">
      <c r="A17802">
        <v>12715</v>
      </c>
      <c r="B17802" t="s">
        <v>21304</v>
      </c>
      <c r="C17802" t="s">
        <v>2537</v>
      </c>
      <c r="D17802" s="254">
        <v>11.1</v>
      </c>
      <c r="E17802"/>
      <c r="F17802"/>
      <c r="G17802"/>
      <c r="H17802"/>
      <c r="I17802" s="489"/>
      <c r="J17802" s="1362"/>
      <c r="K17802" s="1362"/>
      <c r="L17802" s="1362"/>
    </row>
    <row r="17803" spans="1:12" x14ac:dyDescent="0.25">
      <c r="A17803">
        <v>12716</v>
      </c>
      <c r="B17803" t="s">
        <v>21305</v>
      </c>
      <c r="C17803" t="s">
        <v>2537</v>
      </c>
      <c r="D17803" s="254">
        <v>19.07</v>
      </c>
      <c r="E17803"/>
      <c r="F17803"/>
      <c r="G17803"/>
      <c r="H17803"/>
      <c r="I17803" s="489"/>
      <c r="J17803" s="1362"/>
      <c r="K17803" s="1362"/>
      <c r="L17803" s="1362"/>
    </row>
    <row r="17804" spans="1:12" x14ac:dyDescent="0.25">
      <c r="A17804">
        <v>12717</v>
      </c>
      <c r="B17804" t="s">
        <v>21306</v>
      </c>
      <c r="C17804" t="s">
        <v>2537</v>
      </c>
      <c r="D17804" s="254">
        <v>37.49</v>
      </c>
      <c r="E17804"/>
      <c r="F17804"/>
      <c r="G17804"/>
      <c r="H17804"/>
      <c r="I17804" s="489"/>
      <c r="J17804" s="1362"/>
      <c r="K17804" s="1362"/>
      <c r="L17804" s="1362"/>
    </row>
    <row r="17805" spans="1:12" x14ac:dyDescent="0.25">
      <c r="A17805">
        <v>12718</v>
      </c>
      <c r="B17805" t="s">
        <v>21307</v>
      </c>
      <c r="C17805" t="s">
        <v>2537</v>
      </c>
      <c r="D17805" s="254">
        <v>57.53</v>
      </c>
      <c r="E17805"/>
      <c r="F17805"/>
      <c r="G17805"/>
      <c r="H17805"/>
      <c r="I17805" s="489"/>
      <c r="J17805" s="1362"/>
      <c r="K17805" s="1362"/>
      <c r="L17805" s="1362"/>
    </row>
    <row r="17806" spans="1:12" x14ac:dyDescent="0.25">
      <c r="A17806">
        <v>12719</v>
      </c>
      <c r="B17806" t="s">
        <v>21308</v>
      </c>
      <c r="C17806" t="s">
        <v>2537</v>
      </c>
      <c r="D17806" s="254">
        <v>91.34</v>
      </c>
      <c r="E17806"/>
      <c r="F17806"/>
      <c r="G17806"/>
      <c r="H17806"/>
      <c r="I17806" s="489"/>
      <c r="J17806" s="1362"/>
      <c r="K17806" s="1362"/>
      <c r="L17806" s="1362"/>
    </row>
    <row r="17807" spans="1:12" x14ac:dyDescent="0.25">
      <c r="A17807">
        <v>12720</v>
      </c>
      <c r="B17807" t="s">
        <v>21309</v>
      </c>
      <c r="C17807" t="s">
        <v>2537</v>
      </c>
      <c r="D17807" s="254">
        <v>318.02999999999997</v>
      </c>
      <c r="E17807"/>
      <c r="F17807"/>
      <c r="G17807"/>
      <c r="H17807"/>
      <c r="I17807" s="489"/>
      <c r="J17807" s="1362"/>
      <c r="K17807" s="1362"/>
      <c r="L17807" s="1362"/>
    </row>
    <row r="17808" spans="1:12" x14ac:dyDescent="0.25">
      <c r="A17808">
        <v>12721</v>
      </c>
      <c r="B17808" t="s">
        <v>21310</v>
      </c>
      <c r="C17808" t="s">
        <v>2537</v>
      </c>
      <c r="D17808" s="254">
        <v>304.97000000000003</v>
      </c>
      <c r="E17808"/>
      <c r="F17808"/>
      <c r="G17808"/>
      <c r="H17808"/>
      <c r="I17808" s="489"/>
      <c r="J17808" s="1362"/>
      <c r="K17808" s="1362"/>
      <c r="L17808" s="1362"/>
    </row>
    <row r="17809" spans="1:12" x14ac:dyDescent="0.25">
      <c r="A17809">
        <v>3468</v>
      </c>
      <c r="B17809" t="s">
        <v>21311</v>
      </c>
      <c r="C17809" t="s">
        <v>2537</v>
      </c>
      <c r="D17809" s="254">
        <v>44.5</v>
      </c>
      <c r="E17809"/>
      <c r="F17809"/>
      <c r="G17809"/>
      <c r="H17809"/>
      <c r="I17809" s="489"/>
      <c r="J17809" s="1362"/>
      <c r="K17809" s="1362"/>
      <c r="L17809" s="1362"/>
    </row>
    <row r="17810" spans="1:12" x14ac:dyDescent="0.25">
      <c r="A17810">
        <v>3465</v>
      </c>
      <c r="B17810" t="s">
        <v>21312</v>
      </c>
      <c r="C17810" t="s">
        <v>2537</v>
      </c>
      <c r="D17810" s="254">
        <v>44.49</v>
      </c>
      <c r="E17810"/>
      <c r="F17810"/>
      <c r="G17810"/>
      <c r="H17810"/>
      <c r="I17810" s="489"/>
      <c r="J17810" s="1362"/>
      <c r="K17810" s="1362"/>
      <c r="L17810" s="1362"/>
    </row>
    <row r="17811" spans="1:12" x14ac:dyDescent="0.25">
      <c r="A17811">
        <v>12403</v>
      </c>
      <c r="B17811" t="s">
        <v>21313</v>
      </c>
      <c r="C17811" t="s">
        <v>2537</v>
      </c>
      <c r="D17811" s="254">
        <v>31.71</v>
      </c>
      <c r="E17811"/>
      <c r="F17811"/>
      <c r="G17811"/>
      <c r="H17811"/>
      <c r="I17811" s="489"/>
      <c r="J17811" s="1362"/>
      <c r="K17811" s="1362"/>
      <c r="L17811" s="1362"/>
    </row>
    <row r="17812" spans="1:12" x14ac:dyDescent="0.25">
      <c r="A17812">
        <v>3463</v>
      </c>
      <c r="B17812" t="s">
        <v>21314</v>
      </c>
      <c r="C17812" t="s">
        <v>2537</v>
      </c>
      <c r="D17812" s="254">
        <v>18.52</v>
      </c>
      <c r="E17812"/>
      <c r="F17812"/>
      <c r="G17812"/>
      <c r="H17812"/>
      <c r="I17812" s="489"/>
      <c r="J17812" s="1362"/>
      <c r="K17812" s="1362"/>
      <c r="L17812" s="1362"/>
    </row>
    <row r="17813" spans="1:12" x14ac:dyDescent="0.25">
      <c r="A17813">
        <v>3464</v>
      </c>
      <c r="B17813" t="s">
        <v>21315</v>
      </c>
      <c r="C17813" t="s">
        <v>2537</v>
      </c>
      <c r="D17813" s="254">
        <v>18.52</v>
      </c>
      <c r="E17813"/>
      <c r="F17813"/>
      <c r="G17813"/>
      <c r="H17813"/>
      <c r="I17813" s="489"/>
      <c r="J17813" s="1362"/>
      <c r="K17813" s="1362"/>
      <c r="L17813" s="1362"/>
    </row>
    <row r="17814" spans="1:12" x14ac:dyDescent="0.25">
      <c r="A17814">
        <v>3466</v>
      </c>
      <c r="B17814" t="s">
        <v>21316</v>
      </c>
      <c r="C17814" t="s">
        <v>2537</v>
      </c>
      <c r="D17814" s="254">
        <v>112.99</v>
      </c>
      <c r="E17814"/>
      <c r="F17814"/>
      <c r="G17814"/>
      <c r="H17814"/>
      <c r="I17814" s="489"/>
      <c r="J17814" s="1362"/>
      <c r="K17814" s="1362"/>
      <c r="L17814" s="1362"/>
    </row>
    <row r="17815" spans="1:12" x14ac:dyDescent="0.25">
      <c r="A17815">
        <v>3467</v>
      </c>
      <c r="B17815" t="s">
        <v>21317</v>
      </c>
      <c r="C17815" t="s">
        <v>2537</v>
      </c>
      <c r="D17815" s="254">
        <v>63.81</v>
      </c>
      <c r="E17815"/>
      <c r="F17815"/>
      <c r="G17815"/>
      <c r="H17815"/>
      <c r="I17815" s="489"/>
      <c r="J17815" s="1362"/>
      <c r="K17815" s="1362"/>
      <c r="L17815" s="1362"/>
    </row>
    <row r="17816" spans="1:12" x14ac:dyDescent="0.25">
      <c r="A17816">
        <v>3462</v>
      </c>
      <c r="B17816" t="s">
        <v>21318</v>
      </c>
      <c r="C17816" t="s">
        <v>2537</v>
      </c>
      <c r="D17816" s="254">
        <v>12.22</v>
      </c>
      <c r="E17816"/>
      <c r="F17816"/>
      <c r="G17816"/>
      <c r="H17816"/>
      <c r="I17816" s="489"/>
      <c r="J17816" s="1362"/>
      <c r="K17816" s="1362"/>
      <c r="L17816" s="1362"/>
    </row>
    <row r="17817" spans="1:12" x14ac:dyDescent="0.25">
      <c r="A17817">
        <v>3446</v>
      </c>
      <c r="B17817" t="s">
        <v>21319</v>
      </c>
      <c r="C17817" t="s">
        <v>2537</v>
      </c>
      <c r="D17817" s="254">
        <v>37.619999999999997</v>
      </c>
      <c r="E17817"/>
      <c r="F17817"/>
      <c r="G17817"/>
      <c r="H17817"/>
      <c r="I17817" s="489"/>
      <c r="J17817" s="1362"/>
      <c r="K17817" s="1362"/>
      <c r="L17817" s="1362"/>
    </row>
    <row r="17818" spans="1:12" x14ac:dyDescent="0.25">
      <c r="A17818">
        <v>3445</v>
      </c>
      <c r="B17818" t="s">
        <v>21320</v>
      </c>
      <c r="C17818" t="s">
        <v>2537</v>
      </c>
      <c r="D17818" s="254">
        <v>30.71</v>
      </c>
      <c r="E17818"/>
      <c r="F17818"/>
      <c r="G17818"/>
      <c r="H17818"/>
      <c r="I17818" s="489"/>
      <c r="J17818" s="1362"/>
      <c r="K17818" s="1362"/>
      <c r="L17818" s="1362"/>
    </row>
    <row r="17819" spans="1:12" x14ac:dyDescent="0.25">
      <c r="A17819">
        <v>3441</v>
      </c>
      <c r="B17819" t="s">
        <v>21321</v>
      </c>
      <c r="C17819" t="s">
        <v>2537</v>
      </c>
      <c r="D17819" s="254">
        <v>8.67</v>
      </c>
      <c r="E17819"/>
      <c r="F17819"/>
      <c r="G17819"/>
      <c r="H17819"/>
      <c r="I17819" s="489"/>
      <c r="J17819" s="1362"/>
      <c r="K17819" s="1362"/>
      <c r="L17819" s="1362"/>
    </row>
    <row r="17820" spans="1:12" x14ac:dyDescent="0.25">
      <c r="A17820">
        <v>3444</v>
      </c>
      <c r="B17820" t="s">
        <v>21322</v>
      </c>
      <c r="C17820" t="s">
        <v>2537</v>
      </c>
      <c r="D17820" s="254">
        <v>18.899999999999999</v>
      </c>
      <c r="E17820"/>
      <c r="F17820"/>
      <c r="G17820"/>
      <c r="H17820"/>
      <c r="I17820" s="489"/>
      <c r="J17820" s="1362"/>
      <c r="K17820" s="1362"/>
      <c r="L17820" s="1362"/>
    </row>
    <row r="17821" spans="1:12" x14ac:dyDescent="0.25">
      <c r="A17821">
        <v>12402</v>
      </c>
      <c r="B17821" t="s">
        <v>21323</v>
      </c>
      <c r="C17821" t="s">
        <v>2537</v>
      </c>
      <c r="D17821" s="254">
        <v>105.74</v>
      </c>
      <c r="E17821"/>
      <c r="F17821"/>
      <c r="G17821"/>
      <c r="H17821"/>
      <c r="I17821" s="489"/>
      <c r="J17821" s="1362"/>
      <c r="K17821" s="1362"/>
      <c r="L17821" s="1362"/>
    </row>
    <row r="17822" spans="1:12" x14ac:dyDescent="0.25">
      <c r="A17822">
        <v>3447</v>
      </c>
      <c r="B17822" t="s">
        <v>21324</v>
      </c>
      <c r="C17822" t="s">
        <v>2537</v>
      </c>
      <c r="D17822" s="254">
        <v>54.71</v>
      </c>
      <c r="E17822"/>
      <c r="F17822"/>
      <c r="G17822"/>
      <c r="H17822"/>
      <c r="I17822" s="489"/>
      <c r="J17822" s="1362"/>
      <c r="K17822" s="1362"/>
      <c r="L17822" s="1362"/>
    </row>
    <row r="17823" spans="1:12" x14ac:dyDescent="0.25">
      <c r="A17823">
        <v>3442</v>
      </c>
      <c r="B17823" t="s">
        <v>21325</v>
      </c>
      <c r="C17823" t="s">
        <v>2537</v>
      </c>
      <c r="D17823" s="254">
        <v>12.96</v>
      </c>
      <c r="E17823"/>
      <c r="F17823"/>
      <c r="G17823"/>
      <c r="H17823"/>
      <c r="I17823" s="489"/>
      <c r="J17823" s="1362"/>
      <c r="K17823" s="1362"/>
      <c r="L17823" s="1362"/>
    </row>
    <row r="17824" spans="1:12" x14ac:dyDescent="0.25">
      <c r="A17824">
        <v>3448</v>
      </c>
      <c r="B17824" t="s">
        <v>21326</v>
      </c>
      <c r="C17824" t="s">
        <v>2537</v>
      </c>
      <c r="D17824" s="254">
        <v>154.6</v>
      </c>
      <c r="E17824"/>
      <c r="F17824"/>
      <c r="G17824"/>
      <c r="H17824"/>
      <c r="I17824" s="489"/>
      <c r="J17824" s="1362"/>
      <c r="K17824" s="1362"/>
      <c r="L17824" s="1362"/>
    </row>
    <row r="17825" spans="1:12" x14ac:dyDescent="0.25">
      <c r="A17825">
        <v>3449</v>
      </c>
      <c r="B17825" t="s">
        <v>21327</v>
      </c>
      <c r="C17825" t="s">
        <v>2537</v>
      </c>
      <c r="D17825" s="254">
        <v>270.89</v>
      </c>
      <c r="E17825"/>
      <c r="F17825"/>
      <c r="G17825"/>
      <c r="H17825"/>
      <c r="I17825" s="489"/>
      <c r="J17825" s="1362"/>
      <c r="K17825" s="1362"/>
      <c r="L17825" s="1362"/>
    </row>
    <row r="17826" spans="1:12" x14ac:dyDescent="0.25">
      <c r="A17826">
        <v>37438</v>
      </c>
      <c r="B17826" t="s">
        <v>21328</v>
      </c>
      <c r="C17826" t="s">
        <v>2537</v>
      </c>
      <c r="D17826" s="254">
        <v>255.01</v>
      </c>
      <c r="E17826"/>
      <c r="F17826"/>
      <c r="G17826"/>
      <c r="H17826"/>
      <c r="I17826" s="489"/>
      <c r="J17826" s="1362"/>
      <c r="K17826" s="1362"/>
      <c r="L17826" s="1362"/>
    </row>
    <row r="17827" spans="1:12" x14ac:dyDescent="0.25">
      <c r="A17827">
        <v>37439</v>
      </c>
      <c r="B17827" t="s">
        <v>21329</v>
      </c>
      <c r="C17827" t="s">
        <v>2537</v>
      </c>
      <c r="D17827" s="254">
        <v>1667.24</v>
      </c>
      <c r="E17827"/>
      <c r="F17827"/>
      <c r="G17827"/>
      <c r="H17827"/>
      <c r="I17827" s="489"/>
      <c r="J17827" s="1362"/>
      <c r="K17827" s="1362"/>
      <c r="L17827" s="1362"/>
    </row>
    <row r="17828" spans="1:12" x14ac:dyDescent="0.25">
      <c r="A17828">
        <v>37435</v>
      </c>
      <c r="B17828" t="s">
        <v>21330</v>
      </c>
      <c r="C17828" t="s">
        <v>2537</v>
      </c>
      <c r="D17828" s="254">
        <v>29.97</v>
      </c>
      <c r="E17828"/>
      <c r="F17828"/>
      <c r="G17828"/>
      <c r="H17828"/>
      <c r="I17828" s="489"/>
      <c r="J17828" s="1362"/>
      <c r="K17828" s="1362"/>
      <c r="L17828" s="1362"/>
    </row>
    <row r="17829" spans="1:12" x14ac:dyDescent="0.25">
      <c r="A17829">
        <v>37436</v>
      </c>
      <c r="B17829" t="s">
        <v>21331</v>
      </c>
      <c r="C17829" t="s">
        <v>2537</v>
      </c>
      <c r="D17829" s="254">
        <v>35.369999999999997</v>
      </c>
      <c r="E17829"/>
      <c r="F17829"/>
      <c r="G17829"/>
      <c r="H17829"/>
      <c r="I17829" s="489"/>
      <c r="J17829" s="1362"/>
      <c r="K17829" s="1362"/>
      <c r="L17829" s="1362"/>
    </row>
    <row r="17830" spans="1:12" x14ac:dyDescent="0.25">
      <c r="A17830">
        <v>37437</v>
      </c>
      <c r="B17830" t="s">
        <v>21332</v>
      </c>
      <c r="C17830" t="s">
        <v>2537</v>
      </c>
      <c r="D17830" s="254">
        <v>51.15</v>
      </c>
      <c r="E17830"/>
      <c r="F17830"/>
      <c r="G17830"/>
      <c r="H17830"/>
      <c r="I17830" s="489"/>
      <c r="J17830" s="1362"/>
      <c r="K17830" s="1362"/>
      <c r="L17830" s="1362"/>
    </row>
    <row r="17831" spans="1:12" x14ac:dyDescent="0.25">
      <c r="A17831">
        <v>3473</v>
      </c>
      <c r="B17831" t="s">
        <v>21333</v>
      </c>
      <c r="C17831" t="s">
        <v>2537</v>
      </c>
      <c r="D17831" s="254">
        <v>42.53</v>
      </c>
      <c r="E17831"/>
      <c r="F17831"/>
      <c r="G17831"/>
      <c r="H17831"/>
      <c r="I17831" s="489"/>
      <c r="J17831" s="1362"/>
      <c r="K17831" s="1362"/>
      <c r="L17831" s="1362"/>
    </row>
    <row r="17832" spans="1:12" x14ac:dyDescent="0.25">
      <c r="A17832">
        <v>3474</v>
      </c>
      <c r="B17832" t="s">
        <v>21334</v>
      </c>
      <c r="C17832" t="s">
        <v>2537</v>
      </c>
      <c r="D17832" s="254">
        <v>35.06</v>
      </c>
      <c r="E17832"/>
      <c r="F17832"/>
      <c r="G17832"/>
      <c r="H17832"/>
      <c r="I17832" s="489"/>
      <c r="J17832" s="1362"/>
      <c r="K17832" s="1362"/>
      <c r="L17832" s="1362"/>
    </row>
    <row r="17833" spans="1:12" x14ac:dyDescent="0.25">
      <c r="A17833">
        <v>3450</v>
      </c>
      <c r="B17833" t="s">
        <v>21335</v>
      </c>
      <c r="C17833" t="s">
        <v>2537</v>
      </c>
      <c r="D17833" s="254">
        <v>10.16</v>
      </c>
      <c r="E17833"/>
      <c r="F17833"/>
      <c r="G17833"/>
      <c r="H17833"/>
      <c r="I17833" s="489"/>
      <c r="J17833" s="1362"/>
      <c r="K17833" s="1362"/>
      <c r="L17833" s="1362"/>
    </row>
    <row r="17834" spans="1:12" x14ac:dyDescent="0.25">
      <c r="A17834">
        <v>3443</v>
      </c>
      <c r="B17834" t="s">
        <v>21336</v>
      </c>
      <c r="C17834" t="s">
        <v>2537</v>
      </c>
      <c r="D17834" s="254">
        <v>21.81</v>
      </c>
      <c r="E17834"/>
      <c r="F17834"/>
      <c r="G17834"/>
      <c r="H17834"/>
      <c r="I17834" s="489"/>
      <c r="J17834" s="1362"/>
      <c r="K17834" s="1362"/>
      <c r="L17834" s="1362"/>
    </row>
    <row r="17835" spans="1:12" x14ac:dyDescent="0.25">
      <c r="A17835">
        <v>3453</v>
      </c>
      <c r="B17835" t="s">
        <v>21337</v>
      </c>
      <c r="C17835" t="s">
        <v>2537</v>
      </c>
      <c r="D17835" s="254">
        <v>124.15</v>
      </c>
      <c r="E17835"/>
      <c r="F17835"/>
      <c r="G17835"/>
      <c r="H17835"/>
      <c r="I17835" s="489"/>
      <c r="J17835" s="1362"/>
      <c r="K17835" s="1362"/>
      <c r="L17835" s="1362"/>
    </row>
    <row r="17836" spans="1:12" x14ac:dyDescent="0.25">
      <c r="A17836">
        <v>3452</v>
      </c>
      <c r="B17836" t="s">
        <v>21338</v>
      </c>
      <c r="C17836" t="s">
        <v>2537</v>
      </c>
      <c r="D17836" s="254">
        <v>61.28</v>
      </c>
      <c r="E17836"/>
      <c r="F17836"/>
      <c r="G17836"/>
      <c r="H17836"/>
      <c r="I17836" s="489"/>
      <c r="J17836" s="1362"/>
      <c r="K17836" s="1362"/>
      <c r="L17836" s="1362"/>
    </row>
    <row r="17837" spans="1:12" x14ac:dyDescent="0.25">
      <c r="A17837">
        <v>3451</v>
      </c>
      <c r="B17837" t="s">
        <v>21339</v>
      </c>
      <c r="C17837" t="s">
        <v>2537</v>
      </c>
      <c r="D17837" s="254">
        <v>12.15</v>
      </c>
      <c r="E17837"/>
      <c r="F17837"/>
      <c r="G17837"/>
      <c r="H17837"/>
      <c r="I17837" s="489"/>
      <c r="J17837" s="1362"/>
      <c r="K17837" s="1362"/>
      <c r="L17837" s="1362"/>
    </row>
    <row r="17838" spans="1:12" x14ac:dyDescent="0.25">
      <c r="A17838">
        <v>3454</v>
      </c>
      <c r="B17838" t="s">
        <v>21340</v>
      </c>
      <c r="C17838" t="s">
        <v>2537</v>
      </c>
      <c r="D17838" s="254">
        <v>188.83</v>
      </c>
      <c r="E17838"/>
      <c r="F17838"/>
      <c r="G17838"/>
      <c r="H17838"/>
      <c r="I17838" s="489"/>
      <c r="J17838" s="1362"/>
      <c r="K17838" s="1362"/>
      <c r="L17838" s="1362"/>
    </row>
    <row r="17839" spans="1:12" x14ac:dyDescent="0.25">
      <c r="A17839">
        <v>3458</v>
      </c>
      <c r="B17839" t="s">
        <v>21341</v>
      </c>
      <c r="C17839" t="s">
        <v>2537</v>
      </c>
      <c r="D17839" s="254">
        <v>34.090000000000003</v>
      </c>
      <c r="E17839"/>
      <c r="F17839"/>
      <c r="G17839"/>
      <c r="H17839"/>
      <c r="I17839" s="489"/>
      <c r="J17839" s="1362"/>
      <c r="K17839" s="1362"/>
      <c r="L17839" s="1362"/>
    </row>
    <row r="17840" spans="1:12" x14ac:dyDescent="0.25">
      <c r="A17840">
        <v>3457</v>
      </c>
      <c r="B17840" t="s">
        <v>21342</v>
      </c>
      <c r="C17840" t="s">
        <v>2537</v>
      </c>
      <c r="D17840" s="254">
        <v>25.59</v>
      </c>
      <c r="E17840"/>
      <c r="F17840"/>
      <c r="G17840"/>
      <c r="H17840"/>
      <c r="I17840" s="489"/>
      <c r="J17840" s="1362"/>
      <c r="K17840" s="1362"/>
      <c r="L17840" s="1362"/>
    </row>
    <row r="17841" spans="1:12" x14ac:dyDescent="0.25">
      <c r="A17841">
        <v>3455</v>
      </c>
      <c r="B17841" t="s">
        <v>21343</v>
      </c>
      <c r="C17841" t="s">
        <v>2537</v>
      </c>
      <c r="D17841" s="254">
        <v>7.27</v>
      </c>
      <c r="E17841"/>
      <c r="F17841"/>
      <c r="G17841"/>
      <c r="H17841"/>
      <c r="I17841" s="489"/>
      <c r="J17841" s="1362"/>
      <c r="K17841" s="1362"/>
      <c r="L17841" s="1362"/>
    </row>
    <row r="17842" spans="1:12" x14ac:dyDescent="0.25">
      <c r="A17842">
        <v>3472</v>
      </c>
      <c r="B17842" t="s">
        <v>21344</v>
      </c>
      <c r="C17842" t="s">
        <v>2537</v>
      </c>
      <c r="D17842" s="254">
        <v>16.329999999999998</v>
      </c>
      <c r="E17842"/>
      <c r="F17842"/>
      <c r="G17842"/>
      <c r="H17842"/>
      <c r="I17842" s="489"/>
      <c r="J17842" s="1362"/>
      <c r="K17842" s="1362"/>
      <c r="L17842" s="1362"/>
    </row>
    <row r="17843" spans="1:12" x14ac:dyDescent="0.25">
      <c r="A17843">
        <v>3470</v>
      </c>
      <c r="B17843" t="s">
        <v>21345</v>
      </c>
      <c r="C17843" t="s">
        <v>2537</v>
      </c>
      <c r="D17843" s="254">
        <v>95.2</v>
      </c>
      <c r="E17843"/>
      <c r="F17843"/>
      <c r="G17843"/>
      <c r="H17843"/>
      <c r="I17843" s="489"/>
      <c r="J17843" s="1362"/>
      <c r="K17843" s="1362"/>
      <c r="L17843" s="1362"/>
    </row>
    <row r="17844" spans="1:12" x14ac:dyDescent="0.25">
      <c r="A17844">
        <v>3471</v>
      </c>
      <c r="B17844" t="s">
        <v>21346</v>
      </c>
      <c r="C17844" t="s">
        <v>2537</v>
      </c>
      <c r="D17844" s="254">
        <v>52.31</v>
      </c>
      <c r="E17844"/>
      <c r="F17844"/>
      <c r="G17844"/>
      <c r="H17844"/>
      <c r="I17844" s="489"/>
      <c r="J17844" s="1362"/>
      <c r="K17844" s="1362"/>
      <c r="L17844" s="1362"/>
    </row>
    <row r="17845" spans="1:12" x14ac:dyDescent="0.25">
      <c r="A17845">
        <v>3456</v>
      </c>
      <c r="B17845" t="s">
        <v>21347</v>
      </c>
      <c r="C17845" t="s">
        <v>2537</v>
      </c>
      <c r="D17845" s="254">
        <v>10.88</v>
      </c>
      <c r="E17845"/>
      <c r="F17845"/>
      <c r="G17845"/>
      <c r="H17845"/>
      <c r="I17845" s="489"/>
      <c r="J17845" s="1362"/>
      <c r="K17845" s="1362"/>
      <c r="L17845" s="1362"/>
    </row>
    <row r="17846" spans="1:12" x14ac:dyDescent="0.25">
      <c r="A17846">
        <v>3459</v>
      </c>
      <c r="B17846" t="s">
        <v>21348</v>
      </c>
      <c r="C17846" t="s">
        <v>2537</v>
      </c>
      <c r="D17846" s="254">
        <v>134.28</v>
      </c>
      <c r="E17846"/>
      <c r="F17846"/>
      <c r="G17846"/>
      <c r="H17846"/>
      <c r="I17846" s="489"/>
      <c r="J17846" s="1362"/>
      <c r="K17846" s="1362"/>
      <c r="L17846" s="1362"/>
    </row>
    <row r="17847" spans="1:12" x14ac:dyDescent="0.25">
      <c r="A17847">
        <v>3469</v>
      </c>
      <c r="B17847" t="s">
        <v>21349</v>
      </c>
      <c r="C17847" t="s">
        <v>2537</v>
      </c>
      <c r="D17847" s="254">
        <v>255.36</v>
      </c>
      <c r="E17847"/>
      <c r="F17847"/>
      <c r="G17847"/>
      <c r="H17847"/>
      <c r="I17847" s="489"/>
      <c r="J17847" s="1362"/>
      <c r="K17847" s="1362"/>
      <c r="L17847" s="1362"/>
    </row>
    <row r="17848" spans="1:12" x14ac:dyDescent="0.25">
      <c r="A17848">
        <v>3460</v>
      </c>
      <c r="B17848" t="s">
        <v>21350</v>
      </c>
      <c r="C17848" t="s">
        <v>2537</v>
      </c>
      <c r="D17848" s="254">
        <v>372.61</v>
      </c>
      <c r="E17848"/>
      <c r="F17848"/>
      <c r="G17848"/>
      <c r="H17848"/>
      <c r="I17848" s="489"/>
      <c r="J17848" s="1362"/>
      <c r="K17848" s="1362"/>
      <c r="L17848" s="1362"/>
    </row>
    <row r="17849" spans="1:12" x14ac:dyDescent="0.25">
      <c r="A17849">
        <v>3461</v>
      </c>
      <c r="B17849" t="s">
        <v>21351</v>
      </c>
      <c r="C17849" t="s">
        <v>2537</v>
      </c>
      <c r="D17849" s="254">
        <v>952.38</v>
      </c>
      <c r="E17849"/>
      <c r="F17849"/>
      <c r="G17849"/>
      <c r="H17849"/>
      <c r="I17849" s="489"/>
      <c r="J17849" s="1362"/>
      <c r="K17849" s="1362"/>
      <c r="L17849" s="1362"/>
    </row>
    <row r="17850" spans="1:12" x14ac:dyDescent="0.25">
      <c r="A17850">
        <v>37433</v>
      </c>
      <c r="B17850" t="s">
        <v>21352</v>
      </c>
      <c r="C17850" t="s">
        <v>2537</v>
      </c>
      <c r="D17850" s="254">
        <v>255.01</v>
      </c>
      <c r="E17850"/>
      <c r="F17850"/>
      <c r="G17850"/>
      <c r="H17850"/>
      <c r="I17850" s="489"/>
      <c r="J17850" s="1362"/>
      <c r="K17850" s="1362"/>
      <c r="L17850" s="1362"/>
    </row>
    <row r="17851" spans="1:12" x14ac:dyDescent="0.25">
      <c r="A17851">
        <v>37430</v>
      </c>
      <c r="B17851" t="s">
        <v>21353</v>
      </c>
      <c r="C17851" t="s">
        <v>2537</v>
      </c>
      <c r="D17851" s="254">
        <v>31.96</v>
      </c>
      <c r="E17851"/>
      <c r="F17851"/>
      <c r="G17851"/>
      <c r="H17851"/>
      <c r="I17851" s="489"/>
      <c r="J17851" s="1362"/>
      <c r="K17851" s="1362"/>
      <c r="L17851" s="1362"/>
    </row>
    <row r="17852" spans="1:12" x14ac:dyDescent="0.25">
      <c r="A17852">
        <v>37434</v>
      </c>
      <c r="B17852" t="s">
        <v>21354</v>
      </c>
      <c r="C17852" t="s">
        <v>2537</v>
      </c>
      <c r="D17852" s="254">
        <v>2377.71</v>
      </c>
      <c r="E17852"/>
      <c r="F17852"/>
      <c r="G17852"/>
      <c r="H17852"/>
      <c r="I17852" s="489"/>
      <c r="J17852" s="1362"/>
      <c r="K17852" s="1362"/>
      <c r="L17852" s="1362"/>
    </row>
    <row r="17853" spans="1:12" x14ac:dyDescent="0.25">
      <c r="A17853">
        <v>37431</v>
      </c>
      <c r="B17853" t="s">
        <v>21355</v>
      </c>
      <c r="C17853" t="s">
        <v>2537</v>
      </c>
      <c r="D17853" s="254">
        <v>43.35</v>
      </c>
      <c r="E17853"/>
      <c r="F17853"/>
      <c r="G17853"/>
      <c r="H17853"/>
      <c r="I17853" s="489"/>
      <c r="J17853" s="1362"/>
      <c r="K17853" s="1362"/>
      <c r="L17853" s="1362"/>
    </row>
    <row r="17854" spans="1:12" x14ac:dyDescent="0.25">
      <c r="A17854">
        <v>37432</v>
      </c>
      <c r="B17854" t="s">
        <v>21356</v>
      </c>
      <c r="C17854" t="s">
        <v>2537</v>
      </c>
      <c r="D17854" s="254">
        <v>79.959999999999994</v>
      </c>
      <c r="E17854"/>
      <c r="F17854"/>
      <c r="G17854"/>
      <c r="H17854"/>
      <c r="I17854" s="489"/>
      <c r="J17854" s="1362"/>
      <c r="K17854" s="1362"/>
      <c r="L17854" s="1362"/>
    </row>
    <row r="17855" spans="1:12" x14ac:dyDescent="0.25">
      <c r="A17855">
        <v>37413</v>
      </c>
      <c r="B17855" t="s">
        <v>21357</v>
      </c>
      <c r="C17855" t="s">
        <v>2537</v>
      </c>
      <c r="D17855" s="254">
        <v>4.88</v>
      </c>
      <c r="E17855"/>
      <c r="F17855"/>
      <c r="G17855"/>
      <c r="H17855"/>
      <c r="I17855" s="489"/>
      <c r="J17855" s="1362"/>
      <c r="K17855" s="1362"/>
      <c r="L17855" s="1362"/>
    </row>
    <row r="17856" spans="1:12" x14ac:dyDescent="0.25">
      <c r="A17856">
        <v>37414</v>
      </c>
      <c r="B17856" t="s">
        <v>21358</v>
      </c>
      <c r="C17856" t="s">
        <v>2537</v>
      </c>
      <c r="D17856" s="254">
        <v>5.54</v>
      </c>
      <c r="E17856"/>
      <c r="F17856"/>
      <c r="G17856"/>
      <c r="H17856"/>
      <c r="I17856" s="489"/>
      <c r="J17856" s="1362"/>
      <c r="K17856" s="1362"/>
      <c r="L17856" s="1362"/>
    </row>
    <row r="17857" spans="1:12" x14ac:dyDescent="0.25">
      <c r="A17857">
        <v>37415</v>
      </c>
      <c r="B17857" t="s">
        <v>21359</v>
      </c>
      <c r="C17857" t="s">
        <v>2537</v>
      </c>
      <c r="D17857" s="254">
        <v>10.06</v>
      </c>
      <c r="E17857"/>
      <c r="F17857"/>
      <c r="G17857"/>
      <c r="H17857"/>
      <c r="I17857" s="489"/>
      <c r="J17857" s="1362"/>
      <c r="K17857" s="1362"/>
      <c r="L17857" s="1362"/>
    </row>
    <row r="17858" spans="1:12" x14ac:dyDescent="0.25">
      <c r="A17858">
        <v>37416</v>
      </c>
      <c r="B17858" t="s">
        <v>21360</v>
      </c>
      <c r="C17858" t="s">
        <v>2537</v>
      </c>
      <c r="D17858" s="254">
        <v>4.5599999999999996</v>
      </c>
      <c r="E17858"/>
      <c r="F17858"/>
      <c r="G17858"/>
      <c r="H17858"/>
      <c r="I17858" s="489"/>
      <c r="J17858" s="1362"/>
      <c r="K17858" s="1362"/>
      <c r="L17858" s="1362"/>
    </row>
    <row r="17859" spans="1:12" x14ac:dyDescent="0.25">
      <c r="A17859">
        <v>37417</v>
      </c>
      <c r="B17859" t="s">
        <v>21361</v>
      </c>
      <c r="C17859" t="s">
        <v>2537</v>
      </c>
      <c r="D17859" s="254">
        <v>6.56</v>
      </c>
      <c r="E17859"/>
      <c r="F17859"/>
      <c r="G17859"/>
      <c r="H17859"/>
      <c r="I17859" s="489"/>
      <c r="J17859" s="1362"/>
      <c r="K17859" s="1362"/>
      <c r="L17859" s="1362"/>
    </row>
    <row r="17860" spans="1:12" x14ac:dyDescent="0.25">
      <c r="A17860">
        <v>43590</v>
      </c>
      <c r="B17860" t="s">
        <v>21362</v>
      </c>
      <c r="C17860" t="s">
        <v>2537</v>
      </c>
      <c r="D17860" s="254">
        <v>159.74</v>
      </c>
      <c r="E17860"/>
      <c r="F17860"/>
      <c r="G17860"/>
      <c r="H17860"/>
      <c r="I17860" s="489"/>
      <c r="J17860" s="1362"/>
      <c r="K17860" s="1362"/>
      <c r="L17860" s="1362"/>
    </row>
    <row r="17861" spans="1:12" x14ac:dyDescent="0.25">
      <c r="A17861">
        <v>43589</v>
      </c>
      <c r="B17861" t="s">
        <v>21363</v>
      </c>
      <c r="C17861" t="s">
        <v>2537</v>
      </c>
      <c r="D17861" s="254">
        <v>28.9</v>
      </c>
      <c r="E17861"/>
      <c r="F17861"/>
      <c r="G17861"/>
      <c r="H17861"/>
      <c r="I17861" s="489"/>
      <c r="J17861" s="1362"/>
      <c r="K17861" s="1362"/>
      <c r="L17861" s="1362"/>
    </row>
    <row r="17862" spans="1:12" x14ac:dyDescent="0.25">
      <c r="A17862">
        <v>34519</v>
      </c>
      <c r="B17862" t="s">
        <v>21364</v>
      </c>
      <c r="C17862" t="s">
        <v>2537</v>
      </c>
      <c r="D17862" s="254">
        <v>129.44999999999999</v>
      </c>
      <c r="E17862"/>
      <c r="F17862"/>
      <c r="G17862"/>
      <c r="H17862"/>
      <c r="I17862" s="489"/>
      <c r="J17862" s="1362"/>
      <c r="K17862" s="1362"/>
      <c r="L17862" s="1362"/>
    </row>
    <row r="17863" spans="1:12" x14ac:dyDescent="0.25">
      <c r="A17863">
        <v>1649</v>
      </c>
      <c r="B17863" t="s">
        <v>21365</v>
      </c>
      <c r="C17863" t="s">
        <v>2537</v>
      </c>
      <c r="D17863" s="254">
        <v>80.400000000000006</v>
      </c>
      <c r="E17863"/>
      <c r="F17863"/>
      <c r="G17863"/>
      <c r="H17863"/>
      <c r="I17863" s="489"/>
      <c r="J17863" s="1362"/>
      <c r="K17863" s="1362"/>
      <c r="L17863" s="1362"/>
    </row>
    <row r="17864" spans="1:12" x14ac:dyDescent="0.25">
      <c r="A17864">
        <v>1653</v>
      </c>
      <c r="B17864" t="s">
        <v>21366</v>
      </c>
      <c r="C17864" t="s">
        <v>2537</v>
      </c>
      <c r="D17864" s="254">
        <v>62.98</v>
      </c>
      <c r="E17864"/>
      <c r="F17864"/>
      <c r="G17864"/>
      <c r="H17864"/>
      <c r="I17864" s="489"/>
      <c r="J17864" s="1362"/>
      <c r="K17864" s="1362"/>
      <c r="L17864" s="1362"/>
    </row>
    <row r="17865" spans="1:12" x14ac:dyDescent="0.25">
      <c r="A17865">
        <v>1647</v>
      </c>
      <c r="B17865" t="s">
        <v>21367</v>
      </c>
      <c r="C17865" t="s">
        <v>2537</v>
      </c>
      <c r="D17865" s="254">
        <v>22.55</v>
      </c>
      <c r="E17865"/>
      <c r="F17865"/>
      <c r="G17865"/>
      <c r="H17865"/>
      <c r="I17865" s="489"/>
      <c r="J17865" s="1362"/>
      <c r="K17865" s="1362"/>
      <c r="L17865" s="1362"/>
    </row>
    <row r="17866" spans="1:12" x14ac:dyDescent="0.25">
      <c r="A17866">
        <v>1648</v>
      </c>
      <c r="B17866" t="s">
        <v>21368</v>
      </c>
      <c r="C17866" t="s">
        <v>2537</v>
      </c>
      <c r="D17866" s="254">
        <v>43.3</v>
      </c>
      <c r="E17866"/>
      <c r="F17866"/>
      <c r="G17866"/>
      <c r="H17866"/>
      <c r="I17866" s="489"/>
      <c r="J17866" s="1362"/>
      <c r="K17866" s="1362"/>
      <c r="L17866" s="1362"/>
    </row>
    <row r="17867" spans="1:12" x14ac:dyDescent="0.25">
      <c r="A17867">
        <v>1651</v>
      </c>
      <c r="B17867" t="s">
        <v>21369</v>
      </c>
      <c r="C17867" t="s">
        <v>2537</v>
      </c>
      <c r="D17867" s="254">
        <v>200.88</v>
      </c>
      <c r="E17867"/>
      <c r="F17867"/>
      <c r="G17867"/>
      <c r="H17867"/>
      <c r="I17867" s="489"/>
      <c r="J17867" s="1362"/>
      <c r="K17867" s="1362"/>
      <c r="L17867" s="1362"/>
    </row>
    <row r="17868" spans="1:12" x14ac:dyDescent="0.25">
      <c r="A17868">
        <v>1650</v>
      </c>
      <c r="B17868" t="s">
        <v>21370</v>
      </c>
      <c r="C17868" t="s">
        <v>2537</v>
      </c>
      <c r="D17868" s="254">
        <v>111.04</v>
      </c>
      <c r="E17868"/>
      <c r="F17868"/>
      <c r="G17868"/>
      <c r="H17868"/>
      <c r="I17868" s="489"/>
      <c r="J17868" s="1362"/>
      <c r="K17868" s="1362"/>
      <c r="L17868" s="1362"/>
    </row>
    <row r="17869" spans="1:12" x14ac:dyDescent="0.25">
      <c r="A17869">
        <v>1654</v>
      </c>
      <c r="B17869" t="s">
        <v>21371</v>
      </c>
      <c r="C17869" t="s">
        <v>2537</v>
      </c>
      <c r="D17869" s="254">
        <v>30.95</v>
      </c>
      <c r="E17869"/>
      <c r="F17869"/>
      <c r="G17869"/>
      <c r="H17869"/>
      <c r="I17869" s="489"/>
      <c r="J17869" s="1362"/>
      <c r="K17869" s="1362"/>
      <c r="L17869" s="1362"/>
    </row>
    <row r="17870" spans="1:12" x14ac:dyDescent="0.25">
      <c r="A17870">
        <v>1652</v>
      </c>
      <c r="B17870" t="s">
        <v>21372</v>
      </c>
      <c r="C17870" t="s">
        <v>2537</v>
      </c>
      <c r="D17870" s="254">
        <v>288.32</v>
      </c>
      <c r="E17870"/>
      <c r="F17870"/>
      <c r="G17870"/>
      <c r="H17870"/>
      <c r="I17870" s="489"/>
      <c r="J17870" s="1362"/>
      <c r="K17870" s="1362"/>
      <c r="L17870" s="1362"/>
    </row>
    <row r="17871" spans="1:12" x14ac:dyDescent="0.25">
      <c r="A17871">
        <v>10510</v>
      </c>
      <c r="B17871" t="s">
        <v>21373</v>
      </c>
      <c r="C17871" t="s">
        <v>2537</v>
      </c>
      <c r="D17871" s="254">
        <v>133.87</v>
      </c>
      <c r="E17871"/>
      <c r="F17871"/>
      <c r="G17871"/>
      <c r="H17871"/>
      <c r="I17871" s="489"/>
      <c r="J17871" s="1362"/>
      <c r="K17871" s="1362"/>
      <c r="L17871" s="1362"/>
    </row>
    <row r="17872" spans="1:12" x14ac:dyDescent="0.25">
      <c r="A17872">
        <v>1747</v>
      </c>
      <c r="B17872" t="s">
        <v>21374</v>
      </c>
      <c r="C17872" t="s">
        <v>2537</v>
      </c>
      <c r="D17872" s="254">
        <v>181.53</v>
      </c>
      <c r="E17872"/>
      <c r="F17872"/>
      <c r="G17872"/>
      <c r="H17872"/>
      <c r="I17872" s="489"/>
      <c r="J17872" s="1362"/>
      <c r="K17872" s="1362"/>
      <c r="L17872" s="1362"/>
    </row>
    <row r="17873" spans="1:12" x14ac:dyDescent="0.25">
      <c r="A17873">
        <v>1744</v>
      </c>
      <c r="B17873" t="s">
        <v>21375</v>
      </c>
      <c r="C17873" t="s">
        <v>2537</v>
      </c>
      <c r="D17873" s="254">
        <v>125.73</v>
      </c>
      <c r="E17873"/>
      <c r="F17873"/>
      <c r="G17873"/>
      <c r="H17873"/>
      <c r="I17873" s="489"/>
      <c r="J17873" s="1362"/>
      <c r="K17873" s="1362"/>
      <c r="L17873" s="1362"/>
    </row>
    <row r="17874" spans="1:12" x14ac:dyDescent="0.25">
      <c r="A17874">
        <v>1743</v>
      </c>
      <c r="B17874" t="s">
        <v>21376</v>
      </c>
      <c r="C17874" t="s">
        <v>2537</v>
      </c>
      <c r="D17874" s="254">
        <v>165.11</v>
      </c>
      <c r="E17874"/>
      <c r="F17874"/>
      <c r="G17874"/>
      <c r="H17874"/>
      <c r="I17874" s="489"/>
      <c r="J17874" s="1362"/>
      <c r="K17874" s="1362"/>
      <c r="L17874" s="1362"/>
    </row>
    <row r="17875" spans="1:12" x14ac:dyDescent="0.25">
      <c r="A17875">
        <v>39640</v>
      </c>
      <c r="B17875" t="s">
        <v>21377</v>
      </c>
      <c r="C17875" t="s">
        <v>2537</v>
      </c>
      <c r="D17875" s="254">
        <v>12.09</v>
      </c>
      <c r="E17875"/>
      <c r="F17875"/>
      <c r="G17875"/>
      <c r="H17875"/>
      <c r="I17875" s="489"/>
      <c r="J17875" s="1362"/>
      <c r="K17875" s="1362"/>
      <c r="L17875" s="1362"/>
    </row>
    <row r="17876" spans="1:12" x14ac:dyDescent="0.25">
      <c r="A17876">
        <v>7216</v>
      </c>
      <c r="B17876" t="s">
        <v>21378</v>
      </c>
      <c r="C17876" t="s">
        <v>2537</v>
      </c>
      <c r="D17876" s="254">
        <v>64.959999999999994</v>
      </c>
      <c r="E17876"/>
      <c r="F17876"/>
      <c r="G17876"/>
      <c r="H17876"/>
      <c r="I17876" s="489"/>
      <c r="J17876" s="1362"/>
      <c r="K17876" s="1362"/>
      <c r="L17876" s="1362"/>
    </row>
    <row r="17877" spans="1:12" x14ac:dyDescent="0.25">
      <c r="A17877">
        <v>20235</v>
      </c>
      <c r="B17877" t="s">
        <v>21379</v>
      </c>
      <c r="C17877" t="s">
        <v>2537</v>
      </c>
      <c r="D17877" s="254">
        <v>52.23</v>
      </c>
      <c r="E17877"/>
      <c r="F17877"/>
      <c r="G17877"/>
      <c r="H17877"/>
      <c r="I17877" s="489"/>
      <c r="J17877" s="1362"/>
      <c r="K17877" s="1362"/>
      <c r="L17877" s="1362"/>
    </row>
    <row r="17878" spans="1:12" x14ac:dyDescent="0.25">
      <c r="A17878">
        <v>7181</v>
      </c>
      <c r="B17878" t="s">
        <v>21380</v>
      </c>
      <c r="C17878" t="s">
        <v>2537</v>
      </c>
      <c r="D17878" s="254">
        <v>3.53</v>
      </c>
      <c r="E17878"/>
      <c r="F17878"/>
      <c r="G17878"/>
      <c r="H17878"/>
      <c r="I17878" s="489"/>
      <c r="J17878" s="1362"/>
      <c r="K17878" s="1362"/>
      <c r="L17878" s="1362"/>
    </row>
    <row r="17879" spans="1:12" x14ac:dyDescent="0.25">
      <c r="A17879">
        <v>40742</v>
      </c>
      <c r="B17879" t="s">
        <v>21381</v>
      </c>
      <c r="C17879" t="s">
        <v>2537</v>
      </c>
      <c r="D17879" s="254">
        <v>11.52</v>
      </c>
      <c r="E17879"/>
      <c r="F17879"/>
      <c r="G17879"/>
      <c r="H17879"/>
      <c r="I17879" s="489"/>
      <c r="J17879" s="1362"/>
      <c r="K17879" s="1362"/>
      <c r="L17879" s="1362"/>
    </row>
    <row r="17880" spans="1:12" x14ac:dyDescent="0.25">
      <c r="A17880">
        <v>7214</v>
      </c>
      <c r="B17880" t="s">
        <v>21382</v>
      </c>
      <c r="C17880" t="s">
        <v>2537</v>
      </c>
      <c r="D17880" s="254">
        <v>63.44</v>
      </c>
      <c r="E17880"/>
      <c r="F17880"/>
      <c r="G17880"/>
      <c r="H17880"/>
      <c r="I17880" s="489"/>
      <c r="J17880" s="1362"/>
      <c r="K17880" s="1362"/>
      <c r="L17880" s="1362"/>
    </row>
    <row r="17881" spans="1:12" x14ac:dyDescent="0.25">
      <c r="A17881">
        <v>7219</v>
      </c>
      <c r="B17881" t="s">
        <v>21383</v>
      </c>
      <c r="C17881" t="s">
        <v>2537</v>
      </c>
      <c r="D17881" s="254">
        <v>56.27</v>
      </c>
      <c r="E17881"/>
      <c r="F17881"/>
      <c r="G17881"/>
      <c r="H17881"/>
      <c r="I17881" s="489"/>
      <c r="J17881" s="1362"/>
      <c r="K17881" s="1362"/>
      <c r="L17881" s="1362"/>
    </row>
    <row r="17882" spans="1:12" x14ac:dyDescent="0.25">
      <c r="A17882">
        <v>37972</v>
      </c>
      <c r="B17882" t="s">
        <v>21384</v>
      </c>
      <c r="C17882" t="s">
        <v>2537</v>
      </c>
      <c r="D17882" s="254">
        <v>5.89</v>
      </c>
      <c r="E17882"/>
      <c r="F17882"/>
      <c r="G17882"/>
      <c r="H17882"/>
      <c r="I17882" s="489"/>
      <c r="J17882" s="1362"/>
      <c r="K17882" s="1362"/>
      <c r="L17882" s="1362"/>
    </row>
    <row r="17883" spans="1:12" x14ac:dyDescent="0.25">
      <c r="A17883">
        <v>37973</v>
      </c>
      <c r="B17883" t="s">
        <v>21385</v>
      </c>
      <c r="C17883" t="s">
        <v>2537</v>
      </c>
      <c r="D17883" s="254">
        <v>9.43</v>
      </c>
      <c r="E17883"/>
      <c r="F17883"/>
      <c r="G17883"/>
      <c r="H17883"/>
      <c r="I17883" s="489"/>
      <c r="J17883" s="1362"/>
      <c r="K17883" s="1362"/>
      <c r="L17883" s="1362"/>
    </row>
    <row r="17884" spans="1:12" x14ac:dyDescent="0.25">
      <c r="A17884">
        <v>37971</v>
      </c>
      <c r="B17884" t="s">
        <v>21386</v>
      </c>
      <c r="C17884" t="s">
        <v>2537</v>
      </c>
      <c r="D17884" s="254">
        <v>3.53</v>
      </c>
      <c r="E17884"/>
      <c r="F17884"/>
      <c r="G17884"/>
      <c r="H17884"/>
      <c r="I17884" s="489"/>
      <c r="J17884" s="1362"/>
      <c r="K17884" s="1362"/>
      <c r="L17884" s="1362"/>
    </row>
    <row r="17885" spans="1:12" x14ac:dyDescent="0.25">
      <c r="A17885">
        <v>20094</v>
      </c>
      <c r="B17885" t="s">
        <v>21387</v>
      </c>
      <c r="C17885" t="s">
        <v>2537</v>
      </c>
      <c r="D17885" s="254">
        <v>32.83</v>
      </c>
      <c r="E17885"/>
      <c r="F17885"/>
      <c r="G17885"/>
      <c r="H17885"/>
      <c r="I17885" s="489"/>
      <c r="J17885" s="1362"/>
      <c r="K17885" s="1362"/>
      <c r="L17885" s="1362"/>
    </row>
    <row r="17886" spans="1:12" x14ac:dyDescent="0.25">
      <c r="A17886">
        <v>20095</v>
      </c>
      <c r="B17886" t="s">
        <v>21388</v>
      </c>
      <c r="C17886" t="s">
        <v>2537</v>
      </c>
      <c r="D17886" s="254">
        <v>41.81</v>
      </c>
      <c r="E17886"/>
      <c r="F17886"/>
      <c r="G17886"/>
      <c r="H17886"/>
      <c r="I17886" s="489"/>
      <c r="J17886" s="1362"/>
      <c r="K17886" s="1362"/>
      <c r="L17886" s="1362"/>
    </row>
    <row r="17887" spans="1:12" x14ac:dyDescent="0.25">
      <c r="A17887">
        <v>1954</v>
      </c>
      <c r="B17887" t="s">
        <v>21389</v>
      </c>
      <c r="C17887" t="s">
        <v>2537</v>
      </c>
      <c r="D17887" s="254">
        <v>172.17</v>
      </c>
      <c r="E17887"/>
      <c r="F17887"/>
      <c r="G17887"/>
      <c r="H17887"/>
      <c r="I17887" s="489"/>
      <c r="J17887" s="1362"/>
      <c r="K17887" s="1362"/>
      <c r="L17887" s="1362"/>
    </row>
    <row r="17888" spans="1:12" x14ac:dyDescent="0.25">
      <c r="A17888">
        <v>1926</v>
      </c>
      <c r="B17888" t="s">
        <v>21390</v>
      </c>
      <c r="C17888" t="s">
        <v>2537</v>
      </c>
      <c r="D17888" s="254">
        <v>2.27</v>
      </c>
      <c r="E17888"/>
      <c r="F17888"/>
      <c r="G17888"/>
      <c r="H17888"/>
      <c r="I17888" s="489"/>
      <c r="J17888" s="1362"/>
      <c r="K17888" s="1362"/>
      <c r="L17888" s="1362"/>
    </row>
    <row r="17889" spans="1:12" x14ac:dyDescent="0.25">
      <c r="A17889">
        <v>1927</v>
      </c>
      <c r="B17889" t="s">
        <v>21391</v>
      </c>
      <c r="C17889" t="s">
        <v>2537</v>
      </c>
      <c r="D17889" s="254">
        <v>3</v>
      </c>
      <c r="E17889"/>
      <c r="F17889"/>
      <c r="G17889"/>
      <c r="H17889"/>
      <c r="I17889" s="489"/>
      <c r="J17889" s="1362"/>
      <c r="K17889" s="1362"/>
      <c r="L17889" s="1362"/>
    </row>
    <row r="17890" spans="1:12" x14ac:dyDescent="0.25">
      <c r="A17890">
        <v>1923</v>
      </c>
      <c r="B17890" t="s">
        <v>21392</v>
      </c>
      <c r="C17890" t="s">
        <v>2537</v>
      </c>
      <c r="D17890" s="254">
        <v>4.91</v>
      </c>
      <c r="E17890"/>
      <c r="F17890"/>
      <c r="G17890"/>
      <c r="H17890"/>
      <c r="I17890" s="489"/>
      <c r="J17890" s="1362"/>
      <c r="K17890" s="1362"/>
      <c r="L17890" s="1362"/>
    </row>
    <row r="17891" spans="1:12" x14ac:dyDescent="0.25">
      <c r="A17891">
        <v>1929</v>
      </c>
      <c r="B17891" t="s">
        <v>21393</v>
      </c>
      <c r="C17891" t="s">
        <v>2537</v>
      </c>
      <c r="D17891" s="254">
        <v>8.0399999999999991</v>
      </c>
      <c r="E17891"/>
      <c r="F17891"/>
      <c r="G17891"/>
      <c r="H17891"/>
      <c r="I17891" s="489"/>
      <c r="J17891" s="1362"/>
      <c r="K17891" s="1362"/>
      <c r="L17891" s="1362"/>
    </row>
    <row r="17892" spans="1:12" x14ac:dyDescent="0.25">
      <c r="A17892">
        <v>1930</v>
      </c>
      <c r="B17892" t="s">
        <v>21394</v>
      </c>
      <c r="C17892" t="s">
        <v>2537</v>
      </c>
      <c r="D17892" s="254">
        <v>15.59</v>
      </c>
      <c r="E17892"/>
      <c r="F17892"/>
      <c r="G17892"/>
      <c r="H17892"/>
      <c r="I17892" s="489"/>
      <c r="J17892" s="1362"/>
      <c r="K17892" s="1362"/>
      <c r="L17892" s="1362"/>
    </row>
    <row r="17893" spans="1:12" x14ac:dyDescent="0.25">
      <c r="A17893">
        <v>1924</v>
      </c>
      <c r="B17893" t="s">
        <v>21395</v>
      </c>
      <c r="C17893" t="s">
        <v>2537</v>
      </c>
      <c r="D17893" s="254">
        <v>26.87</v>
      </c>
      <c r="E17893"/>
      <c r="F17893"/>
      <c r="G17893"/>
      <c r="H17893"/>
      <c r="I17893" s="489"/>
      <c r="J17893" s="1362"/>
      <c r="K17893" s="1362"/>
      <c r="L17893" s="1362"/>
    </row>
    <row r="17894" spans="1:12" x14ac:dyDescent="0.25">
      <c r="A17894">
        <v>1922</v>
      </c>
      <c r="B17894" t="s">
        <v>21396</v>
      </c>
      <c r="C17894" t="s">
        <v>2537</v>
      </c>
      <c r="D17894" s="254">
        <v>39.92</v>
      </c>
      <c r="E17894"/>
      <c r="F17894"/>
      <c r="G17894"/>
      <c r="H17894"/>
      <c r="I17894" s="489"/>
      <c r="J17894" s="1362"/>
      <c r="K17894" s="1362"/>
      <c r="L17894" s="1362"/>
    </row>
    <row r="17895" spans="1:12" x14ac:dyDescent="0.25">
      <c r="A17895">
        <v>1953</v>
      </c>
      <c r="B17895" t="s">
        <v>21397</v>
      </c>
      <c r="C17895" t="s">
        <v>2537</v>
      </c>
      <c r="D17895" s="254">
        <v>69.75</v>
      </c>
      <c r="E17895"/>
      <c r="F17895"/>
      <c r="G17895"/>
      <c r="H17895"/>
      <c r="I17895" s="489"/>
      <c r="J17895" s="1362"/>
      <c r="K17895" s="1362"/>
      <c r="L17895" s="1362"/>
    </row>
    <row r="17896" spans="1:12" x14ac:dyDescent="0.25">
      <c r="A17896">
        <v>1962</v>
      </c>
      <c r="B17896" t="s">
        <v>21398</v>
      </c>
      <c r="C17896" t="s">
        <v>2537</v>
      </c>
      <c r="D17896" s="254">
        <v>228.22</v>
      </c>
      <c r="E17896"/>
      <c r="F17896"/>
      <c r="G17896"/>
      <c r="H17896"/>
      <c r="I17896" s="489"/>
      <c r="J17896" s="1362"/>
      <c r="K17896" s="1362"/>
      <c r="L17896" s="1362"/>
    </row>
    <row r="17897" spans="1:12" x14ac:dyDescent="0.25">
      <c r="A17897">
        <v>1955</v>
      </c>
      <c r="B17897" t="s">
        <v>21399</v>
      </c>
      <c r="C17897" t="s">
        <v>2537</v>
      </c>
      <c r="D17897" s="254">
        <v>3.01</v>
      </c>
      <c r="E17897"/>
      <c r="F17897"/>
      <c r="G17897"/>
      <c r="H17897"/>
      <c r="I17897" s="489"/>
      <c r="J17897" s="1362"/>
      <c r="K17897" s="1362"/>
      <c r="L17897" s="1362"/>
    </row>
    <row r="17898" spans="1:12" x14ac:dyDescent="0.25">
      <c r="A17898">
        <v>1956</v>
      </c>
      <c r="B17898" t="s">
        <v>21400</v>
      </c>
      <c r="C17898" t="s">
        <v>2537</v>
      </c>
      <c r="D17898" s="254">
        <v>3.89</v>
      </c>
      <c r="E17898"/>
      <c r="F17898"/>
      <c r="G17898"/>
      <c r="H17898"/>
      <c r="I17898" s="489"/>
      <c r="J17898" s="1362"/>
      <c r="K17898" s="1362"/>
      <c r="L17898" s="1362"/>
    </row>
    <row r="17899" spans="1:12" x14ac:dyDescent="0.25">
      <c r="A17899">
        <v>1957</v>
      </c>
      <c r="B17899" t="s">
        <v>21401</v>
      </c>
      <c r="C17899" t="s">
        <v>2537</v>
      </c>
      <c r="D17899" s="254">
        <v>8.84</v>
      </c>
      <c r="E17899"/>
      <c r="F17899"/>
      <c r="G17899"/>
      <c r="H17899"/>
      <c r="I17899" s="489"/>
      <c r="J17899" s="1362"/>
      <c r="K17899" s="1362"/>
      <c r="L17899" s="1362"/>
    </row>
    <row r="17900" spans="1:12" x14ac:dyDescent="0.25">
      <c r="A17900">
        <v>1958</v>
      </c>
      <c r="B17900" t="s">
        <v>21402</v>
      </c>
      <c r="C17900" t="s">
        <v>2537</v>
      </c>
      <c r="D17900" s="254">
        <v>15.7</v>
      </c>
      <c r="E17900"/>
      <c r="F17900"/>
      <c r="G17900"/>
      <c r="H17900"/>
      <c r="I17900" s="489"/>
      <c r="J17900" s="1362"/>
      <c r="K17900" s="1362"/>
      <c r="L17900" s="1362"/>
    </row>
    <row r="17901" spans="1:12" x14ac:dyDescent="0.25">
      <c r="A17901">
        <v>1959</v>
      </c>
      <c r="B17901" t="s">
        <v>21403</v>
      </c>
      <c r="C17901" t="s">
        <v>2537</v>
      </c>
      <c r="D17901" s="254">
        <v>19.14</v>
      </c>
      <c r="E17901"/>
      <c r="F17901"/>
      <c r="G17901"/>
      <c r="H17901"/>
      <c r="I17901" s="489"/>
      <c r="J17901" s="1362"/>
      <c r="K17901" s="1362"/>
      <c r="L17901" s="1362"/>
    </row>
    <row r="17902" spans="1:12" x14ac:dyDescent="0.25">
      <c r="A17902">
        <v>1925</v>
      </c>
      <c r="B17902" t="s">
        <v>21404</v>
      </c>
      <c r="C17902" t="s">
        <v>2537</v>
      </c>
      <c r="D17902" s="254">
        <v>47.32</v>
      </c>
      <c r="E17902"/>
      <c r="F17902"/>
      <c r="G17902"/>
      <c r="H17902"/>
      <c r="I17902" s="489"/>
      <c r="J17902" s="1362"/>
      <c r="K17902" s="1362"/>
      <c r="L17902" s="1362"/>
    </row>
    <row r="17903" spans="1:12" x14ac:dyDescent="0.25">
      <c r="A17903">
        <v>1960</v>
      </c>
      <c r="B17903" t="s">
        <v>21405</v>
      </c>
      <c r="C17903" t="s">
        <v>2537</v>
      </c>
      <c r="D17903" s="254">
        <v>67.28</v>
      </c>
      <c r="E17903"/>
      <c r="F17903"/>
      <c r="G17903"/>
      <c r="H17903"/>
      <c r="I17903" s="489"/>
      <c r="J17903" s="1362"/>
      <c r="K17903" s="1362"/>
      <c r="L17903" s="1362"/>
    </row>
    <row r="17904" spans="1:12" x14ac:dyDescent="0.25">
      <c r="A17904">
        <v>1961</v>
      </c>
      <c r="B17904" t="s">
        <v>21406</v>
      </c>
      <c r="C17904" t="s">
        <v>2537</v>
      </c>
      <c r="D17904" s="254">
        <v>96.67</v>
      </c>
      <c r="E17904"/>
      <c r="F17904"/>
      <c r="G17904"/>
      <c r="H17904"/>
      <c r="I17904" s="489"/>
      <c r="J17904" s="1362"/>
      <c r="K17904" s="1362"/>
      <c r="L17904" s="1362"/>
    </row>
    <row r="17905" spans="1:12" x14ac:dyDescent="0.25">
      <c r="A17905">
        <v>38426</v>
      </c>
      <c r="B17905" t="s">
        <v>21407</v>
      </c>
      <c r="C17905" t="s">
        <v>2537</v>
      </c>
      <c r="D17905" s="254">
        <v>27.41</v>
      </c>
      <c r="E17905"/>
      <c r="F17905"/>
      <c r="G17905"/>
      <c r="H17905"/>
      <c r="I17905" s="489"/>
      <c r="J17905" s="1362"/>
      <c r="K17905" s="1362"/>
      <c r="L17905" s="1362"/>
    </row>
    <row r="17906" spans="1:12" x14ac:dyDescent="0.25">
      <c r="A17906">
        <v>38423</v>
      </c>
      <c r="B17906" t="s">
        <v>21408</v>
      </c>
      <c r="C17906" t="s">
        <v>2537</v>
      </c>
      <c r="D17906" s="254">
        <v>62.18</v>
      </c>
      <c r="E17906"/>
      <c r="F17906"/>
      <c r="G17906"/>
      <c r="H17906"/>
      <c r="I17906" s="489"/>
      <c r="J17906" s="1362"/>
      <c r="K17906" s="1362"/>
      <c r="L17906" s="1362"/>
    </row>
    <row r="17907" spans="1:12" x14ac:dyDescent="0.25">
      <c r="A17907">
        <v>38421</v>
      </c>
      <c r="B17907" t="s">
        <v>21409</v>
      </c>
      <c r="C17907" t="s">
        <v>2537</v>
      </c>
      <c r="D17907" s="254">
        <v>29.35</v>
      </c>
      <c r="E17907"/>
      <c r="F17907"/>
      <c r="G17907"/>
      <c r="H17907"/>
      <c r="I17907" s="489"/>
      <c r="J17907" s="1362"/>
      <c r="K17907" s="1362"/>
      <c r="L17907" s="1362"/>
    </row>
    <row r="17908" spans="1:12" x14ac:dyDescent="0.25">
      <c r="A17908">
        <v>38422</v>
      </c>
      <c r="B17908" t="s">
        <v>21410</v>
      </c>
      <c r="C17908" t="s">
        <v>2537</v>
      </c>
      <c r="D17908" s="254">
        <v>42.91</v>
      </c>
      <c r="E17908"/>
      <c r="F17908"/>
      <c r="G17908"/>
      <c r="H17908"/>
      <c r="I17908" s="489"/>
      <c r="J17908" s="1362"/>
      <c r="K17908" s="1362"/>
      <c r="L17908" s="1362"/>
    </row>
    <row r="17909" spans="1:12" x14ac:dyDescent="0.25">
      <c r="A17909">
        <v>39866</v>
      </c>
      <c r="B17909" t="s">
        <v>21411</v>
      </c>
      <c r="C17909" t="s">
        <v>2537</v>
      </c>
      <c r="D17909" s="254">
        <v>17.399999999999999</v>
      </c>
      <c r="E17909"/>
      <c r="F17909"/>
      <c r="G17909"/>
      <c r="H17909"/>
      <c r="I17909" s="489"/>
      <c r="J17909" s="1362"/>
      <c r="K17909" s="1362"/>
      <c r="L17909" s="1362"/>
    </row>
    <row r="17910" spans="1:12" x14ac:dyDescent="0.25">
      <c r="A17910">
        <v>39867</v>
      </c>
      <c r="B17910" t="s">
        <v>21412</v>
      </c>
      <c r="C17910" t="s">
        <v>2537</v>
      </c>
      <c r="D17910" s="254">
        <v>38.67</v>
      </c>
      <c r="E17910"/>
      <c r="F17910"/>
      <c r="G17910"/>
      <c r="H17910"/>
      <c r="I17910" s="489"/>
      <c r="J17910" s="1362"/>
      <c r="K17910" s="1362"/>
      <c r="L17910" s="1362"/>
    </row>
    <row r="17911" spans="1:12" x14ac:dyDescent="0.25">
      <c r="A17911">
        <v>39868</v>
      </c>
      <c r="B17911" t="s">
        <v>21413</v>
      </c>
      <c r="C17911" t="s">
        <v>2537</v>
      </c>
      <c r="D17911" s="254">
        <v>69.67</v>
      </c>
      <c r="E17911"/>
      <c r="F17911"/>
      <c r="G17911"/>
      <c r="H17911"/>
      <c r="I17911" s="489"/>
      <c r="J17911" s="1362"/>
      <c r="K17911" s="1362"/>
      <c r="L17911" s="1362"/>
    </row>
    <row r="17912" spans="1:12" x14ac:dyDescent="0.25">
      <c r="A17912">
        <v>37999</v>
      </c>
      <c r="B17912" t="s">
        <v>21414</v>
      </c>
      <c r="C17912" t="s">
        <v>2537</v>
      </c>
      <c r="D17912" s="254">
        <v>5.64</v>
      </c>
      <c r="E17912"/>
      <c r="F17912"/>
      <c r="G17912"/>
      <c r="H17912"/>
      <c r="I17912" s="489"/>
      <c r="J17912" s="1362"/>
      <c r="K17912" s="1362"/>
      <c r="L17912" s="1362"/>
    </row>
    <row r="17913" spans="1:12" x14ac:dyDescent="0.25">
      <c r="A17913">
        <v>38000</v>
      </c>
      <c r="B17913" t="s">
        <v>21415</v>
      </c>
      <c r="C17913" t="s">
        <v>2537</v>
      </c>
      <c r="D17913" s="254">
        <v>7.47</v>
      </c>
      <c r="E17913"/>
      <c r="F17913"/>
      <c r="G17913"/>
      <c r="H17913"/>
      <c r="I17913" s="489"/>
      <c r="J17913" s="1362"/>
      <c r="K17913" s="1362"/>
      <c r="L17913" s="1362"/>
    </row>
    <row r="17914" spans="1:12" x14ac:dyDescent="0.25">
      <c r="A17914">
        <v>38129</v>
      </c>
      <c r="B17914" t="s">
        <v>21416</v>
      </c>
      <c r="C17914" t="s">
        <v>2537</v>
      </c>
      <c r="D17914" s="254">
        <v>5.23</v>
      </c>
      <c r="E17914"/>
      <c r="F17914"/>
      <c r="G17914"/>
      <c r="H17914"/>
      <c r="I17914" s="489"/>
      <c r="J17914" s="1362"/>
      <c r="K17914" s="1362"/>
      <c r="L17914" s="1362"/>
    </row>
    <row r="17915" spans="1:12" x14ac:dyDescent="0.25">
      <c r="A17915">
        <v>38025</v>
      </c>
      <c r="B17915" t="s">
        <v>21417</v>
      </c>
      <c r="C17915" t="s">
        <v>2537</v>
      </c>
      <c r="D17915" s="254">
        <v>8.74</v>
      </c>
      <c r="E17915"/>
      <c r="F17915"/>
      <c r="G17915"/>
      <c r="H17915"/>
      <c r="I17915" s="489"/>
      <c r="J17915" s="1362"/>
      <c r="K17915" s="1362"/>
      <c r="L17915" s="1362"/>
    </row>
    <row r="17916" spans="1:12" x14ac:dyDescent="0.25">
      <c r="A17916">
        <v>38026</v>
      </c>
      <c r="B17916" t="s">
        <v>21418</v>
      </c>
      <c r="C17916" t="s">
        <v>2537</v>
      </c>
      <c r="D17916" s="254">
        <v>23.4</v>
      </c>
      <c r="E17916"/>
      <c r="F17916"/>
      <c r="G17916"/>
      <c r="H17916"/>
      <c r="I17916" s="489"/>
      <c r="J17916" s="1362"/>
      <c r="K17916" s="1362"/>
      <c r="L17916" s="1362"/>
    </row>
    <row r="17917" spans="1:12" x14ac:dyDescent="0.25">
      <c r="A17917">
        <v>1858</v>
      </c>
      <c r="B17917" t="s">
        <v>21419</v>
      </c>
      <c r="C17917" t="s">
        <v>2537</v>
      </c>
      <c r="D17917" s="254">
        <v>45.97</v>
      </c>
      <c r="E17917"/>
      <c r="F17917"/>
      <c r="G17917"/>
      <c r="H17917"/>
      <c r="I17917" s="489"/>
      <c r="J17917" s="1362"/>
      <c r="K17917" s="1362"/>
      <c r="L17917" s="1362"/>
    </row>
    <row r="17918" spans="1:12" x14ac:dyDescent="0.25">
      <c r="A17918">
        <v>1844</v>
      </c>
      <c r="B17918" t="s">
        <v>21420</v>
      </c>
      <c r="C17918" t="s">
        <v>2537</v>
      </c>
      <c r="D17918" s="254">
        <v>169.47</v>
      </c>
      <c r="E17918"/>
      <c r="F17918"/>
      <c r="G17918"/>
      <c r="H17918"/>
      <c r="I17918" s="489"/>
      <c r="J17918" s="1362"/>
      <c r="K17918" s="1362"/>
      <c r="L17918" s="1362"/>
    </row>
    <row r="17919" spans="1:12" x14ac:dyDescent="0.25">
      <c r="A17919">
        <v>1863</v>
      </c>
      <c r="B17919" t="s">
        <v>21421</v>
      </c>
      <c r="C17919" t="s">
        <v>2537</v>
      </c>
      <c r="D17919" s="254">
        <v>66.7</v>
      </c>
      <c r="E17919"/>
      <c r="F17919"/>
      <c r="G17919"/>
      <c r="H17919"/>
      <c r="I17919" s="489"/>
      <c r="J17919" s="1362"/>
      <c r="K17919" s="1362"/>
      <c r="L17919" s="1362"/>
    </row>
    <row r="17920" spans="1:12" x14ac:dyDescent="0.25">
      <c r="A17920">
        <v>1865</v>
      </c>
      <c r="B17920" t="s">
        <v>21422</v>
      </c>
      <c r="C17920" t="s">
        <v>2537</v>
      </c>
      <c r="D17920" s="254">
        <v>243.35</v>
      </c>
      <c r="E17920"/>
      <c r="F17920"/>
      <c r="G17920"/>
      <c r="H17920"/>
      <c r="I17920" s="489"/>
      <c r="J17920" s="1362"/>
      <c r="K17920" s="1362"/>
      <c r="L17920" s="1362"/>
    </row>
    <row r="17921" spans="1:12" x14ac:dyDescent="0.25">
      <c r="A17921">
        <v>36355</v>
      </c>
      <c r="B17921" t="s">
        <v>21423</v>
      </c>
      <c r="C17921" t="s">
        <v>2537</v>
      </c>
      <c r="D17921" s="254">
        <v>7.4</v>
      </c>
      <c r="E17921"/>
      <c r="F17921"/>
      <c r="G17921"/>
      <c r="H17921"/>
      <c r="I17921" s="489"/>
      <c r="J17921" s="1362"/>
      <c r="K17921" s="1362"/>
      <c r="L17921" s="1362"/>
    </row>
    <row r="17922" spans="1:12" x14ac:dyDescent="0.25">
      <c r="A17922">
        <v>36356</v>
      </c>
      <c r="B17922" t="s">
        <v>21424</v>
      </c>
      <c r="C17922" t="s">
        <v>2537</v>
      </c>
      <c r="D17922" s="254">
        <v>12.44</v>
      </c>
      <c r="E17922"/>
      <c r="F17922"/>
      <c r="G17922"/>
      <c r="H17922"/>
      <c r="I17922" s="489"/>
      <c r="J17922" s="1362"/>
      <c r="K17922" s="1362"/>
      <c r="L17922" s="1362"/>
    </row>
    <row r="17923" spans="1:12" x14ac:dyDescent="0.25">
      <c r="A17923">
        <v>1932</v>
      </c>
      <c r="B17923" t="s">
        <v>21425</v>
      </c>
      <c r="C17923" t="s">
        <v>2537</v>
      </c>
      <c r="D17923" s="254">
        <v>10.59</v>
      </c>
      <c r="E17923"/>
      <c r="F17923"/>
      <c r="G17923"/>
      <c r="H17923"/>
      <c r="I17923" s="489"/>
      <c r="J17923" s="1362"/>
      <c r="K17923" s="1362"/>
      <c r="L17923" s="1362"/>
    </row>
    <row r="17924" spans="1:12" x14ac:dyDescent="0.25">
      <c r="A17924">
        <v>1933</v>
      </c>
      <c r="B17924" t="s">
        <v>21426</v>
      </c>
      <c r="C17924" t="s">
        <v>2537</v>
      </c>
      <c r="D17924" s="254">
        <v>4.66</v>
      </c>
      <c r="E17924"/>
      <c r="F17924"/>
      <c r="G17924"/>
      <c r="H17924"/>
      <c r="I17924" s="489"/>
      <c r="J17924" s="1362"/>
      <c r="K17924" s="1362"/>
      <c r="L17924" s="1362"/>
    </row>
    <row r="17925" spans="1:12" x14ac:dyDescent="0.25">
      <c r="A17925">
        <v>1951</v>
      </c>
      <c r="B17925" t="s">
        <v>21427</v>
      </c>
      <c r="C17925" t="s">
        <v>2537</v>
      </c>
      <c r="D17925" s="254">
        <v>20.72</v>
      </c>
      <c r="E17925"/>
      <c r="F17925"/>
      <c r="G17925"/>
      <c r="H17925"/>
      <c r="I17925" s="489"/>
      <c r="J17925" s="1362"/>
      <c r="K17925" s="1362"/>
      <c r="L17925" s="1362"/>
    </row>
    <row r="17926" spans="1:12" x14ac:dyDescent="0.25">
      <c r="A17926">
        <v>1966</v>
      </c>
      <c r="B17926" t="s">
        <v>21428</v>
      </c>
      <c r="C17926" t="s">
        <v>2537</v>
      </c>
      <c r="D17926" s="254">
        <v>23.84</v>
      </c>
      <c r="E17926"/>
      <c r="F17926"/>
      <c r="G17926"/>
      <c r="H17926"/>
      <c r="I17926" s="489"/>
      <c r="J17926" s="1362"/>
      <c r="K17926" s="1362"/>
      <c r="L17926" s="1362"/>
    </row>
    <row r="17927" spans="1:12" x14ac:dyDescent="0.25">
      <c r="A17927">
        <v>1952</v>
      </c>
      <c r="B17927" t="s">
        <v>21429</v>
      </c>
      <c r="C17927" t="s">
        <v>2537</v>
      </c>
      <c r="D17927" s="254">
        <v>89.53</v>
      </c>
      <c r="E17927"/>
      <c r="F17927"/>
      <c r="G17927"/>
      <c r="H17927"/>
      <c r="I17927" s="489"/>
      <c r="J17927" s="1362"/>
      <c r="K17927" s="1362"/>
      <c r="L17927" s="1362"/>
    </row>
    <row r="17928" spans="1:12" x14ac:dyDescent="0.25">
      <c r="A17928">
        <v>20104</v>
      </c>
      <c r="B17928" t="s">
        <v>21430</v>
      </c>
      <c r="C17928" t="s">
        <v>2537</v>
      </c>
      <c r="D17928" s="254">
        <v>661.55</v>
      </c>
      <c r="E17928"/>
      <c r="F17928"/>
      <c r="G17928"/>
      <c r="H17928"/>
      <c r="I17928" s="489"/>
      <c r="J17928" s="1362"/>
      <c r="K17928" s="1362"/>
      <c r="L17928" s="1362"/>
    </row>
    <row r="17929" spans="1:12" x14ac:dyDescent="0.25">
      <c r="A17929">
        <v>20105</v>
      </c>
      <c r="B17929" t="s">
        <v>21431</v>
      </c>
      <c r="C17929" t="s">
        <v>2537</v>
      </c>
      <c r="D17929" s="254">
        <v>1030.42</v>
      </c>
      <c r="E17929"/>
      <c r="F17929"/>
      <c r="G17929"/>
      <c r="H17929"/>
      <c r="I17929" s="489"/>
      <c r="J17929" s="1362"/>
      <c r="K17929" s="1362"/>
      <c r="L17929" s="1362"/>
    </row>
    <row r="17930" spans="1:12" x14ac:dyDescent="0.25">
      <c r="A17930">
        <v>1965</v>
      </c>
      <c r="B17930" t="s">
        <v>21432</v>
      </c>
      <c r="C17930" t="s">
        <v>2537</v>
      </c>
      <c r="D17930" s="254">
        <v>48.33</v>
      </c>
      <c r="E17930"/>
      <c r="F17930"/>
      <c r="G17930"/>
      <c r="H17930"/>
      <c r="I17930" s="489"/>
      <c r="J17930" s="1362"/>
      <c r="K17930" s="1362"/>
      <c r="L17930" s="1362"/>
    </row>
    <row r="17931" spans="1:12" x14ac:dyDescent="0.25">
      <c r="A17931">
        <v>10765</v>
      </c>
      <c r="B17931" t="s">
        <v>21433</v>
      </c>
      <c r="C17931" t="s">
        <v>2537</v>
      </c>
      <c r="D17931" s="254">
        <v>12.21</v>
      </c>
      <c r="E17931"/>
      <c r="F17931"/>
      <c r="G17931"/>
      <c r="H17931"/>
      <c r="I17931" s="489"/>
      <c r="J17931" s="1362"/>
      <c r="K17931" s="1362"/>
      <c r="L17931" s="1362"/>
    </row>
    <row r="17932" spans="1:12" x14ac:dyDescent="0.25">
      <c r="A17932">
        <v>10767</v>
      </c>
      <c r="B17932" t="s">
        <v>21434</v>
      </c>
      <c r="C17932" t="s">
        <v>2537</v>
      </c>
      <c r="D17932" s="254">
        <v>40.03</v>
      </c>
      <c r="E17932"/>
      <c r="F17932"/>
      <c r="G17932"/>
      <c r="H17932"/>
      <c r="I17932" s="489"/>
      <c r="J17932" s="1362"/>
      <c r="K17932" s="1362"/>
      <c r="L17932" s="1362"/>
    </row>
    <row r="17933" spans="1:12" x14ac:dyDescent="0.25">
      <c r="A17933">
        <v>1970</v>
      </c>
      <c r="B17933" t="s">
        <v>21435</v>
      </c>
      <c r="C17933" t="s">
        <v>2537</v>
      </c>
      <c r="D17933" s="254">
        <v>50.17</v>
      </c>
      <c r="E17933"/>
      <c r="F17933"/>
      <c r="G17933"/>
      <c r="H17933"/>
      <c r="I17933" s="489"/>
      <c r="J17933" s="1362"/>
      <c r="K17933" s="1362"/>
      <c r="L17933" s="1362"/>
    </row>
    <row r="17934" spans="1:12" x14ac:dyDescent="0.25">
      <c r="A17934">
        <v>1967</v>
      </c>
      <c r="B17934" t="s">
        <v>21436</v>
      </c>
      <c r="C17934" t="s">
        <v>2537</v>
      </c>
      <c r="D17934" s="254">
        <v>5.58</v>
      </c>
      <c r="E17934"/>
      <c r="F17934"/>
      <c r="G17934"/>
      <c r="H17934"/>
      <c r="I17934" s="489"/>
      <c r="J17934" s="1362"/>
      <c r="K17934" s="1362"/>
      <c r="L17934" s="1362"/>
    </row>
    <row r="17935" spans="1:12" x14ac:dyDescent="0.25">
      <c r="A17935">
        <v>1968</v>
      </c>
      <c r="B17935" t="s">
        <v>21437</v>
      </c>
      <c r="C17935" t="s">
        <v>2537</v>
      </c>
      <c r="D17935" s="254">
        <v>11.69</v>
      </c>
      <c r="E17935"/>
      <c r="F17935"/>
      <c r="G17935"/>
      <c r="H17935"/>
      <c r="I17935" s="489"/>
      <c r="J17935" s="1362"/>
      <c r="K17935" s="1362"/>
      <c r="L17935" s="1362"/>
    </row>
    <row r="17936" spans="1:12" x14ac:dyDescent="0.25">
      <c r="A17936">
        <v>1969</v>
      </c>
      <c r="B17936" t="s">
        <v>21438</v>
      </c>
      <c r="C17936" t="s">
        <v>2537</v>
      </c>
      <c r="D17936" s="254">
        <v>34.409999999999997</v>
      </c>
      <c r="E17936"/>
      <c r="F17936"/>
      <c r="G17936"/>
      <c r="H17936"/>
      <c r="I17936" s="489"/>
      <c r="J17936" s="1362"/>
      <c r="K17936" s="1362"/>
      <c r="L17936" s="1362"/>
    </row>
    <row r="17937" spans="1:12" x14ac:dyDescent="0.25">
      <c r="A17937">
        <v>1839</v>
      </c>
      <c r="B17937" t="s">
        <v>21439</v>
      </c>
      <c r="C17937" t="s">
        <v>2537</v>
      </c>
      <c r="D17937" s="254">
        <v>162.51</v>
      </c>
      <c r="E17937"/>
      <c r="F17937"/>
      <c r="G17937"/>
      <c r="H17937"/>
      <c r="I17937" s="489"/>
      <c r="J17937" s="1362"/>
      <c r="K17937" s="1362"/>
      <c r="L17937" s="1362"/>
    </row>
    <row r="17938" spans="1:12" x14ac:dyDescent="0.25">
      <c r="A17938">
        <v>1835</v>
      </c>
      <c r="B17938" t="s">
        <v>21440</v>
      </c>
      <c r="C17938" t="s">
        <v>2537</v>
      </c>
      <c r="D17938" s="254">
        <v>34.549999999999997</v>
      </c>
      <c r="E17938"/>
      <c r="F17938"/>
      <c r="G17938"/>
      <c r="H17938"/>
      <c r="I17938" s="489"/>
      <c r="J17938" s="1362"/>
      <c r="K17938" s="1362"/>
      <c r="L17938" s="1362"/>
    </row>
    <row r="17939" spans="1:12" x14ac:dyDescent="0.25">
      <c r="A17939">
        <v>1823</v>
      </c>
      <c r="B17939" t="s">
        <v>21441</v>
      </c>
      <c r="C17939" t="s">
        <v>2537</v>
      </c>
      <c r="D17939" s="254">
        <v>66.8</v>
      </c>
      <c r="E17939"/>
      <c r="F17939"/>
      <c r="G17939"/>
      <c r="H17939"/>
      <c r="I17939" s="489"/>
      <c r="J17939" s="1362"/>
      <c r="K17939" s="1362"/>
      <c r="L17939" s="1362"/>
    </row>
    <row r="17940" spans="1:12" x14ac:dyDescent="0.25">
      <c r="A17940">
        <v>1827</v>
      </c>
      <c r="B17940" t="s">
        <v>21442</v>
      </c>
      <c r="C17940" t="s">
        <v>2537</v>
      </c>
      <c r="D17940" s="254">
        <v>160.91999999999999</v>
      </c>
      <c r="E17940"/>
      <c r="F17940"/>
      <c r="G17940"/>
      <c r="H17940"/>
      <c r="I17940" s="489"/>
      <c r="J17940" s="1362"/>
      <c r="K17940" s="1362"/>
      <c r="L17940" s="1362"/>
    </row>
    <row r="17941" spans="1:12" x14ac:dyDescent="0.25">
      <c r="A17941">
        <v>1831</v>
      </c>
      <c r="B17941" t="s">
        <v>21443</v>
      </c>
      <c r="C17941" t="s">
        <v>2537</v>
      </c>
      <c r="D17941" s="254">
        <v>35.130000000000003</v>
      </c>
      <c r="E17941"/>
      <c r="F17941"/>
      <c r="G17941"/>
      <c r="H17941"/>
      <c r="I17941" s="489"/>
      <c r="J17941" s="1362"/>
      <c r="K17941" s="1362"/>
      <c r="L17941" s="1362"/>
    </row>
    <row r="17942" spans="1:12" x14ac:dyDescent="0.25">
      <c r="A17942">
        <v>1825</v>
      </c>
      <c r="B17942" t="s">
        <v>21444</v>
      </c>
      <c r="C17942" t="s">
        <v>2537</v>
      </c>
      <c r="D17942" s="254">
        <v>86.7</v>
      </c>
      <c r="E17942"/>
      <c r="F17942"/>
      <c r="G17942"/>
      <c r="H17942"/>
      <c r="I17942" s="489"/>
      <c r="J17942" s="1362"/>
      <c r="K17942" s="1362"/>
      <c r="L17942" s="1362"/>
    </row>
    <row r="17943" spans="1:12" x14ac:dyDescent="0.25">
      <c r="A17943">
        <v>1828</v>
      </c>
      <c r="B17943" t="s">
        <v>21445</v>
      </c>
      <c r="C17943" t="s">
        <v>2537</v>
      </c>
      <c r="D17943" s="254">
        <v>196.38</v>
      </c>
      <c r="E17943"/>
      <c r="F17943"/>
      <c r="G17943"/>
      <c r="H17943"/>
      <c r="I17943" s="489"/>
      <c r="J17943" s="1362"/>
      <c r="K17943" s="1362"/>
      <c r="L17943" s="1362"/>
    </row>
    <row r="17944" spans="1:12" x14ac:dyDescent="0.25">
      <c r="A17944">
        <v>1845</v>
      </c>
      <c r="B17944" t="s">
        <v>21446</v>
      </c>
      <c r="C17944" t="s">
        <v>2537</v>
      </c>
      <c r="D17944" s="254">
        <v>44.02</v>
      </c>
      <c r="E17944"/>
      <c r="F17944"/>
      <c r="G17944"/>
      <c r="H17944"/>
      <c r="I17944" s="489"/>
      <c r="J17944" s="1362"/>
      <c r="K17944" s="1362"/>
      <c r="L17944" s="1362"/>
    </row>
    <row r="17945" spans="1:12" x14ac:dyDescent="0.25">
      <c r="A17945">
        <v>1824</v>
      </c>
      <c r="B17945" t="s">
        <v>21447</v>
      </c>
      <c r="C17945" t="s">
        <v>2537</v>
      </c>
      <c r="D17945" s="254">
        <v>103.93</v>
      </c>
      <c r="E17945"/>
      <c r="F17945"/>
      <c r="G17945"/>
      <c r="H17945"/>
      <c r="I17945" s="489"/>
      <c r="J17945" s="1362"/>
      <c r="K17945" s="1362"/>
      <c r="L17945" s="1362"/>
    </row>
    <row r="17946" spans="1:12" x14ac:dyDescent="0.25">
      <c r="A17946">
        <v>1941</v>
      </c>
      <c r="B17946" t="s">
        <v>21448</v>
      </c>
      <c r="C17946" t="s">
        <v>2537</v>
      </c>
      <c r="D17946" s="254">
        <v>33.729999999999997</v>
      </c>
      <c r="E17946"/>
      <c r="F17946"/>
      <c r="G17946"/>
      <c r="H17946"/>
      <c r="I17946" s="489"/>
      <c r="J17946" s="1362"/>
      <c r="K17946" s="1362"/>
      <c r="L17946" s="1362"/>
    </row>
    <row r="17947" spans="1:12" x14ac:dyDescent="0.25">
      <c r="A17947">
        <v>1940</v>
      </c>
      <c r="B17947" t="s">
        <v>21449</v>
      </c>
      <c r="C17947" t="s">
        <v>2537</v>
      </c>
      <c r="D17947" s="254">
        <v>25.49</v>
      </c>
      <c r="E17947"/>
      <c r="F17947"/>
      <c r="G17947"/>
      <c r="H17947"/>
      <c r="I17947" s="489"/>
      <c r="J17947" s="1362"/>
      <c r="K17947" s="1362"/>
      <c r="L17947" s="1362"/>
    </row>
    <row r="17948" spans="1:12" x14ac:dyDescent="0.25">
      <c r="A17948">
        <v>1937</v>
      </c>
      <c r="B17948" t="s">
        <v>21450</v>
      </c>
      <c r="C17948" t="s">
        <v>2537</v>
      </c>
      <c r="D17948" s="254">
        <v>5.29</v>
      </c>
      <c r="E17948"/>
      <c r="F17948"/>
      <c r="G17948"/>
      <c r="H17948"/>
      <c r="I17948" s="489"/>
      <c r="J17948" s="1362"/>
      <c r="K17948" s="1362"/>
      <c r="L17948" s="1362"/>
    </row>
    <row r="17949" spans="1:12" x14ac:dyDescent="0.25">
      <c r="A17949">
        <v>1939</v>
      </c>
      <c r="B17949" t="s">
        <v>21451</v>
      </c>
      <c r="C17949" t="s">
        <v>2537</v>
      </c>
      <c r="D17949" s="254">
        <v>10.48</v>
      </c>
      <c r="E17949"/>
      <c r="F17949"/>
      <c r="G17949"/>
      <c r="H17949"/>
      <c r="I17949" s="489"/>
      <c r="J17949" s="1362"/>
      <c r="K17949" s="1362"/>
      <c r="L17949" s="1362"/>
    </row>
    <row r="17950" spans="1:12" x14ac:dyDescent="0.25">
      <c r="A17950">
        <v>1942</v>
      </c>
      <c r="B17950" t="s">
        <v>21452</v>
      </c>
      <c r="C17950" t="s">
        <v>2537</v>
      </c>
      <c r="D17950" s="254">
        <v>48.13</v>
      </c>
      <c r="E17950"/>
      <c r="F17950"/>
      <c r="G17950"/>
      <c r="H17950"/>
      <c r="I17950" s="489"/>
      <c r="J17950" s="1362"/>
      <c r="K17950" s="1362"/>
      <c r="L17950" s="1362"/>
    </row>
    <row r="17951" spans="1:12" x14ac:dyDescent="0.25">
      <c r="A17951">
        <v>1938</v>
      </c>
      <c r="B17951" t="s">
        <v>21453</v>
      </c>
      <c r="C17951" t="s">
        <v>2537</v>
      </c>
      <c r="D17951" s="254">
        <v>6.7</v>
      </c>
      <c r="E17951"/>
      <c r="F17951"/>
      <c r="G17951"/>
      <c r="H17951"/>
      <c r="I17951" s="489"/>
      <c r="J17951" s="1362"/>
      <c r="K17951" s="1362"/>
      <c r="L17951" s="1362"/>
    </row>
    <row r="17952" spans="1:12" x14ac:dyDescent="0.25">
      <c r="A17952">
        <v>42692</v>
      </c>
      <c r="B17952" t="s">
        <v>21454</v>
      </c>
      <c r="C17952" t="s">
        <v>2537</v>
      </c>
      <c r="D17952" s="254">
        <v>539.91999999999996</v>
      </c>
      <c r="E17952"/>
      <c r="F17952"/>
      <c r="G17952"/>
      <c r="H17952"/>
      <c r="I17952" s="489"/>
      <c r="J17952" s="1362"/>
      <c r="K17952" s="1362"/>
      <c r="L17952" s="1362"/>
    </row>
    <row r="17953" spans="1:12" x14ac:dyDescent="0.25">
      <c r="A17953">
        <v>42693</v>
      </c>
      <c r="B17953" t="s">
        <v>21455</v>
      </c>
      <c r="C17953" t="s">
        <v>2537</v>
      </c>
      <c r="D17953" s="254">
        <v>888.13</v>
      </c>
      <c r="E17953"/>
      <c r="F17953"/>
      <c r="G17953"/>
      <c r="H17953"/>
      <c r="I17953" s="489"/>
      <c r="J17953" s="1362"/>
      <c r="K17953" s="1362"/>
      <c r="L17953" s="1362"/>
    </row>
    <row r="17954" spans="1:12" x14ac:dyDescent="0.25">
      <c r="A17954">
        <v>42695</v>
      </c>
      <c r="B17954" t="s">
        <v>21456</v>
      </c>
      <c r="C17954" t="s">
        <v>2537</v>
      </c>
      <c r="D17954" s="254">
        <v>675.29</v>
      </c>
      <c r="E17954"/>
      <c r="F17954"/>
      <c r="G17954"/>
      <c r="H17954"/>
      <c r="I17954" s="489"/>
      <c r="J17954" s="1362"/>
      <c r="K17954" s="1362"/>
      <c r="L17954" s="1362"/>
    </row>
    <row r="17955" spans="1:12" x14ac:dyDescent="0.25">
      <c r="A17955">
        <v>42694</v>
      </c>
      <c r="B17955" t="s">
        <v>21457</v>
      </c>
      <c r="C17955" t="s">
        <v>2537</v>
      </c>
      <c r="D17955" s="254">
        <v>998.33</v>
      </c>
      <c r="E17955"/>
      <c r="F17955"/>
      <c r="G17955"/>
      <c r="H17955"/>
      <c r="I17955" s="489"/>
      <c r="J17955" s="1362"/>
      <c r="K17955" s="1362"/>
      <c r="L17955" s="1362"/>
    </row>
    <row r="17956" spans="1:12" x14ac:dyDescent="0.25">
      <c r="A17956">
        <v>20097</v>
      </c>
      <c r="B17956" t="s">
        <v>21458</v>
      </c>
      <c r="C17956" t="s">
        <v>2537</v>
      </c>
      <c r="D17956" s="254">
        <v>47.39</v>
      </c>
      <c r="E17956"/>
      <c r="F17956"/>
      <c r="G17956"/>
      <c r="H17956"/>
      <c r="I17956" s="489"/>
      <c r="J17956" s="1362"/>
      <c r="K17956" s="1362"/>
      <c r="L17956" s="1362"/>
    </row>
    <row r="17957" spans="1:12" x14ac:dyDescent="0.25">
      <c r="A17957">
        <v>20098</v>
      </c>
      <c r="B17957" t="s">
        <v>21459</v>
      </c>
      <c r="C17957" t="s">
        <v>2537</v>
      </c>
      <c r="D17957" s="254">
        <v>159.80000000000001</v>
      </c>
      <c r="E17957"/>
      <c r="F17957"/>
      <c r="G17957"/>
      <c r="H17957"/>
      <c r="I17957" s="489"/>
      <c r="J17957" s="1362"/>
      <c r="K17957" s="1362"/>
      <c r="L17957" s="1362"/>
    </row>
    <row r="17958" spans="1:12" x14ac:dyDescent="0.25">
      <c r="A17958">
        <v>20096</v>
      </c>
      <c r="B17958" t="s">
        <v>21460</v>
      </c>
      <c r="C17958" t="s">
        <v>2537</v>
      </c>
      <c r="D17958" s="254">
        <v>31.01</v>
      </c>
      <c r="E17958"/>
      <c r="F17958"/>
      <c r="G17958"/>
      <c r="H17958"/>
      <c r="I17958" s="489"/>
      <c r="J17958" s="1362"/>
      <c r="K17958" s="1362"/>
      <c r="L17958" s="1362"/>
    </row>
    <row r="17959" spans="1:12" x14ac:dyDescent="0.25">
      <c r="A17959">
        <v>1964</v>
      </c>
      <c r="B17959" t="s">
        <v>21461</v>
      </c>
      <c r="C17959" t="s">
        <v>2537</v>
      </c>
      <c r="D17959" s="254">
        <v>28.66</v>
      </c>
      <c r="E17959"/>
      <c r="F17959"/>
      <c r="G17959"/>
      <c r="H17959"/>
      <c r="I17959" s="489"/>
      <c r="J17959" s="1362"/>
      <c r="K17959" s="1362"/>
      <c r="L17959" s="1362"/>
    </row>
    <row r="17960" spans="1:12" x14ac:dyDescent="0.25">
      <c r="A17960">
        <v>1880</v>
      </c>
      <c r="B17960" t="s">
        <v>21462</v>
      </c>
      <c r="C17960" t="s">
        <v>2537</v>
      </c>
      <c r="D17960" s="254">
        <v>3.33</v>
      </c>
      <c r="E17960"/>
      <c r="F17960"/>
      <c r="G17960"/>
      <c r="H17960"/>
      <c r="I17960" s="489"/>
      <c r="J17960" s="1362"/>
      <c r="K17960" s="1362"/>
      <c r="L17960" s="1362"/>
    </row>
    <row r="17961" spans="1:12" x14ac:dyDescent="0.25">
      <c r="A17961">
        <v>39274</v>
      </c>
      <c r="B17961" t="s">
        <v>21463</v>
      </c>
      <c r="C17961" t="s">
        <v>2537</v>
      </c>
      <c r="D17961" s="254">
        <v>2.58</v>
      </c>
      <c r="E17961"/>
      <c r="F17961"/>
      <c r="G17961"/>
      <c r="H17961"/>
      <c r="I17961" s="489"/>
      <c r="J17961" s="1362"/>
      <c r="K17961" s="1362"/>
      <c r="L17961" s="1362"/>
    </row>
    <row r="17962" spans="1:12" x14ac:dyDescent="0.25">
      <c r="A17962">
        <v>2628</v>
      </c>
      <c r="B17962" t="s">
        <v>21464</v>
      </c>
      <c r="C17962" t="s">
        <v>2537</v>
      </c>
      <c r="D17962" s="254">
        <v>296.41000000000003</v>
      </c>
      <c r="E17962"/>
      <c r="F17962"/>
      <c r="G17962"/>
      <c r="H17962"/>
      <c r="I17962" s="489"/>
      <c r="J17962" s="1362"/>
      <c r="K17962" s="1362"/>
      <c r="L17962" s="1362"/>
    </row>
    <row r="17963" spans="1:12" x14ac:dyDescent="0.25">
      <c r="A17963">
        <v>2622</v>
      </c>
      <c r="B17963" t="s">
        <v>21465</v>
      </c>
      <c r="C17963" t="s">
        <v>2537</v>
      </c>
      <c r="D17963" s="254">
        <v>7.04</v>
      </c>
      <c r="E17963"/>
      <c r="F17963"/>
      <c r="G17963"/>
      <c r="H17963"/>
      <c r="I17963" s="489"/>
      <c r="J17963" s="1362"/>
      <c r="K17963" s="1362"/>
      <c r="L17963" s="1362"/>
    </row>
    <row r="17964" spans="1:12" x14ac:dyDescent="0.25">
      <c r="A17964">
        <v>2623</v>
      </c>
      <c r="B17964" t="s">
        <v>21466</v>
      </c>
      <c r="C17964" t="s">
        <v>2537</v>
      </c>
      <c r="D17964" s="254">
        <v>8.4700000000000006</v>
      </c>
      <c r="E17964"/>
      <c r="F17964"/>
      <c r="G17964"/>
      <c r="H17964"/>
      <c r="I17964" s="489"/>
      <c r="J17964" s="1362"/>
      <c r="K17964" s="1362"/>
      <c r="L17964" s="1362"/>
    </row>
    <row r="17965" spans="1:12" x14ac:dyDescent="0.25">
      <c r="A17965">
        <v>2624</v>
      </c>
      <c r="B17965" t="s">
        <v>21467</v>
      </c>
      <c r="C17965" t="s">
        <v>2537</v>
      </c>
      <c r="D17965" s="254">
        <v>13.47</v>
      </c>
      <c r="E17965"/>
      <c r="F17965"/>
      <c r="G17965"/>
      <c r="H17965"/>
      <c r="I17965" s="489"/>
      <c r="J17965" s="1362"/>
      <c r="K17965" s="1362"/>
      <c r="L17965" s="1362"/>
    </row>
    <row r="17966" spans="1:12" x14ac:dyDescent="0.25">
      <c r="A17966">
        <v>2625</v>
      </c>
      <c r="B17966" t="s">
        <v>21468</v>
      </c>
      <c r="C17966" t="s">
        <v>2537</v>
      </c>
      <c r="D17966" s="254">
        <v>28.44</v>
      </c>
      <c r="E17966"/>
      <c r="F17966"/>
      <c r="G17966"/>
      <c r="H17966"/>
      <c r="I17966" s="489"/>
      <c r="J17966" s="1362"/>
      <c r="K17966" s="1362"/>
      <c r="L17966" s="1362"/>
    </row>
    <row r="17967" spans="1:12" x14ac:dyDescent="0.25">
      <c r="A17967">
        <v>2626</v>
      </c>
      <c r="B17967" t="s">
        <v>21469</v>
      </c>
      <c r="C17967" t="s">
        <v>2537</v>
      </c>
      <c r="D17967" s="254">
        <v>41.67</v>
      </c>
      <c r="E17967"/>
      <c r="F17967"/>
      <c r="G17967"/>
      <c r="H17967"/>
      <c r="I17967" s="489"/>
      <c r="J17967" s="1362"/>
      <c r="K17967" s="1362"/>
      <c r="L17967" s="1362"/>
    </row>
    <row r="17968" spans="1:12" x14ac:dyDescent="0.25">
      <c r="A17968">
        <v>2630</v>
      </c>
      <c r="B17968" t="s">
        <v>21470</v>
      </c>
      <c r="C17968" t="s">
        <v>2537</v>
      </c>
      <c r="D17968" s="254">
        <v>63.38</v>
      </c>
      <c r="E17968"/>
      <c r="F17968"/>
      <c r="G17968"/>
      <c r="H17968"/>
      <c r="I17968" s="489"/>
      <c r="J17968" s="1362"/>
      <c r="K17968" s="1362"/>
      <c r="L17968" s="1362"/>
    </row>
    <row r="17969" spans="1:12" x14ac:dyDescent="0.25">
      <c r="A17969">
        <v>2627</v>
      </c>
      <c r="B17969" t="s">
        <v>21471</v>
      </c>
      <c r="C17969" t="s">
        <v>2537</v>
      </c>
      <c r="D17969" s="254">
        <v>111.65</v>
      </c>
      <c r="E17969"/>
      <c r="F17969"/>
      <c r="G17969"/>
      <c r="H17969"/>
      <c r="I17969" s="489"/>
      <c r="J17969" s="1362"/>
      <c r="K17969" s="1362"/>
      <c r="L17969" s="1362"/>
    </row>
    <row r="17970" spans="1:12" x14ac:dyDescent="0.25">
      <c r="A17970">
        <v>2629</v>
      </c>
      <c r="B17970" t="s">
        <v>21472</v>
      </c>
      <c r="C17970" t="s">
        <v>2537</v>
      </c>
      <c r="D17970" s="254">
        <v>151.01</v>
      </c>
      <c r="E17970"/>
      <c r="F17970"/>
      <c r="G17970"/>
      <c r="H17970"/>
      <c r="I17970" s="489"/>
      <c r="J17970" s="1362"/>
      <c r="K17970" s="1362"/>
      <c r="L17970" s="1362"/>
    </row>
    <row r="17971" spans="1:12" x14ac:dyDescent="0.25">
      <c r="A17971">
        <v>12033</v>
      </c>
      <c r="B17971" t="s">
        <v>21473</v>
      </c>
      <c r="C17971" t="s">
        <v>2537</v>
      </c>
      <c r="D17971" s="254">
        <v>10.63</v>
      </c>
      <c r="E17971"/>
      <c r="F17971"/>
      <c r="G17971"/>
      <c r="H17971"/>
      <c r="I17971" s="489"/>
      <c r="J17971" s="1362"/>
      <c r="K17971" s="1362"/>
      <c r="L17971" s="1362"/>
    </row>
    <row r="17972" spans="1:12" x14ac:dyDescent="0.25">
      <c r="A17972">
        <v>40408</v>
      </c>
      <c r="B17972" t="s">
        <v>21474</v>
      </c>
      <c r="C17972" t="s">
        <v>2537</v>
      </c>
      <c r="D17972" s="254">
        <v>6.98</v>
      </c>
      <c r="E17972"/>
      <c r="F17972"/>
      <c r="G17972"/>
      <c r="H17972"/>
      <c r="I17972" s="489"/>
      <c r="J17972" s="1362"/>
      <c r="K17972" s="1362"/>
      <c r="L17972" s="1362"/>
    </row>
    <row r="17973" spans="1:12" x14ac:dyDescent="0.25">
      <c r="A17973">
        <v>40409</v>
      </c>
      <c r="B17973" t="s">
        <v>21475</v>
      </c>
      <c r="C17973" t="s">
        <v>2537</v>
      </c>
      <c r="D17973" s="254">
        <v>2.4700000000000002</v>
      </c>
      <c r="E17973"/>
      <c r="F17973"/>
      <c r="G17973"/>
      <c r="H17973"/>
      <c r="I17973" s="489"/>
      <c r="J17973" s="1362"/>
      <c r="K17973" s="1362"/>
      <c r="L17973" s="1362"/>
    </row>
    <row r="17974" spans="1:12" x14ac:dyDescent="0.25">
      <c r="A17974">
        <v>39276</v>
      </c>
      <c r="B17974" t="s">
        <v>21476</v>
      </c>
      <c r="C17974" t="s">
        <v>2537</v>
      </c>
      <c r="D17974" s="254">
        <v>6.29</v>
      </c>
      <c r="E17974"/>
      <c r="F17974"/>
      <c r="G17974"/>
      <c r="H17974"/>
      <c r="I17974" s="489"/>
      <c r="J17974" s="1362"/>
      <c r="K17974" s="1362"/>
      <c r="L17974" s="1362"/>
    </row>
    <row r="17975" spans="1:12" x14ac:dyDescent="0.25">
      <c r="A17975">
        <v>39277</v>
      </c>
      <c r="B17975" t="s">
        <v>21477</v>
      </c>
      <c r="C17975" t="s">
        <v>2537</v>
      </c>
      <c r="D17975" s="254">
        <v>16.98</v>
      </c>
      <c r="E17975"/>
      <c r="F17975"/>
      <c r="G17975"/>
      <c r="H17975"/>
      <c r="I17975" s="489"/>
      <c r="J17975" s="1362"/>
      <c r="K17975" s="1362"/>
      <c r="L17975" s="1362"/>
    </row>
    <row r="17976" spans="1:12" x14ac:dyDescent="0.25">
      <c r="A17976">
        <v>12034</v>
      </c>
      <c r="B17976" t="s">
        <v>21478</v>
      </c>
      <c r="C17976" t="s">
        <v>2537</v>
      </c>
      <c r="D17976" s="254">
        <v>4.8099999999999996</v>
      </c>
      <c r="E17976"/>
      <c r="F17976"/>
      <c r="G17976"/>
      <c r="H17976"/>
      <c r="I17976" s="489"/>
      <c r="J17976" s="1362"/>
      <c r="K17976" s="1362"/>
      <c r="L17976" s="1362"/>
    </row>
    <row r="17977" spans="1:12" x14ac:dyDescent="0.25">
      <c r="A17977">
        <v>39879</v>
      </c>
      <c r="B17977" t="s">
        <v>21479</v>
      </c>
      <c r="C17977" t="s">
        <v>2537</v>
      </c>
      <c r="D17977" s="254">
        <v>4.8899999999999997</v>
      </c>
      <c r="E17977"/>
      <c r="F17977"/>
      <c r="G17977"/>
      <c r="H17977"/>
      <c r="I17977" s="489"/>
      <c r="J17977" s="1362"/>
      <c r="K17977" s="1362"/>
      <c r="L17977" s="1362"/>
    </row>
    <row r="17978" spans="1:12" x14ac:dyDescent="0.25">
      <c r="A17978">
        <v>39880</v>
      </c>
      <c r="B17978" t="s">
        <v>21480</v>
      </c>
      <c r="C17978" t="s">
        <v>2537</v>
      </c>
      <c r="D17978" s="254">
        <v>10.83</v>
      </c>
      <c r="E17978"/>
      <c r="F17978"/>
      <c r="G17978"/>
      <c r="H17978"/>
      <c r="I17978" s="489"/>
      <c r="J17978" s="1362"/>
      <c r="K17978" s="1362"/>
      <c r="L17978" s="1362"/>
    </row>
    <row r="17979" spans="1:12" x14ac:dyDescent="0.25">
      <c r="A17979">
        <v>39881</v>
      </c>
      <c r="B17979" t="s">
        <v>21481</v>
      </c>
      <c r="C17979" t="s">
        <v>2537</v>
      </c>
      <c r="D17979" s="254">
        <v>17.38</v>
      </c>
      <c r="E17979"/>
      <c r="F17979"/>
      <c r="G17979"/>
      <c r="H17979"/>
      <c r="I17979" s="489"/>
      <c r="J17979" s="1362"/>
      <c r="K17979" s="1362"/>
      <c r="L17979" s="1362"/>
    </row>
    <row r="17980" spans="1:12" x14ac:dyDescent="0.25">
      <c r="A17980">
        <v>39882</v>
      </c>
      <c r="B17980" t="s">
        <v>21482</v>
      </c>
      <c r="C17980" t="s">
        <v>2537</v>
      </c>
      <c r="D17980" s="254">
        <v>45.78</v>
      </c>
      <c r="E17980"/>
      <c r="F17980"/>
      <c r="G17980"/>
      <c r="H17980"/>
      <c r="I17980" s="489"/>
      <c r="J17980" s="1362"/>
      <c r="K17980" s="1362"/>
      <c r="L17980" s="1362"/>
    </row>
    <row r="17981" spans="1:12" x14ac:dyDescent="0.25">
      <c r="A17981">
        <v>39883</v>
      </c>
      <c r="B17981" t="s">
        <v>21483</v>
      </c>
      <c r="C17981" t="s">
        <v>2537</v>
      </c>
      <c r="D17981" s="254">
        <v>73.099999999999994</v>
      </c>
      <c r="E17981"/>
      <c r="F17981"/>
      <c r="G17981"/>
      <c r="H17981"/>
      <c r="I17981" s="489"/>
      <c r="J17981" s="1362"/>
      <c r="K17981" s="1362"/>
      <c r="L17981" s="1362"/>
    </row>
    <row r="17982" spans="1:12" x14ac:dyDescent="0.25">
      <c r="A17982">
        <v>39884</v>
      </c>
      <c r="B17982" t="s">
        <v>21484</v>
      </c>
      <c r="C17982" t="s">
        <v>2537</v>
      </c>
      <c r="D17982" s="254">
        <v>108.58</v>
      </c>
      <c r="E17982"/>
      <c r="F17982"/>
      <c r="G17982"/>
      <c r="H17982"/>
      <c r="I17982" s="489"/>
      <c r="J17982" s="1362"/>
      <c r="K17982" s="1362"/>
      <c r="L17982" s="1362"/>
    </row>
    <row r="17983" spans="1:12" x14ac:dyDescent="0.25">
      <c r="A17983">
        <v>39885</v>
      </c>
      <c r="B17983" t="s">
        <v>21485</v>
      </c>
      <c r="C17983" t="s">
        <v>2537</v>
      </c>
      <c r="D17983" s="254">
        <v>258.06</v>
      </c>
      <c r="E17983"/>
      <c r="F17983"/>
      <c r="G17983"/>
      <c r="H17983"/>
      <c r="I17983" s="489"/>
      <c r="J17983" s="1362"/>
      <c r="K17983" s="1362"/>
      <c r="L17983" s="1362"/>
    </row>
    <row r="17984" spans="1:12" x14ac:dyDescent="0.25">
      <c r="A17984">
        <v>1777</v>
      </c>
      <c r="B17984" t="s">
        <v>21486</v>
      </c>
      <c r="C17984" t="s">
        <v>2537</v>
      </c>
      <c r="D17984" s="254">
        <v>86.69</v>
      </c>
      <c r="E17984"/>
      <c r="F17984"/>
      <c r="G17984"/>
      <c r="H17984"/>
      <c r="I17984" s="489"/>
      <c r="J17984" s="1362"/>
      <c r="K17984" s="1362"/>
      <c r="L17984" s="1362"/>
    </row>
    <row r="17985" spans="1:12" x14ac:dyDescent="0.25">
      <c r="A17985">
        <v>1819</v>
      </c>
      <c r="B17985" t="s">
        <v>21487</v>
      </c>
      <c r="C17985" t="s">
        <v>2537</v>
      </c>
      <c r="D17985" s="254">
        <v>63.07</v>
      </c>
      <c r="E17985"/>
      <c r="F17985"/>
      <c r="G17985"/>
      <c r="H17985"/>
      <c r="I17985" s="489"/>
      <c r="J17985" s="1362"/>
      <c r="K17985" s="1362"/>
      <c r="L17985" s="1362"/>
    </row>
    <row r="17986" spans="1:12" x14ac:dyDescent="0.25">
      <c r="A17986">
        <v>1775</v>
      </c>
      <c r="B17986" t="s">
        <v>21488</v>
      </c>
      <c r="C17986" t="s">
        <v>2537</v>
      </c>
      <c r="D17986" s="254">
        <v>18.86</v>
      </c>
      <c r="E17986"/>
      <c r="F17986"/>
      <c r="G17986"/>
      <c r="H17986"/>
      <c r="I17986" s="489"/>
      <c r="J17986" s="1362"/>
      <c r="K17986" s="1362"/>
      <c r="L17986" s="1362"/>
    </row>
    <row r="17987" spans="1:12" x14ac:dyDescent="0.25">
      <c r="A17987">
        <v>1776</v>
      </c>
      <c r="B17987" t="s">
        <v>21489</v>
      </c>
      <c r="C17987" t="s">
        <v>2537</v>
      </c>
      <c r="D17987" s="254">
        <v>51.31</v>
      </c>
      <c r="E17987"/>
      <c r="F17987"/>
      <c r="G17987"/>
      <c r="H17987"/>
      <c r="I17987" s="489"/>
      <c r="J17987" s="1362"/>
      <c r="K17987" s="1362"/>
      <c r="L17987" s="1362"/>
    </row>
    <row r="17988" spans="1:12" x14ac:dyDescent="0.25">
      <c r="A17988">
        <v>1778</v>
      </c>
      <c r="B17988" t="s">
        <v>21490</v>
      </c>
      <c r="C17988" t="s">
        <v>2537</v>
      </c>
      <c r="D17988" s="254">
        <v>209.84</v>
      </c>
      <c r="E17988"/>
      <c r="F17988"/>
      <c r="G17988"/>
      <c r="H17988"/>
      <c r="I17988" s="489"/>
      <c r="J17988" s="1362"/>
      <c r="K17988" s="1362"/>
      <c r="L17988" s="1362"/>
    </row>
    <row r="17989" spans="1:12" x14ac:dyDescent="0.25">
      <c r="A17989">
        <v>1818</v>
      </c>
      <c r="B17989" t="s">
        <v>21491</v>
      </c>
      <c r="C17989" t="s">
        <v>2537</v>
      </c>
      <c r="D17989" s="254">
        <v>139.29</v>
      </c>
      <c r="E17989"/>
      <c r="F17989"/>
      <c r="G17989"/>
      <c r="H17989"/>
      <c r="I17989" s="489"/>
      <c r="J17989" s="1362"/>
      <c r="K17989" s="1362"/>
      <c r="L17989" s="1362"/>
    </row>
    <row r="17990" spans="1:12" x14ac:dyDescent="0.25">
      <c r="A17990">
        <v>1820</v>
      </c>
      <c r="B17990" t="s">
        <v>21492</v>
      </c>
      <c r="C17990" t="s">
        <v>2537</v>
      </c>
      <c r="D17990" s="254">
        <v>27.24</v>
      </c>
      <c r="E17990"/>
      <c r="F17990"/>
      <c r="G17990"/>
      <c r="H17990"/>
      <c r="I17990" s="489"/>
      <c r="J17990" s="1362"/>
      <c r="K17990" s="1362"/>
      <c r="L17990" s="1362"/>
    </row>
    <row r="17991" spans="1:12" x14ac:dyDescent="0.25">
      <c r="A17991">
        <v>1779</v>
      </c>
      <c r="B17991" t="s">
        <v>21493</v>
      </c>
      <c r="C17991" t="s">
        <v>2537</v>
      </c>
      <c r="D17991" s="254">
        <v>305.17</v>
      </c>
      <c r="E17991"/>
      <c r="F17991"/>
      <c r="G17991"/>
      <c r="H17991"/>
      <c r="I17991" s="489"/>
      <c r="J17991" s="1362"/>
      <c r="K17991" s="1362"/>
      <c r="L17991" s="1362"/>
    </row>
    <row r="17992" spans="1:12" x14ac:dyDescent="0.25">
      <c r="A17992">
        <v>1780</v>
      </c>
      <c r="B17992" t="s">
        <v>21494</v>
      </c>
      <c r="C17992" t="s">
        <v>2537</v>
      </c>
      <c r="D17992" s="254">
        <v>629.13</v>
      </c>
      <c r="E17992"/>
      <c r="F17992"/>
      <c r="G17992"/>
      <c r="H17992"/>
      <c r="I17992" s="489"/>
      <c r="J17992" s="1362"/>
      <c r="K17992" s="1362"/>
      <c r="L17992" s="1362"/>
    </row>
    <row r="17993" spans="1:12" x14ac:dyDescent="0.25">
      <c r="A17993">
        <v>1783</v>
      </c>
      <c r="B17993" t="s">
        <v>21495</v>
      </c>
      <c r="C17993" t="s">
        <v>2537</v>
      </c>
      <c r="D17993" s="254">
        <v>66.52</v>
      </c>
      <c r="E17993"/>
      <c r="F17993"/>
      <c r="G17993"/>
      <c r="H17993"/>
      <c r="I17993" s="489"/>
      <c r="J17993" s="1362"/>
      <c r="K17993" s="1362"/>
      <c r="L17993" s="1362"/>
    </row>
    <row r="17994" spans="1:12" x14ac:dyDescent="0.25">
      <c r="A17994">
        <v>1782</v>
      </c>
      <c r="B17994" t="s">
        <v>21496</v>
      </c>
      <c r="C17994" t="s">
        <v>2537</v>
      </c>
      <c r="D17994" s="254">
        <v>52.59</v>
      </c>
      <c r="E17994"/>
      <c r="F17994"/>
      <c r="G17994"/>
      <c r="H17994"/>
      <c r="I17994" s="489"/>
      <c r="J17994" s="1362"/>
      <c r="K17994" s="1362"/>
      <c r="L17994" s="1362"/>
    </row>
    <row r="17995" spans="1:12" x14ac:dyDescent="0.25">
      <c r="A17995">
        <v>1817</v>
      </c>
      <c r="B17995" t="s">
        <v>21497</v>
      </c>
      <c r="C17995" t="s">
        <v>2537</v>
      </c>
      <c r="D17995" s="254">
        <v>15.67</v>
      </c>
      <c r="E17995"/>
      <c r="F17995"/>
      <c r="G17995"/>
      <c r="H17995"/>
      <c r="I17995" s="489"/>
      <c r="J17995" s="1362"/>
      <c r="K17995" s="1362"/>
      <c r="L17995" s="1362"/>
    </row>
    <row r="17996" spans="1:12" x14ac:dyDescent="0.25">
      <c r="A17996">
        <v>1781</v>
      </c>
      <c r="B17996" t="s">
        <v>21498</v>
      </c>
      <c r="C17996" t="s">
        <v>2537</v>
      </c>
      <c r="D17996" s="254">
        <v>34.270000000000003</v>
      </c>
      <c r="E17996"/>
      <c r="F17996"/>
      <c r="G17996"/>
      <c r="H17996"/>
      <c r="I17996" s="489"/>
      <c r="J17996" s="1362"/>
      <c r="K17996" s="1362"/>
      <c r="L17996" s="1362"/>
    </row>
    <row r="17997" spans="1:12" x14ac:dyDescent="0.25">
      <c r="A17997">
        <v>1784</v>
      </c>
      <c r="B17997" t="s">
        <v>21499</v>
      </c>
      <c r="C17997" t="s">
        <v>2537</v>
      </c>
      <c r="D17997" s="254">
        <v>187.83</v>
      </c>
      <c r="E17997"/>
      <c r="F17997"/>
      <c r="G17997"/>
      <c r="H17997"/>
      <c r="I17997" s="489"/>
      <c r="J17997" s="1362"/>
      <c r="K17997" s="1362"/>
      <c r="L17997" s="1362"/>
    </row>
    <row r="17998" spans="1:12" x14ac:dyDescent="0.25">
      <c r="A17998">
        <v>1810</v>
      </c>
      <c r="B17998" t="s">
        <v>21500</v>
      </c>
      <c r="C17998" t="s">
        <v>2537</v>
      </c>
      <c r="D17998" s="254">
        <v>104.18</v>
      </c>
      <c r="E17998"/>
      <c r="F17998"/>
      <c r="G17998"/>
      <c r="H17998"/>
      <c r="I17998" s="489"/>
      <c r="J17998" s="1362"/>
      <c r="K17998" s="1362"/>
      <c r="L17998" s="1362"/>
    </row>
    <row r="17999" spans="1:12" x14ac:dyDescent="0.25">
      <c r="A17999">
        <v>1811</v>
      </c>
      <c r="B17999" t="s">
        <v>21501</v>
      </c>
      <c r="C17999" t="s">
        <v>2537</v>
      </c>
      <c r="D17999" s="254">
        <v>22.54</v>
      </c>
      <c r="E17999"/>
      <c r="F17999"/>
      <c r="G17999"/>
      <c r="H17999"/>
      <c r="I17999" s="489"/>
      <c r="J17999" s="1362"/>
      <c r="K17999" s="1362"/>
      <c r="L17999" s="1362"/>
    </row>
    <row r="18000" spans="1:12" x14ac:dyDescent="0.25">
      <c r="A18000">
        <v>1812</v>
      </c>
      <c r="B18000" t="s">
        <v>21502</v>
      </c>
      <c r="C18000" t="s">
        <v>2537</v>
      </c>
      <c r="D18000" s="254">
        <v>263</v>
      </c>
      <c r="E18000"/>
      <c r="F18000"/>
      <c r="G18000"/>
      <c r="H18000"/>
      <c r="I18000" s="489"/>
      <c r="J18000" s="1362"/>
      <c r="K18000" s="1362"/>
      <c r="L18000" s="1362"/>
    </row>
    <row r="18001" spans="1:12" x14ac:dyDescent="0.25">
      <c r="A18001">
        <v>40386</v>
      </c>
      <c r="B18001" t="s">
        <v>21503</v>
      </c>
      <c r="C18001" t="s">
        <v>2537</v>
      </c>
      <c r="D18001" s="254">
        <v>97.33</v>
      </c>
      <c r="E18001"/>
      <c r="F18001"/>
      <c r="G18001"/>
      <c r="H18001"/>
      <c r="I18001" s="489"/>
      <c r="J18001" s="1362"/>
      <c r="K18001" s="1362"/>
      <c r="L18001" s="1362"/>
    </row>
    <row r="18002" spans="1:12" x14ac:dyDescent="0.25">
      <c r="A18002">
        <v>40384</v>
      </c>
      <c r="B18002" t="s">
        <v>21504</v>
      </c>
      <c r="C18002" t="s">
        <v>2537</v>
      </c>
      <c r="D18002" s="254">
        <v>66.63</v>
      </c>
      <c r="E18002"/>
      <c r="F18002"/>
      <c r="G18002"/>
      <c r="H18002"/>
      <c r="I18002" s="489"/>
      <c r="J18002" s="1362"/>
      <c r="K18002" s="1362"/>
      <c r="L18002" s="1362"/>
    </row>
    <row r="18003" spans="1:12" x14ac:dyDescent="0.25">
      <c r="A18003">
        <v>40379</v>
      </c>
      <c r="B18003" t="s">
        <v>21505</v>
      </c>
      <c r="C18003" t="s">
        <v>2537</v>
      </c>
      <c r="D18003" s="254">
        <v>23.03</v>
      </c>
      <c r="E18003"/>
      <c r="F18003"/>
      <c r="G18003"/>
      <c r="H18003"/>
      <c r="I18003" s="489"/>
      <c r="J18003" s="1362"/>
      <c r="K18003" s="1362"/>
      <c r="L18003" s="1362"/>
    </row>
    <row r="18004" spans="1:12" x14ac:dyDescent="0.25">
      <c r="A18004">
        <v>40423</v>
      </c>
      <c r="B18004" t="s">
        <v>21506</v>
      </c>
      <c r="C18004" t="s">
        <v>2537</v>
      </c>
      <c r="D18004" s="254">
        <v>43.59</v>
      </c>
      <c r="E18004"/>
      <c r="F18004"/>
      <c r="G18004"/>
      <c r="H18004"/>
      <c r="I18004" s="489"/>
      <c r="J18004" s="1362"/>
      <c r="K18004" s="1362"/>
      <c r="L18004" s="1362"/>
    </row>
    <row r="18005" spans="1:12" x14ac:dyDescent="0.25">
      <c r="A18005">
        <v>40389</v>
      </c>
      <c r="B18005" t="s">
        <v>21507</v>
      </c>
      <c r="C18005" t="s">
        <v>2537</v>
      </c>
      <c r="D18005" s="254">
        <v>276.45</v>
      </c>
      <c r="E18005"/>
      <c r="F18005"/>
      <c r="G18005"/>
      <c r="H18005"/>
      <c r="I18005" s="489"/>
      <c r="J18005" s="1362"/>
      <c r="K18005" s="1362"/>
      <c r="L18005" s="1362"/>
    </row>
    <row r="18006" spans="1:12" x14ac:dyDescent="0.25">
      <c r="A18006">
        <v>40388</v>
      </c>
      <c r="B18006" t="s">
        <v>21508</v>
      </c>
      <c r="C18006" t="s">
        <v>2537</v>
      </c>
      <c r="D18006" s="254">
        <v>138.38</v>
      </c>
      <c r="E18006"/>
      <c r="F18006"/>
      <c r="G18006"/>
      <c r="H18006"/>
      <c r="I18006" s="489"/>
      <c r="J18006" s="1362"/>
      <c r="K18006" s="1362"/>
      <c r="L18006" s="1362"/>
    </row>
    <row r="18007" spans="1:12" x14ac:dyDescent="0.25">
      <c r="A18007">
        <v>40381</v>
      </c>
      <c r="B18007" t="s">
        <v>21509</v>
      </c>
      <c r="C18007" t="s">
        <v>2537</v>
      </c>
      <c r="D18007" s="254">
        <v>30.71</v>
      </c>
      <c r="E18007"/>
      <c r="F18007"/>
      <c r="G18007"/>
      <c r="H18007"/>
      <c r="I18007" s="489"/>
      <c r="J18007" s="1362"/>
      <c r="K18007" s="1362"/>
      <c r="L18007" s="1362"/>
    </row>
    <row r="18008" spans="1:12" x14ac:dyDescent="0.25">
      <c r="A18008">
        <v>40391</v>
      </c>
      <c r="B18008" t="s">
        <v>21510</v>
      </c>
      <c r="C18008" t="s">
        <v>2537</v>
      </c>
      <c r="D18008" s="254">
        <v>717.54</v>
      </c>
      <c r="E18008"/>
      <c r="F18008"/>
      <c r="G18008"/>
      <c r="H18008"/>
      <c r="I18008" s="489"/>
      <c r="J18008" s="1362"/>
      <c r="K18008" s="1362"/>
      <c r="L18008" s="1362"/>
    </row>
    <row r="18009" spans="1:12" x14ac:dyDescent="0.25">
      <c r="A18009">
        <v>40414</v>
      </c>
      <c r="B18009" t="s">
        <v>21511</v>
      </c>
      <c r="C18009" t="s">
        <v>2537</v>
      </c>
      <c r="D18009" s="254">
        <v>24.58</v>
      </c>
      <c r="E18009"/>
      <c r="F18009"/>
      <c r="G18009"/>
      <c r="H18009"/>
      <c r="I18009" s="489"/>
      <c r="J18009" s="1362"/>
      <c r="K18009" s="1362"/>
      <c r="L18009" s="1362"/>
    </row>
    <row r="18010" spans="1:12" x14ac:dyDescent="0.25">
      <c r="A18010">
        <v>40416</v>
      </c>
      <c r="B18010" t="s">
        <v>21512</v>
      </c>
      <c r="C18010" t="s">
        <v>2537</v>
      </c>
      <c r="D18010" s="254">
        <v>33.979999999999997</v>
      </c>
      <c r="E18010"/>
      <c r="F18010"/>
      <c r="G18010"/>
      <c r="H18010"/>
      <c r="I18010" s="489"/>
      <c r="J18010" s="1362"/>
      <c r="K18010" s="1362"/>
      <c r="L18010" s="1362"/>
    </row>
    <row r="18011" spans="1:12" x14ac:dyDescent="0.25">
      <c r="A18011">
        <v>40418</v>
      </c>
      <c r="B18011" t="s">
        <v>21513</v>
      </c>
      <c r="C18011" t="s">
        <v>2537</v>
      </c>
      <c r="D18011" s="254">
        <v>40.53</v>
      </c>
      <c r="E18011"/>
      <c r="F18011"/>
      <c r="G18011"/>
      <c r="H18011"/>
      <c r="I18011" s="489"/>
      <c r="J18011" s="1362"/>
      <c r="K18011" s="1362"/>
      <c r="L18011" s="1362"/>
    </row>
    <row r="18012" spans="1:12" x14ac:dyDescent="0.25">
      <c r="A18012">
        <v>2609</v>
      </c>
      <c r="B18012" t="s">
        <v>21514</v>
      </c>
      <c r="C18012" t="s">
        <v>2537</v>
      </c>
      <c r="D18012" s="254">
        <v>6.61</v>
      </c>
      <c r="E18012"/>
      <c r="F18012"/>
      <c r="G18012"/>
      <c r="H18012"/>
      <c r="I18012" s="489"/>
      <c r="J18012" s="1362"/>
      <c r="K18012" s="1362"/>
      <c r="L18012" s="1362"/>
    </row>
    <row r="18013" spans="1:12" x14ac:dyDescent="0.25">
      <c r="A18013">
        <v>2634</v>
      </c>
      <c r="B18013" t="s">
        <v>21515</v>
      </c>
      <c r="C18013" t="s">
        <v>2537</v>
      </c>
      <c r="D18013" s="254">
        <v>8.68</v>
      </c>
      <c r="E18013"/>
      <c r="F18013"/>
      <c r="G18013"/>
      <c r="H18013"/>
      <c r="I18013" s="489"/>
      <c r="J18013" s="1362"/>
      <c r="K18013" s="1362"/>
      <c r="L18013" s="1362"/>
    </row>
    <row r="18014" spans="1:12" x14ac:dyDescent="0.25">
      <c r="A18014">
        <v>2611</v>
      </c>
      <c r="B18014" t="s">
        <v>21516</v>
      </c>
      <c r="C18014" t="s">
        <v>2537</v>
      </c>
      <c r="D18014" s="254">
        <v>24.48</v>
      </c>
      <c r="E18014"/>
      <c r="F18014"/>
      <c r="G18014"/>
      <c r="H18014"/>
      <c r="I18014" s="489"/>
      <c r="J18014" s="1362"/>
      <c r="K18014" s="1362"/>
      <c r="L18014" s="1362"/>
    </row>
    <row r="18015" spans="1:12" x14ac:dyDescent="0.25">
      <c r="A18015">
        <v>34359</v>
      </c>
      <c r="B18015" t="s">
        <v>21517</v>
      </c>
      <c r="C18015" t="s">
        <v>2537</v>
      </c>
      <c r="D18015" s="254">
        <v>17.940000000000001</v>
      </c>
      <c r="E18015"/>
      <c r="F18015"/>
      <c r="G18015"/>
      <c r="H18015"/>
      <c r="I18015" s="489"/>
      <c r="J18015" s="1362"/>
      <c r="K18015" s="1362"/>
      <c r="L18015" s="1362"/>
    </row>
    <row r="18016" spans="1:12" x14ac:dyDescent="0.25">
      <c r="A18016">
        <v>1789</v>
      </c>
      <c r="B18016" t="s">
        <v>21518</v>
      </c>
      <c r="C18016" t="s">
        <v>2537</v>
      </c>
      <c r="D18016" s="254">
        <v>83.2</v>
      </c>
      <c r="E18016"/>
      <c r="F18016"/>
      <c r="G18016"/>
      <c r="H18016"/>
      <c r="I18016" s="489"/>
      <c r="J18016" s="1362"/>
      <c r="K18016" s="1362"/>
      <c r="L18016" s="1362"/>
    </row>
    <row r="18017" spans="1:12" x14ac:dyDescent="0.25">
      <c r="A18017">
        <v>1788</v>
      </c>
      <c r="B18017" t="s">
        <v>21519</v>
      </c>
      <c r="C18017" t="s">
        <v>2537</v>
      </c>
      <c r="D18017" s="254">
        <v>66.69</v>
      </c>
      <c r="E18017"/>
      <c r="F18017"/>
      <c r="G18017"/>
      <c r="H18017"/>
      <c r="I18017" s="489"/>
      <c r="J18017" s="1362"/>
      <c r="K18017" s="1362"/>
      <c r="L18017" s="1362"/>
    </row>
    <row r="18018" spans="1:12" x14ac:dyDescent="0.25">
      <c r="A18018">
        <v>1786</v>
      </c>
      <c r="B18018" t="s">
        <v>21520</v>
      </c>
      <c r="C18018" t="s">
        <v>2537</v>
      </c>
      <c r="D18018" s="254">
        <v>16.559999999999999</v>
      </c>
      <c r="E18018"/>
      <c r="F18018"/>
      <c r="G18018"/>
      <c r="H18018"/>
      <c r="I18018" s="489"/>
      <c r="J18018" s="1362"/>
      <c r="K18018" s="1362"/>
      <c r="L18018" s="1362"/>
    </row>
    <row r="18019" spans="1:12" x14ac:dyDescent="0.25">
      <c r="A18019">
        <v>1787</v>
      </c>
      <c r="B18019" t="s">
        <v>21521</v>
      </c>
      <c r="C18019" t="s">
        <v>2537</v>
      </c>
      <c r="D18019" s="254">
        <v>39.65</v>
      </c>
      <c r="E18019"/>
      <c r="F18019"/>
      <c r="G18019"/>
      <c r="H18019"/>
      <c r="I18019" s="489"/>
      <c r="J18019" s="1362"/>
      <c r="K18019" s="1362"/>
      <c r="L18019" s="1362"/>
    </row>
    <row r="18020" spans="1:12" x14ac:dyDescent="0.25">
      <c r="A18020">
        <v>1791</v>
      </c>
      <c r="B18020" t="s">
        <v>21522</v>
      </c>
      <c r="C18020" t="s">
        <v>2537</v>
      </c>
      <c r="D18020" s="254">
        <v>240.46</v>
      </c>
      <c r="E18020"/>
      <c r="F18020"/>
      <c r="G18020"/>
      <c r="H18020"/>
      <c r="I18020" s="489"/>
      <c r="J18020" s="1362"/>
      <c r="K18020" s="1362"/>
      <c r="L18020" s="1362"/>
    </row>
    <row r="18021" spans="1:12" x14ac:dyDescent="0.25">
      <c r="A18021">
        <v>1790</v>
      </c>
      <c r="B18021" t="s">
        <v>21523</v>
      </c>
      <c r="C18021" t="s">
        <v>2537</v>
      </c>
      <c r="D18021" s="254">
        <v>138.56</v>
      </c>
      <c r="E18021"/>
      <c r="F18021"/>
      <c r="G18021"/>
      <c r="H18021"/>
      <c r="I18021" s="489"/>
      <c r="J18021" s="1362"/>
      <c r="K18021" s="1362"/>
      <c r="L18021" s="1362"/>
    </row>
    <row r="18022" spans="1:12" x14ac:dyDescent="0.25">
      <c r="A18022">
        <v>1813</v>
      </c>
      <c r="B18022" t="s">
        <v>21524</v>
      </c>
      <c r="C18022" t="s">
        <v>2537</v>
      </c>
      <c r="D18022" s="254">
        <v>26.28</v>
      </c>
      <c r="E18022"/>
      <c r="F18022"/>
      <c r="G18022"/>
      <c r="H18022"/>
      <c r="I18022" s="489"/>
      <c r="J18022" s="1362"/>
      <c r="K18022" s="1362"/>
      <c r="L18022" s="1362"/>
    </row>
    <row r="18023" spans="1:12" x14ac:dyDescent="0.25">
      <c r="A18023">
        <v>1792</v>
      </c>
      <c r="B18023" t="s">
        <v>21525</v>
      </c>
      <c r="C18023" t="s">
        <v>2537</v>
      </c>
      <c r="D18023" s="254">
        <v>324.58</v>
      </c>
      <c r="E18023"/>
      <c r="F18023"/>
      <c r="G18023"/>
      <c r="H18023"/>
      <c r="I18023" s="489"/>
      <c r="J18023" s="1362"/>
      <c r="K18023" s="1362"/>
      <c r="L18023" s="1362"/>
    </row>
    <row r="18024" spans="1:12" x14ac:dyDescent="0.25">
      <c r="A18024">
        <v>1793</v>
      </c>
      <c r="B18024" t="s">
        <v>21526</v>
      </c>
      <c r="C18024" t="s">
        <v>2537</v>
      </c>
      <c r="D18024" s="254">
        <v>655.87</v>
      </c>
      <c r="E18024"/>
      <c r="F18024"/>
      <c r="G18024"/>
      <c r="H18024"/>
      <c r="I18024" s="489"/>
      <c r="J18024" s="1362"/>
      <c r="K18024" s="1362"/>
      <c r="L18024" s="1362"/>
    </row>
    <row r="18025" spans="1:12" x14ac:dyDescent="0.25">
      <c r="A18025">
        <v>1809</v>
      </c>
      <c r="B18025" t="s">
        <v>21527</v>
      </c>
      <c r="C18025" t="s">
        <v>2537</v>
      </c>
      <c r="D18025" s="254">
        <v>78</v>
      </c>
      <c r="E18025"/>
      <c r="F18025"/>
      <c r="G18025"/>
      <c r="H18025"/>
      <c r="I18025" s="489"/>
      <c r="J18025" s="1362"/>
      <c r="K18025" s="1362"/>
      <c r="L18025" s="1362"/>
    </row>
    <row r="18026" spans="1:12" x14ac:dyDescent="0.25">
      <c r="A18026">
        <v>1814</v>
      </c>
      <c r="B18026" t="s">
        <v>21528</v>
      </c>
      <c r="C18026" t="s">
        <v>2537</v>
      </c>
      <c r="D18026" s="254">
        <v>64.08</v>
      </c>
      <c r="E18026"/>
      <c r="F18026"/>
      <c r="G18026"/>
      <c r="H18026"/>
      <c r="I18026" s="489"/>
      <c r="J18026" s="1362"/>
      <c r="K18026" s="1362"/>
      <c r="L18026" s="1362"/>
    </row>
    <row r="18027" spans="1:12" x14ac:dyDescent="0.25">
      <c r="A18027">
        <v>1803</v>
      </c>
      <c r="B18027" t="s">
        <v>21529</v>
      </c>
      <c r="C18027" t="s">
        <v>2537</v>
      </c>
      <c r="D18027" s="254">
        <v>16.190000000000001</v>
      </c>
      <c r="E18027"/>
      <c r="F18027"/>
      <c r="G18027"/>
      <c r="H18027"/>
      <c r="I18027" s="489"/>
      <c r="J18027" s="1362"/>
      <c r="K18027" s="1362"/>
      <c r="L18027" s="1362"/>
    </row>
    <row r="18028" spans="1:12" x14ac:dyDescent="0.25">
      <c r="A18028">
        <v>1805</v>
      </c>
      <c r="B18028" t="s">
        <v>21530</v>
      </c>
      <c r="C18028" t="s">
        <v>2537</v>
      </c>
      <c r="D18028" s="254">
        <v>37.19</v>
      </c>
      <c r="E18028"/>
      <c r="F18028"/>
      <c r="G18028"/>
      <c r="H18028"/>
      <c r="I18028" s="489"/>
      <c r="J18028" s="1362"/>
      <c r="K18028" s="1362"/>
      <c r="L18028" s="1362"/>
    </row>
    <row r="18029" spans="1:12" x14ac:dyDescent="0.25">
      <c r="A18029">
        <v>1821</v>
      </c>
      <c r="B18029" t="s">
        <v>21531</v>
      </c>
      <c r="C18029" t="s">
        <v>2537</v>
      </c>
      <c r="D18029" s="254">
        <v>219.69</v>
      </c>
      <c r="E18029"/>
      <c r="F18029"/>
      <c r="G18029"/>
      <c r="H18029"/>
      <c r="I18029" s="489"/>
      <c r="J18029" s="1362"/>
      <c r="K18029" s="1362"/>
      <c r="L18029" s="1362"/>
    </row>
    <row r="18030" spans="1:12" x14ac:dyDescent="0.25">
      <c r="A18030">
        <v>1806</v>
      </c>
      <c r="B18030" t="s">
        <v>21532</v>
      </c>
      <c r="C18030" t="s">
        <v>2537</v>
      </c>
      <c r="D18030" s="254">
        <v>130.76</v>
      </c>
      <c r="E18030"/>
      <c r="F18030"/>
      <c r="G18030"/>
      <c r="H18030"/>
      <c r="I18030" s="489"/>
      <c r="J18030" s="1362"/>
      <c r="K18030" s="1362"/>
      <c r="L18030" s="1362"/>
    </row>
    <row r="18031" spans="1:12" x14ac:dyDescent="0.25">
      <c r="A18031">
        <v>1804</v>
      </c>
      <c r="B18031" t="s">
        <v>21533</v>
      </c>
      <c r="C18031" t="s">
        <v>2537</v>
      </c>
      <c r="D18031" s="254">
        <v>23.05</v>
      </c>
      <c r="E18031"/>
      <c r="F18031"/>
      <c r="G18031"/>
      <c r="H18031"/>
      <c r="I18031" s="489"/>
      <c r="J18031" s="1362"/>
      <c r="K18031" s="1362"/>
      <c r="L18031" s="1362"/>
    </row>
    <row r="18032" spans="1:12" x14ac:dyDescent="0.25">
      <c r="A18032">
        <v>1807</v>
      </c>
      <c r="B18032" t="s">
        <v>21534</v>
      </c>
      <c r="C18032" t="s">
        <v>2537</v>
      </c>
      <c r="D18032" s="254">
        <v>314.2</v>
      </c>
      <c r="E18032"/>
      <c r="F18032"/>
      <c r="G18032"/>
      <c r="H18032"/>
      <c r="I18032" s="489"/>
      <c r="J18032" s="1362"/>
      <c r="K18032" s="1362"/>
      <c r="L18032" s="1362"/>
    </row>
    <row r="18033" spans="1:12" x14ac:dyDescent="0.25">
      <c r="A18033">
        <v>1808</v>
      </c>
      <c r="B18033" t="s">
        <v>21535</v>
      </c>
      <c r="C18033" t="s">
        <v>2537</v>
      </c>
      <c r="D18033" s="254">
        <v>629.91</v>
      </c>
      <c r="E18033"/>
      <c r="F18033"/>
      <c r="G18033"/>
      <c r="H18033"/>
      <c r="I18033" s="489"/>
      <c r="J18033" s="1362"/>
      <c r="K18033" s="1362"/>
      <c r="L18033" s="1362"/>
    </row>
    <row r="18034" spans="1:12" x14ac:dyDescent="0.25">
      <c r="A18034">
        <v>1797</v>
      </c>
      <c r="B18034" t="s">
        <v>21536</v>
      </c>
      <c r="C18034" t="s">
        <v>2537</v>
      </c>
      <c r="D18034" s="254">
        <v>94.47</v>
      </c>
      <c r="E18034"/>
      <c r="F18034"/>
      <c r="G18034"/>
      <c r="H18034"/>
      <c r="I18034" s="489"/>
      <c r="J18034" s="1362"/>
      <c r="K18034" s="1362"/>
      <c r="L18034" s="1362"/>
    </row>
    <row r="18035" spans="1:12" x14ac:dyDescent="0.25">
      <c r="A18035">
        <v>1796</v>
      </c>
      <c r="B18035" t="s">
        <v>21537</v>
      </c>
      <c r="C18035" t="s">
        <v>2537</v>
      </c>
      <c r="D18035" s="254">
        <v>72.47</v>
      </c>
      <c r="E18035"/>
      <c r="F18035"/>
      <c r="G18035"/>
      <c r="H18035"/>
      <c r="I18035" s="489"/>
      <c r="J18035" s="1362"/>
      <c r="K18035" s="1362"/>
      <c r="L18035" s="1362"/>
    </row>
    <row r="18036" spans="1:12" x14ac:dyDescent="0.25">
      <c r="A18036">
        <v>1794</v>
      </c>
      <c r="B18036" t="s">
        <v>21538</v>
      </c>
      <c r="C18036" t="s">
        <v>2537</v>
      </c>
      <c r="D18036" s="254">
        <v>17.3</v>
      </c>
      <c r="E18036"/>
      <c r="F18036"/>
      <c r="G18036"/>
      <c r="H18036"/>
      <c r="I18036" s="489"/>
      <c r="J18036" s="1362"/>
      <c r="K18036" s="1362"/>
      <c r="L18036" s="1362"/>
    </row>
    <row r="18037" spans="1:12" x14ac:dyDescent="0.25">
      <c r="A18037">
        <v>1816</v>
      </c>
      <c r="B18037" t="s">
        <v>21539</v>
      </c>
      <c r="C18037" t="s">
        <v>2537</v>
      </c>
      <c r="D18037" s="254">
        <v>39.01</v>
      </c>
      <c r="E18037"/>
      <c r="F18037"/>
      <c r="G18037"/>
      <c r="H18037"/>
      <c r="I18037" s="489"/>
      <c r="J18037" s="1362"/>
      <c r="K18037" s="1362"/>
      <c r="L18037" s="1362"/>
    </row>
    <row r="18038" spans="1:12" x14ac:dyDescent="0.25">
      <c r="A18038">
        <v>1815</v>
      </c>
      <c r="B18038" t="s">
        <v>21540</v>
      </c>
      <c r="C18038" t="s">
        <v>2537</v>
      </c>
      <c r="D18038" s="254">
        <v>299.55</v>
      </c>
      <c r="E18038"/>
      <c r="F18038"/>
      <c r="G18038"/>
      <c r="H18038"/>
      <c r="I18038" s="489"/>
      <c r="J18038" s="1362"/>
      <c r="K18038" s="1362"/>
      <c r="L18038" s="1362"/>
    </row>
    <row r="18039" spans="1:12" x14ac:dyDescent="0.25">
      <c r="A18039">
        <v>1798</v>
      </c>
      <c r="B18039" t="s">
        <v>21541</v>
      </c>
      <c r="C18039" t="s">
        <v>2537</v>
      </c>
      <c r="D18039" s="254">
        <v>134.04</v>
      </c>
      <c r="E18039"/>
      <c r="F18039"/>
      <c r="G18039"/>
      <c r="H18039"/>
      <c r="I18039" s="489"/>
      <c r="J18039" s="1362"/>
      <c r="K18039" s="1362"/>
      <c r="L18039" s="1362"/>
    </row>
    <row r="18040" spans="1:12" x14ac:dyDescent="0.25">
      <c r="A18040">
        <v>1795</v>
      </c>
      <c r="B18040" t="s">
        <v>21542</v>
      </c>
      <c r="C18040" t="s">
        <v>2537</v>
      </c>
      <c r="D18040" s="254">
        <v>23.96</v>
      </c>
      <c r="E18040"/>
      <c r="F18040"/>
      <c r="G18040"/>
      <c r="H18040"/>
      <c r="I18040" s="489"/>
      <c r="J18040" s="1362"/>
      <c r="K18040" s="1362"/>
      <c r="L18040" s="1362"/>
    </row>
    <row r="18041" spans="1:12" x14ac:dyDescent="0.25">
      <c r="A18041">
        <v>1799</v>
      </c>
      <c r="B18041" t="s">
        <v>21543</v>
      </c>
      <c r="C18041" t="s">
        <v>2537</v>
      </c>
      <c r="D18041" s="254">
        <v>390.13</v>
      </c>
      <c r="E18041"/>
      <c r="F18041"/>
      <c r="G18041"/>
      <c r="H18041"/>
      <c r="I18041" s="489"/>
      <c r="J18041" s="1362"/>
      <c r="K18041" s="1362"/>
      <c r="L18041" s="1362"/>
    </row>
    <row r="18042" spans="1:12" x14ac:dyDescent="0.25">
      <c r="A18042">
        <v>1800</v>
      </c>
      <c r="B18042" t="s">
        <v>21544</v>
      </c>
      <c r="C18042" t="s">
        <v>2537</v>
      </c>
      <c r="D18042" s="254">
        <v>744.83</v>
      </c>
      <c r="E18042"/>
      <c r="F18042"/>
      <c r="G18042"/>
      <c r="H18042"/>
      <c r="I18042" s="489"/>
      <c r="J18042" s="1362"/>
      <c r="K18042" s="1362"/>
      <c r="L18042" s="1362"/>
    </row>
    <row r="18043" spans="1:12" x14ac:dyDescent="0.25">
      <c r="A18043">
        <v>1802</v>
      </c>
      <c r="B18043" t="s">
        <v>21545</v>
      </c>
      <c r="C18043" t="s">
        <v>2537</v>
      </c>
      <c r="D18043" s="254">
        <v>1863.11</v>
      </c>
      <c r="E18043"/>
      <c r="F18043"/>
      <c r="G18043"/>
      <c r="H18043"/>
      <c r="I18043" s="489"/>
      <c r="J18043" s="1362"/>
      <c r="K18043" s="1362"/>
      <c r="L18043" s="1362"/>
    </row>
    <row r="18044" spans="1:12" x14ac:dyDescent="0.25">
      <c r="A18044">
        <v>40385</v>
      </c>
      <c r="B18044" t="s">
        <v>21546</v>
      </c>
      <c r="C18044" t="s">
        <v>2537</v>
      </c>
      <c r="D18044" s="254">
        <v>97.33</v>
      </c>
      <c r="E18044"/>
      <c r="F18044"/>
      <c r="G18044"/>
      <c r="H18044"/>
      <c r="I18044" s="489"/>
      <c r="J18044" s="1362"/>
      <c r="K18044" s="1362"/>
      <c r="L18044" s="1362"/>
    </row>
    <row r="18045" spans="1:12" x14ac:dyDescent="0.25">
      <c r="A18045">
        <v>40383</v>
      </c>
      <c r="B18045" t="s">
        <v>21547</v>
      </c>
      <c r="C18045" t="s">
        <v>2537</v>
      </c>
      <c r="D18045" s="254">
        <v>66.63</v>
      </c>
      <c r="E18045"/>
      <c r="F18045"/>
      <c r="G18045"/>
      <c r="H18045"/>
      <c r="I18045" s="489"/>
      <c r="J18045" s="1362"/>
      <c r="K18045" s="1362"/>
      <c r="L18045" s="1362"/>
    </row>
    <row r="18046" spans="1:12" x14ac:dyDescent="0.25">
      <c r="A18046">
        <v>40378</v>
      </c>
      <c r="B18046" t="s">
        <v>21548</v>
      </c>
      <c r="C18046" t="s">
        <v>2537</v>
      </c>
      <c r="D18046" s="254">
        <v>23.03</v>
      </c>
      <c r="E18046"/>
      <c r="F18046"/>
      <c r="G18046"/>
      <c r="H18046"/>
      <c r="I18046" s="489"/>
      <c r="J18046" s="1362"/>
      <c r="K18046" s="1362"/>
      <c r="L18046" s="1362"/>
    </row>
    <row r="18047" spans="1:12" x14ac:dyDescent="0.25">
      <c r="A18047">
        <v>40382</v>
      </c>
      <c r="B18047" t="s">
        <v>21549</v>
      </c>
      <c r="C18047" t="s">
        <v>2537</v>
      </c>
      <c r="D18047" s="254">
        <v>43.59</v>
      </c>
      <c r="E18047"/>
      <c r="F18047"/>
      <c r="G18047"/>
      <c r="H18047"/>
      <c r="I18047" s="489"/>
      <c r="J18047" s="1362"/>
      <c r="K18047" s="1362"/>
      <c r="L18047" s="1362"/>
    </row>
    <row r="18048" spans="1:12" x14ac:dyDescent="0.25">
      <c r="A18048">
        <v>40422</v>
      </c>
      <c r="B18048" t="s">
        <v>21550</v>
      </c>
      <c r="C18048" t="s">
        <v>2537</v>
      </c>
      <c r="D18048" s="254">
        <v>296.98</v>
      </c>
      <c r="E18048"/>
      <c r="F18048"/>
      <c r="G18048"/>
      <c r="H18048"/>
      <c r="I18048" s="489"/>
      <c r="J18048" s="1362"/>
      <c r="K18048" s="1362"/>
      <c r="L18048" s="1362"/>
    </row>
    <row r="18049" spans="1:12" x14ac:dyDescent="0.25">
      <c r="A18049">
        <v>40387</v>
      </c>
      <c r="B18049" t="s">
        <v>21551</v>
      </c>
      <c r="C18049" t="s">
        <v>2537</v>
      </c>
      <c r="D18049" s="254">
        <v>151.21</v>
      </c>
      <c r="E18049"/>
      <c r="F18049"/>
      <c r="G18049"/>
      <c r="H18049"/>
      <c r="I18049" s="489"/>
      <c r="J18049" s="1362"/>
      <c r="K18049" s="1362"/>
      <c r="L18049" s="1362"/>
    </row>
    <row r="18050" spans="1:12" x14ac:dyDescent="0.25">
      <c r="A18050">
        <v>40380</v>
      </c>
      <c r="B18050" t="s">
        <v>21552</v>
      </c>
      <c r="C18050" t="s">
        <v>2537</v>
      </c>
      <c r="D18050" s="254">
        <v>30.71</v>
      </c>
      <c r="E18050"/>
      <c r="F18050"/>
      <c r="G18050"/>
      <c r="H18050"/>
      <c r="I18050" s="489"/>
      <c r="J18050" s="1362"/>
      <c r="K18050" s="1362"/>
      <c r="L18050" s="1362"/>
    </row>
    <row r="18051" spans="1:12" x14ac:dyDescent="0.25">
      <c r="A18051">
        <v>40390</v>
      </c>
      <c r="B18051" t="s">
        <v>21553</v>
      </c>
      <c r="C18051" t="s">
        <v>2537</v>
      </c>
      <c r="D18051" s="254">
        <v>625.47</v>
      </c>
      <c r="E18051"/>
      <c r="F18051"/>
      <c r="G18051"/>
      <c r="H18051"/>
      <c r="I18051" s="489"/>
      <c r="J18051" s="1362"/>
      <c r="K18051" s="1362"/>
      <c r="L18051" s="1362"/>
    </row>
    <row r="18052" spans="1:12" x14ac:dyDescent="0.25">
      <c r="A18052">
        <v>40413</v>
      </c>
      <c r="B18052" t="s">
        <v>21554</v>
      </c>
      <c r="C18052" t="s">
        <v>2537</v>
      </c>
      <c r="D18052" s="254">
        <v>26.7</v>
      </c>
      <c r="E18052"/>
      <c r="F18052"/>
      <c r="G18052"/>
      <c r="H18052"/>
      <c r="I18052" s="489"/>
      <c r="J18052" s="1362"/>
      <c r="K18052" s="1362"/>
      <c r="L18052" s="1362"/>
    </row>
    <row r="18053" spans="1:12" x14ac:dyDescent="0.25">
      <c r="A18053">
        <v>40415</v>
      </c>
      <c r="B18053" t="s">
        <v>21555</v>
      </c>
      <c r="C18053" t="s">
        <v>2537</v>
      </c>
      <c r="D18053" s="254">
        <v>38.049999999999997</v>
      </c>
      <c r="E18053"/>
      <c r="F18053"/>
      <c r="G18053"/>
      <c r="H18053"/>
      <c r="I18053" s="489"/>
      <c r="J18053" s="1362"/>
      <c r="K18053" s="1362"/>
      <c r="L18053" s="1362"/>
    </row>
    <row r="18054" spans="1:12" x14ac:dyDescent="0.25">
      <c r="A18054">
        <v>40417</v>
      </c>
      <c r="B18054" t="s">
        <v>21556</v>
      </c>
      <c r="C18054" t="s">
        <v>2537</v>
      </c>
      <c r="D18054" s="254">
        <v>44.89</v>
      </c>
      <c r="E18054"/>
      <c r="F18054"/>
      <c r="G18054"/>
      <c r="H18054"/>
      <c r="I18054" s="489"/>
      <c r="J18054" s="1362"/>
      <c r="K18054" s="1362"/>
      <c r="L18054" s="1362"/>
    </row>
    <row r="18055" spans="1:12" x14ac:dyDescent="0.25">
      <c r="A18055">
        <v>39271</v>
      </c>
      <c r="B18055" t="s">
        <v>21557</v>
      </c>
      <c r="C18055" t="s">
        <v>2537</v>
      </c>
      <c r="D18055" s="254">
        <v>2.14</v>
      </c>
      <c r="E18055"/>
      <c r="F18055"/>
      <c r="G18055"/>
      <c r="H18055"/>
      <c r="I18055" s="489"/>
      <c r="J18055" s="1362"/>
      <c r="K18055" s="1362"/>
      <c r="L18055" s="1362"/>
    </row>
    <row r="18056" spans="1:12" x14ac:dyDescent="0.25">
      <c r="A18056">
        <v>39273</v>
      </c>
      <c r="B18056" t="s">
        <v>21558</v>
      </c>
      <c r="C18056" t="s">
        <v>2537</v>
      </c>
      <c r="D18056" s="254">
        <v>3.63</v>
      </c>
      <c r="E18056"/>
      <c r="F18056"/>
      <c r="G18056"/>
      <c r="H18056"/>
      <c r="I18056" s="489"/>
      <c r="J18056" s="1362"/>
      <c r="K18056" s="1362"/>
      <c r="L18056" s="1362"/>
    </row>
    <row r="18057" spans="1:12" x14ac:dyDescent="0.25">
      <c r="A18057">
        <v>39272</v>
      </c>
      <c r="B18057" t="s">
        <v>21559</v>
      </c>
      <c r="C18057" t="s">
        <v>2537</v>
      </c>
      <c r="D18057" s="254">
        <v>2.63</v>
      </c>
      <c r="E18057"/>
      <c r="F18057"/>
      <c r="G18057"/>
      <c r="H18057"/>
      <c r="I18057" s="489"/>
      <c r="J18057" s="1362"/>
      <c r="K18057" s="1362"/>
      <c r="L18057" s="1362"/>
    </row>
    <row r="18058" spans="1:12" x14ac:dyDescent="0.25">
      <c r="A18058">
        <v>1875</v>
      </c>
      <c r="B18058" t="s">
        <v>21560</v>
      </c>
      <c r="C18058" t="s">
        <v>2537</v>
      </c>
      <c r="D18058" s="254">
        <v>5.81</v>
      </c>
      <c r="E18058"/>
      <c r="F18058"/>
      <c r="G18058"/>
      <c r="H18058"/>
      <c r="I18058" s="489"/>
      <c r="J18058" s="1362"/>
      <c r="K18058" s="1362"/>
      <c r="L18058" s="1362"/>
    </row>
    <row r="18059" spans="1:12" x14ac:dyDescent="0.25">
      <c r="A18059">
        <v>1874</v>
      </c>
      <c r="B18059" t="s">
        <v>21561</v>
      </c>
      <c r="C18059" t="s">
        <v>2537</v>
      </c>
      <c r="D18059" s="254">
        <v>4.8</v>
      </c>
      <c r="E18059"/>
      <c r="F18059"/>
      <c r="G18059"/>
      <c r="H18059"/>
      <c r="I18059" s="489"/>
      <c r="J18059" s="1362"/>
      <c r="K18059" s="1362"/>
      <c r="L18059" s="1362"/>
    </row>
    <row r="18060" spans="1:12" x14ac:dyDescent="0.25">
      <c r="A18060">
        <v>1870</v>
      </c>
      <c r="B18060" t="s">
        <v>21562</v>
      </c>
      <c r="C18060" t="s">
        <v>2537</v>
      </c>
      <c r="D18060" s="254">
        <v>2.77</v>
      </c>
      <c r="E18060"/>
      <c r="F18060"/>
      <c r="G18060"/>
      <c r="H18060"/>
      <c r="I18060" s="489"/>
      <c r="J18060" s="1362"/>
      <c r="K18060" s="1362"/>
      <c r="L18060" s="1362"/>
    </row>
    <row r="18061" spans="1:12" x14ac:dyDescent="0.25">
      <c r="A18061">
        <v>1884</v>
      </c>
      <c r="B18061" t="s">
        <v>21563</v>
      </c>
      <c r="C18061" t="s">
        <v>2537</v>
      </c>
      <c r="D18061" s="254">
        <v>4.25</v>
      </c>
      <c r="E18061"/>
      <c r="F18061"/>
      <c r="G18061"/>
      <c r="H18061"/>
      <c r="I18061" s="489"/>
      <c r="J18061" s="1362"/>
      <c r="K18061" s="1362"/>
      <c r="L18061" s="1362"/>
    </row>
    <row r="18062" spans="1:12" x14ac:dyDescent="0.25">
      <c r="A18062">
        <v>1887</v>
      </c>
      <c r="B18062" t="s">
        <v>21564</v>
      </c>
      <c r="C18062" t="s">
        <v>2537</v>
      </c>
      <c r="D18062" s="254">
        <v>24.08</v>
      </c>
      <c r="E18062"/>
      <c r="F18062"/>
      <c r="G18062"/>
      <c r="H18062"/>
      <c r="I18062" s="489"/>
      <c r="J18062" s="1362"/>
      <c r="K18062" s="1362"/>
      <c r="L18062" s="1362"/>
    </row>
    <row r="18063" spans="1:12" x14ac:dyDescent="0.25">
      <c r="A18063">
        <v>1876</v>
      </c>
      <c r="B18063" t="s">
        <v>21565</v>
      </c>
      <c r="C18063" t="s">
        <v>2537</v>
      </c>
      <c r="D18063" s="254">
        <v>9.44</v>
      </c>
      <c r="E18063"/>
      <c r="F18063"/>
      <c r="G18063"/>
      <c r="H18063"/>
      <c r="I18063" s="489"/>
      <c r="J18063" s="1362"/>
      <c r="K18063" s="1362"/>
      <c r="L18063" s="1362"/>
    </row>
    <row r="18064" spans="1:12" x14ac:dyDescent="0.25">
      <c r="A18064">
        <v>1879</v>
      </c>
      <c r="B18064" t="s">
        <v>21566</v>
      </c>
      <c r="C18064" t="s">
        <v>2537</v>
      </c>
      <c r="D18064" s="254">
        <v>2.81</v>
      </c>
      <c r="E18064"/>
      <c r="F18064"/>
      <c r="G18064"/>
      <c r="H18064"/>
      <c r="I18064" s="489"/>
      <c r="J18064" s="1362"/>
      <c r="K18064" s="1362"/>
      <c r="L18064" s="1362"/>
    </row>
    <row r="18065" spans="1:12" x14ac:dyDescent="0.25">
      <c r="A18065">
        <v>1877</v>
      </c>
      <c r="B18065" t="s">
        <v>21567</v>
      </c>
      <c r="C18065" t="s">
        <v>2537</v>
      </c>
      <c r="D18065" s="254">
        <v>24.11</v>
      </c>
      <c r="E18065"/>
      <c r="F18065"/>
      <c r="G18065"/>
      <c r="H18065"/>
      <c r="I18065" s="489"/>
      <c r="J18065" s="1362"/>
      <c r="K18065" s="1362"/>
      <c r="L18065" s="1362"/>
    </row>
    <row r="18066" spans="1:12" x14ac:dyDescent="0.25">
      <c r="A18066">
        <v>1878</v>
      </c>
      <c r="B18066" t="s">
        <v>21568</v>
      </c>
      <c r="C18066" t="s">
        <v>2537</v>
      </c>
      <c r="D18066" s="254">
        <v>48.45</v>
      </c>
      <c r="E18066"/>
      <c r="F18066"/>
      <c r="G18066"/>
      <c r="H18066"/>
      <c r="I18066" s="489"/>
      <c r="J18066" s="1362"/>
      <c r="K18066" s="1362"/>
      <c r="L18066" s="1362"/>
    </row>
    <row r="18067" spans="1:12" x14ac:dyDescent="0.25">
      <c r="A18067">
        <v>2621</v>
      </c>
      <c r="B18067" t="s">
        <v>21569</v>
      </c>
      <c r="C18067" t="s">
        <v>2537</v>
      </c>
      <c r="D18067" s="254">
        <v>209.43</v>
      </c>
      <c r="E18067"/>
      <c r="F18067"/>
      <c r="G18067"/>
      <c r="H18067"/>
      <c r="I18067" s="489"/>
      <c r="J18067" s="1362"/>
      <c r="K18067" s="1362"/>
      <c r="L18067" s="1362"/>
    </row>
    <row r="18068" spans="1:12" x14ac:dyDescent="0.25">
      <c r="A18068">
        <v>2616</v>
      </c>
      <c r="B18068" t="s">
        <v>21570</v>
      </c>
      <c r="C18068" t="s">
        <v>2537</v>
      </c>
      <c r="D18068" s="254">
        <v>5.93</v>
      </c>
      <c r="E18068"/>
      <c r="F18068"/>
      <c r="G18068"/>
      <c r="H18068"/>
      <c r="I18068" s="489"/>
      <c r="J18068" s="1362"/>
      <c r="K18068" s="1362"/>
      <c r="L18068" s="1362"/>
    </row>
    <row r="18069" spans="1:12" x14ac:dyDescent="0.25">
      <c r="A18069">
        <v>2633</v>
      </c>
      <c r="B18069" t="s">
        <v>21571</v>
      </c>
      <c r="C18069" t="s">
        <v>2537</v>
      </c>
      <c r="D18069" s="254">
        <v>6.7</v>
      </c>
      <c r="E18069"/>
      <c r="F18069"/>
      <c r="G18069"/>
      <c r="H18069"/>
      <c r="I18069" s="489"/>
      <c r="J18069" s="1362"/>
      <c r="K18069" s="1362"/>
      <c r="L18069" s="1362"/>
    </row>
    <row r="18070" spans="1:12" x14ac:dyDescent="0.25">
      <c r="A18070">
        <v>2617</v>
      </c>
      <c r="B18070" t="s">
        <v>21572</v>
      </c>
      <c r="C18070" t="s">
        <v>2537</v>
      </c>
      <c r="D18070" s="254">
        <v>9.11</v>
      </c>
      <c r="E18070"/>
      <c r="F18070"/>
      <c r="G18070"/>
      <c r="H18070"/>
      <c r="I18070" s="489"/>
      <c r="J18070" s="1362"/>
      <c r="K18070" s="1362"/>
      <c r="L18070" s="1362"/>
    </row>
    <row r="18071" spans="1:12" x14ac:dyDescent="0.25">
      <c r="A18071">
        <v>2618</v>
      </c>
      <c r="B18071" t="s">
        <v>21573</v>
      </c>
      <c r="C18071" t="s">
        <v>2537</v>
      </c>
      <c r="D18071" s="254">
        <v>20.74</v>
      </c>
      <c r="E18071"/>
      <c r="F18071"/>
      <c r="G18071"/>
      <c r="H18071"/>
      <c r="I18071" s="489"/>
      <c r="J18071" s="1362"/>
      <c r="K18071" s="1362"/>
      <c r="L18071" s="1362"/>
    </row>
    <row r="18072" spans="1:12" x14ac:dyDescent="0.25">
      <c r="A18072">
        <v>2632</v>
      </c>
      <c r="B18072" t="s">
        <v>21574</v>
      </c>
      <c r="C18072" t="s">
        <v>2537</v>
      </c>
      <c r="D18072" s="254">
        <v>25.3</v>
      </c>
      <c r="E18072"/>
      <c r="F18072"/>
      <c r="G18072"/>
      <c r="H18072"/>
      <c r="I18072" s="489"/>
      <c r="J18072" s="1362"/>
      <c r="K18072" s="1362"/>
      <c r="L18072" s="1362"/>
    </row>
    <row r="18073" spans="1:12" x14ac:dyDescent="0.25">
      <c r="A18073">
        <v>2631</v>
      </c>
      <c r="B18073" t="s">
        <v>21575</v>
      </c>
      <c r="C18073" t="s">
        <v>2537</v>
      </c>
      <c r="D18073" s="254">
        <v>37.15</v>
      </c>
      <c r="E18073"/>
      <c r="F18073"/>
      <c r="G18073"/>
      <c r="H18073"/>
      <c r="I18073" s="489"/>
      <c r="J18073" s="1362"/>
      <c r="K18073" s="1362"/>
      <c r="L18073" s="1362"/>
    </row>
    <row r="18074" spans="1:12" x14ac:dyDescent="0.25">
      <c r="A18074">
        <v>2619</v>
      </c>
      <c r="B18074" t="s">
        <v>21576</v>
      </c>
      <c r="C18074" t="s">
        <v>2537</v>
      </c>
      <c r="D18074" s="254">
        <v>94.05</v>
      </c>
      <c r="E18074"/>
      <c r="F18074"/>
      <c r="G18074"/>
      <c r="H18074"/>
      <c r="I18074" s="489"/>
      <c r="J18074" s="1362"/>
      <c r="K18074" s="1362"/>
      <c r="L18074" s="1362"/>
    </row>
    <row r="18075" spans="1:12" x14ac:dyDescent="0.25">
      <c r="A18075">
        <v>2620</v>
      </c>
      <c r="B18075" t="s">
        <v>21577</v>
      </c>
      <c r="C18075" t="s">
        <v>2537</v>
      </c>
      <c r="D18075" s="254">
        <v>123.48</v>
      </c>
      <c r="E18075"/>
      <c r="F18075"/>
      <c r="G18075"/>
      <c r="H18075"/>
      <c r="I18075" s="489"/>
      <c r="J18075" s="1362"/>
      <c r="K18075" s="1362"/>
      <c r="L18075" s="1362"/>
    </row>
    <row r="18076" spans="1:12" x14ac:dyDescent="0.25">
      <c r="A18076">
        <v>44472</v>
      </c>
      <c r="B18076" t="s">
        <v>21578</v>
      </c>
      <c r="C18076" t="s">
        <v>2537</v>
      </c>
      <c r="D18076" s="254">
        <v>60.99</v>
      </c>
      <c r="E18076"/>
      <c r="F18076"/>
      <c r="G18076"/>
      <c r="H18076"/>
      <c r="I18076" s="489"/>
      <c r="J18076" s="1362"/>
      <c r="K18076" s="1362"/>
      <c r="L18076" s="1362"/>
    </row>
    <row r="18077" spans="1:12" x14ac:dyDescent="0.25">
      <c r="A18077">
        <v>38369</v>
      </c>
      <c r="B18077" t="s">
        <v>21579</v>
      </c>
      <c r="C18077" t="s">
        <v>2537</v>
      </c>
      <c r="D18077" s="254">
        <v>25.11</v>
      </c>
      <c r="E18077"/>
      <c r="F18077"/>
      <c r="G18077"/>
      <c r="H18077"/>
      <c r="I18077" s="489"/>
      <c r="J18077" s="1362"/>
      <c r="K18077" s="1362"/>
      <c r="L18077" s="1362"/>
    </row>
    <row r="18078" spans="1:12" x14ac:dyDescent="0.25">
      <c r="A18078">
        <v>38370</v>
      </c>
      <c r="B18078" t="s">
        <v>21580</v>
      </c>
      <c r="C18078" t="s">
        <v>2537</v>
      </c>
      <c r="D18078" s="254">
        <v>25.11</v>
      </c>
      <c r="E18078"/>
      <c r="F18078"/>
      <c r="G18078"/>
      <c r="H18078"/>
      <c r="I18078" s="489"/>
      <c r="J18078" s="1362"/>
      <c r="K18078" s="1362"/>
      <c r="L18078" s="1362"/>
    </row>
    <row r="18079" spans="1:12" x14ac:dyDescent="0.25">
      <c r="A18079">
        <v>38372</v>
      </c>
      <c r="B18079" t="s">
        <v>21581</v>
      </c>
      <c r="C18079" t="s">
        <v>2537</v>
      </c>
      <c r="D18079" s="254">
        <v>20.67</v>
      </c>
      <c r="E18079"/>
      <c r="F18079"/>
      <c r="G18079"/>
      <c r="H18079"/>
      <c r="I18079" s="489"/>
      <c r="J18079" s="1362"/>
      <c r="K18079" s="1362"/>
      <c r="L18079" s="1362"/>
    </row>
    <row r="18080" spans="1:12" x14ac:dyDescent="0.25">
      <c r="A18080">
        <v>2357</v>
      </c>
      <c r="B18080" t="s">
        <v>21582</v>
      </c>
      <c r="C18080" t="s">
        <v>2538</v>
      </c>
      <c r="D18080" s="254">
        <v>12.95</v>
      </c>
      <c r="E18080"/>
      <c r="F18080"/>
      <c r="G18080"/>
      <c r="H18080"/>
      <c r="I18080" s="489"/>
      <c r="J18080" s="1362"/>
      <c r="K18080" s="1362"/>
      <c r="L18080" s="1362"/>
    </row>
    <row r="18081" spans="1:12" x14ac:dyDescent="0.25">
      <c r="A18081">
        <v>40806</v>
      </c>
      <c r="B18081" t="s">
        <v>21583</v>
      </c>
      <c r="C18081" t="s">
        <v>2544</v>
      </c>
      <c r="D18081" s="254">
        <v>2286.37</v>
      </c>
      <c r="E18081"/>
      <c r="F18081"/>
      <c r="G18081"/>
      <c r="H18081"/>
      <c r="I18081" s="489"/>
      <c r="J18081" s="1362"/>
      <c r="K18081" s="1362"/>
      <c r="L18081" s="1362"/>
    </row>
    <row r="18082" spans="1:12" x14ac:dyDescent="0.25">
      <c r="A18082">
        <v>2355</v>
      </c>
      <c r="B18082" t="s">
        <v>21584</v>
      </c>
      <c r="C18082" t="s">
        <v>2538</v>
      </c>
      <c r="D18082" s="254">
        <v>24.44</v>
      </c>
      <c r="E18082"/>
      <c r="F18082"/>
      <c r="G18082"/>
      <c r="H18082"/>
      <c r="I18082" s="489"/>
      <c r="J18082" s="1362"/>
      <c r="K18082" s="1362"/>
      <c r="L18082" s="1362"/>
    </row>
    <row r="18083" spans="1:12" x14ac:dyDescent="0.25">
      <c r="A18083">
        <v>40805</v>
      </c>
      <c r="B18083" t="s">
        <v>21585</v>
      </c>
      <c r="C18083" t="s">
        <v>2544</v>
      </c>
      <c r="D18083" s="254">
        <v>4313.08</v>
      </c>
      <c r="E18083"/>
      <c r="F18083"/>
      <c r="G18083"/>
      <c r="H18083"/>
      <c r="I18083" s="489"/>
      <c r="J18083" s="1362"/>
      <c r="K18083" s="1362"/>
      <c r="L18083" s="1362"/>
    </row>
    <row r="18084" spans="1:12" x14ac:dyDescent="0.25">
      <c r="A18084">
        <v>2358</v>
      </c>
      <c r="B18084" t="s">
        <v>21586</v>
      </c>
      <c r="C18084" t="s">
        <v>2538</v>
      </c>
      <c r="D18084" s="254">
        <v>20.2</v>
      </c>
      <c r="E18084"/>
      <c r="F18084"/>
      <c r="G18084"/>
      <c r="H18084"/>
      <c r="I18084" s="489"/>
      <c r="J18084" s="1362"/>
      <c r="K18084" s="1362"/>
      <c r="L18084" s="1362"/>
    </row>
    <row r="18085" spans="1:12" x14ac:dyDescent="0.25">
      <c r="A18085">
        <v>40807</v>
      </c>
      <c r="B18085" t="s">
        <v>21587</v>
      </c>
      <c r="C18085" t="s">
        <v>2544</v>
      </c>
      <c r="D18085" s="254">
        <v>3566.75</v>
      </c>
      <c r="E18085"/>
      <c r="F18085"/>
      <c r="G18085"/>
      <c r="H18085"/>
      <c r="I18085" s="489"/>
      <c r="J18085" s="1362"/>
      <c r="K18085" s="1362"/>
      <c r="L18085" s="1362"/>
    </row>
    <row r="18086" spans="1:12" x14ac:dyDescent="0.25">
      <c r="A18086">
        <v>2359</v>
      </c>
      <c r="B18086" t="s">
        <v>21588</v>
      </c>
      <c r="C18086" t="s">
        <v>2538</v>
      </c>
      <c r="D18086" s="254">
        <v>19.309999999999999</v>
      </c>
      <c r="E18086"/>
      <c r="F18086"/>
      <c r="G18086"/>
      <c r="H18086"/>
      <c r="I18086" s="489"/>
      <c r="J18086" s="1362"/>
      <c r="K18086" s="1362"/>
      <c r="L18086" s="1362"/>
    </row>
    <row r="18087" spans="1:12" x14ac:dyDescent="0.25">
      <c r="A18087">
        <v>40808</v>
      </c>
      <c r="B18087" t="s">
        <v>21589</v>
      </c>
      <c r="C18087" t="s">
        <v>2544</v>
      </c>
      <c r="D18087" s="254">
        <v>3408.98</v>
      </c>
      <c r="E18087"/>
      <c r="F18087"/>
      <c r="G18087"/>
      <c r="H18087"/>
      <c r="I18087" s="489"/>
      <c r="J18087" s="1362"/>
      <c r="K18087" s="1362"/>
      <c r="L18087" s="1362"/>
    </row>
    <row r="18088" spans="1:12" x14ac:dyDescent="0.25">
      <c r="A18088">
        <v>44330</v>
      </c>
      <c r="B18088" t="s">
        <v>21590</v>
      </c>
      <c r="C18088" t="s">
        <v>2543</v>
      </c>
      <c r="D18088" s="254">
        <v>9.68</v>
      </c>
      <c r="E18088"/>
      <c r="F18088"/>
      <c r="G18088"/>
      <c r="H18088"/>
      <c r="I18088" s="489"/>
      <c r="J18088" s="1362"/>
      <c r="K18088" s="1362"/>
      <c r="L18088" s="1362"/>
    </row>
    <row r="18089" spans="1:12" x14ac:dyDescent="0.25">
      <c r="A18089">
        <v>43144</v>
      </c>
      <c r="B18089" t="s">
        <v>21591</v>
      </c>
      <c r="C18089" t="s">
        <v>2542</v>
      </c>
      <c r="D18089" s="254">
        <v>34.54</v>
      </c>
      <c r="E18089"/>
      <c r="F18089"/>
      <c r="G18089"/>
      <c r="H18089"/>
      <c r="I18089" s="489"/>
      <c r="J18089" s="1362"/>
      <c r="K18089" s="1362"/>
      <c r="L18089" s="1362"/>
    </row>
    <row r="18090" spans="1:12" x14ac:dyDescent="0.25">
      <c r="A18090">
        <v>39397</v>
      </c>
      <c r="B18090" t="s">
        <v>21592</v>
      </c>
      <c r="C18090" t="s">
        <v>2543</v>
      </c>
      <c r="D18090" s="254">
        <v>15.74</v>
      </c>
      <c r="E18090"/>
      <c r="F18090"/>
      <c r="G18090"/>
      <c r="H18090"/>
      <c r="I18090" s="489"/>
      <c r="J18090" s="1362"/>
      <c r="K18090" s="1362"/>
      <c r="L18090" s="1362"/>
    </row>
    <row r="18091" spans="1:12" x14ac:dyDescent="0.25">
      <c r="A18091">
        <v>2692</v>
      </c>
      <c r="B18091" t="s">
        <v>21593</v>
      </c>
      <c r="C18091" t="s">
        <v>2543</v>
      </c>
      <c r="D18091" s="254">
        <v>6.35</v>
      </c>
      <c r="E18091"/>
      <c r="F18091"/>
      <c r="G18091"/>
      <c r="H18091"/>
      <c r="I18091" s="489"/>
      <c r="J18091" s="1362"/>
      <c r="K18091" s="1362"/>
      <c r="L18091" s="1362"/>
    </row>
    <row r="18092" spans="1:12" x14ac:dyDescent="0.25">
      <c r="A18092">
        <v>44329</v>
      </c>
      <c r="B18092" t="s">
        <v>21594</v>
      </c>
      <c r="C18092" t="s">
        <v>2543</v>
      </c>
      <c r="D18092" s="254">
        <v>12.69</v>
      </c>
      <c r="E18092"/>
      <c r="F18092"/>
      <c r="G18092"/>
      <c r="H18092"/>
      <c r="I18092" s="489"/>
      <c r="J18092" s="1362"/>
      <c r="K18092" s="1362"/>
      <c r="L18092" s="1362"/>
    </row>
    <row r="18093" spans="1:12" x14ac:dyDescent="0.25">
      <c r="A18093">
        <v>5318</v>
      </c>
      <c r="B18093" t="s">
        <v>21595</v>
      </c>
      <c r="C18093" t="s">
        <v>2543</v>
      </c>
      <c r="D18093" s="254">
        <v>20.52</v>
      </c>
      <c r="E18093"/>
      <c r="F18093"/>
      <c r="G18093"/>
      <c r="H18093"/>
      <c r="I18093" s="489"/>
      <c r="J18093" s="1362"/>
      <c r="K18093" s="1362"/>
      <c r="L18093" s="1362"/>
    </row>
    <row r="18094" spans="1:12" x14ac:dyDescent="0.25">
      <c r="A18094">
        <v>5330</v>
      </c>
      <c r="B18094" t="s">
        <v>21596</v>
      </c>
      <c r="C18094" t="s">
        <v>2543</v>
      </c>
      <c r="D18094" s="254">
        <v>46.77</v>
      </c>
      <c r="E18094"/>
      <c r="F18094"/>
      <c r="G18094"/>
      <c r="H18094"/>
      <c r="I18094" s="489"/>
      <c r="J18094" s="1362"/>
      <c r="K18094" s="1362"/>
      <c r="L18094" s="1362"/>
    </row>
    <row r="18095" spans="1:12" x14ac:dyDescent="0.25">
      <c r="A18095">
        <v>44532</v>
      </c>
      <c r="B18095" t="s">
        <v>21597</v>
      </c>
      <c r="C18095" t="s">
        <v>2537</v>
      </c>
      <c r="D18095" s="254">
        <v>36.99</v>
      </c>
      <c r="E18095"/>
      <c r="F18095"/>
      <c r="G18095"/>
      <c r="H18095"/>
      <c r="I18095" s="489"/>
      <c r="J18095" s="1362"/>
      <c r="K18095" s="1362"/>
      <c r="L18095" s="1362"/>
    </row>
    <row r="18096" spans="1:12" x14ac:dyDescent="0.25">
      <c r="A18096">
        <v>44531</v>
      </c>
      <c r="B18096" t="s">
        <v>21598</v>
      </c>
      <c r="C18096" t="s">
        <v>2537</v>
      </c>
      <c r="D18096" s="254">
        <v>117.56</v>
      </c>
      <c r="E18096"/>
      <c r="F18096"/>
      <c r="G18096"/>
      <c r="H18096"/>
      <c r="I18096" s="489"/>
      <c r="J18096" s="1362"/>
      <c r="K18096" s="1362"/>
      <c r="L18096" s="1362"/>
    </row>
    <row r="18097" spans="1:12" x14ac:dyDescent="0.25">
      <c r="A18097">
        <v>38140</v>
      </c>
      <c r="B18097" t="s">
        <v>21599</v>
      </c>
      <c r="C18097" t="s">
        <v>2537</v>
      </c>
      <c r="D18097" s="254">
        <v>28.51</v>
      </c>
      <c r="E18097"/>
      <c r="F18097"/>
      <c r="G18097"/>
      <c r="H18097"/>
      <c r="I18097" s="489"/>
      <c r="J18097" s="1362"/>
      <c r="K18097" s="1362"/>
      <c r="L18097" s="1362"/>
    </row>
    <row r="18098" spans="1:12" x14ac:dyDescent="0.25">
      <c r="A18098">
        <v>13887</v>
      </c>
      <c r="B18098" t="s">
        <v>21600</v>
      </c>
      <c r="C18098" t="s">
        <v>2537</v>
      </c>
      <c r="D18098" s="254">
        <v>674.99</v>
      </c>
      <c r="E18098"/>
      <c r="F18098"/>
      <c r="G18098"/>
      <c r="H18098"/>
      <c r="I18098" s="489"/>
      <c r="J18098" s="1362"/>
      <c r="K18098" s="1362"/>
      <c r="L18098" s="1362"/>
    </row>
    <row r="18099" spans="1:12" x14ac:dyDescent="0.25">
      <c r="A18099">
        <v>44495</v>
      </c>
      <c r="B18099" t="s">
        <v>21601</v>
      </c>
      <c r="C18099" t="s">
        <v>2537</v>
      </c>
      <c r="D18099" s="254">
        <v>30.05</v>
      </c>
      <c r="E18099"/>
      <c r="F18099"/>
      <c r="G18099"/>
      <c r="H18099"/>
      <c r="I18099" s="489"/>
      <c r="J18099" s="1362"/>
      <c r="K18099" s="1362"/>
      <c r="L18099" s="1362"/>
    </row>
    <row r="18100" spans="1:12" x14ac:dyDescent="0.25">
      <c r="A18100">
        <v>44533</v>
      </c>
      <c r="B18100" t="s">
        <v>21602</v>
      </c>
      <c r="C18100" t="s">
        <v>2537</v>
      </c>
      <c r="D18100" s="254">
        <v>28.37</v>
      </c>
      <c r="E18100"/>
      <c r="F18100"/>
      <c r="G18100"/>
      <c r="H18100"/>
      <c r="I18100" s="489"/>
      <c r="J18100" s="1362"/>
      <c r="K18100" s="1362"/>
      <c r="L18100" s="1362"/>
    </row>
    <row r="18101" spans="1:12" x14ac:dyDescent="0.25">
      <c r="A18101">
        <v>44534</v>
      </c>
      <c r="B18101" t="s">
        <v>21603</v>
      </c>
      <c r="C18101" t="s">
        <v>2537</v>
      </c>
      <c r="D18101" s="254">
        <v>7.39</v>
      </c>
      <c r="E18101"/>
      <c r="F18101"/>
      <c r="G18101"/>
      <c r="H18101"/>
      <c r="I18101" s="489"/>
      <c r="J18101" s="1362"/>
      <c r="K18101" s="1362"/>
      <c r="L18101" s="1362"/>
    </row>
    <row r="18102" spans="1:12" x14ac:dyDescent="0.25">
      <c r="A18102">
        <v>34544</v>
      </c>
      <c r="B18102" t="s">
        <v>21604</v>
      </c>
      <c r="C18102" t="s">
        <v>2537</v>
      </c>
      <c r="D18102" s="254">
        <v>1405.77</v>
      </c>
      <c r="E18102"/>
      <c r="F18102"/>
      <c r="G18102"/>
      <c r="H18102"/>
      <c r="I18102" s="489"/>
      <c r="J18102" s="1362"/>
      <c r="K18102" s="1362"/>
      <c r="L18102" s="1362"/>
    </row>
    <row r="18103" spans="1:12" x14ac:dyDescent="0.25">
      <c r="A18103">
        <v>34729</v>
      </c>
      <c r="B18103" t="s">
        <v>21605</v>
      </c>
      <c r="C18103" t="s">
        <v>2537</v>
      </c>
      <c r="D18103" s="254">
        <v>1105.8499999999999</v>
      </c>
      <c r="E18103"/>
      <c r="F18103"/>
      <c r="G18103"/>
      <c r="H18103"/>
      <c r="I18103" s="489"/>
      <c r="J18103" s="1362"/>
      <c r="K18103" s="1362"/>
      <c r="L18103" s="1362"/>
    </row>
    <row r="18104" spans="1:12" x14ac:dyDescent="0.25">
      <c r="A18104">
        <v>34734</v>
      </c>
      <c r="B18104" t="s">
        <v>21606</v>
      </c>
      <c r="C18104" t="s">
        <v>2537</v>
      </c>
      <c r="D18104" s="254">
        <v>1712.22</v>
      </c>
      <c r="E18104"/>
      <c r="F18104"/>
      <c r="G18104"/>
      <c r="H18104"/>
      <c r="I18104" s="489"/>
      <c r="J18104" s="1362"/>
      <c r="K18104" s="1362"/>
      <c r="L18104" s="1362"/>
    </row>
    <row r="18105" spans="1:12" x14ac:dyDescent="0.25">
      <c r="A18105">
        <v>34738</v>
      </c>
      <c r="B18105" t="s">
        <v>21607</v>
      </c>
      <c r="C18105" t="s">
        <v>2537</v>
      </c>
      <c r="D18105" s="254">
        <v>4000.27</v>
      </c>
      <c r="E18105"/>
      <c r="F18105"/>
      <c r="G18105"/>
      <c r="H18105"/>
      <c r="I18105" s="489"/>
      <c r="J18105" s="1362"/>
      <c r="K18105" s="1362"/>
      <c r="L18105" s="1362"/>
    </row>
    <row r="18106" spans="1:12" x14ac:dyDescent="0.25">
      <c r="A18106">
        <v>2391</v>
      </c>
      <c r="B18106" t="s">
        <v>21608</v>
      </c>
      <c r="C18106" t="s">
        <v>2537</v>
      </c>
      <c r="D18106" s="254">
        <v>325.35000000000002</v>
      </c>
      <c r="E18106"/>
      <c r="F18106"/>
      <c r="G18106"/>
      <c r="H18106"/>
      <c r="I18106" s="489"/>
      <c r="J18106" s="1362"/>
      <c r="K18106" s="1362"/>
      <c r="L18106" s="1362"/>
    </row>
    <row r="18107" spans="1:12" x14ac:dyDescent="0.25">
      <c r="A18107">
        <v>2374</v>
      </c>
      <c r="B18107" t="s">
        <v>21609</v>
      </c>
      <c r="C18107" t="s">
        <v>2537</v>
      </c>
      <c r="D18107" s="254">
        <v>369.1</v>
      </c>
      <c r="E18107"/>
      <c r="F18107"/>
      <c r="G18107"/>
      <c r="H18107"/>
      <c r="I18107" s="489"/>
      <c r="J18107" s="1362"/>
      <c r="K18107" s="1362"/>
      <c r="L18107" s="1362"/>
    </row>
    <row r="18108" spans="1:12" x14ac:dyDescent="0.25">
      <c r="A18108">
        <v>2377</v>
      </c>
      <c r="B18108" t="s">
        <v>21610</v>
      </c>
      <c r="C18108" t="s">
        <v>2537</v>
      </c>
      <c r="D18108" s="254">
        <v>518</v>
      </c>
      <c r="E18108"/>
      <c r="F18108"/>
      <c r="G18108"/>
      <c r="H18108"/>
      <c r="I18108" s="489"/>
      <c r="J18108" s="1362"/>
      <c r="K18108" s="1362"/>
      <c r="L18108" s="1362"/>
    </row>
    <row r="18109" spans="1:12" x14ac:dyDescent="0.25">
      <c r="A18109">
        <v>2393</v>
      </c>
      <c r="B18109" t="s">
        <v>21611</v>
      </c>
      <c r="C18109" t="s">
        <v>2537</v>
      </c>
      <c r="D18109" s="254">
        <v>867.46</v>
      </c>
      <c r="E18109"/>
      <c r="F18109"/>
      <c r="G18109"/>
      <c r="H18109"/>
      <c r="I18109" s="489"/>
      <c r="J18109" s="1362"/>
      <c r="K18109" s="1362"/>
      <c r="L18109" s="1362"/>
    </row>
    <row r="18110" spans="1:12" x14ac:dyDescent="0.25">
      <c r="A18110">
        <v>34705</v>
      </c>
      <c r="B18110" t="s">
        <v>21612</v>
      </c>
      <c r="C18110" t="s">
        <v>2537</v>
      </c>
      <c r="D18110" s="254">
        <v>758.72</v>
      </c>
      <c r="E18110"/>
      <c r="F18110"/>
      <c r="G18110"/>
      <c r="H18110"/>
      <c r="I18110" s="489"/>
      <c r="J18110" s="1362"/>
      <c r="K18110" s="1362"/>
      <c r="L18110" s="1362"/>
    </row>
    <row r="18111" spans="1:12" x14ac:dyDescent="0.25">
      <c r="A18111">
        <v>34707</v>
      </c>
      <c r="B18111" t="s">
        <v>21613</v>
      </c>
      <c r="C18111" t="s">
        <v>2537</v>
      </c>
      <c r="D18111" s="254">
        <v>1405.92</v>
      </c>
      <c r="E18111"/>
      <c r="F18111"/>
      <c r="G18111"/>
      <c r="H18111"/>
      <c r="I18111" s="489"/>
      <c r="J18111" s="1362"/>
      <c r="K18111" s="1362"/>
      <c r="L18111" s="1362"/>
    </row>
    <row r="18112" spans="1:12" x14ac:dyDescent="0.25">
      <c r="A18112">
        <v>2378</v>
      </c>
      <c r="B18112" t="s">
        <v>21614</v>
      </c>
      <c r="C18112" t="s">
        <v>2537</v>
      </c>
      <c r="D18112" s="254">
        <v>1191.57</v>
      </c>
      <c r="E18112"/>
      <c r="F18112"/>
      <c r="G18112"/>
      <c r="H18112"/>
      <c r="I18112" s="489"/>
      <c r="J18112" s="1362"/>
      <c r="K18112" s="1362"/>
      <c r="L18112" s="1362"/>
    </row>
    <row r="18113" spans="1:12" x14ac:dyDescent="0.25">
      <c r="A18113">
        <v>2379</v>
      </c>
      <c r="B18113" t="s">
        <v>21615</v>
      </c>
      <c r="C18113" t="s">
        <v>2537</v>
      </c>
      <c r="D18113" s="254">
        <v>1191.57</v>
      </c>
      <c r="E18113"/>
      <c r="F18113"/>
      <c r="G18113"/>
      <c r="H18113"/>
      <c r="I18113" s="489"/>
      <c r="J18113" s="1362"/>
      <c r="K18113" s="1362"/>
      <c r="L18113" s="1362"/>
    </row>
    <row r="18114" spans="1:12" x14ac:dyDescent="0.25">
      <c r="A18114">
        <v>2376</v>
      </c>
      <c r="B18114" t="s">
        <v>21616</v>
      </c>
      <c r="C18114" t="s">
        <v>2537</v>
      </c>
      <c r="D18114" s="254">
        <v>1962.51</v>
      </c>
      <c r="E18114"/>
      <c r="F18114"/>
      <c r="G18114"/>
      <c r="H18114"/>
      <c r="I18114" s="489"/>
      <c r="J18114" s="1362"/>
      <c r="K18114" s="1362"/>
      <c r="L18114" s="1362"/>
    </row>
    <row r="18115" spans="1:12" x14ac:dyDescent="0.25">
      <c r="A18115">
        <v>2394</v>
      </c>
      <c r="B18115" t="s">
        <v>21617</v>
      </c>
      <c r="C18115" t="s">
        <v>2537</v>
      </c>
      <c r="D18115" s="254">
        <v>4195.4799999999996</v>
      </c>
      <c r="E18115"/>
      <c r="F18115"/>
      <c r="G18115"/>
      <c r="H18115"/>
      <c r="I18115" s="489"/>
      <c r="J18115" s="1362"/>
      <c r="K18115" s="1362"/>
      <c r="L18115" s="1362"/>
    </row>
    <row r="18116" spans="1:12" x14ac:dyDescent="0.25">
      <c r="A18116">
        <v>34686</v>
      </c>
      <c r="B18116" t="s">
        <v>21618</v>
      </c>
      <c r="C18116" t="s">
        <v>2537</v>
      </c>
      <c r="D18116" s="254">
        <v>12.59</v>
      </c>
      <c r="E18116"/>
      <c r="F18116"/>
      <c r="G18116"/>
      <c r="H18116"/>
      <c r="I18116" s="489"/>
      <c r="J18116" s="1362"/>
      <c r="K18116" s="1362"/>
      <c r="L18116" s="1362"/>
    </row>
    <row r="18117" spans="1:12" x14ac:dyDescent="0.25">
      <c r="A18117">
        <v>34616</v>
      </c>
      <c r="B18117" t="s">
        <v>21619</v>
      </c>
      <c r="C18117" t="s">
        <v>2537</v>
      </c>
      <c r="D18117" s="254">
        <v>48.68</v>
      </c>
      <c r="E18117"/>
      <c r="F18117"/>
      <c r="G18117"/>
      <c r="H18117"/>
      <c r="I18117" s="489"/>
      <c r="J18117" s="1362"/>
      <c r="K18117" s="1362"/>
      <c r="L18117" s="1362"/>
    </row>
    <row r="18118" spans="1:12" x14ac:dyDescent="0.25">
      <c r="A18118">
        <v>34623</v>
      </c>
      <c r="B18118" t="s">
        <v>21620</v>
      </c>
      <c r="C18118" t="s">
        <v>2537</v>
      </c>
      <c r="D18118" s="254">
        <v>47.94</v>
      </c>
      <c r="E18118"/>
      <c r="F18118"/>
      <c r="G18118"/>
      <c r="H18118"/>
      <c r="I18118" s="489"/>
      <c r="J18118" s="1362"/>
      <c r="K18118" s="1362"/>
      <c r="L18118" s="1362"/>
    </row>
    <row r="18119" spans="1:12" x14ac:dyDescent="0.25">
      <c r="A18119">
        <v>34628</v>
      </c>
      <c r="B18119" t="s">
        <v>21621</v>
      </c>
      <c r="C18119" t="s">
        <v>2537</v>
      </c>
      <c r="D18119" s="254">
        <v>68.66</v>
      </c>
      <c r="E18119"/>
      <c r="F18119"/>
      <c r="G18119"/>
      <c r="H18119"/>
      <c r="I18119" s="489"/>
      <c r="J18119" s="1362"/>
      <c r="K18119" s="1362"/>
      <c r="L18119" s="1362"/>
    </row>
    <row r="18120" spans="1:12" x14ac:dyDescent="0.25">
      <c r="A18120">
        <v>34653</v>
      </c>
      <c r="B18120" t="s">
        <v>21622</v>
      </c>
      <c r="C18120" t="s">
        <v>2537</v>
      </c>
      <c r="D18120" s="254">
        <v>8.49</v>
      </c>
      <c r="E18120"/>
      <c r="F18120"/>
      <c r="G18120"/>
      <c r="H18120"/>
      <c r="I18120" s="489"/>
      <c r="J18120" s="1362"/>
      <c r="K18120" s="1362"/>
      <c r="L18120" s="1362"/>
    </row>
    <row r="18121" spans="1:12" x14ac:dyDescent="0.25">
      <c r="A18121">
        <v>34688</v>
      </c>
      <c r="B18121" t="s">
        <v>21623</v>
      </c>
      <c r="C18121" t="s">
        <v>2537</v>
      </c>
      <c r="D18121" s="254">
        <v>15.39</v>
      </c>
      <c r="E18121"/>
      <c r="F18121"/>
      <c r="G18121"/>
      <c r="H18121"/>
      <c r="I18121" s="489"/>
      <c r="J18121" s="1362"/>
      <c r="K18121" s="1362"/>
      <c r="L18121" s="1362"/>
    </row>
    <row r="18122" spans="1:12" x14ac:dyDescent="0.25">
      <c r="A18122">
        <v>34709</v>
      </c>
      <c r="B18122" t="s">
        <v>21624</v>
      </c>
      <c r="C18122" t="s">
        <v>2537</v>
      </c>
      <c r="D18122" s="254">
        <v>59.65</v>
      </c>
      <c r="E18122"/>
      <c r="F18122"/>
      <c r="G18122"/>
      <c r="H18122"/>
      <c r="I18122" s="489"/>
      <c r="J18122" s="1362"/>
      <c r="K18122" s="1362"/>
      <c r="L18122" s="1362"/>
    </row>
    <row r="18123" spans="1:12" x14ac:dyDescent="0.25">
      <c r="A18123">
        <v>34714</v>
      </c>
      <c r="B18123" t="s">
        <v>21625</v>
      </c>
      <c r="C18123" t="s">
        <v>2537</v>
      </c>
      <c r="D18123" s="254">
        <v>71.239999999999995</v>
      </c>
      <c r="E18123"/>
      <c r="F18123"/>
      <c r="G18123"/>
      <c r="H18123"/>
      <c r="I18123" s="489"/>
      <c r="J18123" s="1362"/>
      <c r="K18123" s="1362"/>
      <c r="L18123" s="1362"/>
    </row>
    <row r="18124" spans="1:12" x14ac:dyDescent="0.25">
      <c r="A18124">
        <v>2388</v>
      </c>
      <c r="B18124" t="s">
        <v>21626</v>
      </c>
      <c r="C18124" t="s">
        <v>2537</v>
      </c>
      <c r="D18124" s="254">
        <v>59.2</v>
      </c>
      <c r="E18124"/>
      <c r="F18124"/>
      <c r="G18124"/>
      <c r="H18124"/>
      <c r="I18124" s="489"/>
      <c r="J18124" s="1362"/>
      <c r="K18124" s="1362"/>
      <c r="L18124" s="1362"/>
    </row>
    <row r="18125" spans="1:12" x14ac:dyDescent="0.25">
      <c r="A18125">
        <v>34606</v>
      </c>
      <c r="B18125" t="s">
        <v>21627</v>
      </c>
      <c r="C18125" t="s">
        <v>2537</v>
      </c>
      <c r="D18125" s="254">
        <v>90.81</v>
      </c>
      <c r="E18125"/>
      <c r="F18125"/>
      <c r="G18125"/>
      <c r="H18125"/>
      <c r="I18125" s="489"/>
      <c r="J18125" s="1362"/>
      <c r="K18125" s="1362"/>
      <c r="L18125" s="1362"/>
    </row>
    <row r="18126" spans="1:12" x14ac:dyDescent="0.25">
      <c r="A18126">
        <v>34689</v>
      </c>
      <c r="B18126" t="s">
        <v>21628</v>
      </c>
      <c r="C18126" t="s">
        <v>2537</v>
      </c>
      <c r="D18126" s="254">
        <v>28.91</v>
      </c>
      <c r="E18126"/>
      <c r="F18126"/>
      <c r="G18126"/>
      <c r="H18126"/>
      <c r="I18126" s="489"/>
      <c r="J18126" s="1362"/>
      <c r="K18126" s="1362"/>
      <c r="L18126" s="1362"/>
    </row>
    <row r="18127" spans="1:12" x14ac:dyDescent="0.25">
      <c r="A18127">
        <v>2370</v>
      </c>
      <c r="B18127" t="s">
        <v>21629</v>
      </c>
      <c r="C18127" t="s">
        <v>2537</v>
      </c>
      <c r="D18127" s="254">
        <v>11</v>
      </c>
      <c r="E18127"/>
      <c r="F18127"/>
      <c r="G18127"/>
      <c r="H18127"/>
      <c r="I18127" s="489"/>
      <c r="J18127" s="1362"/>
      <c r="K18127" s="1362"/>
      <c r="L18127" s="1362"/>
    </row>
    <row r="18128" spans="1:12" x14ac:dyDescent="0.25">
      <c r="A18128">
        <v>2386</v>
      </c>
      <c r="B18128" t="s">
        <v>21630</v>
      </c>
      <c r="C18128" t="s">
        <v>2537</v>
      </c>
      <c r="D18128" s="254">
        <v>18.45</v>
      </c>
      <c r="E18128"/>
      <c r="F18128"/>
      <c r="G18128"/>
      <c r="H18128"/>
      <c r="I18128" s="489"/>
      <c r="J18128" s="1362"/>
      <c r="K18128" s="1362"/>
      <c r="L18128" s="1362"/>
    </row>
    <row r="18129" spans="1:12" x14ac:dyDescent="0.25">
      <c r="A18129">
        <v>2392</v>
      </c>
      <c r="B18129" t="s">
        <v>21631</v>
      </c>
      <c r="C18129" t="s">
        <v>2537</v>
      </c>
      <c r="D18129" s="254">
        <v>73.84</v>
      </c>
      <c r="E18129"/>
      <c r="F18129"/>
      <c r="G18129"/>
      <c r="H18129"/>
      <c r="I18129" s="489"/>
      <c r="J18129" s="1362"/>
      <c r="K18129" s="1362"/>
      <c r="L18129" s="1362"/>
    </row>
    <row r="18130" spans="1:12" x14ac:dyDescent="0.25">
      <c r="A18130">
        <v>2373</v>
      </c>
      <c r="B18130" t="s">
        <v>21632</v>
      </c>
      <c r="C18130" t="s">
        <v>2537</v>
      </c>
      <c r="D18130" s="254">
        <v>104.03</v>
      </c>
      <c r="E18130"/>
      <c r="F18130"/>
      <c r="G18130"/>
      <c r="H18130"/>
      <c r="I18130" s="489"/>
      <c r="J18130" s="1362"/>
      <c r="K18130" s="1362"/>
      <c r="L18130" s="1362"/>
    </row>
    <row r="18131" spans="1:12" x14ac:dyDescent="0.25">
      <c r="A18131">
        <v>39465</v>
      </c>
      <c r="B18131" t="s">
        <v>21633</v>
      </c>
      <c r="C18131" t="s">
        <v>2537</v>
      </c>
      <c r="D18131" s="254">
        <v>63.55</v>
      </c>
      <c r="E18131"/>
      <c r="F18131"/>
      <c r="G18131"/>
      <c r="H18131"/>
      <c r="I18131" s="489"/>
      <c r="J18131" s="1362"/>
      <c r="K18131" s="1362"/>
      <c r="L18131" s="1362"/>
    </row>
    <row r="18132" spans="1:12" x14ac:dyDescent="0.25">
      <c r="A18132">
        <v>39466</v>
      </c>
      <c r="B18132" t="s">
        <v>21634</v>
      </c>
      <c r="C18132" t="s">
        <v>2537</v>
      </c>
      <c r="D18132" s="254">
        <v>71.5</v>
      </c>
      <c r="E18132"/>
      <c r="F18132"/>
      <c r="G18132"/>
      <c r="H18132"/>
      <c r="I18132" s="489"/>
      <c r="J18132" s="1362"/>
      <c r="K18132" s="1362"/>
      <c r="L18132" s="1362"/>
    </row>
    <row r="18133" spans="1:12" x14ac:dyDescent="0.25">
      <c r="A18133">
        <v>39467</v>
      </c>
      <c r="B18133" t="s">
        <v>21635</v>
      </c>
      <c r="C18133" t="s">
        <v>2537</v>
      </c>
      <c r="D18133" s="254">
        <v>91.45</v>
      </c>
      <c r="E18133"/>
      <c r="F18133"/>
      <c r="G18133"/>
      <c r="H18133"/>
      <c r="I18133" s="489"/>
      <c r="J18133" s="1362"/>
      <c r="K18133" s="1362"/>
      <c r="L18133" s="1362"/>
    </row>
    <row r="18134" spans="1:12" x14ac:dyDescent="0.25">
      <c r="A18134">
        <v>39468</v>
      </c>
      <c r="B18134" t="s">
        <v>21636</v>
      </c>
      <c r="C18134" t="s">
        <v>2537</v>
      </c>
      <c r="D18134" s="254">
        <v>162.56</v>
      </c>
      <c r="E18134"/>
      <c r="F18134"/>
      <c r="G18134"/>
      <c r="H18134"/>
      <c r="I18134" s="489"/>
      <c r="J18134" s="1362"/>
      <c r="K18134" s="1362"/>
      <c r="L18134" s="1362"/>
    </row>
    <row r="18135" spans="1:12" x14ac:dyDescent="0.25">
      <c r="A18135">
        <v>39469</v>
      </c>
      <c r="B18135" t="s">
        <v>21637</v>
      </c>
      <c r="C18135" t="s">
        <v>2537</v>
      </c>
      <c r="D18135" s="254">
        <v>66.22</v>
      </c>
      <c r="E18135"/>
      <c r="F18135"/>
      <c r="G18135"/>
      <c r="H18135"/>
      <c r="I18135" s="489"/>
      <c r="J18135" s="1362"/>
      <c r="K18135" s="1362"/>
      <c r="L18135" s="1362"/>
    </row>
    <row r="18136" spans="1:12" x14ac:dyDescent="0.25">
      <c r="A18136">
        <v>39470</v>
      </c>
      <c r="B18136" t="s">
        <v>21638</v>
      </c>
      <c r="C18136" t="s">
        <v>2537</v>
      </c>
      <c r="D18136" s="254">
        <v>81.36</v>
      </c>
      <c r="E18136"/>
      <c r="F18136"/>
      <c r="G18136"/>
      <c r="H18136"/>
      <c r="I18136" s="489"/>
      <c r="J18136" s="1362"/>
      <c r="K18136" s="1362"/>
      <c r="L18136" s="1362"/>
    </row>
    <row r="18137" spans="1:12" x14ac:dyDescent="0.25">
      <c r="A18137">
        <v>39471</v>
      </c>
      <c r="B18137" t="s">
        <v>21639</v>
      </c>
      <c r="C18137" t="s">
        <v>2537</v>
      </c>
      <c r="D18137" s="254">
        <v>97.77</v>
      </c>
      <c r="E18137"/>
      <c r="F18137"/>
      <c r="G18137"/>
      <c r="H18137"/>
      <c r="I18137" s="489"/>
      <c r="J18137" s="1362"/>
      <c r="K18137" s="1362"/>
      <c r="L18137" s="1362"/>
    </row>
    <row r="18138" spans="1:12" x14ac:dyDescent="0.25">
      <c r="A18138">
        <v>39472</v>
      </c>
      <c r="B18138" t="s">
        <v>21640</v>
      </c>
      <c r="C18138" t="s">
        <v>2537</v>
      </c>
      <c r="D18138" s="254">
        <v>169.88</v>
      </c>
      <c r="E18138"/>
      <c r="F18138"/>
      <c r="G18138"/>
      <c r="H18138"/>
      <c r="I18138" s="489"/>
      <c r="J18138" s="1362"/>
      <c r="K18138" s="1362"/>
      <c r="L18138" s="1362"/>
    </row>
    <row r="18139" spans="1:12" x14ac:dyDescent="0.25">
      <c r="A18139">
        <v>39473</v>
      </c>
      <c r="B18139" t="s">
        <v>21641</v>
      </c>
      <c r="C18139" t="s">
        <v>2537</v>
      </c>
      <c r="D18139" s="254">
        <v>109.74</v>
      </c>
      <c r="E18139"/>
      <c r="F18139"/>
      <c r="G18139"/>
      <c r="H18139"/>
      <c r="I18139" s="489"/>
      <c r="J18139" s="1362"/>
      <c r="K18139" s="1362"/>
      <c r="L18139" s="1362"/>
    </row>
    <row r="18140" spans="1:12" x14ac:dyDescent="0.25">
      <c r="A18140">
        <v>39474</v>
      </c>
      <c r="B18140" t="s">
        <v>21642</v>
      </c>
      <c r="C18140" t="s">
        <v>2537</v>
      </c>
      <c r="D18140" s="254">
        <v>116.99</v>
      </c>
      <c r="E18140"/>
      <c r="F18140"/>
      <c r="G18140"/>
      <c r="H18140"/>
      <c r="I18140" s="489"/>
      <c r="J18140" s="1362"/>
      <c r="K18140" s="1362"/>
      <c r="L18140" s="1362"/>
    </row>
    <row r="18141" spans="1:12" x14ac:dyDescent="0.25">
      <c r="A18141">
        <v>39475</v>
      </c>
      <c r="B18141" t="s">
        <v>21643</v>
      </c>
      <c r="C18141" t="s">
        <v>2537</v>
      </c>
      <c r="D18141" s="254">
        <v>132.74</v>
      </c>
      <c r="E18141"/>
      <c r="F18141"/>
      <c r="G18141"/>
      <c r="H18141"/>
      <c r="I18141" s="489"/>
      <c r="J18141" s="1362"/>
      <c r="K18141" s="1362"/>
      <c r="L18141" s="1362"/>
    </row>
    <row r="18142" spans="1:12" x14ac:dyDescent="0.25">
      <c r="A18142">
        <v>39476</v>
      </c>
      <c r="B18142" t="s">
        <v>21644</v>
      </c>
      <c r="C18142" t="s">
        <v>2537</v>
      </c>
      <c r="D18142" s="254">
        <v>249.88</v>
      </c>
      <c r="E18142"/>
      <c r="F18142"/>
      <c r="G18142"/>
      <c r="H18142"/>
      <c r="I18142" s="489"/>
      <c r="J18142" s="1362"/>
      <c r="K18142" s="1362"/>
      <c r="L18142" s="1362"/>
    </row>
    <row r="18143" spans="1:12" x14ac:dyDescent="0.25">
      <c r="A18143">
        <v>39477</v>
      </c>
      <c r="B18143" t="s">
        <v>21645</v>
      </c>
      <c r="C18143" t="s">
        <v>2537</v>
      </c>
      <c r="D18143" s="254">
        <v>122.43</v>
      </c>
      <c r="E18143"/>
      <c r="F18143"/>
      <c r="G18143"/>
      <c r="H18143"/>
      <c r="I18143" s="489"/>
      <c r="J18143" s="1362"/>
      <c r="K18143" s="1362"/>
      <c r="L18143" s="1362"/>
    </row>
    <row r="18144" spans="1:12" x14ac:dyDescent="0.25">
      <c r="A18144">
        <v>39478</v>
      </c>
      <c r="B18144" t="s">
        <v>21646</v>
      </c>
      <c r="C18144" t="s">
        <v>2537</v>
      </c>
      <c r="D18144" s="254">
        <v>126.22</v>
      </c>
      <c r="E18144"/>
      <c r="F18144"/>
      <c r="G18144"/>
      <c r="H18144"/>
      <c r="I18144" s="489"/>
      <c r="J18144" s="1362"/>
      <c r="K18144" s="1362"/>
      <c r="L18144" s="1362"/>
    </row>
    <row r="18145" spans="1:12" x14ac:dyDescent="0.25">
      <c r="A18145">
        <v>39479</v>
      </c>
      <c r="B18145" t="s">
        <v>21647</v>
      </c>
      <c r="C18145" t="s">
        <v>2537</v>
      </c>
      <c r="D18145" s="254">
        <v>148.72</v>
      </c>
      <c r="E18145"/>
      <c r="F18145"/>
      <c r="G18145"/>
      <c r="H18145"/>
      <c r="I18145" s="489"/>
      <c r="J18145" s="1362"/>
      <c r="K18145" s="1362"/>
      <c r="L18145" s="1362"/>
    </row>
    <row r="18146" spans="1:12" x14ac:dyDescent="0.25">
      <c r="A18146">
        <v>39480</v>
      </c>
      <c r="B18146" t="s">
        <v>21648</v>
      </c>
      <c r="C18146" t="s">
        <v>2537</v>
      </c>
      <c r="D18146" s="254">
        <v>306.87</v>
      </c>
      <c r="E18146"/>
      <c r="F18146"/>
      <c r="G18146"/>
      <c r="H18146"/>
      <c r="I18146" s="489"/>
      <c r="J18146" s="1362"/>
      <c r="K18146" s="1362"/>
      <c r="L18146" s="1362"/>
    </row>
    <row r="18147" spans="1:12" x14ac:dyDescent="0.25">
      <c r="A18147">
        <v>39459</v>
      </c>
      <c r="B18147" t="s">
        <v>21649</v>
      </c>
      <c r="C18147" t="s">
        <v>2537</v>
      </c>
      <c r="D18147" s="254">
        <v>260.45999999999998</v>
      </c>
      <c r="E18147"/>
      <c r="F18147"/>
      <c r="G18147"/>
      <c r="H18147"/>
      <c r="I18147" s="489"/>
      <c r="J18147" s="1362"/>
      <c r="K18147" s="1362"/>
      <c r="L18147" s="1362"/>
    </row>
    <row r="18148" spans="1:12" x14ac:dyDescent="0.25">
      <c r="A18148">
        <v>39445</v>
      </c>
      <c r="B18148" t="s">
        <v>21650</v>
      </c>
      <c r="C18148" t="s">
        <v>2537</v>
      </c>
      <c r="D18148" s="254">
        <v>130.77000000000001</v>
      </c>
      <c r="E18148"/>
      <c r="F18148"/>
      <c r="G18148"/>
      <c r="H18148"/>
      <c r="I18148" s="489"/>
      <c r="J18148" s="1362"/>
      <c r="K18148" s="1362"/>
      <c r="L18148" s="1362"/>
    </row>
    <row r="18149" spans="1:12" x14ac:dyDescent="0.25">
      <c r="A18149">
        <v>39446</v>
      </c>
      <c r="B18149" t="s">
        <v>21651</v>
      </c>
      <c r="C18149" t="s">
        <v>2537</v>
      </c>
      <c r="D18149" s="254">
        <v>133.1</v>
      </c>
      <c r="E18149"/>
      <c r="F18149"/>
      <c r="G18149"/>
      <c r="H18149"/>
      <c r="I18149" s="489"/>
      <c r="J18149" s="1362"/>
      <c r="K18149" s="1362"/>
      <c r="L18149" s="1362"/>
    </row>
    <row r="18150" spans="1:12" x14ac:dyDescent="0.25">
      <c r="A18150">
        <v>39447</v>
      </c>
      <c r="B18150" t="s">
        <v>21652</v>
      </c>
      <c r="C18150" t="s">
        <v>2537</v>
      </c>
      <c r="D18150" s="254">
        <v>142.34</v>
      </c>
      <c r="E18150"/>
      <c r="F18150"/>
      <c r="G18150"/>
      <c r="H18150"/>
      <c r="I18150" s="489"/>
      <c r="J18150" s="1362"/>
      <c r="K18150" s="1362"/>
      <c r="L18150" s="1362"/>
    </row>
    <row r="18151" spans="1:12" x14ac:dyDescent="0.25">
      <c r="A18151">
        <v>39448</v>
      </c>
      <c r="B18151" t="s">
        <v>21653</v>
      </c>
      <c r="C18151" t="s">
        <v>2537</v>
      </c>
      <c r="D18151" s="254">
        <v>242.71</v>
      </c>
      <c r="E18151"/>
      <c r="F18151"/>
      <c r="G18151"/>
      <c r="H18151"/>
      <c r="I18151" s="489"/>
      <c r="J18151" s="1362"/>
      <c r="K18151" s="1362"/>
      <c r="L18151" s="1362"/>
    </row>
    <row r="18152" spans="1:12" x14ac:dyDescent="0.25">
      <c r="A18152">
        <v>39450</v>
      </c>
      <c r="B18152" t="s">
        <v>21654</v>
      </c>
      <c r="C18152" t="s">
        <v>2537</v>
      </c>
      <c r="D18152" s="254">
        <v>148.08000000000001</v>
      </c>
      <c r="E18152"/>
      <c r="F18152"/>
      <c r="G18152"/>
      <c r="H18152"/>
      <c r="I18152" s="489"/>
      <c r="J18152" s="1362"/>
      <c r="K18152" s="1362"/>
      <c r="L18152" s="1362"/>
    </row>
    <row r="18153" spans="1:12" x14ac:dyDescent="0.25">
      <c r="A18153">
        <v>39451</v>
      </c>
      <c r="B18153" t="s">
        <v>21655</v>
      </c>
      <c r="C18153" t="s">
        <v>2537</v>
      </c>
      <c r="D18153" s="254">
        <v>161.51</v>
      </c>
      <c r="E18153"/>
      <c r="F18153"/>
      <c r="G18153"/>
      <c r="H18153"/>
      <c r="I18153" s="489"/>
      <c r="J18153" s="1362"/>
      <c r="K18153" s="1362"/>
      <c r="L18153" s="1362"/>
    </row>
    <row r="18154" spans="1:12" x14ac:dyDescent="0.25">
      <c r="A18154">
        <v>39452</v>
      </c>
      <c r="B18154" t="s">
        <v>21656</v>
      </c>
      <c r="C18154" t="s">
        <v>2537</v>
      </c>
      <c r="D18154" s="254">
        <v>162.47999999999999</v>
      </c>
      <c r="E18154"/>
      <c r="F18154"/>
      <c r="G18154"/>
      <c r="H18154"/>
      <c r="I18154" s="489"/>
      <c r="J18154" s="1362"/>
      <c r="K18154" s="1362"/>
      <c r="L18154" s="1362"/>
    </row>
    <row r="18155" spans="1:12" x14ac:dyDescent="0.25">
      <c r="A18155">
        <v>39523</v>
      </c>
      <c r="B18155" t="s">
        <v>21657</v>
      </c>
      <c r="C18155" t="s">
        <v>2537</v>
      </c>
      <c r="D18155" s="254">
        <v>271.89999999999998</v>
      </c>
      <c r="E18155"/>
      <c r="F18155"/>
      <c r="G18155"/>
      <c r="H18155"/>
      <c r="I18155" s="489"/>
      <c r="J18155" s="1362"/>
      <c r="K18155" s="1362"/>
      <c r="L18155" s="1362"/>
    </row>
    <row r="18156" spans="1:12" x14ac:dyDescent="0.25">
      <c r="A18156">
        <v>39449</v>
      </c>
      <c r="B18156" t="s">
        <v>21658</v>
      </c>
      <c r="C18156" t="s">
        <v>2537</v>
      </c>
      <c r="D18156" s="254">
        <v>301.11</v>
      </c>
      <c r="E18156"/>
      <c r="F18156"/>
      <c r="G18156"/>
      <c r="H18156"/>
      <c r="I18156" s="489"/>
      <c r="J18156" s="1362"/>
      <c r="K18156" s="1362"/>
      <c r="L18156" s="1362"/>
    </row>
    <row r="18157" spans="1:12" x14ac:dyDescent="0.25">
      <c r="A18157">
        <v>39455</v>
      </c>
      <c r="B18157" t="s">
        <v>21659</v>
      </c>
      <c r="C18157" t="s">
        <v>2537</v>
      </c>
      <c r="D18157" s="254">
        <v>149</v>
      </c>
      <c r="E18157"/>
      <c r="F18157"/>
      <c r="G18157"/>
      <c r="H18157"/>
      <c r="I18157" s="489"/>
      <c r="J18157" s="1362"/>
      <c r="K18157" s="1362"/>
      <c r="L18157" s="1362"/>
    </row>
    <row r="18158" spans="1:12" x14ac:dyDescent="0.25">
      <c r="A18158">
        <v>39456</v>
      </c>
      <c r="B18158" t="s">
        <v>21660</v>
      </c>
      <c r="C18158" t="s">
        <v>2537</v>
      </c>
      <c r="D18158" s="254">
        <v>149.11000000000001</v>
      </c>
      <c r="E18158"/>
      <c r="F18158"/>
      <c r="G18158"/>
      <c r="H18158"/>
      <c r="I18158" s="489"/>
      <c r="J18158" s="1362"/>
      <c r="K18158" s="1362"/>
      <c r="L18158" s="1362"/>
    </row>
    <row r="18159" spans="1:12" x14ac:dyDescent="0.25">
      <c r="A18159">
        <v>39457</v>
      </c>
      <c r="B18159" t="s">
        <v>21661</v>
      </c>
      <c r="C18159" t="s">
        <v>2537</v>
      </c>
      <c r="D18159" s="254">
        <v>162.55000000000001</v>
      </c>
      <c r="E18159"/>
      <c r="F18159"/>
      <c r="G18159"/>
      <c r="H18159"/>
      <c r="I18159" s="489"/>
      <c r="J18159" s="1362"/>
      <c r="K18159" s="1362"/>
      <c r="L18159" s="1362"/>
    </row>
    <row r="18160" spans="1:12" x14ac:dyDescent="0.25">
      <c r="A18160">
        <v>39458</v>
      </c>
      <c r="B18160" t="s">
        <v>21662</v>
      </c>
      <c r="C18160" t="s">
        <v>2537</v>
      </c>
      <c r="D18160" s="254">
        <v>303.33</v>
      </c>
      <c r="E18160"/>
      <c r="F18160"/>
      <c r="G18160"/>
      <c r="H18160"/>
      <c r="I18160" s="489"/>
      <c r="J18160" s="1362"/>
      <c r="K18160" s="1362"/>
      <c r="L18160" s="1362"/>
    </row>
    <row r="18161" spans="1:12" x14ac:dyDescent="0.25">
      <c r="A18161">
        <v>39464</v>
      </c>
      <c r="B18161" t="s">
        <v>21663</v>
      </c>
      <c r="C18161" t="s">
        <v>2537</v>
      </c>
      <c r="D18161" s="254">
        <v>487.78</v>
      </c>
      <c r="E18161"/>
      <c r="F18161"/>
      <c r="G18161"/>
      <c r="H18161"/>
      <c r="I18161" s="489"/>
      <c r="J18161" s="1362"/>
      <c r="K18161" s="1362"/>
      <c r="L18161" s="1362"/>
    </row>
    <row r="18162" spans="1:12" x14ac:dyDescent="0.25">
      <c r="A18162">
        <v>39460</v>
      </c>
      <c r="B18162" t="s">
        <v>21664</v>
      </c>
      <c r="C18162" t="s">
        <v>2537</v>
      </c>
      <c r="D18162" s="254">
        <v>185</v>
      </c>
      <c r="E18162"/>
      <c r="F18162"/>
      <c r="G18162"/>
      <c r="H18162"/>
      <c r="I18162" s="489"/>
      <c r="J18162" s="1362"/>
      <c r="K18162" s="1362"/>
      <c r="L18162" s="1362"/>
    </row>
    <row r="18163" spans="1:12" x14ac:dyDescent="0.25">
      <c r="A18163">
        <v>39461</v>
      </c>
      <c r="B18163" t="s">
        <v>21665</v>
      </c>
      <c r="C18163" t="s">
        <v>2537</v>
      </c>
      <c r="D18163" s="254">
        <v>216.78</v>
      </c>
      <c r="E18163"/>
      <c r="F18163"/>
      <c r="G18163"/>
      <c r="H18163"/>
      <c r="I18163" s="489"/>
      <c r="J18163" s="1362"/>
      <c r="K18163" s="1362"/>
      <c r="L18163" s="1362"/>
    </row>
    <row r="18164" spans="1:12" x14ac:dyDescent="0.25">
      <c r="A18164">
        <v>39462</v>
      </c>
      <c r="B18164" t="s">
        <v>21666</v>
      </c>
      <c r="C18164" t="s">
        <v>2537</v>
      </c>
      <c r="D18164" s="254">
        <v>208.92</v>
      </c>
      <c r="E18164"/>
      <c r="F18164"/>
      <c r="G18164"/>
      <c r="H18164"/>
      <c r="I18164" s="489"/>
      <c r="J18164" s="1362"/>
      <c r="K18164" s="1362"/>
      <c r="L18164" s="1362"/>
    </row>
    <row r="18165" spans="1:12" x14ac:dyDescent="0.25">
      <c r="A18165">
        <v>39463</v>
      </c>
      <c r="B18165" t="s">
        <v>21667</v>
      </c>
      <c r="C18165" t="s">
        <v>2537</v>
      </c>
      <c r="D18165" s="254">
        <v>484</v>
      </c>
      <c r="E18165"/>
      <c r="F18165"/>
      <c r="G18165"/>
      <c r="H18165"/>
      <c r="I18165" s="489"/>
      <c r="J18165" s="1362"/>
      <c r="K18165" s="1362"/>
      <c r="L18165" s="1362"/>
    </row>
    <row r="18166" spans="1:12" x14ac:dyDescent="0.25">
      <c r="A18166">
        <v>26039</v>
      </c>
      <c r="B18166" t="s">
        <v>21668</v>
      </c>
      <c r="C18166" t="s">
        <v>2537</v>
      </c>
      <c r="D18166" s="254">
        <v>406424.55</v>
      </c>
      <c r="E18166"/>
      <c r="F18166"/>
      <c r="G18166"/>
      <c r="H18166"/>
      <c r="I18166" s="489"/>
      <c r="J18166" s="1362"/>
      <c r="K18166" s="1362"/>
      <c r="L18166" s="1362"/>
    </row>
    <row r="18167" spans="1:12" x14ac:dyDescent="0.25">
      <c r="A18167">
        <v>2401</v>
      </c>
      <c r="B18167" t="s">
        <v>21669</v>
      </c>
      <c r="C18167" t="s">
        <v>2537</v>
      </c>
      <c r="D18167" s="254">
        <v>93482.15</v>
      </c>
      <c r="E18167"/>
      <c r="F18167"/>
      <c r="G18167"/>
      <c r="H18167"/>
      <c r="I18167" s="489"/>
      <c r="J18167" s="1362"/>
      <c r="K18167" s="1362"/>
      <c r="L18167" s="1362"/>
    </row>
    <row r="18168" spans="1:12" x14ac:dyDescent="0.25">
      <c r="A18168">
        <v>38870</v>
      </c>
      <c r="B18168" t="s">
        <v>21670</v>
      </c>
      <c r="C18168" t="s">
        <v>2537</v>
      </c>
      <c r="D18168" s="254">
        <v>39.92</v>
      </c>
      <c r="E18168"/>
      <c r="F18168"/>
      <c r="G18168"/>
      <c r="H18168"/>
      <c r="I18168" s="489"/>
      <c r="J18168" s="1362"/>
      <c r="K18168" s="1362"/>
      <c r="L18168" s="1362"/>
    </row>
    <row r="18169" spans="1:12" x14ac:dyDescent="0.25">
      <c r="A18169">
        <v>38869</v>
      </c>
      <c r="B18169" t="s">
        <v>21671</v>
      </c>
      <c r="C18169" t="s">
        <v>2537</v>
      </c>
      <c r="D18169" s="254">
        <v>35.21</v>
      </c>
      <c r="E18169"/>
      <c r="F18169"/>
      <c r="G18169"/>
      <c r="H18169"/>
      <c r="I18169" s="489"/>
      <c r="J18169" s="1362"/>
      <c r="K18169" s="1362"/>
      <c r="L18169" s="1362"/>
    </row>
    <row r="18170" spans="1:12" x14ac:dyDescent="0.25">
      <c r="A18170">
        <v>38872</v>
      </c>
      <c r="B18170" t="s">
        <v>21672</v>
      </c>
      <c r="C18170" t="s">
        <v>2537</v>
      </c>
      <c r="D18170" s="254">
        <v>54.52</v>
      </c>
      <c r="E18170"/>
      <c r="F18170"/>
      <c r="G18170"/>
      <c r="H18170"/>
      <c r="I18170" s="489"/>
      <c r="J18170" s="1362"/>
      <c r="K18170" s="1362"/>
      <c r="L18170" s="1362"/>
    </row>
    <row r="18171" spans="1:12" x14ac:dyDescent="0.25">
      <c r="A18171">
        <v>38871</v>
      </c>
      <c r="B18171" t="s">
        <v>21673</v>
      </c>
      <c r="C18171" t="s">
        <v>2537</v>
      </c>
      <c r="D18171" s="254">
        <v>43.86</v>
      </c>
      <c r="E18171"/>
      <c r="F18171"/>
      <c r="G18171"/>
      <c r="H18171"/>
      <c r="I18171" s="489"/>
      <c r="J18171" s="1362"/>
      <c r="K18171" s="1362"/>
      <c r="L18171" s="1362"/>
    </row>
    <row r="18172" spans="1:12" x14ac:dyDescent="0.25">
      <c r="A18172">
        <v>39283</v>
      </c>
      <c r="B18172" t="s">
        <v>21674</v>
      </c>
      <c r="C18172" t="s">
        <v>2537</v>
      </c>
      <c r="D18172" s="254">
        <v>136.61000000000001</v>
      </c>
      <c r="E18172"/>
      <c r="F18172"/>
      <c r="G18172"/>
      <c r="H18172"/>
      <c r="I18172" s="489"/>
      <c r="J18172" s="1362"/>
      <c r="K18172" s="1362"/>
      <c r="L18172" s="1362"/>
    </row>
    <row r="18173" spans="1:12" x14ac:dyDescent="0.25">
      <c r="A18173">
        <v>39284</v>
      </c>
      <c r="B18173" t="s">
        <v>21675</v>
      </c>
      <c r="C18173" t="s">
        <v>2537</v>
      </c>
      <c r="D18173" s="254">
        <v>148.04</v>
      </c>
      <c r="E18173"/>
      <c r="F18173"/>
      <c r="G18173"/>
      <c r="H18173"/>
      <c r="I18173" s="489"/>
      <c r="J18173" s="1362"/>
      <c r="K18173" s="1362"/>
      <c r="L18173" s="1362"/>
    </row>
    <row r="18174" spans="1:12" x14ac:dyDescent="0.25">
      <c r="A18174">
        <v>39285</v>
      </c>
      <c r="B18174" t="s">
        <v>21676</v>
      </c>
      <c r="C18174" t="s">
        <v>2537</v>
      </c>
      <c r="D18174" s="254">
        <v>150.16999999999999</v>
      </c>
      <c r="E18174"/>
      <c r="F18174"/>
      <c r="G18174"/>
      <c r="H18174"/>
      <c r="I18174" s="489"/>
      <c r="J18174" s="1362"/>
      <c r="K18174" s="1362"/>
      <c r="L18174" s="1362"/>
    </row>
    <row r="18175" spans="1:12" x14ac:dyDescent="0.25">
      <c r="A18175">
        <v>39286</v>
      </c>
      <c r="B18175" t="s">
        <v>21677</v>
      </c>
      <c r="C18175" t="s">
        <v>2537</v>
      </c>
      <c r="D18175" s="254">
        <v>146.9</v>
      </c>
      <c r="E18175"/>
      <c r="F18175"/>
      <c r="G18175"/>
      <c r="H18175"/>
      <c r="I18175" s="489"/>
      <c r="J18175" s="1362"/>
      <c r="K18175" s="1362"/>
      <c r="L18175" s="1362"/>
    </row>
    <row r="18176" spans="1:12" x14ac:dyDescent="0.25">
      <c r="A18176">
        <v>39287</v>
      </c>
      <c r="B18176" t="s">
        <v>21678</v>
      </c>
      <c r="C18176" t="s">
        <v>2537</v>
      </c>
      <c r="D18176" s="254">
        <v>172.49</v>
      </c>
      <c r="E18176"/>
      <c r="F18176"/>
      <c r="G18176"/>
      <c r="H18176"/>
      <c r="I18176" s="489"/>
      <c r="J18176" s="1362"/>
      <c r="K18176" s="1362"/>
      <c r="L18176" s="1362"/>
    </row>
    <row r="18177" spans="1:12" x14ac:dyDescent="0.25">
      <c r="A18177">
        <v>39288</v>
      </c>
      <c r="B18177" t="s">
        <v>21679</v>
      </c>
      <c r="C18177" t="s">
        <v>2537</v>
      </c>
      <c r="D18177" s="254">
        <v>184.09</v>
      </c>
      <c r="E18177"/>
      <c r="F18177"/>
      <c r="G18177"/>
      <c r="H18177"/>
      <c r="I18177" s="489"/>
      <c r="J18177" s="1362"/>
      <c r="K18177" s="1362"/>
      <c r="L18177" s="1362"/>
    </row>
    <row r="18178" spans="1:12" x14ac:dyDescent="0.25">
      <c r="A18178">
        <v>44476</v>
      </c>
      <c r="B18178" t="s">
        <v>21680</v>
      </c>
      <c r="C18178" t="s">
        <v>2539</v>
      </c>
      <c r="D18178" s="254">
        <v>702.64</v>
      </c>
      <c r="E18178"/>
      <c r="F18178"/>
      <c r="G18178"/>
      <c r="H18178"/>
      <c r="I18178" s="489"/>
      <c r="J18178" s="1362"/>
      <c r="K18178" s="1362"/>
      <c r="L18178" s="1362"/>
    </row>
    <row r="18179" spans="1:12" x14ac:dyDescent="0.25">
      <c r="A18179">
        <v>10629</v>
      </c>
      <c r="B18179" t="s">
        <v>21681</v>
      </c>
      <c r="C18179" t="s">
        <v>2539</v>
      </c>
      <c r="D18179" s="254">
        <v>724.04</v>
      </c>
      <c r="E18179"/>
      <c r="F18179"/>
      <c r="G18179"/>
      <c r="H18179"/>
      <c r="I18179" s="489"/>
      <c r="J18179" s="1362"/>
      <c r="K18179" s="1362"/>
      <c r="L18179" s="1362"/>
    </row>
    <row r="18180" spans="1:12" x14ac:dyDescent="0.25">
      <c r="A18180">
        <v>10698</v>
      </c>
      <c r="B18180" t="s">
        <v>21682</v>
      </c>
      <c r="C18180" t="s">
        <v>2539</v>
      </c>
      <c r="D18180" s="254">
        <v>229.56</v>
      </c>
      <c r="E18180"/>
      <c r="F18180"/>
      <c r="G18180"/>
      <c r="H18180"/>
      <c r="I18180" s="489"/>
      <c r="J18180" s="1362"/>
      <c r="K18180" s="1362"/>
      <c r="L18180" s="1362"/>
    </row>
    <row r="18181" spans="1:12" x14ac:dyDescent="0.25">
      <c r="A18181">
        <v>40521</v>
      </c>
      <c r="B18181" t="s">
        <v>21683</v>
      </c>
      <c r="C18181" t="s">
        <v>2537</v>
      </c>
      <c r="D18181" s="254">
        <v>100499.71</v>
      </c>
      <c r="E18181"/>
      <c r="F18181"/>
      <c r="G18181"/>
      <c r="H18181"/>
      <c r="I18181" s="489"/>
      <c r="J18181" s="1362"/>
      <c r="K18181" s="1362"/>
      <c r="L18181" s="1362"/>
    </row>
    <row r="18182" spans="1:12" x14ac:dyDescent="0.25">
      <c r="A18182">
        <v>2432</v>
      </c>
      <c r="B18182" t="s">
        <v>21684</v>
      </c>
      <c r="C18182" t="s">
        <v>2537</v>
      </c>
      <c r="D18182" s="254">
        <v>27.27</v>
      </c>
      <c r="E18182"/>
      <c r="F18182"/>
      <c r="G18182"/>
      <c r="H18182"/>
      <c r="I18182" s="489"/>
      <c r="J18182" s="1362"/>
      <c r="K18182" s="1362"/>
      <c r="L18182" s="1362"/>
    </row>
    <row r="18183" spans="1:12" x14ac:dyDescent="0.25">
      <c r="A18183">
        <v>2433</v>
      </c>
      <c r="B18183" t="s">
        <v>21685</v>
      </c>
      <c r="C18183" t="s">
        <v>2537</v>
      </c>
      <c r="D18183" s="254">
        <v>9.24</v>
      </c>
      <c r="E18183"/>
      <c r="F18183"/>
      <c r="G18183"/>
      <c r="H18183"/>
      <c r="I18183" s="489"/>
      <c r="J18183" s="1362"/>
      <c r="K18183" s="1362"/>
      <c r="L18183" s="1362"/>
    </row>
    <row r="18184" spans="1:12" x14ac:dyDescent="0.25">
      <c r="A18184">
        <v>2418</v>
      </c>
      <c r="B18184" t="s">
        <v>21686</v>
      </c>
      <c r="C18184" t="s">
        <v>2537</v>
      </c>
      <c r="D18184" s="254">
        <v>12.65</v>
      </c>
      <c r="E18184"/>
      <c r="F18184"/>
      <c r="G18184"/>
      <c r="H18184"/>
      <c r="I18184" s="489"/>
      <c r="J18184" s="1362"/>
      <c r="K18184" s="1362"/>
      <c r="L18184" s="1362"/>
    </row>
    <row r="18185" spans="1:12" x14ac:dyDescent="0.25">
      <c r="A18185">
        <v>2420</v>
      </c>
      <c r="B18185" t="s">
        <v>21687</v>
      </c>
      <c r="C18185" t="s">
        <v>2537</v>
      </c>
      <c r="D18185" s="254">
        <v>15.86</v>
      </c>
      <c r="E18185"/>
      <c r="F18185"/>
      <c r="G18185"/>
      <c r="H18185"/>
      <c r="I18185" s="489"/>
      <c r="J18185" s="1362"/>
      <c r="K18185" s="1362"/>
      <c r="L18185" s="1362"/>
    </row>
    <row r="18186" spans="1:12" x14ac:dyDescent="0.25">
      <c r="A18186">
        <v>11447</v>
      </c>
      <c r="B18186" t="s">
        <v>21688</v>
      </c>
      <c r="C18186" t="s">
        <v>2537</v>
      </c>
      <c r="D18186" s="254">
        <v>31.35</v>
      </c>
      <c r="E18186"/>
      <c r="F18186"/>
      <c r="G18186"/>
      <c r="H18186"/>
      <c r="I18186" s="489"/>
      <c r="J18186" s="1362"/>
      <c r="K18186" s="1362"/>
      <c r="L18186" s="1362"/>
    </row>
    <row r="18187" spans="1:12" x14ac:dyDescent="0.25">
      <c r="A18187">
        <v>11451</v>
      </c>
      <c r="B18187" t="s">
        <v>21689</v>
      </c>
      <c r="C18187" t="s">
        <v>2537</v>
      </c>
      <c r="D18187" s="254">
        <v>84.06</v>
      </c>
      <c r="E18187"/>
      <c r="F18187"/>
      <c r="G18187"/>
      <c r="H18187"/>
      <c r="I18187" s="489"/>
      <c r="J18187" s="1362"/>
      <c r="K18187" s="1362"/>
      <c r="L18187" s="1362"/>
    </row>
    <row r="18188" spans="1:12" x14ac:dyDescent="0.25">
      <c r="A18188">
        <v>11116</v>
      </c>
      <c r="B18188" t="s">
        <v>21690</v>
      </c>
      <c r="C18188" t="s">
        <v>2537</v>
      </c>
      <c r="D18188" s="254">
        <v>652.45000000000005</v>
      </c>
      <c r="E18188"/>
      <c r="F18188"/>
      <c r="G18188"/>
      <c r="H18188"/>
      <c r="I18188" s="489"/>
      <c r="J18188" s="1362"/>
      <c r="K18188" s="1362"/>
      <c r="L18188" s="1362"/>
    </row>
    <row r="18189" spans="1:12" x14ac:dyDescent="0.25">
      <c r="A18189">
        <v>38411</v>
      </c>
      <c r="B18189" t="s">
        <v>21691</v>
      </c>
      <c r="C18189" t="s">
        <v>2537</v>
      </c>
      <c r="D18189" s="254">
        <v>1620.1</v>
      </c>
      <c r="E18189"/>
      <c r="F18189"/>
      <c r="G18189"/>
      <c r="H18189"/>
      <c r="I18189" s="489"/>
      <c r="J18189" s="1362"/>
      <c r="K18189" s="1362"/>
      <c r="L18189" s="1362"/>
    </row>
    <row r="18190" spans="1:12" x14ac:dyDescent="0.25">
      <c r="A18190">
        <v>38189</v>
      </c>
      <c r="B18190" t="s">
        <v>21692</v>
      </c>
      <c r="C18190" t="s">
        <v>2537</v>
      </c>
      <c r="D18190" s="254">
        <v>149.47999999999999</v>
      </c>
      <c r="E18190"/>
      <c r="F18190"/>
      <c r="G18190"/>
      <c r="H18190"/>
      <c r="I18190" s="489"/>
      <c r="J18190" s="1362"/>
      <c r="K18190" s="1362"/>
      <c r="L18190" s="1362"/>
    </row>
    <row r="18191" spans="1:12" x14ac:dyDescent="0.25">
      <c r="A18191">
        <v>38190</v>
      </c>
      <c r="B18191" t="s">
        <v>21693</v>
      </c>
      <c r="C18191" t="s">
        <v>2537</v>
      </c>
      <c r="D18191" s="254">
        <v>314.91000000000003</v>
      </c>
      <c r="E18191"/>
      <c r="F18191"/>
      <c r="G18191"/>
      <c r="H18191"/>
      <c r="I18191" s="489"/>
      <c r="J18191" s="1362"/>
      <c r="K18191" s="1362"/>
      <c r="L18191" s="1362"/>
    </row>
    <row r="18192" spans="1:12" x14ac:dyDescent="0.25">
      <c r="A18192">
        <v>7608</v>
      </c>
      <c r="B18192" t="s">
        <v>21694</v>
      </c>
      <c r="C18192" t="s">
        <v>2537</v>
      </c>
      <c r="D18192" s="254">
        <v>12.36</v>
      </c>
      <c r="E18192"/>
      <c r="F18192"/>
      <c r="G18192"/>
      <c r="H18192"/>
      <c r="I18192" s="489"/>
      <c r="J18192" s="1362"/>
      <c r="K18192" s="1362"/>
      <c r="L18192" s="1362"/>
    </row>
    <row r="18193" spans="1:12" x14ac:dyDescent="0.25">
      <c r="A18193">
        <v>1370</v>
      </c>
      <c r="B18193" t="s">
        <v>21695</v>
      </c>
      <c r="C18193" t="s">
        <v>2537</v>
      </c>
      <c r="D18193" s="254">
        <v>95.18</v>
      </c>
      <c r="E18193"/>
      <c r="F18193"/>
      <c r="G18193"/>
      <c r="H18193"/>
      <c r="I18193" s="489"/>
      <c r="J18193" s="1362"/>
      <c r="K18193" s="1362"/>
      <c r="L18193" s="1362"/>
    </row>
    <row r="18194" spans="1:12" x14ac:dyDescent="0.25">
      <c r="A18194">
        <v>36516</v>
      </c>
      <c r="B18194" t="s">
        <v>21696</v>
      </c>
      <c r="C18194" t="s">
        <v>2537</v>
      </c>
      <c r="D18194" s="254">
        <v>145524.43</v>
      </c>
      <c r="E18194"/>
      <c r="F18194"/>
      <c r="G18194"/>
      <c r="H18194"/>
      <c r="I18194" s="489"/>
      <c r="J18194" s="1362"/>
      <c r="K18194" s="1362"/>
      <c r="L18194" s="1362"/>
    </row>
    <row r="18195" spans="1:12" x14ac:dyDescent="0.25">
      <c r="A18195">
        <v>34777</v>
      </c>
      <c r="B18195" t="s">
        <v>21697</v>
      </c>
      <c r="C18195" t="s">
        <v>2537</v>
      </c>
      <c r="D18195" s="254">
        <v>4.3600000000000003</v>
      </c>
      <c r="E18195"/>
      <c r="F18195"/>
      <c r="G18195"/>
      <c r="H18195"/>
      <c r="I18195" s="489"/>
      <c r="J18195" s="1362"/>
      <c r="K18195" s="1362"/>
      <c r="L18195" s="1362"/>
    </row>
    <row r="18196" spans="1:12" x14ac:dyDescent="0.25">
      <c r="A18196">
        <v>7272</v>
      </c>
      <c r="B18196" t="s">
        <v>21698</v>
      </c>
      <c r="C18196" t="s">
        <v>2537</v>
      </c>
      <c r="D18196" s="254">
        <v>3.68</v>
      </c>
      <c r="E18196"/>
      <c r="F18196"/>
      <c r="G18196"/>
      <c r="H18196"/>
      <c r="I18196" s="489"/>
      <c r="J18196" s="1362"/>
      <c r="K18196" s="1362"/>
      <c r="L18196" s="1362"/>
    </row>
    <row r="18197" spans="1:12" x14ac:dyDescent="0.25">
      <c r="A18197">
        <v>10605</v>
      </c>
      <c r="B18197" t="s">
        <v>21699</v>
      </c>
      <c r="C18197" t="s">
        <v>2537</v>
      </c>
      <c r="D18197" s="254">
        <v>5.39</v>
      </c>
      <c r="E18197"/>
      <c r="F18197"/>
      <c r="G18197"/>
      <c r="H18197"/>
      <c r="I18197" s="489"/>
      <c r="J18197" s="1362"/>
      <c r="K18197" s="1362"/>
      <c r="L18197" s="1362"/>
    </row>
    <row r="18198" spans="1:12" x14ac:dyDescent="0.25">
      <c r="A18198">
        <v>10604</v>
      </c>
      <c r="B18198" t="s">
        <v>21700</v>
      </c>
      <c r="C18198" t="s">
        <v>2537</v>
      </c>
      <c r="D18198" s="254">
        <v>12.57</v>
      </c>
      <c r="E18198"/>
      <c r="F18198"/>
      <c r="G18198"/>
      <c r="H18198"/>
      <c r="I18198" s="489"/>
      <c r="J18198" s="1362"/>
      <c r="K18198" s="1362"/>
      <c r="L18198" s="1362"/>
    </row>
    <row r="18199" spans="1:12" x14ac:dyDescent="0.25">
      <c r="A18199">
        <v>672</v>
      </c>
      <c r="B18199" t="s">
        <v>21701</v>
      </c>
      <c r="C18199" t="s">
        <v>2537</v>
      </c>
      <c r="D18199" s="254">
        <v>17.28</v>
      </c>
      <c r="E18199"/>
      <c r="F18199"/>
      <c r="G18199"/>
      <c r="H18199"/>
      <c r="I18199" s="489"/>
      <c r="J18199" s="1362"/>
      <c r="K18199" s="1362"/>
      <c r="L18199" s="1362"/>
    </row>
    <row r="18200" spans="1:12" x14ac:dyDescent="0.25">
      <c r="A18200">
        <v>668</v>
      </c>
      <c r="B18200" t="s">
        <v>21702</v>
      </c>
      <c r="C18200" t="s">
        <v>2537</v>
      </c>
      <c r="D18200" s="254">
        <v>20.86</v>
      </c>
      <c r="E18200"/>
      <c r="F18200"/>
      <c r="G18200"/>
      <c r="H18200"/>
      <c r="I18200" s="489"/>
      <c r="J18200" s="1362"/>
      <c r="K18200" s="1362"/>
      <c r="L18200" s="1362"/>
    </row>
    <row r="18201" spans="1:12" x14ac:dyDescent="0.25">
      <c r="A18201">
        <v>10578</v>
      </c>
      <c r="B18201" t="s">
        <v>21703</v>
      </c>
      <c r="C18201" t="s">
        <v>2537</v>
      </c>
      <c r="D18201" s="254">
        <v>24.3</v>
      </c>
      <c r="E18201"/>
      <c r="F18201"/>
      <c r="G18201"/>
      <c r="H18201"/>
      <c r="I18201" s="489"/>
      <c r="J18201" s="1362"/>
      <c r="K18201" s="1362"/>
      <c r="L18201" s="1362"/>
    </row>
    <row r="18202" spans="1:12" x14ac:dyDescent="0.25">
      <c r="A18202">
        <v>666</v>
      </c>
      <c r="B18202" t="s">
        <v>21704</v>
      </c>
      <c r="C18202" t="s">
        <v>2537</v>
      </c>
      <c r="D18202" s="254">
        <v>27.02</v>
      </c>
      <c r="E18202"/>
      <c r="F18202"/>
      <c r="G18202"/>
      <c r="H18202"/>
      <c r="I18202" s="489"/>
      <c r="J18202" s="1362"/>
      <c r="K18202" s="1362"/>
      <c r="L18202" s="1362"/>
    </row>
    <row r="18203" spans="1:12" x14ac:dyDescent="0.25">
      <c r="A18203">
        <v>665</v>
      </c>
      <c r="B18203" t="s">
        <v>21705</v>
      </c>
      <c r="C18203" t="s">
        <v>2537</v>
      </c>
      <c r="D18203" s="254">
        <v>36.14</v>
      </c>
      <c r="E18203"/>
      <c r="F18203"/>
      <c r="G18203"/>
      <c r="H18203"/>
      <c r="I18203" s="489"/>
      <c r="J18203" s="1362"/>
      <c r="K18203" s="1362"/>
      <c r="L18203" s="1362"/>
    </row>
    <row r="18204" spans="1:12" x14ac:dyDescent="0.25">
      <c r="A18204">
        <v>10577</v>
      </c>
      <c r="B18204" t="s">
        <v>21706</v>
      </c>
      <c r="C18204" t="s">
        <v>2537</v>
      </c>
      <c r="D18204" s="254">
        <v>32.049999999999997</v>
      </c>
      <c r="E18204"/>
      <c r="F18204"/>
      <c r="G18204"/>
      <c r="H18204"/>
      <c r="I18204" s="489"/>
      <c r="J18204" s="1362"/>
      <c r="K18204" s="1362"/>
      <c r="L18204" s="1362"/>
    </row>
    <row r="18205" spans="1:12" x14ac:dyDescent="0.25">
      <c r="A18205">
        <v>10583</v>
      </c>
      <c r="B18205" t="s">
        <v>21707</v>
      </c>
      <c r="C18205" t="s">
        <v>2537</v>
      </c>
      <c r="D18205" s="254">
        <v>16.649999999999999</v>
      </c>
      <c r="E18205"/>
      <c r="F18205"/>
      <c r="G18205"/>
      <c r="H18205"/>
      <c r="I18205" s="489"/>
      <c r="J18205" s="1362"/>
      <c r="K18205" s="1362"/>
      <c r="L18205" s="1362"/>
    </row>
    <row r="18206" spans="1:12" x14ac:dyDescent="0.25">
      <c r="A18206">
        <v>10579</v>
      </c>
      <c r="B18206" t="s">
        <v>21708</v>
      </c>
      <c r="C18206" t="s">
        <v>2537</v>
      </c>
      <c r="D18206" s="254">
        <v>29.02</v>
      </c>
      <c r="E18206"/>
      <c r="F18206"/>
      <c r="G18206"/>
      <c r="H18206"/>
      <c r="I18206" s="489"/>
      <c r="J18206" s="1362"/>
      <c r="K18206" s="1362"/>
      <c r="L18206" s="1362"/>
    </row>
    <row r="18207" spans="1:12" x14ac:dyDescent="0.25">
      <c r="A18207">
        <v>10582</v>
      </c>
      <c r="B18207" t="s">
        <v>21709</v>
      </c>
      <c r="C18207" t="s">
        <v>2537</v>
      </c>
      <c r="D18207" s="254">
        <v>14.66</v>
      </c>
      <c r="E18207"/>
      <c r="F18207"/>
      <c r="G18207"/>
      <c r="H18207"/>
      <c r="I18207" s="489"/>
      <c r="J18207" s="1362"/>
      <c r="K18207" s="1362"/>
      <c r="L18207" s="1362"/>
    </row>
    <row r="18208" spans="1:12" x14ac:dyDescent="0.25">
      <c r="A18208">
        <v>2436</v>
      </c>
      <c r="B18208" t="s">
        <v>21710</v>
      </c>
      <c r="C18208" t="s">
        <v>2538</v>
      </c>
      <c r="D18208" s="254">
        <v>31.86</v>
      </c>
      <c r="E18208"/>
      <c r="F18208"/>
      <c r="G18208"/>
      <c r="H18208"/>
      <c r="I18208" s="489"/>
      <c r="J18208" s="1362"/>
      <c r="K18208" s="1362"/>
      <c r="L18208" s="1362"/>
    </row>
    <row r="18209" spans="1:12" x14ac:dyDescent="0.25">
      <c r="A18209">
        <v>40918</v>
      </c>
      <c r="B18209" t="s">
        <v>21711</v>
      </c>
      <c r="C18209" t="s">
        <v>2544</v>
      </c>
      <c r="D18209" s="254">
        <v>5621.55</v>
      </c>
      <c r="E18209"/>
      <c r="F18209"/>
      <c r="G18209"/>
      <c r="H18209"/>
      <c r="I18209" s="489"/>
      <c r="J18209" s="1362"/>
      <c r="K18209" s="1362"/>
      <c r="L18209" s="1362"/>
    </row>
    <row r="18210" spans="1:12" x14ac:dyDescent="0.25">
      <c r="A18210">
        <v>2439</v>
      </c>
      <c r="B18210" t="s">
        <v>21712</v>
      </c>
      <c r="C18210" t="s">
        <v>2538</v>
      </c>
      <c r="D18210" s="254">
        <v>30.03</v>
      </c>
      <c r="E18210"/>
      <c r="F18210"/>
      <c r="G18210"/>
      <c r="H18210"/>
      <c r="I18210" s="489"/>
      <c r="J18210" s="1362"/>
      <c r="K18210" s="1362"/>
      <c r="L18210" s="1362"/>
    </row>
    <row r="18211" spans="1:12" x14ac:dyDescent="0.25">
      <c r="A18211">
        <v>40923</v>
      </c>
      <c r="B18211" t="s">
        <v>21713</v>
      </c>
      <c r="C18211" t="s">
        <v>2544</v>
      </c>
      <c r="D18211" s="254">
        <v>5298.84</v>
      </c>
      <c r="E18211"/>
      <c r="F18211"/>
      <c r="G18211"/>
      <c r="H18211"/>
      <c r="I18211" s="489"/>
      <c r="J18211" s="1362"/>
      <c r="K18211" s="1362"/>
      <c r="L18211" s="1362"/>
    </row>
    <row r="18212" spans="1:12" x14ac:dyDescent="0.25">
      <c r="A18212">
        <v>10998</v>
      </c>
      <c r="B18212" t="s">
        <v>21714</v>
      </c>
      <c r="C18212" t="s">
        <v>2542</v>
      </c>
      <c r="D18212" s="254">
        <v>41.61</v>
      </c>
      <c r="E18212"/>
      <c r="F18212"/>
      <c r="G18212"/>
      <c r="H18212"/>
      <c r="I18212" s="489"/>
      <c r="J18212" s="1362"/>
      <c r="K18212" s="1362"/>
      <c r="L18212" s="1362"/>
    </row>
    <row r="18213" spans="1:12" x14ac:dyDescent="0.25">
      <c r="A18213">
        <v>11002</v>
      </c>
      <c r="B18213" t="s">
        <v>21715</v>
      </c>
      <c r="C18213" t="s">
        <v>2542</v>
      </c>
      <c r="D18213" s="254">
        <v>38.119999999999997</v>
      </c>
      <c r="E18213"/>
      <c r="F18213"/>
      <c r="G18213"/>
      <c r="H18213"/>
      <c r="I18213" s="489"/>
      <c r="J18213" s="1362"/>
      <c r="K18213" s="1362"/>
      <c r="L18213" s="1362"/>
    </row>
    <row r="18214" spans="1:12" x14ac:dyDescent="0.25">
      <c r="A18214">
        <v>10999</v>
      </c>
      <c r="B18214" t="s">
        <v>21716</v>
      </c>
      <c r="C18214" t="s">
        <v>2542</v>
      </c>
      <c r="D18214" s="254">
        <v>36.630000000000003</v>
      </c>
      <c r="E18214"/>
      <c r="F18214"/>
      <c r="G18214"/>
      <c r="H18214"/>
      <c r="I18214" s="489"/>
      <c r="J18214" s="1362"/>
      <c r="K18214" s="1362"/>
      <c r="L18214" s="1362"/>
    </row>
    <row r="18215" spans="1:12" x14ac:dyDescent="0.25">
      <c r="A18215">
        <v>10997</v>
      </c>
      <c r="B18215" t="s">
        <v>21717</v>
      </c>
      <c r="C18215" t="s">
        <v>2542</v>
      </c>
      <c r="D18215" s="254">
        <v>39.700000000000003</v>
      </c>
      <c r="E18215"/>
      <c r="F18215"/>
      <c r="G18215"/>
      <c r="H18215"/>
      <c r="I18215" s="489"/>
      <c r="J18215" s="1362"/>
      <c r="K18215" s="1362"/>
      <c r="L18215" s="1362"/>
    </row>
    <row r="18216" spans="1:12" x14ac:dyDescent="0.25">
      <c r="A18216">
        <v>2685</v>
      </c>
      <c r="B18216" t="s">
        <v>21718</v>
      </c>
      <c r="C18216" t="s">
        <v>2541</v>
      </c>
      <c r="D18216" s="254">
        <v>7.65</v>
      </c>
      <c r="E18216"/>
      <c r="F18216"/>
      <c r="G18216"/>
      <c r="H18216"/>
      <c r="I18216" s="489"/>
      <c r="J18216" s="1362"/>
      <c r="K18216" s="1362"/>
      <c r="L18216" s="1362"/>
    </row>
    <row r="18217" spans="1:12" x14ac:dyDescent="0.25">
      <c r="A18217">
        <v>2680</v>
      </c>
      <c r="B18217" t="s">
        <v>21719</v>
      </c>
      <c r="C18217" t="s">
        <v>2541</v>
      </c>
      <c r="D18217" s="254">
        <v>11.19</v>
      </c>
      <c r="E18217"/>
      <c r="F18217"/>
      <c r="G18217"/>
      <c r="H18217"/>
      <c r="I18217" s="489"/>
      <c r="J18217" s="1362"/>
      <c r="K18217" s="1362"/>
      <c r="L18217" s="1362"/>
    </row>
    <row r="18218" spans="1:12" x14ac:dyDescent="0.25">
      <c r="A18218">
        <v>2684</v>
      </c>
      <c r="B18218" t="s">
        <v>21720</v>
      </c>
      <c r="C18218" t="s">
        <v>2541</v>
      </c>
      <c r="D18218" s="254">
        <v>10.18</v>
      </c>
      <c r="E18218"/>
      <c r="F18218"/>
      <c r="G18218"/>
      <c r="H18218"/>
      <c r="I18218" s="489"/>
      <c r="J18218" s="1362"/>
      <c r="K18218" s="1362"/>
      <c r="L18218" s="1362"/>
    </row>
    <row r="18219" spans="1:12" x14ac:dyDescent="0.25">
      <c r="A18219">
        <v>2673</v>
      </c>
      <c r="B18219" t="s">
        <v>21721</v>
      </c>
      <c r="C18219" t="s">
        <v>2541</v>
      </c>
      <c r="D18219" s="254">
        <v>3.93</v>
      </c>
      <c r="E18219"/>
      <c r="F18219"/>
      <c r="G18219"/>
      <c r="H18219"/>
      <c r="I18219" s="489"/>
      <c r="J18219" s="1362"/>
      <c r="K18219" s="1362"/>
      <c r="L18219" s="1362"/>
    </row>
    <row r="18220" spans="1:12" x14ac:dyDescent="0.25">
      <c r="A18220">
        <v>2681</v>
      </c>
      <c r="B18220" t="s">
        <v>21722</v>
      </c>
      <c r="C18220" t="s">
        <v>2541</v>
      </c>
      <c r="D18220" s="254">
        <v>18.29</v>
      </c>
      <c r="E18220"/>
      <c r="F18220"/>
      <c r="G18220"/>
      <c r="H18220"/>
      <c r="I18220" s="489"/>
      <c r="J18220" s="1362"/>
      <c r="K18220" s="1362"/>
      <c r="L18220" s="1362"/>
    </row>
    <row r="18221" spans="1:12" x14ac:dyDescent="0.25">
      <c r="A18221">
        <v>2682</v>
      </c>
      <c r="B18221" t="s">
        <v>21723</v>
      </c>
      <c r="C18221" t="s">
        <v>2541</v>
      </c>
      <c r="D18221" s="254">
        <v>26.68</v>
      </c>
      <c r="E18221"/>
      <c r="F18221"/>
      <c r="G18221"/>
      <c r="H18221"/>
      <c r="I18221" s="489"/>
      <c r="J18221" s="1362"/>
      <c r="K18221" s="1362"/>
      <c r="L18221" s="1362"/>
    </row>
    <row r="18222" spans="1:12" x14ac:dyDescent="0.25">
      <c r="A18222">
        <v>2686</v>
      </c>
      <c r="B18222" t="s">
        <v>21724</v>
      </c>
      <c r="C18222" t="s">
        <v>2541</v>
      </c>
      <c r="D18222" s="254">
        <v>33.46</v>
      </c>
      <c r="E18222"/>
      <c r="F18222"/>
      <c r="G18222"/>
      <c r="H18222"/>
      <c r="I18222" s="489"/>
      <c r="J18222" s="1362"/>
      <c r="K18222" s="1362"/>
      <c r="L18222" s="1362"/>
    </row>
    <row r="18223" spans="1:12" x14ac:dyDescent="0.25">
      <c r="A18223">
        <v>2674</v>
      </c>
      <c r="B18223" t="s">
        <v>21725</v>
      </c>
      <c r="C18223" t="s">
        <v>2541</v>
      </c>
      <c r="D18223" s="254">
        <v>4.8899999999999997</v>
      </c>
      <c r="E18223"/>
      <c r="F18223"/>
      <c r="G18223"/>
      <c r="H18223"/>
      <c r="I18223" s="489"/>
      <c r="J18223" s="1362"/>
      <c r="K18223" s="1362"/>
      <c r="L18223" s="1362"/>
    </row>
    <row r="18224" spans="1:12" x14ac:dyDescent="0.25">
      <c r="A18224">
        <v>2683</v>
      </c>
      <c r="B18224" t="s">
        <v>21726</v>
      </c>
      <c r="C18224" t="s">
        <v>2541</v>
      </c>
      <c r="D18224" s="254">
        <v>52.72</v>
      </c>
      <c r="E18224"/>
      <c r="F18224"/>
      <c r="G18224"/>
      <c r="H18224"/>
      <c r="I18224" s="489"/>
      <c r="J18224" s="1362"/>
      <c r="K18224" s="1362"/>
      <c r="L18224" s="1362"/>
    </row>
    <row r="18225" spans="1:12" x14ac:dyDescent="0.25">
      <c r="A18225">
        <v>2676</v>
      </c>
      <c r="B18225" t="s">
        <v>21727</v>
      </c>
      <c r="C18225" t="s">
        <v>2541</v>
      </c>
      <c r="D18225" s="254">
        <v>2.2799999999999998</v>
      </c>
      <c r="E18225"/>
      <c r="F18225"/>
      <c r="G18225"/>
      <c r="H18225"/>
      <c r="I18225" s="489"/>
      <c r="J18225" s="1362"/>
      <c r="K18225" s="1362"/>
      <c r="L18225" s="1362"/>
    </row>
    <row r="18226" spans="1:12" x14ac:dyDescent="0.25">
      <c r="A18226">
        <v>2678</v>
      </c>
      <c r="B18226" t="s">
        <v>21728</v>
      </c>
      <c r="C18226" t="s">
        <v>2541</v>
      </c>
      <c r="D18226" s="254">
        <v>2.86</v>
      </c>
      <c r="E18226"/>
      <c r="F18226"/>
      <c r="G18226"/>
      <c r="H18226"/>
      <c r="I18226" s="489"/>
      <c r="J18226" s="1362"/>
      <c r="K18226" s="1362"/>
      <c r="L18226" s="1362"/>
    </row>
    <row r="18227" spans="1:12" x14ac:dyDescent="0.25">
      <c r="A18227">
        <v>2679</v>
      </c>
      <c r="B18227" t="s">
        <v>21729</v>
      </c>
      <c r="C18227" t="s">
        <v>2541</v>
      </c>
      <c r="D18227" s="254">
        <v>4.41</v>
      </c>
      <c r="E18227"/>
      <c r="F18227"/>
      <c r="G18227"/>
      <c r="H18227"/>
      <c r="I18227" s="489"/>
      <c r="J18227" s="1362"/>
      <c r="K18227" s="1362"/>
      <c r="L18227" s="1362"/>
    </row>
    <row r="18228" spans="1:12" x14ac:dyDescent="0.25">
      <c r="A18228">
        <v>12070</v>
      </c>
      <c r="B18228" t="s">
        <v>21730</v>
      </c>
      <c r="C18228" t="s">
        <v>2541</v>
      </c>
      <c r="D18228" s="254">
        <v>6.14</v>
      </c>
      <c r="E18228"/>
      <c r="F18228"/>
      <c r="G18228"/>
      <c r="H18228"/>
      <c r="I18228" s="489"/>
      <c r="J18228" s="1362"/>
      <c r="K18228" s="1362"/>
      <c r="L18228" s="1362"/>
    </row>
    <row r="18229" spans="1:12" x14ac:dyDescent="0.25">
      <c r="A18229">
        <v>2675</v>
      </c>
      <c r="B18229" t="s">
        <v>21731</v>
      </c>
      <c r="C18229" t="s">
        <v>2541</v>
      </c>
      <c r="D18229" s="254">
        <v>7.98</v>
      </c>
      <c r="E18229"/>
      <c r="F18229"/>
      <c r="G18229"/>
      <c r="H18229"/>
      <c r="I18229" s="489"/>
      <c r="J18229" s="1362"/>
      <c r="K18229" s="1362"/>
      <c r="L18229" s="1362"/>
    </row>
    <row r="18230" spans="1:12" x14ac:dyDescent="0.25">
      <c r="A18230">
        <v>12067</v>
      </c>
      <c r="B18230" t="s">
        <v>21732</v>
      </c>
      <c r="C18230" t="s">
        <v>2541</v>
      </c>
      <c r="D18230" s="254">
        <v>10.83</v>
      </c>
      <c r="E18230"/>
      <c r="F18230"/>
      <c r="G18230"/>
      <c r="H18230"/>
      <c r="I18230" s="489"/>
      <c r="J18230" s="1362"/>
      <c r="K18230" s="1362"/>
      <c r="L18230" s="1362"/>
    </row>
    <row r="18231" spans="1:12" x14ac:dyDescent="0.25">
      <c r="A18231">
        <v>21136</v>
      </c>
      <c r="B18231" t="s">
        <v>21733</v>
      </c>
      <c r="C18231" t="s">
        <v>2541</v>
      </c>
      <c r="D18231" s="254">
        <v>17.73</v>
      </c>
      <c r="E18231"/>
      <c r="F18231"/>
      <c r="G18231"/>
      <c r="H18231"/>
      <c r="I18231" s="489"/>
      <c r="J18231" s="1362"/>
      <c r="K18231" s="1362"/>
      <c r="L18231" s="1362"/>
    </row>
    <row r="18232" spans="1:12" x14ac:dyDescent="0.25">
      <c r="A18232">
        <v>21128</v>
      </c>
      <c r="B18232" t="s">
        <v>21734</v>
      </c>
      <c r="C18232" t="s">
        <v>2541</v>
      </c>
      <c r="D18232" s="254">
        <v>13.72</v>
      </c>
      <c r="E18232"/>
      <c r="F18232"/>
      <c r="G18232"/>
      <c r="H18232"/>
      <c r="I18232" s="489"/>
      <c r="J18232" s="1362"/>
      <c r="K18232" s="1362"/>
      <c r="L18232" s="1362"/>
    </row>
    <row r="18233" spans="1:12" x14ac:dyDescent="0.25">
      <c r="A18233">
        <v>21130</v>
      </c>
      <c r="B18233" t="s">
        <v>21735</v>
      </c>
      <c r="C18233" t="s">
        <v>2541</v>
      </c>
      <c r="D18233" s="254">
        <v>34.65</v>
      </c>
      <c r="E18233"/>
      <c r="F18233"/>
      <c r="G18233"/>
      <c r="H18233"/>
      <c r="I18233" s="489"/>
      <c r="J18233" s="1362"/>
      <c r="K18233" s="1362"/>
      <c r="L18233" s="1362"/>
    </row>
    <row r="18234" spans="1:12" x14ac:dyDescent="0.25">
      <c r="A18234">
        <v>21135</v>
      </c>
      <c r="B18234" t="s">
        <v>21736</v>
      </c>
      <c r="C18234" t="s">
        <v>2541</v>
      </c>
      <c r="D18234" s="254">
        <v>34.11</v>
      </c>
      <c r="E18234"/>
      <c r="F18234"/>
      <c r="G18234"/>
      <c r="H18234"/>
      <c r="I18234" s="489"/>
      <c r="J18234" s="1362"/>
      <c r="K18234" s="1362"/>
      <c r="L18234" s="1362"/>
    </row>
    <row r="18235" spans="1:12" x14ac:dyDescent="0.25">
      <c r="A18235">
        <v>40401</v>
      </c>
      <c r="B18235" t="s">
        <v>21737</v>
      </c>
      <c r="C18235" t="s">
        <v>2541</v>
      </c>
      <c r="D18235" s="254">
        <v>2.77</v>
      </c>
      <c r="E18235"/>
      <c r="F18235"/>
      <c r="G18235"/>
      <c r="H18235"/>
      <c r="I18235" s="489"/>
      <c r="J18235" s="1362"/>
      <c r="K18235" s="1362"/>
      <c r="L18235" s="1362"/>
    </row>
    <row r="18236" spans="1:12" x14ac:dyDescent="0.25">
      <c r="A18236">
        <v>40402</v>
      </c>
      <c r="B18236" t="s">
        <v>21738</v>
      </c>
      <c r="C18236" t="s">
        <v>2541</v>
      </c>
      <c r="D18236" s="254">
        <v>3.55</v>
      </c>
      <c r="E18236"/>
      <c r="F18236"/>
      <c r="G18236"/>
      <c r="H18236"/>
      <c r="I18236" s="489"/>
      <c r="J18236" s="1362"/>
      <c r="K18236" s="1362"/>
      <c r="L18236" s="1362"/>
    </row>
    <row r="18237" spans="1:12" x14ac:dyDescent="0.25">
      <c r="A18237">
        <v>40400</v>
      </c>
      <c r="B18237" t="s">
        <v>21739</v>
      </c>
      <c r="C18237" t="s">
        <v>2541</v>
      </c>
      <c r="D18237" s="254">
        <v>1.88</v>
      </c>
      <c r="E18237"/>
      <c r="F18237"/>
      <c r="G18237"/>
      <c r="H18237"/>
      <c r="I18237" s="489"/>
      <c r="J18237" s="1362"/>
      <c r="K18237" s="1362"/>
      <c r="L18237" s="1362"/>
    </row>
    <row r="18238" spans="1:12" x14ac:dyDescent="0.25">
      <c r="A18238">
        <v>2504</v>
      </c>
      <c r="B18238" t="s">
        <v>21740</v>
      </c>
      <c r="C18238" t="s">
        <v>2541</v>
      </c>
      <c r="D18238" s="254">
        <v>15.22</v>
      </c>
      <c r="E18238"/>
      <c r="F18238"/>
      <c r="G18238"/>
      <c r="H18238"/>
      <c r="I18238" s="489"/>
      <c r="J18238" s="1362"/>
      <c r="K18238" s="1362"/>
      <c r="L18238" s="1362"/>
    </row>
    <row r="18239" spans="1:12" x14ac:dyDescent="0.25">
      <c r="A18239">
        <v>2501</v>
      </c>
      <c r="B18239" t="s">
        <v>21741</v>
      </c>
      <c r="C18239" t="s">
        <v>2541</v>
      </c>
      <c r="D18239" s="254">
        <v>19.96</v>
      </c>
      <c r="E18239"/>
      <c r="F18239"/>
      <c r="G18239"/>
      <c r="H18239"/>
      <c r="I18239" s="489"/>
      <c r="J18239" s="1362"/>
      <c r="K18239" s="1362"/>
      <c r="L18239" s="1362"/>
    </row>
    <row r="18240" spans="1:12" x14ac:dyDescent="0.25">
      <c r="A18240">
        <v>2502</v>
      </c>
      <c r="B18240" t="s">
        <v>21742</v>
      </c>
      <c r="C18240" t="s">
        <v>2541</v>
      </c>
      <c r="D18240" s="254">
        <v>30.12</v>
      </c>
      <c r="E18240"/>
      <c r="F18240"/>
      <c r="G18240"/>
      <c r="H18240"/>
      <c r="I18240" s="489"/>
      <c r="J18240" s="1362"/>
      <c r="K18240" s="1362"/>
      <c r="L18240" s="1362"/>
    </row>
    <row r="18241" spans="1:12" x14ac:dyDescent="0.25">
      <c r="A18241">
        <v>2503</v>
      </c>
      <c r="B18241" t="s">
        <v>21743</v>
      </c>
      <c r="C18241" t="s">
        <v>2541</v>
      </c>
      <c r="D18241" s="254">
        <v>38.770000000000003</v>
      </c>
      <c r="E18241"/>
      <c r="F18241"/>
      <c r="G18241"/>
      <c r="H18241"/>
      <c r="I18241" s="489"/>
      <c r="J18241" s="1362"/>
      <c r="K18241" s="1362"/>
      <c r="L18241" s="1362"/>
    </row>
    <row r="18242" spans="1:12" x14ac:dyDescent="0.25">
      <c r="A18242">
        <v>2500</v>
      </c>
      <c r="B18242" t="s">
        <v>21744</v>
      </c>
      <c r="C18242" t="s">
        <v>2541</v>
      </c>
      <c r="D18242" s="254">
        <v>51.64</v>
      </c>
      <c r="E18242"/>
      <c r="F18242"/>
      <c r="G18242"/>
      <c r="H18242"/>
      <c r="I18242" s="489"/>
      <c r="J18242" s="1362"/>
      <c r="K18242" s="1362"/>
      <c r="L18242" s="1362"/>
    </row>
    <row r="18243" spans="1:12" x14ac:dyDescent="0.25">
      <c r="A18243">
        <v>2505</v>
      </c>
      <c r="B18243" t="s">
        <v>21745</v>
      </c>
      <c r="C18243" t="s">
        <v>2541</v>
      </c>
      <c r="D18243" s="254">
        <v>80.48</v>
      </c>
      <c r="E18243"/>
      <c r="F18243"/>
      <c r="G18243"/>
      <c r="H18243"/>
      <c r="I18243" s="489"/>
      <c r="J18243" s="1362"/>
      <c r="K18243" s="1362"/>
      <c r="L18243" s="1362"/>
    </row>
    <row r="18244" spans="1:12" x14ac:dyDescent="0.25">
      <c r="A18244">
        <v>12056</v>
      </c>
      <c r="B18244" t="s">
        <v>21746</v>
      </c>
      <c r="C18244" t="s">
        <v>2541</v>
      </c>
      <c r="D18244" s="254">
        <v>32.520000000000003</v>
      </c>
      <c r="E18244"/>
      <c r="F18244"/>
      <c r="G18244"/>
      <c r="H18244"/>
      <c r="I18244" s="489"/>
      <c r="J18244" s="1362"/>
      <c r="K18244" s="1362"/>
      <c r="L18244" s="1362"/>
    </row>
    <row r="18245" spans="1:12" x14ac:dyDescent="0.25">
      <c r="A18245">
        <v>12057</v>
      </c>
      <c r="B18245" t="s">
        <v>21747</v>
      </c>
      <c r="C18245" t="s">
        <v>2541</v>
      </c>
      <c r="D18245" s="254">
        <v>27.62</v>
      </c>
      <c r="E18245"/>
      <c r="F18245"/>
      <c r="G18245"/>
      <c r="H18245"/>
      <c r="I18245" s="489"/>
      <c r="J18245" s="1362"/>
      <c r="K18245" s="1362"/>
      <c r="L18245" s="1362"/>
    </row>
    <row r="18246" spans="1:12" x14ac:dyDescent="0.25">
      <c r="A18246">
        <v>12059</v>
      </c>
      <c r="B18246" t="s">
        <v>21748</v>
      </c>
      <c r="C18246" t="s">
        <v>2541</v>
      </c>
      <c r="D18246" s="254">
        <v>9.69</v>
      </c>
      <c r="E18246"/>
      <c r="F18246"/>
      <c r="G18246"/>
      <c r="H18246"/>
      <c r="I18246" s="489"/>
      <c r="J18246" s="1362"/>
      <c r="K18246" s="1362"/>
      <c r="L18246" s="1362"/>
    </row>
    <row r="18247" spans="1:12" x14ac:dyDescent="0.25">
      <c r="A18247">
        <v>12058</v>
      </c>
      <c r="B18247" t="s">
        <v>21749</v>
      </c>
      <c r="C18247" t="s">
        <v>2541</v>
      </c>
      <c r="D18247" s="254">
        <v>17.22</v>
      </c>
      <c r="E18247"/>
      <c r="F18247"/>
      <c r="G18247"/>
      <c r="H18247"/>
      <c r="I18247" s="489"/>
      <c r="J18247" s="1362"/>
      <c r="K18247" s="1362"/>
      <c r="L18247" s="1362"/>
    </row>
    <row r="18248" spans="1:12" x14ac:dyDescent="0.25">
      <c r="A18248">
        <v>12060</v>
      </c>
      <c r="B18248" t="s">
        <v>21750</v>
      </c>
      <c r="C18248" t="s">
        <v>2541</v>
      </c>
      <c r="D18248" s="254">
        <v>71.760000000000005</v>
      </c>
      <c r="E18248"/>
      <c r="F18248"/>
      <c r="G18248"/>
      <c r="H18248"/>
      <c r="I18248" s="489"/>
      <c r="J18248" s="1362"/>
      <c r="K18248" s="1362"/>
      <c r="L18248" s="1362"/>
    </row>
    <row r="18249" spans="1:12" x14ac:dyDescent="0.25">
      <c r="A18249">
        <v>12061</v>
      </c>
      <c r="B18249" t="s">
        <v>21751</v>
      </c>
      <c r="C18249" t="s">
        <v>2541</v>
      </c>
      <c r="D18249" s="254">
        <v>43.82</v>
      </c>
      <c r="E18249"/>
      <c r="F18249"/>
      <c r="G18249"/>
      <c r="H18249"/>
      <c r="I18249" s="489"/>
      <c r="J18249" s="1362"/>
      <c r="K18249" s="1362"/>
      <c r="L18249" s="1362"/>
    </row>
    <row r="18250" spans="1:12" x14ac:dyDescent="0.25">
      <c r="A18250">
        <v>12062</v>
      </c>
      <c r="B18250" t="s">
        <v>21752</v>
      </c>
      <c r="C18250" t="s">
        <v>2541</v>
      </c>
      <c r="D18250" s="254">
        <v>80.81</v>
      </c>
      <c r="E18250"/>
      <c r="F18250"/>
      <c r="G18250"/>
      <c r="H18250"/>
      <c r="I18250" s="489"/>
      <c r="J18250" s="1362"/>
      <c r="K18250" s="1362"/>
      <c r="L18250" s="1362"/>
    </row>
    <row r="18251" spans="1:12" x14ac:dyDescent="0.25">
      <c r="A18251">
        <v>21137</v>
      </c>
      <c r="B18251" t="s">
        <v>21753</v>
      </c>
      <c r="C18251" t="s">
        <v>2541</v>
      </c>
      <c r="D18251" s="254">
        <v>14.04</v>
      </c>
      <c r="E18251"/>
      <c r="F18251"/>
      <c r="G18251"/>
      <c r="H18251"/>
      <c r="I18251" s="489"/>
      <c r="J18251" s="1362"/>
      <c r="K18251" s="1362"/>
      <c r="L18251" s="1362"/>
    </row>
    <row r="18252" spans="1:12" x14ac:dyDescent="0.25">
      <c r="A18252">
        <v>2687</v>
      </c>
      <c r="B18252" t="s">
        <v>21754</v>
      </c>
      <c r="C18252" t="s">
        <v>2541</v>
      </c>
      <c r="D18252" s="254">
        <v>1.99</v>
      </c>
      <c r="E18252"/>
      <c r="F18252"/>
      <c r="G18252"/>
      <c r="H18252"/>
      <c r="I18252" s="489"/>
      <c r="J18252" s="1362"/>
      <c r="K18252" s="1362"/>
      <c r="L18252" s="1362"/>
    </row>
    <row r="18253" spans="1:12" x14ac:dyDescent="0.25">
      <c r="A18253">
        <v>2689</v>
      </c>
      <c r="B18253" t="s">
        <v>21755</v>
      </c>
      <c r="C18253" t="s">
        <v>2541</v>
      </c>
      <c r="D18253" s="254">
        <v>2.37</v>
      </c>
      <c r="E18253"/>
      <c r="F18253"/>
      <c r="G18253"/>
      <c r="H18253"/>
      <c r="I18253" s="489"/>
      <c r="J18253" s="1362"/>
      <c r="K18253" s="1362"/>
      <c r="L18253" s="1362"/>
    </row>
    <row r="18254" spans="1:12" x14ac:dyDescent="0.25">
      <c r="A18254">
        <v>2688</v>
      </c>
      <c r="B18254" t="s">
        <v>21756</v>
      </c>
      <c r="C18254" t="s">
        <v>2541</v>
      </c>
      <c r="D18254" s="254">
        <v>2.57</v>
      </c>
      <c r="E18254"/>
      <c r="F18254"/>
      <c r="G18254"/>
      <c r="H18254"/>
      <c r="I18254" s="489"/>
      <c r="J18254" s="1362"/>
      <c r="K18254" s="1362"/>
      <c r="L18254" s="1362"/>
    </row>
    <row r="18255" spans="1:12" x14ac:dyDescent="0.25">
      <c r="A18255">
        <v>2690</v>
      </c>
      <c r="B18255" t="s">
        <v>21757</v>
      </c>
      <c r="C18255" t="s">
        <v>2541</v>
      </c>
      <c r="D18255" s="254">
        <v>4.4000000000000004</v>
      </c>
      <c r="E18255"/>
      <c r="F18255"/>
      <c r="G18255"/>
      <c r="H18255"/>
      <c r="I18255" s="489"/>
      <c r="J18255" s="1362"/>
      <c r="K18255" s="1362"/>
      <c r="L18255" s="1362"/>
    </row>
    <row r="18256" spans="1:12" x14ac:dyDescent="0.25">
      <c r="A18256">
        <v>39243</v>
      </c>
      <c r="B18256" t="s">
        <v>21758</v>
      </c>
      <c r="C18256" t="s">
        <v>2541</v>
      </c>
      <c r="D18256" s="254">
        <v>2.9</v>
      </c>
      <c r="E18256"/>
      <c r="F18256"/>
      <c r="G18256"/>
      <c r="H18256"/>
      <c r="I18256" s="489"/>
      <c r="J18256" s="1362"/>
      <c r="K18256" s="1362"/>
      <c r="L18256" s="1362"/>
    </row>
    <row r="18257" spans="1:12" x14ac:dyDescent="0.25">
      <c r="A18257">
        <v>39244</v>
      </c>
      <c r="B18257" t="s">
        <v>21759</v>
      </c>
      <c r="C18257" t="s">
        <v>2541</v>
      </c>
      <c r="D18257" s="254">
        <v>3.92</v>
      </c>
      <c r="E18257"/>
      <c r="F18257"/>
      <c r="G18257"/>
      <c r="H18257"/>
      <c r="I18257" s="489"/>
      <c r="J18257" s="1362"/>
      <c r="K18257" s="1362"/>
      <c r="L18257" s="1362"/>
    </row>
    <row r="18258" spans="1:12" x14ac:dyDescent="0.25">
      <c r="A18258">
        <v>39245</v>
      </c>
      <c r="B18258" t="s">
        <v>21760</v>
      </c>
      <c r="C18258" t="s">
        <v>2541</v>
      </c>
      <c r="D18258" s="254">
        <v>7.54</v>
      </c>
      <c r="E18258"/>
      <c r="F18258"/>
      <c r="G18258"/>
      <c r="H18258"/>
      <c r="I18258" s="489"/>
      <c r="J18258" s="1362"/>
      <c r="K18258" s="1362"/>
      <c r="L18258" s="1362"/>
    </row>
    <row r="18259" spans="1:12" x14ac:dyDescent="0.25">
      <c r="A18259">
        <v>39254</v>
      </c>
      <c r="B18259" t="s">
        <v>21761</v>
      </c>
      <c r="C18259" t="s">
        <v>2541</v>
      </c>
      <c r="D18259" s="254">
        <v>11.29</v>
      </c>
      <c r="E18259"/>
      <c r="F18259"/>
      <c r="G18259"/>
      <c r="H18259"/>
      <c r="I18259" s="489"/>
      <c r="J18259" s="1362"/>
      <c r="K18259" s="1362"/>
      <c r="L18259" s="1362"/>
    </row>
    <row r="18260" spans="1:12" x14ac:dyDescent="0.25">
      <c r="A18260">
        <v>39255</v>
      </c>
      <c r="B18260" t="s">
        <v>21762</v>
      </c>
      <c r="C18260" t="s">
        <v>2541</v>
      </c>
      <c r="D18260" s="254">
        <v>20.88</v>
      </c>
      <c r="E18260"/>
      <c r="F18260"/>
      <c r="G18260"/>
      <c r="H18260"/>
      <c r="I18260" s="489"/>
      <c r="J18260" s="1362"/>
      <c r="K18260" s="1362"/>
      <c r="L18260" s="1362"/>
    </row>
    <row r="18261" spans="1:12" x14ac:dyDescent="0.25">
      <c r="A18261">
        <v>39253</v>
      </c>
      <c r="B18261" t="s">
        <v>21763</v>
      </c>
      <c r="C18261" t="s">
        <v>2541</v>
      </c>
      <c r="D18261" s="254">
        <v>14.38</v>
      </c>
      <c r="E18261"/>
      <c r="F18261"/>
      <c r="G18261"/>
      <c r="H18261"/>
      <c r="I18261" s="489"/>
      <c r="J18261" s="1362"/>
      <c r="K18261" s="1362"/>
      <c r="L18261" s="1362"/>
    </row>
    <row r="18262" spans="1:12" x14ac:dyDescent="0.25">
      <c r="A18262">
        <v>39246</v>
      </c>
      <c r="B18262" t="s">
        <v>21764</v>
      </c>
      <c r="C18262" t="s">
        <v>2541</v>
      </c>
      <c r="D18262" s="254">
        <v>4.8099999999999996</v>
      </c>
      <c r="E18262"/>
      <c r="F18262"/>
      <c r="G18262"/>
      <c r="H18262"/>
      <c r="I18262" s="489"/>
      <c r="J18262" s="1362"/>
      <c r="K18262" s="1362"/>
      <c r="L18262" s="1362"/>
    </row>
    <row r="18263" spans="1:12" x14ac:dyDescent="0.25">
      <c r="A18263">
        <v>39247</v>
      </c>
      <c r="B18263" t="s">
        <v>21765</v>
      </c>
      <c r="C18263" t="s">
        <v>2541</v>
      </c>
      <c r="D18263" s="254">
        <v>4.1900000000000004</v>
      </c>
      <c r="E18263"/>
      <c r="F18263"/>
      <c r="G18263"/>
      <c r="H18263"/>
      <c r="I18263" s="489"/>
      <c r="J18263" s="1362"/>
      <c r="K18263" s="1362"/>
      <c r="L18263" s="1362"/>
    </row>
    <row r="18264" spans="1:12" x14ac:dyDescent="0.25">
      <c r="A18264">
        <v>2446</v>
      </c>
      <c r="B18264" t="s">
        <v>21766</v>
      </c>
      <c r="C18264" t="s">
        <v>2541</v>
      </c>
      <c r="D18264" s="254">
        <v>6.91</v>
      </c>
      <c r="E18264"/>
      <c r="F18264"/>
      <c r="G18264"/>
      <c r="H18264"/>
      <c r="I18264" s="489"/>
      <c r="J18264" s="1362"/>
      <c r="K18264" s="1362"/>
      <c r="L18264" s="1362"/>
    </row>
    <row r="18265" spans="1:12" x14ac:dyDescent="0.25">
      <c r="A18265">
        <v>2442</v>
      </c>
      <c r="B18265" t="s">
        <v>21767</v>
      </c>
      <c r="C18265" t="s">
        <v>2541</v>
      </c>
      <c r="D18265" s="254">
        <v>9.68</v>
      </c>
      <c r="E18265"/>
      <c r="F18265"/>
      <c r="G18265"/>
      <c r="H18265"/>
      <c r="I18265" s="489"/>
      <c r="J18265" s="1362"/>
      <c r="K18265" s="1362"/>
      <c r="L18265" s="1362"/>
    </row>
    <row r="18266" spans="1:12" x14ac:dyDescent="0.25">
      <c r="A18266">
        <v>39248</v>
      </c>
      <c r="B18266" t="s">
        <v>21768</v>
      </c>
      <c r="C18266" t="s">
        <v>2541</v>
      </c>
      <c r="D18266" s="254">
        <v>13.49</v>
      </c>
      <c r="E18266"/>
      <c r="F18266"/>
      <c r="G18266"/>
      <c r="H18266"/>
      <c r="I18266" s="489"/>
      <c r="J18266" s="1362"/>
      <c r="K18266" s="1362"/>
      <c r="L18266" s="1362"/>
    </row>
    <row r="18267" spans="1:12" x14ac:dyDescent="0.25">
      <c r="A18267">
        <v>2438</v>
      </c>
      <c r="B18267" t="s">
        <v>21769</v>
      </c>
      <c r="C18267" t="s">
        <v>2538</v>
      </c>
      <c r="D18267" s="254">
        <v>35.76</v>
      </c>
      <c r="E18267"/>
      <c r="F18267"/>
      <c r="G18267"/>
      <c r="H18267"/>
      <c r="I18267" s="489"/>
      <c r="J18267" s="1362"/>
      <c r="K18267" s="1362"/>
      <c r="L18267" s="1362"/>
    </row>
    <row r="18268" spans="1:12" x14ac:dyDescent="0.25">
      <c r="A18268">
        <v>40922</v>
      </c>
      <c r="B18268" t="s">
        <v>21770</v>
      </c>
      <c r="C18268" t="s">
        <v>2544</v>
      </c>
      <c r="D18268" s="254">
        <v>6311.01</v>
      </c>
      <c r="E18268"/>
      <c r="F18268"/>
      <c r="G18268"/>
      <c r="H18268"/>
      <c r="I18268" s="489"/>
      <c r="J18268" s="1362"/>
      <c r="K18268" s="1362"/>
      <c r="L18268" s="1362"/>
    </row>
    <row r="18269" spans="1:12" x14ac:dyDescent="0.25">
      <c r="A18269">
        <v>36486</v>
      </c>
      <c r="B18269" t="s">
        <v>21771</v>
      </c>
      <c r="C18269" t="s">
        <v>2537</v>
      </c>
      <c r="D18269" s="254">
        <v>69311.03</v>
      </c>
      <c r="E18269"/>
      <c r="F18269"/>
      <c r="G18269"/>
      <c r="H18269"/>
      <c r="I18269" s="489"/>
      <c r="J18269" s="1362"/>
      <c r="K18269" s="1362"/>
      <c r="L18269" s="1362"/>
    </row>
    <row r="18270" spans="1:12" x14ac:dyDescent="0.25">
      <c r="A18270">
        <v>37777</v>
      </c>
      <c r="B18270" t="s">
        <v>21772</v>
      </c>
      <c r="C18270" t="s">
        <v>2537</v>
      </c>
      <c r="D18270" s="254">
        <v>326315.02</v>
      </c>
      <c r="E18270"/>
      <c r="F18270"/>
      <c r="G18270"/>
      <c r="H18270"/>
      <c r="I18270" s="489"/>
      <c r="J18270" s="1362"/>
      <c r="K18270" s="1362"/>
      <c r="L18270" s="1362"/>
    </row>
    <row r="18271" spans="1:12" x14ac:dyDescent="0.25">
      <c r="A18271">
        <v>12624</v>
      </c>
      <c r="B18271" t="s">
        <v>21773</v>
      </c>
      <c r="C18271" t="s">
        <v>2537</v>
      </c>
      <c r="D18271" s="254">
        <v>13.62</v>
      </c>
      <c r="E18271"/>
      <c r="F18271"/>
      <c r="G18271"/>
      <c r="H18271"/>
      <c r="I18271" s="489"/>
      <c r="J18271" s="1362"/>
      <c r="K18271" s="1362"/>
      <c r="L18271" s="1362"/>
    </row>
    <row r="18272" spans="1:12" x14ac:dyDescent="0.25">
      <c r="A18272">
        <v>517</v>
      </c>
      <c r="B18272" t="s">
        <v>21774</v>
      </c>
      <c r="C18272" t="s">
        <v>2543</v>
      </c>
      <c r="D18272" s="254">
        <v>5.89</v>
      </c>
      <c r="E18272"/>
      <c r="F18272"/>
      <c r="G18272"/>
      <c r="H18272"/>
      <c r="I18272" s="489"/>
      <c r="J18272" s="1362"/>
      <c r="K18272" s="1362"/>
      <c r="L18272" s="1362"/>
    </row>
    <row r="18273" spans="1:12" x14ac:dyDescent="0.25">
      <c r="A18273">
        <v>37534</v>
      </c>
      <c r="B18273" t="s">
        <v>21775</v>
      </c>
      <c r="C18273" t="s">
        <v>2542</v>
      </c>
      <c r="D18273" s="254">
        <v>21.97</v>
      </c>
      <c r="E18273"/>
      <c r="F18273"/>
      <c r="G18273"/>
      <c r="H18273"/>
      <c r="I18273" s="489"/>
      <c r="J18273" s="1362"/>
      <c r="K18273" s="1362"/>
      <c r="L18273" s="1362"/>
    </row>
    <row r="18274" spans="1:12" x14ac:dyDescent="0.25">
      <c r="A18274">
        <v>37535</v>
      </c>
      <c r="B18274" t="s">
        <v>21776</v>
      </c>
      <c r="C18274" t="s">
        <v>2542</v>
      </c>
      <c r="D18274" s="254">
        <v>21.97</v>
      </c>
      <c r="E18274"/>
      <c r="F18274"/>
      <c r="G18274"/>
      <c r="H18274"/>
      <c r="I18274" s="489"/>
      <c r="J18274" s="1362"/>
      <c r="K18274" s="1362"/>
      <c r="L18274" s="1362"/>
    </row>
    <row r="18275" spans="1:12" x14ac:dyDescent="0.25">
      <c r="A18275">
        <v>37533</v>
      </c>
      <c r="B18275" t="s">
        <v>21777</v>
      </c>
      <c r="C18275" t="s">
        <v>2542</v>
      </c>
      <c r="D18275" s="254">
        <v>21.97</v>
      </c>
      <c r="E18275"/>
      <c r="F18275"/>
      <c r="G18275"/>
      <c r="H18275"/>
      <c r="I18275" s="489"/>
      <c r="J18275" s="1362"/>
      <c r="K18275" s="1362"/>
      <c r="L18275" s="1362"/>
    </row>
    <row r="18276" spans="1:12" x14ac:dyDescent="0.25">
      <c r="A18276">
        <v>37537</v>
      </c>
      <c r="B18276" t="s">
        <v>21778</v>
      </c>
      <c r="C18276" t="s">
        <v>2542</v>
      </c>
      <c r="D18276" s="254">
        <v>16.63</v>
      </c>
      <c r="E18276"/>
      <c r="F18276"/>
      <c r="G18276"/>
      <c r="H18276"/>
      <c r="I18276" s="489"/>
      <c r="J18276" s="1362"/>
      <c r="K18276" s="1362"/>
      <c r="L18276" s="1362"/>
    </row>
    <row r="18277" spans="1:12" x14ac:dyDescent="0.25">
      <c r="A18277">
        <v>37536</v>
      </c>
      <c r="B18277" t="s">
        <v>21779</v>
      </c>
      <c r="C18277" t="s">
        <v>2542</v>
      </c>
      <c r="D18277" s="254">
        <v>16.63</v>
      </c>
      <c r="E18277"/>
      <c r="F18277"/>
      <c r="G18277"/>
      <c r="H18277"/>
      <c r="I18277" s="489"/>
      <c r="J18277" s="1362"/>
      <c r="K18277" s="1362"/>
      <c r="L18277" s="1362"/>
    </row>
    <row r="18278" spans="1:12" x14ac:dyDescent="0.25">
      <c r="A18278">
        <v>37532</v>
      </c>
      <c r="B18278" t="s">
        <v>21780</v>
      </c>
      <c r="C18278" t="s">
        <v>2542</v>
      </c>
      <c r="D18278" s="254">
        <v>16.63</v>
      </c>
      <c r="E18278"/>
      <c r="F18278"/>
      <c r="G18278"/>
      <c r="H18278"/>
      <c r="I18278" s="489"/>
      <c r="J18278" s="1362"/>
      <c r="K18278" s="1362"/>
      <c r="L18278" s="1362"/>
    </row>
    <row r="18279" spans="1:12" x14ac:dyDescent="0.25">
      <c r="A18279">
        <v>2696</v>
      </c>
      <c r="B18279" t="s">
        <v>21781</v>
      </c>
      <c r="C18279" t="s">
        <v>2538</v>
      </c>
      <c r="D18279" s="254">
        <v>26.4</v>
      </c>
      <c r="E18279"/>
      <c r="F18279"/>
      <c r="G18279"/>
      <c r="H18279"/>
      <c r="I18279" s="489"/>
      <c r="J18279" s="1362"/>
      <c r="K18279" s="1362"/>
      <c r="L18279" s="1362"/>
    </row>
    <row r="18280" spans="1:12" x14ac:dyDescent="0.25">
      <c r="A18280">
        <v>40928</v>
      </c>
      <c r="B18280" t="s">
        <v>21782</v>
      </c>
      <c r="C18280" t="s">
        <v>2544</v>
      </c>
      <c r="D18280" s="254">
        <v>4658.93</v>
      </c>
      <c r="E18280"/>
      <c r="F18280"/>
      <c r="G18280"/>
      <c r="H18280"/>
      <c r="I18280" s="489"/>
      <c r="J18280" s="1362"/>
      <c r="K18280" s="1362"/>
      <c r="L18280" s="1362"/>
    </row>
    <row r="18281" spans="1:12" x14ac:dyDescent="0.25">
      <c r="A18281">
        <v>4083</v>
      </c>
      <c r="B18281" t="s">
        <v>21783</v>
      </c>
      <c r="C18281" t="s">
        <v>2538</v>
      </c>
      <c r="D18281" s="254">
        <v>32.54</v>
      </c>
      <c r="E18281"/>
      <c r="F18281"/>
      <c r="G18281"/>
      <c r="H18281"/>
      <c r="I18281" s="489"/>
      <c r="J18281" s="1362"/>
      <c r="K18281" s="1362"/>
      <c r="L18281" s="1362"/>
    </row>
    <row r="18282" spans="1:12" x14ac:dyDescent="0.25">
      <c r="A18282">
        <v>40818</v>
      </c>
      <c r="B18282" t="s">
        <v>21784</v>
      </c>
      <c r="C18282" t="s">
        <v>2544</v>
      </c>
      <c r="D18282" s="254">
        <v>5741.88</v>
      </c>
      <c r="E18282"/>
      <c r="F18282"/>
      <c r="G18282"/>
      <c r="H18282"/>
      <c r="I18282" s="489"/>
      <c r="J18282" s="1362"/>
      <c r="K18282" s="1362"/>
      <c r="L18282" s="1362"/>
    </row>
    <row r="18283" spans="1:12" x14ac:dyDescent="0.25">
      <c r="A18283">
        <v>43146</v>
      </c>
      <c r="B18283" t="s">
        <v>21785</v>
      </c>
      <c r="C18283" t="s">
        <v>2542</v>
      </c>
      <c r="D18283" s="254">
        <v>8.1300000000000008</v>
      </c>
      <c r="E18283"/>
      <c r="F18283"/>
      <c r="G18283"/>
      <c r="H18283"/>
      <c r="I18283" s="489"/>
      <c r="J18283" s="1362"/>
      <c r="K18283" s="1362"/>
      <c r="L18283" s="1362"/>
    </row>
    <row r="18284" spans="1:12" x14ac:dyDescent="0.25">
      <c r="A18284">
        <v>2705</v>
      </c>
      <c r="B18284" t="s">
        <v>21786</v>
      </c>
      <c r="C18284" t="s">
        <v>13524</v>
      </c>
      <c r="D18284" s="254">
        <v>0.71</v>
      </c>
      <c r="E18284"/>
      <c r="F18284"/>
      <c r="G18284"/>
      <c r="H18284"/>
      <c r="I18284" s="489"/>
      <c r="J18284" s="1362"/>
      <c r="K18284" s="1362"/>
      <c r="L18284" s="1362"/>
    </row>
    <row r="18285" spans="1:12" x14ac:dyDescent="0.25">
      <c r="A18285">
        <v>14250</v>
      </c>
      <c r="B18285" t="s">
        <v>21787</v>
      </c>
      <c r="C18285" t="s">
        <v>13524</v>
      </c>
      <c r="D18285" s="254">
        <v>0.73</v>
      </c>
      <c r="E18285"/>
      <c r="F18285"/>
      <c r="G18285"/>
      <c r="H18285"/>
      <c r="I18285" s="489"/>
      <c r="J18285" s="1362"/>
      <c r="K18285" s="1362"/>
      <c r="L18285" s="1362"/>
    </row>
    <row r="18286" spans="1:12" x14ac:dyDescent="0.25">
      <c r="A18286">
        <v>11683</v>
      </c>
      <c r="B18286" t="s">
        <v>21788</v>
      </c>
      <c r="C18286" t="s">
        <v>2537</v>
      </c>
      <c r="D18286" s="254">
        <v>50.04</v>
      </c>
      <c r="E18286"/>
      <c r="F18286"/>
      <c r="G18286"/>
      <c r="H18286"/>
      <c r="I18286" s="489"/>
      <c r="J18286" s="1362"/>
      <c r="K18286" s="1362"/>
      <c r="L18286" s="1362"/>
    </row>
    <row r="18287" spans="1:12" x14ac:dyDescent="0.25">
      <c r="A18287">
        <v>11684</v>
      </c>
      <c r="B18287" t="s">
        <v>21789</v>
      </c>
      <c r="C18287" t="s">
        <v>2537</v>
      </c>
      <c r="D18287" s="254">
        <v>54.78</v>
      </c>
      <c r="E18287"/>
      <c r="F18287"/>
      <c r="G18287"/>
      <c r="H18287"/>
      <c r="I18287" s="489"/>
      <c r="J18287" s="1362"/>
      <c r="K18287" s="1362"/>
      <c r="L18287" s="1362"/>
    </row>
    <row r="18288" spans="1:12" x14ac:dyDescent="0.25">
      <c r="A18288">
        <v>6141</v>
      </c>
      <c r="B18288" t="s">
        <v>21790</v>
      </c>
      <c r="C18288" t="s">
        <v>2537</v>
      </c>
      <c r="D18288" s="254">
        <v>5.38</v>
      </c>
      <c r="E18288"/>
      <c r="F18288"/>
      <c r="G18288"/>
      <c r="H18288"/>
      <c r="I18288" s="489"/>
      <c r="J18288" s="1362"/>
      <c r="K18288" s="1362"/>
      <c r="L18288" s="1362"/>
    </row>
    <row r="18289" spans="1:12" x14ac:dyDescent="0.25">
      <c r="A18289">
        <v>11681</v>
      </c>
      <c r="B18289" t="s">
        <v>21791</v>
      </c>
      <c r="C18289" t="s">
        <v>2537</v>
      </c>
      <c r="D18289" s="254">
        <v>6.79</v>
      </c>
      <c r="E18289"/>
      <c r="F18289"/>
      <c r="G18289"/>
      <c r="H18289"/>
      <c r="I18289" s="489"/>
      <c r="J18289" s="1362"/>
      <c r="K18289" s="1362"/>
      <c r="L18289" s="1362"/>
    </row>
    <row r="18290" spans="1:12" x14ac:dyDescent="0.25">
      <c r="A18290">
        <v>2706</v>
      </c>
      <c r="B18290" t="s">
        <v>21792</v>
      </c>
      <c r="C18290" t="s">
        <v>2538</v>
      </c>
      <c r="D18290" s="254">
        <v>105.67</v>
      </c>
      <c r="E18290"/>
      <c r="F18290"/>
      <c r="G18290"/>
      <c r="H18290"/>
      <c r="I18290" s="489"/>
      <c r="J18290" s="1362"/>
      <c r="K18290" s="1362"/>
      <c r="L18290" s="1362"/>
    </row>
    <row r="18291" spans="1:12" x14ac:dyDescent="0.25">
      <c r="A18291">
        <v>40811</v>
      </c>
      <c r="B18291" t="s">
        <v>21793</v>
      </c>
      <c r="C18291" t="s">
        <v>2544</v>
      </c>
      <c r="D18291" s="254">
        <v>18643.259999999998</v>
      </c>
      <c r="E18291"/>
      <c r="F18291"/>
      <c r="G18291"/>
      <c r="H18291"/>
      <c r="I18291" s="489"/>
      <c r="J18291" s="1362"/>
      <c r="K18291" s="1362"/>
      <c r="L18291" s="1362"/>
    </row>
    <row r="18292" spans="1:12" x14ac:dyDescent="0.25">
      <c r="A18292">
        <v>2707</v>
      </c>
      <c r="B18292" t="s">
        <v>21794</v>
      </c>
      <c r="C18292" t="s">
        <v>2538</v>
      </c>
      <c r="D18292" s="254">
        <v>120.27</v>
      </c>
      <c r="E18292"/>
      <c r="F18292"/>
      <c r="G18292"/>
      <c r="H18292"/>
      <c r="I18292" s="489"/>
      <c r="J18292" s="1362"/>
      <c r="K18292" s="1362"/>
      <c r="L18292" s="1362"/>
    </row>
    <row r="18293" spans="1:12" x14ac:dyDescent="0.25">
      <c r="A18293">
        <v>40813</v>
      </c>
      <c r="B18293" t="s">
        <v>21795</v>
      </c>
      <c r="C18293" t="s">
        <v>2544</v>
      </c>
      <c r="D18293" s="254">
        <v>21219.87</v>
      </c>
      <c r="E18293"/>
      <c r="F18293"/>
      <c r="G18293"/>
      <c r="H18293"/>
      <c r="I18293" s="489"/>
      <c r="J18293" s="1362"/>
      <c r="K18293" s="1362"/>
      <c r="L18293" s="1362"/>
    </row>
    <row r="18294" spans="1:12" x14ac:dyDescent="0.25">
      <c r="A18294">
        <v>2708</v>
      </c>
      <c r="B18294" t="s">
        <v>21796</v>
      </c>
      <c r="C18294" t="s">
        <v>2538</v>
      </c>
      <c r="D18294" s="254">
        <v>164.41</v>
      </c>
      <c r="E18294"/>
      <c r="F18294"/>
      <c r="G18294"/>
      <c r="H18294"/>
      <c r="I18294" s="489"/>
      <c r="J18294" s="1362"/>
      <c r="K18294" s="1362"/>
      <c r="L18294" s="1362"/>
    </row>
    <row r="18295" spans="1:12" x14ac:dyDescent="0.25">
      <c r="A18295">
        <v>40814</v>
      </c>
      <c r="B18295" t="s">
        <v>21797</v>
      </c>
      <c r="C18295" t="s">
        <v>2544</v>
      </c>
      <c r="D18295" s="254">
        <v>29006.98</v>
      </c>
      <c r="E18295"/>
      <c r="F18295"/>
      <c r="G18295"/>
      <c r="H18295"/>
      <c r="I18295" s="489"/>
      <c r="J18295" s="1362"/>
      <c r="K18295" s="1362"/>
      <c r="L18295" s="1362"/>
    </row>
    <row r="18296" spans="1:12" x14ac:dyDescent="0.25">
      <c r="A18296">
        <v>34779</v>
      </c>
      <c r="B18296" t="s">
        <v>21798</v>
      </c>
      <c r="C18296" t="s">
        <v>2538</v>
      </c>
      <c r="D18296" s="254">
        <v>107.2</v>
      </c>
      <c r="E18296"/>
      <c r="F18296"/>
      <c r="G18296"/>
      <c r="H18296"/>
      <c r="I18296" s="489"/>
      <c r="J18296" s="1362"/>
      <c r="K18296" s="1362"/>
      <c r="L18296" s="1362"/>
    </row>
    <row r="18297" spans="1:12" x14ac:dyDescent="0.25">
      <c r="A18297">
        <v>40936</v>
      </c>
      <c r="B18297" t="s">
        <v>21799</v>
      </c>
      <c r="C18297" t="s">
        <v>2544</v>
      </c>
      <c r="D18297" s="254">
        <v>18915.23</v>
      </c>
      <c r="E18297"/>
      <c r="F18297"/>
      <c r="G18297"/>
      <c r="H18297"/>
      <c r="I18297" s="489"/>
      <c r="J18297" s="1362"/>
      <c r="K18297" s="1362"/>
      <c r="L18297" s="1362"/>
    </row>
    <row r="18298" spans="1:12" x14ac:dyDescent="0.25">
      <c r="A18298">
        <v>34780</v>
      </c>
      <c r="B18298" t="s">
        <v>21800</v>
      </c>
      <c r="C18298" t="s">
        <v>2538</v>
      </c>
      <c r="D18298" s="254">
        <v>120.95</v>
      </c>
      <c r="E18298"/>
      <c r="F18298"/>
      <c r="G18298"/>
      <c r="H18298"/>
      <c r="I18298" s="489"/>
      <c r="J18298" s="1362"/>
      <c r="K18298" s="1362"/>
      <c r="L18298" s="1362"/>
    </row>
    <row r="18299" spans="1:12" x14ac:dyDescent="0.25">
      <c r="A18299">
        <v>40937</v>
      </c>
      <c r="B18299" t="s">
        <v>21801</v>
      </c>
      <c r="C18299" t="s">
        <v>2544</v>
      </c>
      <c r="D18299" s="254">
        <v>21340.11</v>
      </c>
      <c r="E18299"/>
      <c r="F18299"/>
      <c r="G18299"/>
      <c r="H18299"/>
      <c r="I18299" s="489"/>
      <c r="J18299" s="1362"/>
      <c r="K18299" s="1362"/>
      <c r="L18299" s="1362"/>
    </row>
    <row r="18300" spans="1:12" x14ac:dyDescent="0.25">
      <c r="A18300">
        <v>34782</v>
      </c>
      <c r="B18300" t="s">
        <v>21802</v>
      </c>
      <c r="C18300" t="s">
        <v>2538</v>
      </c>
      <c r="D18300" s="254">
        <v>165.75</v>
      </c>
      <c r="E18300"/>
      <c r="F18300"/>
      <c r="G18300"/>
      <c r="H18300"/>
      <c r="I18300" s="489"/>
      <c r="J18300" s="1362"/>
      <c r="K18300" s="1362"/>
      <c r="L18300" s="1362"/>
    </row>
    <row r="18301" spans="1:12" x14ac:dyDescent="0.25">
      <c r="A18301">
        <v>40938</v>
      </c>
      <c r="B18301" t="s">
        <v>21803</v>
      </c>
      <c r="C18301" t="s">
        <v>2544</v>
      </c>
      <c r="D18301" s="254">
        <v>29244.61</v>
      </c>
      <c r="E18301"/>
      <c r="F18301"/>
      <c r="G18301"/>
      <c r="H18301"/>
      <c r="I18301" s="489"/>
      <c r="J18301" s="1362"/>
      <c r="K18301" s="1362"/>
      <c r="L18301" s="1362"/>
    </row>
    <row r="18302" spans="1:12" x14ac:dyDescent="0.25">
      <c r="A18302">
        <v>34783</v>
      </c>
      <c r="B18302" t="s">
        <v>21804</v>
      </c>
      <c r="C18302" t="s">
        <v>2538</v>
      </c>
      <c r="D18302" s="254">
        <v>113.75</v>
      </c>
      <c r="E18302"/>
      <c r="F18302"/>
      <c r="G18302"/>
      <c r="H18302"/>
      <c r="I18302" s="489"/>
      <c r="J18302" s="1362"/>
      <c r="K18302" s="1362"/>
      <c r="L18302" s="1362"/>
    </row>
    <row r="18303" spans="1:12" x14ac:dyDescent="0.25">
      <c r="A18303">
        <v>40939</v>
      </c>
      <c r="B18303" t="s">
        <v>21805</v>
      </c>
      <c r="C18303" t="s">
        <v>2544</v>
      </c>
      <c r="D18303" s="254">
        <v>20071.46</v>
      </c>
      <c r="E18303"/>
      <c r="F18303"/>
      <c r="G18303"/>
      <c r="H18303"/>
      <c r="I18303" s="489"/>
      <c r="J18303" s="1362"/>
      <c r="K18303" s="1362"/>
      <c r="L18303" s="1362"/>
    </row>
    <row r="18304" spans="1:12" x14ac:dyDescent="0.25">
      <c r="A18304">
        <v>34785</v>
      </c>
      <c r="B18304" t="s">
        <v>21806</v>
      </c>
      <c r="C18304" t="s">
        <v>2538</v>
      </c>
      <c r="D18304" s="254">
        <v>107.44</v>
      </c>
      <c r="E18304"/>
      <c r="F18304"/>
      <c r="G18304"/>
      <c r="H18304"/>
      <c r="I18304" s="489"/>
      <c r="J18304" s="1362"/>
      <c r="K18304" s="1362"/>
      <c r="L18304" s="1362"/>
    </row>
    <row r="18305" spans="1:12" x14ac:dyDescent="0.25">
      <c r="A18305">
        <v>40940</v>
      </c>
      <c r="B18305" t="s">
        <v>21807</v>
      </c>
      <c r="C18305" t="s">
        <v>2544</v>
      </c>
      <c r="D18305" s="254">
        <v>18957.18</v>
      </c>
      <c r="E18305"/>
      <c r="F18305"/>
      <c r="G18305"/>
      <c r="H18305"/>
      <c r="I18305" s="489"/>
      <c r="J18305" s="1362"/>
      <c r="K18305" s="1362"/>
      <c r="L18305" s="1362"/>
    </row>
    <row r="18306" spans="1:12" x14ac:dyDescent="0.25">
      <c r="A18306">
        <v>38403</v>
      </c>
      <c r="B18306" t="s">
        <v>21808</v>
      </c>
      <c r="C18306" t="s">
        <v>2537</v>
      </c>
      <c r="D18306" s="254">
        <v>62.15</v>
      </c>
      <c r="E18306"/>
      <c r="F18306"/>
      <c r="G18306"/>
      <c r="H18306"/>
      <c r="I18306" s="489"/>
      <c r="J18306" s="1362"/>
      <c r="K18306" s="1362"/>
      <c r="L18306" s="1362"/>
    </row>
    <row r="18307" spans="1:12" x14ac:dyDescent="0.25">
      <c r="A18307">
        <v>43482</v>
      </c>
      <c r="B18307" t="s">
        <v>21809</v>
      </c>
      <c r="C18307" t="s">
        <v>2538</v>
      </c>
      <c r="D18307" s="254">
        <v>0.69</v>
      </c>
      <c r="E18307"/>
      <c r="F18307"/>
      <c r="G18307"/>
      <c r="H18307"/>
      <c r="I18307" s="489"/>
      <c r="J18307" s="1362"/>
      <c r="K18307" s="1362"/>
      <c r="L18307" s="1362"/>
    </row>
    <row r="18308" spans="1:12" x14ac:dyDescent="0.25">
      <c r="A18308">
        <v>43494</v>
      </c>
      <c r="B18308" t="s">
        <v>21810</v>
      </c>
      <c r="C18308" t="s">
        <v>2544</v>
      </c>
      <c r="D18308" s="254">
        <v>130.43</v>
      </c>
      <c r="E18308"/>
      <c r="F18308"/>
      <c r="G18308"/>
      <c r="H18308"/>
      <c r="I18308" s="489"/>
      <c r="J18308" s="1362"/>
      <c r="K18308" s="1362"/>
      <c r="L18308" s="1362"/>
    </row>
    <row r="18309" spans="1:12" x14ac:dyDescent="0.25">
      <c r="A18309">
        <v>43483</v>
      </c>
      <c r="B18309" t="s">
        <v>21811</v>
      </c>
      <c r="C18309" t="s">
        <v>2538</v>
      </c>
      <c r="D18309" s="254">
        <v>1.26</v>
      </c>
      <c r="E18309"/>
      <c r="F18309"/>
      <c r="G18309"/>
      <c r="H18309"/>
      <c r="I18309" s="489"/>
      <c r="J18309" s="1362"/>
      <c r="K18309" s="1362"/>
      <c r="L18309" s="1362"/>
    </row>
    <row r="18310" spans="1:12" x14ac:dyDescent="0.25">
      <c r="A18310">
        <v>43495</v>
      </c>
      <c r="B18310" t="s">
        <v>21812</v>
      </c>
      <c r="C18310" t="s">
        <v>2544</v>
      </c>
      <c r="D18310" s="254">
        <v>238.17</v>
      </c>
      <c r="E18310"/>
      <c r="F18310"/>
      <c r="G18310"/>
      <c r="H18310"/>
      <c r="I18310" s="489"/>
      <c r="J18310" s="1362"/>
      <c r="K18310" s="1362"/>
      <c r="L18310" s="1362"/>
    </row>
    <row r="18311" spans="1:12" x14ac:dyDescent="0.25">
      <c r="A18311">
        <v>43484</v>
      </c>
      <c r="B18311" t="s">
        <v>21813</v>
      </c>
      <c r="C18311" t="s">
        <v>2538</v>
      </c>
      <c r="D18311" s="254">
        <v>1.07</v>
      </c>
      <c r="E18311"/>
      <c r="F18311"/>
      <c r="G18311"/>
      <c r="H18311"/>
      <c r="I18311" s="489"/>
      <c r="J18311" s="1362"/>
      <c r="K18311" s="1362"/>
      <c r="L18311" s="1362"/>
    </row>
    <row r="18312" spans="1:12" x14ac:dyDescent="0.25">
      <c r="A18312">
        <v>43496</v>
      </c>
      <c r="B18312" t="s">
        <v>21814</v>
      </c>
      <c r="C18312" t="s">
        <v>2544</v>
      </c>
      <c r="D18312" s="254">
        <v>201.65</v>
      </c>
      <c r="E18312"/>
      <c r="F18312"/>
      <c r="G18312"/>
      <c r="H18312"/>
      <c r="I18312" s="489"/>
      <c r="J18312" s="1362"/>
      <c r="K18312" s="1362"/>
      <c r="L18312" s="1362"/>
    </row>
    <row r="18313" spans="1:12" x14ac:dyDescent="0.25">
      <c r="A18313">
        <v>43485</v>
      </c>
      <c r="B18313" t="s">
        <v>21815</v>
      </c>
      <c r="C18313" t="s">
        <v>2538</v>
      </c>
      <c r="D18313" s="254">
        <v>0.94</v>
      </c>
      <c r="E18313"/>
      <c r="F18313"/>
      <c r="G18313"/>
      <c r="H18313"/>
      <c r="I18313" s="489"/>
      <c r="J18313" s="1362"/>
      <c r="K18313" s="1362"/>
      <c r="L18313" s="1362"/>
    </row>
    <row r="18314" spans="1:12" x14ac:dyDescent="0.25">
      <c r="A18314">
        <v>43497</v>
      </c>
      <c r="B18314" t="s">
        <v>21816</v>
      </c>
      <c r="C18314" t="s">
        <v>2544</v>
      </c>
      <c r="D18314" s="254">
        <v>177.43</v>
      </c>
      <c r="E18314"/>
      <c r="F18314"/>
      <c r="G18314"/>
      <c r="H18314"/>
      <c r="I18314" s="489"/>
      <c r="J18314" s="1362"/>
      <c r="K18314" s="1362"/>
      <c r="L18314" s="1362"/>
    </row>
    <row r="18315" spans="1:12" x14ac:dyDescent="0.25">
      <c r="A18315">
        <v>43487</v>
      </c>
      <c r="B18315" t="s">
        <v>21817</v>
      </c>
      <c r="C18315" t="s">
        <v>2538</v>
      </c>
      <c r="D18315" s="254">
        <v>1.08</v>
      </c>
      <c r="E18315"/>
      <c r="F18315"/>
      <c r="G18315"/>
      <c r="H18315"/>
      <c r="I18315" s="489"/>
      <c r="J18315" s="1362"/>
      <c r="K18315" s="1362"/>
      <c r="L18315" s="1362"/>
    </row>
    <row r="18316" spans="1:12" x14ac:dyDescent="0.25">
      <c r="A18316">
        <v>43499</v>
      </c>
      <c r="B18316" t="s">
        <v>21818</v>
      </c>
      <c r="C18316" t="s">
        <v>2544</v>
      </c>
      <c r="D18316" s="254">
        <v>202.94</v>
      </c>
      <c r="E18316"/>
      <c r="F18316"/>
      <c r="G18316"/>
      <c r="H18316"/>
      <c r="I18316" s="489"/>
      <c r="J18316" s="1362"/>
      <c r="K18316" s="1362"/>
      <c r="L18316" s="1362"/>
    </row>
    <row r="18317" spans="1:12" x14ac:dyDescent="0.25">
      <c r="A18317">
        <v>43486</v>
      </c>
      <c r="B18317" t="s">
        <v>21819</v>
      </c>
      <c r="C18317" t="s">
        <v>2538</v>
      </c>
      <c r="D18317" s="254">
        <v>0.66</v>
      </c>
      <c r="E18317"/>
      <c r="F18317"/>
      <c r="G18317"/>
      <c r="H18317"/>
      <c r="I18317" s="489"/>
      <c r="J18317" s="1362"/>
      <c r="K18317" s="1362"/>
      <c r="L18317" s="1362"/>
    </row>
    <row r="18318" spans="1:12" x14ac:dyDescent="0.25">
      <c r="A18318">
        <v>43498</v>
      </c>
      <c r="B18318" t="s">
        <v>21820</v>
      </c>
      <c r="C18318" t="s">
        <v>2544</v>
      </c>
      <c r="D18318" s="254">
        <v>123.54</v>
      </c>
      <c r="E18318"/>
      <c r="F18318"/>
      <c r="G18318"/>
      <c r="H18318"/>
      <c r="I18318" s="489"/>
      <c r="J18318" s="1362"/>
      <c r="K18318" s="1362"/>
      <c r="L18318" s="1362"/>
    </row>
    <row r="18319" spans="1:12" x14ac:dyDescent="0.25">
      <c r="A18319">
        <v>43488</v>
      </c>
      <c r="B18319" t="s">
        <v>21821</v>
      </c>
      <c r="C18319" t="s">
        <v>2538</v>
      </c>
      <c r="D18319" s="254">
        <v>0.76</v>
      </c>
      <c r="E18319"/>
      <c r="F18319"/>
      <c r="G18319"/>
      <c r="H18319"/>
      <c r="I18319" s="489"/>
      <c r="J18319" s="1362"/>
      <c r="K18319" s="1362"/>
      <c r="L18319" s="1362"/>
    </row>
    <row r="18320" spans="1:12" x14ac:dyDescent="0.25">
      <c r="A18320">
        <v>43500</v>
      </c>
      <c r="B18320" t="s">
        <v>21822</v>
      </c>
      <c r="C18320" t="s">
        <v>2544</v>
      </c>
      <c r="D18320" s="254">
        <v>143.59</v>
      </c>
      <c r="E18320"/>
      <c r="F18320"/>
      <c r="G18320"/>
      <c r="H18320"/>
      <c r="I18320" s="489"/>
      <c r="J18320" s="1362"/>
      <c r="K18320" s="1362"/>
      <c r="L18320" s="1362"/>
    </row>
    <row r="18321" spans="1:12" x14ac:dyDescent="0.25">
      <c r="A18321">
        <v>43489</v>
      </c>
      <c r="B18321" t="s">
        <v>21823</v>
      </c>
      <c r="C18321" t="s">
        <v>2538</v>
      </c>
      <c r="D18321" s="254">
        <v>1.0900000000000001</v>
      </c>
      <c r="E18321"/>
      <c r="F18321"/>
      <c r="G18321"/>
      <c r="H18321"/>
      <c r="I18321" s="489"/>
      <c r="J18321" s="1362"/>
      <c r="K18321" s="1362"/>
      <c r="L18321" s="1362"/>
    </row>
    <row r="18322" spans="1:12" x14ac:dyDescent="0.25">
      <c r="A18322">
        <v>43501</v>
      </c>
      <c r="B18322" t="s">
        <v>21824</v>
      </c>
      <c r="C18322" t="s">
        <v>2544</v>
      </c>
      <c r="D18322" s="254">
        <v>204.95</v>
      </c>
      <c r="E18322"/>
      <c r="F18322"/>
      <c r="G18322"/>
      <c r="H18322"/>
      <c r="I18322" s="489"/>
      <c r="J18322" s="1362"/>
      <c r="K18322" s="1362"/>
      <c r="L18322" s="1362"/>
    </row>
    <row r="18323" spans="1:12" x14ac:dyDescent="0.25">
      <c r="A18323">
        <v>43490</v>
      </c>
      <c r="B18323" t="s">
        <v>21825</v>
      </c>
      <c r="C18323" t="s">
        <v>2538</v>
      </c>
      <c r="D18323" s="254">
        <v>1.5</v>
      </c>
      <c r="E18323"/>
      <c r="F18323"/>
      <c r="G18323"/>
      <c r="H18323"/>
      <c r="I18323" s="489"/>
      <c r="J18323" s="1362"/>
      <c r="K18323" s="1362"/>
      <c r="L18323" s="1362"/>
    </row>
    <row r="18324" spans="1:12" x14ac:dyDescent="0.25">
      <c r="A18324">
        <v>43502</v>
      </c>
      <c r="B18324" t="s">
        <v>21826</v>
      </c>
      <c r="C18324" t="s">
        <v>2544</v>
      </c>
      <c r="D18324" s="254">
        <v>283.14999999999998</v>
      </c>
      <c r="E18324"/>
      <c r="F18324"/>
      <c r="G18324"/>
      <c r="H18324"/>
      <c r="I18324" s="489"/>
      <c r="J18324" s="1362"/>
      <c r="K18324" s="1362"/>
      <c r="L18324" s="1362"/>
    </row>
    <row r="18325" spans="1:12" x14ac:dyDescent="0.25">
      <c r="A18325">
        <v>43491</v>
      </c>
      <c r="B18325" t="s">
        <v>21827</v>
      </c>
      <c r="C18325" t="s">
        <v>2538</v>
      </c>
      <c r="D18325" s="254">
        <v>1.1499999999999999</v>
      </c>
      <c r="E18325"/>
      <c r="F18325"/>
      <c r="G18325"/>
      <c r="H18325"/>
      <c r="I18325" s="489"/>
      <c r="J18325" s="1362"/>
      <c r="K18325" s="1362"/>
      <c r="L18325" s="1362"/>
    </row>
    <row r="18326" spans="1:12" x14ac:dyDescent="0.25">
      <c r="A18326">
        <v>43503</v>
      </c>
      <c r="B18326" t="s">
        <v>21828</v>
      </c>
      <c r="C18326" t="s">
        <v>2544</v>
      </c>
      <c r="D18326" s="254">
        <v>216.6</v>
      </c>
      <c r="E18326"/>
      <c r="F18326"/>
      <c r="G18326"/>
      <c r="H18326"/>
      <c r="I18326" s="489"/>
      <c r="J18326" s="1362"/>
      <c r="K18326" s="1362"/>
      <c r="L18326" s="1362"/>
    </row>
    <row r="18327" spans="1:12" x14ac:dyDescent="0.25">
      <c r="A18327">
        <v>43492</v>
      </c>
      <c r="B18327" t="s">
        <v>21829</v>
      </c>
      <c r="C18327" t="s">
        <v>2538</v>
      </c>
      <c r="D18327" s="254">
        <v>1.58</v>
      </c>
      <c r="E18327"/>
      <c r="F18327"/>
      <c r="G18327"/>
      <c r="H18327"/>
      <c r="I18327" s="489"/>
      <c r="J18327" s="1362"/>
      <c r="K18327" s="1362"/>
      <c r="L18327" s="1362"/>
    </row>
    <row r="18328" spans="1:12" x14ac:dyDescent="0.25">
      <c r="A18328">
        <v>43504</v>
      </c>
      <c r="B18328" t="s">
        <v>21830</v>
      </c>
      <c r="C18328" t="s">
        <v>2544</v>
      </c>
      <c r="D18328" s="254">
        <v>297.7</v>
      </c>
      <c r="E18328"/>
      <c r="F18328"/>
      <c r="G18328"/>
      <c r="H18328"/>
      <c r="I18328" s="489"/>
      <c r="J18328" s="1362"/>
      <c r="K18328" s="1362"/>
      <c r="L18328" s="1362"/>
    </row>
    <row r="18329" spans="1:12" x14ac:dyDescent="0.25">
      <c r="A18329">
        <v>43493</v>
      </c>
      <c r="B18329" t="s">
        <v>21831</v>
      </c>
      <c r="C18329" t="s">
        <v>2538</v>
      </c>
      <c r="D18329" s="254">
        <v>0.62</v>
      </c>
      <c r="E18329"/>
      <c r="F18329"/>
      <c r="G18329"/>
      <c r="H18329"/>
      <c r="I18329" s="489"/>
      <c r="J18329" s="1362"/>
      <c r="K18329" s="1362"/>
      <c r="L18329" s="1362"/>
    </row>
    <row r="18330" spans="1:12" x14ac:dyDescent="0.25">
      <c r="A18330">
        <v>43505</v>
      </c>
      <c r="B18330" t="s">
        <v>21832</v>
      </c>
      <c r="C18330" t="s">
        <v>2544</v>
      </c>
      <c r="D18330" s="254">
        <v>117.12</v>
      </c>
      <c r="E18330"/>
      <c r="F18330"/>
      <c r="G18330"/>
      <c r="H18330"/>
      <c r="I18330" s="489"/>
      <c r="J18330" s="1362"/>
      <c r="K18330" s="1362"/>
      <c r="L18330" s="1362"/>
    </row>
    <row r="18331" spans="1:12" x14ac:dyDescent="0.25">
      <c r="A18331">
        <v>37774</v>
      </c>
      <c r="B18331" t="s">
        <v>21833</v>
      </c>
      <c r="C18331" t="s">
        <v>2537</v>
      </c>
      <c r="D18331" s="254">
        <v>522979.82</v>
      </c>
      <c r="E18331"/>
      <c r="F18331"/>
      <c r="G18331"/>
      <c r="H18331"/>
      <c r="I18331" s="489"/>
      <c r="J18331" s="1362"/>
      <c r="K18331" s="1362"/>
      <c r="L18331" s="1362"/>
    </row>
    <row r="18332" spans="1:12" x14ac:dyDescent="0.25">
      <c r="A18332">
        <v>38630</v>
      </c>
      <c r="B18332" t="s">
        <v>21834</v>
      </c>
      <c r="C18332" t="s">
        <v>2537</v>
      </c>
      <c r="D18332" s="254">
        <v>1665132.81</v>
      </c>
      <c r="E18332"/>
      <c r="F18332"/>
      <c r="G18332"/>
      <c r="H18332"/>
      <c r="I18332" s="489"/>
      <c r="J18332" s="1362"/>
      <c r="K18332" s="1362"/>
      <c r="L18332" s="1362"/>
    </row>
    <row r="18333" spans="1:12" x14ac:dyDescent="0.25">
      <c r="A18333">
        <v>38629</v>
      </c>
      <c r="B18333" t="s">
        <v>21835</v>
      </c>
      <c r="C18333" t="s">
        <v>2537</v>
      </c>
      <c r="D18333" s="254">
        <v>2478632.81</v>
      </c>
      <c r="E18333"/>
      <c r="F18333"/>
      <c r="G18333"/>
      <c r="H18333"/>
      <c r="I18333" s="489"/>
      <c r="J18333" s="1362"/>
      <c r="K18333" s="1362"/>
      <c r="L18333" s="1362"/>
    </row>
    <row r="18334" spans="1:12" x14ac:dyDescent="0.25">
      <c r="A18334">
        <v>38476</v>
      </c>
      <c r="B18334" t="s">
        <v>21836</v>
      </c>
      <c r="C18334" t="s">
        <v>2537</v>
      </c>
      <c r="D18334" s="254">
        <v>467.14</v>
      </c>
      <c r="E18334"/>
      <c r="F18334"/>
      <c r="G18334"/>
      <c r="H18334"/>
      <c r="I18334" s="489"/>
      <c r="J18334" s="1362"/>
      <c r="K18334" s="1362"/>
      <c r="L18334" s="1362"/>
    </row>
    <row r="18335" spans="1:12" x14ac:dyDescent="0.25">
      <c r="A18335">
        <v>38477</v>
      </c>
      <c r="B18335" t="s">
        <v>21837</v>
      </c>
      <c r="C18335" t="s">
        <v>2537</v>
      </c>
      <c r="D18335" s="254">
        <v>1322.93</v>
      </c>
      <c r="E18335"/>
      <c r="F18335"/>
      <c r="G18335"/>
      <c r="H18335"/>
      <c r="I18335" s="489"/>
      <c r="J18335" s="1362"/>
      <c r="K18335" s="1362"/>
      <c r="L18335" s="1362"/>
    </row>
    <row r="18336" spans="1:12" x14ac:dyDescent="0.25">
      <c r="A18336">
        <v>40635</v>
      </c>
      <c r="B18336" t="s">
        <v>21838</v>
      </c>
      <c r="C18336" t="s">
        <v>2537</v>
      </c>
      <c r="D18336" s="254">
        <v>1013734.26</v>
      </c>
      <c r="E18336"/>
      <c r="F18336"/>
      <c r="G18336"/>
      <c r="H18336"/>
      <c r="I18336" s="489"/>
      <c r="J18336" s="1362"/>
      <c r="K18336" s="1362"/>
      <c r="L18336" s="1362"/>
    </row>
    <row r="18337" spans="1:12" x14ac:dyDescent="0.25">
      <c r="A18337">
        <v>36483</v>
      </c>
      <c r="B18337" t="s">
        <v>21839</v>
      </c>
      <c r="C18337" t="s">
        <v>2537</v>
      </c>
      <c r="D18337" s="254">
        <v>918605.62</v>
      </c>
      <c r="E18337"/>
      <c r="F18337"/>
      <c r="G18337"/>
      <c r="H18337"/>
      <c r="I18337" s="489"/>
      <c r="J18337" s="1362"/>
      <c r="K18337" s="1362"/>
      <c r="L18337" s="1362"/>
    </row>
    <row r="18338" spans="1:12" x14ac:dyDescent="0.25">
      <c r="A18338">
        <v>14525</v>
      </c>
      <c r="B18338" t="s">
        <v>21840</v>
      </c>
      <c r="C18338" t="s">
        <v>2537</v>
      </c>
      <c r="D18338" s="254">
        <v>961834.12</v>
      </c>
      <c r="E18338"/>
      <c r="F18338"/>
      <c r="G18338"/>
      <c r="H18338"/>
      <c r="I18338" s="489"/>
      <c r="J18338" s="1362"/>
      <c r="K18338" s="1362"/>
      <c r="L18338" s="1362"/>
    </row>
    <row r="18339" spans="1:12" x14ac:dyDescent="0.25">
      <c r="A18339">
        <v>36482</v>
      </c>
      <c r="B18339" t="s">
        <v>21841</v>
      </c>
      <c r="C18339" t="s">
        <v>2537</v>
      </c>
      <c r="D18339" s="254">
        <v>824906.72</v>
      </c>
      <c r="E18339"/>
      <c r="F18339"/>
      <c r="G18339"/>
      <c r="H18339"/>
      <c r="I18339" s="489"/>
      <c r="J18339" s="1362"/>
      <c r="K18339" s="1362"/>
      <c r="L18339" s="1362"/>
    </row>
    <row r="18340" spans="1:12" x14ac:dyDescent="0.25">
      <c r="A18340">
        <v>36408</v>
      </c>
      <c r="B18340" t="s">
        <v>21842</v>
      </c>
      <c r="C18340" t="s">
        <v>2537</v>
      </c>
      <c r="D18340" s="254">
        <v>985609.8</v>
      </c>
      <c r="E18340"/>
      <c r="F18340"/>
      <c r="G18340"/>
      <c r="H18340"/>
      <c r="I18340" s="489"/>
      <c r="J18340" s="1362"/>
      <c r="K18340" s="1362"/>
      <c r="L18340" s="1362"/>
    </row>
    <row r="18341" spans="1:12" x14ac:dyDescent="0.25">
      <c r="A18341">
        <v>2723</v>
      </c>
      <c r="B18341" t="s">
        <v>21843</v>
      </c>
      <c r="C18341" t="s">
        <v>2537</v>
      </c>
      <c r="D18341" s="254">
        <v>756498.75</v>
      </c>
      <c r="E18341"/>
      <c r="F18341"/>
      <c r="G18341"/>
      <c r="H18341"/>
      <c r="I18341" s="489"/>
      <c r="J18341" s="1362"/>
      <c r="K18341" s="1362"/>
      <c r="L18341" s="1362"/>
    </row>
    <row r="18342" spans="1:12" x14ac:dyDescent="0.25">
      <c r="A18342">
        <v>36481</v>
      </c>
      <c r="B18342" t="s">
        <v>21844</v>
      </c>
      <c r="C18342" t="s">
        <v>2537</v>
      </c>
      <c r="D18342" s="254">
        <v>902394.93</v>
      </c>
      <c r="E18342"/>
      <c r="F18342"/>
      <c r="G18342"/>
      <c r="H18342"/>
      <c r="I18342" s="489"/>
      <c r="J18342" s="1362"/>
      <c r="K18342" s="1362"/>
      <c r="L18342" s="1362"/>
    </row>
    <row r="18343" spans="1:12" x14ac:dyDescent="0.25">
      <c r="A18343">
        <v>10685</v>
      </c>
      <c r="B18343" t="s">
        <v>21845</v>
      </c>
      <c r="C18343" t="s">
        <v>2537</v>
      </c>
      <c r="D18343" s="254">
        <v>864570</v>
      </c>
      <c r="E18343"/>
      <c r="F18343"/>
      <c r="G18343"/>
      <c r="H18343"/>
      <c r="I18343" s="489"/>
      <c r="J18343" s="1362"/>
      <c r="K18343" s="1362"/>
      <c r="L18343" s="1362"/>
    </row>
    <row r="18344" spans="1:12" x14ac:dyDescent="0.25">
      <c r="A18344">
        <v>40636</v>
      </c>
      <c r="B18344" t="s">
        <v>21846</v>
      </c>
      <c r="C18344" t="s">
        <v>2537</v>
      </c>
      <c r="D18344" s="254">
        <v>975909.32</v>
      </c>
      <c r="E18344"/>
      <c r="F18344"/>
      <c r="G18344"/>
      <c r="H18344"/>
      <c r="I18344" s="489"/>
      <c r="J18344" s="1362"/>
      <c r="K18344" s="1362"/>
      <c r="L18344" s="1362"/>
    </row>
    <row r="18345" spans="1:12" x14ac:dyDescent="0.25">
      <c r="A18345">
        <v>4111</v>
      </c>
      <c r="B18345" t="s">
        <v>21847</v>
      </c>
      <c r="C18345" t="s">
        <v>2537</v>
      </c>
      <c r="D18345" s="254">
        <v>47.43</v>
      </c>
      <c r="E18345"/>
      <c r="F18345"/>
      <c r="G18345"/>
      <c r="H18345"/>
      <c r="I18345" s="489"/>
      <c r="J18345" s="1362"/>
      <c r="K18345" s="1362"/>
      <c r="L18345" s="1362"/>
    </row>
    <row r="18346" spans="1:12" x14ac:dyDescent="0.25">
      <c r="A18346">
        <v>44538</v>
      </c>
      <c r="B18346" t="s">
        <v>21848</v>
      </c>
      <c r="C18346" t="s">
        <v>2537</v>
      </c>
      <c r="D18346" s="254">
        <v>68.31</v>
      </c>
      <c r="E18346"/>
      <c r="F18346"/>
      <c r="G18346"/>
      <c r="H18346"/>
      <c r="I18346" s="489"/>
      <c r="J18346" s="1362"/>
      <c r="K18346" s="1362"/>
      <c r="L18346" s="1362"/>
    </row>
    <row r="18347" spans="1:12" x14ac:dyDescent="0.25">
      <c r="A18347">
        <v>12</v>
      </c>
      <c r="B18347" t="s">
        <v>21849</v>
      </c>
      <c r="C18347" t="s">
        <v>2537</v>
      </c>
      <c r="D18347" s="254">
        <v>10.98</v>
      </c>
      <c r="E18347"/>
      <c r="F18347"/>
      <c r="G18347"/>
      <c r="H18347"/>
      <c r="I18347" s="489"/>
      <c r="J18347" s="1362"/>
      <c r="K18347" s="1362"/>
      <c r="L18347" s="1362"/>
    </row>
    <row r="18348" spans="1:12" x14ac:dyDescent="0.25">
      <c r="A18348">
        <v>37554</v>
      </c>
      <c r="B18348" t="s">
        <v>21850</v>
      </c>
      <c r="C18348" t="s">
        <v>2537</v>
      </c>
      <c r="D18348" s="254">
        <v>129.12</v>
      </c>
      <c r="E18348"/>
      <c r="F18348"/>
      <c r="G18348"/>
      <c r="H18348"/>
      <c r="I18348" s="489"/>
      <c r="J18348" s="1362"/>
      <c r="K18348" s="1362"/>
      <c r="L18348" s="1362"/>
    </row>
    <row r="18349" spans="1:12" x14ac:dyDescent="0.25">
      <c r="A18349">
        <v>37555</v>
      </c>
      <c r="B18349" t="s">
        <v>21851</v>
      </c>
      <c r="C18349" t="s">
        <v>2537</v>
      </c>
      <c r="D18349" s="254">
        <v>157.07</v>
      </c>
      <c r="E18349"/>
      <c r="F18349"/>
      <c r="G18349"/>
      <c r="H18349"/>
      <c r="I18349" s="489"/>
      <c r="J18349" s="1362"/>
      <c r="K18349" s="1362"/>
      <c r="L18349" s="1362"/>
    </row>
    <row r="18350" spans="1:12" x14ac:dyDescent="0.25">
      <c r="A18350">
        <v>10902</v>
      </c>
      <c r="B18350" t="s">
        <v>21852</v>
      </c>
      <c r="C18350" t="s">
        <v>2537</v>
      </c>
      <c r="D18350" s="254">
        <v>39.409999999999997</v>
      </c>
      <c r="E18350"/>
      <c r="F18350"/>
      <c r="G18350"/>
      <c r="H18350"/>
      <c r="I18350" s="489"/>
      <c r="J18350" s="1362"/>
      <c r="K18350" s="1362"/>
      <c r="L18350" s="1362"/>
    </row>
    <row r="18351" spans="1:12" x14ac:dyDescent="0.25">
      <c r="A18351">
        <v>20965</v>
      </c>
      <c r="B18351" t="s">
        <v>21853</v>
      </c>
      <c r="C18351" t="s">
        <v>2537</v>
      </c>
      <c r="D18351" s="254">
        <v>39.78</v>
      </c>
      <c r="E18351"/>
      <c r="F18351"/>
      <c r="G18351"/>
      <c r="H18351"/>
      <c r="I18351" s="489"/>
      <c r="J18351" s="1362"/>
      <c r="K18351" s="1362"/>
      <c r="L18351" s="1362"/>
    </row>
    <row r="18352" spans="1:12" x14ac:dyDescent="0.25">
      <c r="A18352">
        <v>20966</v>
      </c>
      <c r="B18352" t="s">
        <v>21854</v>
      </c>
      <c r="C18352" t="s">
        <v>2537</v>
      </c>
      <c r="D18352" s="254">
        <v>42.83</v>
      </c>
      <c r="E18352"/>
      <c r="F18352"/>
      <c r="G18352"/>
      <c r="H18352"/>
      <c r="I18352" s="489"/>
      <c r="J18352" s="1362"/>
      <c r="K18352" s="1362"/>
      <c r="L18352" s="1362"/>
    </row>
    <row r="18353" spans="1:12" x14ac:dyDescent="0.25">
      <c r="A18353">
        <v>10903</v>
      </c>
      <c r="B18353" t="s">
        <v>21855</v>
      </c>
      <c r="C18353" t="s">
        <v>2537</v>
      </c>
      <c r="D18353" s="254">
        <v>64.92</v>
      </c>
      <c r="E18353"/>
      <c r="F18353"/>
      <c r="G18353"/>
      <c r="H18353"/>
      <c r="I18353" s="489"/>
      <c r="J18353" s="1362"/>
      <c r="K18353" s="1362"/>
      <c r="L18353" s="1362"/>
    </row>
    <row r="18354" spans="1:12" x14ac:dyDescent="0.25">
      <c r="A18354">
        <v>20967</v>
      </c>
      <c r="B18354" t="s">
        <v>21856</v>
      </c>
      <c r="C18354" t="s">
        <v>2537</v>
      </c>
      <c r="D18354" s="254">
        <v>64.92</v>
      </c>
      <c r="E18354"/>
      <c r="F18354"/>
      <c r="G18354"/>
      <c r="H18354"/>
      <c r="I18354" s="489"/>
      <c r="J18354" s="1362"/>
      <c r="K18354" s="1362"/>
      <c r="L18354" s="1362"/>
    </row>
    <row r="18355" spans="1:12" x14ac:dyDescent="0.25">
      <c r="A18355">
        <v>20968</v>
      </c>
      <c r="B18355" t="s">
        <v>21857</v>
      </c>
      <c r="C18355" t="s">
        <v>2537</v>
      </c>
      <c r="D18355" s="254">
        <v>71.2</v>
      </c>
      <c r="E18355"/>
      <c r="F18355"/>
      <c r="G18355"/>
      <c r="H18355"/>
      <c r="I18355" s="489"/>
      <c r="J18355" s="1362"/>
      <c r="K18355" s="1362"/>
      <c r="L18355" s="1362"/>
    </row>
    <row r="18356" spans="1:12" x14ac:dyDescent="0.25">
      <c r="A18356">
        <v>11359</v>
      </c>
      <c r="B18356" t="s">
        <v>21858</v>
      </c>
      <c r="C18356" t="s">
        <v>2537</v>
      </c>
      <c r="D18356" s="254">
        <v>832.6</v>
      </c>
      <c r="E18356"/>
      <c r="F18356"/>
      <c r="G18356"/>
      <c r="H18356"/>
      <c r="I18356" s="489"/>
      <c r="J18356" s="1362"/>
      <c r="K18356" s="1362"/>
      <c r="L18356" s="1362"/>
    </row>
    <row r="18357" spans="1:12" x14ac:dyDescent="0.25">
      <c r="A18357">
        <v>39017</v>
      </c>
      <c r="B18357" t="s">
        <v>21859</v>
      </c>
      <c r="C18357" t="s">
        <v>2537</v>
      </c>
      <c r="D18357" s="254">
        <v>0.19</v>
      </c>
      <c r="E18357"/>
      <c r="F18357"/>
      <c r="G18357"/>
      <c r="H18357"/>
      <c r="I18357" s="489"/>
      <c r="J18357" s="1362"/>
      <c r="K18357" s="1362"/>
      <c r="L18357" s="1362"/>
    </row>
    <row r="18358" spans="1:12" x14ac:dyDescent="0.25">
      <c r="A18358">
        <v>39315</v>
      </c>
      <c r="B18358" t="s">
        <v>21860</v>
      </c>
      <c r="C18358" t="s">
        <v>2537</v>
      </c>
      <c r="D18358" s="254">
        <v>0.31</v>
      </c>
      <c r="E18358"/>
      <c r="F18358"/>
      <c r="G18358"/>
      <c r="H18358"/>
      <c r="I18358" s="489"/>
      <c r="J18358" s="1362"/>
      <c r="K18358" s="1362"/>
      <c r="L18358" s="1362"/>
    </row>
    <row r="18359" spans="1:12" x14ac:dyDescent="0.25">
      <c r="A18359">
        <v>39016</v>
      </c>
      <c r="B18359" t="s">
        <v>21861</v>
      </c>
      <c r="C18359" t="s">
        <v>2537</v>
      </c>
      <c r="D18359" s="254">
        <v>0.31</v>
      </c>
      <c r="E18359"/>
      <c r="F18359"/>
      <c r="G18359"/>
      <c r="H18359"/>
      <c r="I18359" s="489"/>
      <c r="J18359" s="1362"/>
      <c r="K18359" s="1362"/>
      <c r="L18359" s="1362"/>
    </row>
    <row r="18360" spans="1:12" x14ac:dyDescent="0.25">
      <c r="A18360">
        <v>39481</v>
      </c>
      <c r="B18360" t="s">
        <v>21862</v>
      </c>
      <c r="C18360" t="s">
        <v>2537</v>
      </c>
      <c r="D18360" s="254">
        <v>1.54</v>
      </c>
      <c r="E18360"/>
      <c r="F18360"/>
      <c r="G18360"/>
      <c r="H18360"/>
      <c r="I18360" s="489"/>
      <c r="J18360" s="1362"/>
      <c r="K18360" s="1362"/>
      <c r="L18360" s="1362"/>
    </row>
    <row r="18361" spans="1:12" x14ac:dyDescent="0.25">
      <c r="A18361">
        <v>39013</v>
      </c>
      <c r="B18361" t="s">
        <v>21863</v>
      </c>
      <c r="C18361" t="s">
        <v>2537</v>
      </c>
      <c r="D18361" s="254">
        <v>1.31</v>
      </c>
      <c r="E18361"/>
      <c r="F18361"/>
      <c r="G18361"/>
      <c r="H18361"/>
      <c r="I18361" s="489"/>
      <c r="J18361" s="1362"/>
      <c r="K18361" s="1362"/>
      <c r="L18361" s="1362"/>
    </row>
    <row r="18362" spans="1:12" x14ac:dyDescent="0.25">
      <c r="A18362">
        <v>44919</v>
      </c>
      <c r="B18362" t="s">
        <v>21864</v>
      </c>
      <c r="C18362" t="s">
        <v>2537</v>
      </c>
      <c r="D18362" s="254">
        <v>2.4500000000000002</v>
      </c>
      <c r="E18362"/>
      <c r="F18362"/>
      <c r="G18362"/>
      <c r="H18362"/>
      <c r="I18362" s="489"/>
      <c r="J18362" s="1362"/>
      <c r="K18362" s="1362"/>
      <c r="L18362" s="1362"/>
    </row>
    <row r="18363" spans="1:12" x14ac:dyDescent="0.25">
      <c r="A18363">
        <v>40433</v>
      </c>
      <c r="B18363" t="s">
        <v>21865</v>
      </c>
      <c r="C18363" t="s">
        <v>2537</v>
      </c>
      <c r="D18363" s="254">
        <v>1.36</v>
      </c>
      <c r="E18363"/>
      <c r="F18363"/>
      <c r="G18363"/>
      <c r="H18363"/>
      <c r="I18363" s="489"/>
      <c r="J18363" s="1362"/>
      <c r="K18363" s="1362"/>
      <c r="L18363" s="1362"/>
    </row>
    <row r="18364" spans="1:12" x14ac:dyDescent="0.25">
      <c r="A18364">
        <v>20219</v>
      </c>
      <c r="B18364" t="s">
        <v>21866</v>
      </c>
      <c r="C18364" t="s">
        <v>2537</v>
      </c>
      <c r="D18364" s="254">
        <v>120500</v>
      </c>
      <c r="E18364"/>
      <c r="F18364"/>
      <c r="G18364"/>
      <c r="H18364"/>
      <c r="I18364" s="489"/>
      <c r="J18364" s="1362"/>
      <c r="K18364" s="1362"/>
      <c r="L18364" s="1362"/>
    </row>
    <row r="18365" spans="1:12" x14ac:dyDescent="0.25">
      <c r="A18365">
        <v>36484</v>
      </c>
      <c r="B18365" t="s">
        <v>21867</v>
      </c>
      <c r="C18365" t="s">
        <v>2537</v>
      </c>
      <c r="D18365" s="254">
        <v>255799.55</v>
      </c>
      <c r="E18365"/>
      <c r="F18365"/>
      <c r="G18365"/>
      <c r="H18365"/>
      <c r="I18365" s="489"/>
      <c r="J18365" s="1362"/>
      <c r="K18365" s="1362"/>
      <c r="L18365" s="1362"/>
    </row>
    <row r="18366" spans="1:12" x14ac:dyDescent="0.25">
      <c r="A18366">
        <v>38367</v>
      </c>
      <c r="B18366" t="s">
        <v>21868</v>
      </c>
      <c r="C18366" t="s">
        <v>2537</v>
      </c>
      <c r="D18366" s="254">
        <v>25.1</v>
      </c>
      <c r="E18366"/>
      <c r="F18366"/>
      <c r="G18366"/>
      <c r="H18366"/>
      <c r="I18366" s="489"/>
      <c r="J18366" s="1362"/>
      <c r="K18366" s="1362"/>
      <c r="L18366" s="1362"/>
    </row>
    <row r="18367" spans="1:12" x14ac:dyDescent="0.25">
      <c r="A18367">
        <v>38368</v>
      </c>
      <c r="B18367" t="s">
        <v>21869</v>
      </c>
      <c r="C18367" t="s">
        <v>2537</v>
      </c>
      <c r="D18367" s="254">
        <v>8.0299999999999994</v>
      </c>
      <c r="E18367"/>
      <c r="F18367"/>
      <c r="G18367"/>
      <c r="H18367"/>
      <c r="I18367" s="489"/>
      <c r="J18367" s="1362"/>
      <c r="K18367" s="1362"/>
      <c r="L18367" s="1362"/>
    </row>
    <row r="18368" spans="1:12" x14ac:dyDescent="0.25">
      <c r="A18368">
        <v>38091</v>
      </c>
      <c r="B18368" t="s">
        <v>21870</v>
      </c>
      <c r="C18368" t="s">
        <v>2537</v>
      </c>
      <c r="D18368" s="254">
        <v>2.5299999999999998</v>
      </c>
      <c r="E18368"/>
      <c r="F18368"/>
      <c r="G18368"/>
      <c r="H18368"/>
      <c r="I18368" s="489"/>
      <c r="J18368" s="1362"/>
      <c r="K18368" s="1362"/>
      <c r="L18368" s="1362"/>
    </row>
    <row r="18369" spans="1:12" x14ac:dyDescent="0.25">
      <c r="A18369">
        <v>38095</v>
      </c>
      <c r="B18369" t="s">
        <v>21871</v>
      </c>
      <c r="C18369" t="s">
        <v>2537</v>
      </c>
      <c r="D18369" s="254">
        <v>5.36</v>
      </c>
      <c r="E18369"/>
      <c r="F18369"/>
      <c r="G18369"/>
      <c r="H18369"/>
      <c r="I18369" s="489"/>
      <c r="J18369" s="1362"/>
      <c r="K18369" s="1362"/>
      <c r="L18369" s="1362"/>
    </row>
    <row r="18370" spans="1:12" x14ac:dyDescent="0.25">
      <c r="A18370">
        <v>38092</v>
      </c>
      <c r="B18370" t="s">
        <v>21872</v>
      </c>
      <c r="C18370" t="s">
        <v>2537</v>
      </c>
      <c r="D18370" s="254">
        <v>2.4</v>
      </c>
      <c r="E18370"/>
      <c r="F18370"/>
      <c r="G18370"/>
      <c r="H18370"/>
      <c r="I18370" s="489"/>
      <c r="J18370" s="1362"/>
      <c r="K18370" s="1362"/>
      <c r="L18370" s="1362"/>
    </row>
    <row r="18371" spans="1:12" x14ac:dyDescent="0.25">
      <c r="A18371">
        <v>38093</v>
      </c>
      <c r="B18371" t="s">
        <v>21873</v>
      </c>
      <c r="C18371" t="s">
        <v>2537</v>
      </c>
      <c r="D18371" s="254">
        <v>2.48</v>
      </c>
      <c r="E18371"/>
      <c r="F18371"/>
      <c r="G18371"/>
      <c r="H18371"/>
      <c r="I18371" s="489"/>
      <c r="J18371" s="1362"/>
      <c r="K18371" s="1362"/>
      <c r="L18371" s="1362"/>
    </row>
    <row r="18372" spans="1:12" x14ac:dyDescent="0.25">
      <c r="A18372">
        <v>38096</v>
      </c>
      <c r="B18372" t="s">
        <v>21874</v>
      </c>
      <c r="C18372" t="s">
        <v>2537</v>
      </c>
      <c r="D18372" s="254">
        <v>5.76</v>
      </c>
      <c r="E18372"/>
      <c r="F18372"/>
      <c r="G18372"/>
      <c r="H18372"/>
      <c r="I18372" s="489"/>
      <c r="J18372" s="1362"/>
      <c r="K18372" s="1362"/>
      <c r="L18372" s="1362"/>
    </row>
    <row r="18373" spans="1:12" x14ac:dyDescent="0.25">
      <c r="A18373">
        <v>38094</v>
      </c>
      <c r="B18373" t="s">
        <v>21875</v>
      </c>
      <c r="C18373" t="s">
        <v>2537</v>
      </c>
      <c r="D18373" s="254">
        <v>3.04</v>
      </c>
      <c r="E18373"/>
      <c r="F18373"/>
      <c r="G18373"/>
      <c r="H18373"/>
      <c r="I18373" s="489"/>
      <c r="J18373" s="1362"/>
      <c r="K18373" s="1362"/>
      <c r="L18373" s="1362"/>
    </row>
    <row r="18374" spans="1:12" x14ac:dyDescent="0.25">
      <c r="A18374">
        <v>38097</v>
      </c>
      <c r="B18374" t="s">
        <v>21876</v>
      </c>
      <c r="C18374" t="s">
        <v>2537</v>
      </c>
      <c r="D18374" s="254">
        <v>6.18</v>
      </c>
      <c r="E18374"/>
      <c r="F18374"/>
      <c r="G18374"/>
      <c r="H18374"/>
      <c r="I18374" s="489"/>
      <c r="J18374" s="1362"/>
      <c r="K18374" s="1362"/>
      <c r="L18374" s="1362"/>
    </row>
    <row r="18375" spans="1:12" x14ac:dyDescent="0.25">
      <c r="A18375">
        <v>38098</v>
      </c>
      <c r="B18375" t="s">
        <v>21877</v>
      </c>
      <c r="C18375" t="s">
        <v>2537</v>
      </c>
      <c r="D18375" s="254">
        <v>6.18</v>
      </c>
      <c r="E18375"/>
      <c r="F18375"/>
      <c r="G18375"/>
      <c r="H18375"/>
      <c r="I18375" s="489"/>
      <c r="J18375" s="1362"/>
      <c r="K18375" s="1362"/>
      <c r="L18375" s="1362"/>
    </row>
    <row r="18376" spans="1:12" x14ac:dyDescent="0.25">
      <c r="A18376">
        <v>11186</v>
      </c>
      <c r="B18376" t="s">
        <v>21878</v>
      </c>
      <c r="C18376" t="s">
        <v>2539</v>
      </c>
      <c r="D18376" s="254">
        <v>496.88</v>
      </c>
      <c r="E18376"/>
      <c r="F18376"/>
      <c r="G18376"/>
      <c r="H18376"/>
      <c r="I18376" s="489"/>
      <c r="J18376" s="1362"/>
      <c r="K18376" s="1362"/>
      <c r="L18376" s="1362"/>
    </row>
    <row r="18377" spans="1:12" x14ac:dyDescent="0.25">
      <c r="A18377">
        <v>11558</v>
      </c>
      <c r="B18377" t="s">
        <v>21879</v>
      </c>
      <c r="C18377" t="s">
        <v>2545</v>
      </c>
      <c r="D18377" s="254">
        <v>15.05</v>
      </c>
      <c r="E18377"/>
      <c r="F18377"/>
      <c r="G18377"/>
      <c r="H18377"/>
      <c r="I18377" s="489"/>
      <c r="J18377" s="1362"/>
      <c r="K18377" s="1362"/>
      <c r="L18377" s="1362"/>
    </row>
    <row r="18378" spans="1:12" x14ac:dyDescent="0.25">
      <c r="A18378">
        <v>11557</v>
      </c>
      <c r="B18378" t="s">
        <v>21880</v>
      </c>
      <c r="C18378" t="s">
        <v>2545</v>
      </c>
      <c r="D18378" s="254">
        <v>38.11</v>
      </c>
      <c r="E18378"/>
      <c r="F18378"/>
      <c r="G18378"/>
      <c r="H18378"/>
      <c r="I18378" s="489"/>
      <c r="J18378" s="1362"/>
      <c r="K18378" s="1362"/>
      <c r="L18378" s="1362"/>
    </row>
    <row r="18379" spans="1:12" x14ac:dyDescent="0.25">
      <c r="A18379">
        <v>2759</v>
      </c>
      <c r="B18379" t="s">
        <v>21881</v>
      </c>
      <c r="C18379" t="s">
        <v>2537</v>
      </c>
      <c r="D18379" s="254">
        <v>11.43</v>
      </c>
      <c r="E18379"/>
      <c r="F18379"/>
      <c r="G18379"/>
      <c r="H18379"/>
      <c r="I18379" s="489"/>
      <c r="J18379" s="1362"/>
      <c r="K18379" s="1362"/>
      <c r="L18379" s="1362"/>
    </row>
    <row r="18380" spans="1:12" x14ac:dyDescent="0.25">
      <c r="A18380">
        <v>38124</v>
      </c>
      <c r="B18380" t="s">
        <v>21882</v>
      </c>
      <c r="C18380" t="s">
        <v>2537</v>
      </c>
      <c r="D18380" s="254">
        <v>36</v>
      </c>
      <c r="E18380"/>
      <c r="F18380"/>
      <c r="G18380"/>
      <c r="H18380"/>
      <c r="I18380" s="489"/>
      <c r="J18380" s="1362"/>
      <c r="K18380" s="1362"/>
      <c r="L18380" s="1362"/>
    </row>
    <row r="18381" spans="1:12" x14ac:dyDescent="0.25">
      <c r="A18381">
        <v>38380</v>
      </c>
      <c r="B18381" t="s">
        <v>21883</v>
      </c>
      <c r="C18381" t="s">
        <v>2537</v>
      </c>
      <c r="D18381" s="254">
        <v>39.880000000000003</v>
      </c>
      <c r="E18381"/>
      <c r="F18381"/>
      <c r="G18381"/>
      <c r="H18381"/>
      <c r="I18381" s="489"/>
      <c r="J18381" s="1362"/>
      <c r="K18381" s="1362"/>
      <c r="L18381" s="1362"/>
    </row>
    <row r="18382" spans="1:12" x14ac:dyDescent="0.25">
      <c r="A18382">
        <v>20059</v>
      </c>
      <c r="B18382" t="s">
        <v>21884</v>
      </c>
      <c r="C18382" t="s">
        <v>2537</v>
      </c>
      <c r="D18382" s="254">
        <v>19.32</v>
      </c>
      <c r="E18382"/>
      <c r="F18382"/>
      <c r="G18382"/>
      <c r="H18382"/>
      <c r="I18382" s="489"/>
      <c r="J18382" s="1362"/>
      <c r="K18382" s="1362"/>
      <c r="L18382" s="1362"/>
    </row>
    <row r="18383" spans="1:12" x14ac:dyDescent="0.25">
      <c r="A18383">
        <v>42429</v>
      </c>
      <c r="B18383" t="s">
        <v>21885</v>
      </c>
      <c r="C18383" t="s">
        <v>2537</v>
      </c>
      <c r="D18383" s="254">
        <v>5972.04</v>
      </c>
      <c r="E18383"/>
      <c r="F18383"/>
      <c r="G18383"/>
      <c r="H18383"/>
      <c r="I18383" s="489"/>
      <c r="J18383" s="1362"/>
      <c r="K18383" s="1362"/>
      <c r="L18383" s="1362"/>
    </row>
    <row r="18384" spans="1:12" x14ac:dyDescent="0.25">
      <c r="A18384">
        <v>39616</v>
      </c>
      <c r="B18384" t="s">
        <v>21886</v>
      </c>
      <c r="C18384" t="s">
        <v>2537</v>
      </c>
      <c r="D18384" s="254">
        <v>509</v>
      </c>
      <c r="E18384"/>
      <c r="F18384"/>
      <c r="G18384"/>
      <c r="H18384"/>
      <c r="I18384" s="489"/>
      <c r="J18384" s="1362"/>
      <c r="K18384" s="1362"/>
      <c r="L18384" s="1362"/>
    </row>
    <row r="18385" spans="1:12" x14ac:dyDescent="0.25">
      <c r="A18385">
        <v>39618</v>
      </c>
      <c r="B18385" t="s">
        <v>21887</v>
      </c>
      <c r="C18385" t="s">
        <v>2537</v>
      </c>
      <c r="D18385" s="254">
        <v>923.24</v>
      </c>
      <c r="E18385"/>
      <c r="F18385"/>
      <c r="G18385"/>
      <c r="H18385"/>
      <c r="I18385" s="489"/>
      <c r="J18385" s="1362"/>
      <c r="K18385" s="1362"/>
      <c r="L18385" s="1362"/>
    </row>
    <row r="18386" spans="1:12" x14ac:dyDescent="0.25">
      <c r="A18386">
        <v>39619</v>
      </c>
      <c r="B18386" t="s">
        <v>21888</v>
      </c>
      <c r="C18386" t="s">
        <v>2537</v>
      </c>
      <c r="D18386" s="254">
        <v>1264.46</v>
      </c>
      <c r="E18386"/>
      <c r="F18386"/>
      <c r="G18386"/>
      <c r="H18386"/>
      <c r="I18386" s="489"/>
      <c r="J18386" s="1362"/>
      <c r="K18386" s="1362"/>
      <c r="L18386" s="1362"/>
    </row>
    <row r="18387" spans="1:12" x14ac:dyDescent="0.25">
      <c r="A18387">
        <v>39613</v>
      </c>
      <c r="B18387" t="s">
        <v>21889</v>
      </c>
      <c r="C18387" t="s">
        <v>2537</v>
      </c>
      <c r="D18387" s="254">
        <v>202.19</v>
      </c>
      <c r="E18387"/>
      <c r="F18387"/>
      <c r="G18387"/>
      <c r="H18387"/>
      <c r="I18387" s="489"/>
      <c r="J18387" s="1362"/>
      <c r="K18387" s="1362"/>
      <c r="L18387" s="1362"/>
    </row>
    <row r="18388" spans="1:12" x14ac:dyDescent="0.25">
      <c r="A18388">
        <v>39614</v>
      </c>
      <c r="B18388" t="s">
        <v>21890</v>
      </c>
      <c r="C18388" t="s">
        <v>2537</v>
      </c>
      <c r="D18388" s="254">
        <v>294.97000000000003</v>
      </c>
      <c r="E18388"/>
      <c r="F18388"/>
      <c r="G18388"/>
      <c r="H18388"/>
      <c r="I18388" s="489"/>
      <c r="J18388" s="1362"/>
      <c r="K18388" s="1362"/>
      <c r="L18388" s="1362"/>
    </row>
    <row r="18389" spans="1:12" x14ac:dyDescent="0.25">
      <c r="A18389">
        <v>38538</v>
      </c>
      <c r="B18389" t="s">
        <v>21891</v>
      </c>
      <c r="C18389" t="s">
        <v>2541</v>
      </c>
      <c r="D18389" s="254">
        <v>75.8</v>
      </c>
      <c r="E18389"/>
      <c r="F18389"/>
      <c r="G18389"/>
      <c r="H18389"/>
      <c r="I18389" s="489"/>
      <c r="J18389" s="1362"/>
      <c r="K18389" s="1362"/>
      <c r="L18389" s="1362"/>
    </row>
    <row r="18390" spans="1:12" x14ac:dyDescent="0.25">
      <c r="A18390">
        <v>38539</v>
      </c>
      <c r="B18390" t="s">
        <v>21892</v>
      </c>
      <c r="C18390" t="s">
        <v>2541</v>
      </c>
      <c r="D18390" s="254">
        <v>103.07</v>
      </c>
      <c r="E18390"/>
      <c r="F18390"/>
      <c r="G18390"/>
      <c r="H18390"/>
      <c r="I18390" s="489"/>
      <c r="J18390" s="1362"/>
      <c r="K18390" s="1362"/>
      <c r="L18390" s="1362"/>
    </row>
    <row r="18391" spans="1:12" x14ac:dyDescent="0.25">
      <c r="A18391">
        <v>38540</v>
      </c>
      <c r="B18391" t="s">
        <v>21893</v>
      </c>
      <c r="C18391" t="s">
        <v>2541</v>
      </c>
      <c r="D18391" s="254">
        <v>264.16000000000003</v>
      </c>
      <c r="E18391"/>
      <c r="F18391"/>
      <c r="G18391"/>
      <c r="H18391"/>
      <c r="I18391" s="489"/>
      <c r="J18391" s="1362"/>
      <c r="K18391" s="1362"/>
      <c r="L18391" s="1362"/>
    </row>
    <row r="18392" spans="1:12" x14ac:dyDescent="0.25">
      <c r="A18392">
        <v>38384</v>
      </c>
      <c r="B18392" t="s">
        <v>21894</v>
      </c>
      <c r="C18392" t="s">
        <v>2537</v>
      </c>
      <c r="D18392" s="254">
        <v>20.83</v>
      </c>
      <c r="E18392"/>
      <c r="F18392"/>
      <c r="G18392"/>
      <c r="H18392"/>
      <c r="I18392" s="489"/>
      <c r="J18392" s="1362"/>
      <c r="K18392" s="1362"/>
      <c r="L18392" s="1362"/>
    </row>
    <row r="18393" spans="1:12" x14ac:dyDescent="0.25">
      <c r="A18393">
        <v>13</v>
      </c>
      <c r="B18393" t="s">
        <v>21895</v>
      </c>
      <c r="C18393" t="s">
        <v>2542</v>
      </c>
      <c r="D18393" s="254">
        <v>16.899999999999999</v>
      </c>
      <c r="E18393"/>
      <c r="F18393"/>
      <c r="G18393"/>
      <c r="H18393"/>
      <c r="I18393" s="489"/>
      <c r="J18393" s="1362"/>
      <c r="K18393" s="1362"/>
      <c r="L18393" s="1362"/>
    </row>
    <row r="18394" spans="1:12" x14ac:dyDescent="0.25">
      <c r="A18394">
        <v>2762</v>
      </c>
      <c r="B18394" t="s">
        <v>21896</v>
      </c>
      <c r="C18394" t="s">
        <v>2541</v>
      </c>
      <c r="D18394" s="254">
        <v>14.28</v>
      </c>
      <c r="E18394"/>
      <c r="F18394"/>
      <c r="G18394"/>
      <c r="H18394"/>
      <c r="I18394" s="489"/>
      <c r="J18394" s="1362"/>
      <c r="K18394" s="1362"/>
      <c r="L18394" s="1362"/>
    </row>
    <row r="18395" spans="1:12" x14ac:dyDescent="0.25">
      <c r="A18395">
        <v>21142</v>
      </c>
      <c r="B18395" t="s">
        <v>21897</v>
      </c>
      <c r="C18395" t="s">
        <v>2537</v>
      </c>
      <c r="D18395" s="254">
        <v>35.119999999999997</v>
      </c>
      <c r="E18395"/>
      <c r="F18395"/>
      <c r="G18395"/>
      <c r="H18395"/>
      <c r="I18395" s="489"/>
      <c r="J18395" s="1362"/>
      <c r="K18395" s="1362"/>
      <c r="L18395" s="1362"/>
    </row>
    <row r="18396" spans="1:12" x14ac:dyDescent="0.25">
      <c r="A18396">
        <v>4223</v>
      </c>
      <c r="B18396" t="s">
        <v>21898</v>
      </c>
      <c r="C18396" t="s">
        <v>2543</v>
      </c>
      <c r="D18396" s="254">
        <v>4.6100000000000003</v>
      </c>
      <c r="E18396"/>
      <c r="F18396"/>
      <c r="G18396"/>
      <c r="H18396"/>
      <c r="I18396" s="489"/>
      <c r="J18396" s="1362"/>
      <c r="K18396" s="1362"/>
      <c r="L18396" s="1362"/>
    </row>
    <row r="18397" spans="1:12" x14ac:dyDescent="0.25">
      <c r="A18397">
        <v>37372</v>
      </c>
      <c r="B18397" t="s">
        <v>21899</v>
      </c>
      <c r="C18397" t="s">
        <v>2538</v>
      </c>
      <c r="D18397" s="254">
        <v>0.81</v>
      </c>
      <c r="E18397"/>
      <c r="F18397"/>
      <c r="G18397"/>
      <c r="H18397"/>
      <c r="I18397" s="489"/>
      <c r="J18397" s="1362"/>
      <c r="K18397" s="1362"/>
      <c r="L18397" s="1362"/>
    </row>
    <row r="18398" spans="1:12" x14ac:dyDescent="0.25">
      <c r="A18398">
        <v>40863</v>
      </c>
      <c r="B18398" t="s">
        <v>21900</v>
      </c>
      <c r="C18398" t="s">
        <v>2544</v>
      </c>
      <c r="D18398" s="254">
        <v>152.35</v>
      </c>
      <c r="E18398"/>
      <c r="F18398"/>
      <c r="G18398"/>
      <c r="H18398"/>
      <c r="I18398" s="489"/>
      <c r="J18398" s="1362"/>
      <c r="K18398" s="1362"/>
      <c r="L18398" s="1362"/>
    </row>
    <row r="18399" spans="1:12" x14ac:dyDescent="0.25">
      <c r="A18399">
        <v>38475</v>
      </c>
      <c r="B18399" t="s">
        <v>21901</v>
      </c>
      <c r="C18399" t="s">
        <v>2537</v>
      </c>
      <c r="D18399" s="254">
        <v>30.8</v>
      </c>
      <c r="E18399"/>
      <c r="F18399"/>
      <c r="G18399"/>
      <c r="H18399"/>
      <c r="I18399" s="489"/>
      <c r="J18399" s="1362"/>
      <c r="K18399" s="1362"/>
      <c r="L18399" s="1362"/>
    </row>
    <row r="18400" spans="1:12" x14ac:dyDescent="0.25">
      <c r="A18400">
        <v>38474</v>
      </c>
      <c r="B18400" t="s">
        <v>21902</v>
      </c>
      <c r="C18400" t="s">
        <v>2537</v>
      </c>
      <c r="D18400" s="254">
        <v>38.07</v>
      </c>
      <c r="E18400"/>
      <c r="F18400"/>
      <c r="G18400"/>
      <c r="H18400"/>
      <c r="I18400" s="489"/>
      <c r="J18400" s="1362"/>
      <c r="K18400" s="1362"/>
      <c r="L18400" s="1362"/>
    </row>
    <row r="18401" spans="1:12" x14ac:dyDescent="0.25">
      <c r="A18401">
        <v>10886</v>
      </c>
      <c r="B18401" t="s">
        <v>21903</v>
      </c>
      <c r="C18401" t="s">
        <v>2537</v>
      </c>
      <c r="D18401" s="254">
        <v>166.16</v>
      </c>
      <c r="E18401"/>
      <c r="F18401"/>
      <c r="G18401"/>
      <c r="H18401"/>
      <c r="I18401" s="489"/>
      <c r="J18401" s="1362"/>
      <c r="K18401" s="1362"/>
      <c r="L18401" s="1362"/>
    </row>
    <row r="18402" spans="1:12" x14ac:dyDescent="0.25">
      <c r="A18402">
        <v>10888</v>
      </c>
      <c r="B18402" t="s">
        <v>21904</v>
      </c>
      <c r="C18402" t="s">
        <v>2537</v>
      </c>
      <c r="D18402" s="254">
        <v>525.87</v>
      </c>
      <c r="E18402"/>
      <c r="F18402"/>
      <c r="G18402"/>
      <c r="H18402"/>
      <c r="I18402" s="489"/>
      <c r="J18402" s="1362"/>
      <c r="K18402" s="1362"/>
      <c r="L18402" s="1362"/>
    </row>
    <row r="18403" spans="1:12" x14ac:dyDescent="0.25">
      <c r="A18403">
        <v>10889</v>
      </c>
      <c r="B18403" t="s">
        <v>21905</v>
      </c>
      <c r="C18403" t="s">
        <v>2537</v>
      </c>
      <c r="D18403" s="254">
        <v>569.70000000000005</v>
      </c>
      <c r="E18403"/>
      <c r="F18403"/>
      <c r="G18403"/>
      <c r="H18403"/>
      <c r="I18403" s="489"/>
      <c r="J18403" s="1362"/>
      <c r="K18403" s="1362"/>
      <c r="L18403" s="1362"/>
    </row>
    <row r="18404" spans="1:12" x14ac:dyDescent="0.25">
      <c r="A18404">
        <v>10890</v>
      </c>
      <c r="B18404" t="s">
        <v>21906</v>
      </c>
      <c r="C18404" t="s">
        <v>2537</v>
      </c>
      <c r="D18404" s="254">
        <v>262.93</v>
      </c>
      <c r="E18404"/>
      <c r="F18404"/>
      <c r="G18404"/>
      <c r="H18404"/>
      <c r="I18404" s="489"/>
      <c r="J18404" s="1362"/>
      <c r="K18404" s="1362"/>
      <c r="L18404" s="1362"/>
    </row>
    <row r="18405" spans="1:12" x14ac:dyDescent="0.25">
      <c r="A18405">
        <v>10891</v>
      </c>
      <c r="B18405" t="s">
        <v>21907</v>
      </c>
      <c r="C18405" t="s">
        <v>2537</v>
      </c>
      <c r="D18405" s="254">
        <v>160.68</v>
      </c>
      <c r="E18405"/>
      <c r="F18405"/>
      <c r="G18405"/>
      <c r="H18405"/>
      <c r="I18405" s="489"/>
      <c r="J18405" s="1362"/>
      <c r="K18405" s="1362"/>
      <c r="L18405" s="1362"/>
    </row>
    <row r="18406" spans="1:12" x14ac:dyDescent="0.25">
      <c r="A18406">
        <v>10892</v>
      </c>
      <c r="B18406" t="s">
        <v>21908</v>
      </c>
      <c r="C18406" t="s">
        <v>2537</v>
      </c>
      <c r="D18406" s="254">
        <v>189.9</v>
      </c>
      <c r="E18406"/>
      <c r="F18406"/>
      <c r="G18406"/>
      <c r="H18406"/>
      <c r="I18406" s="489"/>
      <c r="J18406" s="1362"/>
      <c r="K18406" s="1362"/>
      <c r="L18406" s="1362"/>
    </row>
    <row r="18407" spans="1:12" x14ac:dyDescent="0.25">
      <c r="A18407">
        <v>20977</v>
      </c>
      <c r="B18407" t="s">
        <v>21909</v>
      </c>
      <c r="C18407" t="s">
        <v>2537</v>
      </c>
      <c r="D18407" s="254">
        <v>226.41</v>
      </c>
      <c r="E18407"/>
      <c r="F18407"/>
      <c r="G18407"/>
      <c r="H18407"/>
      <c r="I18407" s="489"/>
      <c r="J18407" s="1362"/>
      <c r="K18407" s="1362"/>
      <c r="L18407" s="1362"/>
    </row>
    <row r="18408" spans="1:12" x14ac:dyDescent="0.25">
      <c r="A18408">
        <v>3073</v>
      </c>
      <c r="B18408" t="s">
        <v>21910</v>
      </c>
      <c r="C18408" t="s">
        <v>2537</v>
      </c>
      <c r="D18408" s="254">
        <v>236.69</v>
      </c>
      <c r="E18408"/>
      <c r="F18408"/>
      <c r="G18408"/>
      <c r="H18408"/>
      <c r="I18408" s="489"/>
      <c r="J18408" s="1362"/>
      <c r="K18408" s="1362"/>
      <c r="L18408" s="1362"/>
    </row>
    <row r="18409" spans="1:12" x14ac:dyDescent="0.25">
      <c r="A18409">
        <v>3068</v>
      </c>
      <c r="B18409" t="s">
        <v>21911</v>
      </c>
      <c r="C18409" t="s">
        <v>2537</v>
      </c>
      <c r="D18409" s="254">
        <v>47.32</v>
      </c>
      <c r="E18409"/>
      <c r="F18409"/>
      <c r="G18409"/>
      <c r="H18409"/>
      <c r="I18409" s="489"/>
      <c r="J18409" s="1362"/>
      <c r="K18409" s="1362"/>
      <c r="L18409" s="1362"/>
    </row>
    <row r="18410" spans="1:12" x14ac:dyDescent="0.25">
      <c r="A18410">
        <v>3074</v>
      </c>
      <c r="B18410" t="s">
        <v>21912</v>
      </c>
      <c r="C18410" t="s">
        <v>2537</v>
      </c>
      <c r="D18410" s="254">
        <v>149.41999999999999</v>
      </c>
      <c r="E18410"/>
      <c r="F18410"/>
      <c r="G18410"/>
      <c r="H18410"/>
      <c r="I18410" s="489"/>
      <c r="J18410" s="1362"/>
      <c r="K18410" s="1362"/>
      <c r="L18410" s="1362"/>
    </row>
    <row r="18411" spans="1:12" x14ac:dyDescent="0.25">
      <c r="A18411">
        <v>3076</v>
      </c>
      <c r="B18411" t="s">
        <v>21913</v>
      </c>
      <c r="C18411" t="s">
        <v>2537</v>
      </c>
      <c r="D18411" s="254">
        <v>194.58</v>
      </c>
      <c r="E18411"/>
      <c r="F18411"/>
      <c r="G18411"/>
      <c r="H18411"/>
      <c r="I18411" s="489"/>
      <c r="J18411" s="1362"/>
      <c r="K18411" s="1362"/>
      <c r="L18411" s="1362"/>
    </row>
    <row r="18412" spans="1:12" x14ac:dyDescent="0.25">
      <c r="A18412">
        <v>3072</v>
      </c>
      <c r="B18412" t="s">
        <v>21914</v>
      </c>
      <c r="C18412" t="s">
        <v>2537</v>
      </c>
      <c r="D18412" s="254">
        <v>49.02</v>
      </c>
      <c r="E18412"/>
      <c r="F18412"/>
      <c r="G18412"/>
      <c r="H18412"/>
      <c r="I18412" s="489"/>
      <c r="J18412" s="1362"/>
      <c r="K18412" s="1362"/>
      <c r="L18412" s="1362"/>
    </row>
    <row r="18413" spans="1:12" x14ac:dyDescent="0.25">
      <c r="A18413">
        <v>3075</v>
      </c>
      <c r="B18413" t="s">
        <v>21915</v>
      </c>
      <c r="C18413" t="s">
        <v>2537</v>
      </c>
      <c r="D18413" s="254">
        <v>122.96</v>
      </c>
      <c r="E18413"/>
      <c r="F18413"/>
      <c r="G18413"/>
      <c r="H18413"/>
      <c r="I18413" s="489"/>
      <c r="J18413" s="1362"/>
      <c r="K18413" s="1362"/>
      <c r="L18413" s="1362"/>
    </row>
    <row r="18414" spans="1:12" x14ac:dyDescent="0.25">
      <c r="A18414">
        <v>10780</v>
      </c>
      <c r="B18414" t="s">
        <v>21916</v>
      </c>
      <c r="C18414" t="s">
        <v>2537</v>
      </c>
      <c r="D18414" s="254">
        <v>10.39</v>
      </c>
      <c r="E18414"/>
      <c r="F18414"/>
      <c r="G18414"/>
      <c r="H18414"/>
      <c r="I18414" s="489"/>
      <c r="J18414" s="1362"/>
      <c r="K18414" s="1362"/>
      <c r="L18414" s="1362"/>
    </row>
    <row r="18415" spans="1:12" x14ac:dyDescent="0.25">
      <c r="A18415">
        <v>10781</v>
      </c>
      <c r="B18415" t="s">
        <v>21917</v>
      </c>
      <c r="C18415" t="s">
        <v>2537</v>
      </c>
      <c r="D18415" s="254">
        <v>16.670000000000002</v>
      </c>
      <c r="E18415"/>
      <c r="F18415"/>
      <c r="G18415"/>
      <c r="H18415"/>
      <c r="I18415" s="489"/>
      <c r="J18415" s="1362"/>
      <c r="K18415" s="1362"/>
      <c r="L18415" s="1362"/>
    </row>
    <row r="18416" spans="1:12" x14ac:dyDescent="0.25">
      <c r="A18416">
        <v>20106</v>
      </c>
      <c r="B18416" t="s">
        <v>21918</v>
      </c>
      <c r="C18416" t="s">
        <v>2537</v>
      </c>
      <c r="D18416" s="254">
        <v>5.49</v>
      </c>
      <c r="E18416"/>
      <c r="F18416"/>
      <c r="G18416"/>
      <c r="H18416"/>
      <c r="I18416" s="489"/>
      <c r="J18416" s="1362"/>
      <c r="K18416" s="1362"/>
      <c r="L18416" s="1362"/>
    </row>
    <row r="18417" spans="1:12" x14ac:dyDescent="0.25">
      <c r="A18417">
        <v>20107</v>
      </c>
      <c r="B18417" t="s">
        <v>21919</v>
      </c>
      <c r="C18417" t="s">
        <v>2537</v>
      </c>
      <c r="D18417" s="254">
        <v>6.29</v>
      </c>
      <c r="E18417"/>
      <c r="F18417"/>
      <c r="G18417"/>
      <c r="H18417"/>
      <c r="I18417" s="489"/>
      <c r="J18417" s="1362"/>
      <c r="K18417" s="1362"/>
      <c r="L18417" s="1362"/>
    </row>
    <row r="18418" spans="1:12" x14ac:dyDescent="0.25">
      <c r="A18418">
        <v>20108</v>
      </c>
      <c r="B18418" t="s">
        <v>21920</v>
      </c>
      <c r="C18418" t="s">
        <v>2537</v>
      </c>
      <c r="D18418" s="254">
        <v>8.31</v>
      </c>
      <c r="E18418"/>
      <c r="F18418"/>
      <c r="G18418"/>
      <c r="H18418"/>
      <c r="I18418" s="489"/>
      <c r="J18418" s="1362"/>
      <c r="K18418" s="1362"/>
      <c r="L18418" s="1362"/>
    </row>
    <row r="18419" spans="1:12" x14ac:dyDescent="0.25">
      <c r="A18419">
        <v>20109</v>
      </c>
      <c r="B18419" t="s">
        <v>21921</v>
      </c>
      <c r="C18419" t="s">
        <v>2537</v>
      </c>
      <c r="D18419" s="254">
        <v>10.39</v>
      </c>
      <c r="E18419"/>
      <c r="F18419"/>
      <c r="G18419"/>
      <c r="H18419"/>
      <c r="I18419" s="489"/>
      <c r="J18419" s="1362"/>
      <c r="K18419" s="1362"/>
      <c r="L18419" s="1362"/>
    </row>
    <row r="18420" spans="1:12" x14ac:dyDescent="0.25">
      <c r="A18420">
        <v>43612</v>
      </c>
      <c r="B18420" t="s">
        <v>21922</v>
      </c>
      <c r="C18420" t="s">
        <v>2549</v>
      </c>
      <c r="D18420" s="254">
        <v>96.42</v>
      </c>
      <c r="E18420"/>
      <c r="F18420"/>
      <c r="G18420"/>
      <c r="H18420"/>
      <c r="I18420" s="489"/>
      <c r="J18420" s="1362"/>
      <c r="K18420" s="1362"/>
      <c r="L18420" s="1362"/>
    </row>
    <row r="18421" spans="1:12" x14ac:dyDescent="0.25">
      <c r="A18421">
        <v>43613</v>
      </c>
      <c r="B18421" t="s">
        <v>21923</v>
      </c>
      <c r="C18421" t="s">
        <v>2549</v>
      </c>
      <c r="D18421" s="254">
        <v>79.819999999999993</v>
      </c>
      <c r="E18421"/>
      <c r="F18421"/>
      <c r="G18421"/>
      <c r="H18421"/>
      <c r="I18421" s="489"/>
      <c r="J18421" s="1362"/>
      <c r="K18421" s="1362"/>
      <c r="L18421" s="1362"/>
    </row>
    <row r="18422" spans="1:12" x14ac:dyDescent="0.25">
      <c r="A18422">
        <v>11480</v>
      </c>
      <c r="B18422" t="s">
        <v>21924</v>
      </c>
      <c r="C18422" t="s">
        <v>2549</v>
      </c>
      <c r="D18422" s="254">
        <v>122.5</v>
      </c>
      <c r="E18422"/>
      <c r="F18422"/>
      <c r="G18422"/>
      <c r="H18422"/>
      <c r="I18422" s="489"/>
      <c r="J18422" s="1362"/>
      <c r="K18422" s="1362"/>
      <c r="L18422" s="1362"/>
    </row>
    <row r="18423" spans="1:12" x14ac:dyDescent="0.25">
      <c r="A18423">
        <v>11469</v>
      </c>
      <c r="B18423" t="s">
        <v>21925</v>
      </c>
      <c r="C18423" t="s">
        <v>2537</v>
      </c>
      <c r="D18423" s="254">
        <v>13.08</v>
      </c>
      <c r="E18423"/>
      <c r="F18423"/>
      <c r="G18423"/>
      <c r="H18423"/>
      <c r="I18423" s="489"/>
      <c r="J18423" s="1362"/>
      <c r="K18423" s="1362"/>
      <c r="L18423" s="1362"/>
    </row>
    <row r="18424" spans="1:12" x14ac:dyDescent="0.25">
      <c r="A18424">
        <v>11468</v>
      </c>
      <c r="B18424" t="s">
        <v>21926</v>
      </c>
      <c r="C18424" t="s">
        <v>2537</v>
      </c>
      <c r="D18424" s="254">
        <v>13.08</v>
      </c>
      <c r="E18424"/>
      <c r="F18424"/>
      <c r="G18424"/>
      <c r="H18424"/>
      <c r="I18424" s="489"/>
      <c r="J18424" s="1362"/>
      <c r="K18424" s="1362"/>
      <c r="L18424" s="1362"/>
    </row>
    <row r="18425" spans="1:12" x14ac:dyDescent="0.25">
      <c r="A18425">
        <v>11484</v>
      </c>
      <c r="B18425" t="s">
        <v>21927</v>
      </c>
      <c r="C18425" t="s">
        <v>2537</v>
      </c>
      <c r="D18425" s="254">
        <v>57.47</v>
      </c>
      <c r="E18425"/>
      <c r="F18425"/>
      <c r="G18425"/>
      <c r="H18425"/>
      <c r="I18425" s="489"/>
      <c r="J18425" s="1362"/>
      <c r="K18425" s="1362"/>
      <c r="L18425" s="1362"/>
    </row>
    <row r="18426" spans="1:12" x14ac:dyDescent="0.25">
      <c r="A18426">
        <v>38155</v>
      </c>
      <c r="B18426" t="s">
        <v>21928</v>
      </c>
      <c r="C18426" t="s">
        <v>2537</v>
      </c>
      <c r="D18426" s="254">
        <v>89.22</v>
      </c>
      <c r="E18426"/>
      <c r="F18426"/>
      <c r="G18426"/>
      <c r="H18426"/>
      <c r="I18426" s="489"/>
      <c r="J18426" s="1362"/>
      <c r="K18426" s="1362"/>
      <c r="L18426" s="1362"/>
    </row>
    <row r="18427" spans="1:12" x14ac:dyDescent="0.25">
      <c r="A18427">
        <v>11467</v>
      </c>
      <c r="B18427" t="s">
        <v>21929</v>
      </c>
      <c r="C18427" t="s">
        <v>2537</v>
      </c>
      <c r="D18427" s="254">
        <v>20.39</v>
      </c>
      <c r="E18427"/>
      <c r="F18427"/>
      <c r="G18427"/>
      <c r="H18427"/>
      <c r="I18427" s="489"/>
      <c r="J18427" s="1362"/>
      <c r="K18427" s="1362"/>
      <c r="L18427" s="1362"/>
    </row>
    <row r="18428" spans="1:12" x14ac:dyDescent="0.25">
      <c r="A18428">
        <v>38153</v>
      </c>
      <c r="B18428" t="s">
        <v>21930</v>
      </c>
      <c r="C18428" t="s">
        <v>2549</v>
      </c>
      <c r="D18428" s="254">
        <v>52.08</v>
      </c>
      <c r="E18428"/>
      <c r="F18428"/>
      <c r="G18428"/>
      <c r="H18428"/>
      <c r="I18428" s="489"/>
      <c r="J18428" s="1362"/>
      <c r="K18428" s="1362"/>
      <c r="L18428" s="1362"/>
    </row>
    <row r="18429" spans="1:12" x14ac:dyDescent="0.25">
      <c r="A18429">
        <v>43607</v>
      </c>
      <c r="B18429" t="s">
        <v>21931</v>
      </c>
      <c r="C18429" t="s">
        <v>2549</v>
      </c>
      <c r="D18429" s="254">
        <v>98.5</v>
      </c>
      <c r="E18429"/>
      <c r="F18429"/>
      <c r="G18429"/>
      <c r="H18429"/>
      <c r="I18429" s="489"/>
      <c r="J18429" s="1362"/>
      <c r="K18429" s="1362"/>
      <c r="L18429" s="1362"/>
    </row>
    <row r="18430" spans="1:12" x14ac:dyDescent="0.25">
      <c r="A18430">
        <v>3080</v>
      </c>
      <c r="B18430" t="s">
        <v>21932</v>
      </c>
      <c r="C18430" t="s">
        <v>2549</v>
      </c>
      <c r="D18430" s="254">
        <v>66.23</v>
      </c>
      <c r="E18430"/>
      <c r="F18430"/>
      <c r="G18430"/>
      <c r="H18430"/>
      <c r="I18430" s="489"/>
      <c r="J18430" s="1362"/>
      <c r="K18430" s="1362"/>
      <c r="L18430" s="1362"/>
    </row>
    <row r="18431" spans="1:12" x14ac:dyDescent="0.25">
      <c r="A18431">
        <v>3081</v>
      </c>
      <c r="B18431" t="s">
        <v>21933</v>
      </c>
      <c r="C18431" t="s">
        <v>2549</v>
      </c>
      <c r="D18431" s="254">
        <v>131.03</v>
      </c>
      <c r="E18431"/>
      <c r="F18431"/>
      <c r="G18431"/>
      <c r="H18431"/>
      <c r="I18431" s="489"/>
      <c r="J18431" s="1362"/>
      <c r="K18431" s="1362"/>
      <c r="L18431" s="1362"/>
    </row>
    <row r="18432" spans="1:12" x14ac:dyDescent="0.25">
      <c r="A18432">
        <v>3090</v>
      </c>
      <c r="B18432" t="s">
        <v>21934</v>
      </c>
      <c r="C18432" t="s">
        <v>2549</v>
      </c>
      <c r="D18432" s="254">
        <v>59.11</v>
      </c>
      <c r="E18432"/>
      <c r="F18432"/>
      <c r="G18432"/>
      <c r="H18432"/>
      <c r="I18432" s="489"/>
      <c r="J18432" s="1362"/>
      <c r="K18432" s="1362"/>
      <c r="L18432" s="1362"/>
    </row>
    <row r="18433" spans="1:12" x14ac:dyDescent="0.25">
      <c r="A18433">
        <v>43611</v>
      </c>
      <c r="B18433" t="s">
        <v>21935</v>
      </c>
      <c r="C18433" t="s">
        <v>2549</v>
      </c>
      <c r="D18433" s="254">
        <v>98.09</v>
      </c>
      <c r="E18433"/>
      <c r="F18433"/>
      <c r="G18433"/>
      <c r="H18433"/>
      <c r="I18433" s="489"/>
      <c r="J18433" s="1362"/>
      <c r="K18433" s="1362"/>
      <c r="L18433" s="1362"/>
    </row>
    <row r="18434" spans="1:12" x14ac:dyDescent="0.25">
      <c r="A18434">
        <v>3103</v>
      </c>
      <c r="B18434" t="s">
        <v>21936</v>
      </c>
      <c r="C18434" t="s">
        <v>2537</v>
      </c>
      <c r="D18434" s="254">
        <v>49.01</v>
      </c>
      <c r="E18434"/>
      <c r="F18434"/>
      <c r="G18434"/>
      <c r="H18434"/>
      <c r="I18434" s="489"/>
      <c r="J18434" s="1362"/>
      <c r="K18434" s="1362"/>
      <c r="L18434" s="1362"/>
    </row>
    <row r="18435" spans="1:12" x14ac:dyDescent="0.25">
      <c r="A18435">
        <v>3097</v>
      </c>
      <c r="B18435" t="s">
        <v>21937</v>
      </c>
      <c r="C18435" t="s">
        <v>2549</v>
      </c>
      <c r="D18435" s="254">
        <v>74.150000000000006</v>
      </c>
      <c r="E18435"/>
      <c r="F18435"/>
      <c r="G18435"/>
      <c r="H18435"/>
      <c r="I18435" s="489"/>
      <c r="J18435" s="1362"/>
      <c r="K18435" s="1362"/>
      <c r="L18435" s="1362"/>
    </row>
    <row r="18436" spans="1:12" x14ac:dyDescent="0.25">
      <c r="A18436">
        <v>3099</v>
      </c>
      <c r="B18436" t="s">
        <v>21938</v>
      </c>
      <c r="C18436" t="s">
        <v>2549</v>
      </c>
      <c r="D18436" s="254">
        <v>118.73</v>
      </c>
      <c r="E18436"/>
      <c r="F18436"/>
      <c r="G18436"/>
      <c r="H18436"/>
      <c r="I18436" s="489"/>
      <c r="J18436" s="1362"/>
      <c r="K18436" s="1362"/>
      <c r="L18436" s="1362"/>
    </row>
    <row r="18437" spans="1:12" x14ac:dyDescent="0.25">
      <c r="A18437">
        <v>38151</v>
      </c>
      <c r="B18437" t="s">
        <v>21939</v>
      </c>
      <c r="C18437" t="s">
        <v>2549</v>
      </c>
      <c r="D18437" s="254">
        <v>86.08</v>
      </c>
      <c r="E18437"/>
      <c r="F18437"/>
      <c r="G18437"/>
      <c r="H18437"/>
      <c r="I18437" s="489"/>
      <c r="J18437" s="1362"/>
      <c r="K18437" s="1362"/>
      <c r="L18437" s="1362"/>
    </row>
    <row r="18438" spans="1:12" x14ac:dyDescent="0.25">
      <c r="A18438">
        <v>38152</v>
      </c>
      <c r="B18438" t="s">
        <v>21940</v>
      </c>
      <c r="C18438" t="s">
        <v>2549</v>
      </c>
      <c r="D18438" s="254">
        <v>138.86000000000001</v>
      </c>
      <c r="E18438"/>
      <c r="F18438"/>
      <c r="G18438"/>
      <c r="H18438"/>
      <c r="I18438" s="489"/>
      <c r="J18438" s="1362"/>
      <c r="K18438" s="1362"/>
      <c r="L18438" s="1362"/>
    </row>
    <row r="18439" spans="1:12" x14ac:dyDescent="0.25">
      <c r="A18439">
        <v>43610</v>
      </c>
      <c r="B18439" t="s">
        <v>21941</v>
      </c>
      <c r="C18439" t="s">
        <v>2549</v>
      </c>
      <c r="D18439" s="254">
        <v>73.58</v>
      </c>
      <c r="E18439"/>
      <c r="F18439"/>
      <c r="G18439"/>
      <c r="H18439"/>
      <c r="I18439" s="489"/>
      <c r="J18439" s="1362"/>
      <c r="K18439" s="1362"/>
      <c r="L18439" s="1362"/>
    </row>
    <row r="18440" spans="1:12" x14ac:dyDescent="0.25">
      <c r="A18440">
        <v>3093</v>
      </c>
      <c r="B18440" t="s">
        <v>21942</v>
      </c>
      <c r="C18440" t="s">
        <v>2549</v>
      </c>
      <c r="D18440" s="254">
        <v>118.73</v>
      </c>
      <c r="E18440"/>
      <c r="F18440"/>
      <c r="G18440"/>
      <c r="H18440"/>
      <c r="I18440" s="489"/>
      <c r="J18440" s="1362"/>
      <c r="K18440" s="1362"/>
      <c r="L18440" s="1362"/>
    </row>
    <row r="18441" spans="1:12" x14ac:dyDescent="0.25">
      <c r="A18441">
        <v>38165</v>
      </c>
      <c r="B18441" t="s">
        <v>21943</v>
      </c>
      <c r="C18441" t="s">
        <v>2549</v>
      </c>
      <c r="D18441" s="254">
        <v>72.42</v>
      </c>
      <c r="E18441"/>
      <c r="F18441"/>
      <c r="G18441"/>
      <c r="H18441"/>
      <c r="I18441" s="489"/>
      <c r="J18441" s="1362"/>
      <c r="K18441" s="1362"/>
      <c r="L18441" s="1362"/>
    </row>
    <row r="18442" spans="1:12" x14ac:dyDescent="0.25">
      <c r="A18442">
        <v>38177</v>
      </c>
      <c r="B18442" t="s">
        <v>21944</v>
      </c>
      <c r="C18442" t="s">
        <v>2537</v>
      </c>
      <c r="D18442" s="254">
        <v>21.52</v>
      </c>
      <c r="E18442"/>
      <c r="F18442"/>
      <c r="G18442"/>
      <c r="H18442"/>
      <c r="I18442" s="489"/>
      <c r="J18442" s="1362"/>
      <c r="K18442" s="1362"/>
      <c r="L18442" s="1362"/>
    </row>
    <row r="18443" spans="1:12" x14ac:dyDescent="0.25">
      <c r="A18443">
        <v>11458</v>
      </c>
      <c r="B18443" t="s">
        <v>21945</v>
      </c>
      <c r="C18443" t="s">
        <v>2537</v>
      </c>
      <c r="D18443" s="254">
        <v>25.69</v>
      </c>
      <c r="E18443"/>
      <c r="F18443"/>
      <c r="G18443"/>
      <c r="H18443"/>
      <c r="I18443" s="489"/>
      <c r="J18443" s="1362"/>
      <c r="K18443" s="1362"/>
      <c r="L18443" s="1362"/>
    </row>
    <row r="18444" spans="1:12" x14ac:dyDescent="0.25">
      <c r="A18444">
        <v>3108</v>
      </c>
      <c r="B18444" t="s">
        <v>21946</v>
      </c>
      <c r="C18444" t="s">
        <v>2537</v>
      </c>
      <c r="D18444" s="254">
        <v>109.21</v>
      </c>
      <c r="E18444"/>
      <c r="F18444"/>
      <c r="G18444"/>
      <c r="H18444"/>
      <c r="I18444" s="489"/>
      <c r="J18444" s="1362"/>
      <c r="K18444" s="1362"/>
      <c r="L18444" s="1362"/>
    </row>
    <row r="18445" spans="1:12" x14ac:dyDescent="0.25">
      <c r="A18445">
        <v>3105</v>
      </c>
      <c r="B18445" t="s">
        <v>21947</v>
      </c>
      <c r="C18445" t="s">
        <v>2537</v>
      </c>
      <c r="D18445" s="254">
        <v>142.84</v>
      </c>
      <c r="E18445"/>
      <c r="F18445"/>
      <c r="G18445"/>
      <c r="H18445"/>
      <c r="I18445" s="489"/>
      <c r="J18445" s="1362"/>
      <c r="K18445" s="1362"/>
      <c r="L18445" s="1362"/>
    </row>
    <row r="18446" spans="1:12" x14ac:dyDescent="0.25">
      <c r="A18446">
        <v>38178</v>
      </c>
      <c r="B18446" t="s">
        <v>21948</v>
      </c>
      <c r="C18446" t="s">
        <v>2537</v>
      </c>
      <c r="D18446" s="254">
        <v>23.67</v>
      </c>
      <c r="E18446"/>
      <c r="F18446"/>
      <c r="G18446"/>
      <c r="H18446"/>
      <c r="I18446" s="489"/>
      <c r="J18446" s="1362"/>
      <c r="K18446" s="1362"/>
      <c r="L18446" s="1362"/>
    </row>
    <row r="18447" spans="1:12" x14ac:dyDescent="0.25">
      <c r="A18447">
        <v>43575</v>
      </c>
      <c r="B18447" t="s">
        <v>21949</v>
      </c>
      <c r="C18447" t="s">
        <v>2537</v>
      </c>
      <c r="D18447" s="254">
        <v>51.3</v>
      </c>
      <c r="E18447"/>
      <c r="F18447"/>
      <c r="G18447"/>
      <c r="H18447"/>
      <c r="I18447" s="489"/>
      <c r="J18447" s="1362"/>
      <c r="K18447" s="1362"/>
      <c r="L18447" s="1362"/>
    </row>
    <row r="18448" spans="1:12" x14ac:dyDescent="0.25">
      <c r="A18448">
        <v>43577</v>
      </c>
      <c r="B18448" t="s">
        <v>21950</v>
      </c>
      <c r="C18448" t="s">
        <v>2537</v>
      </c>
      <c r="D18448" s="254">
        <v>89.19</v>
      </c>
      <c r="E18448"/>
      <c r="F18448"/>
      <c r="G18448"/>
      <c r="H18448"/>
      <c r="I18448" s="489"/>
      <c r="J18448" s="1362"/>
      <c r="K18448" s="1362"/>
      <c r="L18448" s="1362"/>
    </row>
    <row r="18449" spans="1:12" x14ac:dyDescent="0.25">
      <c r="A18449">
        <v>43458</v>
      </c>
      <c r="B18449" t="s">
        <v>21951</v>
      </c>
      <c r="C18449" t="s">
        <v>2538</v>
      </c>
      <c r="D18449" s="254">
        <v>0.05</v>
      </c>
      <c r="E18449"/>
      <c r="F18449"/>
      <c r="G18449"/>
      <c r="H18449"/>
      <c r="I18449" s="489"/>
      <c r="J18449" s="1362"/>
      <c r="K18449" s="1362"/>
      <c r="L18449" s="1362"/>
    </row>
    <row r="18450" spans="1:12" x14ac:dyDescent="0.25">
      <c r="A18450">
        <v>43470</v>
      </c>
      <c r="B18450" t="s">
        <v>21952</v>
      </c>
      <c r="C18450" t="s">
        <v>2544</v>
      </c>
      <c r="D18450" s="254">
        <v>9.2100000000000009</v>
      </c>
      <c r="E18450"/>
      <c r="F18450"/>
      <c r="G18450"/>
      <c r="H18450"/>
      <c r="I18450" s="489"/>
      <c r="J18450" s="1362"/>
      <c r="K18450" s="1362"/>
      <c r="L18450" s="1362"/>
    </row>
    <row r="18451" spans="1:12" x14ac:dyDescent="0.25">
      <c r="A18451">
        <v>43459</v>
      </c>
      <c r="B18451" t="s">
        <v>21953</v>
      </c>
      <c r="C18451" t="s">
        <v>2538</v>
      </c>
      <c r="D18451" s="254">
        <v>0.45</v>
      </c>
      <c r="E18451"/>
      <c r="F18451"/>
      <c r="G18451"/>
      <c r="H18451"/>
      <c r="I18451" s="489"/>
      <c r="J18451" s="1362"/>
      <c r="K18451" s="1362"/>
      <c r="L18451" s="1362"/>
    </row>
    <row r="18452" spans="1:12" x14ac:dyDescent="0.25">
      <c r="A18452">
        <v>43471</v>
      </c>
      <c r="B18452" t="s">
        <v>21954</v>
      </c>
      <c r="C18452" t="s">
        <v>2544</v>
      </c>
      <c r="D18452" s="254">
        <v>84.46</v>
      </c>
      <c r="E18452"/>
      <c r="F18452"/>
      <c r="G18452"/>
      <c r="H18452"/>
      <c r="I18452" s="489"/>
      <c r="J18452" s="1362"/>
      <c r="K18452" s="1362"/>
      <c r="L18452" s="1362"/>
    </row>
    <row r="18453" spans="1:12" x14ac:dyDescent="0.25">
      <c r="A18453">
        <v>43460</v>
      </c>
      <c r="B18453" t="s">
        <v>21955</v>
      </c>
      <c r="C18453" t="s">
        <v>2538</v>
      </c>
      <c r="D18453" s="254">
        <v>0.78</v>
      </c>
      <c r="E18453"/>
      <c r="F18453"/>
      <c r="G18453"/>
      <c r="H18453"/>
      <c r="I18453" s="489"/>
      <c r="J18453" s="1362"/>
      <c r="K18453" s="1362"/>
      <c r="L18453" s="1362"/>
    </row>
    <row r="18454" spans="1:12" x14ac:dyDescent="0.25">
      <c r="A18454">
        <v>43472</v>
      </c>
      <c r="B18454" t="s">
        <v>21956</v>
      </c>
      <c r="C18454" t="s">
        <v>2544</v>
      </c>
      <c r="D18454" s="254">
        <v>147.22999999999999</v>
      </c>
      <c r="E18454"/>
      <c r="F18454"/>
      <c r="G18454"/>
      <c r="H18454"/>
      <c r="I18454" s="489"/>
      <c r="J18454" s="1362"/>
      <c r="K18454" s="1362"/>
      <c r="L18454" s="1362"/>
    </row>
    <row r="18455" spans="1:12" x14ac:dyDescent="0.25">
      <c r="A18455">
        <v>43461</v>
      </c>
      <c r="B18455" t="s">
        <v>21957</v>
      </c>
      <c r="C18455" t="s">
        <v>2538</v>
      </c>
      <c r="D18455" s="254">
        <v>0.32</v>
      </c>
      <c r="E18455"/>
      <c r="F18455"/>
      <c r="G18455"/>
      <c r="H18455"/>
      <c r="I18455" s="489"/>
      <c r="J18455" s="1362"/>
      <c r="K18455" s="1362"/>
      <c r="L18455" s="1362"/>
    </row>
    <row r="18456" spans="1:12" x14ac:dyDescent="0.25">
      <c r="A18456">
        <v>43473</v>
      </c>
      <c r="B18456" t="s">
        <v>21958</v>
      </c>
      <c r="C18456" t="s">
        <v>2544</v>
      </c>
      <c r="D18456" s="254">
        <v>60.93</v>
      </c>
      <c r="E18456"/>
      <c r="F18456"/>
      <c r="G18456"/>
      <c r="H18456"/>
      <c r="I18456" s="489"/>
      <c r="J18456" s="1362"/>
      <c r="K18456" s="1362"/>
      <c r="L18456" s="1362"/>
    </row>
    <row r="18457" spans="1:12" x14ac:dyDescent="0.25">
      <c r="A18457">
        <v>43463</v>
      </c>
      <c r="B18457" t="s">
        <v>21959</v>
      </c>
      <c r="C18457" t="s">
        <v>2538</v>
      </c>
      <c r="D18457" s="254">
        <v>0.1</v>
      </c>
      <c r="E18457"/>
      <c r="F18457"/>
      <c r="G18457"/>
      <c r="H18457"/>
      <c r="I18457" s="489"/>
      <c r="J18457" s="1362"/>
      <c r="K18457" s="1362"/>
      <c r="L18457" s="1362"/>
    </row>
    <row r="18458" spans="1:12" x14ac:dyDescent="0.25">
      <c r="A18458">
        <v>43475</v>
      </c>
      <c r="B18458" t="s">
        <v>21960</v>
      </c>
      <c r="C18458" t="s">
        <v>2544</v>
      </c>
      <c r="D18458" s="254">
        <v>18.579999999999998</v>
      </c>
      <c r="E18458"/>
      <c r="F18458"/>
      <c r="G18458"/>
      <c r="H18458"/>
      <c r="I18458" s="489"/>
      <c r="J18458" s="1362"/>
      <c r="K18458" s="1362"/>
      <c r="L18458" s="1362"/>
    </row>
    <row r="18459" spans="1:12" x14ac:dyDescent="0.25">
      <c r="A18459">
        <v>43462</v>
      </c>
      <c r="B18459" t="s">
        <v>21961</v>
      </c>
      <c r="C18459" t="s">
        <v>2538</v>
      </c>
      <c r="D18459" s="254">
        <v>0.01</v>
      </c>
      <c r="E18459"/>
      <c r="F18459"/>
      <c r="G18459"/>
      <c r="H18459"/>
      <c r="I18459" s="489"/>
      <c r="J18459" s="1362"/>
      <c r="K18459" s="1362"/>
      <c r="L18459" s="1362"/>
    </row>
    <row r="18460" spans="1:12" x14ac:dyDescent="0.25">
      <c r="A18460">
        <v>43474</v>
      </c>
      <c r="B18460" t="s">
        <v>21962</v>
      </c>
      <c r="C18460" t="s">
        <v>2544</v>
      </c>
      <c r="D18460" s="254">
        <v>1.9</v>
      </c>
      <c r="E18460"/>
      <c r="F18460"/>
      <c r="G18460"/>
      <c r="H18460"/>
      <c r="I18460" s="489"/>
      <c r="J18460" s="1362"/>
      <c r="K18460" s="1362"/>
      <c r="L18460" s="1362"/>
    </row>
    <row r="18461" spans="1:12" x14ac:dyDescent="0.25">
      <c r="A18461">
        <v>43464</v>
      </c>
      <c r="B18461" t="s">
        <v>21963</v>
      </c>
      <c r="C18461" t="s">
        <v>2538</v>
      </c>
      <c r="D18461" s="254">
        <v>0.01</v>
      </c>
      <c r="E18461"/>
      <c r="F18461"/>
      <c r="G18461"/>
      <c r="H18461"/>
      <c r="I18461" s="489"/>
      <c r="J18461" s="1362"/>
      <c r="K18461" s="1362"/>
      <c r="L18461" s="1362"/>
    </row>
    <row r="18462" spans="1:12" x14ac:dyDescent="0.25">
      <c r="A18462">
        <v>43476</v>
      </c>
      <c r="B18462" t="s">
        <v>21964</v>
      </c>
      <c r="C18462" t="s">
        <v>2544</v>
      </c>
      <c r="D18462" s="254">
        <v>0.01</v>
      </c>
      <c r="E18462"/>
      <c r="F18462"/>
      <c r="G18462"/>
      <c r="H18462"/>
      <c r="I18462" s="489"/>
      <c r="J18462" s="1362"/>
      <c r="K18462" s="1362"/>
      <c r="L18462" s="1362"/>
    </row>
    <row r="18463" spans="1:12" x14ac:dyDescent="0.25">
      <c r="A18463">
        <v>43465</v>
      </c>
      <c r="B18463" t="s">
        <v>21965</v>
      </c>
      <c r="C18463" t="s">
        <v>2538</v>
      </c>
      <c r="D18463" s="254">
        <v>0.74</v>
      </c>
      <c r="E18463"/>
      <c r="F18463"/>
      <c r="G18463"/>
      <c r="H18463"/>
      <c r="I18463" s="489"/>
      <c r="J18463" s="1362"/>
      <c r="K18463" s="1362"/>
      <c r="L18463" s="1362"/>
    </row>
    <row r="18464" spans="1:12" x14ac:dyDescent="0.25">
      <c r="A18464">
        <v>43477</v>
      </c>
      <c r="B18464" t="s">
        <v>21966</v>
      </c>
      <c r="C18464" t="s">
        <v>2544</v>
      </c>
      <c r="D18464" s="254">
        <v>139.44</v>
      </c>
      <c r="E18464"/>
      <c r="F18464"/>
      <c r="G18464"/>
      <c r="H18464"/>
      <c r="I18464" s="489"/>
      <c r="J18464" s="1362"/>
      <c r="K18464" s="1362"/>
      <c r="L18464" s="1362"/>
    </row>
    <row r="18465" spans="1:12" x14ac:dyDescent="0.25">
      <c r="A18465">
        <v>43466</v>
      </c>
      <c r="B18465" t="s">
        <v>21967</v>
      </c>
      <c r="C18465" t="s">
        <v>2538</v>
      </c>
      <c r="D18465" s="254">
        <v>1.48</v>
      </c>
      <c r="E18465"/>
      <c r="F18465"/>
      <c r="G18465"/>
      <c r="H18465"/>
      <c r="I18465" s="489"/>
      <c r="J18465" s="1362"/>
      <c r="K18465" s="1362"/>
      <c r="L18465" s="1362"/>
    </row>
    <row r="18466" spans="1:12" x14ac:dyDescent="0.25">
      <c r="A18466">
        <v>43478</v>
      </c>
      <c r="B18466" t="s">
        <v>21968</v>
      </c>
      <c r="C18466" t="s">
        <v>2544</v>
      </c>
      <c r="D18466" s="254">
        <v>279.08999999999997</v>
      </c>
      <c r="E18466"/>
      <c r="F18466"/>
      <c r="G18466"/>
      <c r="H18466"/>
      <c r="I18466" s="489"/>
      <c r="J18466" s="1362"/>
      <c r="K18466" s="1362"/>
      <c r="L18466" s="1362"/>
    </row>
    <row r="18467" spans="1:12" x14ac:dyDescent="0.25">
      <c r="A18467">
        <v>43467</v>
      </c>
      <c r="B18467" t="s">
        <v>21969</v>
      </c>
      <c r="C18467" t="s">
        <v>2538</v>
      </c>
      <c r="D18467" s="254">
        <v>0.56000000000000005</v>
      </c>
      <c r="E18467"/>
      <c r="F18467"/>
      <c r="G18467"/>
      <c r="H18467"/>
      <c r="I18467" s="489"/>
      <c r="J18467" s="1362"/>
      <c r="K18467" s="1362"/>
      <c r="L18467" s="1362"/>
    </row>
    <row r="18468" spans="1:12" x14ac:dyDescent="0.25">
      <c r="A18468">
        <v>43479</v>
      </c>
      <c r="B18468" t="s">
        <v>21970</v>
      </c>
      <c r="C18468" t="s">
        <v>2544</v>
      </c>
      <c r="D18468" s="254">
        <v>106.33</v>
      </c>
      <c r="E18468"/>
      <c r="F18468"/>
      <c r="G18468"/>
      <c r="H18468"/>
      <c r="I18468" s="489"/>
      <c r="J18468" s="1362"/>
      <c r="K18468" s="1362"/>
      <c r="L18468" s="1362"/>
    </row>
    <row r="18469" spans="1:12" x14ac:dyDescent="0.25">
      <c r="A18469">
        <v>43468</v>
      </c>
      <c r="B18469" t="s">
        <v>21971</v>
      </c>
      <c r="C18469" t="s">
        <v>2538</v>
      </c>
      <c r="D18469" s="254">
        <v>1.07</v>
      </c>
      <c r="E18469"/>
      <c r="F18469"/>
      <c r="G18469"/>
      <c r="H18469"/>
      <c r="I18469" s="489"/>
      <c r="J18469" s="1362"/>
      <c r="K18469" s="1362"/>
      <c r="L18469" s="1362"/>
    </row>
    <row r="18470" spans="1:12" x14ac:dyDescent="0.25">
      <c r="A18470">
        <v>43480</v>
      </c>
      <c r="B18470" t="s">
        <v>21972</v>
      </c>
      <c r="C18470" t="s">
        <v>2544</v>
      </c>
      <c r="D18470" s="254">
        <v>201.56</v>
      </c>
      <c r="E18470"/>
      <c r="F18470"/>
      <c r="G18470"/>
      <c r="H18470"/>
      <c r="I18470" s="489"/>
      <c r="J18470" s="1362"/>
      <c r="K18470" s="1362"/>
      <c r="L18470" s="1362"/>
    </row>
    <row r="18471" spans="1:12" x14ac:dyDescent="0.25">
      <c r="A18471">
        <v>43469</v>
      </c>
      <c r="B18471" t="s">
        <v>21973</v>
      </c>
      <c r="C18471" t="s">
        <v>2538</v>
      </c>
      <c r="D18471" s="254">
        <v>7.0000000000000007E-2</v>
      </c>
      <c r="E18471"/>
      <c r="F18471"/>
      <c r="G18471"/>
      <c r="H18471"/>
      <c r="I18471" s="489"/>
      <c r="J18471" s="1362"/>
      <c r="K18471" s="1362"/>
      <c r="L18471" s="1362"/>
    </row>
    <row r="18472" spans="1:12" x14ac:dyDescent="0.25">
      <c r="A18472">
        <v>43481</v>
      </c>
      <c r="B18472" t="s">
        <v>21974</v>
      </c>
      <c r="C18472" t="s">
        <v>2544</v>
      </c>
      <c r="D18472" s="254">
        <v>13.21</v>
      </c>
      <c r="E18472"/>
      <c r="F18472"/>
      <c r="G18472"/>
      <c r="H18472"/>
      <c r="I18472" s="489"/>
      <c r="J18472" s="1362"/>
      <c r="K18472" s="1362"/>
      <c r="L18472" s="1362"/>
    </row>
    <row r="18473" spans="1:12" x14ac:dyDescent="0.25">
      <c r="A18473">
        <v>3119</v>
      </c>
      <c r="B18473" t="s">
        <v>21975</v>
      </c>
      <c r="C18473" t="s">
        <v>2537</v>
      </c>
      <c r="D18473" s="254">
        <v>2.78</v>
      </c>
      <c r="E18473"/>
      <c r="F18473"/>
      <c r="G18473"/>
      <c r="H18473"/>
      <c r="I18473" s="489"/>
      <c r="J18473" s="1362"/>
      <c r="K18473" s="1362"/>
      <c r="L18473" s="1362"/>
    </row>
    <row r="18474" spans="1:12" x14ac:dyDescent="0.25">
      <c r="A18474">
        <v>3122</v>
      </c>
      <c r="B18474" t="s">
        <v>21976</v>
      </c>
      <c r="C18474" t="s">
        <v>2537</v>
      </c>
      <c r="D18474" s="254">
        <v>5.66</v>
      </c>
      <c r="E18474"/>
      <c r="F18474"/>
      <c r="G18474"/>
      <c r="H18474"/>
      <c r="I18474" s="489"/>
      <c r="J18474" s="1362"/>
      <c r="K18474" s="1362"/>
      <c r="L18474" s="1362"/>
    </row>
    <row r="18475" spans="1:12" x14ac:dyDescent="0.25">
      <c r="A18475">
        <v>3121</v>
      </c>
      <c r="B18475" t="s">
        <v>21977</v>
      </c>
      <c r="C18475" t="s">
        <v>2537</v>
      </c>
      <c r="D18475" s="254">
        <v>6.41</v>
      </c>
      <c r="E18475"/>
      <c r="F18475"/>
      <c r="G18475"/>
      <c r="H18475"/>
      <c r="I18475" s="489"/>
      <c r="J18475" s="1362"/>
      <c r="K18475" s="1362"/>
      <c r="L18475" s="1362"/>
    </row>
    <row r="18476" spans="1:12" x14ac:dyDescent="0.25">
      <c r="A18476">
        <v>3120</v>
      </c>
      <c r="B18476" t="s">
        <v>21978</v>
      </c>
      <c r="C18476" t="s">
        <v>2537</v>
      </c>
      <c r="D18476" s="254">
        <v>12.16</v>
      </c>
      <c r="E18476"/>
      <c r="F18476"/>
      <c r="G18476"/>
      <c r="H18476"/>
      <c r="I18476" s="489"/>
      <c r="J18476" s="1362"/>
      <c r="K18476" s="1362"/>
      <c r="L18476" s="1362"/>
    </row>
    <row r="18477" spans="1:12" x14ac:dyDescent="0.25">
      <c r="A18477">
        <v>11455</v>
      </c>
      <c r="B18477" t="s">
        <v>21979</v>
      </c>
      <c r="C18477" t="s">
        <v>2537</v>
      </c>
      <c r="D18477" s="254">
        <v>17.59</v>
      </c>
      <c r="E18477"/>
      <c r="F18477"/>
      <c r="G18477"/>
      <c r="H18477"/>
      <c r="I18477" s="489"/>
      <c r="J18477" s="1362"/>
      <c r="K18477" s="1362"/>
      <c r="L18477" s="1362"/>
    </row>
    <row r="18478" spans="1:12" x14ac:dyDescent="0.25">
      <c r="A18478">
        <v>11456</v>
      </c>
      <c r="B18478" t="s">
        <v>21980</v>
      </c>
      <c r="C18478" t="s">
        <v>2537</v>
      </c>
      <c r="D18478" s="254">
        <v>21.02</v>
      </c>
      <c r="E18478"/>
      <c r="F18478"/>
      <c r="G18478"/>
      <c r="H18478"/>
      <c r="I18478" s="489"/>
      <c r="J18478" s="1362"/>
      <c r="K18478" s="1362"/>
      <c r="L18478" s="1362"/>
    </row>
    <row r="18479" spans="1:12" x14ac:dyDescent="0.25">
      <c r="A18479">
        <v>3107</v>
      </c>
      <c r="B18479" t="s">
        <v>21981</v>
      </c>
      <c r="C18479" t="s">
        <v>2537</v>
      </c>
      <c r="D18479" s="254">
        <v>8.8699999999999992</v>
      </c>
      <c r="E18479"/>
      <c r="F18479"/>
      <c r="G18479"/>
      <c r="H18479"/>
      <c r="I18479" s="489"/>
      <c r="J18479" s="1362"/>
      <c r="K18479" s="1362"/>
      <c r="L18479" s="1362"/>
    </row>
    <row r="18480" spans="1:12" x14ac:dyDescent="0.25">
      <c r="A18480">
        <v>43583</v>
      </c>
      <c r="B18480" t="s">
        <v>21982</v>
      </c>
      <c r="C18480" t="s">
        <v>2537</v>
      </c>
      <c r="D18480" s="254">
        <v>10</v>
      </c>
      <c r="E18480"/>
      <c r="F18480"/>
      <c r="G18480"/>
      <c r="H18480"/>
      <c r="I18480" s="489"/>
      <c r="J18480" s="1362"/>
      <c r="K18480" s="1362"/>
      <c r="L18480" s="1362"/>
    </row>
    <row r="18481" spans="1:12" x14ac:dyDescent="0.25">
      <c r="A18481">
        <v>43586</v>
      </c>
      <c r="B18481" t="s">
        <v>21983</v>
      </c>
      <c r="C18481" t="s">
        <v>2537</v>
      </c>
      <c r="D18481" s="254">
        <v>10.25</v>
      </c>
      <c r="E18481"/>
      <c r="F18481"/>
      <c r="G18481"/>
      <c r="H18481"/>
      <c r="I18481" s="489"/>
      <c r="J18481" s="1362"/>
      <c r="K18481" s="1362"/>
      <c r="L18481" s="1362"/>
    </row>
    <row r="18482" spans="1:12" x14ac:dyDescent="0.25">
      <c r="A18482">
        <v>11461</v>
      </c>
      <c r="B18482" t="s">
        <v>21984</v>
      </c>
      <c r="C18482" t="s">
        <v>2537</v>
      </c>
      <c r="D18482" s="254">
        <v>11.17</v>
      </c>
      <c r="E18482"/>
      <c r="F18482"/>
      <c r="G18482"/>
      <c r="H18482"/>
      <c r="I18482" s="489"/>
      <c r="J18482" s="1362"/>
      <c r="K18482" s="1362"/>
      <c r="L18482" s="1362"/>
    </row>
    <row r="18483" spans="1:12" x14ac:dyDescent="0.25">
      <c r="A18483">
        <v>43587</v>
      </c>
      <c r="B18483" t="s">
        <v>21985</v>
      </c>
      <c r="C18483" t="s">
        <v>2537</v>
      </c>
      <c r="D18483" s="254">
        <v>12.89</v>
      </c>
      <c r="E18483"/>
      <c r="F18483"/>
      <c r="G18483"/>
      <c r="H18483"/>
      <c r="I18483" s="489"/>
      <c r="J18483" s="1362"/>
      <c r="K18483" s="1362"/>
      <c r="L18483" s="1362"/>
    </row>
    <row r="18484" spans="1:12" x14ac:dyDescent="0.25">
      <c r="A18484">
        <v>3106</v>
      </c>
      <c r="B18484" t="s">
        <v>21986</v>
      </c>
      <c r="C18484" t="s">
        <v>2537</v>
      </c>
      <c r="D18484" s="254">
        <v>16.350000000000001</v>
      </c>
      <c r="E18484"/>
      <c r="F18484"/>
      <c r="G18484"/>
      <c r="H18484"/>
      <c r="I18484" s="489"/>
      <c r="J18484" s="1362"/>
      <c r="K18484" s="1362"/>
      <c r="L18484" s="1362"/>
    </row>
    <row r="18485" spans="1:12" x14ac:dyDescent="0.25">
      <c r="A18485">
        <v>44539</v>
      </c>
      <c r="B18485" t="s">
        <v>21987</v>
      </c>
      <c r="C18485" t="s">
        <v>2542</v>
      </c>
      <c r="D18485" s="254">
        <v>5.58</v>
      </c>
      <c r="E18485"/>
      <c r="F18485"/>
      <c r="G18485"/>
      <c r="H18485"/>
      <c r="I18485" s="489"/>
      <c r="J18485" s="1362"/>
      <c r="K18485" s="1362"/>
      <c r="L18485" s="1362"/>
    </row>
    <row r="18486" spans="1:12" x14ac:dyDescent="0.25">
      <c r="A18486">
        <v>3123</v>
      </c>
      <c r="B18486" t="s">
        <v>21988</v>
      </c>
      <c r="C18486" t="s">
        <v>2542</v>
      </c>
      <c r="D18486" s="254">
        <v>5.2</v>
      </c>
      <c r="E18486"/>
      <c r="F18486"/>
      <c r="G18486"/>
      <c r="H18486"/>
      <c r="I18486" s="489"/>
      <c r="J18486" s="1362"/>
      <c r="K18486" s="1362"/>
      <c r="L18486" s="1362"/>
    </row>
    <row r="18487" spans="1:12" x14ac:dyDescent="0.25">
      <c r="A18487">
        <v>38125</v>
      </c>
      <c r="B18487" t="s">
        <v>21989</v>
      </c>
      <c r="C18487" t="s">
        <v>2542</v>
      </c>
      <c r="D18487" s="254">
        <v>1.25</v>
      </c>
      <c r="E18487"/>
      <c r="F18487"/>
      <c r="G18487"/>
      <c r="H18487"/>
      <c r="I18487" s="489"/>
      <c r="J18487" s="1362"/>
      <c r="K18487" s="1362"/>
      <c r="L18487" s="1362"/>
    </row>
    <row r="18488" spans="1:12" x14ac:dyDescent="0.25">
      <c r="A18488">
        <v>39014</v>
      </c>
      <c r="B18488" t="s">
        <v>21990</v>
      </c>
      <c r="C18488" t="s">
        <v>2542</v>
      </c>
      <c r="D18488" s="254">
        <v>10.92</v>
      </c>
      <c r="E18488"/>
      <c r="F18488"/>
      <c r="G18488"/>
      <c r="H18488"/>
      <c r="I18488" s="489"/>
      <c r="J18488" s="1362"/>
      <c r="K18488" s="1362"/>
      <c r="L18488" s="1362"/>
    </row>
    <row r="18489" spans="1:12" x14ac:dyDescent="0.25">
      <c r="A18489">
        <v>39365</v>
      </c>
      <c r="B18489" t="s">
        <v>21991</v>
      </c>
      <c r="C18489" t="s">
        <v>2537</v>
      </c>
      <c r="D18489" s="254">
        <v>1074.01</v>
      </c>
      <c r="E18489"/>
      <c r="F18489"/>
      <c r="G18489"/>
      <c r="H18489"/>
      <c r="I18489" s="489"/>
      <c r="J18489" s="1362"/>
      <c r="K18489" s="1362"/>
      <c r="L18489" s="1362"/>
    </row>
    <row r="18490" spans="1:12" x14ac:dyDescent="0.25">
      <c r="A18490">
        <v>39366</v>
      </c>
      <c r="B18490" t="s">
        <v>21992</v>
      </c>
      <c r="C18490" t="s">
        <v>2537</v>
      </c>
      <c r="D18490" s="254">
        <v>2749.91</v>
      </c>
      <c r="E18490"/>
      <c r="F18490"/>
      <c r="G18490"/>
      <c r="H18490"/>
      <c r="I18490" s="489"/>
      <c r="J18490" s="1362"/>
      <c r="K18490" s="1362"/>
      <c r="L18490" s="1362"/>
    </row>
    <row r="18491" spans="1:12" x14ac:dyDescent="0.25">
      <c r="A18491">
        <v>39367</v>
      </c>
      <c r="B18491" t="s">
        <v>21993</v>
      </c>
      <c r="C18491" t="s">
        <v>2537</v>
      </c>
      <c r="D18491" s="254">
        <v>3758.63</v>
      </c>
      <c r="E18491"/>
      <c r="F18491"/>
      <c r="G18491"/>
      <c r="H18491"/>
      <c r="I18491" s="489"/>
      <c r="J18491" s="1362"/>
      <c r="K18491" s="1362"/>
      <c r="L18491" s="1362"/>
    </row>
    <row r="18492" spans="1:12" x14ac:dyDescent="0.25">
      <c r="A18492">
        <v>37394</v>
      </c>
      <c r="B18492" t="s">
        <v>21994</v>
      </c>
      <c r="C18492" t="s">
        <v>2551</v>
      </c>
      <c r="D18492" s="254">
        <v>42.47</v>
      </c>
      <c r="E18492"/>
      <c r="F18492"/>
      <c r="G18492"/>
      <c r="H18492"/>
      <c r="I18492" s="489"/>
      <c r="J18492" s="1362"/>
      <c r="K18492" s="1362"/>
      <c r="L18492" s="1362"/>
    </row>
    <row r="18493" spans="1:12" x14ac:dyDescent="0.25">
      <c r="A18493">
        <v>14146</v>
      </c>
      <c r="B18493" t="s">
        <v>21995</v>
      </c>
      <c r="C18493" t="s">
        <v>2551</v>
      </c>
      <c r="D18493" s="254">
        <v>68.3</v>
      </c>
      <c r="E18493"/>
      <c r="F18493"/>
      <c r="G18493"/>
      <c r="H18493"/>
      <c r="I18493" s="489"/>
      <c r="J18493" s="1362"/>
      <c r="K18493" s="1362"/>
      <c r="L18493" s="1362"/>
    </row>
    <row r="18494" spans="1:12" x14ac:dyDescent="0.25">
      <c r="A18494">
        <v>938</v>
      </c>
      <c r="B18494" t="s">
        <v>21996</v>
      </c>
      <c r="C18494" t="s">
        <v>2541</v>
      </c>
      <c r="D18494" s="254">
        <v>1.45</v>
      </c>
      <c r="E18494"/>
      <c r="F18494"/>
      <c r="G18494"/>
      <c r="H18494"/>
      <c r="I18494" s="489"/>
      <c r="J18494" s="1362"/>
      <c r="K18494" s="1362"/>
      <c r="L18494" s="1362"/>
    </row>
    <row r="18495" spans="1:12" x14ac:dyDescent="0.25">
      <c r="A18495">
        <v>937</v>
      </c>
      <c r="B18495" t="s">
        <v>21997</v>
      </c>
      <c r="C18495" t="s">
        <v>2541</v>
      </c>
      <c r="D18495" s="254">
        <v>8.44</v>
      </c>
      <c r="E18495"/>
      <c r="F18495"/>
      <c r="G18495"/>
      <c r="H18495"/>
      <c r="I18495" s="489"/>
      <c r="J18495" s="1362"/>
      <c r="K18495" s="1362"/>
      <c r="L18495" s="1362"/>
    </row>
    <row r="18496" spans="1:12" x14ac:dyDescent="0.25">
      <c r="A18496">
        <v>939</v>
      </c>
      <c r="B18496" t="s">
        <v>21998</v>
      </c>
      <c r="C18496" t="s">
        <v>2541</v>
      </c>
      <c r="D18496" s="254">
        <v>2.34</v>
      </c>
      <c r="E18496"/>
      <c r="F18496"/>
      <c r="G18496"/>
      <c r="H18496"/>
      <c r="I18496" s="489"/>
      <c r="J18496" s="1362"/>
      <c r="K18496" s="1362"/>
      <c r="L18496" s="1362"/>
    </row>
    <row r="18497" spans="1:12" x14ac:dyDescent="0.25">
      <c r="A18497">
        <v>944</v>
      </c>
      <c r="B18497" t="s">
        <v>21999</v>
      </c>
      <c r="C18497" t="s">
        <v>2541</v>
      </c>
      <c r="D18497" s="254">
        <v>3.7</v>
      </c>
      <c r="E18497"/>
      <c r="F18497"/>
      <c r="G18497"/>
      <c r="H18497"/>
      <c r="I18497" s="489"/>
      <c r="J18497" s="1362"/>
      <c r="K18497" s="1362"/>
      <c r="L18497" s="1362"/>
    </row>
    <row r="18498" spans="1:12" x14ac:dyDescent="0.25">
      <c r="A18498">
        <v>940</v>
      </c>
      <c r="B18498" t="s">
        <v>22000</v>
      </c>
      <c r="C18498" t="s">
        <v>2541</v>
      </c>
      <c r="D18498" s="254">
        <v>5.34</v>
      </c>
      <c r="E18498"/>
      <c r="F18498"/>
      <c r="G18498"/>
      <c r="H18498"/>
      <c r="I18498" s="489"/>
      <c r="J18498" s="1362"/>
      <c r="K18498" s="1362"/>
      <c r="L18498" s="1362"/>
    </row>
    <row r="18499" spans="1:12" x14ac:dyDescent="0.25">
      <c r="A18499">
        <v>44397</v>
      </c>
      <c r="B18499" t="s">
        <v>22001</v>
      </c>
      <c r="C18499" t="s">
        <v>2541</v>
      </c>
      <c r="D18499" s="254">
        <v>2.4300000000000002</v>
      </c>
      <c r="E18499"/>
      <c r="F18499"/>
      <c r="G18499"/>
      <c r="H18499"/>
      <c r="I18499" s="489"/>
      <c r="J18499" s="1362"/>
      <c r="K18499" s="1362"/>
      <c r="L18499" s="1362"/>
    </row>
    <row r="18500" spans="1:12" x14ac:dyDescent="0.25">
      <c r="A18500">
        <v>406</v>
      </c>
      <c r="B18500" t="s">
        <v>22002</v>
      </c>
      <c r="C18500" t="s">
        <v>2537</v>
      </c>
      <c r="D18500" s="254">
        <v>78.44</v>
      </c>
      <c r="E18500"/>
      <c r="F18500"/>
      <c r="G18500"/>
      <c r="H18500"/>
      <c r="I18500" s="489"/>
      <c r="J18500" s="1362"/>
      <c r="K18500" s="1362"/>
      <c r="L18500" s="1362"/>
    </row>
    <row r="18501" spans="1:12" x14ac:dyDescent="0.25">
      <c r="A18501">
        <v>42529</v>
      </c>
      <c r="B18501" t="s">
        <v>22003</v>
      </c>
      <c r="C18501" t="s">
        <v>2541</v>
      </c>
      <c r="D18501" s="254">
        <v>1.63</v>
      </c>
      <c r="E18501"/>
      <c r="F18501"/>
      <c r="G18501"/>
      <c r="H18501"/>
      <c r="I18501" s="489"/>
      <c r="J18501" s="1362"/>
      <c r="K18501" s="1362"/>
      <c r="L18501" s="1362"/>
    </row>
    <row r="18502" spans="1:12" x14ac:dyDescent="0.25">
      <c r="A18502">
        <v>39634</v>
      </c>
      <c r="B18502" t="s">
        <v>22004</v>
      </c>
      <c r="C18502" t="s">
        <v>2541</v>
      </c>
      <c r="D18502" s="254">
        <v>6.62</v>
      </c>
      <c r="E18502"/>
      <c r="F18502"/>
      <c r="G18502"/>
      <c r="H18502"/>
      <c r="I18502" s="489"/>
      <c r="J18502" s="1362"/>
      <c r="K18502" s="1362"/>
      <c r="L18502" s="1362"/>
    </row>
    <row r="18503" spans="1:12" x14ac:dyDescent="0.25">
      <c r="A18503">
        <v>39701</v>
      </c>
      <c r="B18503" t="s">
        <v>22005</v>
      </c>
      <c r="C18503" t="s">
        <v>2537</v>
      </c>
      <c r="D18503" s="254">
        <v>88.4</v>
      </c>
      <c r="E18503"/>
      <c r="F18503"/>
      <c r="G18503"/>
      <c r="H18503"/>
      <c r="I18503" s="489"/>
      <c r="J18503" s="1362"/>
      <c r="K18503" s="1362"/>
      <c r="L18503" s="1362"/>
    </row>
    <row r="18504" spans="1:12" x14ac:dyDescent="0.25">
      <c r="A18504">
        <v>12815</v>
      </c>
      <c r="B18504" t="s">
        <v>22006</v>
      </c>
      <c r="C18504" t="s">
        <v>2537</v>
      </c>
      <c r="D18504" s="254">
        <v>9.17</v>
      </c>
      <c r="E18504"/>
      <c r="F18504"/>
      <c r="G18504"/>
      <c r="H18504"/>
      <c r="I18504" s="489"/>
      <c r="J18504" s="1362"/>
      <c r="K18504" s="1362"/>
      <c r="L18504" s="1362"/>
    </row>
    <row r="18505" spans="1:12" x14ac:dyDescent="0.25">
      <c r="A18505">
        <v>407</v>
      </c>
      <c r="B18505" t="s">
        <v>22007</v>
      </c>
      <c r="C18505" t="s">
        <v>2542</v>
      </c>
      <c r="D18505" s="254">
        <v>96.8</v>
      </c>
      <c r="E18505"/>
      <c r="F18505"/>
      <c r="G18505"/>
      <c r="H18505"/>
      <c r="I18505" s="489"/>
      <c r="J18505" s="1362"/>
      <c r="K18505" s="1362"/>
      <c r="L18505" s="1362"/>
    </row>
    <row r="18506" spans="1:12" x14ac:dyDescent="0.25">
      <c r="A18506">
        <v>39431</v>
      </c>
      <c r="B18506" t="s">
        <v>22008</v>
      </c>
      <c r="C18506" t="s">
        <v>2541</v>
      </c>
      <c r="D18506" s="254">
        <v>0.36</v>
      </c>
      <c r="E18506"/>
      <c r="F18506"/>
      <c r="G18506"/>
      <c r="H18506"/>
      <c r="I18506" s="489"/>
      <c r="J18506" s="1362"/>
      <c r="K18506" s="1362"/>
      <c r="L18506" s="1362"/>
    </row>
    <row r="18507" spans="1:12" x14ac:dyDescent="0.25">
      <c r="A18507">
        <v>39432</v>
      </c>
      <c r="B18507" t="s">
        <v>22009</v>
      </c>
      <c r="C18507" t="s">
        <v>2541</v>
      </c>
      <c r="D18507" s="254">
        <v>3.19</v>
      </c>
      <c r="E18507"/>
      <c r="F18507"/>
      <c r="G18507"/>
      <c r="H18507"/>
      <c r="I18507" s="489"/>
      <c r="J18507" s="1362"/>
      <c r="K18507" s="1362"/>
      <c r="L18507" s="1362"/>
    </row>
    <row r="18508" spans="1:12" x14ac:dyDescent="0.25">
      <c r="A18508">
        <v>20111</v>
      </c>
      <c r="B18508" t="s">
        <v>22010</v>
      </c>
      <c r="C18508" t="s">
        <v>2537</v>
      </c>
      <c r="D18508" s="254">
        <v>14.5</v>
      </c>
      <c r="E18508"/>
      <c r="F18508"/>
      <c r="G18508"/>
      <c r="H18508"/>
      <c r="I18508" s="489"/>
      <c r="J18508" s="1362"/>
      <c r="K18508" s="1362"/>
      <c r="L18508" s="1362"/>
    </row>
    <row r="18509" spans="1:12" x14ac:dyDescent="0.25">
      <c r="A18509">
        <v>21127</v>
      </c>
      <c r="B18509" t="s">
        <v>22011</v>
      </c>
      <c r="C18509" t="s">
        <v>2537</v>
      </c>
      <c r="D18509" s="254">
        <v>5.48</v>
      </c>
      <c r="E18509"/>
      <c r="F18509"/>
      <c r="G18509"/>
      <c r="H18509"/>
      <c r="I18509" s="489"/>
      <c r="J18509" s="1362"/>
      <c r="K18509" s="1362"/>
      <c r="L18509" s="1362"/>
    </row>
    <row r="18510" spans="1:12" x14ac:dyDescent="0.25">
      <c r="A18510">
        <v>404</v>
      </c>
      <c r="B18510" t="s">
        <v>22012</v>
      </c>
      <c r="C18510" t="s">
        <v>2541</v>
      </c>
      <c r="D18510" s="254">
        <v>1.97</v>
      </c>
      <c r="E18510"/>
      <c r="F18510"/>
      <c r="G18510"/>
      <c r="H18510"/>
      <c r="I18510" s="489"/>
      <c r="J18510" s="1362"/>
      <c r="K18510" s="1362"/>
      <c r="L18510" s="1362"/>
    </row>
    <row r="18511" spans="1:12" x14ac:dyDescent="0.25">
      <c r="A18511">
        <v>14151</v>
      </c>
      <c r="B18511" t="s">
        <v>22013</v>
      </c>
      <c r="C18511" t="s">
        <v>2537</v>
      </c>
      <c r="D18511" s="254">
        <v>49.09</v>
      </c>
      <c r="E18511"/>
      <c r="F18511"/>
      <c r="G18511"/>
      <c r="H18511"/>
      <c r="I18511" s="489"/>
      <c r="J18511" s="1362"/>
      <c r="K18511" s="1362"/>
      <c r="L18511" s="1362"/>
    </row>
    <row r="18512" spans="1:12" x14ac:dyDescent="0.25">
      <c r="A18512">
        <v>14153</v>
      </c>
      <c r="B18512" t="s">
        <v>22014</v>
      </c>
      <c r="C18512" t="s">
        <v>2537</v>
      </c>
      <c r="D18512" s="254">
        <v>55.49</v>
      </c>
      <c r="E18512"/>
      <c r="F18512"/>
      <c r="G18512"/>
      <c r="H18512"/>
      <c r="I18512" s="489"/>
      <c r="J18512" s="1362"/>
      <c r="K18512" s="1362"/>
      <c r="L18512" s="1362"/>
    </row>
    <row r="18513" spans="1:12" x14ac:dyDescent="0.25">
      <c r="A18513">
        <v>14152</v>
      </c>
      <c r="B18513" t="s">
        <v>22015</v>
      </c>
      <c r="C18513" t="s">
        <v>2537</v>
      </c>
      <c r="D18513" s="254">
        <v>42.6</v>
      </c>
      <c r="E18513"/>
      <c r="F18513"/>
      <c r="G18513"/>
      <c r="H18513"/>
      <c r="I18513" s="489"/>
      <c r="J18513" s="1362"/>
      <c r="K18513" s="1362"/>
      <c r="L18513" s="1362"/>
    </row>
    <row r="18514" spans="1:12" x14ac:dyDescent="0.25">
      <c r="A18514">
        <v>14154</v>
      </c>
      <c r="B18514" t="s">
        <v>22016</v>
      </c>
      <c r="C18514" t="s">
        <v>2537</v>
      </c>
      <c r="D18514" s="254">
        <v>149.1</v>
      </c>
      <c r="E18514"/>
      <c r="F18514"/>
      <c r="G18514"/>
      <c r="H18514"/>
      <c r="I18514" s="489"/>
      <c r="J18514" s="1362"/>
      <c r="K18514" s="1362"/>
      <c r="L18514" s="1362"/>
    </row>
    <row r="18515" spans="1:12" x14ac:dyDescent="0.25">
      <c r="A18515">
        <v>3146</v>
      </c>
      <c r="B18515" t="s">
        <v>22017</v>
      </c>
      <c r="C18515" t="s">
        <v>2537</v>
      </c>
      <c r="D18515" s="254">
        <v>3.4</v>
      </c>
      <c r="E18515"/>
      <c r="F18515"/>
      <c r="G18515"/>
      <c r="H18515"/>
      <c r="I18515" s="489"/>
      <c r="J18515" s="1362"/>
      <c r="K18515" s="1362"/>
      <c r="L18515" s="1362"/>
    </row>
    <row r="18516" spans="1:12" x14ac:dyDescent="0.25">
      <c r="A18516">
        <v>3143</v>
      </c>
      <c r="B18516" t="s">
        <v>22018</v>
      </c>
      <c r="C18516" t="s">
        <v>2537</v>
      </c>
      <c r="D18516" s="254">
        <v>7.73</v>
      </c>
      <c r="E18516"/>
      <c r="F18516"/>
      <c r="G18516"/>
      <c r="H18516"/>
      <c r="I18516" s="489"/>
      <c r="J18516" s="1362"/>
      <c r="K18516" s="1362"/>
      <c r="L18516" s="1362"/>
    </row>
    <row r="18517" spans="1:12" x14ac:dyDescent="0.25">
      <c r="A18517">
        <v>3148</v>
      </c>
      <c r="B18517" t="s">
        <v>22019</v>
      </c>
      <c r="C18517" t="s">
        <v>2537</v>
      </c>
      <c r="D18517" s="254">
        <v>12.54</v>
      </c>
      <c r="E18517"/>
      <c r="F18517"/>
      <c r="G18517"/>
      <c r="H18517"/>
      <c r="I18517" s="489"/>
      <c r="J18517" s="1362"/>
      <c r="K18517" s="1362"/>
      <c r="L18517" s="1362"/>
    </row>
    <row r="18518" spans="1:12" x14ac:dyDescent="0.25">
      <c r="A18518">
        <v>4310</v>
      </c>
      <c r="B18518" t="s">
        <v>22020</v>
      </c>
      <c r="C18518" t="s">
        <v>2537</v>
      </c>
      <c r="D18518" s="254">
        <v>3.35</v>
      </c>
      <c r="E18518"/>
      <c r="F18518"/>
      <c r="G18518"/>
      <c r="H18518"/>
      <c r="I18518" s="489"/>
      <c r="J18518" s="1362"/>
      <c r="K18518" s="1362"/>
      <c r="L18518" s="1362"/>
    </row>
    <row r="18519" spans="1:12" x14ac:dyDescent="0.25">
      <c r="A18519">
        <v>4311</v>
      </c>
      <c r="B18519" t="s">
        <v>22021</v>
      </c>
      <c r="C18519" t="s">
        <v>2537</v>
      </c>
      <c r="D18519" s="254">
        <v>2.36</v>
      </c>
      <c r="E18519"/>
      <c r="F18519"/>
      <c r="G18519"/>
      <c r="H18519"/>
      <c r="I18519" s="489"/>
      <c r="J18519" s="1362"/>
      <c r="K18519" s="1362"/>
      <c r="L18519" s="1362"/>
    </row>
    <row r="18520" spans="1:12" x14ac:dyDescent="0.25">
      <c r="A18520">
        <v>4312</v>
      </c>
      <c r="B18520" t="s">
        <v>22022</v>
      </c>
      <c r="C18520" t="s">
        <v>2537</v>
      </c>
      <c r="D18520" s="254">
        <v>3.31</v>
      </c>
      <c r="E18520"/>
      <c r="F18520"/>
      <c r="G18520"/>
      <c r="H18520"/>
      <c r="I18520" s="489"/>
      <c r="J18520" s="1362"/>
      <c r="K18520" s="1362"/>
      <c r="L18520" s="1362"/>
    </row>
    <row r="18521" spans="1:12" x14ac:dyDescent="0.25">
      <c r="A18521">
        <v>13261</v>
      </c>
      <c r="B18521" t="s">
        <v>22023</v>
      </c>
      <c r="C18521" t="s">
        <v>2537</v>
      </c>
      <c r="D18521" s="254">
        <v>2.6</v>
      </c>
      <c r="E18521"/>
      <c r="F18521"/>
      <c r="G18521"/>
      <c r="H18521"/>
      <c r="I18521" s="489"/>
      <c r="J18521" s="1362"/>
      <c r="K18521" s="1362"/>
      <c r="L18521" s="1362"/>
    </row>
    <row r="18522" spans="1:12" x14ac:dyDescent="0.25">
      <c r="A18522">
        <v>3255</v>
      </c>
      <c r="B18522" t="s">
        <v>22024</v>
      </c>
      <c r="C18522" t="s">
        <v>2537</v>
      </c>
      <c r="D18522" s="254">
        <v>9.6199999999999992</v>
      </c>
      <c r="E18522"/>
      <c r="F18522"/>
      <c r="G18522"/>
      <c r="H18522"/>
      <c r="I18522" s="489"/>
      <c r="J18522" s="1362"/>
      <c r="K18522" s="1362"/>
      <c r="L18522" s="1362"/>
    </row>
    <row r="18523" spans="1:12" x14ac:dyDescent="0.25">
      <c r="A18523">
        <v>3254</v>
      </c>
      <c r="B18523" t="s">
        <v>22025</v>
      </c>
      <c r="C18523" t="s">
        <v>2537</v>
      </c>
      <c r="D18523" s="254">
        <v>156.28</v>
      </c>
      <c r="E18523"/>
      <c r="F18523"/>
      <c r="G18523"/>
      <c r="H18523"/>
      <c r="I18523" s="489"/>
      <c r="J18523" s="1362"/>
      <c r="K18523" s="1362"/>
      <c r="L18523" s="1362"/>
    </row>
    <row r="18524" spans="1:12" x14ac:dyDescent="0.25">
      <c r="A18524">
        <v>3259</v>
      </c>
      <c r="B18524" t="s">
        <v>22026</v>
      </c>
      <c r="C18524" t="s">
        <v>2537</v>
      </c>
      <c r="D18524" s="254">
        <v>18.78</v>
      </c>
      <c r="E18524"/>
      <c r="F18524"/>
      <c r="G18524"/>
      <c r="H18524"/>
      <c r="I18524" s="489"/>
      <c r="J18524" s="1362"/>
      <c r="K18524" s="1362"/>
      <c r="L18524" s="1362"/>
    </row>
    <row r="18525" spans="1:12" x14ac:dyDescent="0.25">
      <c r="A18525">
        <v>3258</v>
      </c>
      <c r="B18525" t="s">
        <v>22027</v>
      </c>
      <c r="C18525" t="s">
        <v>2537</v>
      </c>
      <c r="D18525" s="254">
        <v>11.35</v>
      </c>
      <c r="E18525"/>
      <c r="F18525"/>
      <c r="G18525"/>
      <c r="H18525"/>
      <c r="I18525" s="489"/>
      <c r="J18525" s="1362"/>
      <c r="K18525" s="1362"/>
      <c r="L18525" s="1362"/>
    </row>
    <row r="18526" spans="1:12" x14ac:dyDescent="0.25">
      <c r="A18526">
        <v>3251</v>
      </c>
      <c r="B18526" t="s">
        <v>22028</v>
      </c>
      <c r="C18526" t="s">
        <v>2537</v>
      </c>
      <c r="D18526" s="254">
        <v>6.69</v>
      </c>
      <c r="E18526"/>
      <c r="F18526"/>
      <c r="G18526"/>
      <c r="H18526"/>
      <c r="I18526" s="489"/>
      <c r="J18526" s="1362"/>
      <c r="K18526" s="1362"/>
      <c r="L18526" s="1362"/>
    </row>
    <row r="18527" spans="1:12" x14ac:dyDescent="0.25">
      <c r="A18527">
        <v>3256</v>
      </c>
      <c r="B18527" t="s">
        <v>22029</v>
      </c>
      <c r="C18527" t="s">
        <v>2537</v>
      </c>
      <c r="D18527" s="254">
        <v>12.67</v>
      </c>
      <c r="E18527"/>
      <c r="F18527"/>
      <c r="G18527"/>
      <c r="H18527"/>
      <c r="I18527" s="489"/>
      <c r="J18527" s="1362"/>
      <c r="K18527" s="1362"/>
      <c r="L18527" s="1362"/>
    </row>
    <row r="18528" spans="1:12" x14ac:dyDescent="0.25">
      <c r="A18528">
        <v>3261</v>
      </c>
      <c r="B18528" t="s">
        <v>22030</v>
      </c>
      <c r="C18528" t="s">
        <v>2537</v>
      </c>
      <c r="D18528" s="254">
        <v>138.21</v>
      </c>
      <c r="E18528"/>
      <c r="F18528"/>
      <c r="G18528"/>
      <c r="H18528"/>
      <c r="I18528" s="489"/>
      <c r="J18528" s="1362"/>
      <c r="K18528" s="1362"/>
      <c r="L18528" s="1362"/>
    </row>
    <row r="18529" spans="1:12" x14ac:dyDescent="0.25">
      <c r="A18529">
        <v>3260</v>
      </c>
      <c r="B18529" t="s">
        <v>22031</v>
      </c>
      <c r="C18529" t="s">
        <v>2537</v>
      </c>
      <c r="D18529" s="254">
        <v>23.74</v>
      </c>
      <c r="E18529"/>
      <c r="F18529"/>
      <c r="G18529"/>
      <c r="H18529"/>
      <c r="I18529" s="489"/>
      <c r="J18529" s="1362"/>
      <c r="K18529" s="1362"/>
      <c r="L18529" s="1362"/>
    </row>
    <row r="18530" spans="1:12" x14ac:dyDescent="0.25">
      <c r="A18530">
        <v>3272</v>
      </c>
      <c r="B18530" t="s">
        <v>22032</v>
      </c>
      <c r="C18530" t="s">
        <v>2537</v>
      </c>
      <c r="D18530" s="254">
        <v>55.43</v>
      </c>
      <c r="E18530"/>
      <c r="F18530"/>
      <c r="G18530"/>
      <c r="H18530"/>
      <c r="I18530" s="489"/>
      <c r="J18530" s="1362"/>
      <c r="K18530" s="1362"/>
      <c r="L18530" s="1362"/>
    </row>
    <row r="18531" spans="1:12" x14ac:dyDescent="0.25">
      <c r="A18531">
        <v>3265</v>
      </c>
      <c r="B18531" t="s">
        <v>22033</v>
      </c>
      <c r="C18531" t="s">
        <v>2537</v>
      </c>
      <c r="D18531" s="254">
        <v>44.04</v>
      </c>
      <c r="E18531"/>
      <c r="F18531"/>
      <c r="G18531"/>
      <c r="H18531"/>
      <c r="I18531" s="489"/>
      <c r="J18531" s="1362"/>
      <c r="K18531" s="1362"/>
      <c r="L18531" s="1362"/>
    </row>
    <row r="18532" spans="1:12" x14ac:dyDescent="0.25">
      <c r="A18532">
        <v>3262</v>
      </c>
      <c r="B18532" t="s">
        <v>22034</v>
      </c>
      <c r="C18532" t="s">
        <v>2537</v>
      </c>
      <c r="D18532" s="254">
        <v>19.28</v>
      </c>
      <c r="E18532"/>
      <c r="F18532"/>
      <c r="G18532"/>
      <c r="H18532"/>
      <c r="I18532" s="489"/>
      <c r="J18532" s="1362"/>
      <c r="K18532" s="1362"/>
      <c r="L18532" s="1362"/>
    </row>
    <row r="18533" spans="1:12" x14ac:dyDescent="0.25">
      <c r="A18533">
        <v>3264</v>
      </c>
      <c r="B18533" t="s">
        <v>22035</v>
      </c>
      <c r="C18533" t="s">
        <v>2537</v>
      </c>
      <c r="D18533" s="254">
        <v>31.67</v>
      </c>
      <c r="E18533"/>
      <c r="F18533"/>
      <c r="G18533"/>
      <c r="H18533"/>
      <c r="I18533" s="489"/>
      <c r="J18533" s="1362"/>
      <c r="K18533" s="1362"/>
      <c r="L18533" s="1362"/>
    </row>
    <row r="18534" spans="1:12" x14ac:dyDescent="0.25">
      <c r="A18534">
        <v>3267</v>
      </c>
      <c r="B18534" t="s">
        <v>22036</v>
      </c>
      <c r="C18534" t="s">
        <v>2537</v>
      </c>
      <c r="D18534" s="254">
        <v>103.43</v>
      </c>
      <c r="E18534"/>
      <c r="F18534"/>
      <c r="G18534"/>
      <c r="H18534"/>
      <c r="I18534" s="489"/>
      <c r="J18534" s="1362"/>
      <c r="K18534" s="1362"/>
      <c r="L18534" s="1362"/>
    </row>
    <row r="18535" spans="1:12" x14ac:dyDescent="0.25">
      <c r="A18535">
        <v>3266</v>
      </c>
      <c r="B18535" t="s">
        <v>22037</v>
      </c>
      <c r="C18535" t="s">
        <v>2537</v>
      </c>
      <c r="D18535" s="254">
        <v>65.8</v>
      </c>
      <c r="E18535"/>
      <c r="F18535"/>
      <c r="G18535"/>
      <c r="H18535"/>
      <c r="I18535" s="489"/>
      <c r="J18535" s="1362"/>
      <c r="K18535" s="1362"/>
      <c r="L18535" s="1362"/>
    </row>
    <row r="18536" spans="1:12" x14ac:dyDescent="0.25">
      <c r="A18536">
        <v>3263</v>
      </c>
      <c r="B18536" t="s">
        <v>22038</v>
      </c>
      <c r="C18536" t="s">
        <v>2537</v>
      </c>
      <c r="D18536" s="254">
        <v>26.33</v>
      </c>
      <c r="E18536"/>
      <c r="F18536"/>
      <c r="G18536"/>
      <c r="H18536"/>
      <c r="I18536" s="489"/>
      <c r="J18536" s="1362"/>
      <c r="K18536" s="1362"/>
      <c r="L18536" s="1362"/>
    </row>
    <row r="18537" spans="1:12" x14ac:dyDescent="0.25">
      <c r="A18537">
        <v>3268</v>
      </c>
      <c r="B18537" t="s">
        <v>22039</v>
      </c>
      <c r="C18537" t="s">
        <v>2537</v>
      </c>
      <c r="D18537" s="254">
        <v>139.84</v>
      </c>
      <c r="E18537"/>
      <c r="F18537"/>
      <c r="G18537"/>
      <c r="H18537"/>
      <c r="I18537" s="489"/>
      <c r="J18537" s="1362"/>
      <c r="K18537" s="1362"/>
      <c r="L18537" s="1362"/>
    </row>
    <row r="18538" spans="1:12" x14ac:dyDescent="0.25">
      <c r="A18538">
        <v>3271</v>
      </c>
      <c r="B18538" t="s">
        <v>22040</v>
      </c>
      <c r="C18538" t="s">
        <v>2537</v>
      </c>
      <c r="D18538" s="254">
        <v>206.74</v>
      </c>
      <c r="E18538"/>
      <c r="F18538"/>
      <c r="G18538"/>
      <c r="H18538"/>
      <c r="I18538" s="489"/>
      <c r="J18538" s="1362"/>
      <c r="K18538" s="1362"/>
      <c r="L18538" s="1362"/>
    </row>
    <row r="18539" spans="1:12" x14ac:dyDescent="0.25">
      <c r="A18539">
        <v>3270</v>
      </c>
      <c r="B18539" t="s">
        <v>22041</v>
      </c>
      <c r="C18539" t="s">
        <v>2537</v>
      </c>
      <c r="D18539" s="254">
        <v>347.34</v>
      </c>
      <c r="E18539"/>
      <c r="F18539"/>
      <c r="G18539"/>
      <c r="H18539"/>
      <c r="I18539" s="489"/>
      <c r="J18539" s="1362"/>
      <c r="K18539" s="1362"/>
      <c r="L18539" s="1362"/>
    </row>
    <row r="18540" spans="1:12" x14ac:dyDescent="0.25">
      <c r="A18540">
        <v>3275</v>
      </c>
      <c r="B18540" t="s">
        <v>22042</v>
      </c>
      <c r="C18540" t="s">
        <v>2539</v>
      </c>
      <c r="D18540" s="254">
        <v>136.57</v>
      </c>
      <c r="E18540"/>
      <c r="F18540"/>
      <c r="G18540"/>
      <c r="H18540"/>
      <c r="I18540" s="489"/>
      <c r="J18540" s="1362"/>
      <c r="K18540" s="1362"/>
      <c r="L18540" s="1362"/>
    </row>
    <row r="18541" spans="1:12" x14ac:dyDescent="0.25">
      <c r="A18541">
        <v>39512</v>
      </c>
      <c r="B18541" t="s">
        <v>22043</v>
      </c>
      <c r="C18541" t="s">
        <v>2539</v>
      </c>
      <c r="D18541" s="254">
        <v>115.16</v>
      </c>
      <c r="E18541"/>
      <c r="F18541"/>
      <c r="G18541"/>
      <c r="H18541"/>
      <c r="I18541" s="489"/>
      <c r="J18541" s="1362"/>
      <c r="K18541" s="1362"/>
      <c r="L18541" s="1362"/>
    </row>
    <row r="18542" spans="1:12" x14ac:dyDescent="0.25">
      <c r="A18542">
        <v>39511</v>
      </c>
      <c r="B18542" t="s">
        <v>22044</v>
      </c>
      <c r="C18542" t="s">
        <v>2539</v>
      </c>
      <c r="D18542" s="254">
        <v>125.61</v>
      </c>
      <c r="E18542"/>
      <c r="F18542"/>
      <c r="G18542"/>
      <c r="H18542"/>
      <c r="I18542" s="489"/>
      <c r="J18542" s="1362"/>
      <c r="K18542" s="1362"/>
      <c r="L18542" s="1362"/>
    </row>
    <row r="18543" spans="1:12" x14ac:dyDescent="0.25">
      <c r="A18543">
        <v>39513</v>
      </c>
      <c r="B18543" t="s">
        <v>22045</v>
      </c>
      <c r="C18543" t="s">
        <v>2539</v>
      </c>
      <c r="D18543" s="254">
        <v>134.72</v>
      </c>
      <c r="E18543"/>
      <c r="F18543"/>
      <c r="G18543"/>
      <c r="H18543"/>
      <c r="I18543" s="489"/>
      <c r="J18543" s="1362"/>
      <c r="K18543" s="1362"/>
      <c r="L18543" s="1362"/>
    </row>
    <row r="18544" spans="1:12" x14ac:dyDescent="0.25">
      <c r="A18544">
        <v>3286</v>
      </c>
      <c r="B18544" t="s">
        <v>22046</v>
      </c>
      <c r="C18544" t="s">
        <v>2539</v>
      </c>
      <c r="D18544" s="254">
        <v>105.88</v>
      </c>
      <c r="E18544"/>
      <c r="F18544"/>
      <c r="G18544"/>
      <c r="H18544"/>
      <c r="I18544" s="489"/>
      <c r="J18544" s="1362"/>
      <c r="K18544" s="1362"/>
      <c r="L18544" s="1362"/>
    </row>
    <row r="18545" spans="1:12" x14ac:dyDescent="0.25">
      <c r="A18545">
        <v>3287</v>
      </c>
      <c r="B18545" t="s">
        <v>22047</v>
      </c>
      <c r="C18545" t="s">
        <v>2539</v>
      </c>
      <c r="D18545" s="254">
        <v>160</v>
      </c>
      <c r="E18545"/>
      <c r="F18545"/>
      <c r="G18545"/>
      <c r="H18545"/>
      <c r="I18545" s="489"/>
      <c r="J18545" s="1362"/>
      <c r="K18545" s="1362"/>
      <c r="L18545" s="1362"/>
    </row>
    <row r="18546" spans="1:12" x14ac:dyDescent="0.25">
      <c r="A18546">
        <v>3283</v>
      </c>
      <c r="B18546" t="s">
        <v>22048</v>
      </c>
      <c r="C18546" t="s">
        <v>2539</v>
      </c>
      <c r="D18546" s="254">
        <v>33.61</v>
      </c>
      <c r="E18546"/>
      <c r="F18546"/>
      <c r="G18546"/>
      <c r="H18546"/>
      <c r="I18546" s="489"/>
      <c r="J18546" s="1362"/>
      <c r="K18546" s="1362"/>
      <c r="L18546" s="1362"/>
    </row>
    <row r="18547" spans="1:12" x14ac:dyDescent="0.25">
      <c r="A18547">
        <v>11587</v>
      </c>
      <c r="B18547" t="s">
        <v>22049</v>
      </c>
      <c r="C18547" t="s">
        <v>2539</v>
      </c>
      <c r="D18547" s="254">
        <v>93.65</v>
      </c>
      <c r="E18547"/>
      <c r="F18547"/>
      <c r="G18547"/>
      <c r="H18547"/>
      <c r="I18547" s="489"/>
      <c r="J18547" s="1362"/>
      <c r="K18547" s="1362"/>
      <c r="L18547" s="1362"/>
    </row>
    <row r="18548" spans="1:12" x14ac:dyDescent="0.25">
      <c r="A18548">
        <v>36225</v>
      </c>
      <c r="B18548" t="s">
        <v>22050</v>
      </c>
      <c r="C18548" t="s">
        <v>2539</v>
      </c>
      <c r="D18548" s="254">
        <v>38.04</v>
      </c>
      <c r="E18548"/>
      <c r="F18548"/>
      <c r="G18548"/>
      <c r="H18548"/>
      <c r="I18548" s="489"/>
      <c r="J18548" s="1362"/>
      <c r="K18548" s="1362"/>
      <c r="L18548" s="1362"/>
    </row>
    <row r="18549" spans="1:12" x14ac:dyDescent="0.25">
      <c r="A18549">
        <v>36230</v>
      </c>
      <c r="B18549" t="s">
        <v>22051</v>
      </c>
      <c r="C18549" t="s">
        <v>2539</v>
      </c>
      <c r="D18549" s="254">
        <v>27.95</v>
      </c>
      <c r="E18549"/>
      <c r="F18549"/>
      <c r="G18549"/>
      <c r="H18549"/>
      <c r="I18549" s="489"/>
      <c r="J18549" s="1362"/>
      <c r="K18549" s="1362"/>
      <c r="L18549" s="1362"/>
    </row>
    <row r="18550" spans="1:12" x14ac:dyDescent="0.25">
      <c r="A18550">
        <v>36238</v>
      </c>
      <c r="B18550" t="s">
        <v>22052</v>
      </c>
      <c r="C18550" t="s">
        <v>2539</v>
      </c>
      <c r="D18550" s="254">
        <v>27.31</v>
      </c>
      <c r="E18550"/>
      <c r="F18550"/>
      <c r="G18550"/>
      <c r="H18550"/>
      <c r="I18550" s="489"/>
      <c r="J18550" s="1362"/>
      <c r="K18550" s="1362"/>
      <c r="L18550" s="1362"/>
    </row>
    <row r="18551" spans="1:12" x14ac:dyDescent="0.25">
      <c r="A18551">
        <v>39363</v>
      </c>
      <c r="B18551" t="s">
        <v>22053</v>
      </c>
      <c r="C18551" t="s">
        <v>2537</v>
      </c>
      <c r="D18551" s="254">
        <v>4374.8599999999997</v>
      </c>
      <c r="E18551"/>
      <c r="F18551"/>
      <c r="G18551"/>
      <c r="H18551"/>
      <c r="I18551" s="489"/>
      <c r="J18551" s="1362"/>
      <c r="K18551" s="1362"/>
      <c r="L18551" s="1362"/>
    </row>
    <row r="18552" spans="1:12" x14ac:dyDescent="0.25">
      <c r="A18552">
        <v>39361</v>
      </c>
      <c r="B18552" t="s">
        <v>22054</v>
      </c>
      <c r="C18552" t="s">
        <v>2537</v>
      </c>
      <c r="D18552" s="254">
        <v>1124.96</v>
      </c>
      <c r="E18552"/>
      <c r="F18552"/>
      <c r="G18552"/>
      <c r="H18552"/>
      <c r="I18552" s="489"/>
      <c r="J18552" s="1362"/>
      <c r="K18552" s="1362"/>
      <c r="L18552" s="1362"/>
    </row>
    <row r="18553" spans="1:12" x14ac:dyDescent="0.25">
      <c r="A18553">
        <v>39362</v>
      </c>
      <c r="B18553" t="s">
        <v>22055</v>
      </c>
      <c r="C18553" t="s">
        <v>2537</v>
      </c>
      <c r="D18553" s="254">
        <v>3461.8</v>
      </c>
      <c r="E18553"/>
      <c r="F18553"/>
      <c r="G18553"/>
      <c r="H18553"/>
      <c r="I18553" s="489"/>
      <c r="J18553" s="1362"/>
      <c r="K18553" s="1362"/>
      <c r="L18553" s="1362"/>
    </row>
    <row r="18554" spans="1:12" x14ac:dyDescent="0.25">
      <c r="A18554">
        <v>39364</v>
      </c>
      <c r="B18554" t="s">
        <v>22056</v>
      </c>
      <c r="C18554" t="s">
        <v>2537</v>
      </c>
      <c r="D18554" s="254">
        <v>9999.68</v>
      </c>
      <c r="E18554"/>
      <c r="F18554"/>
      <c r="G18554"/>
      <c r="H18554"/>
      <c r="I18554" s="489"/>
      <c r="J18554" s="1362"/>
      <c r="K18554" s="1362"/>
      <c r="L18554" s="1362"/>
    </row>
    <row r="18555" spans="1:12" x14ac:dyDescent="0.25">
      <c r="A18555">
        <v>14576</v>
      </c>
      <c r="B18555" t="s">
        <v>22057</v>
      </c>
      <c r="C18555" t="s">
        <v>2537</v>
      </c>
      <c r="D18555" s="254">
        <v>6675579.75</v>
      </c>
      <c r="E18555"/>
      <c r="F18555"/>
      <c r="G18555"/>
      <c r="H18555"/>
      <c r="I18555" s="489"/>
      <c r="J18555" s="1362"/>
      <c r="K18555" s="1362"/>
      <c r="L18555" s="1362"/>
    </row>
    <row r="18556" spans="1:12" x14ac:dyDescent="0.25">
      <c r="A18556">
        <v>13877</v>
      </c>
      <c r="B18556" t="s">
        <v>22058</v>
      </c>
      <c r="C18556" t="s">
        <v>2537</v>
      </c>
      <c r="D18556" s="254">
        <v>2857716.13</v>
      </c>
      <c r="E18556"/>
      <c r="F18556"/>
      <c r="G18556"/>
      <c r="H18556"/>
      <c r="I18556" s="489"/>
      <c r="J18556" s="1362"/>
      <c r="K18556" s="1362"/>
      <c r="L18556" s="1362"/>
    </row>
    <row r="18557" spans="1:12" x14ac:dyDescent="0.25">
      <c r="A18557">
        <v>7307</v>
      </c>
      <c r="B18557" t="s">
        <v>22059</v>
      </c>
      <c r="C18557" t="s">
        <v>2543</v>
      </c>
      <c r="D18557" s="254">
        <v>42.24</v>
      </c>
      <c r="E18557"/>
      <c r="F18557"/>
      <c r="G18557"/>
      <c r="H18557"/>
      <c r="I18557" s="489"/>
      <c r="J18557" s="1362"/>
      <c r="K18557" s="1362"/>
      <c r="L18557" s="1362"/>
    </row>
    <row r="18558" spans="1:12" x14ac:dyDescent="0.25">
      <c r="A18558">
        <v>38122</v>
      </c>
      <c r="B18558" t="s">
        <v>22060</v>
      </c>
      <c r="C18558" t="s">
        <v>2543</v>
      </c>
      <c r="D18558" s="254">
        <v>12.73</v>
      </c>
      <c r="E18558"/>
      <c r="F18558"/>
      <c r="G18558"/>
      <c r="H18558"/>
      <c r="I18558" s="489"/>
      <c r="J18558" s="1362"/>
      <c r="K18558" s="1362"/>
      <c r="L18558" s="1362"/>
    </row>
    <row r="18559" spans="1:12" x14ac:dyDescent="0.25">
      <c r="A18559">
        <v>43653</v>
      </c>
      <c r="B18559" t="s">
        <v>22061</v>
      </c>
      <c r="C18559" t="s">
        <v>2543</v>
      </c>
      <c r="D18559" s="254">
        <v>41.61</v>
      </c>
      <c r="E18559"/>
      <c r="F18559"/>
      <c r="G18559"/>
      <c r="H18559"/>
      <c r="I18559" s="489"/>
      <c r="J18559" s="1362"/>
      <c r="K18559" s="1362"/>
      <c r="L18559" s="1362"/>
    </row>
    <row r="18560" spans="1:12" x14ac:dyDescent="0.25">
      <c r="A18560">
        <v>38633</v>
      </c>
      <c r="B18560" t="s">
        <v>22062</v>
      </c>
      <c r="C18560" t="s">
        <v>2537</v>
      </c>
      <c r="D18560" s="254">
        <v>25.32</v>
      </c>
      <c r="E18560"/>
      <c r="F18560"/>
      <c r="G18560"/>
      <c r="H18560"/>
      <c r="I18560" s="489"/>
      <c r="J18560" s="1362"/>
      <c r="K18560" s="1362"/>
      <c r="L18560" s="1362"/>
    </row>
    <row r="18561" spans="1:12" x14ac:dyDescent="0.25">
      <c r="A18561">
        <v>12344</v>
      </c>
      <c r="B18561" t="s">
        <v>22063</v>
      </c>
      <c r="C18561" t="s">
        <v>2537</v>
      </c>
      <c r="D18561" s="254">
        <v>5.19</v>
      </c>
      <c r="E18561"/>
      <c r="F18561"/>
      <c r="G18561"/>
      <c r="H18561"/>
      <c r="I18561" s="489"/>
      <c r="J18561" s="1362"/>
      <c r="K18561" s="1362"/>
      <c r="L18561" s="1362"/>
    </row>
    <row r="18562" spans="1:12" x14ac:dyDescent="0.25">
      <c r="A18562">
        <v>12343</v>
      </c>
      <c r="B18562" t="s">
        <v>22064</v>
      </c>
      <c r="C18562" t="s">
        <v>2537</v>
      </c>
      <c r="D18562" s="254">
        <v>8.0399999999999991</v>
      </c>
      <c r="E18562"/>
      <c r="F18562"/>
      <c r="G18562"/>
      <c r="H18562"/>
      <c r="I18562" s="489"/>
      <c r="J18562" s="1362"/>
      <c r="K18562" s="1362"/>
      <c r="L18562" s="1362"/>
    </row>
    <row r="18563" spans="1:12" x14ac:dyDescent="0.25">
      <c r="A18563">
        <v>3295</v>
      </c>
      <c r="B18563" t="s">
        <v>22065</v>
      </c>
      <c r="C18563" t="s">
        <v>2537</v>
      </c>
      <c r="D18563" s="254">
        <v>28.09</v>
      </c>
      <c r="E18563"/>
      <c r="F18563"/>
      <c r="G18563"/>
      <c r="H18563"/>
      <c r="I18563" s="489"/>
      <c r="J18563" s="1362"/>
      <c r="K18563" s="1362"/>
      <c r="L18563" s="1362"/>
    </row>
    <row r="18564" spans="1:12" x14ac:dyDescent="0.25">
      <c r="A18564">
        <v>3302</v>
      </c>
      <c r="B18564" t="s">
        <v>22066</v>
      </c>
      <c r="C18564" t="s">
        <v>2537</v>
      </c>
      <c r="D18564" s="254">
        <v>29.37</v>
      </c>
      <c r="E18564"/>
      <c r="F18564"/>
      <c r="G18564"/>
      <c r="H18564"/>
      <c r="I18564" s="489"/>
      <c r="J18564" s="1362"/>
      <c r="K18564" s="1362"/>
      <c r="L18564" s="1362"/>
    </row>
    <row r="18565" spans="1:12" x14ac:dyDescent="0.25">
      <c r="A18565">
        <v>3297</v>
      </c>
      <c r="B18565" t="s">
        <v>22067</v>
      </c>
      <c r="C18565" t="s">
        <v>2537</v>
      </c>
      <c r="D18565" s="254">
        <v>31.35</v>
      </c>
      <c r="E18565"/>
      <c r="F18565"/>
      <c r="G18565"/>
      <c r="H18565"/>
      <c r="I18565" s="489"/>
      <c r="J18565" s="1362"/>
      <c r="K18565" s="1362"/>
      <c r="L18565" s="1362"/>
    </row>
    <row r="18566" spans="1:12" x14ac:dyDescent="0.25">
      <c r="A18566">
        <v>3294</v>
      </c>
      <c r="B18566" t="s">
        <v>22068</v>
      </c>
      <c r="C18566" t="s">
        <v>2537</v>
      </c>
      <c r="D18566" s="254">
        <v>31.83</v>
      </c>
      <c r="E18566"/>
      <c r="F18566"/>
      <c r="G18566"/>
      <c r="H18566"/>
      <c r="I18566" s="489"/>
      <c r="J18566" s="1362"/>
      <c r="K18566" s="1362"/>
      <c r="L18566" s="1362"/>
    </row>
    <row r="18567" spans="1:12" x14ac:dyDescent="0.25">
      <c r="A18567">
        <v>3292</v>
      </c>
      <c r="B18567" t="s">
        <v>22069</v>
      </c>
      <c r="C18567" t="s">
        <v>2537</v>
      </c>
      <c r="D18567" s="254">
        <v>29.9</v>
      </c>
      <c r="E18567"/>
      <c r="F18567"/>
      <c r="G18567"/>
      <c r="H18567"/>
      <c r="I18567" s="489"/>
      <c r="J18567" s="1362"/>
      <c r="K18567" s="1362"/>
      <c r="L18567" s="1362"/>
    </row>
    <row r="18568" spans="1:12" x14ac:dyDescent="0.25">
      <c r="A18568">
        <v>3298</v>
      </c>
      <c r="B18568" t="s">
        <v>22070</v>
      </c>
      <c r="C18568" t="s">
        <v>2537</v>
      </c>
      <c r="D18568" s="254">
        <v>70.069999999999993</v>
      </c>
      <c r="E18568"/>
      <c r="F18568"/>
      <c r="G18568"/>
      <c r="H18568"/>
      <c r="I18568" s="489"/>
      <c r="J18568" s="1362"/>
      <c r="K18568" s="1362"/>
      <c r="L18568" s="1362"/>
    </row>
    <row r="18569" spans="1:12" x14ac:dyDescent="0.25">
      <c r="A18569">
        <v>11596</v>
      </c>
      <c r="B18569" t="s">
        <v>22071</v>
      </c>
      <c r="C18569" t="s">
        <v>2537</v>
      </c>
      <c r="D18569" s="254">
        <v>636.9</v>
      </c>
      <c r="E18569"/>
      <c r="F18569"/>
      <c r="G18569"/>
      <c r="H18569"/>
      <c r="I18569" s="489"/>
      <c r="J18569" s="1362"/>
      <c r="K18569" s="1362"/>
      <c r="L18569" s="1362"/>
    </row>
    <row r="18570" spans="1:12" x14ac:dyDescent="0.25">
      <c r="A18570">
        <v>34802</v>
      </c>
      <c r="B18570" t="s">
        <v>22072</v>
      </c>
      <c r="C18570" t="s">
        <v>2537</v>
      </c>
      <c r="D18570" s="254">
        <v>1749.13</v>
      </c>
      <c r="E18570"/>
      <c r="F18570"/>
      <c r="G18570"/>
      <c r="H18570"/>
      <c r="I18570" s="489"/>
      <c r="J18570" s="1362"/>
      <c r="K18570" s="1362"/>
      <c r="L18570" s="1362"/>
    </row>
    <row r="18571" spans="1:12" x14ac:dyDescent="0.25">
      <c r="A18571">
        <v>11588</v>
      </c>
      <c r="B18571" t="s">
        <v>22073</v>
      </c>
      <c r="C18571" t="s">
        <v>2537</v>
      </c>
      <c r="D18571" s="254">
        <v>1887.03</v>
      </c>
      <c r="E18571"/>
      <c r="F18571"/>
      <c r="G18571"/>
      <c r="H18571"/>
      <c r="I18571" s="489"/>
      <c r="J18571" s="1362"/>
      <c r="K18571" s="1362"/>
      <c r="L18571" s="1362"/>
    </row>
    <row r="18572" spans="1:12" x14ac:dyDescent="0.25">
      <c r="A18572">
        <v>34383</v>
      </c>
      <c r="B18572" t="s">
        <v>22074</v>
      </c>
      <c r="C18572" t="s">
        <v>2537</v>
      </c>
      <c r="D18572" s="254">
        <v>2075.87</v>
      </c>
      <c r="E18572"/>
      <c r="F18572"/>
      <c r="G18572"/>
      <c r="H18572"/>
      <c r="I18572" s="489"/>
      <c r="J18572" s="1362"/>
      <c r="K18572" s="1362"/>
      <c r="L18572" s="1362"/>
    </row>
    <row r="18573" spans="1:12" x14ac:dyDescent="0.25">
      <c r="A18573">
        <v>40451</v>
      </c>
      <c r="B18573" t="s">
        <v>22075</v>
      </c>
      <c r="C18573" t="s">
        <v>2539</v>
      </c>
      <c r="D18573" s="254">
        <v>167.8</v>
      </c>
      <c r="E18573"/>
      <c r="F18573"/>
      <c r="G18573"/>
      <c r="H18573"/>
      <c r="I18573" s="489"/>
      <c r="J18573" s="1362"/>
      <c r="K18573" s="1362"/>
      <c r="L18573" s="1362"/>
    </row>
    <row r="18574" spans="1:12" x14ac:dyDescent="0.25">
      <c r="A18574">
        <v>40453</v>
      </c>
      <c r="B18574" t="s">
        <v>22076</v>
      </c>
      <c r="C18574" t="s">
        <v>2539</v>
      </c>
      <c r="D18574" s="254">
        <v>181.56</v>
      </c>
      <c r="E18574"/>
      <c r="F18574"/>
      <c r="G18574"/>
      <c r="H18574"/>
      <c r="I18574" s="489"/>
      <c r="J18574" s="1362"/>
      <c r="K18574" s="1362"/>
      <c r="L18574" s="1362"/>
    </row>
    <row r="18575" spans="1:12" x14ac:dyDescent="0.25">
      <c r="A18575">
        <v>40452</v>
      </c>
      <c r="B18575" t="s">
        <v>22077</v>
      </c>
      <c r="C18575" t="s">
        <v>2539</v>
      </c>
      <c r="D18575" s="254">
        <v>199.15</v>
      </c>
      <c r="E18575"/>
      <c r="F18575"/>
      <c r="G18575"/>
      <c r="H18575"/>
      <c r="I18575" s="489"/>
      <c r="J18575" s="1362"/>
      <c r="K18575" s="1362"/>
      <c r="L18575" s="1362"/>
    </row>
    <row r="18576" spans="1:12" x14ac:dyDescent="0.25">
      <c r="A18576">
        <v>11594</v>
      </c>
      <c r="B18576" t="s">
        <v>22078</v>
      </c>
      <c r="C18576" t="s">
        <v>2537</v>
      </c>
      <c r="D18576" s="254">
        <v>601.45000000000005</v>
      </c>
      <c r="E18576"/>
      <c r="F18576"/>
      <c r="G18576"/>
      <c r="H18576"/>
      <c r="I18576" s="489"/>
      <c r="J18576" s="1362"/>
      <c r="K18576" s="1362"/>
      <c r="L18576" s="1362"/>
    </row>
    <row r="18577" spans="1:12" x14ac:dyDescent="0.25">
      <c r="A18577">
        <v>3311</v>
      </c>
      <c r="B18577" t="s">
        <v>22079</v>
      </c>
      <c r="C18577" t="s">
        <v>2540</v>
      </c>
      <c r="D18577" s="254">
        <v>601.45000000000005</v>
      </c>
      <c r="E18577"/>
      <c r="F18577"/>
      <c r="G18577"/>
      <c r="H18577"/>
      <c r="I18577" s="489"/>
      <c r="J18577" s="1362"/>
      <c r="K18577" s="1362"/>
      <c r="L18577" s="1362"/>
    </row>
    <row r="18578" spans="1:12" x14ac:dyDescent="0.25">
      <c r="A18578">
        <v>11599</v>
      </c>
      <c r="B18578" t="s">
        <v>22080</v>
      </c>
      <c r="C18578" t="s">
        <v>2537</v>
      </c>
      <c r="D18578" s="254">
        <v>799.86</v>
      </c>
      <c r="E18578"/>
      <c r="F18578"/>
      <c r="G18578"/>
      <c r="H18578"/>
      <c r="I18578" s="489"/>
      <c r="J18578" s="1362"/>
      <c r="K18578" s="1362"/>
      <c r="L18578" s="1362"/>
    </row>
    <row r="18579" spans="1:12" x14ac:dyDescent="0.25">
      <c r="A18579">
        <v>11593</v>
      </c>
      <c r="B18579" t="s">
        <v>22081</v>
      </c>
      <c r="C18579" t="s">
        <v>2537</v>
      </c>
      <c r="D18579" s="254">
        <v>1121.3499999999999</v>
      </c>
      <c r="E18579"/>
      <c r="F18579"/>
      <c r="G18579"/>
      <c r="H18579"/>
      <c r="I18579" s="489"/>
      <c r="J18579" s="1362"/>
      <c r="K18579" s="1362"/>
      <c r="L18579" s="1362"/>
    </row>
    <row r="18580" spans="1:12" x14ac:dyDescent="0.25">
      <c r="A18580">
        <v>3314</v>
      </c>
      <c r="B18580" t="s">
        <v>22082</v>
      </c>
      <c r="C18580" t="s">
        <v>2540</v>
      </c>
      <c r="D18580" s="254">
        <v>802</v>
      </c>
      <c r="E18580"/>
      <c r="F18580"/>
      <c r="G18580"/>
      <c r="H18580"/>
      <c r="I18580" s="489"/>
      <c r="J18580" s="1362"/>
      <c r="K18580" s="1362"/>
      <c r="L18580" s="1362"/>
    </row>
    <row r="18581" spans="1:12" x14ac:dyDescent="0.25">
      <c r="A18581">
        <v>11597</v>
      </c>
      <c r="B18581" t="s">
        <v>22083</v>
      </c>
      <c r="C18581" t="s">
        <v>2537</v>
      </c>
      <c r="D18581" s="254">
        <v>932.62</v>
      </c>
      <c r="E18581"/>
      <c r="F18581"/>
      <c r="G18581"/>
      <c r="H18581"/>
      <c r="I18581" s="489"/>
      <c r="J18581" s="1362"/>
      <c r="K18581" s="1362"/>
      <c r="L18581" s="1362"/>
    </row>
    <row r="18582" spans="1:12" x14ac:dyDescent="0.25">
      <c r="A18582">
        <v>3309</v>
      </c>
      <c r="B18582" t="s">
        <v>22084</v>
      </c>
      <c r="C18582" t="s">
        <v>2540</v>
      </c>
      <c r="D18582" s="254">
        <v>636.9</v>
      </c>
      <c r="E18582"/>
      <c r="F18582"/>
      <c r="G18582"/>
      <c r="H18582"/>
      <c r="I18582" s="489"/>
      <c r="J18582" s="1362"/>
      <c r="K18582" s="1362"/>
      <c r="L18582" s="1362"/>
    </row>
    <row r="18583" spans="1:12" x14ac:dyDescent="0.25">
      <c r="A18583">
        <v>34612</v>
      </c>
      <c r="B18583" t="s">
        <v>22085</v>
      </c>
      <c r="C18583" t="s">
        <v>2537</v>
      </c>
      <c r="D18583" s="254">
        <v>1153.49</v>
      </c>
      <c r="E18583"/>
      <c r="F18583"/>
      <c r="G18583"/>
      <c r="H18583"/>
      <c r="I18583" s="489"/>
      <c r="J18583" s="1362"/>
      <c r="K18583" s="1362"/>
      <c r="L18583" s="1362"/>
    </row>
    <row r="18584" spans="1:12" x14ac:dyDescent="0.25">
      <c r="A18584">
        <v>34635</v>
      </c>
      <c r="B18584" t="s">
        <v>22086</v>
      </c>
      <c r="C18584" t="s">
        <v>2537</v>
      </c>
      <c r="D18584" s="254">
        <v>1483.34</v>
      </c>
      <c r="E18584"/>
      <c r="F18584"/>
      <c r="G18584"/>
      <c r="H18584"/>
      <c r="I18584" s="489"/>
      <c r="J18584" s="1362"/>
      <c r="K18584" s="1362"/>
      <c r="L18584" s="1362"/>
    </row>
    <row r="18585" spans="1:12" x14ac:dyDescent="0.25">
      <c r="A18585">
        <v>34633</v>
      </c>
      <c r="B18585" t="s">
        <v>22087</v>
      </c>
      <c r="C18585" t="s">
        <v>2537</v>
      </c>
      <c r="D18585" s="254">
        <v>1635.03</v>
      </c>
      <c r="E18585"/>
      <c r="F18585"/>
      <c r="G18585"/>
      <c r="H18585"/>
      <c r="I18585" s="489"/>
      <c r="J18585" s="1362"/>
      <c r="K18585" s="1362"/>
      <c r="L18585" s="1362"/>
    </row>
    <row r="18586" spans="1:12" x14ac:dyDescent="0.25">
      <c r="A18586">
        <v>40440</v>
      </c>
      <c r="B18586" t="s">
        <v>22088</v>
      </c>
      <c r="C18586" t="s">
        <v>2540</v>
      </c>
      <c r="D18586" s="254">
        <v>835.36</v>
      </c>
      <c r="E18586"/>
      <c r="F18586"/>
      <c r="G18586"/>
      <c r="H18586"/>
      <c r="I18586" s="489"/>
      <c r="J18586" s="1362"/>
      <c r="K18586" s="1362"/>
      <c r="L18586" s="1362"/>
    </row>
    <row r="18587" spans="1:12" x14ac:dyDescent="0.25">
      <c r="A18587">
        <v>40441</v>
      </c>
      <c r="B18587" t="s">
        <v>22089</v>
      </c>
      <c r="C18587" t="s">
        <v>2540</v>
      </c>
      <c r="D18587" s="254">
        <v>533.33000000000004</v>
      </c>
      <c r="E18587"/>
      <c r="F18587"/>
      <c r="G18587"/>
      <c r="H18587"/>
      <c r="I18587" s="489"/>
      <c r="J18587" s="1362"/>
      <c r="K18587" s="1362"/>
      <c r="L18587" s="1362"/>
    </row>
    <row r="18588" spans="1:12" x14ac:dyDescent="0.25">
      <c r="A18588">
        <v>40449</v>
      </c>
      <c r="B18588" t="s">
        <v>22090</v>
      </c>
      <c r="C18588" t="s">
        <v>2540</v>
      </c>
      <c r="D18588" s="254">
        <v>448.35</v>
      </c>
      <c r="E18588"/>
      <c r="F18588"/>
      <c r="G18588"/>
      <c r="H18588"/>
      <c r="I18588" s="489"/>
      <c r="J18588" s="1362"/>
      <c r="K18588" s="1362"/>
      <c r="L18588" s="1362"/>
    </row>
    <row r="18589" spans="1:12" x14ac:dyDescent="0.25">
      <c r="A18589">
        <v>34800</v>
      </c>
      <c r="B18589" t="s">
        <v>22091</v>
      </c>
      <c r="C18589" t="s">
        <v>2540</v>
      </c>
      <c r="D18589" s="254">
        <v>560.66999999999996</v>
      </c>
      <c r="E18589"/>
      <c r="F18589"/>
      <c r="G18589"/>
      <c r="H18589"/>
      <c r="I18589" s="489"/>
      <c r="J18589" s="1362"/>
      <c r="K18589" s="1362"/>
      <c r="L18589" s="1362"/>
    </row>
    <row r="18590" spans="1:12" x14ac:dyDescent="0.25">
      <c r="A18590">
        <v>11592</v>
      </c>
      <c r="B18590" t="s">
        <v>22092</v>
      </c>
      <c r="C18590" t="s">
        <v>2537</v>
      </c>
      <c r="D18590" s="254">
        <v>802</v>
      </c>
      <c r="E18590"/>
      <c r="F18590"/>
      <c r="G18590"/>
      <c r="H18590"/>
      <c r="I18590" s="489"/>
      <c r="J18590" s="1362"/>
      <c r="K18590" s="1362"/>
      <c r="L18590" s="1362"/>
    </row>
    <row r="18591" spans="1:12" x14ac:dyDescent="0.25">
      <c r="A18591">
        <v>40438</v>
      </c>
      <c r="B18591" t="s">
        <v>22093</v>
      </c>
      <c r="C18591" t="s">
        <v>2540</v>
      </c>
      <c r="D18591" s="254">
        <v>373.53</v>
      </c>
      <c r="E18591"/>
      <c r="F18591"/>
      <c r="G18591"/>
      <c r="H18591"/>
      <c r="I18591" s="489"/>
      <c r="J18591" s="1362"/>
      <c r="K18591" s="1362"/>
      <c r="L18591" s="1362"/>
    </row>
    <row r="18592" spans="1:12" x14ac:dyDescent="0.25">
      <c r="A18592">
        <v>40436</v>
      </c>
      <c r="B18592" t="s">
        <v>22094</v>
      </c>
      <c r="C18592" t="s">
        <v>2540</v>
      </c>
      <c r="D18592" s="254">
        <v>465.76</v>
      </c>
      <c r="E18592"/>
      <c r="F18592"/>
      <c r="G18592"/>
      <c r="H18592"/>
      <c r="I18592" s="489"/>
      <c r="J18592" s="1362"/>
      <c r="K18592" s="1362"/>
      <c r="L18592" s="1362"/>
    </row>
    <row r="18593" spans="1:12" x14ac:dyDescent="0.25">
      <c r="A18593">
        <v>4315</v>
      </c>
      <c r="B18593" t="s">
        <v>22095</v>
      </c>
      <c r="C18593" t="s">
        <v>2537</v>
      </c>
      <c r="D18593" s="254">
        <v>2.4300000000000002</v>
      </c>
      <c r="E18593"/>
      <c r="F18593"/>
      <c r="G18593"/>
      <c r="H18593"/>
      <c r="I18593" s="489"/>
      <c r="J18593" s="1362"/>
      <c r="K18593" s="1362"/>
      <c r="L18593" s="1362"/>
    </row>
    <row r="18594" spans="1:12" x14ac:dyDescent="0.25">
      <c r="A18594">
        <v>402</v>
      </c>
      <c r="B18594" t="s">
        <v>22096</v>
      </c>
      <c r="C18594" t="s">
        <v>2537</v>
      </c>
      <c r="D18594" s="254">
        <v>25.81</v>
      </c>
      <c r="E18594"/>
      <c r="F18594"/>
      <c r="G18594"/>
      <c r="H18594"/>
      <c r="I18594" s="489"/>
      <c r="J18594" s="1362"/>
      <c r="K18594" s="1362"/>
      <c r="L18594" s="1362"/>
    </row>
    <row r="18595" spans="1:12" x14ac:dyDescent="0.25">
      <c r="A18595">
        <v>4226</v>
      </c>
      <c r="B18595" t="s">
        <v>22097</v>
      </c>
      <c r="C18595" t="s">
        <v>2542</v>
      </c>
      <c r="D18595" s="254">
        <v>9.52</v>
      </c>
      <c r="E18595"/>
      <c r="F18595"/>
      <c r="G18595"/>
      <c r="H18595"/>
      <c r="I18595" s="489"/>
      <c r="J18595" s="1362"/>
      <c r="K18595" s="1362"/>
      <c r="L18595" s="1362"/>
    </row>
    <row r="18596" spans="1:12" x14ac:dyDescent="0.25">
      <c r="A18596">
        <v>4222</v>
      </c>
      <c r="B18596" t="s">
        <v>22098</v>
      </c>
      <c r="C18596" t="s">
        <v>2543</v>
      </c>
      <c r="D18596" s="254">
        <v>4.97</v>
      </c>
      <c r="E18596"/>
      <c r="F18596"/>
      <c r="G18596"/>
      <c r="H18596"/>
      <c r="I18596" s="489"/>
      <c r="J18596" s="1362"/>
      <c r="K18596" s="1362"/>
      <c r="L18596" s="1362"/>
    </row>
    <row r="18597" spans="1:12" x14ac:dyDescent="0.25">
      <c r="A18597">
        <v>34804</v>
      </c>
      <c r="B18597" t="s">
        <v>22099</v>
      </c>
      <c r="C18597" t="s">
        <v>2539</v>
      </c>
      <c r="D18597" s="254">
        <v>67.7</v>
      </c>
      <c r="E18597"/>
      <c r="F18597"/>
      <c r="G18597"/>
      <c r="H18597"/>
      <c r="I18597" s="489"/>
      <c r="J18597" s="1362"/>
      <c r="K18597" s="1362"/>
      <c r="L18597" s="1362"/>
    </row>
    <row r="18598" spans="1:12" x14ac:dyDescent="0.25">
      <c r="A18598">
        <v>4013</v>
      </c>
      <c r="B18598" t="s">
        <v>22100</v>
      </c>
      <c r="C18598" t="s">
        <v>2539</v>
      </c>
      <c r="D18598" s="254">
        <v>6.23</v>
      </c>
      <c r="E18598"/>
      <c r="F18598"/>
      <c r="G18598"/>
      <c r="H18598"/>
      <c r="I18598" s="489"/>
      <c r="J18598" s="1362"/>
      <c r="K18598" s="1362"/>
      <c r="L18598" s="1362"/>
    </row>
    <row r="18599" spans="1:12" x14ac:dyDescent="0.25">
      <c r="A18599">
        <v>4011</v>
      </c>
      <c r="B18599" t="s">
        <v>22101</v>
      </c>
      <c r="C18599" t="s">
        <v>2539</v>
      </c>
      <c r="D18599" s="254">
        <v>6.96</v>
      </c>
      <c r="E18599"/>
      <c r="F18599"/>
      <c r="G18599"/>
      <c r="H18599"/>
      <c r="I18599" s="489"/>
      <c r="J18599" s="1362"/>
      <c r="K18599" s="1362"/>
      <c r="L18599" s="1362"/>
    </row>
    <row r="18600" spans="1:12" x14ac:dyDescent="0.25">
      <c r="A18600">
        <v>4021</v>
      </c>
      <c r="B18600" t="s">
        <v>22102</v>
      </c>
      <c r="C18600" t="s">
        <v>2539</v>
      </c>
      <c r="D18600" s="254">
        <v>8.68</v>
      </c>
      <c r="E18600"/>
      <c r="F18600"/>
      <c r="G18600"/>
      <c r="H18600"/>
      <c r="I18600" s="489"/>
      <c r="J18600" s="1362"/>
      <c r="K18600" s="1362"/>
      <c r="L18600" s="1362"/>
    </row>
    <row r="18601" spans="1:12" x14ac:dyDescent="0.25">
      <c r="A18601">
        <v>4019</v>
      </c>
      <c r="B18601" t="s">
        <v>22103</v>
      </c>
      <c r="C18601" t="s">
        <v>2539</v>
      </c>
      <c r="D18601" s="254">
        <v>10.43</v>
      </c>
      <c r="E18601"/>
      <c r="F18601"/>
      <c r="G18601"/>
      <c r="H18601"/>
      <c r="I18601" s="489"/>
      <c r="J18601" s="1362"/>
      <c r="K18601" s="1362"/>
      <c r="L18601" s="1362"/>
    </row>
    <row r="18602" spans="1:12" x14ac:dyDescent="0.25">
      <c r="A18602">
        <v>4012</v>
      </c>
      <c r="B18602" t="s">
        <v>22104</v>
      </c>
      <c r="C18602" t="s">
        <v>2539</v>
      </c>
      <c r="D18602" s="254">
        <v>13.97</v>
      </c>
      <c r="E18602"/>
      <c r="F18602"/>
      <c r="G18602"/>
      <c r="H18602"/>
      <c r="I18602" s="489"/>
      <c r="J18602" s="1362"/>
      <c r="K18602" s="1362"/>
      <c r="L18602" s="1362"/>
    </row>
    <row r="18603" spans="1:12" x14ac:dyDescent="0.25">
      <c r="A18603">
        <v>4020</v>
      </c>
      <c r="B18603" t="s">
        <v>22105</v>
      </c>
      <c r="C18603" t="s">
        <v>2539</v>
      </c>
      <c r="D18603" s="254">
        <v>17.489999999999998</v>
      </c>
      <c r="E18603"/>
      <c r="F18603"/>
      <c r="G18603"/>
      <c r="H18603"/>
      <c r="I18603" s="489"/>
      <c r="J18603" s="1362"/>
      <c r="K18603" s="1362"/>
      <c r="L18603" s="1362"/>
    </row>
    <row r="18604" spans="1:12" x14ac:dyDescent="0.25">
      <c r="A18604">
        <v>4018</v>
      </c>
      <c r="B18604" t="s">
        <v>22106</v>
      </c>
      <c r="C18604" t="s">
        <v>2539</v>
      </c>
      <c r="D18604" s="254">
        <v>20.96</v>
      </c>
      <c r="E18604"/>
      <c r="F18604"/>
      <c r="G18604"/>
      <c r="H18604"/>
      <c r="I18604" s="489"/>
      <c r="J18604" s="1362"/>
      <c r="K18604" s="1362"/>
      <c r="L18604" s="1362"/>
    </row>
    <row r="18605" spans="1:12" x14ac:dyDescent="0.25">
      <c r="A18605">
        <v>36498</v>
      </c>
      <c r="B18605" t="s">
        <v>22107</v>
      </c>
      <c r="C18605" t="s">
        <v>2537</v>
      </c>
      <c r="D18605" s="254">
        <v>7956.08</v>
      </c>
      <c r="E18605"/>
      <c r="F18605"/>
      <c r="G18605"/>
      <c r="H18605"/>
      <c r="I18605" s="489"/>
      <c r="J18605" s="1362"/>
      <c r="K18605" s="1362"/>
      <c r="L18605" s="1362"/>
    </row>
    <row r="18606" spans="1:12" x14ac:dyDescent="0.25">
      <c r="A18606">
        <v>12872</v>
      </c>
      <c r="B18606" t="s">
        <v>22108</v>
      </c>
      <c r="C18606" t="s">
        <v>2538</v>
      </c>
      <c r="D18606" s="254">
        <v>26.38</v>
      </c>
      <c r="E18606"/>
      <c r="F18606"/>
      <c r="G18606"/>
      <c r="H18606"/>
      <c r="I18606" s="489"/>
      <c r="J18606" s="1362"/>
      <c r="K18606" s="1362"/>
      <c r="L18606" s="1362"/>
    </row>
    <row r="18607" spans="1:12" x14ac:dyDescent="0.25">
      <c r="A18607">
        <v>41075</v>
      </c>
      <c r="B18607" t="s">
        <v>22109</v>
      </c>
      <c r="C18607" t="s">
        <v>2544</v>
      </c>
      <c r="D18607" s="254">
        <v>4658.6099999999997</v>
      </c>
      <c r="E18607"/>
      <c r="F18607"/>
      <c r="G18607"/>
      <c r="H18607"/>
      <c r="I18607" s="489"/>
      <c r="J18607" s="1362"/>
      <c r="K18607" s="1362"/>
      <c r="L18607" s="1362"/>
    </row>
    <row r="18608" spans="1:12" x14ac:dyDescent="0.25">
      <c r="A18608">
        <v>44324</v>
      </c>
      <c r="B18608" t="s">
        <v>22110</v>
      </c>
      <c r="C18608" t="s">
        <v>2542</v>
      </c>
      <c r="D18608" s="254">
        <v>3.16</v>
      </c>
      <c r="E18608"/>
      <c r="F18608"/>
      <c r="G18608"/>
      <c r="H18608"/>
      <c r="I18608" s="489"/>
      <c r="J18608" s="1362"/>
      <c r="K18608" s="1362"/>
      <c r="L18608" s="1362"/>
    </row>
    <row r="18609" spans="1:12" x14ac:dyDescent="0.25">
      <c r="A18609">
        <v>3315</v>
      </c>
      <c r="B18609" t="s">
        <v>22111</v>
      </c>
      <c r="C18609" t="s">
        <v>2542</v>
      </c>
      <c r="D18609" s="254">
        <v>0.91</v>
      </c>
      <c r="E18609"/>
      <c r="F18609"/>
      <c r="G18609"/>
      <c r="H18609"/>
      <c r="I18609" s="489"/>
      <c r="J18609" s="1362"/>
      <c r="K18609" s="1362"/>
      <c r="L18609" s="1362"/>
    </row>
    <row r="18610" spans="1:12" x14ac:dyDescent="0.25">
      <c r="A18610">
        <v>36870</v>
      </c>
      <c r="B18610" t="s">
        <v>22112</v>
      </c>
      <c r="C18610" t="s">
        <v>2542</v>
      </c>
      <c r="D18610" s="254">
        <v>0.7</v>
      </c>
      <c r="E18610"/>
      <c r="F18610"/>
      <c r="G18610"/>
      <c r="H18610"/>
      <c r="I18610" s="489"/>
      <c r="J18610" s="1362"/>
      <c r="K18610" s="1362"/>
      <c r="L18610" s="1362"/>
    </row>
    <row r="18611" spans="1:12" x14ac:dyDescent="0.25">
      <c r="A18611">
        <v>5092</v>
      </c>
      <c r="B18611" t="s">
        <v>22113</v>
      </c>
      <c r="C18611" t="s">
        <v>2545</v>
      </c>
      <c r="D18611" s="254">
        <v>18.420000000000002</v>
      </c>
      <c r="E18611"/>
      <c r="F18611"/>
      <c r="G18611"/>
      <c r="H18611"/>
      <c r="I18611" s="489"/>
      <c r="J18611" s="1362"/>
      <c r="K18611" s="1362"/>
      <c r="L18611" s="1362"/>
    </row>
    <row r="18612" spans="1:12" x14ac:dyDescent="0.25">
      <c r="A18612">
        <v>11462</v>
      </c>
      <c r="B18612" t="s">
        <v>22114</v>
      </c>
      <c r="C18612" t="s">
        <v>2545</v>
      </c>
      <c r="D18612" s="254">
        <v>18.84</v>
      </c>
      <c r="E18612"/>
      <c r="F18612"/>
      <c r="G18612"/>
      <c r="H18612"/>
      <c r="I18612" s="489"/>
      <c r="J18612" s="1362"/>
      <c r="K18612" s="1362"/>
      <c r="L18612" s="1362"/>
    </row>
    <row r="18613" spans="1:12" x14ac:dyDescent="0.25">
      <c r="A18613">
        <v>36529</v>
      </c>
      <c r="B18613" t="s">
        <v>22115</v>
      </c>
      <c r="C18613" t="s">
        <v>2537</v>
      </c>
      <c r="D18613" s="254">
        <v>79081.63</v>
      </c>
      <c r="E18613"/>
      <c r="F18613"/>
      <c r="G18613"/>
      <c r="H18613"/>
      <c r="I18613" s="489"/>
      <c r="J18613" s="1362"/>
      <c r="K18613" s="1362"/>
      <c r="L18613" s="1362"/>
    </row>
    <row r="18614" spans="1:12" x14ac:dyDescent="0.25">
      <c r="A18614">
        <v>3318</v>
      </c>
      <c r="B18614" t="s">
        <v>22116</v>
      </c>
      <c r="C18614" t="s">
        <v>2537</v>
      </c>
      <c r="D18614" s="254">
        <v>62000</v>
      </c>
      <c r="E18614"/>
      <c r="F18614"/>
      <c r="G18614"/>
      <c r="H18614"/>
      <c r="I18614" s="489"/>
      <c r="J18614" s="1362"/>
      <c r="K18614" s="1362"/>
      <c r="L18614" s="1362"/>
    </row>
    <row r="18615" spans="1:12" x14ac:dyDescent="0.25">
      <c r="A18615">
        <v>3324</v>
      </c>
      <c r="B18615" t="s">
        <v>22117</v>
      </c>
      <c r="C18615" t="s">
        <v>2539</v>
      </c>
      <c r="D18615" s="254">
        <v>9.64</v>
      </c>
      <c r="E18615"/>
      <c r="F18615"/>
      <c r="G18615"/>
      <c r="H18615"/>
      <c r="I18615" s="489"/>
      <c r="J18615" s="1362"/>
      <c r="K18615" s="1362"/>
      <c r="L18615" s="1362"/>
    </row>
    <row r="18616" spans="1:12" x14ac:dyDescent="0.25">
      <c r="A18616">
        <v>3322</v>
      </c>
      <c r="B18616" t="s">
        <v>22118</v>
      </c>
      <c r="C18616" t="s">
        <v>2539</v>
      </c>
      <c r="D18616" s="254">
        <v>13.5</v>
      </c>
      <c r="E18616"/>
      <c r="F18616"/>
      <c r="G18616"/>
      <c r="H18616"/>
      <c r="I18616" s="489"/>
      <c r="J18616" s="1362"/>
      <c r="K18616" s="1362"/>
      <c r="L18616" s="1362"/>
    </row>
    <row r="18617" spans="1:12" x14ac:dyDescent="0.25">
      <c r="A18617">
        <v>5076</v>
      </c>
      <c r="B18617" t="s">
        <v>22119</v>
      </c>
      <c r="C18617" t="s">
        <v>2542</v>
      </c>
      <c r="D18617" s="254">
        <v>22.02</v>
      </c>
      <c r="E18617"/>
      <c r="F18617"/>
      <c r="G18617"/>
      <c r="H18617"/>
      <c r="I18617" s="489"/>
      <c r="J18617" s="1362"/>
      <c r="K18617" s="1362"/>
      <c r="L18617" s="1362"/>
    </row>
    <row r="18618" spans="1:12" x14ac:dyDescent="0.25">
      <c r="A18618">
        <v>5077</v>
      </c>
      <c r="B18618" t="s">
        <v>22120</v>
      </c>
      <c r="C18618" t="s">
        <v>2542</v>
      </c>
      <c r="D18618" s="254">
        <v>24.34</v>
      </c>
      <c r="E18618"/>
      <c r="F18618"/>
      <c r="G18618"/>
      <c r="H18618"/>
      <c r="I18618" s="489"/>
      <c r="J18618" s="1362"/>
      <c r="K18618" s="1362"/>
      <c r="L18618" s="1362"/>
    </row>
    <row r="18619" spans="1:12" x14ac:dyDescent="0.25">
      <c r="A18619">
        <v>11837</v>
      </c>
      <c r="B18619" t="s">
        <v>22121</v>
      </c>
      <c r="C18619" t="s">
        <v>2537</v>
      </c>
      <c r="D18619" s="254">
        <v>66.92</v>
      </c>
      <c r="E18619"/>
      <c r="F18619"/>
      <c r="G18619"/>
      <c r="H18619"/>
      <c r="I18619" s="489"/>
      <c r="J18619" s="1362"/>
      <c r="K18619" s="1362"/>
      <c r="L18619" s="1362"/>
    </row>
    <row r="18620" spans="1:12" x14ac:dyDescent="0.25">
      <c r="A18620">
        <v>38055</v>
      </c>
      <c r="B18620" t="s">
        <v>22122</v>
      </c>
      <c r="C18620" t="s">
        <v>2537</v>
      </c>
      <c r="D18620" s="254">
        <v>6.07</v>
      </c>
      <c r="E18620"/>
      <c r="F18620"/>
      <c r="G18620"/>
      <c r="H18620"/>
      <c r="I18620" s="489"/>
      <c r="J18620" s="1362"/>
      <c r="K18620" s="1362"/>
      <c r="L18620" s="1362"/>
    </row>
    <row r="18621" spans="1:12" x14ac:dyDescent="0.25">
      <c r="A18621">
        <v>415</v>
      </c>
      <c r="B18621" t="s">
        <v>22123</v>
      </c>
      <c r="C18621" t="s">
        <v>2537</v>
      </c>
      <c r="D18621" s="254">
        <v>27.44</v>
      </c>
      <c r="E18621"/>
      <c r="F18621"/>
      <c r="G18621"/>
      <c r="H18621"/>
      <c r="I18621" s="489"/>
      <c r="J18621" s="1362"/>
      <c r="K18621" s="1362"/>
      <c r="L18621" s="1362"/>
    </row>
    <row r="18622" spans="1:12" x14ac:dyDescent="0.25">
      <c r="A18622">
        <v>416</v>
      </c>
      <c r="B18622" t="s">
        <v>22124</v>
      </c>
      <c r="C18622" t="s">
        <v>2537</v>
      </c>
      <c r="D18622" s="254">
        <v>10.039999999999999</v>
      </c>
      <c r="E18622"/>
      <c r="F18622"/>
      <c r="G18622"/>
      <c r="H18622"/>
      <c r="I18622" s="489"/>
      <c r="J18622" s="1362"/>
      <c r="K18622" s="1362"/>
      <c r="L18622" s="1362"/>
    </row>
    <row r="18623" spans="1:12" x14ac:dyDescent="0.25">
      <c r="A18623">
        <v>425</v>
      </c>
      <c r="B18623" t="s">
        <v>22125</v>
      </c>
      <c r="C18623" t="s">
        <v>2537</v>
      </c>
      <c r="D18623" s="254">
        <v>6.23</v>
      </c>
      <c r="E18623"/>
      <c r="F18623"/>
      <c r="G18623"/>
      <c r="H18623"/>
      <c r="I18623" s="489"/>
      <c r="J18623" s="1362"/>
      <c r="K18623" s="1362"/>
      <c r="L18623" s="1362"/>
    </row>
    <row r="18624" spans="1:12" x14ac:dyDescent="0.25">
      <c r="A18624">
        <v>426</v>
      </c>
      <c r="B18624" t="s">
        <v>22126</v>
      </c>
      <c r="C18624" t="s">
        <v>2537</v>
      </c>
      <c r="D18624" s="254">
        <v>34.299999999999997</v>
      </c>
      <c r="E18624"/>
      <c r="F18624"/>
      <c r="G18624"/>
      <c r="H18624"/>
      <c r="I18624" s="489"/>
      <c r="J18624" s="1362"/>
      <c r="K18624" s="1362"/>
      <c r="L18624" s="1362"/>
    </row>
    <row r="18625" spans="1:12" x14ac:dyDescent="0.25">
      <c r="A18625">
        <v>38056</v>
      </c>
      <c r="B18625" t="s">
        <v>22127</v>
      </c>
      <c r="C18625" t="s">
        <v>2537</v>
      </c>
      <c r="D18625" s="254">
        <v>33.49</v>
      </c>
      <c r="E18625"/>
      <c r="F18625"/>
      <c r="G18625"/>
      <c r="H18625"/>
      <c r="I18625" s="489"/>
      <c r="J18625" s="1362"/>
      <c r="K18625" s="1362"/>
      <c r="L18625" s="1362"/>
    </row>
    <row r="18626" spans="1:12" x14ac:dyDescent="0.25">
      <c r="A18626">
        <v>1564</v>
      </c>
      <c r="B18626" t="s">
        <v>22128</v>
      </c>
      <c r="C18626" t="s">
        <v>2537</v>
      </c>
      <c r="D18626" s="254">
        <v>12.78</v>
      </c>
      <c r="E18626"/>
      <c r="F18626"/>
      <c r="G18626"/>
      <c r="H18626"/>
      <c r="I18626" s="489"/>
      <c r="J18626" s="1362"/>
      <c r="K18626" s="1362"/>
      <c r="L18626" s="1362"/>
    </row>
    <row r="18627" spans="1:12" x14ac:dyDescent="0.25">
      <c r="A18627">
        <v>11032</v>
      </c>
      <c r="B18627" t="s">
        <v>22129</v>
      </c>
      <c r="C18627" t="s">
        <v>2537</v>
      </c>
      <c r="D18627" s="254">
        <v>13.71</v>
      </c>
      <c r="E18627"/>
      <c r="F18627"/>
      <c r="G18627"/>
      <c r="H18627"/>
      <c r="I18627" s="489"/>
      <c r="J18627" s="1362"/>
      <c r="K18627" s="1362"/>
      <c r="L18627" s="1362"/>
    </row>
    <row r="18628" spans="1:12" x14ac:dyDescent="0.25">
      <c r="A18628">
        <v>36786</v>
      </c>
      <c r="B18628" t="s">
        <v>22130</v>
      </c>
      <c r="C18628" t="s">
        <v>2552</v>
      </c>
      <c r="D18628" s="254">
        <v>159.07</v>
      </c>
      <c r="E18628"/>
      <c r="F18628"/>
      <c r="G18628"/>
      <c r="H18628"/>
      <c r="I18628" s="489"/>
      <c r="J18628" s="1362"/>
      <c r="K18628" s="1362"/>
      <c r="L18628" s="1362"/>
    </row>
    <row r="18629" spans="1:12" x14ac:dyDescent="0.25">
      <c r="A18629">
        <v>36785</v>
      </c>
      <c r="B18629" t="s">
        <v>22131</v>
      </c>
      <c r="C18629" t="s">
        <v>2552</v>
      </c>
      <c r="D18629" s="254">
        <v>138.22</v>
      </c>
      <c r="E18629"/>
      <c r="F18629"/>
      <c r="G18629"/>
      <c r="H18629"/>
      <c r="I18629" s="489"/>
      <c r="J18629" s="1362"/>
      <c r="K18629" s="1362"/>
      <c r="L18629" s="1362"/>
    </row>
    <row r="18630" spans="1:12" x14ac:dyDescent="0.25">
      <c r="A18630">
        <v>36782</v>
      </c>
      <c r="B18630" t="s">
        <v>22132</v>
      </c>
      <c r="C18630" t="s">
        <v>2552</v>
      </c>
      <c r="D18630" s="254">
        <v>164.99</v>
      </c>
      <c r="E18630"/>
      <c r="F18630"/>
      <c r="G18630"/>
      <c r="H18630"/>
      <c r="I18630" s="489"/>
      <c r="J18630" s="1362"/>
      <c r="K18630" s="1362"/>
      <c r="L18630" s="1362"/>
    </row>
    <row r="18631" spans="1:12" x14ac:dyDescent="0.25">
      <c r="A18631">
        <v>44481</v>
      </c>
      <c r="B18631" t="s">
        <v>22133</v>
      </c>
      <c r="C18631" t="s">
        <v>2552</v>
      </c>
      <c r="D18631" s="254">
        <v>185.85</v>
      </c>
      <c r="E18631"/>
      <c r="F18631"/>
      <c r="G18631"/>
      <c r="H18631"/>
      <c r="I18631" s="489"/>
      <c r="J18631" s="1362"/>
      <c r="K18631" s="1362"/>
      <c r="L18631" s="1362"/>
    </row>
    <row r="18632" spans="1:12" x14ac:dyDescent="0.25">
      <c r="A18632">
        <v>4824</v>
      </c>
      <c r="B18632" t="s">
        <v>22134</v>
      </c>
      <c r="C18632" t="s">
        <v>2542</v>
      </c>
      <c r="D18632" s="254">
        <v>0.67</v>
      </c>
      <c r="E18632"/>
      <c r="F18632"/>
      <c r="G18632"/>
      <c r="H18632"/>
      <c r="I18632" s="489"/>
      <c r="J18632" s="1362"/>
      <c r="K18632" s="1362"/>
      <c r="L18632" s="1362"/>
    </row>
    <row r="18633" spans="1:12" x14ac:dyDescent="0.25">
      <c r="A18633">
        <v>11795</v>
      </c>
      <c r="B18633" t="s">
        <v>22135</v>
      </c>
      <c r="C18633" t="s">
        <v>2539</v>
      </c>
      <c r="D18633" s="254">
        <v>633.96</v>
      </c>
      <c r="E18633"/>
      <c r="F18633"/>
      <c r="G18633"/>
      <c r="H18633"/>
      <c r="I18633" s="489"/>
      <c r="J18633" s="1362"/>
      <c r="K18633" s="1362"/>
      <c r="L18633" s="1362"/>
    </row>
    <row r="18634" spans="1:12" x14ac:dyDescent="0.25">
      <c r="A18634">
        <v>134</v>
      </c>
      <c r="B18634" t="s">
        <v>22136</v>
      </c>
      <c r="C18634" t="s">
        <v>2542</v>
      </c>
      <c r="D18634" s="254">
        <v>1.55</v>
      </c>
      <c r="E18634"/>
      <c r="F18634"/>
      <c r="G18634"/>
      <c r="H18634"/>
      <c r="I18634" s="489"/>
      <c r="J18634" s="1362"/>
      <c r="K18634" s="1362"/>
      <c r="L18634" s="1362"/>
    </row>
    <row r="18635" spans="1:12" x14ac:dyDescent="0.25">
      <c r="A18635">
        <v>4229</v>
      </c>
      <c r="B18635" t="s">
        <v>22137</v>
      </c>
      <c r="C18635" t="s">
        <v>2542</v>
      </c>
      <c r="D18635" s="254">
        <v>57.99</v>
      </c>
      <c r="E18635"/>
      <c r="F18635"/>
      <c r="G18635"/>
      <c r="H18635"/>
      <c r="I18635" s="489"/>
      <c r="J18635" s="1362"/>
      <c r="K18635" s="1362"/>
      <c r="L18635" s="1362"/>
    </row>
    <row r="18636" spans="1:12" x14ac:dyDescent="0.25">
      <c r="A18636">
        <v>11731</v>
      </c>
      <c r="B18636" t="s">
        <v>22138</v>
      </c>
      <c r="C18636" t="s">
        <v>2537</v>
      </c>
      <c r="D18636" s="254">
        <v>10.32</v>
      </c>
      <c r="E18636"/>
      <c r="F18636"/>
      <c r="G18636"/>
      <c r="H18636"/>
      <c r="I18636" s="489"/>
      <c r="J18636" s="1362"/>
      <c r="K18636" s="1362"/>
      <c r="L18636" s="1362"/>
    </row>
    <row r="18637" spans="1:12" x14ac:dyDescent="0.25">
      <c r="A18637">
        <v>11732</v>
      </c>
      <c r="B18637" t="s">
        <v>22139</v>
      </c>
      <c r="C18637" t="s">
        <v>2537</v>
      </c>
      <c r="D18637" s="254">
        <v>27.05</v>
      </c>
      <c r="E18637"/>
      <c r="F18637"/>
      <c r="G18637"/>
      <c r="H18637"/>
      <c r="I18637" s="489"/>
      <c r="J18637" s="1362"/>
      <c r="K18637" s="1362"/>
      <c r="L18637" s="1362"/>
    </row>
    <row r="18638" spans="1:12" x14ac:dyDescent="0.25">
      <c r="A18638">
        <v>11244</v>
      </c>
      <c r="B18638" t="s">
        <v>22140</v>
      </c>
      <c r="C18638" t="s">
        <v>2537</v>
      </c>
      <c r="D18638" s="254">
        <v>290.12</v>
      </c>
      <c r="E18638"/>
      <c r="F18638"/>
      <c r="G18638"/>
      <c r="H18638"/>
      <c r="I18638" s="489"/>
      <c r="J18638" s="1362"/>
      <c r="K18638" s="1362"/>
      <c r="L18638" s="1362"/>
    </row>
    <row r="18639" spans="1:12" x14ac:dyDescent="0.25">
      <c r="A18639">
        <v>11245</v>
      </c>
      <c r="B18639" t="s">
        <v>22141</v>
      </c>
      <c r="C18639" t="s">
        <v>2537</v>
      </c>
      <c r="D18639" s="254">
        <v>401.27</v>
      </c>
      <c r="E18639"/>
      <c r="F18639"/>
      <c r="G18639"/>
      <c r="H18639"/>
      <c r="I18639" s="489"/>
      <c r="J18639" s="1362"/>
      <c r="K18639" s="1362"/>
      <c r="L18639" s="1362"/>
    </row>
    <row r="18640" spans="1:12" x14ac:dyDescent="0.25">
      <c r="A18640">
        <v>11235</v>
      </c>
      <c r="B18640" t="s">
        <v>22142</v>
      </c>
      <c r="C18640" t="s">
        <v>2537</v>
      </c>
      <c r="D18640" s="254">
        <v>221.39</v>
      </c>
      <c r="E18640"/>
      <c r="F18640"/>
      <c r="G18640"/>
      <c r="H18640"/>
      <c r="I18640" s="489"/>
      <c r="J18640" s="1362"/>
      <c r="K18640" s="1362"/>
      <c r="L18640" s="1362"/>
    </row>
    <row r="18641" spans="1:12" x14ac:dyDescent="0.25">
      <c r="A18641">
        <v>11236</v>
      </c>
      <c r="B18641" t="s">
        <v>22143</v>
      </c>
      <c r="C18641" t="s">
        <v>2537</v>
      </c>
      <c r="D18641" s="254">
        <v>281.35000000000002</v>
      </c>
      <c r="E18641"/>
      <c r="F18641"/>
      <c r="G18641"/>
      <c r="H18641"/>
      <c r="I18641" s="489"/>
      <c r="J18641" s="1362"/>
      <c r="K18641" s="1362"/>
      <c r="L18641" s="1362"/>
    </row>
    <row r="18642" spans="1:12" x14ac:dyDescent="0.25">
      <c r="A18642">
        <v>36494</v>
      </c>
      <c r="B18642" t="s">
        <v>22144</v>
      </c>
      <c r="C18642" t="s">
        <v>2537</v>
      </c>
      <c r="D18642" s="254">
        <v>711131.25</v>
      </c>
      <c r="E18642"/>
      <c r="F18642"/>
      <c r="G18642"/>
      <c r="H18642"/>
      <c r="I18642" s="489"/>
      <c r="J18642" s="1362"/>
      <c r="K18642" s="1362"/>
      <c r="L18642" s="1362"/>
    </row>
    <row r="18643" spans="1:12" x14ac:dyDescent="0.25">
      <c r="A18643">
        <v>36493</v>
      </c>
      <c r="B18643" t="s">
        <v>22145</v>
      </c>
      <c r="C18643" t="s">
        <v>2537</v>
      </c>
      <c r="D18643" s="254">
        <v>805682.81</v>
      </c>
      <c r="E18643"/>
      <c r="F18643"/>
      <c r="G18643"/>
      <c r="H18643"/>
      <c r="I18643" s="489"/>
      <c r="J18643" s="1362"/>
      <c r="K18643" s="1362"/>
      <c r="L18643" s="1362"/>
    </row>
    <row r="18644" spans="1:12" x14ac:dyDescent="0.25">
      <c r="A18644">
        <v>36492</v>
      </c>
      <c r="B18644" t="s">
        <v>22146</v>
      </c>
      <c r="C18644" t="s">
        <v>2537</v>
      </c>
      <c r="D18644" s="254">
        <v>1496653.12</v>
      </c>
      <c r="E18644"/>
      <c r="F18644"/>
      <c r="G18644"/>
      <c r="H18644"/>
      <c r="I18644" s="489"/>
      <c r="J18644" s="1362"/>
      <c r="K18644" s="1362"/>
      <c r="L18644" s="1362"/>
    </row>
    <row r="18645" spans="1:12" x14ac:dyDescent="0.25">
      <c r="A18645">
        <v>36499</v>
      </c>
      <c r="B18645" t="s">
        <v>22147</v>
      </c>
      <c r="C18645" t="s">
        <v>2537</v>
      </c>
      <c r="D18645" s="254">
        <v>4296.28</v>
      </c>
      <c r="E18645"/>
      <c r="F18645"/>
      <c r="G18645"/>
      <c r="H18645"/>
      <c r="I18645" s="489"/>
      <c r="J18645" s="1362"/>
      <c r="K18645" s="1362"/>
      <c r="L18645" s="1362"/>
    </row>
    <row r="18646" spans="1:12" x14ac:dyDescent="0.25">
      <c r="A18646">
        <v>13533</v>
      </c>
      <c r="B18646" t="s">
        <v>22148</v>
      </c>
      <c r="C18646" t="s">
        <v>2537</v>
      </c>
      <c r="D18646" s="254">
        <v>196943.48</v>
      </c>
      <c r="E18646"/>
      <c r="F18646"/>
      <c r="G18646"/>
      <c r="H18646"/>
      <c r="I18646" s="489"/>
      <c r="J18646" s="1362"/>
      <c r="K18646" s="1362"/>
      <c r="L18646" s="1362"/>
    </row>
    <row r="18647" spans="1:12" x14ac:dyDescent="0.25">
      <c r="A18647">
        <v>13333</v>
      </c>
      <c r="B18647" t="s">
        <v>22149</v>
      </c>
      <c r="C18647" t="s">
        <v>2537</v>
      </c>
      <c r="D18647" s="254">
        <v>220322.1</v>
      </c>
      <c r="E18647"/>
      <c r="F18647"/>
      <c r="G18647"/>
      <c r="H18647"/>
      <c r="I18647" s="489"/>
      <c r="J18647" s="1362"/>
      <c r="K18647" s="1362"/>
      <c r="L18647" s="1362"/>
    </row>
    <row r="18648" spans="1:12" x14ac:dyDescent="0.25">
      <c r="A18648">
        <v>39585</v>
      </c>
      <c r="B18648" t="s">
        <v>22150</v>
      </c>
      <c r="C18648" t="s">
        <v>2537</v>
      </c>
      <c r="D18648" s="254">
        <v>142261.97</v>
      </c>
      <c r="E18648"/>
      <c r="F18648"/>
      <c r="G18648"/>
      <c r="H18648"/>
      <c r="I18648" s="489"/>
      <c r="J18648" s="1362"/>
      <c r="K18648" s="1362"/>
      <c r="L18648" s="1362"/>
    </row>
    <row r="18649" spans="1:12" x14ac:dyDescent="0.25">
      <c r="A18649">
        <v>39586</v>
      </c>
      <c r="B18649" t="s">
        <v>22151</v>
      </c>
      <c r="C18649" t="s">
        <v>2537</v>
      </c>
      <c r="D18649" s="254">
        <v>166863.66</v>
      </c>
      <c r="E18649"/>
      <c r="F18649"/>
      <c r="G18649"/>
      <c r="H18649"/>
      <c r="I18649" s="489"/>
      <c r="J18649" s="1362"/>
      <c r="K18649" s="1362"/>
      <c r="L18649" s="1362"/>
    </row>
    <row r="18650" spans="1:12" x14ac:dyDescent="0.25">
      <c r="A18650">
        <v>39587</v>
      </c>
      <c r="B18650" t="s">
        <v>22152</v>
      </c>
      <c r="C18650" t="s">
        <v>2537</v>
      </c>
      <c r="D18650" s="254">
        <v>203231.39</v>
      </c>
      <c r="E18650"/>
      <c r="F18650"/>
      <c r="G18650"/>
      <c r="H18650"/>
      <c r="I18650" s="489"/>
      <c r="J18650" s="1362"/>
      <c r="K18650" s="1362"/>
      <c r="L18650" s="1362"/>
    </row>
    <row r="18651" spans="1:12" x14ac:dyDescent="0.25">
      <c r="A18651">
        <v>39588</v>
      </c>
      <c r="B18651" t="s">
        <v>22153</v>
      </c>
      <c r="C18651" t="s">
        <v>2537</v>
      </c>
      <c r="D18651" s="254">
        <v>235320.55</v>
      </c>
      <c r="E18651"/>
      <c r="F18651"/>
      <c r="G18651"/>
      <c r="H18651"/>
      <c r="I18651" s="489"/>
      <c r="J18651" s="1362"/>
      <c r="K18651" s="1362"/>
      <c r="L18651" s="1362"/>
    </row>
    <row r="18652" spans="1:12" x14ac:dyDescent="0.25">
      <c r="A18652">
        <v>39584</v>
      </c>
      <c r="B18652" t="s">
        <v>22154</v>
      </c>
      <c r="C18652" t="s">
        <v>2537</v>
      </c>
      <c r="D18652" s="254">
        <v>126688.03</v>
      </c>
      <c r="E18652"/>
      <c r="F18652"/>
      <c r="G18652"/>
      <c r="H18652"/>
      <c r="I18652" s="489"/>
      <c r="J18652" s="1362"/>
      <c r="K18652" s="1362"/>
      <c r="L18652" s="1362"/>
    </row>
    <row r="18653" spans="1:12" x14ac:dyDescent="0.25">
      <c r="A18653">
        <v>39590</v>
      </c>
      <c r="B18653" t="s">
        <v>22155</v>
      </c>
      <c r="C18653" t="s">
        <v>2537</v>
      </c>
      <c r="D18653" s="254">
        <v>123650.25</v>
      </c>
      <c r="E18653"/>
      <c r="F18653"/>
      <c r="G18653"/>
      <c r="H18653"/>
      <c r="I18653" s="489"/>
      <c r="J18653" s="1362"/>
      <c r="K18653" s="1362"/>
      <c r="L18653" s="1362"/>
    </row>
    <row r="18654" spans="1:12" x14ac:dyDescent="0.25">
      <c r="A18654">
        <v>39592</v>
      </c>
      <c r="B18654" t="s">
        <v>22156</v>
      </c>
      <c r="C18654" t="s">
        <v>2537</v>
      </c>
      <c r="D18654" s="254">
        <v>177688.4</v>
      </c>
      <c r="E18654"/>
      <c r="F18654"/>
      <c r="G18654"/>
      <c r="H18654"/>
      <c r="I18654" s="489"/>
      <c r="J18654" s="1362"/>
      <c r="K18654" s="1362"/>
      <c r="L18654" s="1362"/>
    </row>
    <row r="18655" spans="1:12" x14ac:dyDescent="0.25">
      <c r="A18655">
        <v>39593</v>
      </c>
      <c r="B18655" t="s">
        <v>22157</v>
      </c>
      <c r="C18655" t="s">
        <v>2537</v>
      </c>
      <c r="D18655" s="254">
        <v>203231.39</v>
      </c>
      <c r="E18655"/>
      <c r="F18655"/>
      <c r="G18655"/>
      <c r="H18655"/>
      <c r="I18655" s="489"/>
      <c r="J18655" s="1362"/>
      <c r="K18655" s="1362"/>
      <c r="L18655" s="1362"/>
    </row>
    <row r="18656" spans="1:12" x14ac:dyDescent="0.25">
      <c r="A18656">
        <v>14254</v>
      </c>
      <c r="B18656" t="s">
        <v>22158</v>
      </c>
      <c r="C18656" t="s">
        <v>2537</v>
      </c>
      <c r="D18656" s="254">
        <v>115521</v>
      </c>
      <c r="E18656"/>
      <c r="F18656"/>
      <c r="G18656"/>
      <c r="H18656"/>
      <c r="I18656" s="489"/>
      <c r="J18656" s="1362"/>
      <c r="K18656" s="1362"/>
      <c r="L18656" s="1362"/>
    </row>
    <row r="18657" spans="1:12" x14ac:dyDescent="0.25">
      <c r="A18657">
        <v>44494</v>
      </c>
      <c r="B18657" t="s">
        <v>22159</v>
      </c>
      <c r="C18657" t="s">
        <v>2537</v>
      </c>
      <c r="D18657" s="254">
        <v>96469.25</v>
      </c>
      <c r="E18657"/>
      <c r="F18657"/>
      <c r="G18657"/>
      <c r="H18657"/>
      <c r="I18657" s="489"/>
      <c r="J18657" s="1362"/>
      <c r="K18657" s="1362"/>
      <c r="L18657" s="1362"/>
    </row>
    <row r="18658" spans="1:12" x14ac:dyDescent="0.25">
      <c r="A18658">
        <v>25019</v>
      </c>
      <c r="B18658" t="s">
        <v>22160</v>
      </c>
      <c r="C18658" t="s">
        <v>2537</v>
      </c>
      <c r="D18658" s="254">
        <v>165359.07999999999</v>
      </c>
      <c r="E18658"/>
      <c r="F18658"/>
      <c r="G18658"/>
      <c r="H18658"/>
      <c r="I18658" s="489"/>
      <c r="J18658" s="1362"/>
      <c r="K18658" s="1362"/>
      <c r="L18658" s="1362"/>
    </row>
    <row r="18659" spans="1:12" x14ac:dyDescent="0.25">
      <c r="A18659">
        <v>36501</v>
      </c>
      <c r="B18659" t="s">
        <v>22161</v>
      </c>
      <c r="C18659" t="s">
        <v>2537</v>
      </c>
      <c r="D18659" s="254">
        <v>147226.57</v>
      </c>
      <c r="E18659"/>
      <c r="F18659"/>
      <c r="G18659"/>
      <c r="H18659"/>
      <c r="I18659" s="489"/>
      <c r="J18659" s="1362"/>
      <c r="K18659" s="1362"/>
      <c r="L18659" s="1362"/>
    </row>
    <row r="18660" spans="1:12" x14ac:dyDescent="0.25">
      <c r="A18660">
        <v>44493</v>
      </c>
      <c r="B18660" t="s">
        <v>22162</v>
      </c>
      <c r="C18660" t="s">
        <v>2537</v>
      </c>
      <c r="D18660" s="254">
        <v>176994.54</v>
      </c>
      <c r="E18660"/>
      <c r="F18660"/>
      <c r="G18660"/>
      <c r="H18660"/>
      <c r="I18660" s="489"/>
      <c r="J18660" s="1362"/>
      <c r="K18660" s="1362"/>
      <c r="L18660" s="1362"/>
    </row>
    <row r="18661" spans="1:12" x14ac:dyDescent="0.25">
      <c r="A18661">
        <v>36500</v>
      </c>
      <c r="B18661" t="s">
        <v>22163</v>
      </c>
      <c r="C18661" t="s">
        <v>2537</v>
      </c>
      <c r="D18661" s="254">
        <v>104040.99</v>
      </c>
      <c r="E18661"/>
      <c r="F18661"/>
      <c r="G18661"/>
      <c r="H18661"/>
      <c r="I18661" s="489"/>
      <c r="J18661" s="1362"/>
      <c r="K18661" s="1362"/>
      <c r="L18661" s="1362"/>
    </row>
    <row r="18662" spans="1:12" x14ac:dyDescent="0.25">
      <c r="A18662">
        <v>20017</v>
      </c>
      <c r="B18662" t="s">
        <v>22164</v>
      </c>
      <c r="C18662" t="s">
        <v>2541</v>
      </c>
      <c r="D18662" s="254">
        <v>8.3699999999999992</v>
      </c>
      <c r="E18662"/>
      <c r="F18662"/>
      <c r="G18662"/>
      <c r="H18662"/>
      <c r="I18662" s="489"/>
      <c r="J18662" s="1362"/>
      <c r="K18662" s="1362"/>
      <c r="L18662" s="1362"/>
    </row>
    <row r="18663" spans="1:12" x14ac:dyDescent="0.25">
      <c r="A18663">
        <v>20007</v>
      </c>
      <c r="B18663" t="s">
        <v>22165</v>
      </c>
      <c r="C18663" t="s">
        <v>2541</v>
      </c>
      <c r="D18663" s="254">
        <v>5</v>
      </c>
      <c r="E18663"/>
      <c r="F18663"/>
      <c r="G18663"/>
      <c r="H18663"/>
      <c r="I18663" s="489"/>
      <c r="J18663" s="1362"/>
      <c r="K18663" s="1362"/>
      <c r="L18663" s="1362"/>
    </row>
    <row r="18664" spans="1:12" x14ac:dyDescent="0.25">
      <c r="A18664">
        <v>39831</v>
      </c>
      <c r="B18664" t="s">
        <v>22166</v>
      </c>
      <c r="C18664" t="s">
        <v>2546</v>
      </c>
      <c r="D18664" s="254">
        <v>226.37</v>
      </c>
      <c r="E18664"/>
      <c r="F18664"/>
      <c r="G18664"/>
      <c r="H18664"/>
      <c r="I18664" s="489"/>
      <c r="J18664" s="1362"/>
      <c r="K18664" s="1362"/>
      <c r="L18664" s="1362"/>
    </row>
    <row r="18665" spans="1:12" x14ac:dyDescent="0.25">
      <c r="A18665">
        <v>36888</v>
      </c>
      <c r="B18665" t="s">
        <v>22167</v>
      </c>
      <c r="C18665" t="s">
        <v>2541</v>
      </c>
      <c r="D18665" s="254">
        <v>33.229999999999997</v>
      </c>
      <c r="E18665"/>
      <c r="F18665"/>
      <c r="G18665"/>
      <c r="H18665"/>
      <c r="I18665" s="489"/>
      <c r="J18665" s="1362"/>
      <c r="K18665" s="1362"/>
      <c r="L18665" s="1362"/>
    </row>
    <row r="18666" spans="1:12" x14ac:dyDescent="0.25">
      <c r="A18666">
        <v>39836</v>
      </c>
      <c r="B18666" t="s">
        <v>22168</v>
      </c>
      <c r="C18666" t="s">
        <v>2546</v>
      </c>
      <c r="D18666" s="254">
        <v>198.91</v>
      </c>
      <c r="E18666"/>
      <c r="F18666"/>
      <c r="G18666"/>
      <c r="H18666"/>
      <c r="I18666" s="489"/>
      <c r="J18666" s="1362"/>
      <c r="K18666" s="1362"/>
      <c r="L18666" s="1362"/>
    </row>
    <row r="18667" spans="1:12" x14ac:dyDescent="0.25">
      <c r="A18667">
        <v>39830</v>
      </c>
      <c r="B18667" t="s">
        <v>22169</v>
      </c>
      <c r="C18667" t="s">
        <v>2546</v>
      </c>
      <c r="D18667" s="254">
        <v>226.86</v>
      </c>
      <c r="E18667"/>
      <c r="F18667"/>
      <c r="G18667"/>
      <c r="H18667"/>
      <c r="I18667" s="489"/>
      <c r="J18667" s="1362"/>
      <c r="K18667" s="1362"/>
      <c r="L18667" s="1362"/>
    </row>
    <row r="18668" spans="1:12" x14ac:dyDescent="0.25">
      <c r="A18668">
        <v>40527</v>
      </c>
      <c r="B18668" t="s">
        <v>22170</v>
      </c>
      <c r="C18668" t="s">
        <v>2537</v>
      </c>
      <c r="D18668" s="254">
        <v>2534.65</v>
      </c>
      <c r="E18668"/>
      <c r="F18668"/>
      <c r="G18668"/>
      <c r="H18668"/>
      <c r="I18668" s="489"/>
      <c r="J18668" s="1362"/>
      <c r="K18668" s="1362"/>
      <c r="L18668" s="1362"/>
    </row>
    <row r="18669" spans="1:12" x14ac:dyDescent="0.25">
      <c r="A18669">
        <v>36497</v>
      </c>
      <c r="B18669" t="s">
        <v>22171</v>
      </c>
      <c r="C18669" t="s">
        <v>2537</v>
      </c>
      <c r="D18669" s="254">
        <v>2893.57</v>
      </c>
      <c r="E18669"/>
      <c r="F18669"/>
      <c r="G18669"/>
      <c r="H18669"/>
      <c r="I18669" s="489"/>
      <c r="J18669" s="1362"/>
      <c r="K18669" s="1362"/>
      <c r="L18669" s="1362"/>
    </row>
    <row r="18670" spans="1:12" x14ac:dyDescent="0.25">
      <c r="A18670">
        <v>36487</v>
      </c>
      <c r="B18670" t="s">
        <v>22172</v>
      </c>
      <c r="C18670" t="s">
        <v>2537</v>
      </c>
      <c r="D18670" s="254">
        <v>5038.16</v>
      </c>
      <c r="E18670"/>
      <c r="F18670"/>
      <c r="G18670"/>
      <c r="H18670"/>
      <c r="I18670" s="489"/>
      <c r="J18670" s="1362"/>
      <c r="K18670" s="1362"/>
      <c r="L18670" s="1362"/>
    </row>
    <row r="18671" spans="1:12" x14ac:dyDescent="0.25">
      <c r="A18671">
        <v>44475</v>
      </c>
      <c r="B18671" t="s">
        <v>22173</v>
      </c>
      <c r="C18671" t="s">
        <v>2537</v>
      </c>
      <c r="D18671" s="254">
        <v>1243522.31</v>
      </c>
      <c r="E18671"/>
      <c r="F18671"/>
      <c r="G18671"/>
      <c r="H18671"/>
      <c r="I18671" s="489"/>
      <c r="J18671" s="1362"/>
      <c r="K18671" s="1362"/>
      <c r="L18671" s="1362"/>
    </row>
    <row r="18672" spans="1:12" x14ac:dyDescent="0.25">
      <c r="A18672">
        <v>44474</v>
      </c>
      <c r="B18672" t="s">
        <v>22174</v>
      </c>
      <c r="C18672" t="s">
        <v>2537</v>
      </c>
      <c r="D18672" s="254">
        <v>2391389.06</v>
      </c>
      <c r="E18672"/>
      <c r="F18672"/>
      <c r="G18672"/>
      <c r="H18672"/>
      <c r="I18672" s="489"/>
      <c r="J18672" s="1362"/>
      <c r="K18672" s="1362"/>
      <c r="L18672" s="1362"/>
    </row>
    <row r="18673" spans="1:12" x14ac:dyDescent="0.25">
      <c r="A18673">
        <v>44490</v>
      </c>
      <c r="B18673" t="s">
        <v>22175</v>
      </c>
      <c r="C18673" t="s">
        <v>2537</v>
      </c>
      <c r="D18673" s="254">
        <v>4065361.4</v>
      </c>
      <c r="E18673"/>
      <c r="F18673"/>
      <c r="G18673"/>
      <c r="H18673"/>
      <c r="I18673" s="489"/>
      <c r="J18673" s="1362"/>
      <c r="K18673" s="1362"/>
      <c r="L18673" s="1362"/>
    </row>
    <row r="18674" spans="1:12" x14ac:dyDescent="0.25">
      <c r="A18674">
        <v>37776</v>
      </c>
      <c r="B18674" t="s">
        <v>22176</v>
      </c>
      <c r="C18674" t="s">
        <v>2537</v>
      </c>
      <c r="D18674" s="254">
        <v>249154.69</v>
      </c>
      <c r="E18674"/>
      <c r="F18674"/>
      <c r="G18674"/>
      <c r="H18674"/>
      <c r="I18674" s="489"/>
      <c r="J18674" s="1362"/>
      <c r="K18674" s="1362"/>
      <c r="L18674" s="1362"/>
    </row>
    <row r="18675" spans="1:12" x14ac:dyDescent="0.25">
      <c r="A18675">
        <v>37775</v>
      </c>
      <c r="B18675" t="s">
        <v>22177</v>
      </c>
      <c r="C18675" t="s">
        <v>2537</v>
      </c>
      <c r="D18675" s="254">
        <v>392437.5</v>
      </c>
      <c r="E18675"/>
      <c r="F18675"/>
      <c r="G18675"/>
      <c r="H18675"/>
      <c r="I18675" s="489"/>
      <c r="J18675" s="1362"/>
      <c r="K18675" s="1362"/>
      <c r="L18675" s="1362"/>
    </row>
    <row r="18676" spans="1:12" x14ac:dyDescent="0.25">
      <c r="A18676">
        <v>36491</v>
      </c>
      <c r="B18676" t="s">
        <v>22178</v>
      </c>
      <c r="C18676" t="s">
        <v>2537</v>
      </c>
      <c r="D18676" s="254">
        <v>1453312.5</v>
      </c>
      <c r="E18676"/>
      <c r="F18676"/>
      <c r="G18676"/>
      <c r="H18676"/>
      <c r="I18676" s="489"/>
      <c r="J18676" s="1362"/>
      <c r="K18676" s="1362"/>
      <c r="L18676" s="1362"/>
    </row>
    <row r="18677" spans="1:12" x14ac:dyDescent="0.25">
      <c r="A18677">
        <v>10712</v>
      </c>
      <c r="B18677" t="s">
        <v>22179</v>
      </c>
      <c r="C18677" t="s">
        <v>2537</v>
      </c>
      <c r="D18677" s="254">
        <v>98109.37</v>
      </c>
      <c r="E18677"/>
      <c r="F18677"/>
      <c r="G18677"/>
      <c r="H18677"/>
      <c r="I18677" s="489"/>
      <c r="J18677" s="1362"/>
      <c r="K18677" s="1362"/>
      <c r="L18677" s="1362"/>
    </row>
    <row r="18678" spans="1:12" x14ac:dyDescent="0.25">
      <c r="A18678">
        <v>3363</v>
      </c>
      <c r="B18678" t="s">
        <v>22180</v>
      </c>
      <c r="C18678" t="s">
        <v>2537</v>
      </c>
      <c r="D18678" s="254">
        <v>138000</v>
      </c>
      <c r="E18678"/>
      <c r="F18678"/>
      <c r="G18678"/>
      <c r="H18678"/>
      <c r="I18678" s="489"/>
      <c r="J18678" s="1362"/>
      <c r="K18678" s="1362"/>
      <c r="L18678" s="1362"/>
    </row>
    <row r="18679" spans="1:12" x14ac:dyDescent="0.25">
      <c r="A18679">
        <v>3365</v>
      </c>
      <c r="B18679" t="s">
        <v>22181</v>
      </c>
      <c r="C18679" t="s">
        <v>2537</v>
      </c>
      <c r="D18679" s="254">
        <v>322575</v>
      </c>
      <c r="E18679"/>
      <c r="F18679"/>
      <c r="G18679"/>
      <c r="H18679"/>
      <c r="I18679" s="489"/>
      <c r="J18679" s="1362"/>
      <c r="K18679" s="1362"/>
      <c r="L18679" s="1362"/>
    </row>
    <row r="18680" spans="1:12" x14ac:dyDescent="0.25">
      <c r="A18680">
        <v>7569</v>
      </c>
      <c r="B18680" t="s">
        <v>22182</v>
      </c>
      <c r="C18680" t="s">
        <v>2537</v>
      </c>
      <c r="D18680" s="254">
        <v>120.56</v>
      </c>
      <c r="E18680"/>
      <c r="F18680"/>
      <c r="G18680"/>
      <c r="H18680"/>
      <c r="I18680" s="489"/>
      <c r="J18680" s="1362"/>
      <c r="K18680" s="1362"/>
      <c r="L18680" s="1362"/>
    </row>
    <row r="18681" spans="1:12" x14ac:dyDescent="0.25">
      <c r="A18681">
        <v>34349</v>
      </c>
      <c r="B18681" t="s">
        <v>22183</v>
      </c>
      <c r="C18681" t="s">
        <v>2537</v>
      </c>
      <c r="D18681" s="254">
        <v>38.47</v>
      </c>
      <c r="E18681"/>
      <c r="F18681"/>
      <c r="G18681"/>
      <c r="H18681"/>
      <c r="I18681" s="489"/>
      <c r="J18681" s="1362"/>
      <c r="K18681" s="1362"/>
      <c r="L18681" s="1362"/>
    </row>
    <row r="18682" spans="1:12" x14ac:dyDescent="0.25">
      <c r="A18682">
        <v>3378</v>
      </c>
      <c r="B18682" t="s">
        <v>22184</v>
      </c>
      <c r="C18682" t="s">
        <v>2537</v>
      </c>
      <c r="D18682" s="254">
        <v>97.14</v>
      </c>
      <c r="E18682"/>
      <c r="F18682"/>
      <c r="G18682"/>
      <c r="H18682"/>
      <c r="I18682" s="489"/>
      <c r="J18682" s="1362"/>
      <c r="K18682" s="1362"/>
      <c r="L18682" s="1362"/>
    </row>
    <row r="18683" spans="1:12" x14ac:dyDescent="0.25">
      <c r="A18683">
        <v>3380</v>
      </c>
      <c r="B18683" t="s">
        <v>22185</v>
      </c>
      <c r="C18683" t="s">
        <v>2537</v>
      </c>
      <c r="D18683" s="254">
        <v>68</v>
      </c>
      <c r="E18683"/>
      <c r="F18683"/>
      <c r="G18683"/>
      <c r="H18683"/>
      <c r="I18683" s="489"/>
      <c r="J18683" s="1362"/>
      <c r="K18683" s="1362"/>
      <c r="L18683" s="1362"/>
    </row>
    <row r="18684" spans="1:12" x14ac:dyDescent="0.25">
      <c r="A18684">
        <v>3379</v>
      </c>
      <c r="B18684" t="s">
        <v>22186</v>
      </c>
      <c r="C18684" t="s">
        <v>2537</v>
      </c>
      <c r="D18684" s="254">
        <v>65.650000000000006</v>
      </c>
      <c r="E18684"/>
      <c r="F18684"/>
      <c r="G18684"/>
      <c r="H18684"/>
      <c r="I18684" s="489"/>
      <c r="J18684" s="1362"/>
      <c r="K18684" s="1362"/>
      <c r="L18684" s="1362"/>
    </row>
    <row r="18685" spans="1:12" x14ac:dyDescent="0.25">
      <c r="A18685">
        <v>11991</v>
      </c>
      <c r="B18685" t="s">
        <v>22187</v>
      </c>
      <c r="C18685" t="s">
        <v>2537</v>
      </c>
      <c r="D18685" s="254">
        <v>76.22</v>
      </c>
      <c r="E18685"/>
      <c r="F18685"/>
      <c r="G18685"/>
      <c r="H18685"/>
      <c r="I18685" s="489"/>
      <c r="J18685" s="1362"/>
      <c r="K18685" s="1362"/>
      <c r="L18685" s="1362"/>
    </row>
    <row r="18686" spans="1:12" x14ac:dyDescent="0.25">
      <c r="A18686">
        <v>20062</v>
      </c>
      <c r="B18686" t="s">
        <v>22188</v>
      </c>
      <c r="C18686" t="s">
        <v>2537</v>
      </c>
      <c r="D18686" s="254">
        <v>16.91</v>
      </c>
      <c r="E18686"/>
      <c r="F18686"/>
      <c r="G18686"/>
      <c r="H18686"/>
      <c r="I18686" s="489"/>
      <c r="J18686" s="1362"/>
      <c r="K18686" s="1362"/>
      <c r="L18686" s="1362"/>
    </row>
    <row r="18687" spans="1:12" x14ac:dyDescent="0.25">
      <c r="A18687">
        <v>11029</v>
      </c>
      <c r="B18687" t="s">
        <v>22189</v>
      </c>
      <c r="C18687" t="s">
        <v>2549</v>
      </c>
      <c r="D18687" s="254">
        <v>2.1</v>
      </c>
      <c r="E18687"/>
      <c r="F18687"/>
      <c r="G18687"/>
      <c r="H18687"/>
      <c r="I18687" s="489"/>
      <c r="J18687" s="1362"/>
      <c r="K18687" s="1362"/>
      <c r="L18687" s="1362"/>
    </row>
    <row r="18688" spans="1:12" x14ac:dyDescent="0.25">
      <c r="A18688">
        <v>4316</v>
      </c>
      <c r="B18688" t="s">
        <v>22190</v>
      </c>
      <c r="C18688" t="s">
        <v>2537</v>
      </c>
      <c r="D18688" s="254">
        <v>2.12</v>
      </c>
      <c r="E18688"/>
      <c r="F18688"/>
      <c r="G18688"/>
      <c r="H18688"/>
      <c r="I18688" s="489"/>
      <c r="J18688" s="1362"/>
      <c r="K18688" s="1362"/>
      <c r="L18688" s="1362"/>
    </row>
    <row r="18689" spans="1:12" x14ac:dyDescent="0.25">
      <c r="A18689">
        <v>4313</v>
      </c>
      <c r="B18689" t="s">
        <v>22191</v>
      </c>
      <c r="C18689" t="s">
        <v>2549</v>
      </c>
      <c r="D18689" s="254">
        <v>3.05</v>
      </c>
      <c r="E18689"/>
      <c r="F18689"/>
      <c r="G18689"/>
      <c r="H18689"/>
      <c r="I18689" s="489"/>
      <c r="J18689" s="1362"/>
      <c r="K18689" s="1362"/>
      <c r="L18689" s="1362"/>
    </row>
    <row r="18690" spans="1:12" x14ac:dyDescent="0.25">
      <c r="A18690">
        <v>4317</v>
      </c>
      <c r="B18690" t="s">
        <v>22192</v>
      </c>
      <c r="C18690" t="s">
        <v>2537</v>
      </c>
      <c r="D18690" s="254">
        <v>3.47</v>
      </c>
      <c r="E18690"/>
      <c r="F18690"/>
      <c r="G18690"/>
      <c r="H18690"/>
      <c r="I18690" s="489"/>
      <c r="J18690" s="1362"/>
      <c r="K18690" s="1362"/>
      <c r="L18690" s="1362"/>
    </row>
    <row r="18691" spans="1:12" x14ac:dyDescent="0.25">
      <c r="A18691">
        <v>4314</v>
      </c>
      <c r="B18691" t="s">
        <v>22193</v>
      </c>
      <c r="C18691" t="s">
        <v>2549</v>
      </c>
      <c r="D18691" s="254">
        <v>4.0599999999999996</v>
      </c>
      <c r="E18691"/>
      <c r="F18691"/>
      <c r="G18691"/>
      <c r="H18691"/>
      <c r="I18691" s="489"/>
      <c r="J18691" s="1362"/>
      <c r="K18691" s="1362"/>
      <c r="L18691" s="1362"/>
    </row>
    <row r="18692" spans="1:12" x14ac:dyDescent="0.25">
      <c r="A18692">
        <v>10921</v>
      </c>
      <c r="B18692" t="s">
        <v>22194</v>
      </c>
      <c r="C18692" t="s">
        <v>2537</v>
      </c>
      <c r="D18692" s="254">
        <v>5608</v>
      </c>
      <c r="E18692"/>
      <c r="F18692"/>
      <c r="G18692"/>
      <c r="H18692"/>
      <c r="I18692" s="489"/>
      <c r="J18692" s="1362"/>
      <c r="K18692" s="1362"/>
      <c r="L18692" s="1362"/>
    </row>
    <row r="18693" spans="1:12" x14ac:dyDescent="0.25">
      <c r="A18693">
        <v>10922</v>
      </c>
      <c r="B18693" t="s">
        <v>22195</v>
      </c>
      <c r="C18693" t="s">
        <v>2537</v>
      </c>
      <c r="D18693" s="254">
        <v>5079.58</v>
      </c>
      <c r="E18693"/>
      <c r="F18693"/>
      <c r="G18693"/>
      <c r="H18693"/>
      <c r="I18693" s="489"/>
      <c r="J18693" s="1362"/>
      <c r="K18693" s="1362"/>
      <c r="L18693" s="1362"/>
    </row>
    <row r="18694" spans="1:12" x14ac:dyDescent="0.25">
      <c r="A18694">
        <v>10923</v>
      </c>
      <c r="B18694" t="s">
        <v>22196</v>
      </c>
      <c r="C18694" t="s">
        <v>2537</v>
      </c>
      <c r="D18694" s="254">
        <v>3002.25</v>
      </c>
      <c r="E18694"/>
      <c r="F18694"/>
      <c r="G18694"/>
      <c r="H18694"/>
      <c r="I18694" s="489"/>
      <c r="J18694" s="1362"/>
      <c r="K18694" s="1362"/>
      <c r="L18694" s="1362"/>
    </row>
    <row r="18695" spans="1:12" x14ac:dyDescent="0.25">
      <c r="A18695">
        <v>10924</v>
      </c>
      <c r="B18695" t="s">
        <v>22197</v>
      </c>
      <c r="C18695" t="s">
        <v>2537</v>
      </c>
      <c r="D18695" s="254">
        <v>3161.95</v>
      </c>
      <c r="E18695"/>
      <c r="F18695"/>
      <c r="G18695"/>
      <c r="H18695"/>
      <c r="I18695" s="489"/>
      <c r="J18695" s="1362"/>
      <c r="K18695" s="1362"/>
      <c r="L18695" s="1362"/>
    </row>
    <row r="18696" spans="1:12" x14ac:dyDescent="0.25">
      <c r="A18696">
        <v>37772</v>
      </c>
      <c r="B18696" t="s">
        <v>22198</v>
      </c>
      <c r="C18696" t="s">
        <v>2537</v>
      </c>
      <c r="D18696" s="254">
        <v>317419.21999999997</v>
      </c>
      <c r="E18696"/>
      <c r="F18696"/>
      <c r="G18696"/>
      <c r="H18696"/>
      <c r="I18696" s="489"/>
      <c r="J18696" s="1362"/>
      <c r="K18696" s="1362"/>
      <c r="L18696" s="1362"/>
    </row>
    <row r="18697" spans="1:12" x14ac:dyDescent="0.25">
      <c r="A18697">
        <v>37771</v>
      </c>
      <c r="B18697" t="s">
        <v>22199</v>
      </c>
      <c r="C18697" t="s">
        <v>2537</v>
      </c>
      <c r="D18697" s="254">
        <v>337683.5</v>
      </c>
      <c r="E18697"/>
      <c r="F18697"/>
      <c r="G18697"/>
      <c r="H18697"/>
      <c r="I18697" s="489"/>
      <c r="J18697" s="1362"/>
      <c r="K18697" s="1362"/>
      <c r="L18697" s="1362"/>
    </row>
    <row r="18698" spans="1:12" x14ac:dyDescent="0.25">
      <c r="A18698">
        <v>12772</v>
      </c>
      <c r="B18698" t="s">
        <v>22200</v>
      </c>
      <c r="C18698" t="s">
        <v>2537</v>
      </c>
      <c r="D18698" s="254">
        <v>1344.85</v>
      </c>
      <c r="E18698"/>
      <c r="F18698"/>
      <c r="G18698"/>
      <c r="H18698"/>
      <c r="I18698" s="489"/>
      <c r="J18698" s="1362"/>
      <c r="K18698" s="1362"/>
      <c r="L18698" s="1362"/>
    </row>
    <row r="18699" spans="1:12" x14ac:dyDescent="0.25">
      <c r="A18699">
        <v>12770</v>
      </c>
      <c r="B18699" t="s">
        <v>22201</v>
      </c>
      <c r="C18699" t="s">
        <v>2537</v>
      </c>
      <c r="D18699" s="254">
        <v>809.19</v>
      </c>
      <c r="E18699"/>
      <c r="F18699"/>
      <c r="G18699"/>
      <c r="H18699"/>
      <c r="I18699" s="489"/>
      <c r="J18699" s="1362"/>
      <c r="K18699" s="1362"/>
      <c r="L18699" s="1362"/>
    </row>
    <row r="18700" spans="1:12" x14ac:dyDescent="0.25">
      <c r="A18700">
        <v>12775</v>
      </c>
      <c r="B18700" t="s">
        <v>22202</v>
      </c>
      <c r="C18700" t="s">
        <v>2537</v>
      </c>
      <c r="D18700" s="254">
        <v>592.64</v>
      </c>
      <c r="E18700"/>
      <c r="F18700"/>
      <c r="G18700"/>
      <c r="H18700"/>
      <c r="I18700" s="489"/>
      <c r="J18700" s="1362"/>
      <c r="K18700" s="1362"/>
      <c r="L18700" s="1362"/>
    </row>
    <row r="18701" spans="1:12" x14ac:dyDescent="0.25">
      <c r="A18701">
        <v>12768</v>
      </c>
      <c r="B18701" t="s">
        <v>22203</v>
      </c>
      <c r="C18701" t="s">
        <v>2537</v>
      </c>
      <c r="D18701" s="254">
        <v>1891.91</v>
      </c>
      <c r="E18701"/>
      <c r="F18701"/>
      <c r="G18701"/>
      <c r="H18701"/>
      <c r="I18701" s="489"/>
      <c r="J18701" s="1362"/>
      <c r="K18701" s="1362"/>
      <c r="L18701" s="1362"/>
    </row>
    <row r="18702" spans="1:12" x14ac:dyDescent="0.25">
      <c r="A18702">
        <v>12769</v>
      </c>
      <c r="B18702" t="s">
        <v>22204</v>
      </c>
      <c r="C18702" t="s">
        <v>2537</v>
      </c>
      <c r="D18702" s="254">
        <v>155</v>
      </c>
      <c r="E18702"/>
      <c r="F18702"/>
      <c r="G18702"/>
      <c r="H18702"/>
      <c r="I18702" s="489"/>
      <c r="J18702" s="1362"/>
      <c r="K18702" s="1362"/>
      <c r="L18702" s="1362"/>
    </row>
    <row r="18703" spans="1:12" x14ac:dyDescent="0.25">
      <c r="A18703">
        <v>12773</v>
      </c>
      <c r="B18703" t="s">
        <v>22205</v>
      </c>
      <c r="C18703" t="s">
        <v>2537</v>
      </c>
      <c r="D18703" s="254">
        <v>166.39</v>
      </c>
      <c r="E18703"/>
      <c r="F18703"/>
      <c r="G18703"/>
      <c r="H18703"/>
      <c r="I18703" s="489"/>
      <c r="J18703" s="1362"/>
      <c r="K18703" s="1362"/>
      <c r="L18703" s="1362"/>
    </row>
    <row r="18704" spans="1:12" x14ac:dyDescent="0.25">
      <c r="A18704">
        <v>12774</v>
      </c>
      <c r="B18704" t="s">
        <v>22206</v>
      </c>
      <c r="C18704" t="s">
        <v>2537</v>
      </c>
      <c r="D18704" s="254">
        <v>205.14</v>
      </c>
      <c r="E18704"/>
      <c r="F18704"/>
      <c r="G18704"/>
      <c r="H18704"/>
      <c r="I18704" s="489"/>
      <c r="J18704" s="1362"/>
      <c r="K18704" s="1362"/>
      <c r="L18704" s="1362"/>
    </row>
    <row r="18705" spans="1:12" x14ac:dyDescent="0.25">
      <c r="A18705">
        <v>12776</v>
      </c>
      <c r="B18705" t="s">
        <v>22207</v>
      </c>
      <c r="C18705" t="s">
        <v>2537</v>
      </c>
      <c r="D18705" s="254">
        <v>3054.41</v>
      </c>
      <c r="E18705"/>
      <c r="F18705"/>
      <c r="G18705"/>
      <c r="H18705"/>
      <c r="I18705" s="489"/>
      <c r="J18705" s="1362"/>
      <c r="K18705" s="1362"/>
      <c r="L18705" s="1362"/>
    </row>
    <row r="18706" spans="1:12" x14ac:dyDescent="0.25">
      <c r="A18706">
        <v>12777</v>
      </c>
      <c r="B18706" t="s">
        <v>22208</v>
      </c>
      <c r="C18706" t="s">
        <v>2537</v>
      </c>
      <c r="D18706" s="254">
        <v>3988.97</v>
      </c>
      <c r="E18706"/>
      <c r="F18706"/>
      <c r="G18706"/>
      <c r="H18706"/>
      <c r="I18706" s="489"/>
      <c r="J18706" s="1362"/>
      <c r="K18706" s="1362"/>
      <c r="L18706" s="1362"/>
    </row>
    <row r="18707" spans="1:12" x14ac:dyDescent="0.25">
      <c r="A18707">
        <v>3391</v>
      </c>
      <c r="B18707" t="s">
        <v>22209</v>
      </c>
      <c r="C18707" t="s">
        <v>2537</v>
      </c>
      <c r="D18707" s="254">
        <v>29.1</v>
      </c>
      <c r="E18707"/>
      <c r="F18707"/>
      <c r="G18707"/>
      <c r="H18707"/>
      <c r="I18707" s="489"/>
      <c r="J18707" s="1362"/>
      <c r="K18707" s="1362"/>
      <c r="L18707" s="1362"/>
    </row>
    <row r="18708" spans="1:12" x14ac:dyDescent="0.25">
      <c r="A18708">
        <v>3389</v>
      </c>
      <c r="B18708" t="s">
        <v>22210</v>
      </c>
      <c r="C18708" t="s">
        <v>2537</v>
      </c>
      <c r="D18708" s="254">
        <v>15.1</v>
      </c>
      <c r="E18708"/>
      <c r="F18708"/>
      <c r="G18708"/>
      <c r="H18708"/>
      <c r="I18708" s="489"/>
      <c r="J18708" s="1362"/>
      <c r="K18708" s="1362"/>
      <c r="L18708" s="1362"/>
    </row>
    <row r="18709" spans="1:12" x14ac:dyDescent="0.25">
      <c r="A18709">
        <v>3390</v>
      </c>
      <c r="B18709" t="s">
        <v>22211</v>
      </c>
      <c r="C18709" t="s">
        <v>2537</v>
      </c>
      <c r="D18709" s="254">
        <v>16.989999999999998</v>
      </c>
      <c r="E18709"/>
      <c r="F18709"/>
      <c r="G18709"/>
      <c r="H18709"/>
      <c r="I18709" s="489"/>
      <c r="J18709" s="1362"/>
      <c r="K18709" s="1362"/>
      <c r="L18709" s="1362"/>
    </row>
    <row r="18710" spans="1:12" x14ac:dyDescent="0.25">
      <c r="A18710">
        <v>12873</v>
      </c>
      <c r="B18710" t="s">
        <v>22212</v>
      </c>
      <c r="C18710" t="s">
        <v>2538</v>
      </c>
      <c r="D18710" s="254">
        <v>26.64</v>
      </c>
      <c r="E18710"/>
      <c r="F18710"/>
      <c r="G18710"/>
      <c r="H18710"/>
      <c r="I18710" s="489"/>
      <c r="J18710" s="1362"/>
      <c r="K18710" s="1362"/>
      <c r="L18710" s="1362"/>
    </row>
    <row r="18711" spans="1:12" x14ac:dyDescent="0.25">
      <c r="A18711">
        <v>41076</v>
      </c>
      <c r="B18711" t="s">
        <v>22213</v>
      </c>
      <c r="C18711" t="s">
        <v>2544</v>
      </c>
      <c r="D18711" s="254">
        <v>4700.3</v>
      </c>
      <c r="E18711"/>
      <c r="F18711"/>
      <c r="G18711"/>
      <c r="H18711"/>
      <c r="I18711" s="489"/>
      <c r="J18711" s="1362"/>
      <c r="K18711" s="1362"/>
      <c r="L18711" s="1362"/>
    </row>
    <row r="18712" spans="1:12" x14ac:dyDescent="0.25">
      <c r="A18712">
        <v>140</v>
      </c>
      <c r="B18712" t="s">
        <v>22214</v>
      </c>
      <c r="C18712" t="s">
        <v>2542</v>
      </c>
      <c r="D18712" s="254">
        <v>17.38</v>
      </c>
      <c r="E18712"/>
      <c r="F18712"/>
      <c r="G18712"/>
      <c r="H18712"/>
      <c r="I18712" s="489"/>
      <c r="J18712" s="1362"/>
      <c r="K18712" s="1362"/>
      <c r="L18712" s="1362"/>
    </row>
    <row r="18713" spans="1:12" x14ac:dyDescent="0.25">
      <c r="A18713">
        <v>151</v>
      </c>
      <c r="B18713" t="s">
        <v>22215</v>
      </c>
      <c r="C18713" t="s">
        <v>2543</v>
      </c>
      <c r="D18713" s="254">
        <v>25.64</v>
      </c>
      <c r="E18713"/>
      <c r="F18713"/>
      <c r="G18713"/>
      <c r="H18713"/>
      <c r="I18713" s="489"/>
      <c r="J18713" s="1362"/>
      <c r="K18713" s="1362"/>
      <c r="L18713" s="1362"/>
    </row>
    <row r="18714" spans="1:12" x14ac:dyDescent="0.25">
      <c r="A18714">
        <v>7340</v>
      </c>
      <c r="B18714" t="s">
        <v>22216</v>
      </c>
      <c r="C18714" t="s">
        <v>2543</v>
      </c>
      <c r="D18714" s="254">
        <v>26.03</v>
      </c>
      <c r="E18714"/>
      <c r="F18714"/>
      <c r="G18714"/>
      <c r="H18714"/>
      <c r="I18714" s="489"/>
      <c r="J18714" s="1362"/>
      <c r="K18714" s="1362"/>
      <c r="L18714" s="1362"/>
    </row>
    <row r="18715" spans="1:12" x14ac:dyDescent="0.25">
      <c r="A18715">
        <v>2701</v>
      </c>
      <c r="B18715" t="s">
        <v>22217</v>
      </c>
      <c r="C18715" t="s">
        <v>2538</v>
      </c>
      <c r="D18715" s="254">
        <v>23.04</v>
      </c>
      <c r="E18715"/>
      <c r="F18715"/>
      <c r="G18715"/>
      <c r="H18715"/>
      <c r="I18715" s="489"/>
      <c r="J18715" s="1362"/>
      <c r="K18715" s="1362"/>
      <c r="L18715" s="1362"/>
    </row>
    <row r="18716" spans="1:12" x14ac:dyDescent="0.25">
      <c r="A18716">
        <v>40929</v>
      </c>
      <c r="B18716" t="s">
        <v>22218</v>
      </c>
      <c r="C18716" t="s">
        <v>2544</v>
      </c>
      <c r="D18716" s="254">
        <v>4068.34</v>
      </c>
      <c r="E18716"/>
      <c r="F18716"/>
      <c r="G18716"/>
      <c r="H18716"/>
      <c r="I18716" s="489"/>
      <c r="J18716" s="1362"/>
      <c r="K18716" s="1362"/>
      <c r="L18716" s="1362"/>
    </row>
    <row r="18717" spans="1:12" x14ac:dyDescent="0.25">
      <c r="A18717">
        <v>38114</v>
      </c>
      <c r="B18717" t="s">
        <v>22219</v>
      </c>
      <c r="C18717" t="s">
        <v>2537</v>
      </c>
      <c r="D18717" s="254">
        <v>18.600000000000001</v>
      </c>
      <c r="E18717"/>
      <c r="F18717"/>
      <c r="G18717"/>
      <c r="H18717"/>
      <c r="I18717" s="489"/>
      <c r="J18717" s="1362"/>
      <c r="K18717" s="1362"/>
      <c r="L18717" s="1362"/>
    </row>
    <row r="18718" spans="1:12" x14ac:dyDescent="0.25">
      <c r="A18718">
        <v>38064</v>
      </c>
      <c r="B18718" t="s">
        <v>22220</v>
      </c>
      <c r="C18718" t="s">
        <v>2537</v>
      </c>
      <c r="D18718" s="254">
        <v>20.8</v>
      </c>
      <c r="E18718"/>
      <c r="F18718"/>
      <c r="G18718"/>
      <c r="H18718"/>
      <c r="I18718" s="489"/>
      <c r="J18718" s="1362"/>
      <c r="K18718" s="1362"/>
      <c r="L18718" s="1362"/>
    </row>
    <row r="18719" spans="1:12" x14ac:dyDescent="0.25">
      <c r="A18719">
        <v>38115</v>
      </c>
      <c r="B18719" t="s">
        <v>22221</v>
      </c>
      <c r="C18719" t="s">
        <v>2537</v>
      </c>
      <c r="D18719" s="254">
        <v>19.86</v>
      </c>
      <c r="E18719"/>
      <c r="F18719"/>
      <c r="G18719"/>
      <c r="H18719"/>
      <c r="I18719" s="489"/>
      <c r="J18719" s="1362"/>
      <c r="K18719" s="1362"/>
      <c r="L18719" s="1362"/>
    </row>
    <row r="18720" spans="1:12" x14ac:dyDescent="0.25">
      <c r="A18720">
        <v>38065</v>
      </c>
      <c r="B18720" t="s">
        <v>22222</v>
      </c>
      <c r="C18720" t="s">
        <v>2537</v>
      </c>
      <c r="D18720" s="254">
        <v>29.5</v>
      </c>
      <c r="E18720"/>
      <c r="F18720"/>
      <c r="G18720"/>
      <c r="H18720"/>
      <c r="I18720" s="489"/>
      <c r="J18720" s="1362"/>
      <c r="K18720" s="1362"/>
      <c r="L18720" s="1362"/>
    </row>
    <row r="18721" spans="1:12" x14ac:dyDescent="0.25">
      <c r="A18721">
        <v>38078</v>
      </c>
      <c r="B18721" t="s">
        <v>22223</v>
      </c>
      <c r="C18721" t="s">
        <v>2537</v>
      </c>
      <c r="D18721" s="254">
        <v>17.21</v>
      </c>
      <c r="E18721"/>
      <c r="F18721"/>
      <c r="G18721"/>
      <c r="H18721"/>
      <c r="I18721" s="489"/>
      <c r="J18721" s="1362"/>
      <c r="K18721" s="1362"/>
      <c r="L18721" s="1362"/>
    </row>
    <row r="18722" spans="1:12" x14ac:dyDescent="0.25">
      <c r="A18722">
        <v>38113</v>
      </c>
      <c r="B18722" t="s">
        <v>22224</v>
      </c>
      <c r="C18722" t="s">
        <v>2537</v>
      </c>
      <c r="D18722" s="254">
        <v>9.35</v>
      </c>
      <c r="E18722"/>
      <c r="F18722"/>
      <c r="G18722"/>
      <c r="H18722"/>
      <c r="I18722" s="489"/>
      <c r="J18722" s="1362"/>
      <c r="K18722" s="1362"/>
      <c r="L18722" s="1362"/>
    </row>
    <row r="18723" spans="1:12" x14ac:dyDescent="0.25">
      <c r="A18723">
        <v>38063</v>
      </c>
      <c r="B18723" t="s">
        <v>22225</v>
      </c>
      <c r="C18723" t="s">
        <v>2537</v>
      </c>
      <c r="D18723" s="254">
        <v>10.029999999999999</v>
      </c>
      <c r="E18723"/>
      <c r="F18723"/>
      <c r="G18723"/>
      <c r="H18723"/>
      <c r="I18723" s="489"/>
      <c r="J18723" s="1362"/>
      <c r="K18723" s="1362"/>
      <c r="L18723" s="1362"/>
    </row>
    <row r="18724" spans="1:12" x14ac:dyDescent="0.25">
      <c r="A18724">
        <v>38080</v>
      </c>
      <c r="B18724" t="s">
        <v>22226</v>
      </c>
      <c r="C18724" t="s">
        <v>2537</v>
      </c>
      <c r="D18724" s="254">
        <v>29.89</v>
      </c>
      <c r="E18724"/>
      <c r="F18724"/>
      <c r="G18724"/>
      <c r="H18724"/>
      <c r="I18724" s="489"/>
      <c r="J18724" s="1362"/>
      <c r="K18724" s="1362"/>
      <c r="L18724" s="1362"/>
    </row>
    <row r="18725" spans="1:12" x14ac:dyDescent="0.25">
      <c r="A18725">
        <v>38069</v>
      </c>
      <c r="B18725" t="s">
        <v>22227</v>
      </c>
      <c r="C18725" t="s">
        <v>2537</v>
      </c>
      <c r="D18725" s="254">
        <v>16.350000000000001</v>
      </c>
      <c r="E18725"/>
      <c r="F18725"/>
      <c r="G18725"/>
      <c r="H18725"/>
      <c r="I18725" s="489"/>
      <c r="J18725" s="1362"/>
      <c r="K18725" s="1362"/>
      <c r="L18725" s="1362"/>
    </row>
    <row r="18726" spans="1:12" x14ac:dyDescent="0.25">
      <c r="A18726">
        <v>38077</v>
      </c>
      <c r="B18726" t="s">
        <v>22228</v>
      </c>
      <c r="C18726" t="s">
        <v>2537</v>
      </c>
      <c r="D18726" s="254">
        <v>15.98</v>
      </c>
      <c r="E18726"/>
      <c r="F18726"/>
      <c r="G18726"/>
      <c r="H18726"/>
      <c r="I18726" s="489"/>
      <c r="J18726" s="1362"/>
      <c r="K18726" s="1362"/>
      <c r="L18726" s="1362"/>
    </row>
    <row r="18727" spans="1:12" x14ac:dyDescent="0.25">
      <c r="A18727">
        <v>38073</v>
      </c>
      <c r="B18727" t="s">
        <v>22229</v>
      </c>
      <c r="C18727" t="s">
        <v>2537</v>
      </c>
      <c r="D18727" s="254">
        <v>24.34</v>
      </c>
      <c r="E18727"/>
      <c r="F18727"/>
      <c r="G18727"/>
      <c r="H18727"/>
      <c r="I18727" s="489"/>
      <c r="J18727" s="1362"/>
      <c r="K18727" s="1362"/>
      <c r="L18727" s="1362"/>
    </row>
    <row r="18728" spans="1:12" x14ac:dyDescent="0.25">
      <c r="A18728">
        <v>38112</v>
      </c>
      <c r="B18728" t="s">
        <v>22230</v>
      </c>
      <c r="C18728" t="s">
        <v>2537</v>
      </c>
      <c r="D18728" s="254">
        <v>7.18</v>
      </c>
      <c r="E18728"/>
      <c r="F18728"/>
      <c r="G18728"/>
      <c r="H18728"/>
      <c r="I18728" s="489"/>
      <c r="J18728" s="1362"/>
      <c r="K18728" s="1362"/>
      <c r="L18728" s="1362"/>
    </row>
    <row r="18729" spans="1:12" x14ac:dyDescent="0.25">
      <c r="A18729">
        <v>38062</v>
      </c>
      <c r="B18729" t="s">
        <v>22231</v>
      </c>
      <c r="C18729" t="s">
        <v>2537</v>
      </c>
      <c r="D18729" s="254">
        <v>7.37</v>
      </c>
      <c r="E18729"/>
      <c r="F18729"/>
      <c r="G18729"/>
      <c r="H18729"/>
      <c r="I18729" s="489"/>
      <c r="J18729" s="1362"/>
      <c r="K18729" s="1362"/>
      <c r="L18729" s="1362"/>
    </row>
    <row r="18730" spans="1:12" x14ac:dyDescent="0.25">
      <c r="A18730">
        <v>12128</v>
      </c>
      <c r="B18730" t="s">
        <v>22232</v>
      </c>
      <c r="C18730" t="s">
        <v>2537</v>
      </c>
      <c r="D18730" s="254">
        <v>9.85</v>
      </c>
      <c r="E18730"/>
      <c r="F18730"/>
      <c r="G18730"/>
      <c r="H18730"/>
      <c r="I18730" s="489"/>
      <c r="J18730" s="1362"/>
      <c r="K18730" s="1362"/>
      <c r="L18730" s="1362"/>
    </row>
    <row r="18731" spans="1:12" x14ac:dyDescent="0.25">
      <c r="A18731">
        <v>12129</v>
      </c>
      <c r="B18731" t="s">
        <v>22233</v>
      </c>
      <c r="C18731" t="s">
        <v>2537</v>
      </c>
      <c r="D18731" s="254">
        <v>13.02</v>
      </c>
      <c r="E18731"/>
      <c r="F18731"/>
      <c r="G18731"/>
      <c r="H18731"/>
      <c r="I18731" s="489"/>
      <c r="J18731" s="1362"/>
      <c r="K18731" s="1362"/>
      <c r="L18731" s="1362"/>
    </row>
    <row r="18732" spans="1:12" x14ac:dyDescent="0.25">
      <c r="A18732">
        <v>38081</v>
      </c>
      <c r="B18732" t="s">
        <v>22234</v>
      </c>
      <c r="C18732" t="s">
        <v>2537</v>
      </c>
      <c r="D18732" s="254">
        <v>25.36</v>
      </c>
      <c r="E18732"/>
      <c r="F18732"/>
      <c r="G18732"/>
      <c r="H18732"/>
      <c r="I18732" s="489"/>
      <c r="J18732" s="1362"/>
      <c r="K18732" s="1362"/>
      <c r="L18732" s="1362"/>
    </row>
    <row r="18733" spans="1:12" x14ac:dyDescent="0.25">
      <c r="A18733">
        <v>38070</v>
      </c>
      <c r="B18733" t="s">
        <v>22235</v>
      </c>
      <c r="C18733" t="s">
        <v>2537</v>
      </c>
      <c r="D18733" s="254">
        <v>17.47</v>
      </c>
      <c r="E18733"/>
      <c r="F18733"/>
      <c r="G18733"/>
      <c r="H18733"/>
      <c r="I18733" s="489"/>
      <c r="J18733" s="1362"/>
      <c r="K18733" s="1362"/>
      <c r="L18733" s="1362"/>
    </row>
    <row r="18734" spans="1:12" x14ac:dyDescent="0.25">
      <c r="A18734">
        <v>38074</v>
      </c>
      <c r="B18734" t="s">
        <v>22236</v>
      </c>
      <c r="C18734" t="s">
        <v>2537</v>
      </c>
      <c r="D18734" s="254">
        <v>26.57</v>
      </c>
      <c r="E18734"/>
      <c r="F18734"/>
      <c r="G18734"/>
      <c r="H18734"/>
      <c r="I18734" s="489"/>
      <c r="J18734" s="1362"/>
      <c r="K18734" s="1362"/>
      <c r="L18734" s="1362"/>
    </row>
    <row r="18735" spans="1:12" x14ac:dyDescent="0.25">
      <c r="A18735">
        <v>38079</v>
      </c>
      <c r="B18735" t="s">
        <v>22237</v>
      </c>
      <c r="C18735" t="s">
        <v>2537</v>
      </c>
      <c r="D18735" s="254">
        <v>22.8</v>
      </c>
      <c r="E18735"/>
      <c r="F18735"/>
      <c r="G18735"/>
      <c r="H18735"/>
      <c r="I18735" s="489"/>
      <c r="J18735" s="1362"/>
      <c r="K18735" s="1362"/>
      <c r="L18735" s="1362"/>
    </row>
    <row r="18736" spans="1:12" x14ac:dyDescent="0.25">
      <c r="A18736">
        <v>38072</v>
      </c>
      <c r="B18736" t="s">
        <v>22238</v>
      </c>
      <c r="C18736" t="s">
        <v>2537</v>
      </c>
      <c r="D18736" s="254">
        <v>21.91</v>
      </c>
      <c r="E18736"/>
      <c r="F18736"/>
      <c r="G18736"/>
      <c r="H18736"/>
      <c r="I18736" s="489"/>
      <c r="J18736" s="1362"/>
      <c r="K18736" s="1362"/>
      <c r="L18736" s="1362"/>
    </row>
    <row r="18737" spans="1:12" x14ac:dyDescent="0.25">
      <c r="A18737">
        <v>38068</v>
      </c>
      <c r="B18737" t="s">
        <v>22239</v>
      </c>
      <c r="C18737" t="s">
        <v>2537</v>
      </c>
      <c r="D18737" s="254">
        <v>15.13</v>
      </c>
      <c r="E18737"/>
      <c r="F18737"/>
      <c r="G18737"/>
      <c r="H18737"/>
      <c r="I18737" s="489"/>
      <c r="J18737" s="1362"/>
      <c r="K18737" s="1362"/>
      <c r="L18737" s="1362"/>
    </row>
    <row r="18738" spans="1:12" x14ac:dyDescent="0.25">
      <c r="A18738">
        <v>38071</v>
      </c>
      <c r="B18738" t="s">
        <v>22240</v>
      </c>
      <c r="C18738" t="s">
        <v>2537</v>
      </c>
      <c r="D18738" s="254">
        <v>18.09</v>
      </c>
      <c r="E18738"/>
      <c r="F18738"/>
      <c r="G18738"/>
      <c r="H18738"/>
      <c r="I18738" s="489"/>
      <c r="J18738" s="1362"/>
      <c r="K18738" s="1362"/>
      <c r="L18738" s="1362"/>
    </row>
    <row r="18739" spans="1:12" x14ac:dyDescent="0.25">
      <c r="A18739">
        <v>38412</v>
      </c>
      <c r="B18739" t="s">
        <v>22241</v>
      </c>
      <c r="C18739" t="s">
        <v>2537</v>
      </c>
      <c r="D18739" s="254">
        <v>1494.93</v>
      </c>
      <c r="E18739"/>
      <c r="F18739"/>
      <c r="G18739"/>
      <c r="H18739"/>
      <c r="I18739" s="489"/>
      <c r="J18739" s="1362"/>
      <c r="K18739" s="1362"/>
      <c r="L18739" s="1362"/>
    </row>
    <row r="18740" spans="1:12" x14ac:dyDescent="0.25">
      <c r="A18740">
        <v>3405</v>
      </c>
      <c r="B18740" t="s">
        <v>22242</v>
      </c>
      <c r="C18740" t="s">
        <v>2537</v>
      </c>
      <c r="D18740" s="254">
        <v>96.34</v>
      </c>
      <c r="E18740"/>
      <c r="F18740"/>
      <c r="G18740"/>
      <c r="H18740"/>
      <c r="I18740" s="489"/>
      <c r="J18740" s="1362"/>
      <c r="K18740" s="1362"/>
      <c r="L18740" s="1362"/>
    </row>
    <row r="18741" spans="1:12" x14ac:dyDescent="0.25">
      <c r="A18741">
        <v>3394</v>
      </c>
      <c r="B18741" t="s">
        <v>22243</v>
      </c>
      <c r="C18741" t="s">
        <v>2537</v>
      </c>
      <c r="D18741" s="254">
        <v>508.57</v>
      </c>
      <c r="E18741"/>
      <c r="F18741"/>
      <c r="G18741"/>
      <c r="H18741"/>
      <c r="I18741" s="489"/>
      <c r="J18741" s="1362"/>
      <c r="K18741" s="1362"/>
      <c r="L18741" s="1362"/>
    </row>
    <row r="18742" spans="1:12" x14ac:dyDescent="0.25">
      <c r="A18742">
        <v>3393</v>
      </c>
      <c r="B18742" t="s">
        <v>22244</v>
      </c>
      <c r="C18742" t="s">
        <v>2537</v>
      </c>
      <c r="D18742" s="254">
        <v>865.89</v>
      </c>
      <c r="E18742"/>
      <c r="F18742"/>
      <c r="G18742"/>
      <c r="H18742"/>
      <c r="I18742" s="489"/>
      <c r="J18742" s="1362"/>
      <c r="K18742" s="1362"/>
      <c r="L18742" s="1362"/>
    </row>
    <row r="18743" spans="1:12" x14ac:dyDescent="0.25">
      <c r="A18743">
        <v>3406</v>
      </c>
      <c r="B18743" t="s">
        <v>22245</v>
      </c>
      <c r="C18743" t="s">
        <v>2537</v>
      </c>
      <c r="D18743" s="254">
        <v>29.49</v>
      </c>
      <c r="E18743"/>
      <c r="F18743"/>
      <c r="G18743"/>
      <c r="H18743"/>
      <c r="I18743" s="489"/>
      <c r="J18743" s="1362"/>
      <c r="K18743" s="1362"/>
      <c r="L18743" s="1362"/>
    </row>
    <row r="18744" spans="1:12" x14ac:dyDescent="0.25">
      <c r="A18744">
        <v>3395</v>
      </c>
      <c r="B18744" t="s">
        <v>22246</v>
      </c>
      <c r="C18744" t="s">
        <v>2537</v>
      </c>
      <c r="D18744" s="254">
        <v>124.4</v>
      </c>
      <c r="E18744"/>
      <c r="F18744"/>
      <c r="G18744"/>
      <c r="H18744"/>
      <c r="I18744" s="489"/>
      <c r="J18744" s="1362"/>
      <c r="K18744" s="1362"/>
      <c r="L18744" s="1362"/>
    </row>
    <row r="18745" spans="1:12" x14ac:dyDescent="0.25">
      <c r="A18745">
        <v>3398</v>
      </c>
      <c r="B18745" t="s">
        <v>22247</v>
      </c>
      <c r="C18745" t="s">
        <v>2537</v>
      </c>
      <c r="D18745" s="254">
        <v>5.91</v>
      </c>
      <c r="E18745"/>
      <c r="F18745"/>
      <c r="G18745"/>
      <c r="H18745"/>
      <c r="I18745" s="489"/>
      <c r="J18745" s="1362"/>
      <c r="K18745" s="1362"/>
      <c r="L18745" s="1362"/>
    </row>
    <row r="18746" spans="1:12" x14ac:dyDescent="0.25">
      <c r="A18746">
        <v>40662</v>
      </c>
      <c r="B18746" t="s">
        <v>22248</v>
      </c>
      <c r="C18746" t="s">
        <v>2537</v>
      </c>
      <c r="D18746" s="254">
        <v>126.8</v>
      </c>
      <c r="E18746"/>
      <c r="F18746"/>
      <c r="G18746"/>
      <c r="H18746"/>
      <c r="I18746" s="489"/>
      <c r="J18746" s="1362"/>
      <c r="K18746" s="1362"/>
      <c r="L18746" s="1362"/>
    </row>
    <row r="18747" spans="1:12" x14ac:dyDescent="0.25">
      <c r="A18747">
        <v>3437</v>
      </c>
      <c r="B18747" t="s">
        <v>22249</v>
      </c>
      <c r="C18747" t="s">
        <v>2539</v>
      </c>
      <c r="D18747" s="254">
        <v>352.24</v>
      </c>
      <c r="E18747"/>
      <c r="F18747"/>
      <c r="G18747"/>
      <c r="H18747"/>
      <c r="I18747" s="489"/>
      <c r="J18747" s="1362"/>
      <c r="K18747" s="1362"/>
      <c r="L18747" s="1362"/>
    </row>
    <row r="18748" spans="1:12" x14ac:dyDescent="0.25">
      <c r="A18748">
        <v>11190</v>
      </c>
      <c r="B18748" t="s">
        <v>22250</v>
      </c>
      <c r="C18748" t="s">
        <v>2537</v>
      </c>
      <c r="D18748" s="254">
        <v>229</v>
      </c>
      <c r="E18748"/>
      <c r="F18748"/>
      <c r="G18748"/>
      <c r="H18748"/>
      <c r="I18748" s="489"/>
      <c r="J18748" s="1362"/>
      <c r="K18748" s="1362"/>
      <c r="L18748" s="1362"/>
    </row>
    <row r="18749" spans="1:12" x14ac:dyDescent="0.25">
      <c r="A18749">
        <v>34377</v>
      </c>
      <c r="B18749" t="s">
        <v>22251</v>
      </c>
      <c r="C18749" t="s">
        <v>2537</v>
      </c>
      <c r="D18749" s="254">
        <v>234.01</v>
      </c>
      <c r="E18749"/>
      <c r="F18749"/>
      <c r="G18749"/>
      <c r="H18749"/>
      <c r="I18749" s="489"/>
      <c r="J18749" s="1362"/>
      <c r="K18749" s="1362"/>
      <c r="L18749" s="1362"/>
    </row>
    <row r="18750" spans="1:12" x14ac:dyDescent="0.25">
      <c r="A18750">
        <v>3428</v>
      </c>
      <c r="B18750" t="s">
        <v>22252</v>
      </c>
      <c r="C18750" t="s">
        <v>2539</v>
      </c>
      <c r="D18750" s="254">
        <v>522.5</v>
      </c>
      <c r="E18750"/>
      <c r="F18750"/>
      <c r="G18750"/>
      <c r="H18750"/>
      <c r="I18750" s="489"/>
      <c r="J18750" s="1362"/>
      <c r="K18750" s="1362"/>
      <c r="L18750" s="1362"/>
    </row>
    <row r="18751" spans="1:12" x14ac:dyDescent="0.25">
      <c r="A18751">
        <v>3429</v>
      </c>
      <c r="B18751" t="s">
        <v>22253</v>
      </c>
      <c r="C18751" t="s">
        <v>2539</v>
      </c>
      <c r="D18751" s="254">
        <v>298.52</v>
      </c>
      <c r="E18751"/>
      <c r="F18751"/>
      <c r="G18751"/>
      <c r="H18751"/>
      <c r="I18751" s="489"/>
      <c r="J18751" s="1362"/>
      <c r="K18751" s="1362"/>
      <c r="L18751" s="1362"/>
    </row>
    <row r="18752" spans="1:12" x14ac:dyDescent="0.25">
      <c r="A18752">
        <v>34364</v>
      </c>
      <c r="B18752" t="s">
        <v>22254</v>
      </c>
      <c r="C18752" t="s">
        <v>2537</v>
      </c>
      <c r="D18752" s="254">
        <v>767.84</v>
      </c>
      <c r="E18752"/>
      <c r="F18752"/>
      <c r="G18752"/>
      <c r="H18752"/>
      <c r="I18752" s="489"/>
      <c r="J18752" s="1362"/>
      <c r="K18752" s="1362"/>
      <c r="L18752" s="1362"/>
    </row>
    <row r="18753" spans="1:12" x14ac:dyDescent="0.25">
      <c r="A18753">
        <v>11199</v>
      </c>
      <c r="B18753" t="s">
        <v>22255</v>
      </c>
      <c r="C18753" t="s">
        <v>2537</v>
      </c>
      <c r="D18753" s="254">
        <v>1264.72</v>
      </c>
      <c r="E18753"/>
      <c r="F18753"/>
      <c r="G18753"/>
      <c r="H18753"/>
      <c r="I18753" s="489"/>
      <c r="J18753" s="1362"/>
      <c r="K18753" s="1362"/>
      <c r="L18753" s="1362"/>
    </row>
    <row r="18754" spans="1:12" x14ac:dyDescent="0.25">
      <c r="A18754">
        <v>34369</v>
      </c>
      <c r="B18754" t="s">
        <v>22256</v>
      </c>
      <c r="C18754" t="s">
        <v>2537</v>
      </c>
      <c r="D18754" s="254">
        <v>813.92</v>
      </c>
      <c r="E18754"/>
      <c r="F18754"/>
      <c r="G18754"/>
      <c r="H18754"/>
      <c r="I18754" s="489"/>
      <c r="J18754" s="1362"/>
      <c r="K18754" s="1362"/>
      <c r="L18754" s="1362"/>
    </row>
    <row r="18755" spans="1:12" x14ac:dyDescent="0.25">
      <c r="A18755">
        <v>36896</v>
      </c>
      <c r="B18755" t="s">
        <v>22257</v>
      </c>
      <c r="C18755" t="s">
        <v>2537</v>
      </c>
      <c r="D18755" s="254">
        <v>453.23</v>
      </c>
      <c r="E18755"/>
      <c r="F18755"/>
      <c r="G18755"/>
      <c r="H18755"/>
      <c r="I18755" s="489"/>
      <c r="J18755" s="1362"/>
      <c r="K18755" s="1362"/>
      <c r="L18755" s="1362"/>
    </row>
    <row r="18756" spans="1:12" x14ac:dyDescent="0.25">
      <c r="A18756">
        <v>34367</v>
      </c>
      <c r="B18756" t="s">
        <v>22258</v>
      </c>
      <c r="C18756" t="s">
        <v>2537</v>
      </c>
      <c r="D18756" s="254">
        <v>584.14</v>
      </c>
      <c r="E18756"/>
      <c r="F18756"/>
      <c r="G18756"/>
      <c r="H18756"/>
      <c r="I18756" s="489"/>
      <c r="J18756" s="1362"/>
      <c r="K18756" s="1362"/>
      <c r="L18756" s="1362"/>
    </row>
    <row r="18757" spans="1:12" x14ac:dyDescent="0.25">
      <c r="A18757">
        <v>36897</v>
      </c>
      <c r="B18757" t="s">
        <v>22259</v>
      </c>
      <c r="C18757" t="s">
        <v>2537</v>
      </c>
      <c r="D18757" s="254">
        <v>707.25</v>
      </c>
      <c r="E18757"/>
      <c r="F18757"/>
      <c r="G18757"/>
      <c r="H18757"/>
      <c r="I18757" s="489"/>
      <c r="J18757" s="1362"/>
      <c r="K18757" s="1362"/>
      <c r="L18757" s="1362"/>
    </row>
    <row r="18758" spans="1:12" x14ac:dyDescent="0.25">
      <c r="A18758">
        <v>40659</v>
      </c>
      <c r="B18758" t="s">
        <v>22260</v>
      </c>
      <c r="C18758" t="s">
        <v>2539</v>
      </c>
      <c r="D18758" s="254">
        <v>498.38</v>
      </c>
      <c r="E18758"/>
      <c r="F18758"/>
      <c r="G18758"/>
      <c r="H18758"/>
      <c r="I18758" s="489"/>
      <c r="J18758" s="1362"/>
      <c r="K18758" s="1362"/>
      <c r="L18758" s="1362"/>
    </row>
    <row r="18759" spans="1:12" x14ac:dyDescent="0.25">
      <c r="A18759">
        <v>40660</v>
      </c>
      <c r="B18759" t="s">
        <v>22261</v>
      </c>
      <c r="C18759" t="s">
        <v>2539</v>
      </c>
      <c r="D18759" s="254">
        <v>631.63</v>
      </c>
      <c r="E18759"/>
      <c r="F18759"/>
      <c r="G18759"/>
      <c r="H18759"/>
      <c r="I18759" s="489"/>
      <c r="J18759" s="1362"/>
      <c r="K18759" s="1362"/>
      <c r="L18759" s="1362"/>
    </row>
    <row r="18760" spans="1:12" x14ac:dyDescent="0.25">
      <c r="A18760">
        <v>40661</v>
      </c>
      <c r="B18760" t="s">
        <v>22262</v>
      </c>
      <c r="C18760" t="s">
        <v>2539</v>
      </c>
      <c r="D18760" s="254">
        <v>388.35</v>
      </c>
      <c r="E18760"/>
      <c r="F18760"/>
      <c r="G18760"/>
      <c r="H18760"/>
      <c r="I18760" s="489"/>
      <c r="J18760" s="1362"/>
      <c r="K18760" s="1362"/>
      <c r="L18760" s="1362"/>
    </row>
    <row r="18761" spans="1:12" x14ac:dyDescent="0.25">
      <c r="A18761">
        <v>3421</v>
      </c>
      <c r="B18761" t="s">
        <v>22263</v>
      </c>
      <c r="C18761" t="s">
        <v>2539</v>
      </c>
      <c r="D18761" s="254">
        <v>391.32</v>
      </c>
      <c r="E18761"/>
      <c r="F18761"/>
      <c r="G18761"/>
      <c r="H18761"/>
      <c r="I18761" s="489"/>
      <c r="J18761" s="1362"/>
      <c r="K18761" s="1362"/>
      <c r="L18761" s="1362"/>
    </row>
    <row r="18762" spans="1:12" x14ac:dyDescent="0.25">
      <c r="A18762">
        <v>599</v>
      </c>
      <c r="B18762" t="s">
        <v>22264</v>
      </c>
      <c r="C18762" t="s">
        <v>2539</v>
      </c>
      <c r="D18762" s="254">
        <v>826.59</v>
      </c>
      <c r="E18762"/>
      <c r="F18762"/>
      <c r="G18762"/>
      <c r="H18762"/>
      <c r="I18762" s="489"/>
      <c r="J18762" s="1362"/>
      <c r="K18762" s="1362"/>
      <c r="L18762" s="1362"/>
    </row>
    <row r="18763" spans="1:12" x14ac:dyDescent="0.25">
      <c r="A18763">
        <v>44053</v>
      </c>
      <c r="B18763" t="s">
        <v>22265</v>
      </c>
      <c r="C18763" t="s">
        <v>2537</v>
      </c>
      <c r="D18763" s="254">
        <v>1834.65</v>
      </c>
      <c r="E18763"/>
      <c r="F18763"/>
      <c r="G18763"/>
      <c r="H18763"/>
      <c r="I18763" s="489"/>
      <c r="J18763" s="1362"/>
      <c r="K18763" s="1362"/>
      <c r="L18763" s="1362"/>
    </row>
    <row r="18764" spans="1:12" x14ac:dyDescent="0.25">
      <c r="A18764">
        <v>3423</v>
      </c>
      <c r="B18764" t="s">
        <v>22266</v>
      </c>
      <c r="C18764" t="s">
        <v>2539</v>
      </c>
      <c r="D18764" s="254">
        <v>551.85</v>
      </c>
      <c r="E18764"/>
      <c r="F18764"/>
      <c r="G18764"/>
      <c r="H18764"/>
      <c r="I18764" s="489"/>
      <c r="J18764" s="1362"/>
      <c r="K18764" s="1362"/>
      <c r="L18764" s="1362"/>
    </row>
    <row r="18765" spans="1:12" x14ac:dyDescent="0.25">
      <c r="A18765">
        <v>34381</v>
      </c>
      <c r="B18765" t="s">
        <v>22267</v>
      </c>
      <c r="C18765" t="s">
        <v>2537</v>
      </c>
      <c r="D18765" s="254">
        <v>333.76</v>
      </c>
      <c r="E18765"/>
      <c r="F18765"/>
      <c r="G18765"/>
      <c r="H18765"/>
      <c r="I18765" s="489"/>
      <c r="J18765" s="1362"/>
      <c r="K18765" s="1362"/>
      <c r="L18765" s="1362"/>
    </row>
    <row r="18766" spans="1:12" x14ac:dyDescent="0.25">
      <c r="A18766">
        <v>34797</v>
      </c>
      <c r="B18766" t="s">
        <v>22268</v>
      </c>
      <c r="C18766" t="s">
        <v>2537</v>
      </c>
      <c r="D18766" s="254">
        <v>498.8</v>
      </c>
      <c r="E18766"/>
      <c r="F18766"/>
      <c r="G18766"/>
      <c r="H18766"/>
      <c r="I18766" s="489"/>
      <c r="J18766" s="1362"/>
      <c r="K18766" s="1362"/>
      <c r="L18766" s="1362"/>
    </row>
    <row r="18767" spans="1:12" x14ac:dyDescent="0.25">
      <c r="A18767">
        <v>44054</v>
      </c>
      <c r="B18767" t="s">
        <v>22269</v>
      </c>
      <c r="C18767" t="s">
        <v>2537</v>
      </c>
      <c r="D18767" s="254">
        <v>658.16</v>
      </c>
      <c r="E18767"/>
      <c r="F18767"/>
      <c r="G18767"/>
      <c r="H18767"/>
      <c r="I18767" s="489"/>
      <c r="J18767" s="1362"/>
      <c r="K18767" s="1362"/>
      <c r="L18767" s="1362"/>
    </row>
    <row r="18768" spans="1:12" x14ac:dyDescent="0.25">
      <c r="A18768">
        <v>44399</v>
      </c>
      <c r="B18768" t="s">
        <v>22270</v>
      </c>
      <c r="C18768" t="s">
        <v>2537</v>
      </c>
      <c r="D18768" s="254">
        <v>899.26</v>
      </c>
      <c r="E18768"/>
      <c r="F18768"/>
      <c r="G18768"/>
      <c r="H18768"/>
      <c r="I18768" s="489"/>
      <c r="J18768" s="1362"/>
      <c r="K18768" s="1362"/>
      <c r="L18768" s="1362"/>
    </row>
    <row r="18769" spans="1:12" x14ac:dyDescent="0.25">
      <c r="A18769">
        <v>44503</v>
      </c>
      <c r="B18769" t="s">
        <v>22271</v>
      </c>
      <c r="C18769" t="s">
        <v>2538</v>
      </c>
      <c r="D18769" s="254">
        <v>19.45</v>
      </c>
      <c r="E18769"/>
      <c r="F18769"/>
      <c r="G18769"/>
      <c r="H18769"/>
      <c r="I18769" s="489"/>
      <c r="J18769" s="1362"/>
      <c r="K18769" s="1362"/>
      <c r="L18769" s="1362"/>
    </row>
    <row r="18770" spans="1:12" x14ac:dyDescent="0.25">
      <c r="A18770">
        <v>41077</v>
      </c>
      <c r="B18770" t="s">
        <v>22272</v>
      </c>
      <c r="C18770" t="s">
        <v>2544</v>
      </c>
      <c r="D18770" s="254">
        <v>3436.68</v>
      </c>
      <c r="E18770"/>
      <c r="F18770"/>
      <c r="G18770"/>
      <c r="H18770"/>
      <c r="I18770" s="489"/>
      <c r="J18770" s="1362"/>
      <c r="K18770" s="1362"/>
      <c r="L18770" s="1362"/>
    </row>
    <row r="18771" spans="1:12" x14ac:dyDescent="0.25">
      <c r="A18771">
        <v>20159</v>
      </c>
      <c r="B18771" t="s">
        <v>22273</v>
      </c>
      <c r="C18771" t="s">
        <v>2537</v>
      </c>
      <c r="D18771" s="254">
        <v>59.16</v>
      </c>
      <c r="E18771"/>
      <c r="F18771"/>
      <c r="G18771"/>
      <c r="H18771"/>
      <c r="I18771" s="489"/>
      <c r="J18771" s="1362"/>
      <c r="K18771" s="1362"/>
      <c r="L18771" s="1362"/>
    </row>
    <row r="18772" spans="1:12" x14ac:dyDescent="0.25">
      <c r="A18772">
        <v>37963</v>
      </c>
      <c r="B18772" t="s">
        <v>22274</v>
      </c>
      <c r="C18772" t="s">
        <v>2537</v>
      </c>
      <c r="D18772" s="254">
        <v>3.23</v>
      </c>
      <c r="E18772"/>
      <c r="F18772"/>
      <c r="G18772"/>
      <c r="H18772"/>
      <c r="I18772" s="489"/>
      <c r="J18772" s="1362"/>
      <c r="K18772" s="1362"/>
      <c r="L18772" s="1362"/>
    </row>
    <row r="18773" spans="1:12" x14ac:dyDescent="0.25">
      <c r="A18773">
        <v>37964</v>
      </c>
      <c r="B18773" t="s">
        <v>22275</v>
      </c>
      <c r="C18773" t="s">
        <v>2537</v>
      </c>
      <c r="D18773" s="254">
        <v>5.38</v>
      </c>
      <c r="E18773"/>
      <c r="F18773"/>
      <c r="G18773"/>
      <c r="H18773"/>
      <c r="I18773" s="489"/>
      <c r="J18773" s="1362"/>
      <c r="K18773" s="1362"/>
      <c r="L18773" s="1362"/>
    </row>
    <row r="18774" spans="1:12" x14ac:dyDescent="0.25">
      <c r="A18774">
        <v>37965</v>
      </c>
      <c r="B18774" t="s">
        <v>22276</v>
      </c>
      <c r="C18774" t="s">
        <v>2537</v>
      </c>
      <c r="D18774" s="254">
        <v>7.8</v>
      </c>
      <c r="E18774"/>
      <c r="F18774"/>
      <c r="G18774"/>
      <c r="H18774"/>
      <c r="I18774" s="489"/>
      <c r="J18774" s="1362"/>
      <c r="K18774" s="1362"/>
      <c r="L18774" s="1362"/>
    </row>
    <row r="18775" spans="1:12" x14ac:dyDescent="0.25">
      <c r="A18775">
        <v>37966</v>
      </c>
      <c r="B18775" t="s">
        <v>22277</v>
      </c>
      <c r="C18775" t="s">
        <v>2537</v>
      </c>
      <c r="D18775" s="254">
        <v>14.13</v>
      </c>
      <c r="E18775"/>
      <c r="F18775"/>
      <c r="G18775"/>
      <c r="H18775"/>
      <c r="I18775" s="489"/>
      <c r="J18775" s="1362"/>
      <c r="K18775" s="1362"/>
      <c r="L18775" s="1362"/>
    </row>
    <row r="18776" spans="1:12" x14ac:dyDescent="0.25">
      <c r="A18776">
        <v>37967</v>
      </c>
      <c r="B18776" t="s">
        <v>22278</v>
      </c>
      <c r="C18776" t="s">
        <v>2537</v>
      </c>
      <c r="D18776" s="254">
        <v>22.66</v>
      </c>
      <c r="E18776"/>
      <c r="F18776"/>
      <c r="G18776"/>
      <c r="H18776"/>
      <c r="I18776" s="489"/>
      <c r="J18776" s="1362"/>
      <c r="K18776" s="1362"/>
      <c r="L18776" s="1362"/>
    </row>
    <row r="18777" spans="1:12" x14ac:dyDescent="0.25">
      <c r="A18777">
        <v>37968</v>
      </c>
      <c r="B18777" t="s">
        <v>22279</v>
      </c>
      <c r="C18777" t="s">
        <v>2537</v>
      </c>
      <c r="D18777" s="254">
        <v>49.7</v>
      </c>
      <c r="E18777"/>
      <c r="F18777"/>
      <c r="G18777"/>
      <c r="H18777"/>
      <c r="I18777" s="489"/>
      <c r="J18777" s="1362"/>
      <c r="K18777" s="1362"/>
      <c r="L18777" s="1362"/>
    </row>
    <row r="18778" spans="1:12" x14ac:dyDescent="0.25">
      <c r="A18778">
        <v>37969</v>
      </c>
      <c r="B18778" t="s">
        <v>22280</v>
      </c>
      <c r="C18778" t="s">
        <v>2537</v>
      </c>
      <c r="D18778" s="254">
        <v>132.77000000000001</v>
      </c>
      <c r="E18778"/>
      <c r="F18778"/>
      <c r="G18778"/>
      <c r="H18778"/>
      <c r="I18778" s="489"/>
      <c r="J18778" s="1362"/>
      <c r="K18778" s="1362"/>
      <c r="L18778" s="1362"/>
    </row>
    <row r="18779" spans="1:12" x14ac:dyDescent="0.25">
      <c r="A18779">
        <v>37970</v>
      </c>
      <c r="B18779" t="s">
        <v>22281</v>
      </c>
      <c r="C18779" t="s">
        <v>2537</v>
      </c>
      <c r="D18779" s="254">
        <v>154.88</v>
      </c>
      <c r="E18779"/>
      <c r="F18779"/>
      <c r="G18779"/>
      <c r="H18779"/>
      <c r="I18779" s="489"/>
      <c r="J18779" s="1362"/>
      <c r="K18779" s="1362"/>
      <c r="L18779" s="1362"/>
    </row>
    <row r="18780" spans="1:12" x14ac:dyDescent="0.25">
      <c r="A18780">
        <v>21118</v>
      </c>
      <c r="B18780" t="s">
        <v>22282</v>
      </c>
      <c r="C18780" t="s">
        <v>2537</v>
      </c>
      <c r="D18780" s="254">
        <v>2.44</v>
      </c>
      <c r="E18780"/>
      <c r="F18780"/>
      <c r="G18780"/>
      <c r="H18780"/>
      <c r="I18780" s="489"/>
      <c r="J18780" s="1362"/>
      <c r="K18780" s="1362"/>
      <c r="L18780" s="1362"/>
    </row>
    <row r="18781" spans="1:12" x14ac:dyDescent="0.25">
      <c r="A18781">
        <v>37956</v>
      </c>
      <c r="B18781" t="s">
        <v>22283</v>
      </c>
      <c r="C18781" t="s">
        <v>2537</v>
      </c>
      <c r="D18781" s="254">
        <v>3.86</v>
      </c>
      <c r="E18781"/>
      <c r="F18781"/>
      <c r="G18781"/>
      <c r="H18781"/>
      <c r="I18781" s="489"/>
      <c r="J18781" s="1362"/>
      <c r="K18781" s="1362"/>
      <c r="L18781" s="1362"/>
    </row>
    <row r="18782" spans="1:12" x14ac:dyDescent="0.25">
      <c r="A18782">
        <v>37957</v>
      </c>
      <c r="B18782" t="s">
        <v>22284</v>
      </c>
      <c r="C18782" t="s">
        <v>2537</v>
      </c>
      <c r="D18782" s="254">
        <v>8.15</v>
      </c>
      <c r="E18782"/>
      <c r="F18782"/>
      <c r="G18782"/>
      <c r="H18782"/>
      <c r="I18782" s="489"/>
      <c r="J18782" s="1362"/>
      <c r="K18782" s="1362"/>
      <c r="L18782" s="1362"/>
    </row>
    <row r="18783" spans="1:12" x14ac:dyDescent="0.25">
      <c r="A18783">
        <v>37958</v>
      </c>
      <c r="B18783" t="s">
        <v>22285</v>
      </c>
      <c r="C18783" t="s">
        <v>2537</v>
      </c>
      <c r="D18783" s="254">
        <v>14.13</v>
      </c>
      <c r="E18783"/>
      <c r="F18783"/>
      <c r="G18783"/>
      <c r="H18783"/>
      <c r="I18783" s="489"/>
      <c r="J18783" s="1362"/>
      <c r="K18783" s="1362"/>
      <c r="L18783" s="1362"/>
    </row>
    <row r="18784" spans="1:12" x14ac:dyDescent="0.25">
      <c r="A18784">
        <v>37959</v>
      </c>
      <c r="B18784" t="s">
        <v>22286</v>
      </c>
      <c r="C18784" t="s">
        <v>2537</v>
      </c>
      <c r="D18784" s="254">
        <v>22.66</v>
      </c>
      <c r="E18784"/>
      <c r="F18784"/>
      <c r="G18784"/>
      <c r="H18784"/>
      <c r="I18784" s="489"/>
      <c r="J18784" s="1362"/>
      <c r="K18784" s="1362"/>
      <c r="L18784" s="1362"/>
    </row>
    <row r="18785" spans="1:12" x14ac:dyDescent="0.25">
      <c r="A18785">
        <v>37960</v>
      </c>
      <c r="B18785" t="s">
        <v>22287</v>
      </c>
      <c r="C18785" t="s">
        <v>2537</v>
      </c>
      <c r="D18785" s="254">
        <v>48.8</v>
      </c>
      <c r="E18785"/>
      <c r="F18785"/>
      <c r="G18785"/>
      <c r="H18785"/>
      <c r="I18785" s="489"/>
      <c r="J18785" s="1362"/>
      <c r="K18785" s="1362"/>
      <c r="L18785" s="1362"/>
    </row>
    <row r="18786" spans="1:12" x14ac:dyDescent="0.25">
      <c r="A18786">
        <v>37961</v>
      </c>
      <c r="B18786" t="s">
        <v>22288</v>
      </c>
      <c r="C18786" t="s">
        <v>2537</v>
      </c>
      <c r="D18786" s="254">
        <v>129.47</v>
      </c>
      <c r="E18786"/>
      <c r="F18786"/>
      <c r="G18786"/>
      <c r="H18786"/>
      <c r="I18786" s="489"/>
      <c r="J18786" s="1362"/>
      <c r="K18786" s="1362"/>
      <c r="L18786" s="1362"/>
    </row>
    <row r="18787" spans="1:12" x14ac:dyDescent="0.25">
      <c r="A18787">
        <v>37962</v>
      </c>
      <c r="B18787" t="s">
        <v>22289</v>
      </c>
      <c r="C18787" t="s">
        <v>2537</v>
      </c>
      <c r="D18787" s="254">
        <v>150.44</v>
      </c>
      <c r="E18787"/>
      <c r="F18787"/>
      <c r="G18787"/>
      <c r="H18787"/>
      <c r="I18787" s="489"/>
      <c r="J18787" s="1362"/>
      <c r="K18787" s="1362"/>
      <c r="L18787" s="1362"/>
    </row>
    <row r="18788" spans="1:12" x14ac:dyDescent="0.25">
      <c r="A18788">
        <v>3533</v>
      </c>
      <c r="B18788" t="s">
        <v>22290</v>
      </c>
      <c r="C18788" t="s">
        <v>2537</v>
      </c>
      <c r="D18788" s="254">
        <v>2.88</v>
      </c>
      <c r="E18788"/>
      <c r="F18788"/>
      <c r="G18788"/>
      <c r="H18788"/>
      <c r="I18788" s="489"/>
      <c r="J18788" s="1362"/>
      <c r="K18788" s="1362"/>
      <c r="L18788" s="1362"/>
    </row>
    <row r="18789" spans="1:12" x14ac:dyDescent="0.25">
      <c r="A18789">
        <v>3538</v>
      </c>
      <c r="B18789" t="s">
        <v>22291</v>
      </c>
      <c r="C18789" t="s">
        <v>2537</v>
      </c>
      <c r="D18789" s="254">
        <v>4.97</v>
      </c>
      <c r="E18789"/>
      <c r="F18789"/>
      <c r="G18789"/>
      <c r="H18789"/>
      <c r="I18789" s="489"/>
      <c r="J18789" s="1362"/>
      <c r="K18789" s="1362"/>
      <c r="L18789" s="1362"/>
    </row>
    <row r="18790" spans="1:12" x14ac:dyDescent="0.25">
      <c r="A18790">
        <v>3497</v>
      </c>
      <c r="B18790" t="s">
        <v>22292</v>
      </c>
      <c r="C18790" t="s">
        <v>2537</v>
      </c>
      <c r="D18790" s="254">
        <v>18.579999999999998</v>
      </c>
      <c r="E18790"/>
      <c r="F18790"/>
      <c r="G18790"/>
      <c r="H18790"/>
      <c r="I18790" s="489"/>
      <c r="J18790" s="1362"/>
      <c r="K18790" s="1362"/>
      <c r="L18790" s="1362"/>
    </row>
    <row r="18791" spans="1:12" x14ac:dyDescent="0.25">
      <c r="A18791">
        <v>3498</v>
      </c>
      <c r="B18791" t="s">
        <v>22293</v>
      </c>
      <c r="C18791" t="s">
        <v>2537</v>
      </c>
      <c r="D18791" s="254">
        <v>5.9</v>
      </c>
      <c r="E18791"/>
      <c r="F18791"/>
      <c r="G18791"/>
      <c r="H18791"/>
      <c r="I18791" s="489"/>
      <c r="J18791" s="1362"/>
      <c r="K18791" s="1362"/>
      <c r="L18791" s="1362"/>
    </row>
    <row r="18792" spans="1:12" x14ac:dyDescent="0.25">
      <c r="A18792">
        <v>3496</v>
      </c>
      <c r="B18792" t="s">
        <v>22294</v>
      </c>
      <c r="C18792" t="s">
        <v>2537</v>
      </c>
      <c r="D18792" s="254">
        <v>4.76</v>
      </c>
      <c r="E18792"/>
      <c r="F18792"/>
      <c r="G18792"/>
      <c r="H18792"/>
      <c r="I18792" s="489"/>
      <c r="J18792" s="1362"/>
      <c r="K18792" s="1362"/>
      <c r="L18792" s="1362"/>
    </row>
    <row r="18793" spans="1:12" x14ac:dyDescent="0.25">
      <c r="A18793">
        <v>38429</v>
      </c>
      <c r="B18793" t="s">
        <v>22295</v>
      </c>
      <c r="C18793" t="s">
        <v>2537</v>
      </c>
      <c r="D18793" s="254">
        <v>8.24</v>
      </c>
      <c r="E18793"/>
      <c r="F18793"/>
      <c r="G18793"/>
      <c r="H18793"/>
      <c r="I18793" s="489"/>
      <c r="J18793" s="1362"/>
      <c r="K18793" s="1362"/>
      <c r="L18793" s="1362"/>
    </row>
    <row r="18794" spans="1:12" x14ac:dyDescent="0.25">
      <c r="A18794">
        <v>38431</v>
      </c>
      <c r="B18794" t="s">
        <v>22296</v>
      </c>
      <c r="C18794" t="s">
        <v>2537</v>
      </c>
      <c r="D18794" s="254">
        <v>13.05</v>
      </c>
      <c r="E18794"/>
      <c r="F18794"/>
      <c r="G18794"/>
      <c r="H18794"/>
      <c r="I18794" s="489"/>
      <c r="J18794" s="1362"/>
      <c r="K18794" s="1362"/>
      <c r="L18794" s="1362"/>
    </row>
    <row r="18795" spans="1:12" x14ac:dyDescent="0.25">
      <c r="A18795">
        <v>38430</v>
      </c>
      <c r="B18795" t="s">
        <v>22297</v>
      </c>
      <c r="C18795" t="s">
        <v>2537</v>
      </c>
      <c r="D18795" s="254">
        <v>16.68</v>
      </c>
      <c r="E18795"/>
      <c r="F18795"/>
      <c r="G18795"/>
      <c r="H18795"/>
      <c r="I18795" s="489"/>
      <c r="J18795" s="1362"/>
      <c r="K18795" s="1362"/>
      <c r="L18795" s="1362"/>
    </row>
    <row r="18796" spans="1:12" x14ac:dyDescent="0.25">
      <c r="A18796">
        <v>36348</v>
      </c>
      <c r="B18796" t="s">
        <v>22298</v>
      </c>
      <c r="C18796" t="s">
        <v>2537</v>
      </c>
      <c r="D18796" s="254">
        <v>1.76</v>
      </c>
      <c r="E18796"/>
      <c r="F18796"/>
      <c r="G18796"/>
      <c r="H18796"/>
      <c r="I18796" s="489"/>
      <c r="J18796" s="1362"/>
      <c r="K18796" s="1362"/>
      <c r="L18796" s="1362"/>
    </row>
    <row r="18797" spans="1:12" x14ac:dyDescent="0.25">
      <c r="A18797">
        <v>36349</v>
      </c>
      <c r="B18797" t="s">
        <v>22299</v>
      </c>
      <c r="C18797" t="s">
        <v>2537</v>
      </c>
      <c r="D18797" s="254">
        <v>2.64</v>
      </c>
      <c r="E18797"/>
      <c r="F18797"/>
      <c r="G18797"/>
      <c r="H18797"/>
      <c r="I18797" s="489"/>
      <c r="J18797" s="1362"/>
      <c r="K18797" s="1362"/>
      <c r="L18797" s="1362"/>
    </row>
    <row r="18798" spans="1:12" x14ac:dyDescent="0.25">
      <c r="A18798">
        <v>38433</v>
      </c>
      <c r="B18798" t="s">
        <v>22300</v>
      </c>
      <c r="C18798" t="s">
        <v>2537</v>
      </c>
      <c r="D18798" s="254">
        <v>4.9000000000000004</v>
      </c>
      <c r="E18798"/>
      <c r="F18798"/>
      <c r="G18798"/>
      <c r="H18798"/>
      <c r="I18798" s="489"/>
      <c r="J18798" s="1362"/>
      <c r="K18798" s="1362"/>
      <c r="L18798" s="1362"/>
    </row>
    <row r="18799" spans="1:12" x14ac:dyDescent="0.25">
      <c r="A18799">
        <v>38440</v>
      </c>
      <c r="B18799" t="s">
        <v>22301</v>
      </c>
      <c r="C18799" t="s">
        <v>2537</v>
      </c>
      <c r="D18799" s="254">
        <v>169.11</v>
      </c>
      <c r="E18799"/>
      <c r="F18799"/>
      <c r="G18799"/>
      <c r="H18799"/>
      <c r="I18799" s="489"/>
      <c r="J18799" s="1362"/>
      <c r="K18799" s="1362"/>
      <c r="L18799" s="1362"/>
    </row>
    <row r="18800" spans="1:12" x14ac:dyDescent="0.25">
      <c r="A18800">
        <v>36359</v>
      </c>
      <c r="B18800" t="s">
        <v>22302</v>
      </c>
      <c r="C18800" t="s">
        <v>2537</v>
      </c>
      <c r="D18800" s="254">
        <v>2.1</v>
      </c>
      <c r="E18800"/>
      <c r="F18800"/>
      <c r="G18800"/>
      <c r="H18800"/>
      <c r="I18800" s="489"/>
      <c r="J18800" s="1362"/>
      <c r="K18800" s="1362"/>
      <c r="L18800" s="1362"/>
    </row>
    <row r="18801" spans="1:12" x14ac:dyDescent="0.25">
      <c r="A18801">
        <v>36360</v>
      </c>
      <c r="B18801" t="s">
        <v>22303</v>
      </c>
      <c r="C18801" t="s">
        <v>2537</v>
      </c>
      <c r="D18801" s="254">
        <v>3.24</v>
      </c>
      <c r="E18801"/>
      <c r="F18801"/>
      <c r="G18801"/>
      <c r="H18801"/>
      <c r="I18801" s="489"/>
      <c r="J18801" s="1362"/>
      <c r="K18801" s="1362"/>
      <c r="L18801" s="1362"/>
    </row>
    <row r="18802" spans="1:12" x14ac:dyDescent="0.25">
      <c r="A18802">
        <v>38434</v>
      </c>
      <c r="B18802" t="s">
        <v>22304</v>
      </c>
      <c r="C18802" t="s">
        <v>2537</v>
      </c>
      <c r="D18802" s="254">
        <v>4.97</v>
      </c>
      <c r="E18802"/>
      <c r="F18802"/>
      <c r="G18802"/>
      <c r="H18802"/>
      <c r="I18802" s="489"/>
      <c r="J18802" s="1362"/>
      <c r="K18802" s="1362"/>
      <c r="L18802" s="1362"/>
    </row>
    <row r="18803" spans="1:12" x14ac:dyDescent="0.25">
      <c r="A18803">
        <v>38435</v>
      </c>
      <c r="B18803" t="s">
        <v>22305</v>
      </c>
      <c r="C18803" t="s">
        <v>2537</v>
      </c>
      <c r="D18803" s="254">
        <v>9.43</v>
      </c>
      <c r="E18803"/>
      <c r="F18803"/>
      <c r="G18803"/>
      <c r="H18803"/>
      <c r="I18803" s="489"/>
      <c r="J18803" s="1362"/>
      <c r="K18803" s="1362"/>
      <c r="L18803" s="1362"/>
    </row>
    <row r="18804" spans="1:12" x14ac:dyDescent="0.25">
      <c r="A18804">
        <v>38436</v>
      </c>
      <c r="B18804" t="s">
        <v>22306</v>
      </c>
      <c r="C18804" t="s">
        <v>2537</v>
      </c>
      <c r="D18804" s="254">
        <v>19.5</v>
      </c>
      <c r="E18804"/>
      <c r="F18804"/>
      <c r="G18804"/>
      <c r="H18804"/>
      <c r="I18804" s="489"/>
      <c r="J18804" s="1362"/>
      <c r="K18804" s="1362"/>
      <c r="L18804" s="1362"/>
    </row>
    <row r="18805" spans="1:12" x14ac:dyDescent="0.25">
      <c r="A18805">
        <v>38437</v>
      </c>
      <c r="B18805" t="s">
        <v>22307</v>
      </c>
      <c r="C18805" t="s">
        <v>2537</v>
      </c>
      <c r="D18805" s="254">
        <v>29.28</v>
      </c>
      <c r="E18805"/>
      <c r="F18805"/>
      <c r="G18805"/>
      <c r="H18805"/>
      <c r="I18805" s="489"/>
      <c r="J18805" s="1362"/>
      <c r="K18805" s="1362"/>
      <c r="L18805" s="1362"/>
    </row>
    <row r="18806" spans="1:12" x14ac:dyDescent="0.25">
      <c r="A18806">
        <v>38438</v>
      </c>
      <c r="B18806" t="s">
        <v>22308</v>
      </c>
      <c r="C18806" t="s">
        <v>2537</v>
      </c>
      <c r="D18806" s="254">
        <v>73.98</v>
      </c>
      <c r="E18806"/>
      <c r="F18806"/>
      <c r="G18806"/>
      <c r="H18806"/>
      <c r="I18806" s="489"/>
      <c r="J18806" s="1362"/>
      <c r="K18806" s="1362"/>
      <c r="L18806" s="1362"/>
    </row>
    <row r="18807" spans="1:12" x14ac:dyDescent="0.25">
      <c r="A18807">
        <v>38439</v>
      </c>
      <c r="B18807" t="s">
        <v>22309</v>
      </c>
      <c r="C18807" t="s">
        <v>2537</v>
      </c>
      <c r="D18807" s="254">
        <v>112.76</v>
      </c>
      <c r="E18807"/>
      <c r="F18807"/>
      <c r="G18807"/>
      <c r="H18807"/>
      <c r="I18807" s="489"/>
      <c r="J18807" s="1362"/>
      <c r="K18807" s="1362"/>
      <c r="L18807" s="1362"/>
    </row>
    <row r="18808" spans="1:12" x14ac:dyDescent="0.25">
      <c r="A18808">
        <v>10836</v>
      </c>
      <c r="B18808" t="s">
        <v>22310</v>
      </c>
      <c r="C18808" t="s">
        <v>2537</v>
      </c>
      <c r="D18808" s="254">
        <v>20.74</v>
      </c>
      <c r="E18808"/>
      <c r="F18808"/>
      <c r="G18808"/>
      <c r="H18808"/>
      <c r="I18808" s="489"/>
      <c r="J18808" s="1362"/>
      <c r="K18808" s="1362"/>
      <c r="L18808" s="1362"/>
    </row>
    <row r="18809" spans="1:12" x14ac:dyDescent="0.25">
      <c r="A18809">
        <v>20128</v>
      </c>
      <c r="B18809" t="s">
        <v>22311</v>
      </c>
      <c r="C18809" t="s">
        <v>2537</v>
      </c>
      <c r="D18809" s="254">
        <v>60.78</v>
      </c>
      <c r="E18809"/>
      <c r="F18809"/>
      <c r="G18809"/>
      <c r="H18809"/>
      <c r="I18809" s="489"/>
      <c r="J18809" s="1362"/>
      <c r="K18809" s="1362"/>
      <c r="L18809" s="1362"/>
    </row>
    <row r="18810" spans="1:12" x14ac:dyDescent="0.25">
      <c r="A18810">
        <v>20131</v>
      </c>
      <c r="B18810" t="s">
        <v>22312</v>
      </c>
      <c r="C18810" t="s">
        <v>2537</v>
      </c>
      <c r="D18810" s="254">
        <v>55.48</v>
      </c>
      <c r="E18810"/>
      <c r="F18810"/>
      <c r="G18810"/>
      <c r="H18810"/>
      <c r="I18810" s="489"/>
      <c r="J18810" s="1362"/>
      <c r="K18810" s="1362"/>
      <c r="L18810" s="1362"/>
    </row>
    <row r="18811" spans="1:12" x14ac:dyDescent="0.25">
      <c r="A18811">
        <v>3521</v>
      </c>
      <c r="B18811" t="s">
        <v>22313</v>
      </c>
      <c r="C18811" t="s">
        <v>2537</v>
      </c>
      <c r="D18811" s="254">
        <v>2.5099999999999998</v>
      </c>
      <c r="E18811"/>
      <c r="F18811"/>
      <c r="G18811"/>
      <c r="H18811"/>
      <c r="I18811" s="489"/>
      <c r="J18811" s="1362"/>
      <c r="K18811" s="1362"/>
      <c r="L18811" s="1362"/>
    </row>
    <row r="18812" spans="1:12" x14ac:dyDescent="0.25">
      <c r="A18812">
        <v>3531</v>
      </c>
      <c r="B18812" t="s">
        <v>22314</v>
      </c>
      <c r="C18812" t="s">
        <v>2537</v>
      </c>
      <c r="D18812" s="254">
        <v>2.84</v>
      </c>
      <c r="E18812"/>
      <c r="F18812"/>
      <c r="G18812"/>
      <c r="H18812"/>
      <c r="I18812" s="489"/>
      <c r="J18812" s="1362"/>
      <c r="K18812" s="1362"/>
      <c r="L18812" s="1362"/>
    </row>
    <row r="18813" spans="1:12" x14ac:dyDescent="0.25">
      <c r="A18813">
        <v>3522</v>
      </c>
      <c r="B18813" t="s">
        <v>22315</v>
      </c>
      <c r="C18813" t="s">
        <v>2537</v>
      </c>
      <c r="D18813" s="254">
        <v>4.22</v>
      </c>
      <c r="E18813"/>
      <c r="F18813"/>
      <c r="G18813"/>
      <c r="H18813"/>
      <c r="I18813" s="489"/>
      <c r="J18813" s="1362"/>
      <c r="K18813" s="1362"/>
      <c r="L18813" s="1362"/>
    </row>
    <row r="18814" spans="1:12" x14ac:dyDescent="0.25">
      <c r="A18814">
        <v>3527</v>
      </c>
      <c r="B18814" t="s">
        <v>22316</v>
      </c>
      <c r="C18814" t="s">
        <v>2537</v>
      </c>
      <c r="D18814" s="254">
        <v>14.5</v>
      </c>
      <c r="E18814"/>
      <c r="F18814"/>
      <c r="G18814"/>
      <c r="H18814"/>
      <c r="I18814" s="489"/>
      <c r="J18814" s="1362"/>
      <c r="K18814" s="1362"/>
      <c r="L18814" s="1362"/>
    </row>
    <row r="18815" spans="1:12" x14ac:dyDescent="0.25">
      <c r="A18815">
        <v>10835</v>
      </c>
      <c r="B18815" t="s">
        <v>22317</v>
      </c>
      <c r="C18815" t="s">
        <v>2537</v>
      </c>
      <c r="D18815" s="254">
        <v>4.34</v>
      </c>
      <c r="E18815"/>
      <c r="F18815"/>
      <c r="G18815"/>
      <c r="H18815"/>
      <c r="I18815" s="489"/>
      <c r="J18815" s="1362"/>
      <c r="K18815" s="1362"/>
      <c r="L18815" s="1362"/>
    </row>
    <row r="18816" spans="1:12" x14ac:dyDescent="0.25">
      <c r="A18816">
        <v>3475</v>
      </c>
      <c r="B18816" t="s">
        <v>22318</v>
      </c>
      <c r="C18816" t="s">
        <v>2537</v>
      </c>
      <c r="D18816" s="254">
        <v>4.87</v>
      </c>
      <c r="E18816"/>
      <c r="F18816"/>
      <c r="G18816"/>
      <c r="H18816"/>
      <c r="I18816" s="489"/>
      <c r="J18816" s="1362"/>
      <c r="K18816" s="1362"/>
      <c r="L18816" s="1362"/>
    </row>
    <row r="18817" spans="1:12" x14ac:dyDescent="0.25">
      <c r="A18817">
        <v>3485</v>
      </c>
      <c r="B18817" t="s">
        <v>22319</v>
      </c>
      <c r="C18817" t="s">
        <v>2537</v>
      </c>
      <c r="D18817" s="254">
        <v>15.57</v>
      </c>
      <c r="E18817"/>
      <c r="F18817"/>
      <c r="G18817"/>
      <c r="H18817"/>
      <c r="I18817" s="489"/>
      <c r="J18817" s="1362"/>
      <c r="K18817" s="1362"/>
      <c r="L18817" s="1362"/>
    </row>
    <row r="18818" spans="1:12" x14ac:dyDescent="0.25">
      <c r="A18818">
        <v>3534</v>
      </c>
      <c r="B18818" t="s">
        <v>22320</v>
      </c>
      <c r="C18818" t="s">
        <v>2537</v>
      </c>
      <c r="D18818" s="254">
        <v>6.16</v>
      </c>
      <c r="E18818"/>
      <c r="F18818"/>
      <c r="G18818"/>
      <c r="H18818"/>
      <c r="I18818" s="489"/>
      <c r="J18818" s="1362"/>
      <c r="K18818" s="1362"/>
      <c r="L18818" s="1362"/>
    </row>
    <row r="18819" spans="1:12" x14ac:dyDescent="0.25">
      <c r="A18819">
        <v>3543</v>
      </c>
      <c r="B18819" t="s">
        <v>22321</v>
      </c>
      <c r="C18819" t="s">
        <v>2537</v>
      </c>
      <c r="D18819" s="254">
        <v>3.09</v>
      </c>
      <c r="E18819"/>
      <c r="F18819"/>
      <c r="G18819"/>
      <c r="H18819"/>
      <c r="I18819" s="489"/>
      <c r="J18819" s="1362"/>
      <c r="K18819" s="1362"/>
      <c r="L18819" s="1362"/>
    </row>
    <row r="18820" spans="1:12" x14ac:dyDescent="0.25">
      <c r="A18820">
        <v>3482</v>
      </c>
      <c r="B18820" t="s">
        <v>22322</v>
      </c>
      <c r="C18820" t="s">
        <v>2537</v>
      </c>
      <c r="D18820" s="254">
        <v>7.83</v>
      </c>
      <c r="E18820"/>
      <c r="F18820"/>
      <c r="G18820"/>
      <c r="H18820"/>
      <c r="I18820" s="489"/>
      <c r="J18820" s="1362"/>
      <c r="K18820" s="1362"/>
      <c r="L18820" s="1362"/>
    </row>
    <row r="18821" spans="1:12" x14ac:dyDescent="0.25">
      <c r="A18821">
        <v>3505</v>
      </c>
      <c r="B18821" t="s">
        <v>22323</v>
      </c>
      <c r="C18821" t="s">
        <v>2537</v>
      </c>
      <c r="D18821" s="254">
        <v>4.4400000000000004</v>
      </c>
      <c r="E18821"/>
      <c r="F18821"/>
      <c r="G18821"/>
      <c r="H18821"/>
      <c r="I18821" s="489"/>
      <c r="J18821" s="1362"/>
      <c r="K18821" s="1362"/>
      <c r="L18821" s="1362"/>
    </row>
    <row r="18822" spans="1:12" x14ac:dyDescent="0.25">
      <c r="A18822">
        <v>3516</v>
      </c>
      <c r="B18822" t="s">
        <v>22324</v>
      </c>
      <c r="C18822" t="s">
        <v>2537</v>
      </c>
      <c r="D18822" s="254">
        <v>1.1299999999999999</v>
      </c>
      <c r="E18822"/>
      <c r="F18822"/>
      <c r="G18822"/>
      <c r="H18822"/>
      <c r="I18822" s="489"/>
      <c r="J18822" s="1362"/>
      <c r="K18822" s="1362"/>
      <c r="L18822" s="1362"/>
    </row>
    <row r="18823" spans="1:12" x14ac:dyDescent="0.25">
      <c r="A18823">
        <v>3517</v>
      </c>
      <c r="B18823" t="s">
        <v>22325</v>
      </c>
      <c r="C18823" t="s">
        <v>2537</v>
      </c>
      <c r="D18823" s="254">
        <v>3.96</v>
      </c>
      <c r="E18823"/>
      <c r="F18823"/>
      <c r="G18823"/>
      <c r="H18823"/>
      <c r="I18823" s="489"/>
      <c r="J18823" s="1362"/>
      <c r="K18823" s="1362"/>
      <c r="L18823" s="1362"/>
    </row>
    <row r="18824" spans="1:12" x14ac:dyDescent="0.25">
      <c r="A18824">
        <v>3515</v>
      </c>
      <c r="B18824" t="s">
        <v>22326</v>
      </c>
      <c r="C18824" t="s">
        <v>2537</v>
      </c>
      <c r="D18824" s="254">
        <v>7.19</v>
      </c>
      <c r="E18824"/>
      <c r="F18824"/>
      <c r="G18824"/>
      <c r="H18824"/>
      <c r="I18824" s="489"/>
      <c r="J18824" s="1362"/>
      <c r="K18824" s="1362"/>
      <c r="L18824" s="1362"/>
    </row>
    <row r="18825" spans="1:12" x14ac:dyDescent="0.25">
      <c r="A18825">
        <v>20147</v>
      </c>
      <c r="B18825" t="s">
        <v>22327</v>
      </c>
      <c r="C18825" t="s">
        <v>2537</v>
      </c>
      <c r="D18825" s="254">
        <v>7.74</v>
      </c>
      <c r="E18825"/>
      <c r="F18825"/>
      <c r="G18825"/>
      <c r="H18825"/>
      <c r="I18825" s="489"/>
      <c r="J18825" s="1362"/>
      <c r="K18825" s="1362"/>
      <c r="L18825" s="1362"/>
    </row>
    <row r="18826" spans="1:12" x14ac:dyDescent="0.25">
      <c r="A18826">
        <v>3524</v>
      </c>
      <c r="B18826" t="s">
        <v>22328</v>
      </c>
      <c r="C18826" t="s">
        <v>2537</v>
      </c>
      <c r="D18826" s="254">
        <v>9.18</v>
      </c>
      <c r="E18826"/>
      <c r="F18826"/>
      <c r="G18826"/>
      <c r="H18826"/>
      <c r="I18826" s="489"/>
      <c r="J18826" s="1362"/>
      <c r="K18826" s="1362"/>
      <c r="L18826" s="1362"/>
    </row>
    <row r="18827" spans="1:12" x14ac:dyDescent="0.25">
      <c r="A18827">
        <v>3532</v>
      </c>
      <c r="B18827" t="s">
        <v>22329</v>
      </c>
      <c r="C18827" t="s">
        <v>2537</v>
      </c>
      <c r="D18827" s="254">
        <v>16.79</v>
      </c>
      <c r="E18827"/>
      <c r="F18827"/>
      <c r="G18827"/>
      <c r="H18827"/>
      <c r="I18827" s="489"/>
      <c r="J18827" s="1362"/>
      <c r="K18827" s="1362"/>
      <c r="L18827" s="1362"/>
    </row>
    <row r="18828" spans="1:12" x14ac:dyDescent="0.25">
      <c r="A18828">
        <v>3528</v>
      </c>
      <c r="B18828" t="s">
        <v>22330</v>
      </c>
      <c r="C18828" t="s">
        <v>2537</v>
      </c>
      <c r="D18828" s="254">
        <v>8.94</v>
      </c>
      <c r="E18828"/>
      <c r="F18828"/>
      <c r="G18828"/>
      <c r="H18828"/>
      <c r="I18828" s="489"/>
      <c r="J18828" s="1362"/>
      <c r="K18828" s="1362"/>
      <c r="L18828" s="1362"/>
    </row>
    <row r="18829" spans="1:12" x14ac:dyDescent="0.25">
      <c r="A18829">
        <v>37952</v>
      </c>
      <c r="B18829" t="s">
        <v>22331</v>
      </c>
      <c r="C18829" t="s">
        <v>2537</v>
      </c>
      <c r="D18829" s="254">
        <v>63.73</v>
      </c>
      <c r="E18829"/>
      <c r="F18829"/>
      <c r="G18829"/>
      <c r="H18829"/>
      <c r="I18829" s="489"/>
      <c r="J18829" s="1362"/>
      <c r="K18829" s="1362"/>
      <c r="L18829" s="1362"/>
    </row>
    <row r="18830" spans="1:12" x14ac:dyDescent="0.25">
      <c r="A18830">
        <v>37951</v>
      </c>
      <c r="B18830" t="s">
        <v>22332</v>
      </c>
      <c r="C18830" t="s">
        <v>2537</v>
      </c>
      <c r="D18830" s="254">
        <v>2.3199999999999998</v>
      </c>
      <c r="E18830"/>
      <c r="F18830"/>
      <c r="G18830"/>
      <c r="H18830"/>
      <c r="I18830" s="489"/>
      <c r="J18830" s="1362"/>
      <c r="K18830" s="1362"/>
      <c r="L18830" s="1362"/>
    </row>
    <row r="18831" spans="1:12" x14ac:dyDescent="0.25">
      <c r="A18831">
        <v>3518</v>
      </c>
      <c r="B18831" t="s">
        <v>22333</v>
      </c>
      <c r="C18831" t="s">
        <v>2537</v>
      </c>
      <c r="D18831" s="254">
        <v>3.39</v>
      </c>
      <c r="E18831"/>
      <c r="F18831"/>
      <c r="G18831"/>
      <c r="H18831"/>
      <c r="I18831" s="489"/>
      <c r="J18831" s="1362"/>
      <c r="K18831" s="1362"/>
      <c r="L18831" s="1362"/>
    </row>
    <row r="18832" spans="1:12" x14ac:dyDescent="0.25">
      <c r="A18832">
        <v>3519</v>
      </c>
      <c r="B18832" t="s">
        <v>22334</v>
      </c>
      <c r="C18832" t="s">
        <v>2537</v>
      </c>
      <c r="D18832" s="254">
        <v>8.0299999999999994</v>
      </c>
      <c r="E18832"/>
      <c r="F18832"/>
      <c r="G18832"/>
      <c r="H18832"/>
      <c r="I18832" s="489"/>
      <c r="J18832" s="1362"/>
      <c r="K18832" s="1362"/>
      <c r="L18832" s="1362"/>
    </row>
    <row r="18833" spans="1:12" x14ac:dyDescent="0.25">
      <c r="A18833">
        <v>3520</v>
      </c>
      <c r="B18833" t="s">
        <v>22335</v>
      </c>
      <c r="C18833" t="s">
        <v>2537</v>
      </c>
      <c r="D18833" s="254">
        <v>9</v>
      </c>
      <c r="E18833"/>
      <c r="F18833"/>
      <c r="G18833"/>
      <c r="H18833"/>
      <c r="I18833" s="489"/>
      <c r="J18833" s="1362"/>
      <c r="K18833" s="1362"/>
      <c r="L18833" s="1362"/>
    </row>
    <row r="18834" spans="1:12" x14ac:dyDescent="0.25">
      <c r="A18834">
        <v>37950</v>
      </c>
      <c r="B18834" t="s">
        <v>22336</v>
      </c>
      <c r="C18834" t="s">
        <v>2537</v>
      </c>
      <c r="D18834" s="254">
        <v>55.48</v>
      </c>
      <c r="E18834"/>
      <c r="F18834"/>
      <c r="G18834"/>
      <c r="H18834"/>
      <c r="I18834" s="489"/>
      <c r="J18834" s="1362"/>
      <c r="K18834" s="1362"/>
      <c r="L18834" s="1362"/>
    </row>
    <row r="18835" spans="1:12" x14ac:dyDescent="0.25">
      <c r="A18835">
        <v>37949</v>
      </c>
      <c r="B18835" t="s">
        <v>22337</v>
      </c>
      <c r="C18835" t="s">
        <v>2537</v>
      </c>
      <c r="D18835" s="254">
        <v>2.0299999999999998</v>
      </c>
      <c r="E18835"/>
      <c r="F18835"/>
      <c r="G18835"/>
      <c r="H18835"/>
      <c r="I18835" s="489"/>
      <c r="J18835" s="1362"/>
      <c r="K18835" s="1362"/>
      <c r="L18835" s="1362"/>
    </row>
    <row r="18836" spans="1:12" x14ac:dyDescent="0.25">
      <c r="A18836">
        <v>3526</v>
      </c>
      <c r="B18836" t="s">
        <v>22338</v>
      </c>
      <c r="C18836" t="s">
        <v>2537</v>
      </c>
      <c r="D18836" s="254">
        <v>2.72</v>
      </c>
      <c r="E18836"/>
      <c r="F18836"/>
      <c r="G18836"/>
      <c r="H18836"/>
      <c r="I18836" s="489"/>
      <c r="J18836" s="1362"/>
      <c r="K18836" s="1362"/>
      <c r="L18836" s="1362"/>
    </row>
    <row r="18837" spans="1:12" x14ac:dyDescent="0.25">
      <c r="A18837">
        <v>3509</v>
      </c>
      <c r="B18837" t="s">
        <v>22339</v>
      </c>
      <c r="C18837" t="s">
        <v>2537</v>
      </c>
      <c r="D18837" s="254">
        <v>7.08</v>
      </c>
      <c r="E18837"/>
      <c r="F18837"/>
      <c r="G18837"/>
      <c r="H18837"/>
      <c r="I18837" s="489"/>
      <c r="J18837" s="1362"/>
      <c r="K18837" s="1362"/>
      <c r="L18837" s="1362"/>
    </row>
    <row r="18838" spans="1:12" x14ac:dyDescent="0.25">
      <c r="A18838">
        <v>3530</v>
      </c>
      <c r="B18838" t="s">
        <v>22340</v>
      </c>
      <c r="C18838" t="s">
        <v>2537</v>
      </c>
      <c r="D18838" s="254">
        <v>288.99</v>
      </c>
      <c r="E18838"/>
      <c r="F18838"/>
      <c r="G18838"/>
      <c r="H18838"/>
      <c r="I18838" s="489"/>
      <c r="J18838" s="1362"/>
      <c r="K18838" s="1362"/>
      <c r="L18838" s="1362"/>
    </row>
    <row r="18839" spans="1:12" x14ac:dyDescent="0.25">
      <c r="A18839">
        <v>3542</v>
      </c>
      <c r="B18839" t="s">
        <v>22341</v>
      </c>
      <c r="C18839" t="s">
        <v>2537</v>
      </c>
      <c r="D18839" s="254">
        <v>0.67</v>
      </c>
      <c r="E18839"/>
      <c r="F18839"/>
      <c r="G18839"/>
      <c r="H18839"/>
      <c r="I18839" s="489"/>
      <c r="J18839" s="1362"/>
      <c r="K18839" s="1362"/>
      <c r="L18839" s="1362"/>
    </row>
    <row r="18840" spans="1:12" x14ac:dyDescent="0.25">
      <c r="A18840">
        <v>3529</v>
      </c>
      <c r="B18840" t="s">
        <v>22342</v>
      </c>
      <c r="C18840" t="s">
        <v>2537</v>
      </c>
      <c r="D18840" s="254">
        <v>0.93</v>
      </c>
      <c r="E18840"/>
      <c r="F18840"/>
      <c r="G18840"/>
      <c r="H18840"/>
      <c r="I18840" s="489"/>
      <c r="J18840" s="1362"/>
      <c r="K18840" s="1362"/>
      <c r="L18840" s="1362"/>
    </row>
    <row r="18841" spans="1:12" x14ac:dyDescent="0.25">
      <c r="A18841">
        <v>3536</v>
      </c>
      <c r="B18841" t="s">
        <v>22343</v>
      </c>
      <c r="C18841" t="s">
        <v>2537</v>
      </c>
      <c r="D18841" s="254">
        <v>2.77</v>
      </c>
      <c r="E18841"/>
      <c r="F18841"/>
      <c r="G18841"/>
      <c r="H18841"/>
      <c r="I18841" s="489"/>
      <c r="J18841" s="1362"/>
      <c r="K18841" s="1362"/>
      <c r="L18841" s="1362"/>
    </row>
    <row r="18842" spans="1:12" x14ac:dyDescent="0.25">
      <c r="A18842">
        <v>3535</v>
      </c>
      <c r="B18842" t="s">
        <v>22344</v>
      </c>
      <c r="C18842" t="s">
        <v>2537</v>
      </c>
      <c r="D18842" s="254">
        <v>6.56</v>
      </c>
      <c r="E18842"/>
      <c r="F18842"/>
      <c r="G18842"/>
      <c r="H18842"/>
      <c r="I18842" s="489"/>
      <c r="J18842" s="1362"/>
      <c r="K18842" s="1362"/>
      <c r="L18842" s="1362"/>
    </row>
    <row r="18843" spans="1:12" x14ac:dyDescent="0.25">
      <c r="A18843">
        <v>3540</v>
      </c>
      <c r="B18843" t="s">
        <v>22345</v>
      </c>
      <c r="C18843" t="s">
        <v>2537</v>
      </c>
      <c r="D18843" s="254">
        <v>7.1</v>
      </c>
      <c r="E18843"/>
      <c r="F18843"/>
      <c r="G18843"/>
      <c r="H18843"/>
      <c r="I18843" s="489"/>
      <c r="J18843" s="1362"/>
      <c r="K18843" s="1362"/>
      <c r="L18843" s="1362"/>
    </row>
    <row r="18844" spans="1:12" x14ac:dyDescent="0.25">
      <c r="A18844">
        <v>3539</v>
      </c>
      <c r="B18844" t="s">
        <v>22346</v>
      </c>
      <c r="C18844" t="s">
        <v>2537</v>
      </c>
      <c r="D18844" s="254">
        <v>30.83</v>
      </c>
      <c r="E18844"/>
      <c r="F18844"/>
      <c r="G18844"/>
      <c r="H18844"/>
      <c r="I18844" s="489"/>
      <c r="J18844" s="1362"/>
      <c r="K18844" s="1362"/>
      <c r="L18844" s="1362"/>
    </row>
    <row r="18845" spans="1:12" x14ac:dyDescent="0.25">
      <c r="A18845">
        <v>3513</v>
      </c>
      <c r="B18845" t="s">
        <v>22347</v>
      </c>
      <c r="C18845" t="s">
        <v>2537</v>
      </c>
      <c r="D18845" s="254">
        <v>136.99</v>
      </c>
      <c r="E18845"/>
      <c r="F18845"/>
      <c r="G18845"/>
      <c r="H18845"/>
      <c r="I18845" s="489"/>
      <c r="J18845" s="1362"/>
      <c r="K18845" s="1362"/>
      <c r="L18845" s="1362"/>
    </row>
    <row r="18846" spans="1:12" x14ac:dyDescent="0.25">
      <c r="A18846">
        <v>3492</v>
      </c>
      <c r="B18846" t="s">
        <v>22348</v>
      </c>
      <c r="C18846" t="s">
        <v>2537</v>
      </c>
      <c r="D18846" s="254">
        <v>26.37</v>
      </c>
      <c r="E18846"/>
      <c r="F18846"/>
      <c r="G18846"/>
      <c r="H18846"/>
      <c r="I18846" s="489"/>
      <c r="J18846" s="1362"/>
      <c r="K18846" s="1362"/>
      <c r="L18846" s="1362"/>
    </row>
    <row r="18847" spans="1:12" x14ac:dyDescent="0.25">
      <c r="A18847">
        <v>3491</v>
      </c>
      <c r="B18847" t="s">
        <v>22349</v>
      </c>
      <c r="C18847" t="s">
        <v>2537</v>
      </c>
      <c r="D18847" s="254">
        <v>15.04</v>
      </c>
      <c r="E18847"/>
      <c r="F18847"/>
      <c r="G18847"/>
      <c r="H18847"/>
      <c r="I18847" s="489"/>
      <c r="J18847" s="1362"/>
      <c r="K18847" s="1362"/>
      <c r="L18847" s="1362"/>
    </row>
    <row r="18848" spans="1:12" x14ac:dyDescent="0.25">
      <c r="A18848">
        <v>3493</v>
      </c>
      <c r="B18848" t="s">
        <v>22350</v>
      </c>
      <c r="C18848" t="s">
        <v>2537</v>
      </c>
      <c r="D18848" s="254">
        <v>36.049999999999997</v>
      </c>
      <c r="E18848"/>
      <c r="F18848"/>
      <c r="G18848"/>
      <c r="H18848"/>
      <c r="I18848" s="489"/>
      <c r="J18848" s="1362"/>
      <c r="K18848" s="1362"/>
      <c r="L18848" s="1362"/>
    </row>
    <row r="18849" spans="1:12" x14ac:dyDescent="0.25">
      <c r="A18849">
        <v>12628</v>
      </c>
      <c r="B18849" t="s">
        <v>22351</v>
      </c>
      <c r="C18849" t="s">
        <v>2537</v>
      </c>
      <c r="D18849" s="254">
        <v>8.57</v>
      </c>
      <c r="E18849"/>
      <c r="F18849"/>
      <c r="G18849"/>
      <c r="H18849"/>
      <c r="I18849" s="489"/>
      <c r="J18849" s="1362"/>
      <c r="K18849" s="1362"/>
      <c r="L18849" s="1362"/>
    </row>
    <row r="18850" spans="1:12" x14ac:dyDescent="0.25">
      <c r="A18850">
        <v>12629</v>
      </c>
      <c r="B18850" t="s">
        <v>22352</v>
      </c>
      <c r="C18850" t="s">
        <v>2537</v>
      </c>
      <c r="D18850" s="254">
        <v>9.3000000000000007</v>
      </c>
      <c r="E18850"/>
      <c r="F18850"/>
      <c r="G18850"/>
      <c r="H18850"/>
      <c r="I18850" s="489"/>
      <c r="J18850" s="1362"/>
      <c r="K18850" s="1362"/>
      <c r="L18850" s="1362"/>
    </row>
    <row r="18851" spans="1:12" x14ac:dyDescent="0.25">
      <c r="A18851">
        <v>3481</v>
      </c>
      <c r="B18851" t="s">
        <v>22353</v>
      </c>
      <c r="C18851" t="s">
        <v>2537</v>
      </c>
      <c r="D18851" s="254">
        <v>18.260000000000002</v>
      </c>
      <c r="E18851"/>
      <c r="F18851"/>
      <c r="G18851"/>
      <c r="H18851"/>
      <c r="I18851" s="489"/>
      <c r="J18851" s="1362"/>
      <c r="K18851" s="1362"/>
      <c r="L18851" s="1362"/>
    </row>
    <row r="18852" spans="1:12" x14ac:dyDescent="0.25">
      <c r="A18852">
        <v>3510</v>
      </c>
      <c r="B18852" t="s">
        <v>22354</v>
      </c>
      <c r="C18852" t="s">
        <v>2537</v>
      </c>
      <c r="D18852" s="254">
        <v>17.07</v>
      </c>
      <c r="E18852"/>
      <c r="F18852"/>
      <c r="G18852"/>
      <c r="H18852"/>
      <c r="I18852" s="489"/>
      <c r="J18852" s="1362"/>
      <c r="K18852" s="1362"/>
      <c r="L18852" s="1362"/>
    </row>
    <row r="18853" spans="1:12" x14ac:dyDescent="0.25">
      <c r="A18853">
        <v>3508</v>
      </c>
      <c r="B18853" t="s">
        <v>22355</v>
      </c>
      <c r="C18853" t="s">
        <v>2537</v>
      </c>
      <c r="D18853" s="254">
        <v>44.62</v>
      </c>
      <c r="E18853"/>
      <c r="F18853"/>
      <c r="G18853"/>
      <c r="H18853"/>
      <c r="I18853" s="489"/>
      <c r="J18853" s="1362"/>
      <c r="K18853" s="1362"/>
      <c r="L18853" s="1362"/>
    </row>
    <row r="18854" spans="1:12" x14ac:dyDescent="0.25">
      <c r="A18854">
        <v>38939</v>
      </c>
      <c r="B18854" t="s">
        <v>22356</v>
      </c>
      <c r="C18854" t="s">
        <v>2537</v>
      </c>
      <c r="D18854" s="254">
        <v>14.13</v>
      </c>
      <c r="E18854"/>
      <c r="F18854"/>
      <c r="G18854"/>
      <c r="H18854"/>
      <c r="I18854" s="489"/>
      <c r="J18854" s="1362"/>
      <c r="K18854" s="1362"/>
      <c r="L18854" s="1362"/>
    </row>
    <row r="18855" spans="1:12" x14ac:dyDescent="0.25">
      <c r="A18855">
        <v>38940</v>
      </c>
      <c r="B18855" t="s">
        <v>22357</v>
      </c>
      <c r="C18855" t="s">
        <v>2537</v>
      </c>
      <c r="D18855" s="254">
        <v>21.58</v>
      </c>
      <c r="E18855"/>
      <c r="F18855"/>
      <c r="G18855"/>
      <c r="H18855"/>
      <c r="I18855" s="489"/>
      <c r="J18855" s="1362"/>
      <c r="K18855" s="1362"/>
      <c r="L18855" s="1362"/>
    </row>
    <row r="18856" spans="1:12" x14ac:dyDescent="0.25">
      <c r="A18856">
        <v>38941</v>
      </c>
      <c r="B18856" t="s">
        <v>22358</v>
      </c>
      <c r="C18856" t="s">
        <v>2537</v>
      </c>
      <c r="D18856" s="254">
        <v>25.49</v>
      </c>
      <c r="E18856"/>
      <c r="F18856"/>
      <c r="G18856"/>
      <c r="H18856"/>
      <c r="I18856" s="489"/>
      <c r="J18856" s="1362"/>
      <c r="K18856" s="1362"/>
      <c r="L18856" s="1362"/>
    </row>
    <row r="18857" spans="1:12" x14ac:dyDescent="0.25">
      <c r="A18857">
        <v>38942</v>
      </c>
      <c r="B18857" t="s">
        <v>22359</v>
      </c>
      <c r="C18857" t="s">
        <v>2537</v>
      </c>
      <c r="D18857" s="254">
        <v>28.55</v>
      </c>
      <c r="E18857"/>
      <c r="F18857"/>
      <c r="G18857"/>
      <c r="H18857"/>
      <c r="I18857" s="489"/>
      <c r="J18857" s="1362"/>
      <c r="K18857" s="1362"/>
      <c r="L18857" s="1362"/>
    </row>
    <row r="18858" spans="1:12" x14ac:dyDescent="0.25">
      <c r="A18858">
        <v>38987</v>
      </c>
      <c r="B18858" t="s">
        <v>22360</v>
      </c>
      <c r="C18858" t="s">
        <v>2537</v>
      </c>
      <c r="D18858" s="254">
        <v>8.7799999999999994</v>
      </c>
      <c r="E18858"/>
      <c r="F18858"/>
      <c r="G18858"/>
      <c r="H18858"/>
      <c r="I18858" s="489"/>
      <c r="J18858" s="1362"/>
      <c r="K18858" s="1362"/>
      <c r="L18858" s="1362"/>
    </row>
    <row r="18859" spans="1:12" x14ac:dyDescent="0.25">
      <c r="A18859">
        <v>38988</v>
      </c>
      <c r="B18859" t="s">
        <v>22361</v>
      </c>
      <c r="C18859" t="s">
        <v>2537</v>
      </c>
      <c r="D18859" s="254">
        <v>20.39</v>
      </c>
      <c r="E18859"/>
      <c r="F18859"/>
      <c r="G18859"/>
      <c r="H18859"/>
      <c r="I18859" s="489"/>
      <c r="J18859" s="1362"/>
      <c r="K18859" s="1362"/>
      <c r="L18859" s="1362"/>
    </row>
    <row r="18860" spans="1:12" x14ac:dyDescent="0.25">
      <c r="A18860">
        <v>38989</v>
      </c>
      <c r="B18860" t="s">
        <v>22362</v>
      </c>
      <c r="C18860" t="s">
        <v>2537</v>
      </c>
      <c r="D18860" s="254">
        <v>27.09</v>
      </c>
      <c r="E18860"/>
      <c r="F18860"/>
      <c r="G18860"/>
      <c r="H18860"/>
      <c r="I18860" s="489"/>
      <c r="J18860" s="1362"/>
      <c r="K18860" s="1362"/>
      <c r="L18860" s="1362"/>
    </row>
    <row r="18861" spans="1:12" x14ac:dyDescent="0.25">
      <c r="A18861">
        <v>38990</v>
      </c>
      <c r="B18861" t="s">
        <v>22363</v>
      </c>
      <c r="C18861" t="s">
        <v>2537</v>
      </c>
      <c r="D18861" s="254">
        <v>71.41</v>
      </c>
      <c r="E18861"/>
      <c r="F18861"/>
      <c r="G18861"/>
      <c r="H18861"/>
      <c r="I18861" s="489"/>
      <c r="J18861" s="1362"/>
      <c r="K18861" s="1362"/>
      <c r="L18861" s="1362"/>
    </row>
    <row r="18862" spans="1:12" x14ac:dyDescent="0.25">
      <c r="A18862">
        <v>38991</v>
      </c>
      <c r="B18862" t="s">
        <v>22364</v>
      </c>
      <c r="C18862" t="s">
        <v>2537</v>
      </c>
      <c r="D18862" s="254">
        <v>144.28</v>
      </c>
      <c r="E18862"/>
      <c r="F18862"/>
      <c r="G18862"/>
      <c r="H18862"/>
      <c r="I18862" s="489"/>
      <c r="J18862" s="1362"/>
      <c r="K18862" s="1362"/>
      <c r="L18862" s="1362"/>
    </row>
    <row r="18863" spans="1:12" x14ac:dyDescent="0.25">
      <c r="A18863">
        <v>38913</v>
      </c>
      <c r="B18863" t="s">
        <v>22365</v>
      </c>
      <c r="C18863" t="s">
        <v>2537</v>
      </c>
      <c r="D18863" s="254">
        <v>13.11</v>
      </c>
      <c r="E18863"/>
      <c r="F18863"/>
      <c r="G18863"/>
      <c r="H18863"/>
      <c r="I18863" s="489"/>
      <c r="J18863" s="1362"/>
      <c r="K18863" s="1362"/>
      <c r="L18863" s="1362"/>
    </row>
    <row r="18864" spans="1:12" x14ac:dyDescent="0.25">
      <c r="A18864">
        <v>38914</v>
      </c>
      <c r="B18864" t="s">
        <v>22366</v>
      </c>
      <c r="C18864" t="s">
        <v>2537</v>
      </c>
      <c r="D18864" s="254">
        <v>15.21</v>
      </c>
      <c r="E18864"/>
      <c r="F18864"/>
      <c r="G18864"/>
      <c r="H18864"/>
      <c r="I18864" s="489"/>
      <c r="J18864" s="1362"/>
      <c r="K18864" s="1362"/>
      <c r="L18864" s="1362"/>
    </row>
    <row r="18865" spans="1:12" x14ac:dyDescent="0.25">
      <c r="A18865">
        <v>38915</v>
      </c>
      <c r="B18865" t="s">
        <v>22367</v>
      </c>
      <c r="C18865" t="s">
        <v>2537</v>
      </c>
      <c r="D18865" s="254">
        <v>26.41</v>
      </c>
      <c r="E18865"/>
      <c r="F18865"/>
      <c r="G18865"/>
      <c r="H18865"/>
      <c r="I18865" s="489"/>
      <c r="J18865" s="1362"/>
      <c r="K18865" s="1362"/>
      <c r="L18865" s="1362"/>
    </row>
    <row r="18866" spans="1:12" x14ac:dyDescent="0.25">
      <c r="A18866">
        <v>38916</v>
      </c>
      <c r="B18866" t="s">
        <v>22368</v>
      </c>
      <c r="C18866" t="s">
        <v>2537</v>
      </c>
      <c r="D18866" s="254">
        <v>34.840000000000003</v>
      </c>
      <c r="E18866"/>
      <c r="F18866"/>
      <c r="G18866"/>
      <c r="H18866"/>
      <c r="I18866" s="489"/>
      <c r="J18866" s="1362"/>
      <c r="K18866" s="1362"/>
      <c r="L18866" s="1362"/>
    </row>
    <row r="18867" spans="1:12" x14ac:dyDescent="0.25">
      <c r="A18867">
        <v>39300</v>
      </c>
      <c r="B18867" t="s">
        <v>22369</v>
      </c>
      <c r="C18867" t="s">
        <v>2537</v>
      </c>
      <c r="D18867" s="254">
        <v>11.85</v>
      </c>
      <c r="E18867"/>
      <c r="F18867"/>
      <c r="G18867"/>
      <c r="H18867"/>
      <c r="I18867" s="489"/>
      <c r="J18867" s="1362"/>
      <c r="K18867" s="1362"/>
      <c r="L18867" s="1362"/>
    </row>
    <row r="18868" spans="1:12" x14ac:dyDescent="0.25">
      <c r="A18868">
        <v>39301</v>
      </c>
      <c r="B18868" t="s">
        <v>22370</v>
      </c>
      <c r="C18868" t="s">
        <v>2537</v>
      </c>
      <c r="D18868" s="254">
        <v>16.440000000000001</v>
      </c>
      <c r="E18868"/>
      <c r="F18868"/>
      <c r="G18868"/>
      <c r="H18868"/>
      <c r="I18868" s="489"/>
      <c r="J18868" s="1362"/>
      <c r="K18868" s="1362"/>
      <c r="L18868" s="1362"/>
    </row>
    <row r="18869" spans="1:12" x14ac:dyDescent="0.25">
      <c r="A18869">
        <v>39302</v>
      </c>
      <c r="B18869" t="s">
        <v>22371</v>
      </c>
      <c r="C18869" t="s">
        <v>2537</v>
      </c>
      <c r="D18869" s="254">
        <v>20.65</v>
      </c>
      <c r="E18869"/>
      <c r="F18869"/>
      <c r="G18869"/>
      <c r="H18869"/>
      <c r="I18869" s="489"/>
      <c r="J18869" s="1362"/>
      <c r="K18869" s="1362"/>
      <c r="L18869" s="1362"/>
    </row>
    <row r="18870" spans="1:12" x14ac:dyDescent="0.25">
      <c r="A18870">
        <v>39303</v>
      </c>
      <c r="B18870" t="s">
        <v>22372</v>
      </c>
      <c r="C18870" t="s">
        <v>2537</v>
      </c>
      <c r="D18870" s="254">
        <v>36.32</v>
      </c>
      <c r="E18870"/>
      <c r="F18870"/>
      <c r="G18870"/>
      <c r="H18870"/>
      <c r="I18870" s="489"/>
      <c r="J18870" s="1362"/>
      <c r="K18870" s="1362"/>
      <c r="L18870" s="1362"/>
    </row>
    <row r="18871" spans="1:12" x14ac:dyDescent="0.25">
      <c r="A18871">
        <v>38923</v>
      </c>
      <c r="B18871" t="s">
        <v>22373</v>
      </c>
      <c r="C18871" t="s">
        <v>2537</v>
      </c>
      <c r="D18871" s="254">
        <v>11.57</v>
      </c>
      <c r="E18871"/>
      <c r="F18871"/>
      <c r="G18871"/>
      <c r="H18871"/>
      <c r="I18871" s="489"/>
      <c r="J18871" s="1362"/>
      <c r="K18871" s="1362"/>
      <c r="L18871" s="1362"/>
    </row>
    <row r="18872" spans="1:12" x14ac:dyDescent="0.25">
      <c r="A18872">
        <v>38925</v>
      </c>
      <c r="B18872" t="s">
        <v>22374</v>
      </c>
      <c r="C18872" t="s">
        <v>2537</v>
      </c>
      <c r="D18872" s="254">
        <v>12.43</v>
      </c>
      <c r="E18872"/>
      <c r="F18872"/>
      <c r="G18872"/>
      <c r="H18872"/>
      <c r="I18872" s="489"/>
      <c r="J18872" s="1362"/>
      <c r="K18872" s="1362"/>
      <c r="L18872" s="1362"/>
    </row>
    <row r="18873" spans="1:12" x14ac:dyDescent="0.25">
      <c r="A18873">
        <v>38926</v>
      </c>
      <c r="B18873" t="s">
        <v>22375</v>
      </c>
      <c r="C18873" t="s">
        <v>2537</v>
      </c>
      <c r="D18873" s="254">
        <v>17.75</v>
      </c>
      <c r="E18873"/>
      <c r="F18873"/>
      <c r="G18873"/>
      <c r="H18873"/>
      <c r="I18873" s="489"/>
      <c r="J18873" s="1362"/>
      <c r="K18873" s="1362"/>
      <c r="L18873" s="1362"/>
    </row>
    <row r="18874" spans="1:12" x14ac:dyDescent="0.25">
      <c r="A18874">
        <v>38927</v>
      </c>
      <c r="B18874" t="s">
        <v>22376</v>
      </c>
      <c r="C18874" t="s">
        <v>2537</v>
      </c>
      <c r="D18874" s="254">
        <v>18.989999999999998</v>
      </c>
      <c r="E18874"/>
      <c r="F18874"/>
      <c r="G18874"/>
      <c r="H18874"/>
      <c r="I18874" s="489"/>
      <c r="J18874" s="1362"/>
      <c r="K18874" s="1362"/>
      <c r="L18874" s="1362"/>
    </row>
    <row r="18875" spans="1:12" x14ac:dyDescent="0.25">
      <c r="A18875">
        <v>39304</v>
      </c>
      <c r="B18875" t="s">
        <v>22377</v>
      </c>
      <c r="C18875" t="s">
        <v>2537</v>
      </c>
      <c r="D18875" s="254">
        <v>14.63</v>
      </c>
      <c r="E18875"/>
      <c r="F18875"/>
      <c r="G18875"/>
      <c r="H18875"/>
      <c r="I18875" s="489"/>
      <c r="J18875" s="1362"/>
      <c r="K18875" s="1362"/>
      <c r="L18875" s="1362"/>
    </row>
    <row r="18876" spans="1:12" x14ac:dyDescent="0.25">
      <c r="A18876">
        <v>38924</v>
      </c>
      <c r="B18876" t="s">
        <v>22378</v>
      </c>
      <c r="C18876" t="s">
        <v>2537</v>
      </c>
      <c r="D18876" s="254">
        <v>20.85</v>
      </c>
      <c r="E18876"/>
      <c r="F18876"/>
      <c r="G18876"/>
      <c r="H18876"/>
      <c r="I18876" s="489"/>
      <c r="J18876" s="1362"/>
      <c r="K18876" s="1362"/>
      <c r="L18876" s="1362"/>
    </row>
    <row r="18877" spans="1:12" x14ac:dyDescent="0.25">
      <c r="A18877">
        <v>39305</v>
      </c>
      <c r="B18877" t="s">
        <v>22379</v>
      </c>
      <c r="C18877" t="s">
        <v>2537</v>
      </c>
      <c r="D18877" s="254">
        <v>19.149999999999999</v>
      </c>
      <c r="E18877"/>
      <c r="F18877"/>
      <c r="G18877"/>
      <c r="H18877"/>
      <c r="I18877" s="489"/>
      <c r="J18877" s="1362"/>
      <c r="K18877" s="1362"/>
      <c r="L18877" s="1362"/>
    </row>
    <row r="18878" spans="1:12" x14ac:dyDescent="0.25">
      <c r="A18878">
        <v>39306</v>
      </c>
      <c r="B18878" t="s">
        <v>22380</v>
      </c>
      <c r="C18878" t="s">
        <v>2537</v>
      </c>
      <c r="D18878" s="254">
        <v>23.96</v>
      </c>
      <c r="E18878"/>
      <c r="F18878"/>
      <c r="G18878"/>
      <c r="H18878"/>
      <c r="I18878" s="489"/>
      <c r="J18878" s="1362"/>
      <c r="K18878" s="1362"/>
      <c r="L18878" s="1362"/>
    </row>
    <row r="18879" spans="1:12" x14ac:dyDescent="0.25">
      <c r="A18879">
        <v>38928</v>
      </c>
      <c r="B18879" t="s">
        <v>22381</v>
      </c>
      <c r="C18879" t="s">
        <v>2537</v>
      </c>
      <c r="D18879" s="254">
        <v>21.05</v>
      </c>
      <c r="E18879"/>
      <c r="F18879"/>
      <c r="G18879"/>
      <c r="H18879"/>
      <c r="I18879" s="489"/>
      <c r="J18879" s="1362"/>
      <c r="K18879" s="1362"/>
      <c r="L18879" s="1362"/>
    </row>
    <row r="18880" spans="1:12" x14ac:dyDescent="0.25">
      <c r="A18880">
        <v>38929</v>
      </c>
      <c r="B18880" t="s">
        <v>22382</v>
      </c>
      <c r="C18880" t="s">
        <v>2537</v>
      </c>
      <c r="D18880" s="254">
        <v>37.32</v>
      </c>
      <c r="E18880"/>
      <c r="F18880"/>
      <c r="G18880"/>
      <c r="H18880"/>
      <c r="I18880" s="489"/>
      <c r="J18880" s="1362"/>
      <c r="K18880" s="1362"/>
      <c r="L18880" s="1362"/>
    </row>
    <row r="18881" spans="1:12" x14ac:dyDescent="0.25">
      <c r="A18881">
        <v>39307</v>
      </c>
      <c r="B18881" t="s">
        <v>22383</v>
      </c>
      <c r="C18881" t="s">
        <v>2537</v>
      </c>
      <c r="D18881" s="254">
        <v>27.58</v>
      </c>
      <c r="E18881"/>
      <c r="F18881"/>
      <c r="G18881"/>
      <c r="H18881"/>
      <c r="I18881" s="489"/>
      <c r="J18881" s="1362"/>
      <c r="K18881" s="1362"/>
      <c r="L18881" s="1362"/>
    </row>
    <row r="18882" spans="1:12" x14ac:dyDescent="0.25">
      <c r="A18882">
        <v>38930</v>
      </c>
      <c r="B18882" t="s">
        <v>22384</v>
      </c>
      <c r="C18882" t="s">
        <v>2537</v>
      </c>
      <c r="D18882" s="254">
        <v>46.88</v>
      </c>
      <c r="E18882"/>
      <c r="F18882"/>
      <c r="G18882"/>
      <c r="H18882"/>
      <c r="I18882" s="489"/>
      <c r="J18882" s="1362"/>
      <c r="K18882" s="1362"/>
      <c r="L18882" s="1362"/>
    </row>
    <row r="18883" spans="1:12" x14ac:dyDescent="0.25">
      <c r="A18883">
        <v>38931</v>
      </c>
      <c r="B18883" t="s">
        <v>22385</v>
      </c>
      <c r="C18883" t="s">
        <v>2537</v>
      </c>
      <c r="D18883" s="254">
        <v>11.8</v>
      </c>
      <c r="E18883"/>
      <c r="F18883"/>
      <c r="G18883"/>
      <c r="H18883"/>
      <c r="I18883" s="489"/>
      <c r="J18883" s="1362"/>
      <c r="K18883" s="1362"/>
      <c r="L18883" s="1362"/>
    </row>
    <row r="18884" spans="1:12" x14ac:dyDescent="0.25">
      <c r="A18884">
        <v>38932</v>
      </c>
      <c r="B18884" t="s">
        <v>22386</v>
      </c>
      <c r="C18884" t="s">
        <v>2537</v>
      </c>
      <c r="D18884" s="254">
        <v>11.92</v>
      </c>
      <c r="E18884"/>
      <c r="F18884"/>
      <c r="G18884"/>
      <c r="H18884"/>
      <c r="I18884" s="489"/>
      <c r="J18884" s="1362"/>
      <c r="K18884" s="1362"/>
      <c r="L18884" s="1362"/>
    </row>
    <row r="18885" spans="1:12" x14ac:dyDescent="0.25">
      <c r="A18885">
        <v>38934</v>
      </c>
      <c r="B18885" t="s">
        <v>22387</v>
      </c>
      <c r="C18885" t="s">
        <v>2537</v>
      </c>
      <c r="D18885" s="254">
        <v>17.62</v>
      </c>
      <c r="E18885"/>
      <c r="F18885"/>
      <c r="G18885"/>
      <c r="H18885"/>
      <c r="I18885" s="489"/>
      <c r="J18885" s="1362"/>
      <c r="K18885" s="1362"/>
      <c r="L18885" s="1362"/>
    </row>
    <row r="18886" spans="1:12" x14ac:dyDescent="0.25">
      <c r="A18886">
        <v>38935</v>
      </c>
      <c r="B18886" t="s">
        <v>22388</v>
      </c>
      <c r="C18886" t="s">
        <v>2537</v>
      </c>
      <c r="D18886" s="254">
        <v>18.850000000000001</v>
      </c>
      <c r="E18886"/>
      <c r="F18886"/>
      <c r="G18886"/>
      <c r="H18886"/>
      <c r="I18886" s="489"/>
      <c r="J18886" s="1362"/>
      <c r="K18886" s="1362"/>
      <c r="L18886" s="1362"/>
    </row>
    <row r="18887" spans="1:12" x14ac:dyDescent="0.25">
      <c r="A18887">
        <v>38936</v>
      </c>
      <c r="B18887" t="s">
        <v>22389</v>
      </c>
      <c r="C18887" t="s">
        <v>2537</v>
      </c>
      <c r="D18887" s="254">
        <v>20.190000000000001</v>
      </c>
      <c r="E18887"/>
      <c r="F18887"/>
      <c r="G18887"/>
      <c r="H18887"/>
      <c r="I18887" s="489"/>
      <c r="J18887" s="1362"/>
      <c r="K18887" s="1362"/>
      <c r="L18887" s="1362"/>
    </row>
    <row r="18888" spans="1:12" x14ac:dyDescent="0.25">
      <c r="A18888">
        <v>38937</v>
      </c>
      <c r="B18888" t="s">
        <v>22390</v>
      </c>
      <c r="C18888" t="s">
        <v>2537</v>
      </c>
      <c r="D18888" s="254">
        <v>24.61</v>
      </c>
      <c r="E18888"/>
      <c r="F18888"/>
      <c r="G18888"/>
      <c r="H18888"/>
      <c r="I18888" s="489"/>
      <c r="J18888" s="1362"/>
      <c r="K18888" s="1362"/>
      <c r="L18888" s="1362"/>
    </row>
    <row r="18889" spans="1:12" x14ac:dyDescent="0.25">
      <c r="A18889">
        <v>38938</v>
      </c>
      <c r="B18889" t="s">
        <v>22391</v>
      </c>
      <c r="C18889" t="s">
        <v>2537</v>
      </c>
      <c r="D18889" s="254">
        <v>36.590000000000003</v>
      </c>
      <c r="E18889"/>
      <c r="F18889"/>
      <c r="G18889"/>
      <c r="H18889"/>
      <c r="I18889" s="489"/>
      <c r="J18889" s="1362"/>
      <c r="K18889" s="1362"/>
      <c r="L18889" s="1362"/>
    </row>
    <row r="18890" spans="1:12" x14ac:dyDescent="0.25">
      <c r="A18890">
        <v>3489</v>
      </c>
      <c r="B18890" t="s">
        <v>22392</v>
      </c>
      <c r="C18890" t="s">
        <v>2537</v>
      </c>
      <c r="D18890" s="254">
        <v>16.87</v>
      </c>
      <c r="E18890"/>
      <c r="F18890"/>
      <c r="G18890"/>
      <c r="H18890"/>
      <c r="I18890" s="489"/>
      <c r="J18890" s="1362"/>
      <c r="K18890" s="1362"/>
      <c r="L18890" s="1362"/>
    </row>
    <row r="18891" spans="1:12" x14ac:dyDescent="0.25">
      <c r="A18891">
        <v>20151</v>
      </c>
      <c r="B18891" t="s">
        <v>22393</v>
      </c>
      <c r="C18891" t="s">
        <v>2537</v>
      </c>
      <c r="D18891" s="254">
        <v>24.99</v>
      </c>
      <c r="E18891"/>
      <c r="F18891"/>
      <c r="G18891"/>
      <c r="H18891"/>
      <c r="I18891" s="489"/>
      <c r="J18891" s="1362"/>
      <c r="K18891" s="1362"/>
      <c r="L18891" s="1362"/>
    </row>
    <row r="18892" spans="1:12" x14ac:dyDescent="0.25">
      <c r="A18892">
        <v>20152</v>
      </c>
      <c r="B18892" t="s">
        <v>22394</v>
      </c>
      <c r="C18892" t="s">
        <v>2537</v>
      </c>
      <c r="D18892" s="254">
        <v>86.94</v>
      </c>
      <c r="E18892"/>
      <c r="F18892"/>
      <c r="G18892"/>
      <c r="H18892"/>
      <c r="I18892" s="489"/>
      <c r="J18892" s="1362"/>
      <c r="K18892" s="1362"/>
      <c r="L18892" s="1362"/>
    </row>
    <row r="18893" spans="1:12" x14ac:dyDescent="0.25">
      <c r="A18893">
        <v>20148</v>
      </c>
      <c r="B18893" t="s">
        <v>22395</v>
      </c>
      <c r="C18893" t="s">
        <v>2537</v>
      </c>
      <c r="D18893" s="254">
        <v>4.97</v>
      </c>
      <c r="E18893"/>
      <c r="F18893"/>
      <c r="G18893"/>
      <c r="H18893"/>
      <c r="I18893" s="489"/>
      <c r="J18893" s="1362"/>
      <c r="K18893" s="1362"/>
      <c r="L18893" s="1362"/>
    </row>
    <row r="18894" spans="1:12" x14ac:dyDescent="0.25">
      <c r="A18894">
        <v>20149</v>
      </c>
      <c r="B18894" t="s">
        <v>22396</v>
      </c>
      <c r="C18894" t="s">
        <v>2537</v>
      </c>
      <c r="D18894" s="254">
        <v>7.69</v>
      </c>
      <c r="E18894"/>
      <c r="F18894"/>
      <c r="G18894"/>
      <c r="H18894"/>
      <c r="I18894" s="489"/>
      <c r="J18894" s="1362"/>
      <c r="K18894" s="1362"/>
      <c r="L18894" s="1362"/>
    </row>
    <row r="18895" spans="1:12" x14ac:dyDescent="0.25">
      <c r="A18895">
        <v>20150</v>
      </c>
      <c r="B18895" t="s">
        <v>22397</v>
      </c>
      <c r="C18895" t="s">
        <v>2537</v>
      </c>
      <c r="D18895" s="254">
        <v>17.940000000000001</v>
      </c>
      <c r="E18895"/>
      <c r="F18895"/>
      <c r="G18895"/>
      <c r="H18895"/>
      <c r="I18895" s="489"/>
      <c r="J18895" s="1362"/>
      <c r="K18895" s="1362"/>
      <c r="L18895" s="1362"/>
    </row>
    <row r="18896" spans="1:12" x14ac:dyDescent="0.25">
      <c r="A18896">
        <v>20157</v>
      </c>
      <c r="B18896" t="s">
        <v>22398</v>
      </c>
      <c r="C18896" t="s">
        <v>2537</v>
      </c>
      <c r="D18896" s="254">
        <v>33.71</v>
      </c>
      <c r="E18896"/>
      <c r="F18896"/>
      <c r="G18896"/>
      <c r="H18896"/>
      <c r="I18896" s="489"/>
      <c r="J18896" s="1362"/>
      <c r="K18896" s="1362"/>
      <c r="L18896" s="1362"/>
    </row>
    <row r="18897" spans="1:12" x14ac:dyDescent="0.25">
      <c r="A18897">
        <v>20158</v>
      </c>
      <c r="B18897" t="s">
        <v>22399</v>
      </c>
      <c r="C18897" t="s">
        <v>2537</v>
      </c>
      <c r="D18897" s="254">
        <v>112</v>
      </c>
      <c r="E18897"/>
      <c r="F18897"/>
      <c r="G18897"/>
      <c r="H18897"/>
      <c r="I18897" s="489"/>
      <c r="J18897" s="1362"/>
      <c r="K18897" s="1362"/>
      <c r="L18897" s="1362"/>
    </row>
    <row r="18898" spans="1:12" x14ac:dyDescent="0.25">
      <c r="A18898">
        <v>20154</v>
      </c>
      <c r="B18898" t="s">
        <v>22400</v>
      </c>
      <c r="C18898" t="s">
        <v>2537</v>
      </c>
      <c r="D18898" s="254">
        <v>6.39</v>
      </c>
      <c r="E18898"/>
      <c r="F18898"/>
      <c r="G18898"/>
      <c r="H18898"/>
      <c r="I18898" s="489"/>
      <c r="J18898" s="1362"/>
      <c r="K18898" s="1362"/>
      <c r="L18898" s="1362"/>
    </row>
    <row r="18899" spans="1:12" x14ac:dyDescent="0.25">
      <c r="A18899">
        <v>20155</v>
      </c>
      <c r="B18899" t="s">
        <v>22401</v>
      </c>
      <c r="C18899" t="s">
        <v>2537</v>
      </c>
      <c r="D18899" s="254">
        <v>9.56</v>
      </c>
      <c r="E18899"/>
      <c r="F18899"/>
      <c r="G18899"/>
      <c r="H18899"/>
      <c r="I18899" s="489"/>
      <c r="J18899" s="1362"/>
      <c r="K18899" s="1362"/>
      <c r="L18899" s="1362"/>
    </row>
    <row r="18900" spans="1:12" x14ac:dyDescent="0.25">
      <c r="A18900">
        <v>20156</v>
      </c>
      <c r="B18900" t="s">
        <v>22402</v>
      </c>
      <c r="C18900" t="s">
        <v>2537</v>
      </c>
      <c r="D18900" s="254">
        <v>21.52</v>
      </c>
      <c r="E18900"/>
      <c r="F18900"/>
      <c r="G18900"/>
      <c r="H18900"/>
      <c r="I18900" s="489"/>
      <c r="J18900" s="1362"/>
      <c r="K18900" s="1362"/>
      <c r="L18900" s="1362"/>
    </row>
    <row r="18901" spans="1:12" x14ac:dyDescent="0.25">
      <c r="A18901">
        <v>3512</v>
      </c>
      <c r="B18901" t="s">
        <v>22403</v>
      </c>
      <c r="C18901" t="s">
        <v>2537</v>
      </c>
      <c r="D18901" s="254">
        <v>264.29000000000002</v>
      </c>
      <c r="E18901"/>
      <c r="F18901"/>
      <c r="G18901"/>
      <c r="H18901"/>
      <c r="I18901" s="489"/>
      <c r="J18901" s="1362"/>
      <c r="K18901" s="1362"/>
      <c r="L18901" s="1362"/>
    </row>
    <row r="18902" spans="1:12" x14ac:dyDescent="0.25">
      <c r="A18902">
        <v>3499</v>
      </c>
      <c r="B18902" t="s">
        <v>22404</v>
      </c>
      <c r="C18902" t="s">
        <v>2537</v>
      </c>
      <c r="D18902" s="254">
        <v>1.1200000000000001</v>
      </c>
      <c r="E18902"/>
      <c r="F18902"/>
      <c r="G18902"/>
      <c r="H18902"/>
      <c r="I18902" s="489"/>
      <c r="J18902" s="1362"/>
      <c r="K18902" s="1362"/>
      <c r="L18902" s="1362"/>
    </row>
    <row r="18903" spans="1:12" x14ac:dyDescent="0.25">
      <c r="A18903">
        <v>3500</v>
      </c>
      <c r="B18903" t="s">
        <v>22405</v>
      </c>
      <c r="C18903" t="s">
        <v>2537</v>
      </c>
      <c r="D18903" s="254">
        <v>1.89</v>
      </c>
      <c r="E18903"/>
      <c r="F18903"/>
      <c r="G18903"/>
      <c r="H18903"/>
      <c r="I18903" s="489"/>
      <c r="J18903" s="1362"/>
      <c r="K18903" s="1362"/>
      <c r="L18903" s="1362"/>
    </row>
    <row r="18904" spans="1:12" x14ac:dyDescent="0.25">
      <c r="A18904">
        <v>3501</v>
      </c>
      <c r="B18904" t="s">
        <v>22406</v>
      </c>
      <c r="C18904" t="s">
        <v>2537</v>
      </c>
      <c r="D18904" s="254">
        <v>5.48</v>
      </c>
      <c r="E18904"/>
      <c r="F18904"/>
      <c r="G18904"/>
      <c r="H18904"/>
      <c r="I18904" s="489"/>
      <c r="J18904" s="1362"/>
      <c r="K18904" s="1362"/>
      <c r="L18904" s="1362"/>
    </row>
    <row r="18905" spans="1:12" x14ac:dyDescent="0.25">
      <c r="A18905">
        <v>3502</v>
      </c>
      <c r="B18905" t="s">
        <v>22407</v>
      </c>
      <c r="C18905" t="s">
        <v>2537</v>
      </c>
      <c r="D18905" s="254">
        <v>7.8</v>
      </c>
      <c r="E18905"/>
      <c r="F18905"/>
      <c r="G18905"/>
      <c r="H18905"/>
      <c r="I18905" s="489"/>
      <c r="J18905" s="1362"/>
      <c r="K18905" s="1362"/>
      <c r="L18905" s="1362"/>
    </row>
    <row r="18906" spans="1:12" x14ac:dyDescent="0.25">
      <c r="A18906">
        <v>3503</v>
      </c>
      <c r="B18906" t="s">
        <v>22408</v>
      </c>
      <c r="C18906" t="s">
        <v>2537</v>
      </c>
      <c r="D18906" s="254">
        <v>9.34</v>
      </c>
      <c r="E18906"/>
      <c r="F18906"/>
      <c r="G18906"/>
      <c r="H18906"/>
      <c r="I18906" s="489"/>
      <c r="J18906" s="1362"/>
      <c r="K18906" s="1362"/>
      <c r="L18906" s="1362"/>
    </row>
    <row r="18907" spans="1:12" x14ac:dyDescent="0.25">
      <c r="A18907">
        <v>3477</v>
      </c>
      <c r="B18907" t="s">
        <v>22409</v>
      </c>
      <c r="C18907" t="s">
        <v>2537</v>
      </c>
      <c r="D18907" s="254">
        <v>36.18</v>
      </c>
      <c r="E18907"/>
      <c r="F18907"/>
      <c r="G18907"/>
      <c r="H18907"/>
      <c r="I18907" s="489"/>
      <c r="J18907" s="1362"/>
      <c r="K18907" s="1362"/>
      <c r="L18907" s="1362"/>
    </row>
    <row r="18908" spans="1:12" x14ac:dyDescent="0.25">
      <c r="A18908">
        <v>3478</v>
      </c>
      <c r="B18908" t="s">
        <v>22410</v>
      </c>
      <c r="C18908" t="s">
        <v>2537</v>
      </c>
      <c r="D18908" s="254">
        <v>83.13</v>
      </c>
      <c r="E18908"/>
      <c r="F18908"/>
      <c r="G18908"/>
      <c r="H18908"/>
      <c r="I18908" s="489"/>
      <c r="J18908" s="1362"/>
      <c r="K18908" s="1362"/>
      <c r="L18908" s="1362"/>
    </row>
    <row r="18909" spans="1:12" x14ac:dyDescent="0.25">
      <c r="A18909">
        <v>3525</v>
      </c>
      <c r="B18909" t="s">
        <v>22411</v>
      </c>
      <c r="C18909" t="s">
        <v>2537</v>
      </c>
      <c r="D18909" s="254">
        <v>98.62</v>
      </c>
      <c r="E18909"/>
      <c r="F18909"/>
      <c r="G18909"/>
      <c r="H18909"/>
      <c r="I18909" s="489"/>
      <c r="J18909" s="1362"/>
      <c r="K18909" s="1362"/>
      <c r="L18909" s="1362"/>
    </row>
    <row r="18910" spans="1:12" x14ac:dyDescent="0.25">
      <c r="A18910">
        <v>3511</v>
      </c>
      <c r="B18910" t="s">
        <v>22412</v>
      </c>
      <c r="C18910" t="s">
        <v>2537</v>
      </c>
      <c r="D18910" s="254">
        <v>115.72</v>
      </c>
      <c r="E18910"/>
      <c r="F18910"/>
      <c r="G18910"/>
      <c r="H18910"/>
      <c r="I18910" s="489"/>
      <c r="J18910" s="1362"/>
      <c r="K18910" s="1362"/>
      <c r="L18910" s="1362"/>
    </row>
    <row r="18911" spans="1:12" x14ac:dyDescent="0.25">
      <c r="A18911">
        <v>38917</v>
      </c>
      <c r="B18911" t="s">
        <v>22413</v>
      </c>
      <c r="C18911" t="s">
        <v>2537</v>
      </c>
      <c r="D18911" s="254">
        <v>11.29</v>
      </c>
      <c r="E18911"/>
      <c r="F18911"/>
      <c r="G18911"/>
      <c r="H18911"/>
      <c r="I18911" s="489"/>
      <c r="J18911" s="1362"/>
      <c r="K18911" s="1362"/>
      <c r="L18911" s="1362"/>
    </row>
    <row r="18912" spans="1:12" x14ac:dyDescent="0.25">
      <c r="A18912">
        <v>38919</v>
      </c>
      <c r="B18912" t="s">
        <v>22414</v>
      </c>
      <c r="C18912" t="s">
        <v>2537</v>
      </c>
      <c r="D18912" s="254">
        <v>16.8</v>
      </c>
      <c r="E18912"/>
      <c r="F18912"/>
      <c r="G18912"/>
      <c r="H18912"/>
      <c r="I18912" s="489"/>
      <c r="J18912" s="1362"/>
      <c r="K18912" s="1362"/>
      <c r="L18912" s="1362"/>
    </row>
    <row r="18913" spans="1:12" x14ac:dyDescent="0.25">
      <c r="A18913">
        <v>38922</v>
      </c>
      <c r="B18913" t="s">
        <v>22415</v>
      </c>
      <c r="C18913" t="s">
        <v>2537</v>
      </c>
      <c r="D18913" s="254">
        <v>21.71</v>
      </c>
      <c r="E18913"/>
      <c r="F18913"/>
      <c r="G18913"/>
      <c r="H18913"/>
      <c r="I18913" s="489"/>
      <c r="J18913" s="1362"/>
      <c r="K18913" s="1362"/>
      <c r="L18913" s="1362"/>
    </row>
    <row r="18914" spans="1:12" x14ac:dyDescent="0.25">
      <c r="A18914">
        <v>38921</v>
      </c>
      <c r="B18914" t="s">
        <v>22416</v>
      </c>
      <c r="C18914" t="s">
        <v>2537</v>
      </c>
      <c r="D18914" s="254">
        <v>26.84</v>
      </c>
      <c r="E18914"/>
      <c r="F18914"/>
      <c r="G18914"/>
      <c r="H18914"/>
      <c r="I18914" s="489"/>
      <c r="J18914" s="1362"/>
      <c r="K18914" s="1362"/>
      <c r="L18914" s="1362"/>
    </row>
    <row r="18915" spans="1:12" x14ac:dyDescent="0.25">
      <c r="A18915">
        <v>38918</v>
      </c>
      <c r="B18915" t="s">
        <v>22417</v>
      </c>
      <c r="C18915" t="s">
        <v>2537</v>
      </c>
      <c r="D18915" s="254">
        <v>25.51</v>
      </c>
      <c r="E18915"/>
      <c r="F18915"/>
      <c r="G18915"/>
      <c r="H18915"/>
      <c r="I18915" s="489"/>
      <c r="J18915" s="1362"/>
      <c r="K18915" s="1362"/>
      <c r="L18915" s="1362"/>
    </row>
    <row r="18916" spans="1:12" x14ac:dyDescent="0.25">
      <c r="A18916">
        <v>38920</v>
      </c>
      <c r="B18916" t="s">
        <v>22418</v>
      </c>
      <c r="C18916" t="s">
        <v>2537</v>
      </c>
      <c r="D18916" s="254">
        <v>31.89</v>
      </c>
      <c r="E18916"/>
      <c r="F18916"/>
      <c r="G18916"/>
      <c r="H18916"/>
      <c r="I18916" s="489"/>
    </row>
    <row r="18917" spans="1:12" x14ac:dyDescent="0.25">
      <c r="A18917">
        <v>12032</v>
      </c>
      <c r="B18917" t="s">
        <v>22419</v>
      </c>
      <c r="C18917" t="s">
        <v>2546</v>
      </c>
      <c r="D18917" s="254">
        <v>57.34</v>
      </c>
      <c r="E18917"/>
      <c r="F18917"/>
      <c r="G18917"/>
      <c r="H18917"/>
      <c r="I18917" s="489"/>
    </row>
    <row r="18918" spans="1:12" x14ac:dyDescent="0.25">
      <c r="A18918">
        <v>12030</v>
      </c>
      <c r="B18918" t="s">
        <v>22420</v>
      </c>
      <c r="C18918" t="s">
        <v>2546</v>
      </c>
      <c r="D18918" s="254">
        <v>53.88</v>
      </c>
      <c r="E18918"/>
      <c r="F18918"/>
      <c r="G18918"/>
      <c r="H18918"/>
      <c r="I18918" s="489"/>
    </row>
    <row r="18919" spans="1:12" x14ac:dyDescent="0.25">
      <c r="A18919">
        <v>10908</v>
      </c>
      <c r="B18919" t="s">
        <v>22421</v>
      </c>
      <c r="C18919" t="s">
        <v>2537</v>
      </c>
      <c r="D18919" s="254">
        <v>18.87</v>
      </c>
      <c r="E18919"/>
      <c r="F18919"/>
      <c r="G18919"/>
      <c r="H18919"/>
      <c r="I18919" s="489"/>
    </row>
    <row r="18920" spans="1:12" x14ac:dyDescent="0.25">
      <c r="A18920">
        <v>10909</v>
      </c>
      <c r="B18920" t="s">
        <v>22422</v>
      </c>
      <c r="C18920" t="s">
        <v>2537</v>
      </c>
      <c r="D18920" s="254">
        <v>30.1</v>
      </c>
      <c r="E18920"/>
      <c r="F18920"/>
      <c r="G18920"/>
      <c r="H18920"/>
      <c r="I18920" s="489"/>
    </row>
    <row r="18921" spans="1:12" x14ac:dyDescent="0.25">
      <c r="A18921">
        <v>3669</v>
      </c>
      <c r="B18921" t="s">
        <v>22423</v>
      </c>
      <c r="C18921" t="s">
        <v>2537</v>
      </c>
      <c r="D18921" s="254">
        <v>12.9</v>
      </c>
      <c r="E18921"/>
      <c r="F18921"/>
      <c r="G18921"/>
      <c r="H18921"/>
      <c r="I18921" s="489"/>
    </row>
    <row r="18922" spans="1:12" x14ac:dyDescent="0.25">
      <c r="A18922">
        <v>20138</v>
      </c>
      <c r="B18922" t="s">
        <v>22424</v>
      </c>
      <c r="C18922" t="s">
        <v>2537</v>
      </c>
      <c r="D18922" s="254">
        <v>64.08</v>
      </c>
      <c r="E18922"/>
      <c r="F18922"/>
      <c r="G18922"/>
      <c r="H18922"/>
      <c r="I18922" s="489"/>
    </row>
    <row r="18923" spans="1:12" x14ac:dyDescent="0.25">
      <c r="A18923">
        <v>20139</v>
      </c>
      <c r="B18923" t="s">
        <v>22425</v>
      </c>
      <c r="C18923" t="s">
        <v>2537</v>
      </c>
      <c r="D18923" s="254">
        <v>107.66</v>
      </c>
      <c r="E18923"/>
      <c r="F18923"/>
      <c r="G18923"/>
      <c r="H18923"/>
      <c r="I18923" s="489"/>
    </row>
    <row r="18924" spans="1:12" x14ac:dyDescent="0.25">
      <c r="A18924">
        <v>3668</v>
      </c>
      <c r="B18924" t="s">
        <v>22426</v>
      </c>
      <c r="C18924" t="s">
        <v>2537</v>
      </c>
      <c r="D18924" s="254">
        <v>42.69</v>
      </c>
      <c r="E18924"/>
      <c r="F18924"/>
      <c r="G18924"/>
      <c r="H18924"/>
      <c r="I18924" s="489"/>
    </row>
    <row r="18925" spans="1:12" x14ac:dyDescent="0.25">
      <c r="A18925">
        <v>3656</v>
      </c>
      <c r="B18925" t="s">
        <v>22427</v>
      </c>
      <c r="C18925" t="s">
        <v>2537</v>
      </c>
      <c r="D18925" s="254">
        <v>21.15</v>
      </c>
      <c r="E18925"/>
      <c r="F18925"/>
      <c r="G18925"/>
      <c r="H18925"/>
      <c r="I18925" s="489"/>
    </row>
    <row r="18926" spans="1:12" x14ac:dyDescent="0.25">
      <c r="A18926">
        <v>10911</v>
      </c>
      <c r="B18926" t="s">
        <v>22428</v>
      </c>
      <c r="C18926" t="s">
        <v>2537</v>
      </c>
      <c r="D18926" s="254">
        <v>23.48</v>
      </c>
      <c r="E18926"/>
      <c r="F18926"/>
      <c r="G18926"/>
      <c r="H18926"/>
      <c r="I18926" s="489"/>
    </row>
    <row r="18927" spans="1:12" x14ac:dyDescent="0.25">
      <c r="A18927">
        <v>3654</v>
      </c>
      <c r="B18927" t="s">
        <v>22429</v>
      </c>
      <c r="C18927" t="s">
        <v>2537</v>
      </c>
      <c r="D18927" s="254">
        <v>5.87</v>
      </c>
      <c r="E18927"/>
      <c r="F18927"/>
      <c r="G18927"/>
      <c r="H18927"/>
      <c r="I18927" s="489"/>
    </row>
    <row r="18928" spans="1:12" x14ac:dyDescent="0.25">
      <c r="A18928">
        <v>3664</v>
      </c>
      <c r="B18928" t="s">
        <v>22430</v>
      </c>
      <c r="C18928" t="s">
        <v>2537</v>
      </c>
      <c r="D18928" s="254">
        <v>7.28</v>
      </c>
      <c r="E18928"/>
      <c r="F18928"/>
      <c r="G18928"/>
      <c r="H18928"/>
      <c r="I18928" s="489"/>
    </row>
    <row r="18929" spans="1:9" x14ac:dyDescent="0.25">
      <c r="A18929">
        <v>3657</v>
      </c>
      <c r="B18929" t="s">
        <v>22431</v>
      </c>
      <c r="C18929" t="s">
        <v>2537</v>
      </c>
      <c r="D18929" s="254">
        <v>7.85</v>
      </c>
      <c r="E18929"/>
      <c r="F18929"/>
      <c r="G18929"/>
      <c r="H18929"/>
      <c r="I18929" s="489"/>
    </row>
    <row r="18930" spans="1:9" x14ac:dyDescent="0.25">
      <c r="A18930">
        <v>12625</v>
      </c>
      <c r="B18930" t="s">
        <v>22432</v>
      </c>
      <c r="C18930" t="s">
        <v>2537</v>
      </c>
      <c r="D18930" s="254">
        <v>11.76</v>
      </c>
      <c r="E18930"/>
      <c r="F18930"/>
      <c r="G18930"/>
      <c r="H18930"/>
      <c r="I18930" s="489"/>
    </row>
    <row r="18931" spans="1:9" x14ac:dyDescent="0.25">
      <c r="A18931">
        <v>20136</v>
      </c>
      <c r="B18931" t="s">
        <v>22433</v>
      </c>
      <c r="C18931" t="s">
        <v>2537</v>
      </c>
      <c r="D18931" s="254">
        <v>144.61000000000001</v>
      </c>
      <c r="E18931"/>
      <c r="F18931"/>
      <c r="G18931"/>
      <c r="H18931"/>
      <c r="I18931" s="489"/>
    </row>
    <row r="18932" spans="1:9" x14ac:dyDescent="0.25">
      <c r="A18932">
        <v>20144</v>
      </c>
      <c r="B18932" t="s">
        <v>22434</v>
      </c>
      <c r="C18932" t="s">
        <v>2537</v>
      </c>
      <c r="D18932" s="254">
        <v>63.52</v>
      </c>
      <c r="E18932"/>
      <c r="F18932"/>
      <c r="G18932"/>
      <c r="H18932"/>
      <c r="I18932" s="489"/>
    </row>
    <row r="18933" spans="1:9" x14ac:dyDescent="0.25">
      <c r="A18933">
        <v>20143</v>
      </c>
      <c r="B18933" t="s">
        <v>22435</v>
      </c>
      <c r="C18933" t="s">
        <v>2537</v>
      </c>
      <c r="D18933" s="254">
        <v>59.32</v>
      </c>
      <c r="E18933"/>
      <c r="F18933"/>
      <c r="G18933"/>
      <c r="H18933"/>
      <c r="I18933" s="489"/>
    </row>
    <row r="18934" spans="1:9" x14ac:dyDescent="0.25">
      <c r="A18934">
        <v>20145</v>
      </c>
      <c r="B18934" t="s">
        <v>22436</v>
      </c>
      <c r="C18934" t="s">
        <v>2537</v>
      </c>
      <c r="D18934" s="254">
        <v>168.35</v>
      </c>
      <c r="E18934"/>
      <c r="F18934"/>
      <c r="G18934"/>
      <c r="H18934"/>
      <c r="I18934" s="489"/>
    </row>
    <row r="18935" spans="1:9" x14ac:dyDescent="0.25">
      <c r="A18935">
        <v>20146</v>
      </c>
      <c r="B18935" t="s">
        <v>22437</v>
      </c>
      <c r="C18935" t="s">
        <v>2537</v>
      </c>
      <c r="D18935" s="254">
        <v>189.84</v>
      </c>
      <c r="E18935"/>
      <c r="F18935"/>
      <c r="G18935"/>
      <c r="H18935"/>
      <c r="I18935" s="489"/>
    </row>
    <row r="18936" spans="1:9" x14ac:dyDescent="0.25">
      <c r="A18936">
        <v>20140</v>
      </c>
      <c r="B18936" t="s">
        <v>22438</v>
      </c>
      <c r="C18936" t="s">
        <v>2537</v>
      </c>
      <c r="D18936" s="254">
        <v>7.56</v>
      </c>
      <c r="E18936"/>
      <c r="F18936"/>
      <c r="G18936"/>
      <c r="H18936"/>
      <c r="I18936" s="489"/>
    </row>
    <row r="18937" spans="1:9" x14ac:dyDescent="0.25">
      <c r="A18937">
        <v>20141</v>
      </c>
      <c r="B18937" t="s">
        <v>22439</v>
      </c>
      <c r="C18937" t="s">
        <v>2537</v>
      </c>
      <c r="D18937" s="254">
        <v>13.27</v>
      </c>
      <c r="E18937"/>
      <c r="F18937"/>
      <c r="G18937"/>
      <c r="H18937"/>
      <c r="I18937" s="489"/>
    </row>
    <row r="18938" spans="1:9" x14ac:dyDescent="0.25">
      <c r="A18938">
        <v>20142</v>
      </c>
      <c r="B18938" t="s">
        <v>22440</v>
      </c>
      <c r="C18938" t="s">
        <v>2537</v>
      </c>
      <c r="D18938" s="254">
        <v>40.590000000000003</v>
      </c>
      <c r="E18938"/>
      <c r="F18938"/>
      <c r="G18938"/>
      <c r="H18938"/>
      <c r="I18938" s="489"/>
    </row>
    <row r="18939" spans="1:9" x14ac:dyDescent="0.25">
      <c r="A18939">
        <v>3659</v>
      </c>
      <c r="B18939" t="s">
        <v>22441</v>
      </c>
      <c r="C18939" t="s">
        <v>2537</v>
      </c>
      <c r="D18939" s="254">
        <v>17.61</v>
      </c>
      <c r="E18939"/>
      <c r="F18939"/>
      <c r="G18939"/>
      <c r="H18939"/>
      <c r="I18939" s="489"/>
    </row>
    <row r="18940" spans="1:9" x14ac:dyDescent="0.25">
      <c r="A18940">
        <v>3660</v>
      </c>
      <c r="B18940" t="s">
        <v>22442</v>
      </c>
      <c r="C18940" t="s">
        <v>2537</v>
      </c>
      <c r="D18940" s="254">
        <v>25.38</v>
      </c>
      <c r="E18940"/>
      <c r="F18940"/>
      <c r="G18940"/>
      <c r="H18940"/>
      <c r="I18940" s="489"/>
    </row>
    <row r="18941" spans="1:9" x14ac:dyDescent="0.25">
      <c r="A18941">
        <v>3662</v>
      </c>
      <c r="B18941" t="s">
        <v>22443</v>
      </c>
      <c r="C18941" t="s">
        <v>2537</v>
      </c>
      <c r="D18941" s="254">
        <v>9.59</v>
      </c>
      <c r="E18941"/>
      <c r="F18941"/>
      <c r="G18941"/>
      <c r="H18941"/>
      <c r="I18941" s="489"/>
    </row>
    <row r="18942" spans="1:9" x14ac:dyDescent="0.25">
      <c r="A18942">
        <v>3661</v>
      </c>
      <c r="B18942" t="s">
        <v>22444</v>
      </c>
      <c r="C18942" t="s">
        <v>2537</v>
      </c>
      <c r="D18942" s="254">
        <v>14.11</v>
      </c>
      <c r="E18942"/>
      <c r="F18942"/>
      <c r="G18942"/>
      <c r="H18942"/>
      <c r="I18942" s="489"/>
    </row>
    <row r="18943" spans="1:9" x14ac:dyDescent="0.25">
      <c r="A18943">
        <v>3658</v>
      </c>
      <c r="B18943" t="s">
        <v>22445</v>
      </c>
      <c r="C18943" t="s">
        <v>2537</v>
      </c>
      <c r="D18943" s="254">
        <v>17.95</v>
      </c>
      <c r="E18943"/>
      <c r="F18943"/>
      <c r="G18943"/>
      <c r="H18943"/>
      <c r="I18943" s="489"/>
    </row>
    <row r="18944" spans="1:9" x14ac:dyDescent="0.25">
      <c r="A18944">
        <v>3670</v>
      </c>
      <c r="B18944" t="s">
        <v>22446</v>
      </c>
      <c r="C18944" t="s">
        <v>2537</v>
      </c>
      <c r="D18944" s="254">
        <v>23.43</v>
      </c>
      <c r="E18944"/>
      <c r="F18944"/>
      <c r="G18944"/>
      <c r="H18944"/>
      <c r="I18944" s="489"/>
    </row>
    <row r="18945" spans="1:9" x14ac:dyDescent="0.25">
      <c r="A18945">
        <v>3666</v>
      </c>
      <c r="B18945" t="s">
        <v>22447</v>
      </c>
      <c r="C18945" t="s">
        <v>2537</v>
      </c>
      <c r="D18945" s="254">
        <v>3.97</v>
      </c>
      <c r="E18945"/>
      <c r="F18945"/>
      <c r="G18945"/>
      <c r="H18945"/>
      <c r="I18945" s="489"/>
    </row>
    <row r="18946" spans="1:9" x14ac:dyDescent="0.25">
      <c r="A18946">
        <v>14157</v>
      </c>
      <c r="B18946" t="s">
        <v>22448</v>
      </c>
      <c r="C18946" t="s">
        <v>2537</v>
      </c>
      <c r="D18946" s="254">
        <v>1.27</v>
      </c>
      <c r="E18946"/>
      <c r="F18946"/>
      <c r="G18946"/>
      <c r="H18946"/>
      <c r="I18946" s="489"/>
    </row>
    <row r="18947" spans="1:9" x14ac:dyDescent="0.25">
      <c r="A18947">
        <v>3653</v>
      </c>
      <c r="B18947" t="s">
        <v>22449</v>
      </c>
      <c r="C18947" t="s">
        <v>2537</v>
      </c>
      <c r="D18947" s="254">
        <v>135.94999999999999</v>
      </c>
      <c r="E18947"/>
      <c r="F18947"/>
      <c r="G18947"/>
      <c r="H18947"/>
      <c r="I18947" s="489"/>
    </row>
    <row r="18948" spans="1:9" x14ac:dyDescent="0.25">
      <c r="A18948">
        <v>3649</v>
      </c>
      <c r="B18948" t="s">
        <v>22450</v>
      </c>
      <c r="C18948" t="s">
        <v>2537</v>
      </c>
      <c r="D18948" s="254">
        <v>281.58999999999997</v>
      </c>
      <c r="E18948"/>
      <c r="F18948"/>
      <c r="G18948"/>
      <c r="H18948"/>
      <c r="I18948" s="489"/>
    </row>
    <row r="18949" spans="1:9" x14ac:dyDescent="0.25">
      <c r="A18949">
        <v>42696</v>
      </c>
      <c r="B18949" t="s">
        <v>22451</v>
      </c>
      <c r="C18949" t="s">
        <v>2537</v>
      </c>
      <c r="D18949" s="254">
        <v>787.86</v>
      </c>
      <c r="E18949"/>
      <c r="F18949"/>
      <c r="G18949"/>
      <c r="H18949"/>
      <c r="I18949" s="489"/>
    </row>
    <row r="18950" spans="1:9" x14ac:dyDescent="0.25">
      <c r="A18950">
        <v>42697</v>
      </c>
      <c r="B18950" t="s">
        <v>22452</v>
      </c>
      <c r="C18950" t="s">
        <v>2537</v>
      </c>
      <c r="D18950" s="254">
        <v>1186.53</v>
      </c>
      <c r="E18950"/>
      <c r="F18950"/>
      <c r="G18950"/>
      <c r="H18950"/>
      <c r="I18950" s="489"/>
    </row>
    <row r="18951" spans="1:9" x14ac:dyDescent="0.25">
      <c r="A18951">
        <v>42698</v>
      </c>
      <c r="B18951" t="s">
        <v>22453</v>
      </c>
      <c r="C18951" t="s">
        <v>2537</v>
      </c>
      <c r="D18951" s="254">
        <v>1652.8</v>
      </c>
      <c r="E18951"/>
      <c r="F18951"/>
      <c r="G18951"/>
      <c r="H18951"/>
      <c r="I18951" s="489"/>
    </row>
    <row r="18952" spans="1:9" x14ac:dyDescent="0.25">
      <c r="A18952">
        <v>39875</v>
      </c>
      <c r="B18952" t="s">
        <v>22454</v>
      </c>
      <c r="C18952" t="s">
        <v>2537</v>
      </c>
      <c r="D18952" s="254">
        <v>618.58000000000004</v>
      </c>
      <c r="E18952"/>
      <c r="F18952"/>
      <c r="G18952"/>
      <c r="H18952"/>
      <c r="I18952" s="489"/>
    </row>
    <row r="18953" spans="1:9" x14ac:dyDescent="0.25">
      <c r="A18953">
        <v>39876</v>
      </c>
      <c r="B18953" t="s">
        <v>22455</v>
      </c>
      <c r="C18953" t="s">
        <v>2537</v>
      </c>
      <c r="D18953" s="254">
        <v>774.46</v>
      </c>
      <c r="E18953"/>
      <c r="F18953"/>
      <c r="G18953"/>
      <c r="H18953"/>
      <c r="I18953" s="489"/>
    </row>
    <row r="18954" spans="1:9" x14ac:dyDescent="0.25">
      <c r="A18954">
        <v>39877</v>
      </c>
      <c r="B18954" t="s">
        <v>22456</v>
      </c>
      <c r="C18954" t="s">
        <v>2537</v>
      </c>
      <c r="D18954" s="254">
        <v>1074.1500000000001</v>
      </c>
      <c r="E18954"/>
      <c r="F18954"/>
      <c r="G18954"/>
      <c r="H18954"/>
      <c r="I18954" s="489"/>
    </row>
    <row r="18955" spans="1:9" x14ac:dyDescent="0.25">
      <c r="A18955">
        <v>39878</v>
      </c>
      <c r="B18955" t="s">
        <v>22457</v>
      </c>
      <c r="C18955" t="s">
        <v>2537</v>
      </c>
      <c r="D18955" s="254">
        <v>1418.77</v>
      </c>
      <c r="E18955"/>
      <c r="F18955"/>
      <c r="G18955"/>
      <c r="H18955"/>
      <c r="I18955" s="489"/>
    </row>
    <row r="18956" spans="1:9" x14ac:dyDescent="0.25">
      <c r="A18956">
        <v>39872</v>
      </c>
      <c r="B18956" t="s">
        <v>22458</v>
      </c>
      <c r="C18956" t="s">
        <v>2537</v>
      </c>
      <c r="D18956" s="254">
        <v>424.21</v>
      </c>
      <c r="E18956"/>
      <c r="F18956"/>
      <c r="G18956"/>
      <c r="H18956"/>
      <c r="I18956" s="489"/>
    </row>
    <row r="18957" spans="1:9" x14ac:dyDescent="0.25">
      <c r="A18957">
        <v>39873</v>
      </c>
      <c r="B18957" t="s">
        <v>22459</v>
      </c>
      <c r="C18957" t="s">
        <v>2537</v>
      </c>
      <c r="D18957" s="254">
        <v>492.05</v>
      </c>
      <c r="E18957"/>
      <c r="F18957"/>
      <c r="G18957"/>
      <c r="H18957"/>
      <c r="I18957" s="489"/>
    </row>
    <row r="18958" spans="1:9" x14ac:dyDescent="0.25">
      <c r="A18958">
        <v>39874</v>
      </c>
      <c r="B18958" t="s">
        <v>22460</v>
      </c>
      <c r="C18958" t="s">
        <v>2537</v>
      </c>
      <c r="D18958" s="254">
        <v>540.46</v>
      </c>
      <c r="E18958"/>
      <c r="F18958"/>
      <c r="G18958"/>
      <c r="H18958"/>
      <c r="I18958" s="489"/>
    </row>
    <row r="18959" spans="1:9" x14ac:dyDescent="0.25">
      <c r="A18959">
        <v>3674</v>
      </c>
      <c r="B18959" t="s">
        <v>22461</v>
      </c>
      <c r="C18959" t="s">
        <v>2541</v>
      </c>
      <c r="D18959" s="254">
        <v>88.57</v>
      </c>
      <c r="E18959"/>
      <c r="F18959"/>
      <c r="G18959"/>
      <c r="H18959"/>
      <c r="I18959" s="489"/>
    </row>
    <row r="18960" spans="1:9" x14ac:dyDescent="0.25">
      <c r="A18960">
        <v>3681</v>
      </c>
      <c r="B18960" t="s">
        <v>22462</v>
      </c>
      <c r="C18960" t="s">
        <v>2541</v>
      </c>
      <c r="D18960" s="254">
        <v>131.78</v>
      </c>
      <c r="E18960"/>
      <c r="F18960"/>
      <c r="G18960"/>
      <c r="H18960"/>
      <c r="I18960" s="489"/>
    </row>
    <row r="18961" spans="1:9" x14ac:dyDescent="0.25">
      <c r="A18961">
        <v>3676</v>
      </c>
      <c r="B18961" t="s">
        <v>22463</v>
      </c>
      <c r="C18961" t="s">
        <v>2541</v>
      </c>
      <c r="D18961" s="254">
        <v>495.94</v>
      </c>
      <c r="E18961"/>
      <c r="F18961"/>
      <c r="G18961"/>
      <c r="H18961"/>
      <c r="I18961" s="489"/>
    </row>
    <row r="18962" spans="1:9" x14ac:dyDescent="0.25">
      <c r="A18962">
        <v>3679</v>
      </c>
      <c r="B18962" t="s">
        <v>22464</v>
      </c>
      <c r="C18962" t="s">
        <v>2541</v>
      </c>
      <c r="D18962" s="254">
        <v>410.3</v>
      </c>
      <c r="E18962"/>
      <c r="F18962"/>
      <c r="G18962"/>
      <c r="H18962"/>
      <c r="I18962" s="489"/>
    </row>
    <row r="18963" spans="1:9" x14ac:dyDescent="0.25">
      <c r="A18963">
        <v>3672</v>
      </c>
      <c r="B18963" t="s">
        <v>22465</v>
      </c>
      <c r="C18963" t="s">
        <v>2541</v>
      </c>
      <c r="D18963" s="254">
        <v>1.4</v>
      </c>
      <c r="E18963"/>
      <c r="F18963"/>
      <c r="G18963"/>
      <c r="H18963"/>
      <c r="I18963" s="489"/>
    </row>
    <row r="18964" spans="1:9" x14ac:dyDescent="0.25">
      <c r="A18964">
        <v>3671</v>
      </c>
      <c r="B18964" t="s">
        <v>22466</v>
      </c>
      <c r="C18964" t="s">
        <v>2541</v>
      </c>
      <c r="D18964" s="254">
        <v>1.32</v>
      </c>
      <c r="E18964"/>
      <c r="F18964"/>
      <c r="G18964"/>
      <c r="H18964"/>
      <c r="I18964" s="489"/>
    </row>
    <row r="18965" spans="1:9" x14ac:dyDescent="0.25">
      <c r="A18965">
        <v>3673</v>
      </c>
      <c r="B18965" t="s">
        <v>22467</v>
      </c>
      <c r="C18965" t="s">
        <v>2541</v>
      </c>
      <c r="D18965" s="254">
        <v>2.0699999999999998</v>
      </c>
      <c r="E18965"/>
      <c r="F18965"/>
      <c r="G18965"/>
      <c r="H18965"/>
      <c r="I18965" s="489"/>
    </row>
    <row r="18966" spans="1:9" x14ac:dyDescent="0.25">
      <c r="A18966">
        <v>38394</v>
      </c>
      <c r="B18966" t="s">
        <v>22468</v>
      </c>
      <c r="C18966" t="s">
        <v>2537</v>
      </c>
      <c r="D18966" s="254">
        <v>328.65</v>
      </c>
      <c r="E18966"/>
      <c r="F18966"/>
      <c r="G18966"/>
      <c r="H18966"/>
      <c r="I18966" s="489"/>
    </row>
    <row r="18967" spans="1:9" x14ac:dyDescent="0.25">
      <c r="A18967">
        <v>3729</v>
      </c>
      <c r="B18967" t="s">
        <v>22469</v>
      </c>
      <c r="C18967" t="s">
        <v>2537</v>
      </c>
      <c r="D18967" s="254">
        <v>98.13</v>
      </c>
      <c r="E18967"/>
      <c r="F18967"/>
      <c r="G18967"/>
      <c r="H18967"/>
      <c r="I18967" s="489"/>
    </row>
    <row r="18968" spans="1:9" x14ac:dyDescent="0.25">
      <c r="A18968">
        <v>39357</v>
      </c>
      <c r="B18968" t="s">
        <v>22470</v>
      </c>
      <c r="C18968" t="s">
        <v>2537</v>
      </c>
      <c r="D18968" s="254">
        <v>102.61</v>
      </c>
      <c r="E18968"/>
      <c r="F18968"/>
      <c r="G18968"/>
      <c r="H18968"/>
      <c r="I18968" s="489"/>
    </row>
    <row r="18969" spans="1:9" x14ac:dyDescent="0.25">
      <c r="A18969">
        <v>39358</v>
      </c>
      <c r="B18969" t="s">
        <v>22471</v>
      </c>
      <c r="C18969" t="s">
        <v>2537</v>
      </c>
      <c r="D18969" s="254">
        <v>112.51</v>
      </c>
      <c r="E18969"/>
      <c r="F18969"/>
      <c r="G18969"/>
      <c r="H18969"/>
      <c r="I18969" s="489"/>
    </row>
    <row r="18970" spans="1:9" x14ac:dyDescent="0.25">
      <c r="A18970">
        <v>39356</v>
      </c>
      <c r="B18970" t="s">
        <v>22472</v>
      </c>
      <c r="C18970" t="s">
        <v>2537</v>
      </c>
      <c r="D18970" s="254">
        <v>191.95</v>
      </c>
      <c r="E18970"/>
      <c r="F18970"/>
      <c r="G18970"/>
      <c r="H18970"/>
      <c r="I18970" s="489"/>
    </row>
    <row r="18971" spans="1:9" x14ac:dyDescent="0.25">
      <c r="A18971">
        <v>39355</v>
      </c>
      <c r="B18971" t="s">
        <v>22473</v>
      </c>
      <c r="C18971" t="s">
        <v>2537</v>
      </c>
      <c r="D18971" s="254">
        <v>165.18</v>
      </c>
      <c r="E18971"/>
      <c r="F18971"/>
      <c r="G18971"/>
      <c r="H18971"/>
      <c r="I18971" s="489"/>
    </row>
    <row r="18972" spans="1:9" x14ac:dyDescent="0.25">
      <c r="A18972">
        <v>39353</v>
      </c>
      <c r="B18972" t="s">
        <v>22474</v>
      </c>
      <c r="C18972" t="s">
        <v>2537</v>
      </c>
      <c r="D18972" s="254">
        <v>226.52</v>
      </c>
      <c r="E18972"/>
      <c r="F18972"/>
      <c r="G18972"/>
      <c r="H18972"/>
      <c r="I18972" s="489"/>
    </row>
    <row r="18973" spans="1:9" x14ac:dyDescent="0.25">
      <c r="A18973">
        <v>39354</v>
      </c>
      <c r="B18973" t="s">
        <v>22475</v>
      </c>
      <c r="C18973" t="s">
        <v>2537</v>
      </c>
      <c r="D18973" s="254">
        <v>225.76</v>
      </c>
      <c r="E18973"/>
      <c r="F18973"/>
      <c r="G18973"/>
      <c r="H18973"/>
      <c r="I18973" s="489"/>
    </row>
    <row r="18974" spans="1:9" x14ac:dyDescent="0.25">
      <c r="A18974">
        <v>39398</v>
      </c>
      <c r="B18974" t="s">
        <v>22476</v>
      </c>
      <c r="C18974" t="s">
        <v>2537</v>
      </c>
      <c r="D18974" s="254">
        <v>97.28</v>
      </c>
      <c r="E18974"/>
      <c r="F18974"/>
      <c r="G18974"/>
      <c r="H18974"/>
      <c r="I18974" s="489"/>
    </row>
    <row r="18975" spans="1:9" x14ac:dyDescent="0.25">
      <c r="A18975">
        <v>13343</v>
      </c>
      <c r="B18975" t="s">
        <v>22477</v>
      </c>
      <c r="C18975" t="s">
        <v>2537</v>
      </c>
      <c r="D18975" s="254">
        <v>70.680000000000007</v>
      </c>
      <c r="E18975"/>
      <c r="F18975"/>
      <c r="G18975"/>
      <c r="H18975"/>
      <c r="I18975" s="489"/>
    </row>
    <row r="18976" spans="1:9" x14ac:dyDescent="0.25">
      <c r="A18976">
        <v>12118</v>
      </c>
      <c r="B18976" t="s">
        <v>22478</v>
      </c>
      <c r="C18976" t="s">
        <v>2537</v>
      </c>
      <c r="D18976" s="254">
        <v>23.63</v>
      </c>
      <c r="E18976"/>
      <c r="F18976"/>
      <c r="G18976"/>
      <c r="H18976"/>
      <c r="I18976" s="489"/>
    </row>
    <row r="18977" spans="1:9" x14ac:dyDescent="0.25">
      <c r="A18977">
        <v>39482</v>
      </c>
      <c r="B18977" t="s">
        <v>22479</v>
      </c>
      <c r="C18977" t="s">
        <v>2537</v>
      </c>
      <c r="D18977" s="254">
        <v>623.51</v>
      </c>
      <c r="E18977"/>
      <c r="F18977"/>
      <c r="G18977"/>
      <c r="H18977"/>
      <c r="I18977" s="489"/>
    </row>
    <row r="18978" spans="1:9" x14ac:dyDescent="0.25">
      <c r="A18978">
        <v>39486</v>
      </c>
      <c r="B18978" t="s">
        <v>22480</v>
      </c>
      <c r="C18978" t="s">
        <v>2537</v>
      </c>
      <c r="D18978" s="254">
        <v>508.87</v>
      </c>
      <c r="E18978"/>
      <c r="F18978"/>
      <c r="G18978"/>
      <c r="H18978"/>
      <c r="I18978" s="489"/>
    </row>
    <row r="18979" spans="1:9" x14ac:dyDescent="0.25">
      <c r="A18979">
        <v>39484</v>
      </c>
      <c r="B18979" t="s">
        <v>22481</v>
      </c>
      <c r="C18979" t="s">
        <v>2537</v>
      </c>
      <c r="D18979" s="254">
        <v>623.51</v>
      </c>
      <c r="E18979"/>
      <c r="F18979"/>
      <c r="G18979"/>
      <c r="H18979"/>
      <c r="I18979" s="489"/>
    </row>
    <row r="18980" spans="1:9" x14ac:dyDescent="0.25">
      <c r="A18980">
        <v>39488</v>
      </c>
      <c r="B18980" t="s">
        <v>22482</v>
      </c>
      <c r="C18980" t="s">
        <v>2537</v>
      </c>
      <c r="D18980" s="254">
        <v>517.20000000000005</v>
      </c>
      <c r="E18980"/>
      <c r="F18980"/>
      <c r="G18980"/>
      <c r="H18980"/>
      <c r="I18980" s="489"/>
    </row>
    <row r="18981" spans="1:9" x14ac:dyDescent="0.25">
      <c r="A18981">
        <v>39485</v>
      </c>
      <c r="B18981" t="s">
        <v>22483</v>
      </c>
      <c r="C18981" t="s">
        <v>2537</v>
      </c>
      <c r="D18981" s="254">
        <v>623.51</v>
      </c>
      <c r="E18981"/>
      <c r="F18981"/>
      <c r="G18981"/>
      <c r="H18981"/>
      <c r="I18981" s="489"/>
    </row>
    <row r="18982" spans="1:9" x14ac:dyDescent="0.25">
      <c r="A18982">
        <v>39489</v>
      </c>
      <c r="B18982" t="s">
        <v>22484</v>
      </c>
      <c r="C18982" t="s">
        <v>2537</v>
      </c>
      <c r="D18982" s="254">
        <v>525.97</v>
      </c>
      <c r="E18982"/>
      <c r="F18982"/>
      <c r="G18982"/>
      <c r="H18982"/>
      <c r="I18982" s="489"/>
    </row>
    <row r="18983" spans="1:9" x14ac:dyDescent="0.25">
      <c r="A18983">
        <v>39490</v>
      </c>
      <c r="B18983" t="s">
        <v>22485</v>
      </c>
      <c r="C18983" t="s">
        <v>2537</v>
      </c>
      <c r="D18983" s="254">
        <v>783.77</v>
      </c>
      <c r="E18983"/>
      <c r="F18983"/>
      <c r="G18983"/>
      <c r="H18983"/>
      <c r="I18983" s="489"/>
    </row>
    <row r="18984" spans="1:9" x14ac:dyDescent="0.25">
      <c r="A18984">
        <v>39494</v>
      </c>
      <c r="B18984" t="s">
        <v>22486</v>
      </c>
      <c r="C18984" t="s">
        <v>2537</v>
      </c>
      <c r="D18984" s="254">
        <v>562.80999999999995</v>
      </c>
      <c r="E18984"/>
      <c r="F18984"/>
      <c r="G18984"/>
      <c r="H18984"/>
      <c r="I18984" s="489"/>
    </row>
    <row r="18985" spans="1:9" x14ac:dyDescent="0.25">
      <c r="A18985">
        <v>39495</v>
      </c>
      <c r="B18985" t="s">
        <v>22487</v>
      </c>
      <c r="C18985" t="s">
        <v>2537</v>
      </c>
      <c r="D18985" s="254">
        <v>634.21</v>
      </c>
      <c r="E18985"/>
      <c r="F18985"/>
      <c r="G18985"/>
      <c r="H18985"/>
      <c r="I18985" s="489"/>
    </row>
    <row r="18986" spans="1:9" x14ac:dyDescent="0.25">
      <c r="A18986">
        <v>39496</v>
      </c>
      <c r="B18986" t="s">
        <v>22488</v>
      </c>
      <c r="C18986" t="s">
        <v>2537</v>
      </c>
      <c r="D18986" s="254">
        <v>697.63</v>
      </c>
      <c r="E18986"/>
      <c r="F18986"/>
      <c r="G18986"/>
      <c r="H18986"/>
      <c r="I18986" s="489"/>
    </row>
    <row r="18987" spans="1:9" x14ac:dyDescent="0.25">
      <c r="A18987">
        <v>39492</v>
      </c>
      <c r="B18987" t="s">
        <v>22489</v>
      </c>
      <c r="C18987" t="s">
        <v>2537</v>
      </c>
      <c r="D18987" s="254">
        <v>807.67</v>
      </c>
      <c r="E18987"/>
      <c r="F18987"/>
      <c r="G18987"/>
      <c r="H18987"/>
      <c r="I18987" s="489"/>
    </row>
    <row r="18988" spans="1:9" x14ac:dyDescent="0.25">
      <c r="A18988">
        <v>39497</v>
      </c>
      <c r="B18988" t="s">
        <v>22490</v>
      </c>
      <c r="C18988" t="s">
        <v>2537</v>
      </c>
      <c r="D18988" s="254">
        <v>729.54</v>
      </c>
      <c r="E18988"/>
      <c r="F18988"/>
      <c r="G18988"/>
      <c r="H18988"/>
      <c r="I18988" s="489"/>
    </row>
    <row r="18989" spans="1:9" x14ac:dyDescent="0.25">
      <c r="A18989">
        <v>39493</v>
      </c>
      <c r="B18989" t="s">
        <v>22491</v>
      </c>
      <c r="C18989" t="s">
        <v>2537</v>
      </c>
      <c r="D18989" s="254">
        <v>866.3</v>
      </c>
      <c r="E18989"/>
      <c r="F18989"/>
      <c r="G18989"/>
      <c r="H18989"/>
      <c r="I18989" s="489"/>
    </row>
    <row r="18990" spans="1:9" x14ac:dyDescent="0.25">
      <c r="A18990">
        <v>39500</v>
      </c>
      <c r="B18990" t="s">
        <v>22492</v>
      </c>
      <c r="C18990" t="s">
        <v>2537</v>
      </c>
      <c r="D18990" s="254">
        <v>945.21</v>
      </c>
      <c r="E18990"/>
      <c r="F18990"/>
      <c r="G18990"/>
      <c r="H18990"/>
      <c r="I18990" s="489"/>
    </row>
    <row r="18991" spans="1:9" x14ac:dyDescent="0.25">
      <c r="A18991">
        <v>39498</v>
      </c>
      <c r="B18991" t="s">
        <v>22493</v>
      </c>
      <c r="C18991" t="s">
        <v>2537</v>
      </c>
      <c r="D18991" s="254">
        <v>1165.75</v>
      </c>
      <c r="E18991"/>
      <c r="F18991"/>
      <c r="G18991"/>
      <c r="H18991"/>
      <c r="I18991" s="489"/>
    </row>
    <row r="18992" spans="1:9" x14ac:dyDescent="0.25">
      <c r="A18992">
        <v>43628</v>
      </c>
      <c r="B18992" t="s">
        <v>22494</v>
      </c>
      <c r="C18992" t="s">
        <v>2537</v>
      </c>
      <c r="D18992" s="254">
        <v>918.86</v>
      </c>
      <c r="E18992"/>
      <c r="F18992"/>
      <c r="G18992"/>
      <c r="H18992"/>
      <c r="I18992" s="489"/>
    </row>
    <row r="18993" spans="1:9" x14ac:dyDescent="0.25">
      <c r="A18993">
        <v>39501</v>
      </c>
      <c r="B18993" t="s">
        <v>22495</v>
      </c>
      <c r="C18993" t="s">
        <v>2537</v>
      </c>
      <c r="D18993" s="254">
        <v>970.8</v>
      </c>
      <c r="E18993"/>
      <c r="F18993"/>
      <c r="G18993"/>
      <c r="H18993"/>
      <c r="I18993" s="489"/>
    </row>
    <row r="18994" spans="1:9" x14ac:dyDescent="0.25">
      <c r="A18994">
        <v>39499</v>
      </c>
      <c r="B18994" t="s">
        <v>22496</v>
      </c>
      <c r="C18994" t="s">
        <v>2537</v>
      </c>
      <c r="D18994" s="254">
        <v>1182.31</v>
      </c>
      <c r="E18994"/>
      <c r="F18994"/>
      <c r="G18994"/>
      <c r="H18994"/>
      <c r="I18994" s="489"/>
    </row>
    <row r="18995" spans="1:9" x14ac:dyDescent="0.25">
      <c r="A18995">
        <v>43621</v>
      </c>
      <c r="B18995" t="s">
        <v>22497</v>
      </c>
      <c r="C18995" t="s">
        <v>2537</v>
      </c>
      <c r="D18995" s="254">
        <v>976.29</v>
      </c>
      <c r="E18995"/>
      <c r="F18995"/>
      <c r="G18995"/>
      <c r="H18995"/>
      <c r="I18995" s="489"/>
    </row>
    <row r="18996" spans="1:9" x14ac:dyDescent="0.25">
      <c r="A18996">
        <v>3733</v>
      </c>
      <c r="B18996" t="s">
        <v>22498</v>
      </c>
      <c r="C18996" t="s">
        <v>2539</v>
      </c>
      <c r="D18996" s="254">
        <v>70.64</v>
      </c>
      <c r="E18996"/>
      <c r="F18996"/>
      <c r="G18996"/>
      <c r="H18996"/>
      <c r="I18996" s="489"/>
    </row>
    <row r="18997" spans="1:9" x14ac:dyDescent="0.25">
      <c r="A18997">
        <v>3731</v>
      </c>
      <c r="B18997" t="s">
        <v>22499</v>
      </c>
      <c r="C18997" t="s">
        <v>2539</v>
      </c>
      <c r="D18997" s="254">
        <v>65.569999999999993</v>
      </c>
      <c r="E18997"/>
      <c r="F18997"/>
      <c r="G18997"/>
      <c r="H18997"/>
      <c r="I18997" s="489"/>
    </row>
    <row r="18998" spans="1:9" x14ac:dyDescent="0.25">
      <c r="A18998">
        <v>38137</v>
      </c>
      <c r="B18998" t="s">
        <v>22500</v>
      </c>
      <c r="C18998" t="s">
        <v>2539</v>
      </c>
      <c r="D18998" s="254">
        <v>65.959999999999994</v>
      </c>
      <c r="E18998"/>
      <c r="F18998"/>
      <c r="G18998"/>
      <c r="H18998"/>
      <c r="I18998" s="489"/>
    </row>
    <row r="18999" spans="1:9" x14ac:dyDescent="0.25">
      <c r="A18999">
        <v>38135</v>
      </c>
      <c r="B18999" t="s">
        <v>22501</v>
      </c>
      <c r="C18999" t="s">
        <v>2539</v>
      </c>
      <c r="D18999" s="254">
        <v>83.61</v>
      </c>
      <c r="E18999"/>
      <c r="F18999"/>
      <c r="G18999"/>
      <c r="H18999"/>
      <c r="I18999" s="489"/>
    </row>
    <row r="19000" spans="1:9" x14ac:dyDescent="0.25">
      <c r="A19000">
        <v>38138</v>
      </c>
      <c r="B19000" t="s">
        <v>22502</v>
      </c>
      <c r="C19000" t="s">
        <v>2539</v>
      </c>
      <c r="D19000" s="254">
        <v>64.77</v>
      </c>
      <c r="E19000"/>
      <c r="F19000"/>
      <c r="G19000"/>
      <c r="H19000"/>
      <c r="I19000" s="489"/>
    </row>
    <row r="19001" spans="1:9" x14ac:dyDescent="0.25">
      <c r="A19001">
        <v>3736</v>
      </c>
      <c r="B19001" t="s">
        <v>22503</v>
      </c>
      <c r="C19001" t="s">
        <v>2539</v>
      </c>
      <c r="D19001" s="254">
        <v>61.25</v>
      </c>
      <c r="E19001"/>
      <c r="F19001"/>
      <c r="G19001"/>
      <c r="H19001"/>
      <c r="I19001" s="489"/>
    </row>
    <row r="19002" spans="1:9" x14ac:dyDescent="0.25">
      <c r="A19002">
        <v>3741</v>
      </c>
      <c r="B19002" t="s">
        <v>22504</v>
      </c>
      <c r="C19002" t="s">
        <v>2539</v>
      </c>
      <c r="D19002" s="254">
        <v>63.84</v>
      </c>
      <c r="E19002"/>
      <c r="F19002"/>
      <c r="G19002"/>
      <c r="H19002"/>
      <c r="I19002" s="489"/>
    </row>
    <row r="19003" spans="1:9" x14ac:dyDescent="0.25">
      <c r="A19003">
        <v>3745</v>
      </c>
      <c r="B19003" t="s">
        <v>22505</v>
      </c>
      <c r="C19003" t="s">
        <v>2539</v>
      </c>
      <c r="D19003" s="254">
        <v>68.84</v>
      </c>
      <c r="E19003"/>
      <c r="F19003"/>
      <c r="G19003"/>
      <c r="H19003"/>
      <c r="I19003" s="489"/>
    </row>
    <row r="19004" spans="1:9" x14ac:dyDescent="0.25">
      <c r="A19004">
        <v>3743</v>
      </c>
      <c r="B19004" t="s">
        <v>22506</v>
      </c>
      <c r="C19004" t="s">
        <v>2539</v>
      </c>
      <c r="D19004" s="254">
        <v>63.62</v>
      </c>
      <c r="E19004"/>
      <c r="F19004"/>
      <c r="G19004"/>
      <c r="H19004"/>
      <c r="I19004" s="489"/>
    </row>
    <row r="19005" spans="1:9" x14ac:dyDescent="0.25">
      <c r="A19005">
        <v>3744</v>
      </c>
      <c r="B19005" t="s">
        <v>22507</v>
      </c>
      <c r="C19005" t="s">
        <v>2539</v>
      </c>
      <c r="D19005" s="254">
        <v>70.03</v>
      </c>
      <c r="E19005"/>
      <c r="F19005"/>
      <c r="G19005"/>
      <c r="H19005"/>
      <c r="I19005" s="489"/>
    </row>
    <row r="19006" spans="1:9" x14ac:dyDescent="0.25">
      <c r="A19006">
        <v>3739</v>
      </c>
      <c r="B19006" t="s">
        <v>22508</v>
      </c>
      <c r="C19006" t="s">
        <v>2539</v>
      </c>
      <c r="D19006" s="254">
        <v>73.59</v>
      </c>
      <c r="E19006"/>
      <c r="F19006"/>
      <c r="G19006"/>
      <c r="H19006"/>
      <c r="I19006" s="489"/>
    </row>
    <row r="19007" spans="1:9" x14ac:dyDescent="0.25">
      <c r="A19007">
        <v>3737</v>
      </c>
      <c r="B19007" t="s">
        <v>22509</v>
      </c>
      <c r="C19007" t="s">
        <v>2539</v>
      </c>
      <c r="D19007" s="254">
        <v>77.150000000000006</v>
      </c>
      <c r="E19007"/>
      <c r="F19007"/>
      <c r="G19007"/>
      <c r="H19007"/>
      <c r="I19007" s="489"/>
    </row>
    <row r="19008" spans="1:9" x14ac:dyDescent="0.25">
      <c r="A19008">
        <v>3738</v>
      </c>
      <c r="B19008" t="s">
        <v>22510</v>
      </c>
      <c r="C19008" t="s">
        <v>2539</v>
      </c>
      <c r="D19008" s="254">
        <v>89.02</v>
      </c>
      <c r="E19008"/>
      <c r="F19008"/>
      <c r="G19008"/>
      <c r="H19008"/>
      <c r="I19008" s="489"/>
    </row>
    <row r="19009" spans="1:9" x14ac:dyDescent="0.25">
      <c r="A19009">
        <v>3747</v>
      </c>
      <c r="B19009" t="s">
        <v>22511</v>
      </c>
      <c r="C19009" t="s">
        <v>2539</v>
      </c>
      <c r="D19009" s="254">
        <v>70.03</v>
      </c>
      <c r="E19009"/>
      <c r="F19009"/>
      <c r="G19009"/>
      <c r="H19009"/>
      <c r="I19009" s="489"/>
    </row>
    <row r="19010" spans="1:9" x14ac:dyDescent="0.25">
      <c r="A19010">
        <v>11649</v>
      </c>
      <c r="B19010" t="s">
        <v>22512</v>
      </c>
      <c r="C19010" t="s">
        <v>2537</v>
      </c>
      <c r="D19010" s="254">
        <v>508.04</v>
      </c>
      <c r="E19010"/>
      <c r="F19010"/>
      <c r="G19010"/>
      <c r="H19010"/>
      <c r="I19010" s="489"/>
    </row>
    <row r="19011" spans="1:9" x14ac:dyDescent="0.25">
      <c r="A19011">
        <v>11650</v>
      </c>
      <c r="B19011" t="s">
        <v>22513</v>
      </c>
      <c r="C19011" t="s">
        <v>2537</v>
      </c>
      <c r="D19011" s="254">
        <v>865.92</v>
      </c>
      <c r="E19011"/>
      <c r="F19011"/>
      <c r="G19011"/>
      <c r="H19011"/>
      <c r="I19011" s="489"/>
    </row>
    <row r="19012" spans="1:9" x14ac:dyDescent="0.25">
      <c r="A19012">
        <v>3742</v>
      </c>
      <c r="B19012" t="s">
        <v>22514</v>
      </c>
      <c r="C19012" t="s">
        <v>2539</v>
      </c>
      <c r="D19012" s="254">
        <v>92.34</v>
      </c>
      <c r="E19012"/>
      <c r="F19012"/>
      <c r="G19012"/>
      <c r="H19012"/>
      <c r="I19012" s="489"/>
    </row>
    <row r="19013" spans="1:9" x14ac:dyDescent="0.25">
      <c r="A19013">
        <v>3746</v>
      </c>
      <c r="B19013" t="s">
        <v>22515</v>
      </c>
      <c r="C19013" t="s">
        <v>2539</v>
      </c>
      <c r="D19013" s="254">
        <v>107.82</v>
      </c>
      <c r="E19013"/>
      <c r="F19013"/>
      <c r="G19013"/>
      <c r="H19013"/>
      <c r="I19013" s="489"/>
    </row>
    <row r="19014" spans="1:9" x14ac:dyDescent="0.25">
      <c r="A19014">
        <v>21106</v>
      </c>
      <c r="B19014" t="s">
        <v>22516</v>
      </c>
      <c r="C19014" t="s">
        <v>2542</v>
      </c>
      <c r="D19014" s="254">
        <v>39.83</v>
      </c>
      <c r="E19014"/>
      <c r="F19014"/>
      <c r="G19014"/>
      <c r="H19014"/>
      <c r="I19014" s="489"/>
    </row>
    <row r="19015" spans="1:9" x14ac:dyDescent="0.25">
      <c r="A19015">
        <v>3755</v>
      </c>
      <c r="B19015" t="s">
        <v>22517</v>
      </c>
      <c r="C19015" t="s">
        <v>2537</v>
      </c>
      <c r="D19015" s="254">
        <v>19.46</v>
      </c>
      <c r="E19015"/>
      <c r="F19015"/>
      <c r="G19015"/>
      <c r="H19015"/>
      <c r="I19015" s="489"/>
    </row>
    <row r="19016" spans="1:9" x14ac:dyDescent="0.25">
      <c r="A19016">
        <v>3750</v>
      </c>
      <c r="B19016" t="s">
        <v>22518</v>
      </c>
      <c r="C19016" t="s">
        <v>2537</v>
      </c>
      <c r="D19016" s="254">
        <v>26.17</v>
      </c>
      <c r="E19016"/>
      <c r="F19016"/>
      <c r="G19016"/>
      <c r="H19016"/>
      <c r="I19016" s="489"/>
    </row>
    <row r="19017" spans="1:9" x14ac:dyDescent="0.25">
      <c r="A19017">
        <v>3756</v>
      </c>
      <c r="B19017" t="s">
        <v>22519</v>
      </c>
      <c r="C19017" t="s">
        <v>2537</v>
      </c>
      <c r="D19017" s="254">
        <v>48.91</v>
      </c>
      <c r="E19017"/>
      <c r="F19017"/>
      <c r="G19017"/>
      <c r="H19017"/>
      <c r="I19017" s="489"/>
    </row>
    <row r="19018" spans="1:9" x14ac:dyDescent="0.25">
      <c r="A19018">
        <v>39377</v>
      </c>
      <c r="B19018" t="s">
        <v>22520</v>
      </c>
      <c r="C19018" t="s">
        <v>2537</v>
      </c>
      <c r="D19018" s="254">
        <v>144.87</v>
      </c>
      <c r="E19018"/>
      <c r="F19018"/>
      <c r="G19018"/>
      <c r="H19018"/>
      <c r="I19018" s="489"/>
    </row>
    <row r="19019" spans="1:9" x14ac:dyDescent="0.25">
      <c r="A19019">
        <v>38191</v>
      </c>
      <c r="B19019" t="s">
        <v>22521</v>
      </c>
      <c r="C19019" t="s">
        <v>2537</v>
      </c>
      <c r="D19019" s="254">
        <v>10.78</v>
      </c>
      <c r="E19019"/>
      <c r="F19019"/>
      <c r="G19019"/>
      <c r="H19019"/>
      <c r="I19019" s="489"/>
    </row>
    <row r="19020" spans="1:9" x14ac:dyDescent="0.25">
      <c r="A19020">
        <v>39381</v>
      </c>
      <c r="B19020" t="s">
        <v>22522</v>
      </c>
      <c r="C19020" t="s">
        <v>2537</v>
      </c>
      <c r="D19020" s="254">
        <v>10.06</v>
      </c>
      <c r="E19020"/>
      <c r="F19020"/>
      <c r="G19020"/>
      <c r="H19020"/>
      <c r="I19020" s="489"/>
    </row>
    <row r="19021" spans="1:9" x14ac:dyDescent="0.25">
      <c r="A19021">
        <v>38780</v>
      </c>
      <c r="B19021" t="s">
        <v>22523</v>
      </c>
      <c r="C19021" t="s">
        <v>2537</v>
      </c>
      <c r="D19021" s="254">
        <v>12.31</v>
      </c>
      <c r="E19021"/>
      <c r="F19021"/>
      <c r="G19021"/>
      <c r="H19021"/>
      <c r="I19021" s="489"/>
    </row>
    <row r="19022" spans="1:9" x14ac:dyDescent="0.25">
      <c r="A19022">
        <v>38781</v>
      </c>
      <c r="B19022" t="s">
        <v>22524</v>
      </c>
      <c r="C19022" t="s">
        <v>2537</v>
      </c>
      <c r="D19022" s="254">
        <v>41.55</v>
      </c>
      <c r="E19022"/>
      <c r="F19022"/>
      <c r="G19022"/>
      <c r="H19022"/>
      <c r="I19022" s="489"/>
    </row>
    <row r="19023" spans="1:9" x14ac:dyDescent="0.25">
      <c r="A19023">
        <v>38192</v>
      </c>
      <c r="B19023" t="s">
        <v>22525</v>
      </c>
      <c r="C19023" t="s">
        <v>2537</v>
      </c>
      <c r="D19023" s="254">
        <v>75.19</v>
      </c>
      <c r="E19023"/>
      <c r="F19023"/>
      <c r="G19023"/>
      <c r="H19023"/>
      <c r="I19023" s="489"/>
    </row>
    <row r="19024" spans="1:9" x14ac:dyDescent="0.25">
      <c r="A19024">
        <v>3753</v>
      </c>
      <c r="B19024" t="s">
        <v>22526</v>
      </c>
      <c r="C19024" t="s">
        <v>2537</v>
      </c>
      <c r="D19024" s="254">
        <v>6.58</v>
      </c>
      <c r="E19024"/>
      <c r="F19024"/>
      <c r="G19024"/>
      <c r="H19024"/>
      <c r="I19024" s="489"/>
    </row>
    <row r="19025" spans="1:9" x14ac:dyDescent="0.25">
      <c r="A19025">
        <v>38782</v>
      </c>
      <c r="B19025" t="s">
        <v>22527</v>
      </c>
      <c r="C19025" t="s">
        <v>2537</v>
      </c>
      <c r="D19025" s="254">
        <v>8.57</v>
      </c>
      <c r="E19025"/>
      <c r="F19025"/>
      <c r="G19025"/>
      <c r="H19025"/>
      <c r="I19025" s="489"/>
    </row>
    <row r="19026" spans="1:9" x14ac:dyDescent="0.25">
      <c r="A19026">
        <v>38778</v>
      </c>
      <c r="B19026" t="s">
        <v>22528</v>
      </c>
      <c r="C19026" t="s">
        <v>2537</v>
      </c>
      <c r="D19026" s="254">
        <v>6.43</v>
      </c>
      <c r="E19026"/>
      <c r="F19026"/>
      <c r="G19026"/>
      <c r="H19026"/>
      <c r="I19026" s="489"/>
    </row>
    <row r="19027" spans="1:9" x14ac:dyDescent="0.25">
      <c r="A19027">
        <v>38779</v>
      </c>
      <c r="B19027" t="s">
        <v>22529</v>
      </c>
      <c r="C19027" t="s">
        <v>2537</v>
      </c>
      <c r="D19027" s="254">
        <v>6.82</v>
      </c>
      <c r="E19027"/>
      <c r="F19027"/>
      <c r="G19027"/>
      <c r="H19027"/>
      <c r="I19027" s="489"/>
    </row>
    <row r="19028" spans="1:9" x14ac:dyDescent="0.25">
      <c r="A19028">
        <v>39388</v>
      </c>
      <c r="B19028" t="s">
        <v>22530</v>
      </c>
      <c r="C19028" t="s">
        <v>2537</v>
      </c>
      <c r="D19028" s="254">
        <v>10.130000000000001</v>
      </c>
      <c r="E19028"/>
      <c r="F19028"/>
      <c r="G19028"/>
      <c r="H19028"/>
      <c r="I19028" s="489"/>
    </row>
    <row r="19029" spans="1:9" x14ac:dyDescent="0.25">
      <c r="A19029">
        <v>39387</v>
      </c>
      <c r="B19029" t="s">
        <v>22531</v>
      </c>
      <c r="C19029" t="s">
        <v>2537</v>
      </c>
      <c r="D19029" s="254">
        <v>15.8</v>
      </c>
      <c r="E19029"/>
      <c r="F19029"/>
      <c r="G19029"/>
      <c r="H19029"/>
      <c r="I19029" s="489"/>
    </row>
    <row r="19030" spans="1:9" x14ac:dyDescent="0.25">
      <c r="A19030">
        <v>39386</v>
      </c>
      <c r="B19030" t="s">
        <v>22532</v>
      </c>
      <c r="C19030" t="s">
        <v>2537</v>
      </c>
      <c r="D19030" s="254">
        <v>11.01</v>
      </c>
      <c r="E19030"/>
      <c r="F19030"/>
      <c r="G19030"/>
      <c r="H19030"/>
      <c r="I19030" s="489"/>
    </row>
    <row r="19031" spans="1:9" x14ac:dyDescent="0.25">
      <c r="A19031">
        <v>38194</v>
      </c>
      <c r="B19031" t="s">
        <v>22533</v>
      </c>
      <c r="C19031" t="s">
        <v>2537</v>
      </c>
      <c r="D19031" s="254">
        <v>8.24</v>
      </c>
      <c r="E19031"/>
      <c r="F19031"/>
      <c r="G19031"/>
      <c r="H19031"/>
      <c r="I19031" s="489"/>
    </row>
    <row r="19032" spans="1:9" x14ac:dyDescent="0.25">
      <c r="A19032">
        <v>38193</v>
      </c>
      <c r="B19032" t="s">
        <v>22534</v>
      </c>
      <c r="C19032" t="s">
        <v>2537</v>
      </c>
      <c r="D19032" s="254">
        <v>7.16</v>
      </c>
      <c r="E19032"/>
      <c r="F19032"/>
      <c r="G19032"/>
      <c r="H19032"/>
      <c r="I19032" s="489"/>
    </row>
    <row r="19033" spans="1:9" x14ac:dyDescent="0.25">
      <c r="A19033">
        <v>12216</v>
      </c>
      <c r="B19033" t="s">
        <v>22535</v>
      </c>
      <c r="C19033" t="s">
        <v>2537</v>
      </c>
      <c r="D19033" s="254">
        <v>37.6</v>
      </c>
      <c r="E19033"/>
      <c r="F19033"/>
      <c r="G19033"/>
      <c r="H19033"/>
      <c r="I19033" s="489"/>
    </row>
    <row r="19034" spans="1:9" x14ac:dyDescent="0.25">
      <c r="A19034">
        <v>3757</v>
      </c>
      <c r="B19034" t="s">
        <v>22536</v>
      </c>
      <c r="C19034" t="s">
        <v>2537</v>
      </c>
      <c r="D19034" s="254">
        <v>43.48</v>
      </c>
      <c r="E19034"/>
      <c r="F19034"/>
      <c r="G19034"/>
      <c r="H19034"/>
      <c r="I19034" s="489"/>
    </row>
    <row r="19035" spans="1:9" x14ac:dyDescent="0.25">
      <c r="A19035">
        <v>3758</v>
      </c>
      <c r="B19035" t="s">
        <v>22537</v>
      </c>
      <c r="C19035" t="s">
        <v>2537</v>
      </c>
      <c r="D19035" s="254">
        <v>50.69</v>
      </c>
      <c r="E19035"/>
      <c r="F19035"/>
      <c r="G19035"/>
      <c r="H19035"/>
      <c r="I19035" s="489"/>
    </row>
    <row r="19036" spans="1:9" x14ac:dyDescent="0.25">
      <c r="A19036">
        <v>12214</v>
      </c>
      <c r="B19036" t="s">
        <v>22538</v>
      </c>
      <c r="C19036" t="s">
        <v>2537</v>
      </c>
      <c r="D19036" s="254">
        <v>17.36</v>
      </c>
      <c r="E19036"/>
      <c r="F19036"/>
      <c r="G19036"/>
      <c r="H19036"/>
      <c r="I19036" s="489"/>
    </row>
    <row r="19037" spans="1:9" x14ac:dyDescent="0.25">
      <c r="A19037">
        <v>3749</v>
      </c>
      <c r="B19037" t="s">
        <v>22539</v>
      </c>
      <c r="C19037" t="s">
        <v>2537</v>
      </c>
      <c r="D19037" s="254">
        <v>30.94</v>
      </c>
      <c r="E19037"/>
      <c r="F19037"/>
      <c r="G19037"/>
      <c r="H19037"/>
      <c r="I19037" s="489"/>
    </row>
    <row r="19038" spans="1:9" x14ac:dyDescent="0.25">
      <c r="A19038">
        <v>3751</v>
      </c>
      <c r="B19038" t="s">
        <v>22540</v>
      </c>
      <c r="C19038" t="s">
        <v>2537</v>
      </c>
      <c r="D19038" s="254">
        <v>42.22</v>
      </c>
      <c r="E19038"/>
      <c r="F19038"/>
      <c r="G19038"/>
      <c r="H19038"/>
      <c r="I19038" s="489"/>
    </row>
    <row r="19039" spans="1:9" x14ac:dyDescent="0.25">
      <c r="A19039">
        <v>39376</v>
      </c>
      <c r="B19039" t="s">
        <v>22541</v>
      </c>
      <c r="C19039" t="s">
        <v>2537</v>
      </c>
      <c r="D19039" s="254">
        <v>35.590000000000003</v>
      </c>
      <c r="E19039"/>
      <c r="F19039"/>
      <c r="G19039"/>
      <c r="H19039"/>
      <c r="I19039" s="489"/>
    </row>
    <row r="19040" spans="1:9" x14ac:dyDescent="0.25">
      <c r="A19040">
        <v>3752</v>
      </c>
      <c r="B19040" t="s">
        <v>22542</v>
      </c>
      <c r="C19040" t="s">
        <v>2537</v>
      </c>
      <c r="D19040" s="254">
        <v>69.650000000000006</v>
      </c>
      <c r="E19040"/>
      <c r="F19040"/>
      <c r="G19040"/>
      <c r="H19040"/>
      <c r="I19040" s="489"/>
    </row>
    <row r="19041" spans="1:9" x14ac:dyDescent="0.25">
      <c r="A19041">
        <v>746</v>
      </c>
      <c r="B19041" t="s">
        <v>22543</v>
      </c>
      <c r="C19041" t="s">
        <v>2537</v>
      </c>
      <c r="D19041" s="254">
        <v>2350.98</v>
      </c>
      <c r="E19041"/>
      <c r="F19041"/>
      <c r="G19041"/>
      <c r="H19041"/>
      <c r="I19041" s="489"/>
    </row>
    <row r="19042" spans="1:9" x14ac:dyDescent="0.25">
      <c r="A19042">
        <v>20269</v>
      </c>
      <c r="B19042" t="s">
        <v>22544</v>
      </c>
      <c r="C19042" t="s">
        <v>2537</v>
      </c>
      <c r="D19042" s="254">
        <v>82.88</v>
      </c>
      <c r="E19042"/>
      <c r="F19042"/>
      <c r="G19042"/>
      <c r="H19042"/>
      <c r="I19042" s="489"/>
    </row>
    <row r="19043" spans="1:9" x14ac:dyDescent="0.25">
      <c r="A19043">
        <v>20270</v>
      </c>
      <c r="B19043" t="s">
        <v>22545</v>
      </c>
      <c r="C19043" t="s">
        <v>2537</v>
      </c>
      <c r="D19043" s="254">
        <v>91.58</v>
      </c>
      <c r="E19043"/>
      <c r="F19043"/>
      <c r="G19043"/>
      <c r="H19043"/>
      <c r="I19043" s="489"/>
    </row>
    <row r="19044" spans="1:9" x14ac:dyDescent="0.25">
      <c r="A19044">
        <v>11696</v>
      </c>
      <c r="B19044" t="s">
        <v>22546</v>
      </c>
      <c r="C19044" t="s">
        <v>2537</v>
      </c>
      <c r="D19044" s="254">
        <v>146.6</v>
      </c>
      <c r="E19044"/>
      <c r="F19044"/>
      <c r="G19044"/>
      <c r="H19044"/>
      <c r="I19044" s="489"/>
    </row>
    <row r="19045" spans="1:9" x14ac:dyDescent="0.25">
      <c r="A19045">
        <v>10427</v>
      </c>
      <c r="B19045" t="s">
        <v>22547</v>
      </c>
      <c r="C19045" t="s">
        <v>2537</v>
      </c>
      <c r="D19045" s="254">
        <v>410.24</v>
      </c>
      <c r="E19045"/>
      <c r="F19045"/>
      <c r="G19045"/>
      <c r="H19045"/>
      <c r="I19045" s="489"/>
    </row>
    <row r="19046" spans="1:9" x14ac:dyDescent="0.25">
      <c r="A19046">
        <v>10428</v>
      </c>
      <c r="B19046" t="s">
        <v>22548</v>
      </c>
      <c r="C19046" t="s">
        <v>2537</v>
      </c>
      <c r="D19046" s="254">
        <v>422.68</v>
      </c>
      <c r="E19046"/>
      <c r="F19046"/>
      <c r="G19046"/>
      <c r="H19046"/>
      <c r="I19046" s="489"/>
    </row>
    <row r="19047" spans="1:9" x14ac:dyDescent="0.25">
      <c r="A19047">
        <v>36521</v>
      </c>
      <c r="B19047" t="s">
        <v>22549</v>
      </c>
      <c r="C19047" t="s">
        <v>2537</v>
      </c>
      <c r="D19047" s="254">
        <v>131.88</v>
      </c>
      <c r="E19047"/>
      <c r="F19047"/>
      <c r="G19047"/>
      <c r="H19047"/>
      <c r="I19047" s="489"/>
    </row>
    <row r="19048" spans="1:9" x14ac:dyDescent="0.25">
      <c r="A19048">
        <v>36794</v>
      </c>
      <c r="B19048" t="s">
        <v>22550</v>
      </c>
      <c r="C19048" t="s">
        <v>2537</v>
      </c>
      <c r="D19048" s="254">
        <v>140.4</v>
      </c>
      <c r="E19048"/>
      <c r="F19048"/>
      <c r="G19048"/>
      <c r="H19048"/>
      <c r="I19048" s="489"/>
    </row>
    <row r="19049" spans="1:9" x14ac:dyDescent="0.25">
      <c r="A19049">
        <v>10426</v>
      </c>
      <c r="B19049" t="s">
        <v>22551</v>
      </c>
      <c r="C19049" t="s">
        <v>2537</v>
      </c>
      <c r="D19049" s="254">
        <v>157.22</v>
      </c>
      <c r="E19049"/>
      <c r="F19049"/>
      <c r="G19049"/>
      <c r="H19049"/>
      <c r="I19049" s="489"/>
    </row>
    <row r="19050" spans="1:9" x14ac:dyDescent="0.25">
      <c r="A19050">
        <v>10425</v>
      </c>
      <c r="B19050" t="s">
        <v>22552</v>
      </c>
      <c r="C19050" t="s">
        <v>2537</v>
      </c>
      <c r="D19050" s="254">
        <v>79.760000000000005</v>
      </c>
      <c r="E19050"/>
      <c r="F19050"/>
      <c r="G19050"/>
      <c r="H19050"/>
      <c r="I19050" s="489"/>
    </row>
    <row r="19051" spans="1:9" x14ac:dyDescent="0.25">
      <c r="A19051">
        <v>10431</v>
      </c>
      <c r="B19051" t="s">
        <v>22553</v>
      </c>
      <c r="C19051" t="s">
        <v>2537</v>
      </c>
      <c r="D19051" s="254">
        <v>273.06</v>
      </c>
      <c r="E19051"/>
      <c r="F19051"/>
      <c r="G19051"/>
      <c r="H19051"/>
      <c r="I19051" s="489"/>
    </row>
    <row r="19052" spans="1:9" x14ac:dyDescent="0.25">
      <c r="A19052">
        <v>10429</v>
      </c>
      <c r="B19052" t="s">
        <v>22554</v>
      </c>
      <c r="C19052" t="s">
        <v>2537</v>
      </c>
      <c r="D19052" s="254">
        <v>134.71</v>
      </c>
      <c r="E19052"/>
      <c r="F19052"/>
      <c r="G19052"/>
      <c r="H19052"/>
      <c r="I19052" s="489"/>
    </row>
    <row r="19053" spans="1:9" x14ac:dyDescent="0.25">
      <c r="A19053">
        <v>2354</v>
      </c>
      <c r="B19053" t="s">
        <v>22555</v>
      </c>
      <c r="C19053" t="s">
        <v>2538</v>
      </c>
      <c r="D19053" s="254">
        <v>22.61</v>
      </c>
      <c r="E19053"/>
      <c r="F19053"/>
      <c r="G19053"/>
      <c r="H19053"/>
      <c r="I19053" s="489"/>
    </row>
    <row r="19054" spans="1:9" x14ac:dyDescent="0.25">
      <c r="A19054">
        <v>40932</v>
      </c>
      <c r="B19054" t="s">
        <v>22556</v>
      </c>
      <c r="C19054" t="s">
        <v>2544</v>
      </c>
      <c r="D19054" s="254">
        <v>3991.88</v>
      </c>
      <c r="E19054"/>
      <c r="F19054"/>
      <c r="G19054"/>
      <c r="H19054"/>
      <c r="I19054" s="489"/>
    </row>
    <row r="19055" spans="1:9" x14ac:dyDescent="0.25">
      <c r="A19055">
        <v>10853</v>
      </c>
      <c r="B19055" t="s">
        <v>22557</v>
      </c>
      <c r="C19055" t="s">
        <v>2537</v>
      </c>
      <c r="D19055" s="254">
        <v>92.69</v>
      </c>
      <c r="E19055"/>
      <c r="F19055"/>
      <c r="G19055"/>
      <c r="H19055"/>
      <c r="I19055" s="489"/>
    </row>
    <row r="19056" spans="1:9" x14ac:dyDescent="0.25">
      <c r="A19056">
        <v>5093</v>
      </c>
      <c r="B19056" t="s">
        <v>22558</v>
      </c>
      <c r="C19056" t="s">
        <v>2545</v>
      </c>
      <c r="D19056" s="254">
        <v>18.22</v>
      </c>
      <c r="E19056"/>
      <c r="F19056"/>
      <c r="G19056"/>
      <c r="H19056"/>
      <c r="I19056" s="489"/>
    </row>
    <row r="19057" spans="1:9" x14ac:dyDescent="0.25">
      <c r="A19057">
        <v>44331</v>
      </c>
      <c r="B19057" t="s">
        <v>22559</v>
      </c>
      <c r="C19057" t="s">
        <v>2543</v>
      </c>
      <c r="D19057" s="254">
        <v>50.55</v>
      </c>
      <c r="E19057"/>
      <c r="F19057"/>
      <c r="G19057"/>
      <c r="H19057"/>
      <c r="I19057" s="489"/>
    </row>
    <row r="19058" spans="1:9" x14ac:dyDescent="0.25">
      <c r="A19058">
        <v>37768</v>
      </c>
      <c r="B19058" t="s">
        <v>22560</v>
      </c>
      <c r="C19058" t="s">
        <v>2537</v>
      </c>
      <c r="D19058" s="254">
        <v>273000</v>
      </c>
      <c r="E19058"/>
      <c r="F19058"/>
      <c r="G19058"/>
      <c r="H19058"/>
      <c r="I19058" s="489"/>
    </row>
    <row r="19059" spans="1:9" x14ac:dyDescent="0.25">
      <c r="A19059">
        <v>37773</v>
      </c>
      <c r="B19059" t="s">
        <v>22561</v>
      </c>
      <c r="C19059" t="s">
        <v>2537</v>
      </c>
      <c r="D19059" s="254">
        <v>231823.02</v>
      </c>
      <c r="E19059"/>
      <c r="F19059"/>
      <c r="G19059"/>
      <c r="H19059"/>
      <c r="I19059" s="489"/>
    </row>
    <row r="19060" spans="1:9" x14ac:dyDescent="0.25">
      <c r="A19060">
        <v>37769</v>
      </c>
      <c r="B19060" t="s">
        <v>22562</v>
      </c>
      <c r="C19060" t="s">
        <v>2537</v>
      </c>
      <c r="D19060" s="254">
        <v>388100.94</v>
      </c>
      <c r="E19060"/>
      <c r="F19060"/>
      <c r="G19060"/>
      <c r="H19060"/>
      <c r="I19060" s="489"/>
    </row>
    <row r="19061" spans="1:9" x14ac:dyDescent="0.25">
      <c r="A19061">
        <v>37770</v>
      </c>
      <c r="B19061" t="s">
        <v>22563</v>
      </c>
      <c r="C19061" t="s">
        <v>2537</v>
      </c>
      <c r="D19061" s="254">
        <v>658669.22</v>
      </c>
      <c r="E19061"/>
      <c r="F19061"/>
      <c r="G19061"/>
      <c r="H19061"/>
      <c r="I19061" s="489"/>
    </row>
    <row r="19062" spans="1:9" x14ac:dyDescent="0.25">
      <c r="A19062">
        <v>38382</v>
      </c>
      <c r="B19062" t="s">
        <v>22564</v>
      </c>
      <c r="C19062" t="s">
        <v>2537</v>
      </c>
      <c r="D19062" s="254">
        <v>11.96</v>
      </c>
      <c r="E19062"/>
      <c r="F19062"/>
      <c r="G19062"/>
      <c r="H19062"/>
      <c r="I19062" s="489"/>
    </row>
    <row r="19063" spans="1:9" x14ac:dyDescent="0.25">
      <c r="A19063">
        <v>38383</v>
      </c>
      <c r="B19063" t="s">
        <v>22565</v>
      </c>
      <c r="C19063" t="s">
        <v>2537</v>
      </c>
      <c r="D19063" s="254">
        <v>2.2400000000000002</v>
      </c>
      <c r="E19063"/>
      <c r="F19063"/>
      <c r="G19063"/>
      <c r="H19063"/>
      <c r="I19063" s="489"/>
    </row>
    <row r="19064" spans="1:9" x14ac:dyDescent="0.25">
      <c r="A19064">
        <v>3768</v>
      </c>
      <c r="B19064" t="s">
        <v>22566</v>
      </c>
      <c r="C19064" t="s">
        <v>2537</v>
      </c>
      <c r="D19064" s="254">
        <v>4.2699999999999996</v>
      </c>
      <c r="E19064"/>
      <c r="F19064"/>
      <c r="G19064"/>
      <c r="H19064"/>
      <c r="I19064" s="489"/>
    </row>
    <row r="19065" spans="1:9" x14ac:dyDescent="0.25">
      <c r="A19065">
        <v>3767</v>
      </c>
      <c r="B19065" t="s">
        <v>22567</v>
      </c>
      <c r="C19065" t="s">
        <v>2537</v>
      </c>
      <c r="D19065" s="254">
        <v>1.43</v>
      </c>
      <c r="E19065"/>
      <c r="F19065"/>
      <c r="G19065"/>
      <c r="H19065"/>
      <c r="I19065" s="489"/>
    </row>
    <row r="19066" spans="1:9" x14ac:dyDescent="0.25">
      <c r="A19066">
        <v>13192</v>
      </c>
      <c r="B19066" t="s">
        <v>22568</v>
      </c>
      <c r="C19066" t="s">
        <v>2537</v>
      </c>
      <c r="D19066" s="254">
        <v>5190.32</v>
      </c>
      <c r="E19066"/>
      <c r="F19066"/>
      <c r="G19066"/>
      <c r="H19066"/>
      <c r="I19066" s="489"/>
    </row>
    <row r="19067" spans="1:9" x14ac:dyDescent="0.25">
      <c r="A19067">
        <v>38413</v>
      </c>
      <c r="B19067" t="s">
        <v>22569</v>
      </c>
      <c r="C19067" t="s">
        <v>2537</v>
      </c>
      <c r="D19067" s="254">
        <v>858.4</v>
      </c>
      <c r="E19067"/>
      <c r="F19067"/>
      <c r="G19067"/>
      <c r="H19067"/>
      <c r="I19067" s="489"/>
    </row>
    <row r="19068" spans="1:9" x14ac:dyDescent="0.25">
      <c r="A19068">
        <v>42440</v>
      </c>
      <c r="B19068" t="s">
        <v>22570</v>
      </c>
      <c r="C19068" t="s">
        <v>2537</v>
      </c>
      <c r="D19068" s="254">
        <v>1225.03</v>
      </c>
      <c r="E19068"/>
      <c r="F19068"/>
      <c r="G19068"/>
      <c r="H19068"/>
      <c r="I19068" s="489"/>
    </row>
    <row r="19069" spans="1:9" x14ac:dyDescent="0.25">
      <c r="A19069">
        <v>20193</v>
      </c>
      <c r="B19069" t="s">
        <v>22571</v>
      </c>
      <c r="C19069" t="s">
        <v>3217</v>
      </c>
      <c r="D19069" s="254">
        <v>7.66</v>
      </c>
      <c r="E19069"/>
      <c r="F19069"/>
      <c r="G19069"/>
      <c r="H19069"/>
      <c r="I19069" s="489"/>
    </row>
    <row r="19070" spans="1:9" x14ac:dyDescent="0.25">
      <c r="A19070">
        <v>10527</v>
      </c>
      <c r="B19070" t="s">
        <v>22572</v>
      </c>
      <c r="C19070" t="s">
        <v>3218</v>
      </c>
      <c r="D19070" s="254">
        <v>23</v>
      </c>
      <c r="E19070"/>
      <c r="F19070"/>
      <c r="G19070"/>
      <c r="H19070"/>
      <c r="I19070" s="489"/>
    </row>
    <row r="19071" spans="1:9" x14ac:dyDescent="0.25">
      <c r="A19071">
        <v>41805</v>
      </c>
      <c r="B19071" t="s">
        <v>22573</v>
      </c>
      <c r="C19071" t="s">
        <v>2544</v>
      </c>
      <c r="D19071" s="254">
        <v>650</v>
      </c>
      <c r="E19071"/>
      <c r="F19071"/>
      <c r="G19071"/>
      <c r="H19071"/>
      <c r="I19071" s="489"/>
    </row>
    <row r="19072" spans="1:9" x14ac:dyDescent="0.25">
      <c r="A19072">
        <v>40271</v>
      </c>
      <c r="B19072" t="s">
        <v>22574</v>
      </c>
      <c r="C19072" t="s">
        <v>2544</v>
      </c>
      <c r="D19072" s="254">
        <v>14.95</v>
      </c>
      <c r="E19072"/>
      <c r="F19072"/>
      <c r="G19072"/>
      <c r="H19072"/>
      <c r="I19072" s="489"/>
    </row>
    <row r="19073" spans="1:9" x14ac:dyDescent="0.25">
      <c r="A19073">
        <v>40287</v>
      </c>
      <c r="B19073" t="s">
        <v>22575</v>
      </c>
      <c r="C19073" t="s">
        <v>2544</v>
      </c>
      <c r="D19073" s="254">
        <v>5.75</v>
      </c>
      <c r="E19073"/>
      <c r="F19073"/>
      <c r="G19073"/>
      <c r="H19073"/>
      <c r="I19073" s="489"/>
    </row>
    <row r="19074" spans="1:9" x14ac:dyDescent="0.25">
      <c r="A19074">
        <v>4084</v>
      </c>
      <c r="B19074" t="s">
        <v>22576</v>
      </c>
      <c r="C19074" t="s">
        <v>2538</v>
      </c>
      <c r="D19074" s="254">
        <v>1.71</v>
      </c>
      <c r="E19074"/>
      <c r="F19074"/>
      <c r="G19074"/>
      <c r="H19074"/>
      <c r="I19074" s="489"/>
    </row>
    <row r="19075" spans="1:9" x14ac:dyDescent="0.25">
      <c r="A19075">
        <v>743</v>
      </c>
      <c r="B19075" t="s">
        <v>22577</v>
      </c>
      <c r="C19075" t="s">
        <v>2538</v>
      </c>
      <c r="D19075" s="254">
        <v>1.71</v>
      </c>
      <c r="E19075"/>
      <c r="F19075"/>
      <c r="G19075"/>
      <c r="H19075"/>
      <c r="I19075" s="489"/>
    </row>
    <row r="19076" spans="1:9" x14ac:dyDescent="0.25">
      <c r="A19076">
        <v>40293</v>
      </c>
      <c r="B19076" t="s">
        <v>22578</v>
      </c>
      <c r="C19076" t="s">
        <v>2538</v>
      </c>
      <c r="D19076" s="254">
        <v>2.0499999999999998</v>
      </c>
      <c r="E19076"/>
      <c r="F19076"/>
      <c r="G19076"/>
      <c r="H19076"/>
      <c r="I19076" s="489"/>
    </row>
    <row r="19077" spans="1:9" x14ac:dyDescent="0.25">
      <c r="A19077">
        <v>40294</v>
      </c>
      <c r="B19077" t="s">
        <v>22579</v>
      </c>
      <c r="C19077" t="s">
        <v>2538</v>
      </c>
      <c r="D19077" s="254">
        <v>1.71</v>
      </c>
      <c r="E19077"/>
      <c r="F19077"/>
      <c r="G19077"/>
      <c r="H19077"/>
      <c r="I19077" s="489"/>
    </row>
    <row r="19078" spans="1:9" x14ac:dyDescent="0.25">
      <c r="A19078">
        <v>4085</v>
      </c>
      <c r="B19078" t="s">
        <v>22580</v>
      </c>
      <c r="C19078" t="s">
        <v>2538</v>
      </c>
      <c r="D19078" s="254">
        <v>2.39</v>
      </c>
      <c r="E19078"/>
      <c r="F19078"/>
      <c r="G19078"/>
      <c r="H19078"/>
      <c r="I19078" s="489"/>
    </row>
    <row r="19079" spans="1:9" x14ac:dyDescent="0.25">
      <c r="A19079">
        <v>10779</v>
      </c>
      <c r="B19079" t="s">
        <v>22581</v>
      </c>
      <c r="C19079" t="s">
        <v>2544</v>
      </c>
      <c r="D19079" s="254">
        <v>1095</v>
      </c>
      <c r="E19079"/>
      <c r="F19079"/>
      <c r="G19079"/>
      <c r="H19079"/>
      <c r="I19079" s="489"/>
    </row>
    <row r="19080" spans="1:9" x14ac:dyDescent="0.25">
      <c r="A19080">
        <v>10777</v>
      </c>
      <c r="B19080" t="s">
        <v>22582</v>
      </c>
      <c r="C19080" t="s">
        <v>2544</v>
      </c>
      <c r="D19080" s="254">
        <v>994.62</v>
      </c>
      <c r="E19080"/>
      <c r="F19080"/>
      <c r="G19080"/>
      <c r="H19080"/>
      <c r="I19080" s="489"/>
    </row>
    <row r="19081" spans="1:9" x14ac:dyDescent="0.25">
      <c r="A19081">
        <v>10775</v>
      </c>
      <c r="B19081" t="s">
        <v>22583</v>
      </c>
      <c r="C19081" t="s">
        <v>2544</v>
      </c>
      <c r="D19081" s="254">
        <v>876</v>
      </c>
      <c r="E19081"/>
      <c r="F19081"/>
      <c r="G19081"/>
      <c r="H19081"/>
      <c r="I19081" s="489"/>
    </row>
    <row r="19082" spans="1:9" x14ac:dyDescent="0.25">
      <c r="A19082">
        <v>10776</v>
      </c>
      <c r="B19082" t="s">
        <v>22584</v>
      </c>
      <c r="C19082" t="s">
        <v>2544</v>
      </c>
      <c r="D19082" s="254">
        <v>684.37</v>
      </c>
      <c r="E19082"/>
      <c r="F19082"/>
      <c r="G19082"/>
      <c r="H19082"/>
      <c r="I19082" s="489"/>
    </row>
    <row r="19083" spans="1:9" x14ac:dyDescent="0.25">
      <c r="A19083">
        <v>10778</v>
      </c>
      <c r="B19083" t="s">
        <v>22585</v>
      </c>
      <c r="C19083" t="s">
        <v>2544</v>
      </c>
      <c r="D19083" s="254">
        <v>1095</v>
      </c>
      <c r="E19083"/>
      <c r="F19083"/>
      <c r="G19083"/>
      <c r="H19083"/>
      <c r="I19083" s="489"/>
    </row>
    <row r="19084" spans="1:9" x14ac:dyDescent="0.25">
      <c r="A19084">
        <v>40339</v>
      </c>
      <c r="B19084" t="s">
        <v>22586</v>
      </c>
      <c r="C19084" t="s">
        <v>2544</v>
      </c>
      <c r="D19084" s="254">
        <v>5.75</v>
      </c>
      <c r="E19084"/>
      <c r="F19084"/>
      <c r="G19084"/>
      <c r="H19084"/>
      <c r="I19084" s="489"/>
    </row>
    <row r="19085" spans="1:9" x14ac:dyDescent="0.25">
      <c r="A19085">
        <v>10749</v>
      </c>
      <c r="B19085" t="s">
        <v>22587</v>
      </c>
      <c r="C19085" t="s">
        <v>2544</v>
      </c>
      <c r="D19085" s="254">
        <v>10.54</v>
      </c>
      <c r="E19085"/>
      <c r="F19085"/>
      <c r="G19085"/>
      <c r="H19085"/>
      <c r="I19085" s="489"/>
    </row>
    <row r="19086" spans="1:9" x14ac:dyDescent="0.25">
      <c r="A19086">
        <v>40290</v>
      </c>
      <c r="B19086" t="s">
        <v>22588</v>
      </c>
      <c r="C19086" t="s">
        <v>22589</v>
      </c>
      <c r="D19086" s="254">
        <v>15.18</v>
      </c>
      <c r="E19086"/>
      <c r="F19086"/>
      <c r="G19086"/>
      <c r="H19086"/>
      <c r="I19086" s="489"/>
    </row>
    <row r="19087" spans="1:9" x14ac:dyDescent="0.25">
      <c r="A19087">
        <v>3346</v>
      </c>
      <c r="B19087" t="s">
        <v>22590</v>
      </c>
      <c r="C19087" t="s">
        <v>2538</v>
      </c>
      <c r="D19087" s="254">
        <v>15.32</v>
      </c>
      <c r="E19087"/>
      <c r="F19087"/>
      <c r="G19087"/>
      <c r="H19087"/>
      <c r="I19087" s="489"/>
    </row>
    <row r="19088" spans="1:9" x14ac:dyDescent="0.25">
      <c r="A19088">
        <v>3348</v>
      </c>
      <c r="B19088" t="s">
        <v>22591</v>
      </c>
      <c r="C19088" t="s">
        <v>2538</v>
      </c>
      <c r="D19088" s="254">
        <v>18.32</v>
      </c>
      <c r="E19088"/>
      <c r="F19088"/>
      <c r="G19088"/>
      <c r="H19088"/>
      <c r="I19088" s="489"/>
    </row>
    <row r="19089" spans="1:9" x14ac:dyDescent="0.25">
      <c r="A19089">
        <v>39833</v>
      </c>
      <c r="B19089" t="s">
        <v>22592</v>
      </c>
      <c r="C19089" t="s">
        <v>2538</v>
      </c>
      <c r="D19089" s="254">
        <v>25.1</v>
      </c>
      <c r="E19089"/>
      <c r="F19089"/>
      <c r="G19089"/>
      <c r="H19089"/>
      <c r="I19089" s="489"/>
    </row>
    <row r="19090" spans="1:9" x14ac:dyDescent="0.25">
      <c r="A19090">
        <v>7252</v>
      </c>
      <c r="B19090" t="s">
        <v>22593</v>
      </c>
      <c r="C19090" t="s">
        <v>2538</v>
      </c>
      <c r="D19090" s="254">
        <v>2.25</v>
      </c>
      <c r="E19090"/>
      <c r="F19090"/>
      <c r="G19090"/>
      <c r="H19090"/>
      <c r="I19090" s="489"/>
    </row>
    <row r="19091" spans="1:9" x14ac:dyDescent="0.25">
      <c r="A19091">
        <v>7247</v>
      </c>
      <c r="B19091" t="s">
        <v>22594</v>
      </c>
      <c r="C19091" t="s">
        <v>2538</v>
      </c>
      <c r="D19091" s="254">
        <v>2.25</v>
      </c>
      <c r="E19091"/>
      <c r="F19091"/>
      <c r="G19091"/>
      <c r="H19091"/>
      <c r="I19091" s="489"/>
    </row>
    <row r="19092" spans="1:9" x14ac:dyDescent="0.25">
      <c r="A19092">
        <v>40291</v>
      </c>
      <c r="B19092" t="s">
        <v>22595</v>
      </c>
      <c r="C19092" t="s">
        <v>2544</v>
      </c>
      <c r="D19092" s="254">
        <v>802.34</v>
      </c>
      <c r="E19092"/>
      <c r="F19092"/>
      <c r="G19092"/>
      <c r="H19092"/>
      <c r="I19092" s="489"/>
    </row>
    <row r="19093" spans="1:9" x14ac:dyDescent="0.25">
      <c r="A19093">
        <v>40275</v>
      </c>
      <c r="B19093" t="s">
        <v>22596</v>
      </c>
      <c r="C19093" t="s">
        <v>2544</v>
      </c>
      <c r="D19093" s="254">
        <v>23</v>
      </c>
      <c r="E19093"/>
      <c r="F19093"/>
      <c r="G19093"/>
      <c r="H19093"/>
      <c r="I19093" s="489"/>
    </row>
    <row r="19094" spans="1:9" x14ac:dyDescent="0.25">
      <c r="A19094">
        <v>42408</v>
      </c>
      <c r="B19094" t="s">
        <v>22597</v>
      </c>
      <c r="C19094" t="s">
        <v>2539</v>
      </c>
      <c r="D19094" s="254">
        <v>1.62</v>
      </c>
      <c r="E19094"/>
      <c r="F19094"/>
      <c r="G19094"/>
      <c r="H19094"/>
      <c r="I19094" s="489"/>
    </row>
    <row r="19095" spans="1:9" x14ac:dyDescent="0.25">
      <c r="A19095">
        <v>3777</v>
      </c>
      <c r="B19095" t="s">
        <v>22598</v>
      </c>
      <c r="C19095" t="s">
        <v>2539</v>
      </c>
      <c r="D19095" s="254">
        <v>1.17</v>
      </c>
      <c r="E19095"/>
      <c r="F19095"/>
      <c r="G19095"/>
      <c r="H19095"/>
      <c r="I19095" s="489"/>
    </row>
    <row r="19096" spans="1:9" x14ac:dyDescent="0.25">
      <c r="A19096">
        <v>3798</v>
      </c>
      <c r="B19096" t="s">
        <v>22599</v>
      </c>
      <c r="C19096" t="s">
        <v>2537</v>
      </c>
      <c r="D19096" s="254">
        <v>92.79</v>
      </c>
      <c r="E19096"/>
      <c r="F19096"/>
      <c r="G19096"/>
      <c r="H19096"/>
      <c r="I19096" s="489"/>
    </row>
    <row r="19097" spans="1:9" x14ac:dyDescent="0.25">
      <c r="A19097">
        <v>38769</v>
      </c>
      <c r="B19097" t="s">
        <v>22600</v>
      </c>
      <c r="C19097" t="s">
        <v>2537</v>
      </c>
      <c r="D19097" s="254">
        <v>72.459999999999994</v>
      </c>
      <c r="E19097"/>
      <c r="F19097"/>
      <c r="G19097"/>
      <c r="H19097"/>
      <c r="I19097" s="489"/>
    </row>
    <row r="19098" spans="1:9" x14ac:dyDescent="0.25">
      <c r="A19098">
        <v>39510</v>
      </c>
      <c r="B19098" t="s">
        <v>22601</v>
      </c>
      <c r="C19098" t="s">
        <v>2537</v>
      </c>
      <c r="D19098" s="254">
        <v>293.27999999999997</v>
      </c>
      <c r="E19098"/>
      <c r="F19098"/>
      <c r="G19098"/>
      <c r="H19098"/>
      <c r="I19098" s="489"/>
    </row>
    <row r="19099" spans="1:9" x14ac:dyDescent="0.25">
      <c r="A19099">
        <v>38776</v>
      </c>
      <c r="B19099" t="s">
        <v>22602</v>
      </c>
      <c r="C19099" t="s">
        <v>2537</v>
      </c>
      <c r="D19099" s="254">
        <v>311.25</v>
      </c>
      <c r="E19099"/>
      <c r="F19099"/>
      <c r="G19099"/>
      <c r="H19099"/>
      <c r="I19099" s="489"/>
    </row>
    <row r="19100" spans="1:9" x14ac:dyDescent="0.25">
      <c r="A19100">
        <v>38774</v>
      </c>
      <c r="B19100" t="s">
        <v>22603</v>
      </c>
      <c r="C19100" t="s">
        <v>2537</v>
      </c>
      <c r="D19100" s="254">
        <v>20.7</v>
      </c>
      <c r="E19100"/>
      <c r="F19100"/>
      <c r="G19100"/>
      <c r="H19100"/>
      <c r="I19100" s="489"/>
    </row>
    <row r="19101" spans="1:9" x14ac:dyDescent="0.25">
      <c r="A19101">
        <v>42247</v>
      </c>
      <c r="B19101" t="s">
        <v>22604</v>
      </c>
      <c r="C19101" t="s">
        <v>2537</v>
      </c>
      <c r="D19101" s="254">
        <v>706.57</v>
      </c>
      <c r="E19101"/>
      <c r="F19101"/>
      <c r="G19101"/>
      <c r="H19101"/>
      <c r="I19101" s="489"/>
    </row>
    <row r="19102" spans="1:9" x14ac:dyDescent="0.25">
      <c r="A19102">
        <v>42248</v>
      </c>
      <c r="B19102" t="s">
        <v>22605</v>
      </c>
      <c r="C19102" t="s">
        <v>2537</v>
      </c>
      <c r="D19102" s="254">
        <v>820.73</v>
      </c>
      <c r="E19102"/>
      <c r="F19102"/>
      <c r="G19102"/>
      <c r="H19102"/>
      <c r="I19102" s="489"/>
    </row>
    <row r="19103" spans="1:9" x14ac:dyDescent="0.25">
      <c r="A19103">
        <v>42249</v>
      </c>
      <c r="B19103" t="s">
        <v>22606</v>
      </c>
      <c r="C19103" t="s">
        <v>2537</v>
      </c>
      <c r="D19103" s="254">
        <v>1359.67</v>
      </c>
      <c r="E19103"/>
      <c r="F19103"/>
      <c r="G19103"/>
      <c r="H19103"/>
      <c r="I19103" s="489"/>
    </row>
    <row r="19104" spans="1:9" x14ac:dyDescent="0.25">
      <c r="A19104">
        <v>42244</v>
      </c>
      <c r="B19104" t="s">
        <v>22607</v>
      </c>
      <c r="C19104" t="s">
        <v>2537</v>
      </c>
      <c r="D19104" s="254">
        <v>212.34</v>
      </c>
      <c r="E19104"/>
      <c r="F19104"/>
      <c r="G19104"/>
      <c r="H19104"/>
      <c r="I19104" s="489"/>
    </row>
    <row r="19105" spans="1:9" x14ac:dyDescent="0.25">
      <c r="A19105">
        <v>42245</v>
      </c>
      <c r="B19105" t="s">
        <v>22608</v>
      </c>
      <c r="C19105" t="s">
        <v>2537</v>
      </c>
      <c r="D19105" s="254">
        <v>391.83</v>
      </c>
      <c r="E19105"/>
      <c r="F19105"/>
      <c r="G19105"/>
      <c r="H19105"/>
      <c r="I19105" s="489"/>
    </row>
    <row r="19106" spans="1:9" x14ac:dyDescent="0.25">
      <c r="A19106">
        <v>42246</v>
      </c>
      <c r="B19106" t="s">
        <v>22609</v>
      </c>
      <c r="C19106" t="s">
        <v>2537</v>
      </c>
      <c r="D19106" s="254">
        <v>433.74</v>
      </c>
      <c r="E19106"/>
      <c r="F19106"/>
      <c r="G19106"/>
      <c r="H19106"/>
      <c r="I19106" s="489"/>
    </row>
    <row r="19107" spans="1:9" x14ac:dyDescent="0.25">
      <c r="A19107">
        <v>42243</v>
      </c>
      <c r="B19107" t="s">
        <v>22610</v>
      </c>
      <c r="C19107" t="s">
        <v>2537</v>
      </c>
      <c r="D19107" s="254">
        <v>523.01</v>
      </c>
      <c r="E19107"/>
      <c r="F19107"/>
      <c r="G19107"/>
      <c r="H19107"/>
      <c r="I19107" s="489"/>
    </row>
    <row r="19108" spans="1:9" x14ac:dyDescent="0.25">
      <c r="A19108">
        <v>38889</v>
      </c>
      <c r="B19108" t="s">
        <v>22611</v>
      </c>
      <c r="C19108" t="s">
        <v>2537</v>
      </c>
      <c r="D19108" s="254">
        <v>55.54</v>
      </c>
      <c r="E19108"/>
      <c r="F19108"/>
      <c r="G19108"/>
      <c r="H19108"/>
      <c r="I19108" s="489"/>
    </row>
    <row r="19109" spans="1:9" x14ac:dyDescent="0.25">
      <c r="A19109">
        <v>38784</v>
      </c>
      <c r="B19109" t="s">
        <v>22612</v>
      </c>
      <c r="C19109" t="s">
        <v>2537</v>
      </c>
      <c r="D19109" s="254">
        <v>74.31</v>
      </c>
      <c r="E19109"/>
      <c r="F19109"/>
      <c r="G19109"/>
      <c r="H19109"/>
      <c r="I19109" s="489"/>
    </row>
    <row r="19110" spans="1:9" x14ac:dyDescent="0.25">
      <c r="A19110">
        <v>3788</v>
      </c>
      <c r="B19110" t="s">
        <v>22613</v>
      </c>
      <c r="C19110" t="s">
        <v>2537</v>
      </c>
      <c r="D19110" s="254">
        <v>77.44</v>
      </c>
      <c r="E19110"/>
      <c r="F19110"/>
      <c r="G19110"/>
      <c r="H19110"/>
      <c r="I19110" s="489"/>
    </row>
    <row r="19111" spans="1:9" x14ac:dyDescent="0.25">
      <c r="A19111">
        <v>12230</v>
      </c>
      <c r="B19111" t="s">
        <v>22614</v>
      </c>
      <c r="C19111" t="s">
        <v>2537</v>
      </c>
      <c r="D19111" s="254">
        <v>19.920000000000002</v>
      </c>
      <c r="E19111"/>
      <c r="F19111"/>
      <c r="G19111"/>
      <c r="H19111"/>
      <c r="I19111" s="489"/>
    </row>
    <row r="19112" spans="1:9" x14ac:dyDescent="0.25">
      <c r="A19112">
        <v>3780</v>
      </c>
      <c r="B19112" t="s">
        <v>22615</v>
      </c>
      <c r="C19112" t="s">
        <v>2537</v>
      </c>
      <c r="D19112" s="254">
        <v>114.25</v>
      </c>
      <c r="E19112"/>
      <c r="F19112"/>
      <c r="G19112"/>
      <c r="H19112"/>
      <c r="I19112" s="489"/>
    </row>
    <row r="19113" spans="1:9" x14ac:dyDescent="0.25">
      <c r="A19113">
        <v>12231</v>
      </c>
      <c r="B19113" t="s">
        <v>22616</v>
      </c>
      <c r="C19113" t="s">
        <v>2537</v>
      </c>
      <c r="D19113" s="254">
        <v>33.119999999999997</v>
      </c>
      <c r="E19113"/>
      <c r="F19113"/>
      <c r="G19113"/>
      <c r="H19113"/>
      <c r="I19113" s="489"/>
    </row>
    <row r="19114" spans="1:9" x14ac:dyDescent="0.25">
      <c r="A19114">
        <v>3811</v>
      </c>
      <c r="B19114" t="s">
        <v>22617</v>
      </c>
      <c r="C19114" t="s">
        <v>2537</v>
      </c>
      <c r="D19114" s="254">
        <v>107.31</v>
      </c>
      <c r="E19114"/>
      <c r="F19114"/>
      <c r="G19114"/>
      <c r="H19114"/>
      <c r="I19114" s="489"/>
    </row>
    <row r="19115" spans="1:9" x14ac:dyDescent="0.25">
      <c r="A19115">
        <v>12232</v>
      </c>
      <c r="B19115" t="s">
        <v>22618</v>
      </c>
      <c r="C19115" t="s">
        <v>2537</v>
      </c>
      <c r="D19115" s="254">
        <v>34.700000000000003</v>
      </c>
      <c r="E19115"/>
      <c r="F19115"/>
      <c r="G19115"/>
      <c r="H19115"/>
      <c r="I19115" s="489"/>
    </row>
    <row r="19116" spans="1:9" x14ac:dyDescent="0.25">
      <c r="A19116">
        <v>3799</v>
      </c>
      <c r="B19116" t="s">
        <v>22619</v>
      </c>
      <c r="C19116" t="s">
        <v>2537</v>
      </c>
      <c r="D19116" s="254">
        <v>151.77000000000001</v>
      </c>
      <c r="E19116"/>
      <c r="F19116"/>
      <c r="G19116"/>
      <c r="H19116"/>
      <c r="I19116" s="489"/>
    </row>
    <row r="19117" spans="1:9" x14ac:dyDescent="0.25">
      <c r="A19117">
        <v>12239</v>
      </c>
      <c r="B19117" t="s">
        <v>22620</v>
      </c>
      <c r="C19117" t="s">
        <v>2537</v>
      </c>
      <c r="D19117" s="254">
        <v>45.43</v>
      </c>
      <c r="E19117"/>
      <c r="F19117"/>
      <c r="G19117"/>
      <c r="H19117"/>
      <c r="I19117" s="489"/>
    </row>
    <row r="19118" spans="1:9" x14ac:dyDescent="0.25">
      <c r="A19118">
        <v>38773</v>
      </c>
      <c r="B19118" t="s">
        <v>22621</v>
      </c>
      <c r="C19118" t="s">
        <v>2537</v>
      </c>
      <c r="D19118" s="254">
        <v>7.29</v>
      </c>
      <c r="E19118"/>
      <c r="F19118"/>
      <c r="G19118"/>
      <c r="H19118"/>
      <c r="I19118" s="489"/>
    </row>
    <row r="19119" spans="1:9" x14ac:dyDescent="0.25">
      <c r="A19119">
        <v>12271</v>
      </c>
      <c r="B19119" t="s">
        <v>22622</v>
      </c>
      <c r="C19119" t="s">
        <v>2537</v>
      </c>
      <c r="D19119" s="254">
        <v>406.37</v>
      </c>
      <c r="E19119"/>
      <c r="F19119"/>
      <c r="G19119"/>
      <c r="H19119"/>
      <c r="I19119" s="489"/>
    </row>
    <row r="19120" spans="1:9" x14ac:dyDescent="0.25">
      <c r="A19120">
        <v>13382</v>
      </c>
      <c r="B19120" t="s">
        <v>22623</v>
      </c>
      <c r="C19120" t="s">
        <v>2537</v>
      </c>
      <c r="D19120" s="254">
        <v>433.01</v>
      </c>
      <c r="E19120"/>
      <c r="F19120"/>
      <c r="G19120"/>
      <c r="H19120"/>
      <c r="I19120" s="489"/>
    </row>
    <row r="19121" spans="1:9" x14ac:dyDescent="0.25">
      <c r="A19121">
        <v>38785</v>
      </c>
      <c r="B19121" t="s">
        <v>22624</v>
      </c>
      <c r="C19121" t="s">
        <v>2537</v>
      </c>
      <c r="D19121" s="254">
        <v>192.39</v>
      </c>
      <c r="E19121"/>
      <c r="F19121"/>
      <c r="G19121"/>
      <c r="H19121"/>
      <c r="I19121" s="489"/>
    </row>
    <row r="19122" spans="1:9" x14ac:dyDescent="0.25">
      <c r="A19122">
        <v>38786</v>
      </c>
      <c r="B19122" t="s">
        <v>22625</v>
      </c>
      <c r="C19122" t="s">
        <v>2537</v>
      </c>
      <c r="D19122" s="254">
        <v>236.98</v>
      </c>
      <c r="E19122"/>
      <c r="F19122"/>
      <c r="G19122"/>
      <c r="H19122"/>
      <c r="I19122" s="489"/>
    </row>
    <row r="19123" spans="1:9" x14ac:dyDescent="0.25">
      <c r="A19123">
        <v>39385</v>
      </c>
      <c r="B19123" t="s">
        <v>22626</v>
      </c>
      <c r="C19123" t="s">
        <v>2537</v>
      </c>
      <c r="D19123" s="254">
        <v>18.93</v>
      </c>
      <c r="E19123"/>
      <c r="F19123"/>
      <c r="G19123"/>
      <c r="H19123"/>
      <c r="I19123" s="489"/>
    </row>
    <row r="19124" spans="1:9" x14ac:dyDescent="0.25">
      <c r="A19124">
        <v>39389</v>
      </c>
      <c r="B19124" t="s">
        <v>22627</v>
      </c>
      <c r="C19124" t="s">
        <v>2537</v>
      </c>
      <c r="D19124" s="254">
        <v>20.54</v>
      </c>
      <c r="E19124"/>
      <c r="F19124"/>
      <c r="G19124"/>
      <c r="H19124"/>
      <c r="I19124" s="489"/>
    </row>
    <row r="19125" spans="1:9" x14ac:dyDescent="0.25">
      <c r="A19125">
        <v>39390</v>
      </c>
      <c r="B19125" t="s">
        <v>22628</v>
      </c>
      <c r="C19125" t="s">
        <v>2537</v>
      </c>
      <c r="D19125" s="254">
        <v>43.06</v>
      </c>
      <c r="E19125"/>
      <c r="F19125"/>
      <c r="G19125"/>
      <c r="H19125"/>
      <c r="I19125" s="489"/>
    </row>
    <row r="19126" spans="1:9" x14ac:dyDescent="0.25">
      <c r="A19126">
        <v>39391</v>
      </c>
      <c r="B19126" t="s">
        <v>22629</v>
      </c>
      <c r="C19126" t="s">
        <v>2537</v>
      </c>
      <c r="D19126" s="254">
        <v>48.34</v>
      </c>
      <c r="E19126"/>
      <c r="F19126"/>
      <c r="G19126"/>
      <c r="H19126"/>
      <c r="I19126" s="489"/>
    </row>
    <row r="19127" spans="1:9" x14ac:dyDescent="0.25">
      <c r="A19127">
        <v>3803</v>
      </c>
      <c r="B19127" t="s">
        <v>22630</v>
      </c>
      <c r="C19127" t="s">
        <v>2537</v>
      </c>
      <c r="D19127" s="254">
        <v>68.709999999999994</v>
      </c>
      <c r="E19127"/>
      <c r="F19127"/>
      <c r="G19127"/>
      <c r="H19127"/>
      <c r="I19127" s="489"/>
    </row>
    <row r="19128" spans="1:9" x14ac:dyDescent="0.25">
      <c r="A19128">
        <v>38770</v>
      </c>
      <c r="B19128" t="s">
        <v>22631</v>
      </c>
      <c r="C19128" t="s">
        <v>2537</v>
      </c>
      <c r="D19128" s="254">
        <v>79.56</v>
      </c>
      <c r="E19128"/>
      <c r="F19128"/>
      <c r="G19128"/>
      <c r="H19128"/>
      <c r="I19128" s="489"/>
    </row>
    <row r="19129" spans="1:9" x14ac:dyDescent="0.25">
      <c r="A19129">
        <v>12267</v>
      </c>
      <c r="B19129" t="s">
        <v>22632</v>
      </c>
      <c r="C19129" t="s">
        <v>2537</v>
      </c>
      <c r="D19129" s="254">
        <v>233.16</v>
      </c>
      <c r="E19129"/>
      <c r="F19129"/>
      <c r="G19129"/>
      <c r="H19129"/>
      <c r="I19129" s="489"/>
    </row>
    <row r="19130" spans="1:9" x14ac:dyDescent="0.25">
      <c r="A19130">
        <v>43265</v>
      </c>
      <c r="B19130" t="s">
        <v>22633</v>
      </c>
      <c r="C19130" t="s">
        <v>2537</v>
      </c>
      <c r="D19130" s="254">
        <v>59.21</v>
      </c>
      <c r="E19130"/>
      <c r="F19130"/>
      <c r="G19130"/>
      <c r="H19130"/>
      <c r="I19130" s="489"/>
    </row>
    <row r="19131" spans="1:9" x14ac:dyDescent="0.25">
      <c r="A19131">
        <v>12266</v>
      </c>
      <c r="B19131" t="s">
        <v>22634</v>
      </c>
      <c r="C19131" t="s">
        <v>2537</v>
      </c>
      <c r="D19131" s="254">
        <v>119.34</v>
      </c>
      <c r="E19131"/>
      <c r="F19131"/>
      <c r="G19131"/>
      <c r="H19131"/>
      <c r="I19131" s="489"/>
    </row>
    <row r="19132" spans="1:9" x14ac:dyDescent="0.25">
      <c r="A19132">
        <v>39378</v>
      </c>
      <c r="B19132" t="s">
        <v>22635</v>
      </c>
      <c r="C19132" t="s">
        <v>2537</v>
      </c>
      <c r="D19132" s="254">
        <v>84.61</v>
      </c>
      <c r="E19132"/>
      <c r="F19132"/>
      <c r="G19132"/>
      <c r="H19132"/>
      <c r="I19132" s="489"/>
    </row>
    <row r="19133" spans="1:9" x14ac:dyDescent="0.25">
      <c r="A19133">
        <v>43543</v>
      </c>
      <c r="B19133" t="s">
        <v>22636</v>
      </c>
      <c r="C19133" t="s">
        <v>2537</v>
      </c>
      <c r="D19133" s="254">
        <v>176.27</v>
      </c>
      <c r="E19133"/>
      <c r="F19133"/>
      <c r="G19133"/>
      <c r="H19133"/>
      <c r="I19133" s="489"/>
    </row>
    <row r="19134" spans="1:9" x14ac:dyDescent="0.25">
      <c r="A19134">
        <v>38775</v>
      </c>
      <c r="B19134" t="s">
        <v>22637</v>
      </c>
      <c r="C19134" t="s">
        <v>2537</v>
      </c>
      <c r="D19134" s="254">
        <v>89.7</v>
      </c>
      <c r="E19134"/>
      <c r="F19134"/>
      <c r="G19134"/>
      <c r="H19134"/>
      <c r="I19134" s="489"/>
    </row>
    <row r="19135" spans="1:9" x14ac:dyDescent="0.25">
      <c r="A19135">
        <v>21119</v>
      </c>
      <c r="B19135" t="s">
        <v>22638</v>
      </c>
      <c r="C19135" t="s">
        <v>2537</v>
      </c>
      <c r="D19135" s="254">
        <v>1.45</v>
      </c>
      <c r="E19135"/>
      <c r="F19135"/>
      <c r="G19135"/>
      <c r="H19135"/>
      <c r="I19135" s="489"/>
    </row>
    <row r="19136" spans="1:9" x14ac:dyDescent="0.25">
      <c r="A19136">
        <v>37974</v>
      </c>
      <c r="B19136" t="s">
        <v>22639</v>
      </c>
      <c r="C19136" t="s">
        <v>2537</v>
      </c>
      <c r="D19136" s="254">
        <v>2.15</v>
      </c>
      <c r="E19136"/>
      <c r="F19136"/>
      <c r="G19136"/>
      <c r="H19136"/>
      <c r="I19136" s="489"/>
    </row>
    <row r="19137" spans="1:9" x14ac:dyDescent="0.25">
      <c r="A19137">
        <v>37975</v>
      </c>
      <c r="B19137" t="s">
        <v>22640</v>
      </c>
      <c r="C19137" t="s">
        <v>2537</v>
      </c>
      <c r="D19137" s="254">
        <v>4.37</v>
      </c>
      <c r="E19137"/>
      <c r="F19137"/>
      <c r="G19137"/>
      <c r="H19137"/>
      <c r="I19137" s="489"/>
    </row>
    <row r="19138" spans="1:9" x14ac:dyDescent="0.25">
      <c r="A19138">
        <v>37976</v>
      </c>
      <c r="B19138" t="s">
        <v>22641</v>
      </c>
      <c r="C19138" t="s">
        <v>2537</v>
      </c>
      <c r="D19138" s="254">
        <v>8.9600000000000009</v>
      </c>
      <c r="E19138"/>
      <c r="F19138"/>
      <c r="G19138"/>
      <c r="H19138"/>
      <c r="I19138" s="489"/>
    </row>
    <row r="19139" spans="1:9" x14ac:dyDescent="0.25">
      <c r="A19139">
        <v>37977</v>
      </c>
      <c r="B19139" t="s">
        <v>22642</v>
      </c>
      <c r="C19139" t="s">
        <v>2537</v>
      </c>
      <c r="D19139" s="254">
        <v>12.33</v>
      </c>
      <c r="E19139"/>
      <c r="F19139"/>
      <c r="G19139"/>
      <c r="H19139"/>
      <c r="I19139" s="489"/>
    </row>
    <row r="19140" spans="1:9" x14ac:dyDescent="0.25">
      <c r="A19140">
        <v>37978</v>
      </c>
      <c r="B19140" t="s">
        <v>22643</v>
      </c>
      <c r="C19140" t="s">
        <v>2537</v>
      </c>
      <c r="D19140" s="254">
        <v>24.99</v>
      </c>
      <c r="E19140"/>
      <c r="F19140"/>
      <c r="G19140"/>
      <c r="H19140"/>
      <c r="I19140" s="489"/>
    </row>
    <row r="19141" spans="1:9" x14ac:dyDescent="0.25">
      <c r="A19141">
        <v>37979</v>
      </c>
      <c r="B19141" t="s">
        <v>22644</v>
      </c>
      <c r="C19141" t="s">
        <v>2537</v>
      </c>
      <c r="D19141" s="254">
        <v>107.36</v>
      </c>
      <c r="E19141"/>
      <c r="F19141"/>
      <c r="G19141"/>
      <c r="H19141"/>
      <c r="I19141" s="489"/>
    </row>
    <row r="19142" spans="1:9" x14ac:dyDescent="0.25">
      <c r="A19142">
        <v>37980</v>
      </c>
      <c r="B19142" t="s">
        <v>22645</v>
      </c>
      <c r="C19142" t="s">
        <v>2537</v>
      </c>
      <c r="D19142" s="254">
        <v>120.65</v>
      </c>
      <c r="E19142"/>
      <c r="F19142"/>
      <c r="G19142"/>
      <c r="H19142"/>
      <c r="I19142" s="489"/>
    </row>
    <row r="19143" spans="1:9" x14ac:dyDescent="0.25">
      <c r="A19143">
        <v>36147</v>
      </c>
      <c r="B19143" t="s">
        <v>22646</v>
      </c>
      <c r="C19143" t="s">
        <v>2545</v>
      </c>
      <c r="D19143" s="254">
        <v>385.55</v>
      </c>
      <c r="E19143"/>
      <c r="F19143"/>
      <c r="G19143"/>
      <c r="H19143"/>
      <c r="I19143" s="489"/>
    </row>
    <row r="19144" spans="1:9" x14ac:dyDescent="0.25">
      <c r="A19144">
        <v>12731</v>
      </c>
      <c r="B19144" t="s">
        <v>22647</v>
      </c>
      <c r="C19144" t="s">
        <v>2537</v>
      </c>
      <c r="D19144" s="254">
        <v>353.02</v>
      </c>
      <c r="E19144"/>
      <c r="F19144"/>
      <c r="G19144"/>
      <c r="H19144"/>
      <c r="I19144" s="489"/>
    </row>
    <row r="19145" spans="1:9" x14ac:dyDescent="0.25">
      <c r="A19145">
        <v>12723</v>
      </c>
      <c r="B19145" t="s">
        <v>22648</v>
      </c>
      <c r="C19145" t="s">
        <v>2537</v>
      </c>
      <c r="D19145" s="254">
        <v>2.73</v>
      </c>
      <c r="E19145"/>
      <c r="F19145"/>
      <c r="G19145"/>
      <c r="H19145"/>
      <c r="I19145" s="489"/>
    </row>
    <row r="19146" spans="1:9" x14ac:dyDescent="0.25">
      <c r="A19146">
        <v>12724</v>
      </c>
      <c r="B19146" t="s">
        <v>22649</v>
      </c>
      <c r="C19146" t="s">
        <v>2537</v>
      </c>
      <c r="D19146" s="254">
        <v>5.26</v>
      </c>
      <c r="E19146"/>
      <c r="F19146"/>
      <c r="G19146"/>
      <c r="H19146"/>
      <c r="I19146" s="489"/>
    </row>
    <row r="19147" spans="1:9" x14ac:dyDescent="0.25">
      <c r="A19147">
        <v>12725</v>
      </c>
      <c r="B19147" t="s">
        <v>22650</v>
      </c>
      <c r="C19147" t="s">
        <v>2537</v>
      </c>
      <c r="D19147" s="254">
        <v>10.55</v>
      </c>
      <c r="E19147"/>
      <c r="F19147"/>
      <c r="G19147"/>
      <c r="H19147"/>
      <c r="I19147" s="489"/>
    </row>
    <row r="19148" spans="1:9" x14ac:dyDescent="0.25">
      <c r="A19148">
        <v>12726</v>
      </c>
      <c r="B19148" t="s">
        <v>22651</v>
      </c>
      <c r="C19148" t="s">
        <v>2537</v>
      </c>
      <c r="D19148" s="254">
        <v>23.29</v>
      </c>
      <c r="E19148"/>
      <c r="F19148"/>
      <c r="G19148"/>
      <c r="H19148"/>
      <c r="I19148" s="489"/>
    </row>
    <row r="19149" spans="1:9" x14ac:dyDescent="0.25">
      <c r="A19149">
        <v>12727</v>
      </c>
      <c r="B19149" t="s">
        <v>22652</v>
      </c>
      <c r="C19149" t="s">
        <v>2537</v>
      </c>
      <c r="D19149" s="254">
        <v>29.53</v>
      </c>
      <c r="E19149"/>
      <c r="F19149"/>
      <c r="G19149"/>
      <c r="H19149"/>
      <c r="I19149" s="489"/>
    </row>
    <row r="19150" spans="1:9" x14ac:dyDescent="0.25">
      <c r="A19150">
        <v>12728</v>
      </c>
      <c r="B19150" t="s">
        <v>22653</v>
      </c>
      <c r="C19150" t="s">
        <v>2537</v>
      </c>
      <c r="D19150" s="254">
        <v>48.24</v>
      </c>
      <c r="E19150"/>
      <c r="F19150"/>
      <c r="G19150"/>
      <c r="H19150"/>
      <c r="I19150" s="489"/>
    </row>
    <row r="19151" spans="1:9" x14ac:dyDescent="0.25">
      <c r="A19151">
        <v>12729</v>
      </c>
      <c r="B19151" t="s">
        <v>22654</v>
      </c>
      <c r="C19151" t="s">
        <v>2537</v>
      </c>
      <c r="D19151" s="254">
        <v>158.12</v>
      </c>
      <c r="E19151"/>
      <c r="F19151"/>
      <c r="G19151"/>
      <c r="H19151"/>
      <c r="I19151" s="489"/>
    </row>
    <row r="19152" spans="1:9" x14ac:dyDescent="0.25">
      <c r="A19152">
        <v>12730</v>
      </c>
      <c r="B19152" t="s">
        <v>22655</v>
      </c>
      <c r="C19152" t="s">
        <v>2537</v>
      </c>
      <c r="D19152" s="254">
        <v>242.09</v>
      </c>
      <c r="E19152"/>
      <c r="F19152"/>
      <c r="G19152"/>
      <c r="H19152"/>
      <c r="I19152" s="489"/>
    </row>
    <row r="19153" spans="1:9" x14ac:dyDescent="0.25">
      <c r="A19153">
        <v>3840</v>
      </c>
      <c r="B19153" t="s">
        <v>22656</v>
      </c>
      <c r="C19153" t="s">
        <v>2537</v>
      </c>
      <c r="D19153" s="254">
        <v>62.22</v>
      </c>
      <c r="E19153"/>
      <c r="F19153"/>
      <c r="G19153"/>
      <c r="H19153"/>
      <c r="I19153" s="489"/>
    </row>
    <row r="19154" spans="1:9" x14ac:dyDescent="0.25">
      <c r="A19154">
        <v>3838</v>
      </c>
      <c r="B19154" t="s">
        <v>22657</v>
      </c>
      <c r="C19154" t="s">
        <v>2537</v>
      </c>
      <c r="D19154" s="254">
        <v>137.32</v>
      </c>
      <c r="E19154"/>
      <c r="F19154"/>
      <c r="G19154"/>
      <c r="H19154"/>
      <c r="I19154" s="489"/>
    </row>
    <row r="19155" spans="1:9" x14ac:dyDescent="0.25">
      <c r="A19155">
        <v>3844</v>
      </c>
      <c r="B19155" t="s">
        <v>22658</v>
      </c>
      <c r="C19155" t="s">
        <v>2537</v>
      </c>
      <c r="D19155" s="254">
        <v>244.95</v>
      </c>
      <c r="E19155"/>
      <c r="F19155"/>
      <c r="G19155"/>
      <c r="H19155"/>
      <c r="I19155" s="489"/>
    </row>
    <row r="19156" spans="1:9" x14ac:dyDescent="0.25">
      <c r="A19156">
        <v>3839</v>
      </c>
      <c r="B19156" t="s">
        <v>22659</v>
      </c>
      <c r="C19156" t="s">
        <v>2537</v>
      </c>
      <c r="D19156" s="254">
        <v>446.16</v>
      </c>
      <c r="E19156"/>
      <c r="F19156"/>
      <c r="G19156"/>
      <c r="H19156"/>
      <c r="I19156" s="489"/>
    </row>
    <row r="19157" spans="1:9" x14ac:dyDescent="0.25">
      <c r="A19157">
        <v>3843</v>
      </c>
      <c r="B19157" t="s">
        <v>22660</v>
      </c>
      <c r="C19157" t="s">
        <v>2537</v>
      </c>
      <c r="D19157" s="254">
        <v>612.36</v>
      </c>
      <c r="E19157"/>
      <c r="F19157"/>
      <c r="G19157"/>
      <c r="H19157"/>
      <c r="I19157" s="489"/>
    </row>
    <row r="19158" spans="1:9" x14ac:dyDescent="0.25">
      <c r="A19158">
        <v>3900</v>
      </c>
      <c r="B19158" t="s">
        <v>22661</v>
      </c>
      <c r="C19158" t="s">
        <v>2537</v>
      </c>
      <c r="D19158" s="254">
        <v>52.94</v>
      </c>
      <c r="E19158"/>
      <c r="F19158"/>
      <c r="G19158"/>
      <c r="H19158"/>
      <c r="I19158" s="489"/>
    </row>
    <row r="19159" spans="1:9" x14ac:dyDescent="0.25">
      <c r="A19159">
        <v>3846</v>
      </c>
      <c r="B19159" t="s">
        <v>22662</v>
      </c>
      <c r="C19159" t="s">
        <v>2537</v>
      </c>
      <c r="D19159" s="254">
        <v>16.68</v>
      </c>
      <c r="E19159"/>
      <c r="F19159"/>
      <c r="G19159"/>
      <c r="H19159"/>
      <c r="I19159" s="489"/>
    </row>
    <row r="19160" spans="1:9" x14ac:dyDescent="0.25">
      <c r="A19160">
        <v>3886</v>
      </c>
      <c r="B19160" t="s">
        <v>22663</v>
      </c>
      <c r="C19160" t="s">
        <v>2537</v>
      </c>
      <c r="D19160" s="254">
        <v>17.57</v>
      </c>
      <c r="E19160"/>
      <c r="F19160"/>
      <c r="G19160"/>
      <c r="H19160"/>
      <c r="I19160" s="489"/>
    </row>
    <row r="19161" spans="1:9" x14ac:dyDescent="0.25">
      <c r="A19161">
        <v>3854</v>
      </c>
      <c r="B19161" t="s">
        <v>22664</v>
      </c>
      <c r="C19161" t="s">
        <v>2537</v>
      </c>
      <c r="D19161" s="254">
        <v>9.76</v>
      </c>
      <c r="E19161"/>
      <c r="F19161"/>
      <c r="G19161"/>
      <c r="H19161"/>
      <c r="I19161" s="489"/>
    </row>
    <row r="19162" spans="1:9" x14ac:dyDescent="0.25">
      <c r="A19162">
        <v>3873</v>
      </c>
      <c r="B19162" t="s">
        <v>22665</v>
      </c>
      <c r="C19162" t="s">
        <v>2537</v>
      </c>
      <c r="D19162" s="254">
        <v>12.93</v>
      </c>
      <c r="E19162"/>
      <c r="F19162"/>
      <c r="G19162"/>
      <c r="H19162"/>
      <c r="I19162" s="489"/>
    </row>
    <row r="19163" spans="1:9" x14ac:dyDescent="0.25">
      <c r="A19163">
        <v>38021</v>
      </c>
      <c r="B19163" t="s">
        <v>22666</v>
      </c>
      <c r="C19163" t="s">
        <v>2537</v>
      </c>
      <c r="D19163" s="254">
        <v>30.91</v>
      </c>
      <c r="E19163"/>
      <c r="F19163"/>
      <c r="G19163"/>
      <c r="H19163"/>
      <c r="I19163" s="489"/>
    </row>
    <row r="19164" spans="1:9" x14ac:dyDescent="0.25">
      <c r="A19164">
        <v>3847</v>
      </c>
      <c r="B19164" t="s">
        <v>22667</v>
      </c>
      <c r="C19164" t="s">
        <v>2537</v>
      </c>
      <c r="D19164" s="254">
        <v>35.090000000000003</v>
      </c>
      <c r="E19164"/>
      <c r="F19164"/>
      <c r="G19164"/>
      <c r="H19164"/>
      <c r="I19164" s="489"/>
    </row>
    <row r="19165" spans="1:9" x14ac:dyDescent="0.25">
      <c r="A19165">
        <v>38022</v>
      </c>
      <c r="B19165" t="s">
        <v>22668</v>
      </c>
      <c r="C19165" t="s">
        <v>2537</v>
      </c>
      <c r="D19165" s="254">
        <v>54.81</v>
      </c>
      <c r="E19165"/>
      <c r="F19165"/>
      <c r="G19165"/>
      <c r="H19165"/>
      <c r="I19165" s="489"/>
    </row>
    <row r="19166" spans="1:9" x14ac:dyDescent="0.25">
      <c r="A19166">
        <v>3833</v>
      </c>
      <c r="B19166" t="s">
        <v>22669</v>
      </c>
      <c r="C19166" t="s">
        <v>2537</v>
      </c>
      <c r="D19166" s="254">
        <v>28.53</v>
      </c>
      <c r="E19166"/>
      <c r="F19166"/>
      <c r="G19166"/>
      <c r="H19166"/>
      <c r="I19166" s="489"/>
    </row>
    <row r="19167" spans="1:9" x14ac:dyDescent="0.25">
      <c r="A19167">
        <v>3835</v>
      </c>
      <c r="B19167" t="s">
        <v>22670</v>
      </c>
      <c r="C19167" t="s">
        <v>2537</v>
      </c>
      <c r="D19167" s="254">
        <v>92.89</v>
      </c>
      <c r="E19167"/>
      <c r="F19167"/>
      <c r="G19167"/>
      <c r="H19167"/>
      <c r="I19167" s="489"/>
    </row>
    <row r="19168" spans="1:9" x14ac:dyDescent="0.25">
      <c r="A19168">
        <v>3836</v>
      </c>
      <c r="B19168" t="s">
        <v>22671</v>
      </c>
      <c r="C19168" t="s">
        <v>2537</v>
      </c>
      <c r="D19168" s="254">
        <v>199.92</v>
      </c>
      <c r="E19168"/>
      <c r="F19168"/>
      <c r="G19168"/>
      <c r="H19168"/>
      <c r="I19168" s="489"/>
    </row>
    <row r="19169" spans="1:9" x14ac:dyDescent="0.25">
      <c r="A19169">
        <v>3830</v>
      </c>
      <c r="B19169" t="s">
        <v>22672</v>
      </c>
      <c r="C19169" t="s">
        <v>2537</v>
      </c>
      <c r="D19169" s="254">
        <v>326.87</v>
      </c>
      <c r="E19169"/>
      <c r="F19169"/>
      <c r="G19169"/>
      <c r="H19169"/>
      <c r="I19169" s="489"/>
    </row>
    <row r="19170" spans="1:9" x14ac:dyDescent="0.25">
      <c r="A19170">
        <v>3831</v>
      </c>
      <c r="B19170" t="s">
        <v>22673</v>
      </c>
      <c r="C19170" t="s">
        <v>2537</v>
      </c>
      <c r="D19170" s="254">
        <v>546.41999999999996</v>
      </c>
      <c r="E19170"/>
      <c r="F19170"/>
      <c r="G19170"/>
      <c r="H19170"/>
      <c r="I19170" s="489"/>
    </row>
    <row r="19171" spans="1:9" x14ac:dyDescent="0.25">
      <c r="A19171">
        <v>37981</v>
      </c>
      <c r="B19171" t="s">
        <v>22674</v>
      </c>
      <c r="C19171" t="s">
        <v>2537</v>
      </c>
      <c r="D19171" s="254">
        <v>4.92</v>
      </c>
      <c r="E19171"/>
      <c r="F19171"/>
      <c r="G19171"/>
      <c r="H19171"/>
      <c r="I19171" s="489"/>
    </row>
    <row r="19172" spans="1:9" x14ac:dyDescent="0.25">
      <c r="A19172">
        <v>37982</v>
      </c>
      <c r="B19172" t="s">
        <v>22675</v>
      </c>
      <c r="C19172" t="s">
        <v>2537</v>
      </c>
      <c r="D19172" s="254">
        <v>7.47</v>
      </c>
      <c r="E19172"/>
      <c r="F19172"/>
      <c r="G19172"/>
      <c r="H19172"/>
      <c r="I19172" s="489"/>
    </row>
    <row r="19173" spans="1:9" x14ac:dyDescent="0.25">
      <c r="A19173">
        <v>37983</v>
      </c>
      <c r="B19173" t="s">
        <v>22676</v>
      </c>
      <c r="C19173" t="s">
        <v>2537</v>
      </c>
      <c r="D19173" s="254">
        <v>10.46</v>
      </c>
      <c r="E19173"/>
      <c r="F19173"/>
      <c r="G19173"/>
      <c r="H19173"/>
      <c r="I19173" s="489"/>
    </row>
    <row r="19174" spans="1:9" x14ac:dyDescent="0.25">
      <c r="A19174">
        <v>37984</v>
      </c>
      <c r="B19174" t="s">
        <v>22677</v>
      </c>
      <c r="C19174" t="s">
        <v>2537</v>
      </c>
      <c r="D19174" s="254">
        <v>18.059999999999999</v>
      </c>
      <c r="E19174"/>
      <c r="F19174"/>
      <c r="G19174"/>
      <c r="H19174"/>
      <c r="I19174" s="489"/>
    </row>
    <row r="19175" spans="1:9" x14ac:dyDescent="0.25">
      <c r="A19175">
        <v>37985</v>
      </c>
      <c r="B19175" t="s">
        <v>22678</v>
      </c>
      <c r="C19175" t="s">
        <v>2537</v>
      </c>
      <c r="D19175" s="254">
        <v>25.3</v>
      </c>
      <c r="E19175"/>
      <c r="F19175"/>
      <c r="G19175"/>
      <c r="H19175"/>
      <c r="I19175" s="489"/>
    </row>
    <row r="19176" spans="1:9" x14ac:dyDescent="0.25">
      <c r="A19176">
        <v>3826</v>
      </c>
      <c r="B19176" t="s">
        <v>22679</v>
      </c>
      <c r="C19176" t="s">
        <v>2537</v>
      </c>
      <c r="D19176" s="254">
        <v>61.74</v>
      </c>
      <c r="E19176"/>
      <c r="F19176"/>
      <c r="G19176"/>
      <c r="H19176"/>
      <c r="I19176" s="489"/>
    </row>
    <row r="19177" spans="1:9" x14ac:dyDescent="0.25">
      <c r="A19177">
        <v>3825</v>
      </c>
      <c r="B19177" t="s">
        <v>22680</v>
      </c>
      <c r="C19177" t="s">
        <v>2537</v>
      </c>
      <c r="D19177" s="254">
        <v>17.75</v>
      </c>
      <c r="E19177"/>
      <c r="F19177"/>
      <c r="G19177"/>
      <c r="H19177"/>
      <c r="I19177" s="489"/>
    </row>
    <row r="19178" spans="1:9" x14ac:dyDescent="0.25">
      <c r="A19178">
        <v>3827</v>
      </c>
      <c r="B19178" t="s">
        <v>22681</v>
      </c>
      <c r="C19178" t="s">
        <v>2537</v>
      </c>
      <c r="D19178" s="254">
        <v>38.79</v>
      </c>
      <c r="E19178"/>
      <c r="F19178"/>
      <c r="G19178"/>
      <c r="H19178"/>
      <c r="I19178" s="489"/>
    </row>
    <row r="19179" spans="1:9" x14ac:dyDescent="0.25">
      <c r="A19179">
        <v>20165</v>
      </c>
      <c r="B19179" t="s">
        <v>22682</v>
      </c>
      <c r="C19179" t="s">
        <v>2537</v>
      </c>
      <c r="D19179" s="254">
        <v>27.93</v>
      </c>
      <c r="E19179"/>
      <c r="F19179"/>
      <c r="G19179"/>
      <c r="H19179"/>
      <c r="I19179" s="489"/>
    </row>
    <row r="19180" spans="1:9" x14ac:dyDescent="0.25">
      <c r="A19180">
        <v>20166</v>
      </c>
      <c r="B19180" t="s">
        <v>22683</v>
      </c>
      <c r="C19180" t="s">
        <v>2537</v>
      </c>
      <c r="D19180" s="254">
        <v>90.26</v>
      </c>
      <c r="E19180"/>
      <c r="F19180"/>
      <c r="G19180"/>
      <c r="H19180"/>
      <c r="I19180" s="489"/>
    </row>
    <row r="19181" spans="1:9" x14ac:dyDescent="0.25">
      <c r="A19181">
        <v>20164</v>
      </c>
      <c r="B19181" t="s">
        <v>22684</v>
      </c>
      <c r="C19181" t="s">
        <v>2537</v>
      </c>
      <c r="D19181" s="254">
        <v>14.75</v>
      </c>
      <c r="E19181"/>
      <c r="F19181"/>
      <c r="G19181"/>
      <c r="H19181"/>
      <c r="I19181" s="489"/>
    </row>
    <row r="19182" spans="1:9" x14ac:dyDescent="0.25">
      <c r="A19182">
        <v>3893</v>
      </c>
      <c r="B19182" t="s">
        <v>22685</v>
      </c>
      <c r="C19182" t="s">
        <v>2537</v>
      </c>
      <c r="D19182" s="254">
        <v>18.309999999999999</v>
      </c>
      <c r="E19182"/>
      <c r="F19182"/>
      <c r="G19182"/>
      <c r="H19182"/>
      <c r="I19182" s="489"/>
    </row>
    <row r="19183" spans="1:9" x14ac:dyDescent="0.25">
      <c r="A19183">
        <v>3848</v>
      </c>
      <c r="B19183" t="s">
        <v>22686</v>
      </c>
      <c r="C19183" t="s">
        <v>2537</v>
      </c>
      <c r="D19183" s="254">
        <v>11.12</v>
      </c>
      <c r="E19183"/>
      <c r="F19183"/>
      <c r="G19183"/>
      <c r="H19183"/>
      <c r="I19183" s="489"/>
    </row>
    <row r="19184" spans="1:9" x14ac:dyDescent="0.25">
      <c r="A19184">
        <v>3895</v>
      </c>
      <c r="B19184" t="s">
        <v>22687</v>
      </c>
      <c r="C19184" t="s">
        <v>2537</v>
      </c>
      <c r="D19184" s="254">
        <v>12.1</v>
      </c>
      <c r="E19184"/>
      <c r="F19184"/>
      <c r="G19184"/>
      <c r="H19184"/>
      <c r="I19184" s="489"/>
    </row>
    <row r="19185" spans="1:9" x14ac:dyDescent="0.25">
      <c r="A19185">
        <v>12404</v>
      </c>
      <c r="B19185" t="s">
        <v>22688</v>
      </c>
      <c r="C19185" t="s">
        <v>2537</v>
      </c>
      <c r="D19185" s="254">
        <v>11.67</v>
      </c>
      <c r="E19185"/>
      <c r="F19185"/>
      <c r="G19185"/>
      <c r="H19185"/>
      <c r="I19185" s="489"/>
    </row>
    <row r="19186" spans="1:9" x14ac:dyDescent="0.25">
      <c r="A19186">
        <v>3939</v>
      </c>
      <c r="B19186" t="s">
        <v>22689</v>
      </c>
      <c r="C19186" t="s">
        <v>2537</v>
      </c>
      <c r="D19186" s="254">
        <v>24.05</v>
      </c>
      <c r="E19186"/>
      <c r="F19186"/>
      <c r="G19186"/>
      <c r="H19186"/>
      <c r="I19186" s="489"/>
    </row>
    <row r="19187" spans="1:9" x14ac:dyDescent="0.25">
      <c r="A19187">
        <v>3911</v>
      </c>
      <c r="B19187" t="s">
        <v>22690</v>
      </c>
      <c r="C19187" t="s">
        <v>2537</v>
      </c>
      <c r="D19187" s="254">
        <v>19.64</v>
      </c>
      <c r="E19187"/>
      <c r="F19187"/>
      <c r="G19187"/>
      <c r="H19187"/>
      <c r="I19187" s="489"/>
    </row>
    <row r="19188" spans="1:9" x14ac:dyDescent="0.25">
      <c r="A19188">
        <v>3908</v>
      </c>
      <c r="B19188" t="s">
        <v>22691</v>
      </c>
      <c r="C19188" t="s">
        <v>2537</v>
      </c>
      <c r="D19188" s="254">
        <v>6.35</v>
      </c>
      <c r="E19188"/>
      <c r="F19188"/>
      <c r="G19188"/>
      <c r="H19188"/>
      <c r="I19188" s="489"/>
    </row>
    <row r="19189" spans="1:9" x14ac:dyDescent="0.25">
      <c r="A19189">
        <v>3910</v>
      </c>
      <c r="B19189" t="s">
        <v>22692</v>
      </c>
      <c r="C19189" t="s">
        <v>2537</v>
      </c>
      <c r="D19189" s="254">
        <v>14.05</v>
      </c>
      <c r="E19189"/>
      <c r="F19189"/>
      <c r="G19189"/>
      <c r="H19189"/>
      <c r="I19189" s="489"/>
    </row>
    <row r="19190" spans="1:9" x14ac:dyDescent="0.25">
      <c r="A19190">
        <v>3913</v>
      </c>
      <c r="B19190" t="s">
        <v>22693</v>
      </c>
      <c r="C19190" t="s">
        <v>2537</v>
      </c>
      <c r="D19190" s="254">
        <v>67.180000000000007</v>
      </c>
      <c r="E19190"/>
      <c r="F19190"/>
      <c r="G19190"/>
      <c r="H19190"/>
      <c r="I19190" s="489"/>
    </row>
    <row r="19191" spans="1:9" x14ac:dyDescent="0.25">
      <c r="A19191">
        <v>3912</v>
      </c>
      <c r="B19191" t="s">
        <v>22694</v>
      </c>
      <c r="C19191" t="s">
        <v>2537</v>
      </c>
      <c r="D19191" s="254">
        <v>36.82</v>
      </c>
      <c r="E19191"/>
      <c r="F19191"/>
      <c r="G19191"/>
      <c r="H19191"/>
      <c r="I19191" s="489"/>
    </row>
    <row r="19192" spans="1:9" x14ac:dyDescent="0.25">
      <c r="A19192">
        <v>3909</v>
      </c>
      <c r="B19192" t="s">
        <v>22695</v>
      </c>
      <c r="C19192" t="s">
        <v>2537</v>
      </c>
      <c r="D19192" s="254">
        <v>8.64</v>
      </c>
      <c r="E19192"/>
      <c r="F19192"/>
      <c r="G19192"/>
      <c r="H19192"/>
      <c r="I19192" s="489"/>
    </row>
    <row r="19193" spans="1:9" x14ac:dyDescent="0.25">
      <c r="A19193">
        <v>3914</v>
      </c>
      <c r="B19193" t="s">
        <v>22696</v>
      </c>
      <c r="C19193" t="s">
        <v>2537</v>
      </c>
      <c r="D19193" s="254">
        <v>101.34</v>
      </c>
      <c r="E19193"/>
      <c r="F19193"/>
      <c r="G19193"/>
      <c r="H19193"/>
      <c r="I19193" s="489"/>
    </row>
    <row r="19194" spans="1:9" x14ac:dyDescent="0.25">
      <c r="A19194">
        <v>3915</v>
      </c>
      <c r="B19194" t="s">
        <v>22697</v>
      </c>
      <c r="C19194" t="s">
        <v>2537</v>
      </c>
      <c r="D19194" s="254">
        <v>159.81</v>
      </c>
      <c r="E19194"/>
      <c r="F19194"/>
      <c r="G19194"/>
      <c r="H19194"/>
      <c r="I19194" s="489"/>
    </row>
    <row r="19195" spans="1:9" x14ac:dyDescent="0.25">
      <c r="A19195">
        <v>3916</v>
      </c>
      <c r="B19195" t="s">
        <v>22698</v>
      </c>
      <c r="C19195" t="s">
        <v>2537</v>
      </c>
      <c r="D19195" s="254">
        <v>291.14</v>
      </c>
      <c r="E19195"/>
      <c r="F19195"/>
      <c r="G19195"/>
      <c r="H19195"/>
      <c r="I19195" s="489"/>
    </row>
    <row r="19196" spans="1:9" x14ac:dyDescent="0.25">
      <c r="A19196">
        <v>3917</v>
      </c>
      <c r="B19196" t="s">
        <v>22699</v>
      </c>
      <c r="C19196" t="s">
        <v>2537</v>
      </c>
      <c r="D19196" s="254">
        <v>480.21</v>
      </c>
      <c r="E19196"/>
      <c r="F19196"/>
      <c r="G19196"/>
      <c r="H19196"/>
      <c r="I19196" s="489"/>
    </row>
    <row r="19197" spans="1:9" x14ac:dyDescent="0.25">
      <c r="A19197">
        <v>1904</v>
      </c>
      <c r="B19197" t="s">
        <v>22700</v>
      </c>
      <c r="C19197" t="s">
        <v>2537</v>
      </c>
      <c r="D19197" s="254">
        <v>0.96</v>
      </c>
      <c r="E19197"/>
      <c r="F19197"/>
      <c r="G19197"/>
      <c r="H19197"/>
      <c r="I19197" s="489"/>
    </row>
    <row r="19198" spans="1:9" x14ac:dyDescent="0.25">
      <c r="A19198">
        <v>1899</v>
      </c>
      <c r="B19198" t="s">
        <v>22701</v>
      </c>
      <c r="C19198" t="s">
        <v>2537</v>
      </c>
      <c r="D19198" s="254">
        <v>1.0900000000000001</v>
      </c>
      <c r="E19198"/>
      <c r="F19198"/>
      <c r="G19198"/>
      <c r="H19198"/>
      <c r="I19198" s="489"/>
    </row>
    <row r="19199" spans="1:9" x14ac:dyDescent="0.25">
      <c r="A19199">
        <v>1900</v>
      </c>
      <c r="B19199" t="s">
        <v>22702</v>
      </c>
      <c r="C19199" t="s">
        <v>2537</v>
      </c>
      <c r="D19199" s="254">
        <v>1.76</v>
      </c>
      <c r="E19199"/>
      <c r="F19199"/>
      <c r="G19199"/>
      <c r="H19199"/>
      <c r="I19199" s="489"/>
    </row>
    <row r="19200" spans="1:9" x14ac:dyDescent="0.25">
      <c r="A19200">
        <v>12407</v>
      </c>
      <c r="B19200" t="s">
        <v>22703</v>
      </c>
      <c r="C19200" t="s">
        <v>2537</v>
      </c>
      <c r="D19200" s="254">
        <v>36.35</v>
      </c>
      <c r="E19200"/>
      <c r="F19200"/>
      <c r="G19200"/>
      <c r="H19200"/>
      <c r="I19200" s="489"/>
    </row>
    <row r="19201" spans="1:9" x14ac:dyDescent="0.25">
      <c r="A19201">
        <v>12408</v>
      </c>
      <c r="B19201" t="s">
        <v>22704</v>
      </c>
      <c r="C19201" t="s">
        <v>2537</v>
      </c>
      <c r="D19201" s="254">
        <v>20.52</v>
      </c>
      <c r="E19201"/>
      <c r="F19201"/>
      <c r="G19201"/>
      <c r="H19201"/>
      <c r="I19201" s="489"/>
    </row>
    <row r="19202" spans="1:9" x14ac:dyDescent="0.25">
      <c r="A19202">
        <v>12409</v>
      </c>
      <c r="B19202" t="s">
        <v>22705</v>
      </c>
      <c r="C19202" t="s">
        <v>2537</v>
      </c>
      <c r="D19202" s="254">
        <v>20.52</v>
      </c>
      <c r="E19202"/>
      <c r="F19202"/>
      <c r="G19202"/>
      <c r="H19202"/>
      <c r="I19202" s="489"/>
    </row>
    <row r="19203" spans="1:9" x14ac:dyDescent="0.25">
      <c r="A19203">
        <v>12410</v>
      </c>
      <c r="B19203" t="s">
        <v>22706</v>
      </c>
      <c r="C19203" t="s">
        <v>2537</v>
      </c>
      <c r="D19203" s="254">
        <v>14.13</v>
      </c>
      <c r="E19203"/>
      <c r="F19203"/>
      <c r="G19203"/>
      <c r="H19203"/>
      <c r="I19203" s="489"/>
    </row>
    <row r="19204" spans="1:9" x14ac:dyDescent="0.25">
      <c r="A19204">
        <v>3936</v>
      </c>
      <c r="B19204" t="s">
        <v>22707</v>
      </c>
      <c r="C19204" t="s">
        <v>2537</v>
      </c>
      <c r="D19204" s="254">
        <v>25.54</v>
      </c>
      <c r="E19204"/>
      <c r="F19204"/>
      <c r="G19204"/>
      <c r="H19204"/>
      <c r="I19204" s="489"/>
    </row>
    <row r="19205" spans="1:9" x14ac:dyDescent="0.25">
      <c r="A19205">
        <v>3922</v>
      </c>
      <c r="B19205" t="s">
        <v>22708</v>
      </c>
      <c r="C19205" t="s">
        <v>2537</v>
      </c>
      <c r="D19205" s="254">
        <v>23.49</v>
      </c>
      <c r="E19205"/>
      <c r="F19205"/>
      <c r="G19205"/>
      <c r="H19205"/>
      <c r="I19205" s="489"/>
    </row>
    <row r="19206" spans="1:9" x14ac:dyDescent="0.25">
      <c r="A19206">
        <v>3924</v>
      </c>
      <c r="B19206" t="s">
        <v>22709</v>
      </c>
      <c r="C19206" t="s">
        <v>2537</v>
      </c>
      <c r="D19206" s="254">
        <v>25.54</v>
      </c>
      <c r="E19206"/>
      <c r="F19206"/>
      <c r="G19206"/>
      <c r="H19206"/>
      <c r="I19206" s="489"/>
    </row>
    <row r="19207" spans="1:9" x14ac:dyDescent="0.25">
      <c r="A19207">
        <v>3923</v>
      </c>
      <c r="B19207" t="s">
        <v>22710</v>
      </c>
      <c r="C19207" t="s">
        <v>2537</v>
      </c>
      <c r="D19207" s="254">
        <v>25.54</v>
      </c>
      <c r="E19207"/>
      <c r="F19207"/>
      <c r="G19207"/>
      <c r="H19207"/>
      <c r="I19207" s="489"/>
    </row>
    <row r="19208" spans="1:9" x14ac:dyDescent="0.25">
      <c r="A19208">
        <v>3937</v>
      </c>
      <c r="B19208" t="s">
        <v>22711</v>
      </c>
      <c r="C19208" t="s">
        <v>2537</v>
      </c>
      <c r="D19208" s="254">
        <v>21.07</v>
      </c>
      <c r="E19208"/>
      <c r="F19208"/>
      <c r="G19208"/>
      <c r="H19208"/>
      <c r="I19208" s="489"/>
    </row>
    <row r="19209" spans="1:9" x14ac:dyDescent="0.25">
      <c r="A19209">
        <v>3921</v>
      </c>
      <c r="B19209" t="s">
        <v>22712</v>
      </c>
      <c r="C19209" t="s">
        <v>2537</v>
      </c>
      <c r="D19209" s="254">
        <v>21.08</v>
      </c>
      <c r="E19209"/>
      <c r="F19209"/>
      <c r="G19209"/>
      <c r="H19209"/>
      <c r="I19209" s="489"/>
    </row>
    <row r="19210" spans="1:9" x14ac:dyDescent="0.25">
      <c r="A19210">
        <v>3920</v>
      </c>
      <c r="B19210" t="s">
        <v>22713</v>
      </c>
      <c r="C19210" t="s">
        <v>2537</v>
      </c>
      <c r="D19210" s="254">
        <v>21.07</v>
      </c>
      <c r="E19210"/>
      <c r="F19210"/>
      <c r="G19210"/>
      <c r="H19210"/>
      <c r="I19210" s="489"/>
    </row>
    <row r="19211" spans="1:9" x14ac:dyDescent="0.25">
      <c r="A19211">
        <v>3938</v>
      </c>
      <c r="B19211" t="s">
        <v>22714</v>
      </c>
      <c r="C19211" t="s">
        <v>2537</v>
      </c>
      <c r="D19211" s="254">
        <v>13.89</v>
      </c>
      <c r="E19211"/>
      <c r="F19211"/>
      <c r="G19211"/>
      <c r="H19211"/>
      <c r="I19211" s="489"/>
    </row>
    <row r="19212" spans="1:9" x14ac:dyDescent="0.25">
      <c r="A19212">
        <v>3919</v>
      </c>
      <c r="B19212" t="s">
        <v>22715</v>
      </c>
      <c r="C19212" t="s">
        <v>2537</v>
      </c>
      <c r="D19212" s="254">
        <v>14.16</v>
      </c>
      <c r="E19212"/>
      <c r="F19212"/>
      <c r="G19212"/>
      <c r="H19212"/>
      <c r="I19212" s="489"/>
    </row>
    <row r="19213" spans="1:9" x14ac:dyDescent="0.25">
      <c r="A19213">
        <v>3927</v>
      </c>
      <c r="B19213" t="s">
        <v>22716</v>
      </c>
      <c r="C19213" t="s">
        <v>2537</v>
      </c>
      <c r="D19213" s="254">
        <v>71.73</v>
      </c>
      <c r="E19213"/>
      <c r="F19213"/>
      <c r="G19213"/>
      <c r="H19213"/>
      <c r="I19213" s="489"/>
    </row>
    <row r="19214" spans="1:9" x14ac:dyDescent="0.25">
      <c r="A19214">
        <v>3928</v>
      </c>
      <c r="B19214" t="s">
        <v>22717</v>
      </c>
      <c r="C19214" t="s">
        <v>2537</v>
      </c>
      <c r="D19214" s="254">
        <v>71.73</v>
      </c>
      <c r="E19214"/>
      <c r="F19214"/>
      <c r="G19214"/>
      <c r="H19214"/>
      <c r="I19214" s="489"/>
    </row>
    <row r="19215" spans="1:9" x14ac:dyDescent="0.25">
      <c r="A19215">
        <v>3926</v>
      </c>
      <c r="B19215" t="s">
        <v>22718</v>
      </c>
      <c r="C19215" t="s">
        <v>2537</v>
      </c>
      <c r="D19215" s="254">
        <v>40.89</v>
      </c>
      <c r="E19215"/>
      <c r="F19215"/>
      <c r="G19215"/>
      <c r="H19215"/>
      <c r="I19215" s="489"/>
    </row>
    <row r="19216" spans="1:9" x14ac:dyDescent="0.25">
      <c r="A19216">
        <v>3935</v>
      </c>
      <c r="B19216" t="s">
        <v>22719</v>
      </c>
      <c r="C19216" t="s">
        <v>2537</v>
      </c>
      <c r="D19216" s="254">
        <v>40.89</v>
      </c>
      <c r="E19216"/>
      <c r="F19216"/>
      <c r="G19216"/>
      <c r="H19216"/>
      <c r="I19216" s="489"/>
    </row>
    <row r="19217" spans="1:9" x14ac:dyDescent="0.25">
      <c r="A19217">
        <v>3925</v>
      </c>
      <c r="B19217" t="s">
        <v>22720</v>
      </c>
      <c r="C19217" t="s">
        <v>2537</v>
      </c>
      <c r="D19217" s="254">
        <v>40.89</v>
      </c>
      <c r="E19217"/>
      <c r="F19217"/>
      <c r="G19217"/>
      <c r="H19217"/>
      <c r="I19217" s="489"/>
    </row>
    <row r="19218" spans="1:9" x14ac:dyDescent="0.25">
      <c r="A19218">
        <v>12406</v>
      </c>
      <c r="B19218" t="s">
        <v>22721</v>
      </c>
      <c r="C19218" t="s">
        <v>2537</v>
      </c>
      <c r="D19218" s="254">
        <v>10.039999999999999</v>
      </c>
      <c r="E19218"/>
      <c r="F19218"/>
      <c r="G19218"/>
      <c r="H19218"/>
      <c r="I19218" s="489"/>
    </row>
    <row r="19219" spans="1:9" x14ac:dyDescent="0.25">
      <c r="A19219">
        <v>3929</v>
      </c>
      <c r="B19219" t="s">
        <v>22722</v>
      </c>
      <c r="C19219" t="s">
        <v>2537</v>
      </c>
      <c r="D19219" s="254">
        <v>109.28</v>
      </c>
      <c r="E19219"/>
      <c r="F19219"/>
      <c r="G19219"/>
      <c r="H19219"/>
      <c r="I19219" s="489"/>
    </row>
    <row r="19220" spans="1:9" x14ac:dyDescent="0.25">
      <c r="A19220">
        <v>3931</v>
      </c>
      <c r="B19220" t="s">
        <v>22723</v>
      </c>
      <c r="C19220" t="s">
        <v>2537</v>
      </c>
      <c r="D19220" s="254">
        <v>109.28</v>
      </c>
      <c r="E19220"/>
      <c r="F19220"/>
      <c r="G19220"/>
      <c r="H19220"/>
      <c r="I19220" s="489"/>
    </row>
    <row r="19221" spans="1:9" x14ac:dyDescent="0.25">
      <c r="A19221">
        <v>3930</v>
      </c>
      <c r="B19221" t="s">
        <v>22724</v>
      </c>
      <c r="C19221" t="s">
        <v>2537</v>
      </c>
      <c r="D19221" s="254">
        <v>109.28</v>
      </c>
      <c r="E19221"/>
      <c r="F19221"/>
      <c r="G19221"/>
      <c r="H19221"/>
      <c r="I19221" s="489"/>
    </row>
    <row r="19222" spans="1:9" x14ac:dyDescent="0.25">
      <c r="A19222">
        <v>3932</v>
      </c>
      <c r="B19222" t="s">
        <v>22725</v>
      </c>
      <c r="C19222" t="s">
        <v>2537</v>
      </c>
      <c r="D19222" s="254">
        <v>188.71</v>
      </c>
      <c r="E19222"/>
      <c r="F19222"/>
      <c r="G19222"/>
      <c r="H19222"/>
      <c r="I19222" s="489"/>
    </row>
    <row r="19223" spans="1:9" x14ac:dyDescent="0.25">
      <c r="A19223">
        <v>3933</v>
      </c>
      <c r="B19223" t="s">
        <v>22726</v>
      </c>
      <c r="C19223" t="s">
        <v>2537</v>
      </c>
      <c r="D19223" s="254">
        <v>188.71</v>
      </c>
      <c r="E19223"/>
      <c r="F19223"/>
      <c r="G19223"/>
      <c r="H19223"/>
      <c r="I19223" s="489"/>
    </row>
    <row r="19224" spans="1:9" x14ac:dyDescent="0.25">
      <c r="A19224">
        <v>3934</v>
      </c>
      <c r="B19224" t="s">
        <v>22727</v>
      </c>
      <c r="C19224" t="s">
        <v>2537</v>
      </c>
      <c r="D19224" s="254">
        <v>188.71</v>
      </c>
      <c r="E19224"/>
      <c r="F19224"/>
      <c r="G19224"/>
      <c r="H19224"/>
      <c r="I19224" s="489"/>
    </row>
    <row r="19225" spans="1:9" x14ac:dyDescent="0.25">
      <c r="A19225">
        <v>40355</v>
      </c>
      <c r="B19225" t="s">
        <v>22728</v>
      </c>
      <c r="C19225" t="s">
        <v>2537</v>
      </c>
      <c r="D19225" s="254">
        <v>13.8</v>
      </c>
      <c r="E19225"/>
      <c r="F19225"/>
      <c r="G19225"/>
      <c r="H19225"/>
      <c r="I19225" s="489"/>
    </row>
    <row r="19226" spans="1:9" x14ac:dyDescent="0.25">
      <c r="A19226">
        <v>40364</v>
      </c>
      <c r="B19226" t="s">
        <v>22729</v>
      </c>
      <c r="C19226" t="s">
        <v>2537</v>
      </c>
      <c r="D19226" s="254">
        <v>64.64</v>
      </c>
      <c r="E19226"/>
      <c r="F19226"/>
      <c r="G19226"/>
      <c r="H19226"/>
      <c r="I19226" s="489"/>
    </row>
    <row r="19227" spans="1:9" x14ac:dyDescent="0.25">
      <c r="A19227">
        <v>40361</v>
      </c>
      <c r="B19227" t="s">
        <v>22730</v>
      </c>
      <c r="C19227" t="s">
        <v>2537</v>
      </c>
      <c r="D19227" s="254">
        <v>50.55</v>
      </c>
      <c r="E19227"/>
      <c r="F19227"/>
      <c r="G19227"/>
      <c r="H19227"/>
      <c r="I19227" s="489"/>
    </row>
    <row r="19228" spans="1:9" x14ac:dyDescent="0.25">
      <c r="A19228">
        <v>40358</v>
      </c>
      <c r="B19228" t="s">
        <v>22731</v>
      </c>
      <c r="C19228" t="s">
        <v>2537</v>
      </c>
      <c r="D19228" s="254">
        <v>19.27</v>
      </c>
      <c r="E19228"/>
      <c r="F19228"/>
      <c r="G19228"/>
      <c r="H19228"/>
      <c r="I19228" s="489"/>
    </row>
    <row r="19229" spans="1:9" x14ac:dyDescent="0.25">
      <c r="A19229">
        <v>40370</v>
      </c>
      <c r="B19229" t="s">
        <v>22732</v>
      </c>
      <c r="C19229" t="s">
        <v>2537</v>
      </c>
      <c r="D19229" s="254">
        <v>205.11</v>
      </c>
      <c r="E19229"/>
      <c r="F19229"/>
      <c r="G19229"/>
      <c r="H19229"/>
      <c r="I19229" s="489"/>
    </row>
    <row r="19230" spans="1:9" x14ac:dyDescent="0.25">
      <c r="A19230">
        <v>40367</v>
      </c>
      <c r="B19230" t="s">
        <v>22733</v>
      </c>
      <c r="C19230" t="s">
        <v>2537</v>
      </c>
      <c r="D19230" s="254">
        <v>101.95</v>
      </c>
      <c r="E19230"/>
      <c r="F19230"/>
      <c r="G19230"/>
      <c r="H19230"/>
      <c r="I19230" s="489"/>
    </row>
    <row r="19231" spans="1:9" x14ac:dyDescent="0.25">
      <c r="A19231">
        <v>40373</v>
      </c>
      <c r="B19231" t="s">
        <v>22734</v>
      </c>
      <c r="C19231" t="s">
        <v>2537</v>
      </c>
      <c r="D19231" s="254">
        <v>277.36</v>
      </c>
      <c r="E19231"/>
      <c r="F19231"/>
      <c r="G19231"/>
      <c r="H19231"/>
      <c r="I19231" s="489"/>
    </row>
    <row r="19232" spans="1:9" x14ac:dyDescent="0.25">
      <c r="A19232">
        <v>38947</v>
      </c>
      <c r="B19232" t="s">
        <v>22735</v>
      </c>
      <c r="C19232" t="s">
        <v>2537</v>
      </c>
      <c r="D19232" s="254">
        <v>6.64</v>
      </c>
      <c r="E19232"/>
      <c r="F19232"/>
      <c r="G19232"/>
      <c r="H19232"/>
      <c r="I19232" s="489"/>
    </row>
    <row r="19233" spans="1:9" x14ac:dyDescent="0.25">
      <c r="A19233">
        <v>38948</v>
      </c>
      <c r="B19233" t="s">
        <v>22736</v>
      </c>
      <c r="C19233" t="s">
        <v>2537</v>
      </c>
      <c r="D19233" s="254">
        <v>10.6</v>
      </c>
      <c r="E19233"/>
      <c r="F19233"/>
      <c r="G19233"/>
      <c r="H19233"/>
      <c r="I19233" s="489"/>
    </row>
    <row r="19234" spans="1:9" x14ac:dyDescent="0.25">
      <c r="A19234">
        <v>38949</v>
      </c>
      <c r="B19234" t="s">
        <v>22737</v>
      </c>
      <c r="C19234" t="s">
        <v>2537</v>
      </c>
      <c r="D19234" s="254">
        <v>11.76</v>
      </c>
      <c r="E19234"/>
      <c r="F19234"/>
      <c r="G19234"/>
      <c r="H19234"/>
      <c r="I19234" s="489"/>
    </row>
    <row r="19235" spans="1:9" x14ac:dyDescent="0.25">
      <c r="A19235">
        <v>38951</v>
      </c>
      <c r="B19235" t="s">
        <v>22738</v>
      </c>
      <c r="C19235" t="s">
        <v>2537</v>
      </c>
      <c r="D19235" s="254">
        <v>18.600000000000001</v>
      </c>
      <c r="E19235"/>
      <c r="F19235"/>
      <c r="G19235"/>
      <c r="H19235"/>
      <c r="I19235" s="489"/>
    </row>
    <row r="19236" spans="1:9" x14ac:dyDescent="0.25">
      <c r="A19236">
        <v>39312</v>
      </c>
      <c r="B19236" t="s">
        <v>22739</v>
      </c>
      <c r="C19236" t="s">
        <v>2537</v>
      </c>
      <c r="D19236" s="254">
        <v>14.43</v>
      </c>
      <c r="E19236"/>
      <c r="F19236"/>
      <c r="G19236"/>
      <c r="H19236"/>
      <c r="I19236" s="489"/>
    </row>
    <row r="19237" spans="1:9" x14ac:dyDescent="0.25">
      <c r="A19237">
        <v>39313</v>
      </c>
      <c r="B19237" t="s">
        <v>22740</v>
      </c>
      <c r="C19237" t="s">
        <v>2537</v>
      </c>
      <c r="D19237" s="254">
        <v>18.829999999999998</v>
      </c>
      <c r="E19237"/>
      <c r="F19237"/>
      <c r="G19237"/>
      <c r="H19237"/>
      <c r="I19237" s="489"/>
    </row>
    <row r="19238" spans="1:9" x14ac:dyDescent="0.25">
      <c r="A19238">
        <v>38950</v>
      </c>
      <c r="B19238" t="s">
        <v>22741</v>
      </c>
      <c r="C19238" t="s">
        <v>2537</v>
      </c>
      <c r="D19238" s="254">
        <v>28.34</v>
      </c>
      <c r="E19238"/>
      <c r="F19238"/>
      <c r="G19238"/>
      <c r="H19238"/>
      <c r="I19238" s="489"/>
    </row>
    <row r="19239" spans="1:9" x14ac:dyDescent="0.25">
      <c r="A19239">
        <v>39314</v>
      </c>
      <c r="B19239" t="s">
        <v>22742</v>
      </c>
      <c r="C19239" t="s">
        <v>2537</v>
      </c>
      <c r="D19239" s="254">
        <v>29.91</v>
      </c>
      <c r="E19239"/>
      <c r="F19239"/>
      <c r="G19239"/>
      <c r="H19239"/>
      <c r="I19239" s="489"/>
    </row>
    <row r="19240" spans="1:9" x14ac:dyDescent="0.25">
      <c r="A19240">
        <v>3907</v>
      </c>
      <c r="B19240" t="s">
        <v>22743</v>
      </c>
      <c r="C19240" t="s">
        <v>2537</v>
      </c>
      <c r="D19240" s="254">
        <v>5.48</v>
      </c>
      <c r="E19240"/>
      <c r="F19240"/>
      <c r="G19240"/>
      <c r="H19240"/>
      <c r="I19240" s="489"/>
    </row>
    <row r="19241" spans="1:9" x14ac:dyDescent="0.25">
      <c r="A19241">
        <v>3889</v>
      </c>
      <c r="B19241" t="s">
        <v>22744</v>
      </c>
      <c r="C19241" t="s">
        <v>2537</v>
      </c>
      <c r="D19241" s="254">
        <v>4.1900000000000004</v>
      </c>
      <c r="E19241"/>
      <c r="F19241"/>
      <c r="G19241"/>
      <c r="H19241"/>
      <c r="I19241" s="489"/>
    </row>
    <row r="19242" spans="1:9" x14ac:dyDescent="0.25">
      <c r="A19242">
        <v>3868</v>
      </c>
      <c r="B19242" t="s">
        <v>22745</v>
      </c>
      <c r="C19242" t="s">
        <v>2537</v>
      </c>
      <c r="D19242" s="254">
        <v>1.63</v>
      </c>
      <c r="E19242"/>
      <c r="F19242"/>
      <c r="G19242"/>
      <c r="H19242"/>
      <c r="I19242" s="489"/>
    </row>
    <row r="19243" spans="1:9" x14ac:dyDescent="0.25">
      <c r="A19243">
        <v>3869</v>
      </c>
      <c r="B19243" t="s">
        <v>22746</v>
      </c>
      <c r="C19243" t="s">
        <v>2537</v>
      </c>
      <c r="D19243" s="254">
        <v>4.66</v>
      </c>
      <c r="E19243"/>
      <c r="F19243"/>
      <c r="G19243"/>
      <c r="H19243"/>
      <c r="I19243" s="489"/>
    </row>
    <row r="19244" spans="1:9" x14ac:dyDescent="0.25">
      <c r="A19244">
        <v>3872</v>
      </c>
      <c r="B19244" t="s">
        <v>22747</v>
      </c>
      <c r="C19244" t="s">
        <v>2537</v>
      </c>
      <c r="D19244" s="254">
        <v>5.66</v>
      </c>
      <c r="E19244"/>
      <c r="F19244"/>
      <c r="G19244"/>
      <c r="H19244"/>
      <c r="I19244" s="489"/>
    </row>
    <row r="19245" spans="1:9" x14ac:dyDescent="0.25">
      <c r="A19245">
        <v>3850</v>
      </c>
      <c r="B19245" t="s">
        <v>22748</v>
      </c>
      <c r="C19245" t="s">
        <v>2537</v>
      </c>
      <c r="D19245" s="254">
        <v>14.57</v>
      </c>
      <c r="E19245"/>
      <c r="F19245"/>
      <c r="G19245"/>
      <c r="H19245"/>
      <c r="I19245" s="489"/>
    </row>
    <row r="19246" spans="1:9" x14ac:dyDescent="0.25">
      <c r="A19246">
        <v>38023</v>
      </c>
      <c r="B19246" t="s">
        <v>22749</v>
      </c>
      <c r="C19246" t="s">
        <v>2537</v>
      </c>
      <c r="D19246" s="254">
        <v>6.15</v>
      </c>
      <c r="E19246"/>
      <c r="F19246"/>
      <c r="G19246"/>
      <c r="H19246"/>
      <c r="I19246" s="489"/>
    </row>
    <row r="19247" spans="1:9" x14ac:dyDescent="0.25">
      <c r="A19247">
        <v>37986</v>
      </c>
      <c r="B19247" t="s">
        <v>22750</v>
      </c>
      <c r="C19247" t="s">
        <v>2537</v>
      </c>
      <c r="D19247" s="254">
        <v>1.69</v>
      </c>
      <c r="E19247"/>
      <c r="F19247"/>
      <c r="G19247"/>
      <c r="H19247"/>
      <c r="I19247" s="489"/>
    </row>
    <row r="19248" spans="1:9" x14ac:dyDescent="0.25">
      <c r="A19248">
        <v>37987</v>
      </c>
      <c r="B19248" t="s">
        <v>22751</v>
      </c>
      <c r="C19248" t="s">
        <v>2537</v>
      </c>
      <c r="D19248" s="254">
        <v>126.26</v>
      </c>
      <c r="E19248"/>
      <c r="F19248"/>
      <c r="G19248"/>
      <c r="H19248"/>
      <c r="I19248" s="489"/>
    </row>
    <row r="19249" spans="1:9" x14ac:dyDescent="0.25">
      <c r="A19249">
        <v>37988</v>
      </c>
      <c r="B19249" t="s">
        <v>22752</v>
      </c>
      <c r="C19249" t="s">
        <v>2537</v>
      </c>
      <c r="D19249" s="254">
        <v>205.94</v>
      </c>
      <c r="E19249"/>
      <c r="F19249"/>
      <c r="G19249"/>
      <c r="H19249"/>
      <c r="I19249" s="489"/>
    </row>
    <row r="19250" spans="1:9" x14ac:dyDescent="0.25">
      <c r="A19250">
        <v>21120</v>
      </c>
      <c r="B19250" t="s">
        <v>22753</v>
      </c>
      <c r="C19250" t="s">
        <v>2537</v>
      </c>
      <c r="D19250" s="254">
        <v>10.26</v>
      </c>
      <c r="E19250"/>
      <c r="F19250"/>
      <c r="G19250"/>
      <c r="H19250"/>
      <c r="I19250" s="489"/>
    </row>
    <row r="19251" spans="1:9" x14ac:dyDescent="0.25">
      <c r="A19251">
        <v>39318</v>
      </c>
      <c r="B19251" t="s">
        <v>22754</v>
      </c>
      <c r="C19251" t="s">
        <v>2537</v>
      </c>
      <c r="D19251" s="254">
        <v>8.4600000000000009</v>
      </c>
      <c r="E19251"/>
      <c r="F19251"/>
      <c r="G19251"/>
      <c r="H19251"/>
      <c r="I19251" s="489"/>
    </row>
    <row r="19252" spans="1:9" x14ac:dyDescent="0.25">
      <c r="A19252">
        <v>20162</v>
      </c>
      <c r="B19252" t="s">
        <v>22755</v>
      </c>
      <c r="C19252" t="s">
        <v>2537</v>
      </c>
      <c r="D19252" s="254">
        <v>19.399999999999999</v>
      </c>
      <c r="E19252"/>
      <c r="F19252"/>
      <c r="G19252"/>
      <c r="H19252"/>
      <c r="I19252" s="489"/>
    </row>
    <row r="19253" spans="1:9" x14ac:dyDescent="0.25">
      <c r="A19253">
        <v>40366</v>
      </c>
      <c r="B19253" t="s">
        <v>22756</v>
      </c>
      <c r="C19253" t="s">
        <v>2537</v>
      </c>
      <c r="D19253" s="254">
        <v>50.42</v>
      </c>
      <c r="E19253"/>
      <c r="F19253"/>
      <c r="G19253"/>
      <c r="H19253"/>
      <c r="I19253" s="489"/>
    </row>
    <row r="19254" spans="1:9" x14ac:dyDescent="0.25">
      <c r="A19254">
        <v>40363</v>
      </c>
      <c r="B19254" t="s">
        <v>22757</v>
      </c>
      <c r="C19254" t="s">
        <v>2537</v>
      </c>
      <c r="D19254" s="254">
        <v>39.44</v>
      </c>
      <c r="E19254"/>
      <c r="F19254"/>
      <c r="G19254"/>
      <c r="H19254"/>
      <c r="I19254" s="489"/>
    </row>
    <row r="19255" spans="1:9" x14ac:dyDescent="0.25">
      <c r="A19255">
        <v>40354</v>
      </c>
      <c r="B19255" t="s">
        <v>22758</v>
      </c>
      <c r="C19255" t="s">
        <v>2537</v>
      </c>
      <c r="D19255" s="254">
        <v>17.170000000000002</v>
      </c>
      <c r="E19255"/>
      <c r="F19255"/>
      <c r="G19255"/>
      <c r="H19255"/>
      <c r="I19255" s="489"/>
    </row>
    <row r="19256" spans="1:9" x14ac:dyDescent="0.25">
      <c r="A19256">
        <v>40360</v>
      </c>
      <c r="B19256" t="s">
        <v>22759</v>
      </c>
      <c r="C19256" t="s">
        <v>2537</v>
      </c>
      <c r="D19256" s="254">
        <v>25.85</v>
      </c>
      <c r="E19256"/>
      <c r="F19256"/>
      <c r="G19256"/>
      <c r="H19256"/>
      <c r="I19256" s="489"/>
    </row>
    <row r="19257" spans="1:9" x14ac:dyDescent="0.25">
      <c r="A19257">
        <v>40372</v>
      </c>
      <c r="B19257" t="s">
        <v>22760</v>
      </c>
      <c r="C19257" t="s">
        <v>2537</v>
      </c>
      <c r="D19257" s="254">
        <v>159.66999999999999</v>
      </c>
      <c r="E19257"/>
      <c r="F19257"/>
      <c r="G19257"/>
      <c r="H19257"/>
      <c r="I19257" s="489"/>
    </row>
    <row r="19258" spans="1:9" x14ac:dyDescent="0.25">
      <c r="A19258">
        <v>40369</v>
      </c>
      <c r="B19258" t="s">
        <v>22761</v>
      </c>
      <c r="C19258" t="s">
        <v>2537</v>
      </c>
      <c r="D19258" s="254">
        <v>79.47</v>
      </c>
      <c r="E19258"/>
      <c r="F19258"/>
      <c r="G19258"/>
      <c r="H19258"/>
      <c r="I19258" s="489"/>
    </row>
    <row r="19259" spans="1:9" x14ac:dyDescent="0.25">
      <c r="A19259">
        <v>40357</v>
      </c>
      <c r="B19259" t="s">
        <v>22762</v>
      </c>
      <c r="C19259" t="s">
        <v>2537</v>
      </c>
      <c r="D19259" s="254">
        <v>19.27</v>
      </c>
      <c r="E19259"/>
      <c r="F19259"/>
      <c r="G19259"/>
      <c r="H19259"/>
      <c r="I19259" s="489"/>
    </row>
    <row r="19260" spans="1:9" x14ac:dyDescent="0.25">
      <c r="A19260">
        <v>40375</v>
      </c>
      <c r="B19260" t="s">
        <v>22763</v>
      </c>
      <c r="C19260" t="s">
        <v>2537</v>
      </c>
      <c r="D19260" s="254">
        <v>216.15</v>
      </c>
      <c r="E19260"/>
      <c r="F19260"/>
      <c r="G19260"/>
      <c r="H19260"/>
      <c r="I19260" s="489"/>
    </row>
    <row r="19261" spans="1:9" x14ac:dyDescent="0.25">
      <c r="A19261">
        <v>1893</v>
      </c>
      <c r="B19261" t="s">
        <v>22764</v>
      </c>
      <c r="C19261" t="s">
        <v>2537</v>
      </c>
      <c r="D19261" s="254">
        <v>3.62</v>
      </c>
      <c r="E19261"/>
      <c r="F19261"/>
      <c r="G19261"/>
      <c r="H19261"/>
      <c r="I19261" s="489"/>
    </row>
    <row r="19262" spans="1:9" x14ac:dyDescent="0.25">
      <c r="A19262">
        <v>1902</v>
      </c>
      <c r="B19262" t="s">
        <v>22765</v>
      </c>
      <c r="C19262" t="s">
        <v>2537</v>
      </c>
      <c r="D19262" s="254">
        <v>2.64</v>
      </c>
      <c r="E19262"/>
      <c r="F19262"/>
      <c r="G19262"/>
      <c r="H19262"/>
      <c r="I19262" s="489"/>
    </row>
    <row r="19263" spans="1:9" x14ac:dyDescent="0.25">
      <c r="A19263">
        <v>1901</v>
      </c>
      <c r="B19263" t="s">
        <v>22766</v>
      </c>
      <c r="C19263" t="s">
        <v>2537</v>
      </c>
      <c r="D19263" s="254">
        <v>0.82</v>
      </c>
      <c r="E19263"/>
      <c r="F19263"/>
      <c r="G19263"/>
      <c r="H19263"/>
      <c r="I19263" s="489"/>
    </row>
    <row r="19264" spans="1:9" x14ac:dyDescent="0.25">
      <c r="A19264">
        <v>1892</v>
      </c>
      <c r="B19264" t="s">
        <v>22767</v>
      </c>
      <c r="C19264" t="s">
        <v>2537</v>
      </c>
      <c r="D19264" s="254">
        <v>1.7</v>
      </c>
      <c r="E19264"/>
      <c r="F19264"/>
      <c r="G19264"/>
      <c r="H19264"/>
      <c r="I19264" s="489"/>
    </row>
    <row r="19265" spans="1:9" x14ac:dyDescent="0.25">
      <c r="A19265">
        <v>1907</v>
      </c>
      <c r="B19265" t="s">
        <v>22768</v>
      </c>
      <c r="C19265" t="s">
        <v>2537</v>
      </c>
      <c r="D19265" s="254">
        <v>11.67</v>
      </c>
      <c r="E19265"/>
      <c r="F19265"/>
      <c r="G19265"/>
      <c r="H19265"/>
      <c r="I19265" s="489"/>
    </row>
    <row r="19266" spans="1:9" x14ac:dyDescent="0.25">
      <c r="A19266">
        <v>1894</v>
      </c>
      <c r="B19266" t="s">
        <v>22769</v>
      </c>
      <c r="C19266" t="s">
        <v>2537</v>
      </c>
      <c r="D19266" s="254">
        <v>5.25</v>
      </c>
      <c r="E19266"/>
      <c r="F19266"/>
      <c r="G19266"/>
      <c r="H19266"/>
      <c r="I19266" s="489"/>
    </row>
    <row r="19267" spans="1:9" x14ac:dyDescent="0.25">
      <c r="A19267">
        <v>1891</v>
      </c>
      <c r="B19267" t="s">
        <v>22770</v>
      </c>
      <c r="C19267" t="s">
        <v>2537</v>
      </c>
      <c r="D19267" s="254">
        <v>1.22</v>
      </c>
      <c r="E19267"/>
      <c r="F19267"/>
      <c r="G19267"/>
      <c r="H19267"/>
      <c r="I19267" s="489"/>
    </row>
    <row r="19268" spans="1:9" x14ac:dyDescent="0.25">
      <c r="A19268">
        <v>1896</v>
      </c>
      <c r="B19268" t="s">
        <v>22771</v>
      </c>
      <c r="C19268" t="s">
        <v>2537</v>
      </c>
      <c r="D19268" s="254">
        <v>15.67</v>
      </c>
      <c r="E19268"/>
      <c r="F19268"/>
      <c r="G19268"/>
      <c r="H19268"/>
      <c r="I19268" s="489"/>
    </row>
    <row r="19269" spans="1:9" x14ac:dyDescent="0.25">
      <c r="A19269">
        <v>1895</v>
      </c>
      <c r="B19269" t="s">
        <v>22772</v>
      </c>
      <c r="C19269" t="s">
        <v>2537</v>
      </c>
      <c r="D19269" s="254">
        <v>27.53</v>
      </c>
      <c r="E19269"/>
      <c r="F19269"/>
      <c r="G19269"/>
      <c r="H19269"/>
      <c r="I19269" s="489"/>
    </row>
    <row r="19270" spans="1:9" x14ac:dyDescent="0.25">
      <c r="A19270">
        <v>2641</v>
      </c>
      <c r="B19270" t="s">
        <v>22773</v>
      </c>
      <c r="C19270" t="s">
        <v>2537</v>
      </c>
      <c r="D19270" s="254">
        <v>36.869999999999997</v>
      </c>
      <c r="E19270"/>
      <c r="F19270"/>
      <c r="G19270"/>
      <c r="H19270"/>
      <c r="I19270" s="489"/>
    </row>
    <row r="19271" spans="1:9" x14ac:dyDescent="0.25">
      <c r="A19271">
        <v>2636</v>
      </c>
      <c r="B19271" t="s">
        <v>22774</v>
      </c>
      <c r="C19271" t="s">
        <v>2537</v>
      </c>
      <c r="D19271" s="254">
        <v>2.37</v>
      </c>
      <c r="E19271"/>
      <c r="F19271"/>
      <c r="G19271"/>
      <c r="H19271"/>
      <c r="I19271" s="489"/>
    </row>
    <row r="19272" spans="1:9" x14ac:dyDescent="0.25">
      <c r="A19272">
        <v>2637</v>
      </c>
      <c r="B19272" t="s">
        <v>22775</v>
      </c>
      <c r="C19272" t="s">
        <v>2537</v>
      </c>
      <c r="D19272" s="254">
        <v>2.5299999999999998</v>
      </c>
      <c r="E19272"/>
      <c r="F19272"/>
      <c r="G19272"/>
      <c r="H19272"/>
      <c r="I19272" s="489"/>
    </row>
    <row r="19273" spans="1:9" x14ac:dyDescent="0.25">
      <c r="A19273">
        <v>2638</v>
      </c>
      <c r="B19273" t="s">
        <v>22776</v>
      </c>
      <c r="C19273" t="s">
        <v>2537</v>
      </c>
      <c r="D19273" s="254">
        <v>2.94</v>
      </c>
      <c r="E19273"/>
      <c r="F19273"/>
      <c r="G19273"/>
      <c r="H19273"/>
      <c r="I19273" s="489"/>
    </row>
    <row r="19274" spans="1:9" x14ac:dyDescent="0.25">
      <c r="A19274">
        <v>2639</v>
      </c>
      <c r="B19274" t="s">
        <v>22777</v>
      </c>
      <c r="C19274" t="s">
        <v>2537</v>
      </c>
      <c r="D19274" s="254">
        <v>5.21</v>
      </c>
      <c r="E19274"/>
      <c r="F19274"/>
      <c r="G19274"/>
      <c r="H19274"/>
      <c r="I19274" s="489"/>
    </row>
    <row r="19275" spans="1:9" x14ac:dyDescent="0.25">
      <c r="A19275">
        <v>2644</v>
      </c>
      <c r="B19275" t="s">
        <v>22778</v>
      </c>
      <c r="C19275" t="s">
        <v>2537</v>
      </c>
      <c r="D19275" s="254">
        <v>7.54</v>
      </c>
      <c r="E19275"/>
      <c r="F19275"/>
      <c r="G19275"/>
      <c r="H19275"/>
      <c r="I19275" s="489"/>
    </row>
    <row r="19276" spans="1:9" x14ac:dyDescent="0.25">
      <c r="A19276">
        <v>2643</v>
      </c>
      <c r="B19276" t="s">
        <v>22779</v>
      </c>
      <c r="C19276" t="s">
        <v>2537</v>
      </c>
      <c r="D19276" s="254">
        <v>10.51</v>
      </c>
      <c r="E19276"/>
      <c r="F19276"/>
      <c r="G19276"/>
      <c r="H19276"/>
      <c r="I19276" s="489"/>
    </row>
    <row r="19277" spans="1:9" x14ac:dyDescent="0.25">
      <c r="A19277">
        <v>2640</v>
      </c>
      <c r="B19277" t="s">
        <v>22780</v>
      </c>
      <c r="C19277" t="s">
        <v>2537</v>
      </c>
      <c r="D19277" s="254">
        <v>15.35</v>
      </c>
      <c r="E19277"/>
      <c r="F19277"/>
      <c r="G19277"/>
      <c r="H19277"/>
      <c r="I19277" s="489"/>
    </row>
    <row r="19278" spans="1:9" x14ac:dyDescent="0.25">
      <c r="A19278">
        <v>2642</v>
      </c>
      <c r="B19278" t="s">
        <v>22781</v>
      </c>
      <c r="C19278" t="s">
        <v>2537</v>
      </c>
      <c r="D19278" s="254">
        <v>23.36</v>
      </c>
      <c r="E19278"/>
      <c r="F19278"/>
      <c r="G19278"/>
      <c r="H19278"/>
      <c r="I19278" s="489"/>
    </row>
    <row r="19279" spans="1:9" x14ac:dyDescent="0.25">
      <c r="A19279">
        <v>38943</v>
      </c>
      <c r="B19279" t="s">
        <v>22782</v>
      </c>
      <c r="C19279" t="s">
        <v>2537</v>
      </c>
      <c r="D19279" s="254">
        <v>4.9000000000000004</v>
      </c>
      <c r="E19279"/>
      <c r="F19279"/>
      <c r="G19279"/>
      <c r="H19279"/>
      <c r="I19279" s="489"/>
    </row>
    <row r="19280" spans="1:9" x14ac:dyDescent="0.25">
      <c r="A19280">
        <v>38944</v>
      </c>
      <c r="B19280" t="s">
        <v>22783</v>
      </c>
      <c r="C19280" t="s">
        <v>2537</v>
      </c>
      <c r="D19280" s="254">
        <v>7.58</v>
      </c>
      <c r="E19280"/>
      <c r="F19280"/>
      <c r="G19280"/>
      <c r="H19280"/>
      <c r="I19280" s="489"/>
    </row>
    <row r="19281" spans="1:9" x14ac:dyDescent="0.25">
      <c r="A19281">
        <v>38945</v>
      </c>
      <c r="B19281" t="s">
        <v>22784</v>
      </c>
      <c r="C19281" t="s">
        <v>2537</v>
      </c>
      <c r="D19281" s="254">
        <v>15.37</v>
      </c>
      <c r="E19281"/>
      <c r="F19281"/>
      <c r="G19281"/>
      <c r="H19281"/>
      <c r="I19281" s="489"/>
    </row>
    <row r="19282" spans="1:9" x14ac:dyDescent="0.25">
      <c r="A19282">
        <v>38946</v>
      </c>
      <c r="B19282" t="s">
        <v>22785</v>
      </c>
      <c r="C19282" t="s">
        <v>2537</v>
      </c>
      <c r="D19282" s="254">
        <v>22.93</v>
      </c>
      <c r="E19282"/>
      <c r="F19282"/>
      <c r="G19282"/>
      <c r="H19282"/>
      <c r="I19282" s="489"/>
    </row>
    <row r="19283" spans="1:9" x14ac:dyDescent="0.25">
      <c r="A19283">
        <v>39308</v>
      </c>
      <c r="B19283" t="s">
        <v>22786</v>
      </c>
      <c r="C19283" t="s">
        <v>2537</v>
      </c>
      <c r="D19283" s="254">
        <v>10</v>
      </c>
      <c r="E19283"/>
      <c r="F19283"/>
      <c r="G19283"/>
      <c r="H19283"/>
      <c r="I19283" s="489"/>
    </row>
    <row r="19284" spans="1:9" x14ac:dyDescent="0.25">
      <c r="A19284">
        <v>39309</v>
      </c>
      <c r="B19284" t="s">
        <v>22787</v>
      </c>
      <c r="C19284" t="s">
        <v>2537</v>
      </c>
      <c r="D19284" s="254">
        <v>14.46</v>
      </c>
      <c r="E19284"/>
      <c r="F19284"/>
      <c r="G19284"/>
      <c r="H19284"/>
      <c r="I19284" s="489"/>
    </row>
    <row r="19285" spans="1:9" x14ac:dyDescent="0.25">
      <c r="A19285">
        <v>39310</v>
      </c>
      <c r="B19285" t="s">
        <v>22788</v>
      </c>
      <c r="C19285" t="s">
        <v>2537</v>
      </c>
      <c r="D19285" s="254">
        <v>21.91</v>
      </c>
      <c r="E19285"/>
      <c r="F19285"/>
      <c r="G19285"/>
      <c r="H19285"/>
      <c r="I19285" s="489"/>
    </row>
    <row r="19286" spans="1:9" x14ac:dyDescent="0.25">
      <c r="A19286">
        <v>39311</v>
      </c>
      <c r="B19286" t="s">
        <v>22789</v>
      </c>
      <c r="C19286" t="s">
        <v>2537</v>
      </c>
      <c r="D19286" s="254">
        <v>32.93</v>
      </c>
      <c r="E19286"/>
      <c r="F19286"/>
      <c r="G19286"/>
      <c r="H19286"/>
      <c r="I19286" s="489"/>
    </row>
    <row r="19287" spans="1:9" x14ac:dyDescent="0.25">
      <c r="A19287">
        <v>39855</v>
      </c>
      <c r="B19287" t="s">
        <v>22790</v>
      </c>
      <c r="C19287" t="s">
        <v>2537</v>
      </c>
      <c r="D19287" s="254">
        <v>2.76</v>
      </c>
      <c r="E19287"/>
      <c r="F19287"/>
      <c r="G19287"/>
      <c r="H19287"/>
      <c r="I19287" s="489"/>
    </row>
    <row r="19288" spans="1:9" x14ac:dyDescent="0.25">
      <c r="A19288">
        <v>39856</v>
      </c>
      <c r="B19288" t="s">
        <v>22791</v>
      </c>
      <c r="C19288" t="s">
        <v>2537</v>
      </c>
      <c r="D19288" s="254">
        <v>6.52</v>
      </c>
      <c r="E19288"/>
      <c r="F19288"/>
      <c r="G19288"/>
      <c r="H19288"/>
      <c r="I19288" s="489"/>
    </row>
    <row r="19289" spans="1:9" x14ac:dyDescent="0.25">
      <c r="A19289">
        <v>39857</v>
      </c>
      <c r="B19289" t="s">
        <v>22792</v>
      </c>
      <c r="C19289" t="s">
        <v>2537</v>
      </c>
      <c r="D19289" s="254">
        <v>10.55</v>
      </c>
      <c r="E19289"/>
      <c r="F19289"/>
      <c r="G19289"/>
      <c r="H19289"/>
      <c r="I19289" s="489"/>
    </row>
    <row r="19290" spans="1:9" x14ac:dyDescent="0.25">
      <c r="A19290">
        <v>39858</v>
      </c>
      <c r="B19290" t="s">
        <v>22793</v>
      </c>
      <c r="C19290" t="s">
        <v>2537</v>
      </c>
      <c r="D19290" s="254">
        <v>23.41</v>
      </c>
      <c r="E19290"/>
      <c r="F19290"/>
      <c r="G19290"/>
      <c r="H19290"/>
      <c r="I19290" s="489"/>
    </row>
    <row r="19291" spans="1:9" x14ac:dyDescent="0.25">
      <c r="A19291">
        <v>39859</v>
      </c>
      <c r="B19291" t="s">
        <v>22794</v>
      </c>
      <c r="C19291" t="s">
        <v>2537</v>
      </c>
      <c r="D19291" s="254">
        <v>36.090000000000003</v>
      </c>
      <c r="E19291"/>
      <c r="F19291"/>
      <c r="G19291"/>
      <c r="H19291"/>
      <c r="I19291" s="489"/>
    </row>
    <row r="19292" spans="1:9" x14ac:dyDescent="0.25">
      <c r="A19292">
        <v>39860</v>
      </c>
      <c r="B19292" t="s">
        <v>22795</v>
      </c>
      <c r="C19292" t="s">
        <v>2537</v>
      </c>
      <c r="D19292" s="254">
        <v>55.38</v>
      </c>
      <c r="E19292"/>
      <c r="F19292"/>
      <c r="G19292"/>
      <c r="H19292"/>
      <c r="I19292" s="489"/>
    </row>
    <row r="19293" spans="1:9" x14ac:dyDescent="0.25">
      <c r="A19293">
        <v>39861</v>
      </c>
      <c r="B19293" t="s">
        <v>22796</v>
      </c>
      <c r="C19293" t="s">
        <v>2537</v>
      </c>
      <c r="D19293" s="254">
        <v>158.12</v>
      </c>
      <c r="E19293"/>
      <c r="F19293"/>
      <c r="G19293"/>
      <c r="H19293"/>
      <c r="I19293" s="489"/>
    </row>
    <row r="19294" spans="1:9" x14ac:dyDescent="0.25">
      <c r="A19294">
        <v>38447</v>
      </c>
      <c r="B19294" t="s">
        <v>22797</v>
      </c>
      <c r="C19294" t="s">
        <v>2537</v>
      </c>
      <c r="D19294" s="254">
        <v>121.72</v>
      </c>
      <c r="E19294"/>
      <c r="F19294"/>
      <c r="G19294"/>
      <c r="H19294"/>
      <c r="I19294" s="489"/>
    </row>
    <row r="19295" spans="1:9" x14ac:dyDescent="0.25">
      <c r="A19295">
        <v>36320</v>
      </c>
      <c r="B19295" t="s">
        <v>22798</v>
      </c>
      <c r="C19295" t="s">
        <v>2537</v>
      </c>
      <c r="D19295" s="254">
        <v>1.76</v>
      </c>
      <c r="E19295"/>
      <c r="F19295"/>
      <c r="G19295"/>
      <c r="H19295"/>
      <c r="I19295" s="489"/>
    </row>
    <row r="19296" spans="1:9" x14ac:dyDescent="0.25">
      <c r="A19296">
        <v>36324</v>
      </c>
      <c r="B19296" t="s">
        <v>22799</v>
      </c>
      <c r="C19296" t="s">
        <v>2537</v>
      </c>
      <c r="D19296" s="254">
        <v>2.67</v>
      </c>
      <c r="E19296"/>
      <c r="F19296"/>
      <c r="G19296"/>
      <c r="H19296"/>
      <c r="I19296" s="489"/>
    </row>
    <row r="19297" spans="1:9" x14ac:dyDescent="0.25">
      <c r="A19297">
        <v>38441</v>
      </c>
      <c r="B19297" t="s">
        <v>22800</v>
      </c>
      <c r="C19297" t="s">
        <v>2537</v>
      </c>
      <c r="D19297" s="254">
        <v>3.51</v>
      </c>
      <c r="E19297"/>
      <c r="F19297"/>
      <c r="G19297"/>
      <c r="H19297"/>
      <c r="I19297" s="489"/>
    </row>
    <row r="19298" spans="1:9" x14ac:dyDescent="0.25">
      <c r="A19298">
        <v>38442</v>
      </c>
      <c r="B19298" t="s">
        <v>22801</v>
      </c>
      <c r="C19298" t="s">
        <v>2537</v>
      </c>
      <c r="D19298" s="254">
        <v>8.92</v>
      </c>
      <c r="E19298"/>
      <c r="F19298"/>
      <c r="G19298"/>
      <c r="H19298"/>
      <c r="I19298" s="489"/>
    </row>
    <row r="19299" spans="1:9" x14ac:dyDescent="0.25">
      <c r="A19299">
        <v>38443</v>
      </c>
      <c r="B19299" t="s">
        <v>22802</v>
      </c>
      <c r="C19299" t="s">
        <v>2537</v>
      </c>
      <c r="D19299" s="254">
        <v>13.48</v>
      </c>
      <c r="E19299"/>
      <c r="F19299"/>
      <c r="G19299"/>
      <c r="H19299"/>
      <c r="I19299" s="489"/>
    </row>
    <row r="19300" spans="1:9" x14ac:dyDescent="0.25">
      <c r="A19300">
        <v>38444</v>
      </c>
      <c r="B19300" t="s">
        <v>22803</v>
      </c>
      <c r="C19300" t="s">
        <v>2537</v>
      </c>
      <c r="D19300" s="254">
        <v>20.07</v>
      </c>
      <c r="E19300"/>
      <c r="F19300"/>
      <c r="G19300"/>
      <c r="H19300"/>
      <c r="I19300" s="489"/>
    </row>
    <row r="19301" spans="1:9" x14ac:dyDescent="0.25">
      <c r="A19301">
        <v>38445</v>
      </c>
      <c r="B19301" t="s">
        <v>22804</v>
      </c>
      <c r="C19301" t="s">
        <v>2537</v>
      </c>
      <c r="D19301" s="254">
        <v>47.13</v>
      </c>
      <c r="E19301"/>
      <c r="F19301"/>
      <c r="G19301"/>
      <c r="H19301"/>
      <c r="I19301" s="489"/>
    </row>
    <row r="19302" spans="1:9" x14ac:dyDescent="0.25">
      <c r="A19302">
        <v>38446</v>
      </c>
      <c r="B19302" t="s">
        <v>22805</v>
      </c>
      <c r="C19302" t="s">
        <v>2537</v>
      </c>
      <c r="D19302" s="254">
        <v>76.069999999999993</v>
      </c>
      <c r="E19302"/>
      <c r="F19302"/>
      <c r="G19302"/>
      <c r="H19302"/>
      <c r="I19302" s="489"/>
    </row>
    <row r="19303" spans="1:9" x14ac:dyDescent="0.25">
      <c r="A19303">
        <v>3867</v>
      </c>
      <c r="B19303" t="s">
        <v>22806</v>
      </c>
      <c r="C19303" t="s">
        <v>2537</v>
      </c>
      <c r="D19303" s="254">
        <v>97.91</v>
      </c>
      <c r="E19303"/>
      <c r="F19303"/>
      <c r="G19303"/>
      <c r="H19303"/>
      <c r="I19303" s="489"/>
    </row>
    <row r="19304" spans="1:9" x14ac:dyDescent="0.25">
      <c r="A19304">
        <v>3861</v>
      </c>
      <c r="B19304" t="s">
        <v>22807</v>
      </c>
      <c r="C19304" t="s">
        <v>2537</v>
      </c>
      <c r="D19304" s="254">
        <v>0.81</v>
      </c>
      <c r="E19304"/>
      <c r="F19304"/>
      <c r="G19304"/>
      <c r="H19304"/>
      <c r="I19304" s="489"/>
    </row>
    <row r="19305" spans="1:9" x14ac:dyDescent="0.25">
      <c r="A19305">
        <v>3904</v>
      </c>
      <c r="B19305" t="s">
        <v>22808</v>
      </c>
      <c r="C19305" t="s">
        <v>2537</v>
      </c>
      <c r="D19305" s="254">
        <v>0.99</v>
      </c>
      <c r="E19305"/>
      <c r="F19305"/>
      <c r="G19305"/>
      <c r="H19305"/>
      <c r="I19305" s="489"/>
    </row>
    <row r="19306" spans="1:9" x14ac:dyDescent="0.25">
      <c r="A19306">
        <v>3903</v>
      </c>
      <c r="B19306" t="s">
        <v>22809</v>
      </c>
      <c r="C19306" t="s">
        <v>2537</v>
      </c>
      <c r="D19306" s="254">
        <v>2.44</v>
      </c>
      <c r="E19306"/>
      <c r="F19306"/>
      <c r="G19306"/>
      <c r="H19306"/>
      <c r="I19306" s="489"/>
    </row>
    <row r="19307" spans="1:9" x14ac:dyDescent="0.25">
      <c r="A19307">
        <v>3862</v>
      </c>
      <c r="B19307" t="s">
        <v>22810</v>
      </c>
      <c r="C19307" t="s">
        <v>2537</v>
      </c>
      <c r="D19307" s="254">
        <v>4.96</v>
      </c>
      <c r="E19307"/>
      <c r="F19307"/>
      <c r="G19307"/>
      <c r="H19307"/>
      <c r="I19307" s="489"/>
    </row>
    <row r="19308" spans="1:9" x14ac:dyDescent="0.25">
      <c r="A19308">
        <v>3863</v>
      </c>
      <c r="B19308" t="s">
        <v>22811</v>
      </c>
      <c r="C19308" t="s">
        <v>2537</v>
      </c>
      <c r="D19308" s="254">
        <v>5.82</v>
      </c>
      <c r="E19308"/>
      <c r="F19308"/>
      <c r="G19308"/>
      <c r="H19308"/>
      <c r="I19308" s="489"/>
    </row>
    <row r="19309" spans="1:9" x14ac:dyDescent="0.25">
      <c r="A19309">
        <v>3864</v>
      </c>
      <c r="B19309" t="s">
        <v>22812</v>
      </c>
      <c r="C19309" t="s">
        <v>2537</v>
      </c>
      <c r="D19309" s="254">
        <v>15.16</v>
      </c>
      <c r="E19309"/>
      <c r="F19309"/>
      <c r="G19309"/>
      <c r="H19309"/>
      <c r="I19309" s="489"/>
    </row>
    <row r="19310" spans="1:9" x14ac:dyDescent="0.25">
      <c r="A19310">
        <v>3865</v>
      </c>
      <c r="B19310" t="s">
        <v>22813</v>
      </c>
      <c r="C19310" t="s">
        <v>2537</v>
      </c>
      <c r="D19310" s="254">
        <v>26.37</v>
      </c>
      <c r="E19310"/>
      <c r="F19310"/>
      <c r="G19310"/>
      <c r="H19310"/>
      <c r="I19310" s="489"/>
    </row>
    <row r="19311" spans="1:9" x14ac:dyDescent="0.25">
      <c r="A19311">
        <v>3866</v>
      </c>
      <c r="B19311" t="s">
        <v>22814</v>
      </c>
      <c r="C19311" t="s">
        <v>2537</v>
      </c>
      <c r="D19311" s="254">
        <v>60.35</v>
      </c>
      <c r="E19311"/>
      <c r="F19311"/>
      <c r="G19311"/>
      <c r="H19311"/>
      <c r="I19311" s="489"/>
    </row>
    <row r="19312" spans="1:9" x14ac:dyDescent="0.25">
      <c r="A19312">
        <v>3902</v>
      </c>
      <c r="B19312" t="s">
        <v>22815</v>
      </c>
      <c r="C19312" t="s">
        <v>2537</v>
      </c>
      <c r="D19312" s="254">
        <v>29.35</v>
      </c>
      <c r="E19312"/>
      <c r="F19312"/>
      <c r="G19312"/>
      <c r="H19312"/>
      <c r="I19312" s="489"/>
    </row>
    <row r="19313" spans="1:9" x14ac:dyDescent="0.25">
      <c r="A19313">
        <v>3878</v>
      </c>
      <c r="B19313" t="s">
        <v>22816</v>
      </c>
      <c r="C19313" t="s">
        <v>2537</v>
      </c>
      <c r="D19313" s="254">
        <v>9.27</v>
      </c>
      <c r="E19313"/>
      <c r="F19313"/>
      <c r="G19313"/>
      <c r="H19313"/>
      <c r="I19313" s="489"/>
    </row>
    <row r="19314" spans="1:9" x14ac:dyDescent="0.25">
      <c r="A19314">
        <v>3877</v>
      </c>
      <c r="B19314" t="s">
        <v>22817</v>
      </c>
      <c r="C19314" t="s">
        <v>2537</v>
      </c>
      <c r="D19314" s="254">
        <v>8.4700000000000006</v>
      </c>
      <c r="E19314"/>
      <c r="F19314"/>
      <c r="G19314"/>
      <c r="H19314"/>
      <c r="I19314" s="489"/>
    </row>
    <row r="19315" spans="1:9" x14ac:dyDescent="0.25">
      <c r="A19315">
        <v>3879</v>
      </c>
      <c r="B19315" t="s">
        <v>22818</v>
      </c>
      <c r="C19315" t="s">
        <v>2537</v>
      </c>
      <c r="D19315" s="254">
        <v>18.71</v>
      </c>
      <c r="E19315"/>
      <c r="F19315"/>
      <c r="G19315"/>
      <c r="H19315"/>
      <c r="I19315" s="489"/>
    </row>
    <row r="19316" spans="1:9" x14ac:dyDescent="0.25">
      <c r="A19316">
        <v>3880</v>
      </c>
      <c r="B19316" t="s">
        <v>22819</v>
      </c>
      <c r="C19316" t="s">
        <v>2537</v>
      </c>
      <c r="D19316" s="254">
        <v>42.21</v>
      </c>
      <c r="E19316"/>
      <c r="F19316"/>
      <c r="G19316"/>
      <c r="H19316"/>
      <c r="I19316" s="489"/>
    </row>
    <row r="19317" spans="1:9" x14ac:dyDescent="0.25">
      <c r="A19317">
        <v>12892</v>
      </c>
      <c r="B19317" t="s">
        <v>22820</v>
      </c>
      <c r="C19317" t="s">
        <v>2545</v>
      </c>
      <c r="D19317" s="254">
        <v>13.41</v>
      </c>
      <c r="E19317"/>
      <c r="F19317"/>
      <c r="G19317"/>
      <c r="H19317"/>
      <c r="I19317" s="489"/>
    </row>
    <row r="19318" spans="1:9" x14ac:dyDescent="0.25">
      <c r="A19318">
        <v>3883</v>
      </c>
      <c r="B19318" t="s">
        <v>22821</v>
      </c>
      <c r="C19318" t="s">
        <v>2537</v>
      </c>
      <c r="D19318" s="254">
        <v>1.95</v>
      </c>
      <c r="E19318"/>
      <c r="F19318"/>
      <c r="G19318"/>
      <c r="H19318"/>
      <c r="I19318" s="489"/>
    </row>
    <row r="19319" spans="1:9" x14ac:dyDescent="0.25">
      <c r="A19319">
        <v>3876</v>
      </c>
      <c r="B19319" t="s">
        <v>22822</v>
      </c>
      <c r="C19319" t="s">
        <v>2537</v>
      </c>
      <c r="D19319" s="254">
        <v>4.88</v>
      </c>
      <c r="E19319"/>
      <c r="F19319"/>
      <c r="G19319"/>
      <c r="H19319"/>
      <c r="I19319" s="489"/>
    </row>
    <row r="19320" spans="1:9" x14ac:dyDescent="0.25">
      <c r="A19320">
        <v>3884</v>
      </c>
      <c r="B19320" t="s">
        <v>22823</v>
      </c>
      <c r="C19320" t="s">
        <v>2537</v>
      </c>
      <c r="D19320" s="254">
        <v>2.92</v>
      </c>
      <c r="E19320"/>
      <c r="F19320"/>
      <c r="G19320"/>
      <c r="H19320"/>
      <c r="I19320" s="489"/>
    </row>
    <row r="19321" spans="1:9" x14ac:dyDescent="0.25">
      <c r="A19321">
        <v>3837</v>
      </c>
      <c r="B19321" t="s">
        <v>22824</v>
      </c>
      <c r="C19321" t="s">
        <v>2537</v>
      </c>
      <c r="D19321" s="254">
        <v>53.59</v>
      </c>
      <c r="E19321"/>
      <c r="F19321"/>
      <c r="G19321"/>
      <c r="H19321"/>
      <c r="I19321" s="489"/>
    </row>
    <row r="19322" spans="1:9" x14ac:dyDescent="0.25">
      <c r="A19322">
        <v>3845</v>
      </c>
      <c r="B19322" t="s">
        <v>22825</v>
      </c>
      <c r="C19322" t="s">
        <v>2537</v>
      </c>
      <c r="D19322" s="254">
        <v>19.579999999999998</v>
      </c>
      <c r="E19322"/>
      <c r="F19322"/>
      <c r="G19322"/>
      <c r="H19322"/>
      <c r="I19322" s="489"/>
    </row>
    <row r="19323" spans="1:9" x14ac:dyDescent="0.25">
      <c r="A19323">
        <v>11045</v>
      </c>
      <c r="B19323" t="s">
        <v>22826</v>
      </c>
      <c r="C19323" t="s">
        <v>2537</v>
      </c>
      <c r="D19323" s="254">
        <v>37.770000000000003</v>
      </c>
      <c r="E19323"/>
      <c r="F19323"/>
      <c r="G19323"/>
      <c r="H19323"/>
      <c r="I19323" s="489"/>
    </row>
    <row r="19324" spans="1:9" x14ac:dyDescent="0.25">
      <c r="A19324">
        <v>20170</v>
      </c>
      <c r="B19324" t="s">
        <v>22827</v>
      </c>
      <c r="C19324" t="s">
        <v>2537</v>
      </c>
      <c r="D19324" s="254">
        <v>15.72</v>
      </c>
      <c r="E19324"/>
      <c r="F19324"/>
      <c r="G19324"/>
      <c r="H19324"/>
      <c r="I19324" s="489"/>
    </row>
    <row r="19325" spans="1:9" x14ac:dyDescent="0.25">
      <c r="A19325">
        <v>20171</v>
      </c>
      <c r="B19325" t="s">
        <v>22828</v>
      </c>
      <c r="C19325" t="s">
        <v>2537</v>
      </c>
      <c r="D19325" s="254">
        <v>46.7</v>
      </c>
      <c r="E19325"/>
      <c r="F19325"/>
      <c r="G19325"/>
      <c r="H19325"/>
      <c r="I19325" s="489"/>
    </row>
    <row r="19326" spans="1:9" x14ac:dyDescent="0.25">
      <c r="A19326">
        <v>20167</v>
      </c>
      <c r="B19326" t="s">
        <v>22829</v>
      </c>
      <c r="C19326" t="s">
        <v>2537</v>
      </c>
      <c r="D19326" s="254">
        <v>5.84</v>
      </c>
      <c r="E19326"/>
      <c r="F19326"/>
      <c r="G19326"/>
      <c r="H19326"/>
      <c r="I19326" s="489"/>
    </row>
    <row r="19327" spans="1:9" x14ac:dyDescent="0.25">
      <c r="A19327">
        <v>20168</v>
      </c>
      <c r="B19327" t="s">
        <v>22830</v>
      </c>
      <c r="C19327" t="s">
        <v>2537</v>
      </c>
      <c r="D19327" s="254">
        <v>9.16</v>
      </c>
      <c r="E19327"/>
      <c r="F19327"/>
      <c r="G19327"/>
      <c r="H19327"/>
      <c r="I19327" s="489"/>
    </row>
    <row r="19328" spans="1:9" x14ac:dyDescent="0.25">
      <c r="A19328">
        <v>20169</v>
      </c>
      <c r="B19328" t="s">
        <v>22831</v>
      </c>
      <c r="C19328" t="s">
        <v>2537</v>
      </c>
      <c r="D19328" s="254">
        <v>12.97</v>
      </c>
      <c r="E19328"/>
      <c r="F19328"/>
      <c r="G19328"/>
      <c r="H19328"/>
      <c r="I19328" s="489"/>
    </row>
    <row r="19329" spans="1:9" x14ac:dyDescent="0.25">
      <c r="A19329">
        <v>3899</v>
      </c>
      <c r="B19329" t="s">
        <v>22832</v>
      </c>
      <c r="C19329" t="s">
        <v>2537</v>
      </c>
      <c r="D19329" s="254">
        <v>6.86</v>
      </c>
      <c r="E19329"/>
      <c r="F19329"/>
      <c r="G19329"/>
      <c r="H19329"/>
      <c r="I19329" s="489"/>
    </row>
    <row r="19330" spans="1:9" x14ac:dyDescent="0.25">
      <c r="A19330">
        <v>38676</v>
      </c>
      <c r="B19330" t="s">
        <v>22833</v>
      </c>
      <c r="C19330" t="s">
        <v>2537</v>
      </c>
      <c r="D19330" s="254">
        <v>33.229999999999997</v>
      </c>
      <c r="E19330"/>
      <c r="F19330"/>
      <c r="G19330"/>
      <c r="H19330"/>
      <c r="I19330" s="489"/>
    </row>
    <row r="19331" spans="1:9" x14ac:dyDescent="0.25">
      <c r="A19331">
        <v>3897</v>
      </c>
      <c r="B19331" t="s">
        <v>22834</v>
      </c>
      <c r="C19331" t="s">
        <v>2537</v>
      </c>
      <c r="D19331" s="254">
        <v>1.44</v>
      </c>
      <c r="E19331"/>
      <c r="F19331"/>
      <c r="G19331"/>
      <c r="H19331"/>
      <c r="I19331" s="489"/>
    </row>
    <row r="19332" spans="1:9" x14ac:dyDescent="0.25">
      <c r="A19332">
        <v>3875</v>
      </c>
      <c r="B19332" t="s">
        <v>22835</v>
      </c>
      <c r="C19332" t="s">
        <v>2537</v>
      </c>
      <c r="D19332" s="254">
        <v>3.13</v>
      </c>
      <c r="E19332"/>
      <c r="F19332"/>
      <c r="G19332"/>
      <c r="H19332"/>
      <c r="I19332" s="489"/>
    </row>
    <row r="19333" spans="1:9" x14ac:dyDescent="0.25">
      <c r="A19333">
        <v>3898</v>
      </c>
      <c r="B19333" t="s">
        <v>22836</v>
      </c>
      <c r="C19333" t="s">
        <v>2537</v>
      </c>
      <c r="D19333" s="254">
        <v>5.92</v>
      </c>
      <c r="E19333"/>
      <c r="F19333"/>
      <c r="G19333"/>
      <c r="H19333"/>
      <c r="I19333" s="489"/>
    </row>
    <row r="19334" spans="1:9" x14ac:dyDescent="0.25">
      <c r="A19334">
        <v>3855</v>
      </c>
      <c r="B19334" t="s">
        <v>22837</v>
      </c>
      <c r="C19334" t="s">
        <v>2537</v>
      </c>
      <c r="D19334" s="254">
        <v>6.48</v>
      </c>
      <c r="E19334"/>
      <c r="F19334"/>
      <c r="G19334"/>
      <c r="H19334"/>
      <c r="I19334" s="489"/>
    </row>
    <row r="19335" spans="1:9" x14ac:dyDescent="0.25">
      <c r="A19335">
        <v>3874</v>
      </c>
      <c r="B19335" t="s">
        <v>22838</v>
      </c>
      <c r="C19335" t="s">
        <v>2537</v>
      </c>
      <c r="D19335" s="254">
        <v>6.88</v>
      </c>
      <c r="E19335"/>
      <c r="F19335"/>
      <c r="G19335"/>
      <c r="H19335"/>
      <c r="I19335" s="489"/>
    </row>
    <row r="19336" spans="1:9" x14ac:dyDescent="0.25">
      <c r="A19336">
        <v>3870</v>
      </c>
      <c r="B19336" t="s">
        <v>22839</v>
      </c>
      <c r="C19336" t="s">
        <v>2537</v>
      </c>
      <c r="D19336" s="254">
        <v>8.5399999999999991</v>
      </c>
      <c r="E19336"/>
      <c r="F19336"/>
      <c r="G19336"/>
      <c r="H19336"/>
      <c r="I19336" s="489"/>
    </row>
    <row r="19337" spans="1:9" x14ac:dyDescent="0.25">
      <c r="A19337">
        <v>38678</v>
      </c>
      <c r="B19337" t="s">
        <v>22840</v>
      </c>
      <c r="C19337" t="s">
        <v>2537</v>
      </c>
      <c r="D19337" s="254">
        <v>23.24</v>
      </c>
      <c r="E19337"/>
      <c r="F19337"/>
      <c r="G19337"/>
      <c r="H19337"/>
      <c r="I19337" s="489"/>
    </row>
    <row r="19338" spans="1:9" x14ac:dyDescent="0.25">
      <c r="A19338">
        <v>3859</v>
      </c>
      <c r="B19338" t="s">
        <v>22841</v>
      </c>
      <c r="C19338" t="s">
        <v>2537</v>
      </c>
      <c r="D19338" s="254">
        <v>1.72</v>
      </c>
      <c r="E19338"/>
      <c r="F19338"/>
      <c r="G19338"/>
      <c r="H19338"/>
      <c r="I19338" s="489"/>
    </row>
    <row r="19339" spans="1:9" x14ac:dyDescent="0.25">
      <c r="A19339">
        <v>3856</v>
      </c>
      <c r="B19339" t="s">
        <v>22842</v>
      </c>
      <c r="C19339" t="s">
        <v>2537</v>
      </c>
      <c r="D19339" s="254">
        <v>2.1800000000000002</v>
      </c>
      <c r="E19339"/>
      <c r="F19339"/>
      <c r="G19339"/>
      <c r="H19339"/>
      <c r="I19339" s="489"/>
    </row>
    <row r="19340" spans="1:9" x14ac:dyDescent="0.25">
      <c r="A19340">
        <v>3906</v>
      </c>
      <c r="B19340" t="s">
        <v>22843</v>
      </c>
      <c r="C19340" t="s">
        <v>2537</v>
      </c>
      <c r="D19340" s="254">
        <v>2.06</v>
      </c>
      <c r="E19340"/>
      <c r="F19340"/>
      <c r="G19340"/>
      <c r="H19340"/>
      <c r="I19340" s="489"/>
    </row>
    <row r="19341" spans="1:9" x14ac:dyDescent="0.25">
      <c r="A19341">
        <v>3860</v>
      </c>
      <c r="B19341" t="s">
        <v>22844</v>
      </c>
      <c r="C19341" t="s">
        <v>2537</v>
      </c>
      <c r="D19341" s="254">
        <v>6.76</v>
      </c>
      <c r="E19341"/>
      <c r="F19341"/>
      <c r="G19341"/>
      <c r="H19341"/>
      <c r="I19341" s="489"/>
    </row>
    <row r="19342" spans="1:9" x14ac:dyDescent="0.25">
      <c r="A19342">
        <v>3905</v>
      </c>
      <c r="B19342" t="s">
        <v>22845</v>
      </c>
      <c r="C19342" t="s">
        <v>2537</v>
      </c>
      <c r="D19342" s="254">
        <v>14.95</v>
      </c>
      <c r="E19342"/>
      <c r="F19342"/>
      <c r="G19342"/>
      <c r="H19342"/>
      <c r="I19342" s="489"/>
    </row>
    <row r="19343" spans="1:9" x14ac:dyDescent="0.25">
      <c r="A19343">
        <v>3871</v>
      </c>
      <c r="B19343" t="s">
        <v>22846</v>
      </c>
      <c r="C19343" t="s">
        <v>2537</v>
      </c>
      <c r="D19343" s="254">
        <v>31.04</v>
      </c>
      <c r="E19343"/>
      <c r="F19343"/>
      <c r="G19343"/>
      <c r="H19343"/>
      <c r="I19343" s="489"/>
    </row>
    <row r="19344" spans="1:9" x14ac:dyDescent="0.25">
      <c r="A19344">
        <v>37429</v>
      </c>
      <c r="B19344" t="s">
        <v>22847</v>
      </c>
      <c r="C19344" t="s">
        <v>2537</v>
      </c>
      <c r="D19344" s="254">
        <v>2927.43</v>
      </c>
      <c r="E19344"/>
      <c r="F19344"/>
      <c r="G19344"/>
      <c r="H19344"/>
      <c r="I19344" s="489"/>
    </row>
    <row r="19345" spans="1:9" x14ac:dyDescent="0.25">
      <c r="A19345">
        <v>37426</v>
      </c>
      <c r="B19345" t="s">
        <v>22848</v>
      </c>
      <c r="C19345" t="s">
        <v>2537</v>
      </c>
      <c r="D19345" s="254">
        <v>28.16</v>
      </c>
      <c r="E19345"/>
      <c r="F19345"/>
      <c r="G19345"/>
      <c r="H19345"/>
      <c r="I19345" s="489"/>
    </row>
    <row r="19346" spans="1:9" x14ac:dyDescent="0.25">
      <c r="A19346">
        <v>37427</v>
      </c>
      <c r="B19346" t="s">
        <v>22849</v>
      </c>
      <c r="C19346" t="s">
        <v>2537</v>
      </c>
      <c r="D19346" s="254">
        <v>67.17</v>
      </c>
      <c r="E19346"/>
      <c r="F19346"/>
      <c r="G19346"/>
      <c r="H19346"/>
      <c r="I19346" s="489"/>
    </row>
    <row r="19347" spans="1:9" x14ac:dyDescent="0.25">
      <c r="A19347">
        <v>37424</v>
      </c>
      <c r="B19347" t="s">
        <v>22850</v>
      </c>
      <c r="C19347" t="s">
        <v>2537</v>
      </c>
      <c r="D19347" s="254">
        <v>12.94</v>
      </c>
      <c r="E19347"/>
      <c r="F19347"/>
      <c r="G19347"/>
      <c r="H19347"/>
      <c r="I19347" s="489"/>
    </row>
    <row r="19348" spans="1:9" x14ac:dyDescent="0.25">
      <c r="A19348">
        <v>37428</v>
      </c>
      <c r="B19348" t="s">
        <v>22851</v>
      </c>
      <c r="C19348" t="s">
        <v>2537</v>
      </c>
      <c r="D19348" s="254">
        <v>231.5</v>
      </c>
      <c r="E19348"/>
      <c r="F19348"/>
      <c r="G19348"/>
      <c r="H19348"/>
      <c r="I19348" s="489"/>
    </row>
    <row r="19349" spans="1:9" x14ac:dyDescent="0.25">
      <c r="A19349">
        <v>37425</v>
      </c>
      <c r="B19349" t="s">
        <v>22852</v>
      </c>
      <c r="C19349" t="s">
        <v>2537</v>
      </c>
      <c r="D19349" s="254">
        <v>13.95</v>
      </c>
      <c r="E19349"/>
      <c r="F19349"/>
      <c r="G19349"/>
      <c r="H19349"/>
      <c r="I19349" s="489"/>
    </row>
    <row r="19350" spans="1:9" x14ac:dyDescent="0.25">
      <c r="A19350">
        <v>11519</v>
      </c>
      <c r="B19350" t="s">
        <v>22853</v>
      </c>
      <c r="C19350" t="s">
        <v>2545</v>
      </c>
      <c r="D19350" s="254">
        <v>49.56</v>
      </c>
      <c r="E19350"/>
      <c r="F19350"/>
      <c r="G19350"/>
      <c r="H19350"/>
      <c r="I19350" s="489"/>
    </row>
    <row r="19351" spans="1:9" x14ac:dyDescent="0.25">
      <c r="A19351">
        <v>11520</v>
      </c>
      <c r="B19351" t="s">
        <v>22854</v>
      </c>
      <c r="C19351" t="s">
        <v>2545</v>
      </c>
      <c r="D19351" s="254">
        <v>22.91</v>
      </c>
      <c r="E19351"/>
      <c r="F19351"/>
      <c r="G19351"/>
      <c r="H19351"/>
      <c r="I19351" s="489"/>
    </row>
    <row r="19352" spans="1:9" x14ac:dyDescent="0.25">
      <c r="A19352">
        <v>11518</v>
      </c>
      <c r="B19352" t="s">
        <v>22855</v>
      </c>
      <c r="C19352" t="s">
        <v>2545</v>
      </c>
      <c r="D19352" s="254">
        <v>83.32</v>
      </c>
      <c r="E19352"/>
      <c r="F19352"/>
      <c r="G19352"/>
      <c r="H19352"/>
      <c r="I19352" s="489"/>
    </row>
    <row r="19353" spans="1:9" x14ac:dyDescent="0.25">
      <c r="A19353">
        <v>38473</v>
      </c>
      <c r="B19353" t="s">
        <v>22856</v>
      </c>
      <c r="C19353" t="s">
        <v>2537</v>
      </c>
      <c r="D19353" s="254">
        <v>128.13999999999999</v>
      </c>
      <c r="E19353"/>
      <c r="F19353"/>
      <c r="G19353"/>
      <c r="H19353"/>
      <c r="I19353" s="489"/>
    </row>
    <row r="19354" spans="1:9" x14ac:dyDescent="0.25">
      <c r="A19354">
        <v>4244</v>
      </c>
      <c r="B19354" t="s">
        <v>22857</v>
      </c>
      <c r="C19354" t="s">
        <v>2538</v>
      </c>
      <c r="D19354" s="254">
        <v>24.02</v>
      </c>
      <c r="E19354"/>
      <c r="F19354"/>
      <c r="G19354"/>
      <c r="H19354"/>
      <c r="I19354" s="489"/>
    </row>
    <row r="19355" spans="1:9" x14ac:dyDescent="0.25">
      <c r="A19355">
        <v>40977</v>
      </c>
      <c r="B19355" t="s">
        <v>22858</v>
      </c>
      <c r="C19355" t="s">
        <v>2544</v>
      </c>
      <c r="D19355" s="254">
        <v>4238.32</v>
      </c>
      <c r="E19355"/>
      <c r="F19355"/>
      <c r="G19355"/>
      <c r="H19355"/>
      <c r="I19355" s="489"/>
    </row>
    <row r="19356" spans="1:9" x14ac:dyDescent="0.25">
      <c r="A19356">
        <v>4115</v>
      </c>
      <c r="B19356" t="s">
        <v>22859</v>
      </c>
      <c r="C19356" t="s">
        <v>2541</v>
      </c>
      <c r="D19356" s="254">
        <v>25.3</v>
      </c>
      <c r="E19356"/>
      <c r="F19356"/>
      <c r="G19356"/>
      <c r="H19356"/>
      <c r="I19356" s="489"/>
    </row>
    <row r="19357" spans="1:9" x14ac:dyDescent="0.25">
      <c r="A19357">
        <v>4119</v>
      </c>
      <c r="B19357" t="s">
        <v>22860</v>
      </c>
      <c r="C19357" t="s">
        <v>2541</v>
      </c>
      <c r="D19357" s="254">
        <v>51.1</v>
      </c>
      <c r="E19357"/>
      <c r="F19357"/>
      <c r="G19357"/>
      <c r="H19357"/>
      <c r="I19357" s="489"/>
    </row>
    <row r="19358" spans="1:9" x14ac:dyDescent="0.25">
      <c r="A19358">
        <v>2794</v>
      </c>
      <c r="B19358" t="s">
        <v>22861</v>
      </c>
      <c r="C19358" t="s">
        <v>2541</v>
      </c>
      <c r="D19358" s="254">
        <v>135.55000000000001</v>
      </c>
      <c r="E19358"/>
      <c r="F19358"/>
      <c r="G19358"/>
      <c r="H19358"/>
      <c r="I19358" s="489"/>
    </row>
    <row r="19359" spans="1:9" x14ac:dyDescent="0.25">
      <c r="A19359">
        <v>2788</v>
      </c>
      <c r="B19359" t="s">
        <v>22862</v>
      </c>
      <c r="C19359" t="s">
        <v>2541</v>
      </c>
      <c r="D19359" s="254">
        <v>197.47</v>
      </c>
      <c r="E19359"/>
      <c r="F19359"/>
      <c r="G19359"/>
      <c r="H19359"/>
      <c r="I19359" s="489"/>
    </row>
    <row r="19360" spans="1:9" x14ac:dyDescent="0.25">
      <c r="A19360">
        <v>4006</v>
      </c>
      <c r="B19360" t="s">
        <v>22863</v>
      </c>
      <c r="C19360" t="s">
        <v>2540</v>
      </c>
      <c r="D19360" s="254">
        <v>1827.08</v>
      </c>
      <c r="E19360"/>
      <c r="F19360"/>
      <c r="G19360"/>
      <c r="H19360"/>
      <c r="I19360" s="489"/>
    </row>
    <row r="19361" spans="1:9" x14ac:dyDescent="0.25">
      <c r="A19361">
        <v>36151</v>
      </c>
      <c r="B19361" t="s">
        <v>22864</v>
      </c>
      <c r="C19361" t="s">
        <v>2537</v>
      </c>
      <c r="D19361" s="254">
        <v>29.8</v>
      </c>
      <c r="E19361"/>
      <c r="F19361"/>
      <c r="G19361"/>
      <c r="H19361"/>
      <c r="I19361" s="489"/>
    </row>
    <row r="19362" spans="1:9" x14ac:dyDescent="0.25">
      <c r="A19362">
        <v>37457</v>
      </c>
      <c r="B19362" t="s">
        <v>22865</v>
      </c>
      <c r="C19362" t="s">
        <v>2541</v>
      </c>
      <c r="D19362" s="254">
        <v>3.3</v>
      </c>
      <c r="E19362"/>
      <c r="F19362"/>
      <c r="G19362"/>
      <c r="H19362"/>
      <c r="I19362" s="489"/>
    </row>
    <row r="19363" spans="1:9" x14ac:dyDescent="0.25">
      <c r="A19363">
        <v>37456</v>
      </c>
      <c r="B19363" t="s">
        <v>22866</v>
      </c>
      <c r="C19363" t="s">
        <v>2541</v>
      </c>
      <c r="D19363" s="254">
        <v>1.74</v>
      </c>
      <c r="E19363"/>
      <c r="F19363"/>
      <c r="G19363"/>
      <c r="H19363"/>
      <c r="I19363" s="489"/>
    </row>
    <row r="19364" spans="1:9" x14ac:dyDescent="0.25">
      <c r="A19364">
        <v>37461</v>
      </c>
      <c r="B19364" t="s">
        <v>22867</v>
      </c>
      <c r="C19364" t="s">
        <v>2541</v>
      </c>
      <c r="D19364" s="254">
        <v>12.26</v>
      </c>
      <c r="E19364"/>
      <c r="F19364"/>
      <c r="G19364"/>
      <c r="H19364"/>
      <c r="I19364" s="489"/>
    </row>
    <row r="19365" spans="1:9" x14ac:dyDescent="0.25">
      <c r="A19365">
        <v>37460</v>
      </c>
      <c r="B19365" t="s">
        <v>22868</v>
      </c>
      <c r="C19365" t="s">
        <v>2541</v>
      </c>
      <c r="D19365" s="254">
        <v>16.75</v>
      </c>
      <c r="E19365"/>
      <c r="F19365"/>
      <c r="G19365"/>
      <c r="H19365"/>
      <c r="I19365" s="489"/>
    </row>
    <row r="19366" spans="1:9" x14ac:dyDescent="0.25">
      <c r="A19366">
        <v>37458</v>
      </c>
      <c r="B19366" t="s">
        <v>22869</v>
      </c>
      <c r="C19366" t="s">
        <v>2541</v>
      </c>
      <c r="D19366" s="254">
        <v>4.91</v>
      </c>
      <c r="E19366"/>
      <c r="F19366"/>
      <c r="G19366"/>
      <c r="H19366"/>
      <c r="I19366" s="489"/>
    </row>
    <row r="19367" spans="1:9" x14ac:dyDescent="0.25">
      <c r="A19367">
        <v>37454</v>
      </c>
      <c r="B19367" t="s">
        <v>22870</v>
      </c>
      <c r="C19367" t="s">
        <v>2541</v>
      </c>
      <c r="D19367" s="254">
        <v>1.29</v>
      </c>
      <c r="E19367"/>
      <c r="F19367"/>
      <c r="G19367"/>
      <c r="H19367"/>
      <c r="I19367" s="489"/>
    </row>
    <row r="19368" spans="1:9" x14ac:dyDescent="0.25">
      <c r="A19368">
        <v>37455</v>
      </c>
      <c r="B19368" t="s">
        <v>22871</v>
      </c>
      <c r="C19368" t="s">
        <v>2541</v>
      </c>
      <c r="D19368" s="254">
        <v>2.16</v>
      </c>
      <c r="E19368"/>
      <c r="F19368"/>
      <c r="G19368"/>
      <c r="H19368"/>
      <c r="I19368" s="489"/>
    </row>
    <row r="19369" spans="1:9" x14ac:dyDescent="0.25">
      <c r="A19369">
        <v>37459</v>
      </c>
      <c r="B19369" t="s">
        <v>22872</v>
      </c>
      <c r="C19369" t="s">
        <v>2541</v>
      </c>
      <c r="D19369" s="254">
        <v>6.89</v>
      </c>
      <c r="E19369"/>
      <c r="F19369"/>
      <c r="G19369"/>
      <c r="H19369"/>
      <c r="I19369" s="489"/>
    </row>
    <row r="19370" spans="1:9" x14ac:dyDescent="0.25">
      <c r="A19370">
        <v>21029</v>
      </c>
      <c r="B19370" t="s">
        <v>22873</v>
      </c>
      <c r="C19370" t="s">
        <v>2537</v>
      </c>
      <c r="D19370" s="254">
        <v>250</v>
      </c>
      <c r="E19370"/>
      <c r="F19370"/>
      <c r="G19370"/>
      <c r="H19370"/>
      <c r="I19370" s="489"/>
    </row>
    <row r="19371" spans="1:9" x14ac:dyDescent="0.25">
      <c r="A19371">
        <v>21030</v>
      </c>
      <c r="B19371" t="s">
        <v>22874</v>
      </c>
      <c r="C19371" t="s">
        <v>2537</v>
      </c>
      <c r="D19371" s="254">
        <v>308.16000000000003</v>
      </c>
      <c r="E19371"/>
      <c r="F19371"/>
      <c r="G19371"/>
      <c r="H19371"/>
      <c r="I19371" s="489"/>
    </row>
    <row r="19372" spans="1:9" x14ac:dyDescent="0.25">
      <c r="A19372">
        <v>21031</v>
      </c>
      <c r="B19372" t="s">
        <v>22875</v>
      </c>
      <c r="C19372" t="s">
        <v>2537</v>
      </c>
      <c r="D19372" s="254">
        <v>383.66</v>
      </c>
      <c r="E19372"/>
      <c r="F19372"/>
      <c r="G19372"/>
      <c r="H19372"/>
      <c r="I19372" s="489"/>
    </row>
    <row r="19373" spans="1:9" x14ac:dyDescent="0.25">
      <c r="A19373">
        <v>21032</v>
      </c>
      <c r="B19373" t="s">
        <v>22876</v>
      </c>
      <c r="C19373" t="s">
        <v>2537</v>
      </c>
      <c r="D19373" s="254">
        <v>409.65</v>
      </c>
      <c r="E19373"/>
      <c r="F19373"/>
      <c r="G19373"/>
      <c r="H19373"/>
      <c r="I19373" s="489"/>
    </row>
    <row r="19374" spans="1:9" x14ac:dyDescent="0.25">
      <c r="A19374">
        <v>37527</v>
      </c>
      <c r="B19374" t="s">
        <v>22877</v>
      </c>
      <c r="C19374" t="s">
        <v>2537</v>
      </c>
      <c r="D19374" s="254">
        <v>370.04</v>
      </c>
      <c r="E19374"/>
      <c r="F19374"/>
      <c r="G19374"/>
      <c r="H19374"/>
      <c r="I19374" s="489"/>
    </row>
    <row r="19375" spans="1:9" x14ac:dyDescent="0.25">
      <c r="A19375">
        <v>37528</v>
      </c>
      <c r="B19375" t="s">
        <v>22878</v>
      </c>
      <c r="C19375" t="s">
        <v>2537</v>
      </c>
      <c r="D19375" s="254">
        <v>441.21</v>
      </c>
      <c r="E19375"/>
      <c r="F19375"/>
      <c r="G19375"/>
      <c r="H19375"/>
      <c r="I19375" s="489"/>
    </row>
    <row r="19376" spans="1:9" x14ac:dyDescent="0.25">
      <c r="A19376">
        <v>37529</v>
      </c>
      <c r="B19376" t="s">
        <v>22879</v>
      </c>
      <c r="C19376" t="s">
        <v>2537</v>
      </c>
      <c r="D19376" s="254">
        <v>445.54</v>
      </c>
      <c r="E19376"/>
      <c r="F19376"/>
      <c r="G19376"/>
      <c r="H19376"/>
      <c r="I19376" s="489"/>
    </row>
    <row r="19377" spans="1:9" x14ac:dyDescent="0.25">
      <c r="A19377">
        <v>37530</v>
      </c>
      <c r="B19377" t="s">
        <v>22880</v>
      </c>
      <c r="C19377" t="s">
        <v>2537</v>
      </c>
      <c r="D19377" s="254">
        <v>581.67999999999995</v>
      </c>
      <c r="E19377"/>
      <c r="F19377"/>
      <c r="G19377"/>
      <c r="H19377"/>
      <c r="I19377" s="489"/>
    </row>
    <row r="19378" spans="1:9" x14ac:dyDescent="0.25">
      <c r="A19378">
        <v>21034</v>
      </c>
      <c r="B19378" t="s">
        <v>22881</v>
      </c>
      <c r="C19378" t="s">
        <v>2537</v>
      </c>
      <c r="D19378" s="254">
        <v>496.28</v>
      </c>
      <c r="E19378"/>
      <c r="F19378"/>
      <c r="G19378"/>
      <c r="H19378"/>
      <c r="I19378" s="489"/>
    </row>
    <row r="19379" spans="1:9" x14ac:dyDescent="0.25">
      <c r="A19379">
        <v>37531</v>
      </c>
      <c r="B19379" t="s">
        <v>22882</v>
      </c>
      <c r="C19379" t="s">
        <v>2537</v>
      </c>
      <c r="D19379" s="254">
        <v>625</v>
      </c>
      <c r="E19379"/>
      <c r="F19379"/>
      <c r="G19379"/>
      <c r="H19379"/>
      <c r="I19379" s="489"/>
    </row>
    <row r="19380" spans="1:9" x14ac:dyDescent="0.25">
      <c r="A19380">
        <v>21036</v>
      </c>
      <c r="B19380" t="s">
        <v>22883</v>
      </c>
      <c r="C19380" t="s">
        <v>2537</v>
      </c>
      <c r="D19380" s="254">
        <v>759.9</v>
      </c>
      <c r="E19380"/>
      <c r="F19380"/>
      <c r="G19380"/>
      <c r="H19380"/>
      <c r="I19380" s="489"/>
    </row>
    <row r="19381" spans="1:9" x14ac:dyDescent="0.25">
      <c r="A19381">
        <v>21037</v>
      </c>
      <c r="B19381" t="s">
        <v>22884</v>
      </c>
      <c r="C19381" t="s">
        <v>2537</v>
      </c>
      <c r="D19381" s="254">
        <v>866.33</v>
      </c>
      <c r="E19381"/>
      <c r="F19381"/>
      <c r="G19381"/>
      <c r="H19381"/>
      <c r="I19381" s="489"/>
    </row>
    <row r="19382" spans="1:9" x14ac:dyDescent="0.25">
      <c r="A19382">
        <v>20185</v>
      </c>
      <c r="B19382" t="s">
        <v>22885</v>
      </c>
      <c r="C19382" t="s">
        <v>2541</v>
      </c>
      <c r="D19382" s="254">
        <v>19.940000000000001</v>
      </c>
      <c r="E19382"/>
      <c r="F19382"/>
      <c r="G19382"/>
      <c r="H19382"/>
      <c r="I19382" s="489"/>
    </row>
    <row r="19383" spans="1:9" x14ac:dyDescent="0.25">
      <c r="A19383">
        <v>20260</v>
      </c>
      <c r="B19383" t="s">
        <v>22886</v>
      </c>
      <c r="C19383" t="s">
        <v>2537</v>
      </c>
      <c r="D19383" s="254">
        <v>16.04</v>
      </c>
      <c r="E19383"/>
      <c r="F19383"/>
      <c r="G19383"/>
      <c r="H19383"/>
      <c r="I19383" s="489"/>
    </row>
    <row r="19384" spans="1:9" x14ac:dyDescent="0.25">
      <c r="A19384">
        <v>37523</v>
      </c>
      <c r="B19384" t="s">
        <v>22887</v>
      </c>
      <c r="C19384" t="s">
        <v>2537</v>
      </c>
      <c r="D19384" s="254">
        <v>512653.3</v>
      </c>
      <c r="E19384"/>
      <c r="F19384"/>
      <c r="G19384"/>
      <c r="H19384"/>
      <c r="I19384" s="489"/>
    </row>
    <row r="19385" spans="1:9" x14ac:dyDescent="0.25">
      <c r="A19385">
        <v>37515</v>
      </c>
      <c r="B19385" t="s">
        <v>22888</v>
      </c>
      <c r="C19385" t="s">
        <v>2537</v>
      </c>
      <c r="D19385" s="254">
        <v>455775</v>
      </c>
      <c r="E19385"/>
      <c r="F19385"/>
      <c r="G19385"/>
      <c r="H19385"/>
      <c r="I19385" s="489"/>
    </row>
    <row r="19386" spans="1:9" x14ac:dyDescent="0.25">
      <c r="A19386">
        <v>12899</v>
      </c>
      <c r="B19386" t="s">
        <v>22889</v>
      </c>
      <c r="C19386" t="s">
        <v>2537</v>
      </c>
      <c r="D19386" s="254">
        <v>108.25</v>
      </c>
      <c r="E19386"/>
      <c r="F19386"/>
      <c r="G19386"/>
      <c r="H19386"/>
      <c r="I19386" s="489"/>
    </row>
    <row r="19387" spans="1:9" x14ac:dyDescent="0.25">
      <c r="A19387">
        <v>12898</v>
      </c>
      <c r="B19387" t="s">
        <v>22890</v>
      </c>
      <c r="C19387" t="s">
        <v>2537</v>
      </c>
      <c r="D19387" s="254">
        <v>171.71</v>
      </c>
      <c r="E19387"/>
      <c r="F19387"/>
      <c r="G19387"/>
      <c r="H19387"/>
      <c r="I19387" s="489"/>
    </row>
    <row r="19388" spans="1:9" x14ac:dyDescent="0.25">
      <c r="A19388">
        <v>42528</v>
      </c>
      <c r="B19388" t="s">
        <v>22891</v>
      </c>
      <c r="C19388" t="s">
        <v>2539</v>
      </c>
      <c r="D19388" s="254">
        <v>10.99</v>
      </c>
      <c r="E19388"/>
      <c r="F19388"/>
      <c r="G19388"/>
      <c r="H19388"/>
      <c r="I19388" s="489"/>
    </row>
    <row r="19389" spans="1:9" x14ac:dyDescent="0.25">
      <c r="A19389">
        <v>39696</v>
      </c>
      <c r="B19389" t="s">
        <v>22892</v>
      </c>
      <c r="C19389" t="s">
        <v>2539</v>
      </c>
      <c r="D19389" s="254">
        <v>7.73</v>
      </c>
      <c r="E19389"/>
      <c r="F19389"/>
      <c r="G19389"/>
      <c r="H19389"/>
      <c r="I19389" s="489"/>
    </row>
    <row r="19390" spans="1:9" x14ac:dyDescent="0.25">
      <c r="A19390">
        <v>39700</v>
      </c>
      <c r="B19390" t="s">
        <v>22893</v>
      </c>
      <c r="C19390" t="s">
        <v>2539</v>
      </c>
      <c r="D19390" s="254">
        <v>23.95</v>
      </c>
      <c r="E19390"/>
      <c r="F19390"/>
      <c r="G19390"/>
      <c r="H19390"/>
      <c r="I19390" s="489"/>
    </row>
    <row r="19391" spans="1:9" x14ac:dyDescent="0.25">
      <c r="A19391">
        <v>11621</v>
      </c>
      <c r="B19391" t="s">
        <v>22894</v>
      </c>
      <c r="C19391" t="s">
        <v>2539</v>
      </c>
      <c r="D19391" s="254">
        <v>47.66</v>
      </c>
      <c r="E19391"/>
      <c r="F19391"/>
      <c r="G19391"/>
      <c r="H19391"/>
      <c r="I19391" s="489"/>
    </row>
    <row r="19392" spans="1:9" x14ac:dyDescent="0.25">
      <c r="A19392">
        <v>4014</v>
      </c>
      <c r="B19392" t="s">
        <v>22895</v>
      </c>
      <c r="C19392" t="s">
        <v>2539</v>
      </c>
      <c r="D19392" s="254">
        <v>49.31</v>
      </c>
      <c r="E19392"/>
      <c r="F19392"/>
      <c r="G19392"/>
      <c r="H19392"/>
      <c r="I19392" s="489"/>
    </row>
    <row r="19393" spans="1:9" x14ac:dyDescent="0.25">
      <c r="A19393">
        <v>4015</v>
      </c>
      <c r="B19393" t="s">
        <v>22896</v>
      </c>
      <c r="C19393" t="s">
        <v>2539</v>
      </c>
      <c r="D19393" s="254">
        <v>60.55</v>
      </c>
      <c r="E19393"/>
      <c r="F19393"/>
      <c r="G19393"/>
      <c r="H19393"/>
      <c r="I19393" s="489"/>
    </row>
    <row r="19394" spans="1:9" x14ac:dyDescent="0.25">
      <c r="A19394">
        <v>4017</v>
      </c>
      <c r="B19394" t="s">
        <v>22897</v>
      </c>
      <c r="C19394" t="s">
        <v>2539</v>
      </c>
      <c r="D19394" s="254">
        <v>88.11</v>
      </c>
      <c r="E19394"/>
      <c r="F19394"/>
      <c r="G19394"/>
      <c r="H19394"/>
      <c r="I19394" s="489"/>
    </row>
    <row r="19395" spans="1:9" x14ac:dyDescent="0.25">
      <c r="A19395">
        <v>4016</v>
      </c>
      <c r="B19395" t="s">
        <v>22898</v>
      </c>
      <c r="C19395" t="s">
        <v>2539</v>
      </c>
      <c r="D19395" s="254">
        <v>34.799999999999997</v>
      </c>
      <c r="E19395"/>
      <c r="F19395"/>
      <c r="G19395"/>
      <c r="H19395"/>
      <c r="I19395" s="489"/>
    </row>
    <row r="19396" spans="1:9" x14ac:dyDescent="0.25">
      <c r="A19396">
        <v>39699</v>
      </c>
      <c r="B19396" t="s">
        <v>22899</v>
      </c>
      <c r="C19396" t="s">
        <v>2539</v>
      </c>
      <c r="D19396" s="254">
        <v>14.13</v>
      </c>
      <c r="E19396"/>
      <c r="F19396"/>
      <c r="G19396"/>
      <c r="H19396"/>
      <c r="I19396" s="489"/>
    </row>
    <row r="19397" spans="1:9" x14ac:dyDescent="0.25">
      <c r="A19397">
        <v>38544</v>
      </c>
      <c r="B19397" t="s">
        <v>22900</v>
      </c>
      <c r="C19397" t="s">
        <v>2539</v>
      </c>
      <c r="D19397" s="254">
        <v>8.93</v>
      </c>
      <c r="E19397"/>
      <c r="F19397"/>
      <c r="G19397"/>
      <c r="H19397"/>
      <c r="I19397" s="489"/>
    </row>
    <row r="19398" spans="1:9" x14ac:dyDescent="0.25">
      <c r="A19398">
        <v>38545</v>
      </c>
      <c r="B19398" t="s">
        <v>22901</v>
      </c>
      <c r="C19398" t="s">
        <v>2539</v>
      </c>
      <c r="D19398" s="254">
        <v>5.74</v>
      </c>
      <c r="E19398"/>
      <c r="F19398"/>
      <c r="G19398"/>
      <c r="H19398"/>
      <c r="I19398" s="489"/>
    </row>
    <row r="19399" spans="1:9" x14ac:dyDescent="0.25">
      <c r="A19399">
        <v>42527</v>
      </c>
      <c r="B19399" t="s">
        <v>22902</v>
      </c>
      <c r="C19399" t="s">
        <v>2539</v>
      </c>
      <c r="D19399" s="254">
        <v>29.04</v>
      </c>
      <c r="E19399"/>
      <c r="F19399"/>
      <c r="G19399"/>
      <c r="H19399"/>
      <c r="I19399" s="489"/>
    </row>
    <row r="19400" spans="1:9" x14ac:dyDescent="0.25">
      <c r="A19400">
        <v>39323</v>
      </c>
      <c r="B19400" t="s">
        <v>22903</v>
      </c>
      <c r="C19400" t="s">
        <v>2539</v>
      </c>
      <c r="D19400" s="254">
        <v>21.89</v>
      </c>
      <c r="E19400"/>
      <c r="F19400"/>
      <c r="G19400"/>
      <c r="H19400"/>
      <c r="I19400" s="489"/>
    </row>
    <row r="19401" spans="1:9" x14ac:dyDescent="0.25">
      <c r="A19401">
        <v>626</v>
      </c>
      <c r="B19401" t="s">
        <v>22904</v>
      </c>
      <c r="C19401" t="s">
        <v>2542</v>
      </c>
      <c r="D19401" s="254">
        <v>17.22</v>
      </c>
      <c r="E19401"/>
      <c r="F19401"/>
      <c r="G19401"/>
      <c r="H19401"/>
      <c r="I19401" s="489"/>
    </row>
    <row r="19402" spans="1:9" x14ac:dyDescent="0.25">
      <c r="A19402">
        <v>44504</v>
      </c>
      <c r="B19402" t="s">
        <v>22905</v>
      </c>
      <c r="C19402" t="s">
        <v>2539</v>
      </c>
      <c r="D19402" s="254">
        <v>14.77</v>
      </c>
      <c r="E19402"/>
      <c r="F19402"/>
      <c r="G19402"/>
      <c r="H19402"/>
      <c r="I19402" s="489"/>
    </row>
    <row r="19403" spans="1:9" x14ac:dyDescent="0.25">
      <c r="A19403">
        <v>44505</v>
      </c>
      <c r="B19403" t="s">
        <v>22906</v>
      </c>
      <c r="C19403" t="s">
        <v>2539</v>
      </c>
      <c r="D19403" s="254">
        <v>22.29</v>
      </c>
      <c r="E19403"/>
      <c r="F19403"/>
      <c r="G19403"/>
      <c r="H19403"/>
      <c r="I19403" s="489"/>
    </row>
    <row r="19404" spans="1:9" x14ac:dyDescent="0.25">
      <c r="A19404">
        <v>44506</v>
      </c>
      <c r="B19404" t="s">
        <v>22907</v>
      </c>
      <c r="C19404" t="s">
        <v>2539</v>
      </c>
      <c r="D19404" s="254">
        <v>23.66</v>
      </c>
      <c r="E19404"/>
      <c r="F19404"/>
      <c r="G19404"/>
      <c r="H19404"/>
      <c r="I19404" s="489"/>
    </row>
    <row r="19405" spans="1:9" x14ac:dyDescent="0.25">
      <c r="A19405">
        <v>44507</v>
      </c>
      <c r="B19405" t="s">
        <v>22908</v>
      </c>
      <c r="C19405" t="s">
        <v>2539</v>
      </c>
      <c r="D19405" s="254">
        <v>29.58</v>
      </c>
      <c r="E19405"/>
      <c r="F19405"/>
      <c r="G19405"/>
      <c r="H19405"/>
      <c r="I19405" s="489"/>
    </row>
    <row r="19406" spans="1:9" x14ac:dyDescent="0.25">
      <c r="A19406">
        <v>44508</v>
      </c>
      <c r="B19406" t="s">
        <v>22909</v>
      </c>
      <c r="C19406" t="s">
        <v>2539</v>
      </c>
      <c r="D19406" s="254">
        <v>44.36</v>
      </c>
      <c r="E19406"/>
      <c r="F19406"/>
      <c r="G19406"/>
      <c r="H19406"/>
      <c r="I19406" s="489"/>
    </row>
    <row r="19407" spans="1:9" x14ac:dyDescent="0.25">
      <c r="A19407">
        <v>44509</v>
      </c>
      <c r="B19407" t="s">
        <v>22910</v>
      </c>
      <c r="C19407" t="s">
        <v>2539</v>
      </c>
      <c r="D19407" s="254">
        <v>59.42</v>
      </c>
      <c r="E19407"/>
      <c r="F19407"/>
      <c r="G19407"/>
      <c r="H19407"/>
      <c r="I19407" s="489"/>
    </row>
    <row r="19408" spans="1:9" x14ac:dyDescent="0.25">
      <c r="A19408">
        <v>44510</v>
      </c>
      <c r="B19408" t="s">
        <v>22911</v>
      </c>
      <c r="C19408" t="s">
        <v>2539</v>
      </c>
      <c r="D19408" s="254">
        <v>73.790000000000006</v>
      </c>
      <c r="E19408"/>
      <c r="F19408"/>
      <c r="G19408"/>
      <c r="H19408"/>
      <c r="I19408" s="489"/>
    </row>
    <row r="19409" spans="1:9" x14ac:dyDescent="0.25">
      <c r="A19409">
        <v>44512</v>
      </c>
      <c r="B19409" t="s">
        <v>22912</v>
      </c>
      <c r="C19409" t="s">
        <v>2539</v>
      </c>
      <c r="D19409" s="254">
        <v>16.47</v>
      </c>
      <c r="E19409"/>
      <c r="F19409"/>
      <c r="G19409"/>
      <c r="H19409"/>
      <c r="I19409" s="489"/>
    </row>
    <row r="19410" spans="1:9" x14ac:dyDescent="0.25">
      <c r="A19410">
        <v>44513</v>
      </c>
      <c r="B19410" t="s">
        <v>22913</v>
      </c>
      <c r="C19410" t="s">
        <v>2539</v>
      </c>
      <c r="D19410" s="254">
        <v>23.25</v>
      </c>
      <c r="E19410"/>
      <c r="F19410"/>
      <c r="G19410"/>
      <c r="H19410"/>
      <c r="I19410" s="489"/>
    </row>
    <row r="19411" spans="1:9" x14ac:dyDescent="0.25">
      <c r="A19411">
        <v>44514</v>
      </c>
      <c r="B19411" t="s">
        <v>22914</v>
      </c>
      <c r="C19411" t="s">
        <v>2539</v>
      </c>
      <c r="D19411" s="254">
        <v>26.35</v>
      </c>
      <c r="E19411"/>
      <c r="F19411"/>
      <c r="G19411"/>
      <c r="H19411"/>
      <c r="I19411" s="489"/>
    </row>
    <row r="19412" spans="1:9" x14ac:dyDescent="0.25">
      <c r="A19412">
        <v>44515</v>
      </c>
      <c r="B19412" t="s">
        <v>22915</v>
      </c>
      <c r="C19412" t="s">
        <v>2539</v>
      </c>
      <c r="D19412" s="254">
        <v>32.36</v>
      </c>
      <c r="E19412"/>
      <c r="F19412"/>
      <c r="G19412"/>
      <c r="H19412"/>
      <c r="I19412" s="489"/>
    </row>
    <row r="19413" spans="1:9" x14ac:dyDescent="0.25">
      <c r="A19413">
        <v>44511</v>
      </c>
      <c r="B19413" t="s">
        <v>22916</v>
      </c>
      <c r="C19413" t="s">
        <v>2539</v>
      </c>
      <c r="D19413" s="254">
        <v>47.9</v>
      </c>
      <c r="E19413"/>
      <c r="F19413"/>
      <c r="G19413"/>
      <c r="H19413"/>
      <c r="I19413" s="489"/>
    </row>
    <row r="19414" spans="1:9" x14ac:dyDescent="0.25">
      <c r="A19414">
        <v>44516</v>
      </c>
      <c r="B19414" t="s">
        <v>22917</v>
      </c>
      <c r="C19414" t="s">
        <v>2539</v>
      </c>
      <c r="D19414" s="254">
        <v>64.73</v>
      </c>
      <c r="E19414"/>
      <c r="F19414"/>
      <c r="G19414"/>
      <c r="H19414"/>
      <c r="I19414" s="489"/>
    </row>
    <row r="19415" spans="1:9" x14ac:dyDescent="0.25">
      <c r="A19415">
        <v>44517</v>
      </c>
      <c r="B19415" t="s">
        <v>22918</v>
      </c>
      <c r="C19415" t="s">
        <v>2539</v>
      </c>
      <c r="D19415" s="254">
        <v>80.739999999999995</v>
      </c>
      <c r="E19415"/>
      <c r="F19415"/>
      <c r="G19415"/>
      <c r="H19415"/>
      <c r="I19415" s="489"/>
    </row>
    <row r="19416" spans="1:9" x14ac:dyDescent="0.25">
      <c r="A19416">
        <v>11479</v>
      </c>
      <c r="B19416" t="s">
        <v>22919</v>
      </c>
      <c r="C19416" t="s">
        <v>2537</v>
      </c>
      <c r="D19416" s="254">
        <v>34.799999999999997</v>
      </c>
      <c r="E19416"/>
      <c r="F19416"/>
      <c r="G19416"/>
      <c r="H19416"/>
      <c r="I19416" s="489"/>
    </row>
    <row r="19417" spans="1:9" x14ac:dyDescent="0.25">
      <c r="A19417">
        <v>11481</v>
      </c>
      <c r="B19417" t="s">
        <v>22920</v>
      </c>
      <c r="C19417" t="s">
        <v>2537</v>
      </c>
      <c r="D19417" s="254">
        <v>31.48</v>
      </c>
      <c r="E19417"/>
      <c r="F19417"/>
      <c r="G19417"/>
      <c r="H19417"/>
      <c r="I19417" s="489"/>
    </row>
    <row r="19418" spans="1:9" x14ac:dyDescent="0.25">
      <c r="A19418">
        <v>43609</v>
      </c>
      <c r="B19418" t="s">
        <v>22921</v>
      </c>
      <c r="C19418" t="s">
        <v>2537</v>
      </c>
      <c r="D19418" s="254">
        <v>31.48</v>
      </c>
      <c r="E19418"/>
      <c r="F19418"/>
      <c r="G19418"/>
      <c r="H19418"/>
      <c r="I19418" s="489"/>
    </row>
    <row r="19419" spans="1:9" x14ac:dyDescent="0.25">
      <c r="A19419">
        <v>11478</v>
      </c>
      <c r="B19419" t="s">
        <v>22922</v>
      </c>
      <c r="C19419" t="s">
        <v>2537</v>
      </c>
      <c r="D19419" s="254">
        <v>59.71</v>
      </c>
      <c r="E19419"/>
      <c r="F19419"/>
      <c r="G19419"/>
      <c r="H19419"/>
      <c r="I19419" s="489"/>
    </row>
    <row r="19420" spans="1:9" x14ac:dyDescent="0.25">
      <c r="A19420">
        <v>43608</v>
      </c>
      <c r="B19420" t="s">
        <v>22923</v>
      </c>
      <c r="C19420" t="s">
        <v>2537</v>
      </c>
      <c r="D19420" s="254">
        <v>45.57</v>
      </c>
      <c r="E19420"/>
      <c r="F19420"/>
      <c r="G19420"/>
      <c r="H19420"/>
      <c r="I19420" s="489"/>
    </row>
    <row r="19421" spans="1:9" x14ac:dyDescent="0.25">
      <c r="A19421">
        <v>11476</v>
      </c>
      <c r="B19421" t="s">
        <v>22924</v>
      </c>
      <c r="C19421" t="s">
        <v>2537</v>
      </c>
      <c r="D19421" s="254">
        <v>45.57</v>
      </c>
      <c r="E19421"/>
      <c r="F19421"/>
      <c r="G19421"/>
      <c r="H19421"/>
      <c r="I19421" s="489"/>
    </row>
    <row r="19422" spans="1:9" x14ac:dyDescent="0.25">
      <c r="A19422">
        <v>40637</v>
      </c>
      <c r="B19422" t="s">
        <v>22925</v>
      </c>
      <c r="C19422" t="s">
        <v>2537</v>
      </c>
      <c r="D19422" s="254">
        <v>823837.73</v>
      </c>
      <c r="E19422"/>
      <c r="F19422"/>
      <c r="G19422"/>
      <c r="H19422"/>
      <c r="I19422" s="489"/>
    </row>
    <row r="19423" spans="1:9" x14ac:dyDescent="0.25">
      <c r="A19423">
        <v>13836</v>
      </c>
      <c r="B19423" t="s">
        <v>22926</v>
      </c>
      <c r="C19423" t="s">
        <v>2537</v>
      </c>
      <c r="D19423" s="254">
        <v>62843.29</v>
      </c>
      <c r="E19423"/>
      <c r="F19423"/>
      <c r="G19423"/>
      <c r="H19423"/>
      <c r="I19423" s="489"/>
    </row>
    <row r="19424" spans="1:9" x14ac:dyDescent="0.25">
      <c r="A19424">
        <v>14534</v>
      </c>
      <c r="B19424" t="s">
        <v>22927</v>
      </c>
      <c r="C19424" t="s">
        <v>2537</v>
      </c>
      <c r="D19424" s="254">
        <v>26307.86</v>
      </c>
      <c r="E19424"/>
      <c r="F19424"/>
      <c r="G19424"/>
      <c r="H19424"/>
      <c r="I19424" s="489"/>
    </row>
    <row r="19425" spans="1:9" x14ac:dyDescent="0.25">
      <c r="A19425">
        <v>14619</v>
      </c>
      <c r="B19425" t="s">
        <v>22928</v>
      </c>
      <c r="C19425" t="s">
        <v>2537</v>
      </c>
      <c r="D19425" s="254">
        <v>14671.62</v>
      </c>
      <c r="E19425"/>
      <c r="F19425"/>
      <c r="G19425"/>
      <c r="H19425"/>
      <c r="I19425" s="489"/>
    </row>
    <row r="19426" spans="1:9" x14ac:dyDescent="0.25">
      <c r="A19426">
        <v>14535</v>
      </c>
      <c r="B19426" t="s">
        <v>22929</v>
      </c>
      <c r="C19426" t="s">
        <v>2537</v>
      </c>
      <c r="D19426" s="254">
        <v>261108.06</v>
      </c>
      <c r="E19426"/>
      <c r="F19426"/>
      <c r="G19426"/>
      <c r="H19426"/>
      <c r="I19426" s="489"/>
    </row>
    <row r="19427" spans="1:9" x14ac:dyDescent="0.25">
      <c r="A19427">
        <v>39813</v>
      </c>
      <c r="B19427" t="s">
        <v>22930</v>
      </c>
      <c r="C19427" t="s">
        <v>2537</v>
      </c>
      <c r="D19427" s="254">
        <v>36425.64</v>
      </c>
      <c r="E19427"/>
      <c r="F19427"/>
      <c r="G19427"/>
      <c r="H19427"/>
      <c r="I19427" s="489"/>
    </row>
    <row r="19428" spans="1:9" x14ac:dyDescent="0.25">
      <c r="A19428">
        <v>40403</v>
      </c>
      <c r="B19428" t="s">
        <v>22931</v>
      </c>
      <c r="C19428" t="s">
        <v>2537</v>
      </c>
      <c r="D19428" s="254">
        <v>725.54</v>
      </c>
      <c r="E19428"/>
      <c r="F19428"/>
      <c r="G19428"/>
      <c r="H19428"/>
      <c r="I19428" s="489"/>
    </row>
    <row r="19429" spans="1:9" x14ac:dyDescent="0.25">
      <c r="A19429">
        <v>12868</v>
      </c>
      <c r="B19429" t="s">
        <v>22932</v>
      </c>
      <c r="C19429" t="s">
        <v>2538</v>
      </c>
      <c r="D19429" s="254">
        <v>23.57</v>
      </c>
      <c r="E19429"/>
      <c r="F19429"/>
      <c r="G19429"/>
      <c r="H19429"/>
      <c r="I19429" s="489"/>
    </row>
    <row r="19430" spans="1:9" x14ac:dyDescent="0.25">
      <c r="A19430">
        <v>40916</v>
      </c>
      <c r="B19430" t="s">
        <v>22933</v>
      </c>
      <c r="C19430" t="s">
        <v>2544</v>
      </c>
      <c r="D19430" s="254">
        <v>4161.03</v>
      </c>
      <c r="E19430"/>
      <c r="F19430"/>
      <c r="G19430"/>
      <c r="H19430"/>
      <c r="I19430" s="489"/>
    </row>
    <row r="19431" spans="1:9" x14ac:dyDescent="0.25">
      <c r="A19431">
        <v>4755</v>
      </c>
      <c r="B19431" t="s">
        <v>22934</v>
      </c>
      <c r="C19431" t="s">
        <v>2538</v>
      </c>
      <c r="D19431" s="254">
        <v>19.8</v>
      </c>
      <c r="E19431"/>
      <c r="F19431"/>
      <c r="G19431"/>
      <c r="H19431"/>
      <c r="I19431" s="489"/>
    </row>
    <row r="19432" spans="1:9" x14ac:dyDescent="0.25">
      <c r="A19432">
        <v>41067</v>
      </c>
      <c r="B19432" t="s">
        <v>22935</v>
      </c>
      <c r="C19432" t="s">
        <v>2544</v>
      </c>
      <c r="D19432" s="254">
        <v>3494.25</v>
      </c>
      <c r="E19432"/>
      <c r="F19432"/>
      <c r="G19432"/>
      <c r="H19432"/>
      <c r="I19432" s="489"/>
    </row>
    <row r="19433" spans="1:9" x14ac:dyDescent="0.25">
      <c r="A19433">
        <v>38463</v>
      </c>
      <c r="B19433" t="s">
        <v>22936</v>
      </c>
      <c r="C19433" t="s">
        <v>2537</v>
      </c>
      <c r="D19433" s="254">
        <v>31.13</v>
      </c>
      <c r="E19433"/>
      <c r="F19433"/>
      <c r="G19433"/>
      <c r="H19433"/>
      <c r="I19433" s="489"/>
    </row>
    <row r="19434" spans="1:9" x14ac:dyDescent="0.25">
      <c r="A19434">
        <v>40703</v>
      </c>
      <c r="B19434" t="s">
        <v>22937</v>
      </c>
      <c r="C19434" t="s">
        <v>2537</v>
      </c>
      <c r="D19434" s="254">
        <v>8049.95</v>
      </c>
      <c r="E19434"/>
      <c r="F19434"/>
      <c r="G19434"/>
      <c r="H19434"/>
      <c r="I19434" s="489"/>
    </row>
    <row r="19435" spans="1:9" x14ac:dyDescent="0.25">
      <c r="A19435">
        <v>14531</v>
      </c>
      <c r="B19435" t="s">
        <v>22938</v>
      </c>
      <c r="C19435" t="s">
        <v>2537</v>
      </c>
      <c r="D19435" s="254">
        <v>15008.14</v>
      </c>
      <c r="E19435"/>
      <c r="F19435"/>
      <c r="G19435"/>
      <c r="H19435"/>
      <c r="I19435" s="489"/>
    </row>
    <row r="19436" spans="1:9" x14ac:dyDescent="0.25">
      <c r="A19436">
        <v>36533</v>
      </c>
      <c r="B19436" t="s">
        <v>22939</v>
      </c>
      <c r="C19436" t="s">
        <v>2537</v>
      </c>
      <c r="D19436" s="254">
        <v>17270.53</v>
      </c>
      <c r="E19436"/>
      <c r="F19436"/>
      <c r="G19436"/>
      <c r="H19436"/>
      <c r="I19436" s="489"/>
    </row>
    <row r="19437" spans="1:9" x14ac:dyDescent="0.25">
      <c r="A19437">
        <v>11616</v>
      </c>
      <c r="B19437" t="s">
        <v>22940</v>
      </c>
      <c r="C19437" t="s">
        <v>2537</v>
      </c>
      <c r="D19437" s="254">
        <v>16311.76</v>
      </c>
      <c r="E19437"/>
      <c r="F19437"/>
      <c r="G19437"/>
      <c r="H19437"/>
      <c r="I19437" s="489"/>
    </row>
    <row r="19438" spans="1:9" x14ac:dyDescent="0.25">
      <c r="A19438">
        <v>41898</v>
      </c>
      <c r="B19438" t="s">
        <v>22941</v>
      </c>
      <c r="C19438" t="s">
        <v>2537</v>
      </c>
      <c r="D19438" s="254">
        <v>18352.95</v>
      </c>
      <c r="E19438"/>
      <c r="F19438"/>
      <c r="G19438"/>
      <c r="H19438"/>
      <c r="I19438" s="489"/>
    </row>
    <row r="19439" spans="1:9" x14ac:dyDescent="0.25">
      <c r="A19439">
        <v>13447</v>
      </c>
      <c r="B19439" t="s">
        <v>22942</v>
      </c>
      <c r="C19439" t="s">
        <v>2537</v>
      </c>
      <c r="D19439" s="254">
        <v>33770.69</v>
      </c>
      <c r="E19439"/>
      <c r="F19439"/>
      <c r="G19439"/>
      <c r="H19439"/>
      <c r="I19439" s="489"/>
    </row>
    <row r="19440" spans="1:9" x14ac:dyDescent="0.25">
      <c r="A19440">
        <v>14529</v>
      </c>
      <c r="B19440" t="s">
        <v>22943</v>
      </c>
      <c r="C19440" t="s">
        <v>2537</v>
      </c>
      <c r="D19440" s="254">
        <v>18887.09</v>
      </c>
      <c r="E19440"/>
      <c r="F19440"/>
      <c r="G19440"/>
      <c r="H19440"/>
      <c r="I19440" s="489"/>
    </row>
    <row r="19441" spans="1:9" x14ac:dyDescent="0.25">
      <c r="A19441">
        <v>10747</v>
      </c>
      <c r="B19441" t="s">
        <v>22944</v>
      </c>
      <c r="C19441" t="s">
        <v>2537</v>
      </c>
      <c r="D19441" s="254">
        <v>18531.12</v>
      </c>
      <c r="E19441"/>
      <c r="F19441"/>
      <c r="G19441"/>
      <c r="H19441"/>
      <c r="I19441" s="489"/>
    </row>
    <row r="19442" spans="1:9" x14ac:dyDescent="0.25">
      <c r="A19442">
        <v>36141</v>
      </c>
      <c r="B19442" t="s">
        <v>22945</v>
      </c>
      <c r="C19442" t="s">
        <v>2537</v>
      </c>
      <c r="D19442" s="254">
        <v>40.229999999999997</v>
      </c>
      <c r="E19442"/>
      <c r="F19442"/>
      <c r="G19442"/>
      <c r="H19442"/>
      <c r="I19442" s="489"/>
    </row>
    <row r="19443" spans="1:9" x14ac:dyDescent="0.25">
      <c r="A19443">
        <v>43651</v>
      </c>
      <c r="B19443" t="s">
        <v>22946</v>
      </c>
      <c r="C19443" t="s">
        <v>2542</v>
      </c>
      <c r="D19443" s="254">
        <v>7.61</v>
      </c>
      <c r="E19443"/>
      <c r="F19443"/>
      <c r="G19443"/>
      <c r="H19443"/>
      <c r="I19443" s="489"/>
    </row>
    <row r="19444" spans="1:9" x14ac:dyDescent="0.25">
      <c r="A19444">
        <v>43626</v>
      </c>
      <c r="B19444" t="s">
        <v>22947</v>
      </c>
      <c r="C19444" t="s">
        <v>2542</v>
      </c>
      <c r="D19444" s="254">
        <v>4.2300000000000004</v>
      </c>
      <c r="E19444"/>
      <c r="F19444"/>
      <c r="G19444"/>
      <c r="H19444"/>
      <c r="I19444" s="489"/>
    </row>
    <row r="19445" spans="1:9" x14ac:dyDescent="0.25">
      <c r="A19445">
        <v>39434</v>
      </c>
      <c r="B19445" t="s">
        <v>22948</v>
      </c>
      <c r="C19445" t="s">
        <v>2542</v>
      </c>
      <c r="D19445" s="254">
        <v>3.99</v>
      </c>
      <c r="E19445"/>
      <c r="F19445"/>
      <c r="G19445"/>
      <c r="H19445"/>
      <c r="I19445" s="489"/>
    </row>
    <row r="19446" spans="1:9" x14ac:dyDescent="0.25">
      <c r="A19446">
        <v>39433</v>
      </c>
      <c r="B19446" t="s">
        <v>22949</v>
      </c>
      <c r="C19446" t="s">
        <v>2542</v>
      </c>
      <c r="D19446" s="254">
        <v>3.17</v>
      </c>
      <c r="E19446"/>
      <c r="F19446"/>
      <c r="G19446"/>
      <c r="H19446"/>
      <c r="I19446" s="489"/>
    </row>
    <row r="19447" spans="1:9" x14ac:dyDescent="0.25">
      <c r="A19447">
        <v>4049</v>
      </c>
      <c r="B19447" t="s">
        <v>22950</v>
      </c>
      <c r="C19447" t="s">
        <v>2543</v>
      </c>
      <c r="D19447" s="254">
        <v>84.9</v>
      </c>
      <c r="E19447"/>
      <c r="F19447"/>
      <c r="G19447"/>
      <c r="H19447"/>
      <c r="I19447" s="489"/>
    </row>
    <row r="19448" spans="1:9" x14ac:dyDescent="0.25">
      <c r="A19448">
        <v>38120</v>
      </c>
      <c r="B19448" t="s">
        <v>22951</v>
      </c>
      <c r="C19448" t="s">
        <v>2542</v>
      </c>
      <c r="D19448" s="254">
        <v>122.55</v>
      </c>
      <c r="E19448"/>
      <c r="F19448"/>
      <c r="G19448"/>
      <c r="H19448"/>
      <c r="I19448" s="489"/>
    </row>
    <row r="19449" spans="1:9" x14ac:dyDescent="0.25">
      <c r="A19449">
        <v>43652</v>
      </c>
      <c r="B19449" t="s">
        <v>22952</v>
      </c>
      <c r="C19449" t="s">
        <v>2542</v>
      </c>
      <c r="D19449" s="254">
        <v>17.05</v>
      </c>
      <c r="E19449"/>
      <c r="F19449"/>
      <c r="G19449"/>
      <c r="H19449"/>
      <c r="I19449" s="489"/>
    </row>
    <row r="19450" spans="1:9" x14ac:dyDescent="0.25">
      <c r="A19450">
        <v>10498</v>
      </c>
      <c r="B19450" t="s">
        <v>22953</v>
      </c>
      <c r="C19450" t="s">
        <v>2542</v>
      </c>
      <c r="D19450" s="254">
        <v>11.02</v>
      </c>
      <c r="E19450"/>
      <c r="F19450"/>
      <c r="G19450"/>
      <c r="H19450"/>
      <c r="I19450" s="489"/>
    </row>
    <row r="19451" spans="1:9" x14ac:dyDescent="0.25">
      <c r="A19451">
        <v>4823</v>
      </c>
      <c r="B19451" t="s">
        <v>22954</v>
      </c>
      <c r="C19451" t="s">
        <v>2542</v>
      </c>
      <c r="D19451" s="254">
        <v>45.97</v>
      </c>
      <c r="E19451"/>
      <c r="F19451"/>
      <c r="G19451"/>
      <c r="H19451"/>
      <c r="I19451" s="489"/>
    </row>
    <row r="19452" spans="1:9" x14ac:dyDescent="0.25">
      <c r="A19452">
        <v>38877</v>
      </c>
      <c r="B19452" t="s">
        <v>22955</v>
      </c>
      <c r="C19452" t="s">
        <v>2542</v>
      </c>
      <c r="D19452" s="254">
        <v>6.21</v>
      </c>
      <c r="E19452"/>
      <c r="F19452"/>
      <c r="G19452"/>
      <c r="H19452"/>
      <c r="I19452" s="489"/>
    </row>
    <row r="19453" spans="1:9" x14ac:dyDescent="0.25">
      <c r="A19453">
        <v>34546</v>
      </c>
      <c r="B19453" t="s">
        <v>22956</v>
      </c>
      <c r="C19453" t="s">
        <v>2542</v>
      </c>
      <c r="D19453" s="254">
        <v>6.39</v>
      </c>
      <c r="E19453"/>
      <c r="F19453"/>
      <c r="G19453"/>
      <c r="H19453"/>
      <c r="I19453" s="489"/>
    </row>
    <row r="19454" spans="1:9" x14ac:dyDescent="0.25">
      <c r="A19454">
        <v>41387</v>
      </c>
      <c r="B19454" t="s">
        <v>22957</v>
      </c>
      <c r="C19454" t="s">
        <v>2541</v>
      </c>
      <c r="D19454" s="254">
        <v>53.53</v>
      </c>
      <c r="E19454"/>
      <c r="F19454"/>
      <c r="G19454"/>
      <c r="H19454"/>
      <c r="I19454" s="489"/>
    </row>
    <row r="19455" spans="1:9" x14ac:dyDescent="0.25">
      <c r="A19455">
        <v>41388</v>
      </c>
      <c r="B19455" t="s">
        <v>22958</v>
      </c>
      <c r="C19455" t="s">
        <v>2541</v>
      </c>
      <c r="D19455" s="254">
        <v>64.23</v>
      </c>
      <c r="E19455"/>
      <c r="F19455"/>
      <c r="G19455"/>
      <c r="H19455"/>
      <c r="I19455" s="489"/>
    </row>
    <row r="19456" spans="1:9" x14ac:dyDescent="0.25">
      <c r="A19456">
        <v>41380</v>
      </c>
      <c r="B19456" t="s">
        <v>22959</v>
      </c>
      <c r="C19456" t="s">
        <v>2537</v>
      </c>
      <c r="D19456" s="254">
        <v>427.35</v>
      </c>
      <c r="E19456"/>
      <c r="F19456"/>
      <c r="G19456"/>
      <c r="H19456"/>
      <c r="I19456" s="489"/>
    </row>
    <row r="19457" spans="1:9" x14ac:dyDescent="0.25">
      <c r="A19457">
        <v>41381</v>
      </c>
      <c r="B19457" t="s">
        <v>22960</v>
      </c>
      <c r="C19457" t="s">
        <v>2537</v>
      </c>
      <c r="D19457" s="254">
        <v>447.7</v>
      </c>
      <c r="E19457"/>
      <c r="F19457"/>
      <c r="G19457"/>
      <c r="H19457"/>
      <c r="I19457" s="489"/>
    </row>
    <row r="19458" spans="1:9" x14ac:dyDescent="0.25">
      <c r="A19458">
        <v>41382</v>
      </c>
      <c r="B19458" t="s">
        <v>22961</v>
      </c>
      <c r="C19458" t="s">
        <v>2537</v>
      </c>
      <c r="D19458" s="254">
        <v>433.35</v>
      </c>
      <c r="E19458"/>
      <c r="F19458"/>
      <c r="G19458"/>
      <c r="H19458"/>
      <c r="I19458" s="489"/>
    </row>
    <row r="19459" spans="1:9" x14ac:dyDescent="0.25">
      <c r="A19459">
        <v>41383</v>
      </c>
      <c r="B19459" t="s">
        <v>22962</v>
      </c>
      <c r="C19459" t="s">
        <v>2537</v>
      </c>
      <c r="D19459" s="254">
        <v>588.17999999999995</v>
      </c>
      <c r="E19459"/>
      <c r="F19459"/>
      <c r="G19459"/>
      <c r="H19459"/>
      <c r="I19459" s="489"/>
    </row>
    <row r="19460" spans="1:9" x14ac:dyDescent="0.25">
      <c r="A19460">
        <v>41385</v>
      </c>
      <c r="B19460" t="s">
        <v>22963</v>
      </c>
      <c r="C19460" t="s">
        <v>2537</v>
      </c>
      <c r="D19460" s="254">
        <v>731.91</v>
      </c>
      <c r="E19460"/>
      <c r="F19460"/>
      <c r="G19460"/>
      <c r="H19460"/>
      <c r="I19460" s="489"/>
    </row>
    <row r="19461" spans="1:9" x14ac:dyDescent="0.25">
      <c r="A19461">
        <v>11079</v>
      </c>
      <c r="B19461" t="s">
        <v>22964</v>
      </c>
      <c r="C19461" t="s">
        <v>2540</v>
      </c>
      <c r="D19461" s="254">
        <v>2123.7199999999998</v>
      </c>
      <c r="E19461"/>
      <c r="F19461"/>
      <c r="G19461"/>
      <c r="H19461"/>
      <c r="I19461" s="489"/>
    </row>
    <row r="19462" spans="1:9" x14ac:dyDescent="0.25">
      <c r="A19462">
        <v>11082</v>
      </c>
      <c r="B19462" t="s">
        <v>22965</v>
      </c>
      <c r="C19462" t="s">
        <v>2540</v>
      </c>
      <c r="D19462" s="254">
        <v>2123.7199999999998</v>
      </c>
      <c r="E19462"/>
      <c r="F19462"/>
      <c r="G19462"/>
      <c r="H19462"/>
      <c r="I19462" s="489"/>
    </row>
    <row r="19463" spans="1:9" x14ac:dyDescent="0.25">
      <c r="A19463">
        <v>4058</v>
      </c>
      <c r="B19463" t="s">
        <v>22966</v>
      </c>
      <c r="C19463" t="s">
        <v>2538</v>
      </c>
      <c r="D19463" s="254">
        <v>28.83</v>
      </c>
      <c r="E19463"/>
      <c r="F19463"/>
      <c r="G19463"/>
      <c r="H19463"/>
      <c r="I19463" s="489"/>
    </row>
    <row r="19464" spans="1:9" x14ac:dyDescent="0.25">
      <c r="A19464">
        <v>40974</v>
      </c>
      <c r="B19464" t="s">
        <v>22967</v>
      </c>
      <c r="C19464" t="s">
        <v>2544</v>
      </c>
      <c r="D19464" s="254">
        <v>5088.18</v>
      </c>
      <c r="E19464"/>
      <c r="F19464"/>
      <c r="G19464"/>
      <c r="H19464"/>
      <c r="I19464" s="489"/>
    </row>
    <row r="19465" spans="1:9" x14ac:dyDescent="0.25">
      <c r="A19465">
        <v>34794</v>
      </c>
      <c r="B19465" t="s">
        <v>22968</v>
      </c>
      <c r="C19465" t="s">
        <v>2538</v>
      </c>
      <c r="D19465" s="254">
        <v>31.77</v>
      </c>
      <c r="E19465"/>
      <c r="F19465"/>
      <c r="G19465"/>
      <c r="H19465"/>
      <c r="I19465" s="489"/>
    </row>
    <row r="19466" spans="1:9" x14ac:dyDescent="0.25">
      <c r="A19466">
        <v>40925</v>
      </c>
      <c r="B19466" t="s">
        <v>22969</v>
      </c>
      <c r="C19466" t="s">
        <v>2544</v>
      </c>
      <c r="D19466" s="254">
        <v>5608.55</v>
      </c>
      <c r="E19466"/>
      <c r="F19466"/>
      <c r="G19466"/>
      <c r="H19466"/>
      <c r="I19466" s="489"/>
    </row>
    <row r="19467" spans="1:9" x14ac:dyDescent="0.25">
      <c r="A19467">
        <v>13741</v>
      </c>
      <c r="B19467" t="s">
        <v>22970</v>
      </c>
      <c r="C19467" t="s">
        <v>2537</v>
      </c>
      <c r="D19467" s="254">
        <v>2853.95</v>
      </c>
      <c r="E19467"/>
      <c r="F19467"/>
      <c r="G19467"/>
      <c r="H19467"/>
      <c r="I19467" s="489"/>
    </row>
    <row r="19468" spans="1:9" x14ac:dyDescent="0.25">
      <c r="A19468">
        <v>3288</v>
      </c>
      <c r="B19468" t="s">
        <v>22971</v>
      </c>
      <c r="C19468" t="s">
        <v>2541</v>
      </c>
      <c r="D19468" s="254">
        <v>8</v>
      </c>
      <c r="E19468"/>
      <c r="F19468"/>
      <c r="G19468"/>
      <c r="H19468"/>
      <c r="I19468" s="489"/>
    </row>
    <row r="19469" spans="1:9" x14ac:dyDescent="0.25">
      <c r="A19469">
        <v>13587</v>
      </c>
      <c r="B19469" t="s">
        <v>22972</v>
      </c>
      <c r="C19469" t="s">
        <v>2541</v>
      </c>
      <c r="D19469" s="254">
        <v>4.83</v>
      </c>
      <c r="E19469"/>
      <c r="F19469"/>
      <c r="G19469"/>
      <c r="H19469"/>
      <c r="I19469" s="489"/>
    </row>
    <row r="19470" spans="1:9" x14ac:dyDescent="0.25">
      <c r="A19470">
        <v>38598</v>
      </c>
      <c r="B19470" t="s">
        <v>22973</v>
      </c>
      <c r="C19470" t="s">
        <v>2537</v>
      </c>
      <c r="D19470" s="254">
        <v>3.49</v>
      </c>
      <c r="E19470"/>
      <c r="F19470"/>
      <c r="G19470"/>
      <c r="H19470"/>
      <c r="I19470" s="489"/>
    </row>
    <row r="19471" spans="1:9" x14ac:dyDescent="0.25">
      <c r="A19471">
        <v>38595</v>
      </c>
      <c r="B19471" t="s">
        <v>22974</v>
      </c>
      <c r="C19471" t="s">
        <v>2537</v>
      </c>
      <c r="D19471" s="254">
        <v>2.96</v>
      </c>
      <c r="E19471"/>
      <c r="F19471"/>
      <c r="G19471"/>
      <c r="H19471"/>
      <c r="I19471" s="489"/>
    </row>
    <row r="19472" spans="1:9" x14ac:dyDescent="0.25">
      <c r="A19472">
        <v>38592</v>
      </c>
      <c r="B19472" t="s">
        <v>22975</v>
      </c>
      <c r="C19472" t="s">
        <v>2537</v>
      </c>
      <c r="D19472" s="254">
        <v>2.99</v>
      </c>
      <c r="E19472"/>
      <c r="F19472"/>
      <c r="G19472"/>
      <c r="H19472"/>
      <c r="I19472" s="489"/>
    </row>
    <row r="19473" spans="1:9" x14ac:dyDescent="0.25">
      <c r="A19473">
        <v>38588</v>
      </c>
      <c r="B19473" t="s">
        <v>22976</v>
      </c>
      <c r="C19473" t="s">
        <v>2537</v>
      </c>
      <c r="D19473" s="254">
        <v>2.39</v>
      </c>
      <c r="E19473"/>
      <c r="F19473"/>
      <c r="G19473"/>
      <c r="H19473"/>
      <c r="I19473" s="489"/>
    </row>
    <row r="19474" spans="1:9" x14ac:dyDescent="0.25">
      <c r="A19474">
        <v>38593</v>
      </c>
      <c r="B19474" t="s">
        <v>22977</v>
      </c>
      <c r="C19474" t="s">
        <v>2537</v>
      </c>
      <c r="D19474" s="254">
        <v>3.31</v>
      </c>
      <c r="E19474"/>
      <c r="F19474"/>
      <c r="G19474"/>
      <c r="H19474"/>
      <c r="I19474" s="489"/>
    </row>
    <row r="19475" spans="1:9" x14ac:dyDescent="0.25">
      <c r="A19475">
        <v>38589</v>
      </c>
      <c r="B19475" t="s">
        <v>22978</v>
      </c>
      <c r="C19475" t="s">
        <v>2537</v>
      </c>
      <c r="D19475" s="254">
        <v>2.5099999999999998</v>
      </c>
      <c r="E19475"/>
      <c r="F19475"/>
      <c r="G19475"/>
      <c r="H19475"/>
      <c r="I19475" s="489"/>
    </row>
    <row r="19476" spans="1:9" x14ac:dyDescent="0.25">
      <c r="A19476">
        <v>38594</v>
      </c>
      <c r="B19476" t="s">
        <v>22979</v>
      </c>
      <c r="C19476" t="s">
        <v>2537</v>
      </c>
      <c r="D19476" s="254">
        <v>5.21</v>
      </c>
      <c r="E19476"/>
      <c r="F19476"/>
      <c r="G19476"/>
      <c r="H19476"/>
      <c r="I19476" s="489"/>
    </row>
    <row r="19477" spans="1:9" x14ac:dyDescent="0.25">
      <c r="A19477">
        <v>34773</v>
      </c>
      <c r="B19477" t="s">
        <v>22980</v>
      </c>
      <c r="C19477" t="s">
        <v>2537</v>
      </c>
      <c r="D19477" s="254">
        <v>2.4700000000000002</v>
      </c>
      <c r="E19477"/>
      <c r="F19477"/>
      <c r="G19477"/>
      <c r="H19477"/>
      <c r="I19477" s="489"/>
    </row>
    <row r="19478" spans="1:9" x14ac:dyDescent="0.25">
      <c r="A19478">
        <v>34769</v>
      </c>
      <c r="B19478" t="s">
        <v>22981</v>
      </c>
      <c r="C19478" t="s">
        <v>2537</v>
      </c>
      <c r="D19478" s="254">
        <v>3.05</v>
      </c>
      <c r="E19478"/>
      <c r="F19478"/>
      <c r="G19478"/>
      <c r="H19478"/>
      <c r="I19478" s="489"/>
    </row>
    <row r="19479" spans="1:9" x14ac:dyDescent="0.25">
      <c r="A19479">
        <v>34763</v>
      </c>
      <c r="B19479" t="s">
        <v>22982</v>
      </c>
      <c r="C19479" t="s">
        <v>2537</v>
      </c>
      <c r="D19479" s="254">
        <v>1.88</v>
      </c>
      <c r="E19479"/>
      <c r="F19479"/>
      <c r="G19479"/>
      <c r="H19479"/>
      <c r="I19479" s="489"/>
    </row>
    <row r="19480" spans="1:9" x14ac:dyDescent="0.25">
      <c r="A19480">
        <v>34774</v>
      </c>
      <c r="B19480" t="s">
        <v>22983</v>
      </c>
      <c r="C19480" t="s">
        <v>2537</v>
      </c>
      <c r="D19480" s="254">
        <v>2.34</v>
      </c>
      <c r="E19480"/>
      <c r="F19480"/>
      <c r="G19480"/>
      <c r="H19480"/>
      <c r="I19480" s="489"/>
    </row>
    <row r="19481" spans="1:9" x14ac:dyDescent="0.25">
      <c r="A19481">
        <v>34771</v>
      </c>
      <c r="B19481" t="s">
        <v>22984</v>
      </c>
      <c r="C19481" t="s">
        <v>2537</v>
      </c>
      <c r="D19481" s="254">
        <v>2.82</v>
      </c>
      <c r="E19481"/>
      <c r="F19481"/>
      <c r="G19481"/>
      <c r="H19481"/>
      <c r="I19481" s="489"/>
    </row>
    <row r="19482" spans="1:9" x14ac:dyDescent="0.25">
      <c r="A19482">
        <v>34764</v>
      </c>
      <c r="B19482" t="s">
        <v>22985</v>
      </c>
      <c r="C19482" t="s">
        <v>2537</v>
      </c>
      <c r="D19482" s="254">
        <v>1.85</v>
      </c>
      <c r="E19482"/>
      <c r="F19482"/>
      <c r="G19482"/>
      <c r="H19482"/>
      <c r="I19482" s="489"/>
    </row>
    <row r="19483" spans="1:9" x14ac:dyDescent="0.25">
      <c r="A19483">
        <v>34788</v>
      </c>
      <c r="B19483" t="s">
        <v>22986</v>
      </c>
      <c r="C19483" t="s">
        <v>2537</v>
      </c>
      <c r="D19483" s="254">
        <v>2.16</v>
      </c>
      <c r="E19483"/>
      <c r="F19483"/>
      <c r="G19483"/>
      <c r="H19483"/>
      <c r="I19483" s="489"/>
    </row>
    <row r="19484" spans="1:9" x14ac:dyDescent="0.25">
      <c r="A19484">
        <v>34781</v>
      </c>
      <c r="B19484" t="s">
        <v>22987</v>
      </c>
      <c r="C19484" t="s">
        <v>2537</v>
      </c>
      <c r="D19484" s="254">
        <v>2.4500000000000002</v>
      </c>
      <c r="E19484"/>
      <c r="F19484"/>
      <c r="G19484"/>
      <c r="H19484"/>
      <c r="I19484" s="489"/>
    </row>
    <row r="19485" spans="1:9" x14ac:dyDescent="0.25">
      <c r="A19485">
        <v>41682</v>
      </c>
      <c r="B19485" t="s">
        <v>22988</v>
      </c>
      <c r="C19485" t="s">
        <v>2537</v>
      </c>
      <c r="D19485" s="254">
        <v>29.37</v>
      </c>
      <c r="E19485"/>
      <c r="F19485"/>
      <c r="G19485"/>
      <c r="H19485"/>
      <c r="I19485" s="489"/>
    </row>
    <row r="19486" spans="1:9" x14ac:dyDescent="0.25">
      <c r="A19486">
        <v>41683</v>
      </c>
      <c r="B19486" t="s">
        <v>22989</v>
      </c>
      <c r="C19486" t="s">
        <v>2537</v>
      </c>
      <c r="D19486" s="254">
        <v>21.61</v>
      </c>
      <c r="E19486"/>
      <c r="F19486"/>
      <c r="G19486"/>
      <c r="H19486"/>
      <c r="I19486" s="489"/>
    </row>
    <row r="19487" spans="1:9" x14ac:dyDescent="0.25">
      <c r="A19487">
        <v>41680</v>
      </c>
      <c r="B19487" t="s">
        <v>22990</v>
      </c>
      <c r="C19487" t="s">
        <v>2537</v>
      </c>
      <c r="D19487" s="254">
        <v>11.63</v>
      </c>
      <c r="E19487"/>
      <c r="F19487"/>
      <c r="G19487"/>
      <c r="H19487"/>
      <c r="I19487" s="489"/>
    </row>
    <row r="19488" spans="1:9" x14ac:dyDescent="0.25">
      <c r="A19488">
        <v>41679</v>
      </c>
      <c r="B19488" t="s">
        <v>22991</v>
      </c>
      <c r="C19488" t="s">
        <v>2537</v>
      </c>
      <c r="D19488" s="254">
        <v>26.6</v>
      </c>
      <c r="E19488"/>
      <c r="F19488"/>
      <c r="G19488"/>
      <c r="H19488"/>
      <c r="I19488" s="489"/>
    </row>
    <row r="19489" spans="1:9" x14ac:dyDescent="0.25">
      <c r="A19489">
        <v>41681</v>
      </c>
      <c r="B19489" t="s">
        <v>22992</v>
      </c>
      <c r="C19489" t="s">
        <v>2537</v>
      </c>
      <c r="D19489" s="254">
        <v>18.2</v>
      </c>
      <c r="E19489"/>
      <c r="F19489"/>
      <c r="G19489"/>
      <c r="H19489"/>
      <c r="I19489" s="489"/>
    </row>
    <row r="19490" spans="1:9" x14ac:dyDescent="0.25">
      <c r="A19490">
        <v>43386</v>
      </c>
      <c r="B19490" t="s">
        <v>22993</v>
      </c>
      <c r="C19490" t="s">
        <v>2537</v>
      </c>
      <c r="D19490" s="254">
        <v>41.56</v>
      </c>
      <c r="E19490"/>
      <c r="F19490"/>
      <c r="G19490"/>
      <c r="H19490"/>
      <c r="I19490" s="489"/>
    </row>
    <row r="19491" spans="1:9" x14ac:dyDescent="0.25">
      <c r="A19491">
        <v>4059</v>
      </c>
      <c r="B19491" t="s">
        <v>22994</v>
      </c>
      <c r="C19491" t="s">
        <v>2541</v>
      </c>
      <c r="D19491" s="254">
        <v>29.37</v>
      </c>
      <c r="E19491"/>
      <c r="F19491"/>
      <c r="G19491"/>
      <c r="H19491"/>
      <c r="I19491" s="489"/>
    </row>
    <row r="19492" spans="1:9" x14ac:dyDescent="0.25">
      <c r="A19492">
        <v>4062</v>
      </c>
      <c r="B19492" t="s">
        <v>22995</v>
      </c>
      <c r="C19492" t="s">
        <v>2537</v>
      </c>
      <c r="D19492" s="254">
        <v>29.37</v>
      </c>
      <c r="E19492"/>
      <c r="F19492"/>
      <c r="G19492"/>
      <c r="H19492"/>
      <c r="I19492" s="489"/>
    </row>
    <row r="19493" spans="1:9" x14ac:dyDescent="0.25">
      <c r="A19493">
        <v>4061</v>
      </c>
      <c r="B19493" t="s">
        <v>22996</v>
      </c>
      <c r="C19493" t="s">
        <v>2537</v>
      </c>
      <c r="D19493" s="254">
        <v>36.57</v>
      </c>
      <c r="E19493"/>
      <c r="F19493"/>
      <c r="G19493"/>
      <c r="H19493"/>
      <c r="I19493" s="489"/>
    </row>
    <row r="19494" spans="1:9" x14ac:dyDescent="0.25">
      <c r="A19494">
        <v>41315</v>
      </c>
      <c r="B19494" t="s">
        <v>22997</v>
      </c>
      <c r="C19494" t="s">
        <v>2542</v>
      </c>
      <c r="D19494" s="254">
        <v>81</v>
      </c>
      <c r="E19494"/>
      <c r="F19494"/>
      <c r="G19494"/>
      <c r="H19494"/>
      <c r="I19494" s="489"/>
    </row>
    <row r="19495" spans="1:9" x14ac:dyDescent="0.25">
      <c r="A19495">
        <v>43148</v>
      </c>
      <c r="B19495" t="s">
        <v>22998</v>
      </c>
      <c r="C19495" t="s">
        <v>2542</v>
      </c>
      <c r="D19495" s="254">
        <v>54.98</v>
      </c>
      <c r="E19495"/>
      <c r="F19495"/>
      <c r="G19495"/>
      <c r="H19495"/>
      <c r="I19495" s="489"/>
    </row>
    <row r="19496" spans="1:9" x14ac:dyDescent="0.25">
      <c r="A19496">
        <v>43147</v>
      </c>
      <c r="B19496" t="s">
        <v>22999</v>
      </c>
      <c r="C19496" t="s">
        <v>2542</v>
      </c>
      <c r="D19496" s="254">
        <v>21.29</v>
      </c>
      <c r="E19496"/>
      <c r="F19496"/>
      <c r="G19496"/>
      <c r="H19496"/>
      <c r="I19496" s="489"/>
    </row>
    <row r="19497" spans="1:9" x14ac:dyDescent="0.25">
      <c r="A19497">
        <v>10608</v>
      </c>
      <c r="B19497" t="s">
        <v>23000</v>
      </c>
      <c r="C19497" t="s">
        <v>2537</v>
      </c>
      <c r="D19497" s="254">
        <v>8990</v>
      </c>
      <c r="E19497"/>
      <c r="F19497"/>
      <c r="G19497"/>
      <c r="H19497"/>
      <c r="I19497" s="489"/>
    </row>
    <row r="19498" spans="1:9" x14ac:dyDescent="0.25">
      <c r="A19498">
        <v>4069</v>
      </c>
      <c r="B19498" t="s">
        <v>23001</v>
      </c>
      <c r="C19498" t="s">
        <v>2538</v>
      </c>
      <c r="D19498" s="254">
        <v>54.52</v>
      </c>
      <c r="E19498"/>
      <c r="F19498"/>
      <c r="G19498"/>
      <c r="H19498"/>
      <c r="I19498" s="489"/>
    </row>
    <row r="19499" spans="1:9" x14ac:dyDescent="0.25">
      <c r="A19499">
        <v>40819</v>
      </c>
      <c r="B19499" t="s">
        <v>23002</v>
      </c>
      <c r="C19499" t="s">
        <v>2544</v>
      </c>
      <c r="D19499" s="254">
        <v>9619.7800000000007</v>
      </c>
      <c r="E19499"/>
      <c r="F19499"/>
      <c r="G19499"/>
      <c r="H19499"/>
      <c r="I19499" s="489"/>
    </row>
    <row r="19500" spans="1:9" x14ac:dyDescent="0.25">
      <c r="A19500">
        <v>34361</v>
      </c>
      <c r="B19500" t="s">
        <v>23003</v>
      </c>
      <c r="C19500" t="s">
        <v>2542</v>
      </c>
      <c r="D19500" s="254">
        <v>15.5</v>
      </c>
      <c r="E19500"/>
      <c r="F19500"/>
      <c r="G19500"/>
      <c r="H19500"/>
      <c r="I19500" s="489"/>
    </row>
    <row r="19501" spans="1:9" x14ac:dyDescent="0.25">
      <c r="A19501">
        <v>36512</v>
      </c>
      <c r="B19501" t="s">
        <v>23004</v>
      </c>
      <c r="C19501" t="s">
        <v>2537</v>
      </c>
      <c r="D19501" s="254">
        <v>21506.68</v>
      </c>
      <c r="E19501"/>
      <c r="F19501"/>
      <c r="G19501"/>
      <c r="H19501"/>
      <c r="I19501" s="489"/>
    </row>
    <row r="19502" spans="1:9" x14ac:dyDescent="0.25">
      <c r="A19502">
        <v>44478</v>
      </c>
      <c r="B19502" t="s">
        <v>23005</v>
      </c>
      <c r="C19502" t="s">
        <v>2542</v>
      </c>
      <c r="D19502" s="254">
        <v>14.44</v>
      </c>
      <c r="E19502"/>
      <c r="F19502"/>
      <c r="G19502"/>
      <c r="H19502"/>
      <c r="I19502" s="489"/>
    </row>
    <row r="19503" spans="1:9" x14ac:dyDescent="0.25">
      <c r="A19503">
        <v>44477</v>
      </c>
      <c r="B19503" t="s">
        <v>23006</v>
      </c>
      <c r="C19503" t="s">
        <v>2542</v>
      </c>
      <c r="D19503" s="254">
        <v>14.44</v>
      </c>
      <c r="E19503"/>
      <c r="F19503"/>
      <c r="G19503"/>
      <c r="H19503"/>
      <c r="I19503" s="489"/>
    </row>
    <row r="19504" spans="1:9" x14ac:dyDescent="0.25">
      <c r="A19504">
        <v>11697</v>
      </c>
      <c r="B19504" t="s">
        <v>23007</v>
      </c>
      <c r="C19504" t="s">
        <v>2537</v>
      </c>
      <c r="D19504" s="254">
        <v>634.21</v>
      </c>
      <c r="E19504"/>
      <c r="F19504"/>
      <c r="G19504"/>
      <c r="H19504"/>
      <c r="I19504" s="489"/>
    </row>
    <row r="19505" spans="1:9" x14ac:dyDescent="0.25">
      <c r="A19505">
        <v>11698</v>
      </c>
      <c r="B19505" t="s">
        <v>23008</v>
      </c>
      <c r="C19505" t="s">
        <v>2537</v>
      </c>
      <c r="D19505" s="254">
        <v>756.58</v>
      </c>
      <c r="E19505"/>
      <c r="F19505"/>
      <c r="G19505"/>
      <c r="H19505"/>
      <c r="I19505" s="489"/>
    </row>
    <row r="19506" spans="1:9" x14ac:dyDescent="0.25">
      <c r="A19506">
        <v>10432</v>
      </c>
      <c r="B19506" t="s">
        <v>23009</v>
      </c>
      <c r="C19506" t="s">
        <v>2537</v>
      </c>
      <c r="D19506" s="254">
        <v>306.72000000000003</v>
      </c>
      <c r="E19506"/>
      <c r="F19506"/>
      <c r="G19506"/>
      <c r="H19506"/>
      <c r="I19506" s="489"/>
    </row>
    <row r="19507" spans="1:9" x14ac:dyDescent="0.25">
      <c r="A19507">
        <v>11699</v>
      </c>
      <c r="B19507" t="s">
        <v>23010</v>
      </c>
      <c r="C19507" t="s">
        <v>2537</v>
      </c>
      <c r="D19507" s="254">
        <v>836.2</v>
      </c>
      <c r="E19507"/>
      <c r="F19507"/>
      <c r="G19507"/>
      <c r="H19507"/>
      <c r="I19507" s="489"/>
    </row>
    <row r="19508" spans="1:9" x14ac:dyDescent="0.25">
      <c r="A19508">
        <v>44020</v>
      </c>
      <c r="B19508" t="s">
        <v>23011</v>
      </c>
      <c r="C19508" t="s">
        <v>2537</v>
      </c>
      <c r="D19508" s="254">
        <v>756.72</v>
      </c>
      <c r="E19508"/>
      <c r="F19508"/>
      <c r="G19508"/>
      <c r="H19508"/>
      <c r="I19508" s="489"/>
    </row>
    <row r="19509" spans="1:9" x14ac:dyDescent="0.25">
      <c r="A19509">
        <v>41420</v>
      </c>
      <c r="B19509" t="s">
        <v>23012</v>
      </c>
      <c r="C19509" t="s">
        <v>2537</v>
      </c>
      <c r="D19509" s="254">
        <v>10.89</v>
      </c>
      <c r="E19509"/>
      <c r="F19509"/>
      <c r="G19509"/>
      <c r="H19509"/>
      <c r="I19509" s="489"/>
    </row>
    <row r="19510" spans="1:9" x14ac:dyDescent="0.25">
      <c r="A19510">
        <v>41422</v>
      </c>
      <c r="B19510" t="s">
        <v>23013</v>
      </c>
      <c r="C19510" t="s">
        <v>2537</v>
      </c>
      <c r="D19510" s="254">
        <v>14.88</v>
      </c>
      <c r="E19510"/>
      <c r="F19510"/>
      <c r="G19510"/>
      <c r="H19510"/>
      <c r="I19510" s="489"/>
    </row>
    <row r="19511" spans="1:9" x14ac:dyDescent="0.25">
      <c r="A19511">
        <v>41425</v>
      </c>
      <c r="B19511" t="s">
        <v>23014</v>
      </c>
      <c r="C19511" t="s">
        <v>2537</v>
      </c>
      <c r="D19511" s="254">
        <v>7.61</v>
      </c>
      <c r="E19511"/>
      <c r="F19511"/>
      <c r="G19511"/>
      <c r="H19511"/>
      <c r="I19511" s="489"/>
    </row>
    <row r="19512" spans="1:9" x14ac:dyDescent="0.25">
      <c r="A19512">
        <v>41426</v>
      </c>
      <c r="B19512" t="s">
        <v>23015</v>
      </c>
      <c r="C19512" t="s">
        <v>2537</v>
      </c>
      <c r="D19512" s="254">
        <v>13.73</v>
      </c>
      <c r="E19512"/>
      <c r="F19512"/>
      <c r="G19512"/>
      <c r="H19512"/>
      <c r="I19512" s="489"/>
    </row>
    <row r="19513" spans="1:9" x14ac:dyDescent="0.25">
      <c r="A19513">
        <v>41419</v>
      </c>
      <c r="B19513" t="s">
        <v>23016</v>
      </c>
      <c r="C19513" t="s">
        <v>2537</v>
      </c>
      <c r="D19513" s="254">
        <v>8.01</v>
      </c>
      <c r="E19513"/>
      <c r="F19513"/>
      <c r="G19513"/>
      <c r="H19513"/>
      <c r="I19513" s="489"/>
    </row>
    <row r="19514" spans="1:9" x14ac:dyDescent="0.25">
      <c r="A19514">
        <v>41421</v>
      </c>
      <c r="B19514" t="s">
        <v>23017</v>
      </c>
      <c r="C19514" t="s">
        <v>2537</v>
      </c>
      <c r="D19514" s="254">
        <v>10.87</v>
      </c>
      <c r="E19514"/>
      <c r="F19514"/>
      <c r="G19514"/>
      <c r="H19514"/>
      <c r="I19514" s="489"/>
    </row>
    <row r="19515" spans="1:9" x14ac:dyDescent="0.25">
      <c r="A19515">
        <v>41414</v>
      </c>
      <c r="B19515" t="s">
        <v>23018</v>
      </c>
      <c r="C19515" t="s">
        <v>2537</v>
      </c>
      <c r="D19515" s="254">
        <v>25.2</v>
      </c>
      <c r="E19515"/>
      <c r="F19515"/>
      <c r="G19515"/>
      <c r="H19515"/>
      <c r="I19515" s="489"/>
    </row>
    <row r="19516" spans="1:9" x14ac:dyDescent="0.25">
      <c r="A19516">
        <v>41415</v>
      </c>
      <c r="B19516" t="s">
        <v>23019</v>
      </c>
      <c r="C19516" t="s">
        <v>2537</v>
      </c>
      <c r="D19516" s="254">
        <v>29.34</v>
      </c>
      <c r="E19516"/>
      <c r="F19516"/>
      <c r="G19516"/>
      <c r="H19516"/>
      <c r="I19516" s="489"/>
    </row>
    <row r="19517" spans="1:9" x14ac:dyDescent="0.25">
      <c r="A19517">
        <v>37514</v>
      </c>
      <c r="B19517" t="s">
        <v>23020</v>
      </c>
      <c r="C19517" t="s">
        <v>2537</v>
      </c>
      <c r="D19517" s="254">
        <v>230000</v>
      </c>
      <c r="E19517"/>
      <c r="F19517"/>
      <c r="G19517"/>
      <c r="H19517"/>
      <c r="I19517" s="489"/>
    </row>
    <row r="19518" spans="1:9" x14ac:dyDescent="0.25">
      <c r="A19518">
        <v>37519</v>
      </c>
      <c r="B19518" t="s">
        <v>23021</v>
      </c>
      <c r="C19518" t="s">
        <v>2537</v>
      </c>
      <c r="D19518" s="254">
        <v>354957.48</v>
      </c>
      <c r="E19518"/>
      <c r="F19518"/>
      <c r="G19518"/>
      <c r="H19518"/>
      <c r="I19518" s="489"/>
    </row>
    <row r="19519" spans="1:9" x14ac:dyDescent="0.25">
      <c r="A19519">
        <v>37520</v>
      </c>
      <c r="B19519" t="s">
        <v>23022</v>
      </c>
      <c r="C19519" t="s">
        <v>2537</v>
      </c>
      <c r="D19519" s="254">
        <v>349138.5</v>
      </c>
      <c r="E19519"/>
      <c r="F19519"/>
      <c r="G19519"/>
      <c r="H19519"/>
      <c r="I19519" s="489"/>
    </row>
    <row r="19520" spans="1:9" x14ac:dyDescent="0.25">
      <c r="A19520">
        <v>37521</v>
      </c>
      <c r="B19520" t="s">
        <v>23023</v>
      </c>
      <c r="C19520" t="s">
        <v>2537</v>
      </c>
      <c r="D19520" s="254">
        <v>425948.98</v>
      </c>
      <c r="E19520"/>
      <c r="F19520"/>
      <c r="G19520"/>
      <c r="H19520"/>
      <c r="I19520" s="489"/>
    </row>
    <row r="19521" spans="1:9" x14ac:dyDescent="0.25">
      <c r="A19521">
        <v>37522</v>
      </c>
      <c r="B19521" t="s">
        <v>23024</v>
      </c>
      <c r="C19521" t="s">
        <v>2537</v>
      </c>
      <c r="D19521" s="254">
        <v>438763.98</v>
      </c>
      <c r="E19521"/>
      <c r="F19521"/>
      <c r="G19521"/>
      <c r="H19521"/>
      <c r="I19521" s="489"/>
    </row>
    <row r="19522" spans="1:9" x14ac:dyDescent="0.25">
      <c r="A19522">
        <v>21109</v>
      </c>
      <c r="B19522" t="s">
        <v>23025</v>
      </c>
      <c r="C19522" t="s">
        <v>2537</v>
      </c>
      <c r="D19522" s="254">
        <v>39.25</v>
      </c>
      <c r="E19522"/>
      <c r="F19522"/>
      <c r="G19522"/>
      <c r="H19522"/>
      <c r="I19522" s="489"/>
    </row>
    <row r="19523" spans="1:9" x14ac:dyDescent="0.25">
      <c r="A19523">
        <v>37546</v>
      </c>
      <c r="B19523" t="s">
        <v>23026</v>
      </c>
      <c r="C19523" t="s">
        <v>2537</v>
      </c>
      <c r="D19523" s="254">
        <v>12254.19</v>
      </c>
      <c r="E19523"/>
      <c r="F19523"/>
      <c r="G19523"/>
      <c r="H19523"/>
      <c r="I19523" s="489"/>
    </row>
    <row r="19524" spans="1:9" x14ac:dyDescent="0.25">
      <c r="A19524">
        <v>37544</v>
      </c>
      <c r="B19524" t="s">
        <v>23027</v>
      </c>
      <c r="C19524" t="s">
        <v>2537</v>
      </c>
      <c r="D19524" s="254">
        <v>12960.87</v>
      </c>
      <c r="E19524"/>
      <c r="F19524"/>
      <c r="G19524"/>
      <c r="H19524"/>
      <c r="I19524" s="489"/>
    </row>
    <row r="19525" spans="1:9" x14ac:dyDescent="0.25">
      <c r="A19525">
        <v>37545</v>
      </c>
      <c r="B19525" t="s">
        <v>23028</v>
      </c>
      <c r="C19525" t="s">
        <v>2537</v>
      </c>
      <c r="D19525" s="254">
        <v>15421.69</v>
      </c>
      <c r="E19525"/>
      <c r="F19525"/>
      <c r="G19525"/>
      <c r="H19525"/>
      <c r="I19525" s="489"/>
    </row>
    <row r="19526" spans="1:9" x14ac:dyDescent="0.25">
      <c r="A19526">
        <v>36793</v>
      </c>
      <c r="B19526" t="s">
        <v>23029</v>
      </c>
      <c r="C19526" t="s">
        <v>2537</v>
      </c>
      <c r="D19526" s="254">
        <v>761.1</v>
      </c>
      <c r="E19526"/>
      <c r="F19526"/>
      <c r="G19526"/>
      <c r="H19526"/>
      <c r="I19526" s="489"/>
    </row>
    <row r="19527" spans="1:9" x14ac:dyDescent="0.25">
      <c r="A19527">
        <v>11769</v>
      </c>
      <c r="B19527" t="s">
        <v>23030</v>
      </c>
      <c r="C19527" t="s">
        <v>2537</v>
      </c>
      <c r="D19527" s="254">
        <v>336.35</v>
      </c>
      <c r="E19527"/>
      <c r="F19527"/>
      <c r="G19527"/>
      <c r="H19527"/>
      <c r="I19527" s="489"/>
    </row>
    <row r="19528" spans="1:9" x14ac:dyDescent="0.25">
      <c r="A19528">
        <v>11771</v>
      </c>
      <c r="B19528" t="s">
        <v>23031</v>
      </c>
      <c r="C19528" t="s">
        <v>2537</v>
      </c>
      <c r="D19528" s="254">
        <v>411.98</v>
      </c>
      <c r="E19528"/>
      <c r="F19528"/>
      <c r="G19528"/>
      <c r="H19528"/>
      <c r="I19528" s="489"/>
    </row>
    <row r="19529" spans="1:9" x14ac:dyDescent="0.25">
      <c r="A19529">
        <v>39919</v>
      </c>
      <c r="B19529" t="s">
        <v>23032</v>
      </c>
      <c r="C19529" t="s">
        <v>2537</v>
      </c>
      <c r="D19529" s="254">
        <v>61339.02</v>
      </c>
      <c r="E19529"/>
      <c r="F19529"/>
      <c r="G19529"/>
      <c r="H19529"/>
      <c r="I19529" s="489"/>
    </row>
    <row r="19530" spans="1:9" x14ac:dyDescent="0.25">
      <c r="A19530">
        <v>38385</v>
      </c>
      <c r="B19530" t="s">
        <v>23033</v>
      </c>
      <c r="C19530" t="s">
        <v>2537</v>
      </c>
      <c r="D19530" s="254">
        <v>49.01</v>
      </c>
      <c r="E19530"/>
      <c r="F19530"/>
      <c r="G19530"/>
      <c r="H19530"/>
      <c r="I19530" s="489"/>
    </row>
    <row r="19531" spans="1:9" x14ac:dyDescent="0.25">
      <c r="A19531">
        <v>36800</v>
      </c>
      <c r="B19531" t="s">
        <v>23034</v>
      </c>
      <c r="C19531" t="s">
        <v>2537</v>
      </c>
      <c r="D19531" s="254">
        <v>202.1</v>
      </c>
      <c r="E19531"/>
      <c r="F19531"/>
      <c r="G19531"/>
      <c r="H19531"/>
      <c r="I19531" s="489"/>
    </row>
    <row r="19532" spans="1:9" x14ac:dyDescent="0.25">
      <c r="A19532">
        <v>37587</v>
      </c>
      <c r="B19532" t="s">
        <v>23035</v>
      </c>
      <c r="C19532" t="s">
        <v>2537</v>
      </c>
      <c r="D19532" s="254">
        <v>444.02</v>
      </c>
      <c r="E19532"/>
      <c r="F19532"/>
      <c r="G19532"/>
      <c r="H19532"/>
      <c r="I19532" s="489"/>
    </row>
    <row r="19533" spans="1:9" x14ac:dyDescent="0.25">
      <c r="A19533">
        <v>11561</v>
      </c>
      <c r="B19533" t="s">
        <v>23036</v>
      </c>
      <c r="C19533" t="s">
        <v>2537</v>
      </c>
      <c r="D19533" s="254">
        <v>243.17</v>
      </c>
      <c r="E19533"/>
      <c r="F19533"/>
      <c r="G19533"/>
      <c r="H19533"/>
      <c r="I19533" s="489"/>
    </row>
    <row r="19534" spans="1:9" x14ac:dyDescent="0.25">
      <c r="A19534">
        <v>43604</v>
      </c>
      <c r="B19534" t="s">
        <v>23037</v>
      </c>
      <c r="C19534" t="s">
        <v>2537</v>
      </c>
      <c r="D19534" s="254">
        <v>129.63999999999999</v>
      </c>
      <c r="E19534"/>
      <c r="F19534"/>
      <c r="G19534"/>
      <c r="H19534"/>
      <c r="I19534" s="489"/>
    </row>
    <row r="19535" spans="1:9" x14ac:dyDescent="0.25">
      <c r="A19535">
        <v>11560</v>
      </c>
      <c r="B19535" t="s">
        <v>23038</v>
      </c>
      <c r="C19535" t="s">
        <v>2537</v>
      </c>
      <c r="D19535" s="254">
        <v>187.69</v>
      </c>
      <c r="E19535"/>
      <c r="F19535"/>
      <c r="G19535"/>
      <c r="H19535"/>
      <c r="I19535" s="489"/>
    </row>
    <row r="19536" spans="1:9" x14ac:dyDescent="0.25">
      <c r="A19536">
        <v>11499</v>
      </c>
      <c r="B19536" t="s">
        <v>23039</v>
      </c>
      <c r="C19536" t="s">
        <v>2537</v>
      </c>
      <c r="D19536" s="254">
        <v>822.65</v>
      </c>
      <c r="E19536"/>
      <c r="F19536"/>
      <c r="G19536"/>
      <c r="H19536"/>
      <c r="I19536" s="489"/>
    </row>
    <row r="19537" spans="1:9" x14ac:dyDescent="0.25">
      <c r="A19537">
        <v>34761</v>
      </c>
      <c r="B19537" t="s">
        <v>23040</v>
      </c>
      <c r="C19537" t="s">
        <v>2538</v>
      </c>
      <c r="D19537" s="254">
        <v>26.98</v>
      </c>
      <c r="E19537"/>
      <c r="F19537"/>
      <c r="G19537"/>
      <c r="H19537"/>
      <c r="I19537" s="489"/>
    </row>
    <row r="19538" spans="1:9" x14ac:dyDescent="0.25">
      <c r="A19538">
        <v>40924</v>
      </c>
      <c r="B19538" t="s">
        <v>23041</v>
      </c>
      <c r="C19538" t="s">
        <v>2544</v>
      </c>
      <c r="D19538" s="254">
        <v>4760.8999999999996</v>
      </c>
      <c r="E19538"/>
      <c r="F19538"/>
      <c r="G19538"/>
      <c r="H19538"/>
      <c r="I19538" s="489"/>
    </row>
    <row r="19539" spans="1:9" x14ac:dyDescent="0.25">
      <c r="A19539">
        <v>40983</v>
      </c>
      <c r="B19539" t="s">
        <v>23042</v>
      </c>
      <c r="C19539" t="s">
        <v>2544</v>
      </c>
      <c r="D19539" s="254">
        <v>3654.74</v>
      </c>
      <c r="E19539"/>
      <c r="F19539"/>
      <c r="G19539"/>
      <c r="H19539"/>
      <c r="I19539" s="489"/>
    </row>
    <row r="19540" spans="1:9" x14ac:dyDescent="0.25">
      <c r="A19540">
        <v>44497</v>
      </c>
      <c r="B19540" t="s">
        <v>23043</v>
      </c>
      <c r="C19540" t="s">
        <v>2538</v>
      </c>
      <c r="D19540" s="254">
        <v>20.69</v>
      </c>
      <c r="E19540"/>
      <c r="F19540"/>
      <c r="G19540"/>
      <c r="H19540"/>
      <c r="I19540" s="489"/>
    </row>
    <row r="19541" spans="1:9" x14ac:dyDescent="0.25">
      <c r="A19541">
        <v>2437</v>
      </c>
      <c r="B19541" t="s">
        <v>23044</v>
      </c>
      <c r="C19541" t="s">
        <v>2538</v>
      </c>
      <c r="D19541" s="254">
        <v>34.25</v>
      </c>
      <c r="E19541"/>
      <c r="F19541"/>
      <c r="G19541"/>
      <c r="H19541"/>
      <c r="I19541" s="489"/>
    </row>
    <row r="19542" spans="1:9" x14ac:dyDescent="0.25">
      <c r="A19542">
        <v>40921</v>
      </c>
      <c r="B19542" t="s">
        <v>23045</v>
      </c>
      <c r="C19542" t="s">
        <v>2544</v>
      </c>
      <c r="D19542" s="254">
        <v>6043.21</v>
      </c>
      <c r="E19542"/>
      <c r="F19542"/>
      <c r="G19542"/>
      <c r="H19542"/>
      <c r="I19542" s="489"/>
    </row>
    <row r="19543" spans="1:9" x14ac:dyDescent="0.25">
      <c r="A19543">
        <v>14252</v>
      </c>
      <c r="B19543" t="s">
        <v>23046</v>
      </c>
      <c r="C19543" t="s">
        <v>2537</v>
      </c>
      <c r="D19543" s="254">
        <v>2552.4899999999998</v>
      </c>
      <c r="E19543"/>
      <c r="F19543"/>
      <c r="G19543"/>
      <c r="H19543"/>
      <c r="I19543" s="489"/>
    </row>
    <row r="19544" spans="1:9" x14ac:dyDescent="0.25">
      <c r="A19544">
        <v>730</v>
      </c>
      <c r="B19544" t="s">
        <v>23047</v>
      </c>
      <c r="C19544" t="s">
        <v>2537</v>
      </c>
      <c r="D19544" s="254">
        <v>6819.79</v>
      </c>
      <c r="E19544"/>
      <c r="F19544"/>
      <c r="G19544"/>
      <c r="H19544"/>
      <c r="I19544" s="489"/>
    </row>
    <row r="19545" spans="1:9" x14ac:dyDescent="0.25">
      <c r="A19545">
        <v>723</v>
      </c>
      <c r="B19545" t="s">
        <v>23048</v>
      </c>
      <c r="C19545" t="s">
        <v>2537</v>
      </c>
      <c r="D19545" s="254">
        <v>3389.67</v>
      </c>
      <c r="E19545"/>
      <c r="F19545"/>
      <c r="G19545"/>
      <c r="H19545"/>
      <c r="I19545" s="489"/>
    </row>
    <row r="19546" spans="1:9" x14ac:dyDescent="0.25">
      <c r="A19546">
        <v>36502</v>
      </c>
      <c r="B19546" t="s">
        <v>23049</v>
      </c>
      <c r="C19546" t="s">
        <v>2537</v>
      </c>
      <c r="D19546" s="254">
        <v>3185.89</v>
      </c>
      <c r="E19546"/>
      <c r="F19546"/>
      <c r="G19546"/>
      <c r="H19546"/>
      <c r="I19546" s="489"/>
    </row>
    <row r="19547" spans="1:9" x14ac:dyDescent="0.25">
      <c r="A19547">
        <v>36503</v>
      </c>
      <c r="B19547" t="s">
        <v>23050</v>
      </c>
      <c r="C19547" t="s">
        <v>2537</v>
      </c>
      <c r="D19547" s="254">
        <v>3928.58</v>
      </c>
      <c r="E19547"/>
      <c r="F19547"/>
      <c r="G19547"/>
      <c r="H19547"/>
      <c r="I19547" s="489"/>
    </row>
    <row r="19548" spans="1:9" x14ac:dyDescent="0.25">
      <c r="A19548">
        <v>4090</v>
      </c>
      <c r="B19548" t="s">
        <v>23051</v>
      </c>
      <c r="C19548" t="s">
        <v>2537</v>
      </c>
      <c r="D19548" s="254">
        <v>1286950</v>
      </c>
      <c r="E19548"/>
      <c r="F19548"/>
      <c r="G19548"/>
      <c r="H19548"/>
      <c r="I19548" s="489"/>
    </row>
    <row r="19549" spans="1:9" x14ac:dyDescent="0.25">
      <c r="A19549">
        <v>13227</v>
      </c>
      <c r="B19549" t="s">
        <v>23052</v>
      </c>
      <c r="C19549" t="s">
        <v>2537</v>
      </c>
      <c r="D19549" s="254">
        <v>1599195.85</v>
      </c>
      <c r="E19549"/>
      <c r="F19549"/>
      <c r="G19549"/>
      <c r="H19549"/>
      <c r="I19549" s="489"/>
    </row>
    <row r="19550" spans="1:9" x14ac:dyDescent="0.25">
      <c r="A19550">
        <v>10597</v>
      </c>
      <c r="B19550" t="s">
        <v>23053</v>
      </c>
      <c r="C19550" t="s">
        <v>2537</v>
      </c>
      <c r="D19550" s="254">
        <v>1683359.94</v>
      </c>
      <c r="E19550"/>
      <c r="F19550"/>
      <c r="G19550"/>
      <c r="H19550"/>
      <c r="I19550" s="489"/>
    </row>
    <row r="19551" spans="1:9" x14ac:dyDescent="0.25">
      <c r="A19551">
        <v>39628</v>
      </c>
      <c r="B19551" t="s">
        <v>23054</v>
      </c>
      <c r="C19551" t="s">
        <v>2537</v>
      </c>
      <c r="D19551" s="254">
        <v>5188.45</v>
      </c>
      <c r="E19551"/>
      <c r="F19551"/>
      <c r="G19551"/>
      <c r="H19551"/>
      <c r="I19551" s="489"/>
    </row>
    <row r="19552" spans="1:9" x14ac:dyDescent="0.25">
      <c r="A19552">
        <v>39404</v>
      </c>
      <c r="B19552" t="s">
        <v>23055</v>
      </c>
      <c r="C19552" t="s">
        <v>2537</v>
      </c>
      <c r="D19552" s="254">
        <v>2572.79</v>
      </c>
      <c r="E19552"/>
      <c r="F19552"/>
      <c r="G19552"/>
      <c r="H19552"/>
      <c r="I19552" s="489"/>
    </row>
    <row r="19553" spans="1:9" x14ac:dyDescent="0.25">
      <c r="A19553">
        <v>39402</v>
      </c>
      <c r="B19553" t="s">
        <v>23056</v>
      </c>
      <c r="C19553" t="s">
        <v>2537</v>
      </c>
      <c r="D19553" s="254">
        <v>2119.48</v>
      </c>
      <c r="E19553"/>
      <c r="F19553"/>
      <c r="G19553"/>
      <c r="H19553"/>
      <c r="I19553" s="489"/>
    </row>
    <row r="19554" spans="1:9" x14ac:dyDescent="0.25">
      <c r="A19554">
        <v>39403</v>
      </c>
      <c r="B19554" t="s">
        <v>23057</v>
      </c>
      <c r="C19554" t="s">
        <v>2537</v>
      </c>
      <c r="D19554" s="254">
        <v>2073.38</v>
      </c>
      <c r="E19554"/>
      <c r="F19554"/>
      <c r="G19554"/>
      <c r="H19554"/>
      <c r="I19554" s="489"/>
    </row>
    <row r="19555" spans="1:9" x14ac:dyDescent="0.25">
      <c r="A19555">
        <v>4093</v>
      </c>
      <c r="B19555" t="s">
        <v>23058</v>
      </c>
      <c r="C19555" t="s">
        <v>2538</v>
      </c>
      <c r="D19555" s="254">
        <v>20.93</v>
      </c>
      <c r="E19555"/>
      <c r="F19555"/>
      <c r="G19555"/>
      <c r="H19555"/>
      <c r="I19555" s="489"/>
    </row>
    <row r="19556" spans="1:9" x14ac:dyDescent="0.25">
      <c r="A19556">
        <v>10512</v>
      </c>
      <c r="B19556" t="s">
        <v>23059</v>
      </c>
      <c r="C19556" t="s">
        <v>2544</v>
      </c>
      <c r="D19556" s="254">
        <v>3693.3</v>
      </c>
      <c r="E19556"/>
      <c r="F19556"/>
      <c r="G19556"/>
      <c r="H19556"/>
      <c r="I19556" s="489"/>
    </row>
    <row r="19557" spans="1:9" x14ac:dyDescent="0.25">
      <c r="A19557">
        <v>20020</v>
      </c>
      <c r="B19557" t="s">
        <v>23060</v>
      </c>
      <c r="C19557" t="s">
        <v>2538</v>
      </c>
      <c r="D19557" s="254">
        <v>19.73</v>
      </c>
      <c r="E19557"/>
      <c r="F19557"/>
      <c r="G19557"/>
      <c r="H19557"/>
      <c r="I19557" s="489"/>
    </row>
    <row r="19558" spans="1:9" x14ac:dyDescent="0.25">
      <c r="A19558">
        <v>41038</v>
      </c>
      <c r="B19558" t="s">
        <v>23061</v>
      </c>
      <c r="C19558" t="s">
        <v>2544</v>
      </c>
      <c r="D19558" s="254">
        <v>3483.72</v>
      </c>
      <c r="E19558"/>
      <c r="F19558"/>
      <c r="G19558"/>
      <c r="H19558"/>
      <c r="I19558" s="489"/>
    </row>
    <row r="19559" spans="1:9" x14ac:dyDescent="0.25">
      <c r="A19559">
        <v>4094</v>
      </c>
      <c r="B19559" t="s">
        <v>23062</v>
      </c>
      <c r="C19559" t="s">
        <v>2538</v>
      </c>
      <c r="D19559" s="254">
        <v>27.94</v>
      </c>
      <c r="E19559"/>
      <c r="F19559"/>
      <c r="G19559"/>
      <c r="H19559"/>
      <c r="I19559" s="489"/>
    </row>
    <row r="19560" spans="1:9" x14ac:dyDescent="0.25">
      <c r="A19560">
        <v>40988</v>
      </c>
      <c r="B19560" t="s">
        <v>23063</v>
      </c>
      <c r="C19560" t="s">
        <v>2544</v>
      </c>
      <c r="D19560" s="254">
        <v>4932.17</v>
      </c>
      <c r="E19560"/>
      <c r="F19560"/>
      <c r="G19560"/>
      <c r="H19560"/>
      <c r="I19560" s="489"/>
    </row>
    <row r="19561" spans="1:9" x14ac:dyDescent="0.25">
      <c r="A19561">
        <v>4095</v>
      </c>
      <c r="B19561" t="s">
        <v>23064</v>
      </c>
      <c r="C19561" t="s">
        <v>2538</v>
      </c>
      <c r="D19561" s="254">
        <v>22.48</v>
      </c>
      <c r="E19561"/>
      <c r="F19561"/>
      <c r="G19561"/>
      <c r="H19561"/>
      <c r="I19561" s="489"/>
    </row>
    <row r="19562" spans="1:9" x14ac:dyDescent="0.25">
      <c r="A19562">
        <v>40990</v>
      </c>
      <c r="B19562" t="s">
        <v>23065</v>
      </c>
      <c r="C19562" t="s">
        <v>2544</v>
      </c>
      <c r="D19562" s="254">
        <v>3970.72</v>
      </c>
      <c r="E19562"/>
      <c r="F19562"/>
      <c r="G19562"/>
      <c r="H19562"/>
      <c r="I19562" s="489"/>
    </row>
    <row r="19563" spans="1:9" x14ac:dyDescent="0.25">
      <c r="A19563">
        <v>4097</v>
      </c>
      <c r="B19563" t="s">
        <v>23066</v>
      </c>
      <c r="C19563" t="s">
        <v>2538</v>
      </c>
      <c r="D19563" s="254">
        <v>22.23</v>
      </c>
      <c r="E19563"/>
      <c r="F19563"/>
      <c r="G19563"/>
      <c r="H19563"/>
      <c r="I19563" s="489"/>
    </row>
    <row r="19564" spans="1:9" x14ac:dyDescent="0.25">
      <c r="A19564">
        <v>40994</v>
      </c>
      <c r="B19564" t="s">
        <v>23067</v>
      </c>
      <c r="C19564" t="s">
        <v>2544</v>
      </c>
      <c r="D19564" s="254">
        <v>3924.85</v>
      </c>
      <c r="E19564"/>
      <c r="F19564"/>
      <c r="G19564"/>
      <c r="H19564"/>
      <c r="I19564" s="489"/>
    </row>
    <row r="19565" spans="1:9" x14ac:dyDescent="0.25">
      <c r="A19565">
        <v>4096</v>
      </c>
      <c r="B19565" t="s">
        <v>23068</v>
      </c>
      <c r="C19565" t="s">
        <v>2538</v>
      </c>
      <c r="D19565" s="254">
        <v>23.06</v>
      </c>
      <c r="E19565"/>
      <c r="F19565"/>
      <c r="G19565"/>
      <c r="H19565"/>
      <c r="I19565" s="489"/>
    </row>
    <row r="19566" spans="1:9" x14ac:dyDescent="0.25">
      <c r="A19566">
        <v>40992</v>
      </c>
      <c r="B19566" t="s">
        <v>23069</v>
      </c>
      <c r="C19566" t="s">
        <v>2544</v>
      </c>
      <c r="D19566" s="254">
        <v>4072.32</v>
      </c>
      <c r="E19566"/>
      <c r="F19566"/>
      <c r="G19566"/>
      <c r="H19566"/>
      <c r="I19566" s="489"/>
    </row>
    <row r="19567" spans="1:9" x14ac:dyDescent="0.25">
      <c r="A19567">
        <v>4114</v>
      </c>
      <c r="B19567" t="s">
        <v>23070</v>
      </c>
      <c r="C19567" t="s">
        <v>2537</v>
      </c>
      <c r="D19567" s="254">
        <v>67.33</v>
      </c>
      <c r="E19567"/>
      <c r="F19567"/>
      <c r="G19567"/>
      <c r="H19567"/>
      <c r="I19567" s="489"/>
    </row>
    <row r="19568" spans="1:9" x14ac:dyDescent="0.25">
      <c r="A19568">
        <v>36797</v>
      </c>
      <c r="B19568" t="s">
        <v>23071</v>
      </c>
      <c r="C19568" t="s">
        <v>2537</v>
      </c>
      <c r="D19568" s="254">
        <v>59.95</v>
      </c>
      <c r="E19568"/>
      <c r="F19568"/>
      <c r="G19568"/>
      <c r="H19568"/>
      <c r="I19568" s="489"/>
    </row>
    <row r="19569" spans="1:9" x14ac:dyDescent="0.25">
      <c r="A19569">
        <v>4107</v>
      </c>
      <c r="B19569" t="s">
        <v>23072</v>
      </c>
      <c r="C19569" t="s">
        <v>2537</v>
      </c>
      <c r="D19569" s="254">
        <v>56.53</v>
      </c>
      <c r="E19569"/>
      <c r="F19569"/>
      <c r="G19569"/>
      <c r="H19569"/>
      <c r="I19569" s="489"/>
    </row>
    <row r="19570" spans="1:9" x14ac:dyDescent="0.25">
      <c r="A19570">
        <v>4102</v>
      </c>
      <c r="B19570" t="s">
        <v>23073</v>
      </c>
      <c r="C19570" t="s">
        <v>2537</v>
      </c>
      <c r="D19570" s="254">
        <v>69</v>
      </c>
      <c r="E19570"/>
      <c r="F19570"/>
      <c r="G19570"/>
      <c r="H19570"/>
      <c r="I19570" s="489"/>
    </row>
    <row r="19571" spans="1:9" x14ac:dyDescent="0.25">
      <c r="A19571">
        <v>36799</v>
      </c>
      <c r="B19571" t="s">
        <v>23074</v>
      </c>
      <c r="C19571" t="s">
        <v>2537</v>
      </c>
      <c r="D19571" s="254">
        <v>58.19</v>
      </c>
      <c r="E19571"/>
      <c r="F19571"/>
      <c r="G19571"/>
      <c r="H19571"/>
      <c r="I19571" s="489"/>
    </row>
    <row r="19572" spans="1:9" x14ac:dyDescent="0.25">
      <c r="A19572">
        <v>2747</v>
      </c>
      <c r="B19572" t="s">
        <v>23075</v>
      </c>
      <c r="C19572" t="s">
        <v>2541</v>
      </c>
      <c r="D19572" s="254">
        <v>28.67</v>
      </c>
      <c r="E19572"/>
      <c r="F19572"/>
      <c r="G19572"/>
      <c r="H19572"/>
      <c r="I19572" s="489"/>
    </row>
    <row r="19573" spans="1:9" x14ac:dyDescent="0.25">
      <c r="A19573">
        <v>21138</v>
      </c>
      <c r="B19573" t="s">
        <v>23076</v>
      </c>
      <c r="C19573" t="s">
        <v>2541</v>
      </c>
      <c r="D19573" s="254">
        <v>9.09</v>
      </c>
      <c r="E19573"/>
      <c r="F19573"/>
      <c r="G19573"/>
      <c r="H19573"/>
      <c r="I19573" s="489"/>
    </row>
    <row r="19574" spans="1:9" x14ac:dyDescent="0.25">
      <c r="A19574">
        <v>10826</v>
      </c>
      <c r="B19574" t="s">
        <v>23077</v>
      </c>
      <c r="C19574" t="s">
        <v>2537</v>
      </c>
      <c r="D19574" s="254">
        <v>57.47</v>
      </c>
      <c r="E19574"/>
      <c r="F19574"/>
      <c r="G19574"/>
      <c r="H19574"/>
      <c r="I19574" s="489"/>
    </row>
    <row r="19575" spans="1:9" x14ac:dyDescent="0.25">
      <c r="A19575">
        <v>365</v>
      </c>
      <c r="B19575" t="s">
        <v>23078</v>
      </c>
      <c r="C19575" t="s">
        <v>2537</v>
      </c>
      <c r="D19575" s="254">
        <v>35.630000000000003</v>
      </c>
      <c r="E19575"/>
      <c r="F19575"/>
      <c r="G19575"/>
      <c r="H19575"/>
      <c r="I19575" s="489"/>
    </row>
    <row r="19576" spans="1:9" x14ac:dyDescent="0.25">
      <c r="A19576">
        <v>38639</v>
      </c>
      <c r="B19576" t="s">
        <v>23079</v>
      </c>
      <c r="C19576" t="s">
        <v>2537</v>
      </c>
      <c r="D19576" s="254">
        <v>137.93</v>
      </c>
      <c r="E19576"/>
      <c r="F19576"/>
      <c r="G19576"/>
      <c r="H19576"/>
      <c r="I19576" s="489"/>
    </row>
    <row r="19577" spans="1:9" x14ac:dyDescent="0.25">
      <c r="A19577">
        <v>38640</v>
      </c>
      <c r="B19577" t="s">
        <v>23080</v>
      </c>
      <c r="C19577" t="s">
        <v>2537</v>
      </c>
      <c r="D19577" s="254">
        <v>2.06</v>
      </c>
      <c r="E19577"/>
      <c r="F19577"/>
      <c r="G19577"/>
      <c r="H19577"/>
      <c r="I19577" s="489"/>
    </row>
    <row r="19578" spans="1:9" x14ac:dyDescent="0.25">
      <c r="A19578">
        <v>358</v>
      </c>
      <c r="B19578" t="s">
        <v>23081</v>
      </c>
      <c r="C19578" t="s">
        <v>2537</v>
      </c>
      <c r="D19578" s="254">
        <v>42.52</v>
      </c>
      <c r="E19578"/>
      <c r="F19578"/>
      <c r="G19578"/>
      <c r="H19578"/>
      <c r="I19578" s="489"/>
    </row>
    <row r="19579" spans="1:9" x14ac:dyDescent="0.25">
      <c r="A19579">
        <v>359</v>
      </c>
      <c r="B19579" t="s">
        <v>23082</v>
      </c>
      <c r="C19579" t="s">
        <v>2537</v>
      </c>
      <c r="D19579" s="254">
        <v>87.35</v>
      </c>
      <c r="E19579"/>
      <c r="F19579"/>
      <c r="G19579"/>
      <c r="H19579"/>
      <c r="I19579" s="489"/>
    </row>
    <row r="19580" spans="1:9" x14ac:dyDescent="0.25">
      <c r="A19580">
        <v>38641</v>
      </c>
      <c r="B19580" t="s">
        <v>23083</v>
      </c>
      <c r="C19580" t="s">
        <v>2537</v>
      </c>
      <c r="D19580" s="254">
        <v>86.2</v>
      </c>
      <c r="E19580"/>
      <c r="F19580"/>
      <c r="G19580"/>
      <c r="H19580"/>
      <c r="I19580" s="489"/>
    </row>
    <row r="19581" spans="1:9" x14ac:dyDescent="0.25">
      <c r="A19581">
        <v>360</v>
      </c>
      <c r="B19581" t="s">
        <v>23084</v>
      </c>
      <c r="C19581" t="s">
        <v>2537</v>
      </c>
      <c r="D19581" s="254">
        <v>2</v>
      </c>
      <c r="E19581"/>
      <c r="F19581"/>
      <c r="G19581"/>
      <c r="H19581"/>
      <c r="I19581" s="489"/>
    </row>
    <row r="19582" spans="1:9" x14ac:dyDescent="0.25">
      <c r="A19582">
        <v>42430</v>
      </c>
      <c r="B19582" t="s">
        <v>23085</v>
      </c>
      <c r="C19582" t="s">
        <v>2537</v>
      </c>
      <c r="D19582" s="254">
        <v>6377.55</v>
      </c>
      <c r="E19582"/>
      <c r="F19582"/>
      <c r="G19582"/>
      <c r="H19582"/>
      <c r="I19582" s="489"/>
    </row>
    <row r="19583" spans="1:9" x14ac:dyDescent="0.25">
      <c r="A19583">
        <v>4214</v>
      </c>
      <c r="B19583" t="s">
        <v>23086</v>
      </c>
      <c r="C19583" t="s">
        <v>2537</v>
      </c>
      <c r="D19583" s="254">
        <v>11.61</v>
      </c>
      <c r="E19583"/>
      <c r="F19583"/>
      <c r="G19583"/>
      <c r="H19583"/>
      <c r="I19583" s="489"/>
    </row>
    <row r="19584" spans="1:9" x14ac:dyDescent="0.25">
      <c r="A19584">
        <v>4215</v>
      </c>
      <c r="B19584" t="s">
        <v>23087</v>
      </c>
      <c r="C19584" t="s">
        <v>2537</v>
      </c>
      <c r="D19584" s="254">
        <v>7.64</v>
      </c>
      <c r="E19584"/>
      <c r="F19584"/>
      <c r="G19584"/>
      <c r="H19584"/>
      <c r="I19584" s="489"/>
    </row>
    <row r="19585" spans="1:9" x14ac:dyDescent="0.25">
      <c r="A19585">
        <v>4210</v>
      </c>
      <c r="B19585" t="s">
        <v>23088</v>
      </c>
      <c r="C19585" t="s">
        <v>2537</v>
      </c>
      <c r="D19585" s="254">
        <v>1.28</v>
      </c>
      <c r="E19585"/>
      <c r="F19585"/>
      <c r="G19585"/>
      <c r="H19585"/>
      <c r="I19585" s="489"/>
    </row>
    <row r="19586" spans="1:9" x14ac:dyDescent="0.25">
      <c r="A19586">
        <v>4212</v>
      </c>
      <c r="B19586" t="s">
        <v>23089</v>
      </c>
      <c r="C19586" t="s">
        <v>2537</v>
      </c>
      <c r="D19586" s="254">
        <v>3.69</v>
      </c>
      <c r="E19586"/>
      <c r="F19586"/>
      <c r="G19586"/>
      <c r="H19586"/>
      <c r="I19586" s="489"/>
    </row>
    <row r="19587" spans="1:9" x14ac:dyDescent="0.25">
      <c r="A19587">
        <v>4213</v>
      </c>
      <c r="B19587" t="s">
        <v>23090</v>
      </c>
      <c r="C19587" t="s">
        <v>2537</v>
      </c>
      <c r="D19587" s="254">
        <v>16.489999999999998</v>
      </c>
      <c r="E19587"/>
      <c r="F19587"/>
      <c r="G19587"/>
      <c r="H19587"/>
      <c r="I19587" s="489"/>
    </row>
    <row r="19588" spans="1:9" x14ac:dyDescent="0.25">
      <c r="A19588">
        <v>4211</v>
      </c>
      <c r="B19588" t="s">
        <v>23091</v>
      </c>
      <c r="C19588" t="s">
        <v>2537</v>
      </c>
      <c r="D19588" s="254">
        <v>1.84</v>
      </c>
      <c r="E19588"/>
      <c r="F19588"/>
      <c r="G19588"/>
      <c r="H19588"/>
      <c r="I19588" s="489"/>
    </row>
    <row r="19589" spans="1:9" x14ac:dyDescent="0.25">
      <c r="A19589">
        <v>4209</v>
      </c>
      <c r="B19589" t="s">
        <v>23092</v>
      </c>
      <c r="C19589" t="s">
        <v>2537</v>
      </c>
      <c r="D19589" s="254">
        <v>23.7</v>
      </c>
      <c r="E19589"/>
      <c r="F19589"/>
      <c r="G19589"/>
      <c r="H19589"/>
      <c r="I19589" s="489"/>
    </row>
    <row r="19590" spans="1:9" x14ac:dyDescent="0.25">
      <c r="A19590">
        <v>4180</v>
      </c>
      <c r="B19590" t="s">
        <v>23093</v>
      </c>
      <c r="C19590" t="s">
        <v>2537</v>
      </c>
      <c r="D19590" s="254">
        <v>17.84</v>
      </c>
      <c r="E19590"/>
      <c r="F19590"/>
      <c r="G19590"/>
      <c r="H19590"/>
      <c r="I19590" s="489"/>
    </row>
    <row r="19591" spans="1:9" x14ac:dyDescent="0.25">
      <c r="A19591">
        <v>4177</v>
      </c>
      <c r="B19591" t="s">
        <v>23094</v>
      </c>
      <c r="C19591" t="s">
        <v>2537</v>
      </c>
      <c r="D19591" s="254">
        <v>5.92</v>
      </c>
      <c r="E19591"/>
      <c r="F19591"/>
      <c r="G19591"/>
      <c r="H19591"/>
      <c r="I19591" s="489"/>
    </row>
    <row r="19592" spans="1:9" x14ac:dyDescent="0.25">
      <c r="A19592">
        <v>4179</v>
      </c>
      <c r="B19592" t="s">
        <v>23095</v>
      </c>
      <c r="C19592" t="s">
        <v>2537</v>
      </c>
      <c r="D19592" s="254">
        <v>12.11</v>
      </c>
      <c r="E19592"/>
      <c r="F19592"/>
      <c r="G19592"/>
      <c r="H19592"/>
      <c r="I19592" s="489"/>
    </row>
    <row r="19593" spans="1:9" x14ac:dyDescent="0.25">
      <c r="A19593">
        <v>4208</v>
      </c>
      <c r="B19593" t="s">
        <v>23096</v>
      </c>
      <c r="C19593" t="s">
        <v>2537</v>
      </c>
      <c r="D19593" s="254">
        <v>56.4</v>
      </c>
      <c r="E19593"/>
      <c r="F19593"/>
      <c r="G19593"/>
      <c r="H19593"/>
      <c r="I19593" s="489"/>
    </row>
    <row r="19594" spans="1:9" x14ac:dyDescent="0.25">
      <c r="A19594">
        <v>4181</v>
      </c>
      <c r="B19594" t="s">
        <v>23097</v>
      </c>
      <c r="C19594" t="s">
        <v>2537</v>
      </c>
      <c r="D19594" s="254">
        <v>36.85</v>
      </c>
      <c r="E19594"/>
      <c r="F19594"/>
      <c r="G19594"/>
      <c r="H19594"/>
      <c r="I19594" s="489"/>
    </row>
    <row r="19595" spans="1:9" x14ac:dyDescent="0.25">
      <c r="A19595">
        <v>4178</v>
      </c>
      <c r="B19595" t="s">
        <v>23098</v>
      </c>
      <c r="C19595" t="s">
        <v>2537</v>
      </c>
      <c r="D19595" s="254">
        <v>8.2100000000000009</v>
      </c>
      <c r="E19595"/>
      <c r="F19595"/>
      <c r="G19595"/>
      <c r="H19595"/>
      <c r="I19595" s="489"/>
    </row>
    <row r="19596" spans="1:9" x14ac:dyDescent="0.25">
      <c r="A19596">
        <v>4182</v>
      </c>
      <c r="B19596" t="s">
        <v>23099</v>
      </c>
      <c r="C19596" t="s">
        <v>2537</v>
      </c>
      <c r="D19596" s="254">
        <v>91.75</v>
      </c>
      <c r="E19596"/>
      <c r="F19596"/>
      <c r="G19596"/>
      <c r="H19596"/>
      <c r="I19596" s="489"/>
    </row>
    <row r="19597" spans="1:9" x14ac:dyDescent="0.25">
      <c r="A19597">
        <v>4183</v>
      </c>
      <c r="B19597" t="s">
        <v>23100</v>
      </c>
      <c r="C19597" t="s">
        <v>2537</v>
      </c>
      <c r="D19597" s="254">
        <v>147.72</v>
      </c>
      <c r="E19597"/>
      <c r="F19597"/>
      <c r="G19597"/>
      <c r="H19597"/>
      <c r="I19597" s="489"/>
    </row>
    <row r="19598" spans="1:9" x14ac:dyDescent="0.25">
      <c r="A19598">
        <v>4184</v>
      </c>
      <c r="B19598" t="s">
        <v>23101</v>
      </c>
      <c r="C19598" t="s">
        <v>2537</v>
      </c>
      <c r="D19598" s="254">
        <v>326.07</v>
      </c>
      <c r="E19598"/>
      <c r="F19598"/>
      <c r="G19598"/>
      <c r="H19598"/>
      <c r="I19598" s="489"/>
    </row>
    <row r="19599" spans="1:9" x14ac:dyDescent="0.25">
      <c r="A19599">
        <v>4185</v>
      </c>
      <c r="B19599" t="s">
        <v>23102</v>
      </c>
      <c r="C19599" t="s">
        <v>2537</v>
      </c>
      <c r="D19599" s="254">
        <v>541.79</v>
      </c>
      <c r="E19599"/>
      <c r="F19599"/>
      <c r="G19599"/>
      <c r="H19599"/>
      <c r="I19599" s="489"/>
    </row>
    <row r="19600" spans="1:9" x14ac:dyDescent="0.25">
      <c r="A19600">
        <v>4205</v>
      </c>
      <c r="B19600" t="s">
        <v>23103</v>
      </c>
      <c r="C19600" t="s">
        <v>2537</v>
      </c>
      <c r="D19600" s="254">
        <v>31.29</v>
      </c>
      <c r="E19600"/>
      <c r="F19600"/>
      <c r="G19600"/>
      <c r="H19600"/>
      <c r="I19600" s="489"/>
    </row>
    <row r="19601" spans="1:9" x14ac:dyDescent="0.25">
      <c r="A19601">
        <v>4192</v>
      </c>
      <c r="B19601" t="s">
        <v>23104</v>
      </c>
      <c r="C19601" t="s">
        <v>2537</v>
      </c>
      <c r="D19601" s="254">
        <v>31.29</v>
      </c>
      <c r="E19601"/>
      <c r="F19601"/>
      <c r="G19601"/>
      <c r="H19601"/>
      <c r="I19601" s="489"/>
    </row>
    <row r="19602" spans="1:9" x14ac:dyDescent="0.25">
      <c r="A19602">
        <v>4191</v>
      </c>
      <c r="B19602" t="s">
        <v>23105</v>
      </c>
      <c r="C19602" t="s">
        <v>2537</v>
      </c>
      <c r="D19602" s="254">
        <v>31.29</v>
      </c>
      <c r="E19602"/>
      <c r="F19602"/>
      <c r="G19602"/>
      <c r="H19602"/>
      <c r="I19602" s="489"/>
    </row>
    <row r="19603" spans="1:9" x14ac:dyDescent="0.25">
      <c r="A19603">
        <v>4207</v>
      </c>
      <c r="B19603" t="s">
        <v>23106</v>
      </c>
      <c r="C19603" t="s">
        <v>2537</v>
      </c>
      <c r="D19603" s="254">
        <v>25.18</v>
      </c>
      <c r="E19603"/>
      <c r="F19603"/>
      <c r="G19603"/>
      <c r="H19603"/>
      <c r="I19603" s="489"/>
    </row>
    <row r="19604" spans="1:9" x14ac:dyDescent="0.25">
      <c r="A19604">
        <v>4206</v>
      </c>
      <c r="B19604" t="s">
        <v>23107</v>
      </c>
      <c r="C19604" t="s">
        <v>2537</v>
      </c>
      <c r="D19604" s="254">
        <v>24.45</v>
      </c>
      <c r="E19604"/>
      <c r="F19604"/>
      <c r="G19604"/>
      <c r="H19604"/>
      <c r="I19604" s="489"/>
    </row>
    <row r="19605" spans="1:9" x14ac:dyDescent="0.25">
      <c r="A19605">
        <v>4190</v>
      </c>
      <c r="B19605" t="s">
        <v>23108</v>
      </c>
      <c r="C19605" t="s">
        <v>2537</v>
      </c>
      <c r="D19605" s="254">
        <v>24.45</v>
      </c>
      <c r="E19605"/>
      <c r="F19605"/>
      <c r="G19605"/>
      <c r="H19605"/>
      <c r="I19605" s="489"/>
    </row>
    <row r="19606" spans="1:9" x14ac:dyDescent="0.25">
      <c r="A19606">
        <v>4186</v>
      </c>
      <c r="B19606" t="s">
        <v>23109</v>
      </c>
      <c r="C19606" t="s">
        <v>2537</v>
      </c>
      <c r="D19606" s="254">
        <v>7.23</v>
      </c>
      <c r="E19606"/>
      <c r="F19606"/>
      <c r="G19606"/>
      <c r="H19606"/>
      <c r="I19606" s="489"/>
    </row>
    <row r="19607" spans="1:9" x14ac:dyDescent="0.25">
      <c r="A19607">
        <v>4188</v>
      </c>
      <c r="B19607" t="s">
        <v>23110</v>
      </c>
      <c r="C19607" t="s">
        <v>2537</v>
      </c>
      <c r="D19607" s="254">
        <v>14.75</v>
      </c>
      <c r="E19607"/>
      <c r="F19607"/>
      <c r="G19607"/>
      <c r="H19607"/>
      <c r="I19607" s="489"/>
    </row>
    <row r="19608" spans="1:9" x14ac:dyDescent="0.25">
      <c r="A19608">
        <v>4189</v>
      </c>
      <c r="B19608" t="s">
        <v>23111</v>
      </c>
      <c r="C19608" t="s">
        <v>2537</v>
      </c>
      <c r="D19608" s="254">
        <v>14.75</v>
      </c>
      <c r="E19608"/>
      <c r="F19608"/>
      <c r="G19608"/>
      <c r="H19608"/>
      <c r="I19608" s="489"/>
    </row>
    <row r="19609" spans="1:9" x14ac:dyDescent="0.25">
      <c r="A19609">
        <v>4197</v>
      </c>
      <c r="B19609" t="s">
        <v>23112</v>
      </c>
      <c r="C19609" t="s">
        <v>2537</v>
      </c>
      <c r="D19609" s="254">
        <v>78.12</v>
      </c>
      <c r="E19609"/>
      <c r="F19609"/>
      <c r="G19609"/>
      <c r="H19609"/>
      <c r="I19609" s="489"/>
    </row>
    <row r="19610" spans="1:9" x14ac:dyDescent="0.25">
      <c r="A19610">
        <v>4194</v>
      </c>
      <c r="B19610" t="s">
        <v>23113</v>
      </c>
      <c r="C19610" t="s">
        <v>2537</v>
      </c>
      <c r="D19610" s="254">
        <v>47.21</v>
      </c>
      <c r="E19610"/>
      <c r="F19610"/>
      <c r="G19610"/>
      <c r="H19610"/>
      <c r="I19610" s="489"/>
    </row>
    <row r="19611" spans="1:9" x14ac:dyDescent="0.25">
      <c r="A19611">
        <v>4193</v>
      </c>
      <c r="B19611" t="s">
        <v>23114</v>
      </c>
      <c r="C19611" t="s">
        <v>2537</v>
      </c>
      <c r="D19611" s="254">
        <v>47.21</v>
      </c>
      <c r="E19611"/>
      <c r="F19611"/>
      <c r="G19611"/>
      <c r="H19611"/>
      <c r="I19611" s="489"/>
    </row>
    <row r="19612" spans="1:9" x14ac:dyDescent="0.25">
      <c r="A19612">
        <v>4204</v>
      </c>
      <c r="B19612" t="s">
        <v>23115</v>
      </c>
      <c r="C19612" t="s">
        <v>2537</v>
      </c>
      <c r="D19612" s="254">
        <v>47.21</v>
      </c>
      <c r="E19612"/>
      <c r="F19612"/>
      <c r="G19612"/>
      <c r="H19612"/>
      <c r="I19612" s="489"/>
    </row>
    <row r="19613" spans="1:9" x14ac:dyDescent="0.25">
      <c r="A19613">
        <v>4187</v>
      </c>
      <c r="B19613" t="s">
        <v>23116</v>
      </c>
      <c r="C19613" t="s">
        <v>2537</v>
      </c>
      <c r="D19613" s="254">
        <v>9.41</v>
      </c>
      <c r="E19613"/>
      <c r="F19613"/>
      <c r="G19613"/>
      <c r="H19613"/>
      <c r="I19613" s="489"/>
    </row>
    <row r="19614" spans="1:9" x14ac:dyDescent="0.25">
      <c r="A19614">
        <v>4202</v>
      </c>
      <c r="B19614" t="s">
        <v>23117</v>
      </c>
      <c r="C19614" t="s">
        <v>2537</v>
      </c>
      <c r="D19614" s="254">
        <v>142.68</v>
      </c>
      <c r="E19614"/>
      <c r="F19614"/>
      <c r="G19614"/>
      <c r="H19614"/>
      <c r="I19614" s="489"/>
    </row>
    <row r="19615" spans="1:9" x14ac:dyDescent="0.25">
      <c r="A19615">
        <v>4203</v>
      </c>
      <c r="B19615" t="s">
        <v>23118</v>
      </c>
      <c r="C19615" t="s">
        <v>2537</v>
      </c>
      <c r="D19615" s="254">
        <v>126.01</v>
      </c>
      <c r="E19615"/>
      <c r="F19615"/>
      <c r="G19615"/>
      <c r="H19615"/>
      <c r="I19615" s="489"/>
    </row>
    <row r="19616" spans="1:9" x14ac:dyDescent="0.25">
      <c r="A19616">
        <v>40368</v>
      </c>
      <c r="B19616" t="s">
        <v>23119</v>
      </c>
      <c r="C19616" t="s">
        <v>2537</v>
      </c>
      <c r="D19616" s="254">
        <v>61.77</v>
      </c>
      <c r="E19616"/>
      <c r="F19616"/>
      <c r="G19616"/>
      <c r="H19616"/>
      <c r="I19616" s="489"/>
    </row>
    <row r="19617" spans="1:9" x14ac:dyDescent="0.25">
      <c r="A19617">
        <v>40365</v>
      </c>
      <c r="B19617" t="s">
        <v>23120</v>
      </c>
      <c r="C19617" t="s">
        <v>2537</v>
      </c>
      <c r="D19617" s="254">
        <v>41.67</v>
      </c>
      <c r="E19617"/>
      <c r="F19617"/>
      <c r="G19617"/>
      <c r="H19617"/>
      <c r="I19617" s="489"/>
    </row>
    <row r="19618" spans="1:9" x14ac:dyDescent="0.25">
      <c r="A19618">
        <v>40356</v>
      </c>
      <c r="B19618" t="s">
        <v>23121</v>
      </c>
      <c r="C19618" t="s">
        <v>2537</v>
      </c>
      <c r="D19618" s="254">
        <v>14.24</v>
      </c>
      <c r="E19618"/>
      <c r="F19618"/>
      <c r="G19618"/>
      <c r="H19618"/>
      <c r="I19618" s="489"/>
    </row>
    <row r="19619" spans="1:9" x14ac:dyDescent="0.25">
      <c r="A19619">
        <v>40362</v>
      </c>
      <c r="B19619" t="s">
        <v>23122</v>
      </c>
      <c r="C19619" t="s">
        <v>2537</v>
      </c>
      <c r="D19619" s="254">
        <v>27.6</v>
      </c>
      <c r="E19619"/>
      <c r="F19619"/>
      <c r="G19619"/>
      <c r="H19619"/>
      <c r="I19619" s="489"/>
    </row>
    <row r="19620" spans="1:9" x14ac:dyDescent="0.25">
      <c r="A19620">
        <v>40374</v>
      </c>
      <c r="B19620" t="s">
        <v>23123</v>
      </c>
      <c r="C19620" t="s">
        <v>2537</v>
      </c>
      <c r="D19620" s="254">
        <v>161.44999999999999</v>
      </c>
      <c r="E19620"/>
      <c r="F19620"/>
      <c r="G19620"/>
      <c r="H19620"/>
      <c r="I19620" s="489"/>
    </row>
    <row r="19621" spans="1:9" x14ac:dyDescent="0.25">
      <c r="A19621">
        <v>40371</v>
      </c>
      <c r="B19621" t="s">
        <v>23124</v>
      </c>
      <c r="C19621" t="s">
        <v>2537</v>
      </c>
      <c r="D19621" s="254">
        <v>101.63</v>
      </c>
      <c r="E19621"/>
      <c r="F19621"/>
      <c r="G19621"/>
      <c r="H19621"/>
      <c r="I19621" s="489"/>
    </row>
    <row r="19622" spans="1:9" x14ac:dyDescent="0.25">
      <c r="A19622">
        <v>40359</v>
      </c>
      <c r="B19622" t="s">
        <v>23125</v>
      </c>
      <c r="C19622" t="s">
        <v>2537</v>
      </c>
      <c r="D19622" s="254">
        <v>18.39</v>
      </c>
      <c r="E19622"/>
      <c r="F19622"/>
      <c r="G19622"/>
      <c r="H19622"/>
      <c r="I19622" s="489"/>
    </row>
    <row r="19623" spans="1:9" x14ac:dyDescent="0.25">
      <c r="A19623">
        <v>7595</v>
      </c>
      <c r="B19623" t="s">
        <v>23126</v>
      </c>
      <c r="C19623" t="s">
        <v>2538</v>
      </c>
      <c r="D19623" s="254">
        <v>14.6</v>
      </c>
      <c r="E19623"/>
      <c r="F19623"/>
      <c r="G19623"/>
      <c r="H19623"/>
      <c r="I19623" s="489"/>
    </row>
    <row r="19624" spans="1:9" x14ac:dyDescent="0.25">
      <c r="A19624">
        <v>41094</v>
      </c>
      <c r="B19624" t="s">
        <v>23127</v>
      </c>
      <c r="C19624" t="s">
        <v>2544</v>
      </c>
      <c r="D19624" s="254">
        <v>2577.98</v>
      </c>
      <c r="E19624"/>
      <c r="F19624"/>
      <c r="G19624"/>
      <c r="H19624"/>
      <c r="I19624" s="489"/>
    </row>
    <row r="19625" spans="1:9" x14ac:dyDescent="0.25">
      <c r="A19625">
        <v>39609</v>
      </c>
      <c r="B19625" t="s">
        <v>23128</v>
      </c>
      <c r="C19625" t="s">
        <v>2537</v>
      </c>
      <c r="D19625" s="254">
        <v>70502.3</v>
      </c>
      <c r="E19625"/>
      <c r="F19625"/>
      <c r="G19625"/>
      <c r="H19625"/>
      <c r="I19625" s="489"/>
    </row>
    <row r="19626" spans="1:9" x14ac:dyDescent="0.25">
      <c r="A19626">
        <v>39610</v>
      </c>
      <c r="B19626" t="s">
        <v>23129</v>
      </c>
      <c r="C19626" t="s">
        <v>2537</v>
      </c>
      <c r="D19626" s="254">
        <v>102911.36</v>
      </c>
      <c r="E19626"/>
      <c r="F19626"/>
      <c r="G19626"/>
      <c r="H19626"/>
      <c r="I19626" s="489"/>
    </row>
    <row r="19627" spans="1:9" x14ac:dyDescent="0.25">
      <c r="A19627">
        <v>39611</v>
      </c>
      <c r="B19627" t="s">
        <v>23130</v>
      </c>
      <c r="C19627" t="s">
        <v>2537</v>
      </c>
      <c r="D19627" s="254">
        <v>124539.59</v>
      </c>
      <c r="E19627"/>
      <c r="F19627"/>
      <c r="G19627"/>
      <c r="H19627"/>
      <c r="I19627" s="489"/>
    </row>
    <row r="19628" spans="1:9" x14ac:dyDescent="0.25">
      <c r="A19628">
        <v>39612</v>
      </c>
      <c r="B19628" t="s">
        <v>23131</v>
      </c>
      <c r="C19628" t="s">
        <v>2537</v>
      </c>
      <c r="D19628" s="254">
        <v>195094.08</v>
      </c>
      <c r="E19628"/>
      <c r="F19628"/>
      <c r="G19628"/>
      <c r="H19628"/>
      <c r="I19628" s="489"/>
    </row>
    <row r="19629" spans="1:9" x14ac:dyDescent="0.25">
      <c r="A19629">
        <v>39608</v>
      </c>
      <c r="B19629" t="s">
        <v>23132</v>
      </c>
      <c r="C19629" t="s">
        <v>2537</v>
      </c>
      <c r="D19629" s="254">
        <v>56372.9</v>
      </c>
      <c r="E19629"/>
      <c r="F19629"/>
      <c r="G19629"/>
      <c r="H19629"/>
      <c r="I19629" s="489"/>
    </row>
    <row r="19630" spans="1:9" x14ac:dyDescent="0.25">
      <c r="A19630">
        <v>38175</v>
      </c>
      <c r="B19630" t="s">
        <v>23133</v>
      </c>
      <c r="C19630" t="s">
        <v>2537</v>
      </c>
      <c r="D19630" s="254">
        <v>4.87</v>
      </c>
      <c r="E19630"/>
      <c r="F19630"/>
      <c r="G19630"/>
      <c r="H19630"/>
      <c r="I19630" s="489"/>
    </row>
    <row r="19631" spans="1:9" x14ac:dyDescent="0.25">
      <c r="A19631">
        <v>38176</v>
      </c>
      <c r="B19631" t="s">
        <v>23134</v>
      </c>
      <c r="C19631" t="s">
        <v>2537</v>
      </c>
      <c r="D19631" s="254">
        <v>14.34</v>
      </c>
      <c r="E19631"/>
      <c r="F19631"/>
      <c r="G19631"/>
      <c r="H19631"/>
      <c r="I19631" s="489"/>
    </row>
    <row r="19632" spans="1:9" x14ac:dyDescent="0.25">
      <c r="A19632">
        <v>36152</v>
      </c>
      <c r="B19632" t="s">
        <v>23135</v>
      </c>
      <c r="C19632" t="s">
        <v>2537</v>
      </c>
      <c r="D19632" s="254">
        <v>5.81</v>
      </c>
      <c r="E19632"/>
      <c r="F19632"/>
      <c r="G19632"/>
      <c r="H19632"/>
      <c r="I19632" s="489"/>
    </row>
    <row r="19633" spans="1:9" x14ac:dyDescent="0.25">
      <c r="A19633">
        <v>11138</v>
      </c>
      <c r="B19633" t="s">
        <v>23136</v>
      </c>
      <c r="C19633" t="s">
        <v>2543</v>
      </c>
      <c r="D19633" s="254">
        <v>4.3499999999999996</v>
      </c>
      <c r="E19633"/>
      <c r="F19633"/>
      <c r="G19633"/>
      <c r="H19633"/>
      <c r="I19633" s="489"/>
    </row>
    <row r="19634" spans="1:9" x14ac:dyDescent="0.25">
      <c r="A19634">
        <v>4221</v>
      </c>
      <c r="B19634" t="s">
        <v>23137</v>
      </c>
      <c r="C19634" t="s">
        <v>2543</v>
      </c>
      <c r="D19634" s="254">
        <v>6.76</v>
      </c>
      <c r="E19634"/>
      <c r="F19634"/>
      <c r="G19634"/>
      <c r="H19634"/>
      <c r="I19634" s="489"/>
    </row>
    <row r="19635" spans="1:9" x14ac:dyDescent="0.25">
      <c r="A19635">
        <v>4227</v>
      </c>
      <c r="B19635" t="s">
        <v>23138</v>
      </c>
      <c r="C19635" t="s">
        <v>2543</v>
      </c>
      <c r="D19635" s="254">
        <v>39.5</v>
      </c>
      <c r="E19635"/>
      <c r="F19635"/>
      <c r="G19635"/>
      <c r="H19635"/>
      <c r="I19635" s="489"/>
    </row>
    <row r="19636" spans="1:9" x14ac:dyDescent="0.25">
      <c r="A19636">
        <v>38170</v>
      </c>
      <c r="B19636" t="s">
        <v>23139</v>
      </c>
      <c r="C19636" t="s">
        <v>2537</v>
      </c>
      <c r="D19636" s="254">
        <v>21.31</v>
      </c>
      <c r="E19636"/>
      <c r="F19636"/>
      <c r="G19636"/>
      <c r="H19636"/>
      <c r="I19636" s="489"/>
    </row>
    <row r="19637" spans="1:9" x14ac:dyDescent="0.25">
      <c r="A19637">
        <v>4252</v>
      </c>
      <c r="B19637" t="s">
        <v>23140</v>
      </c>
      <c r="C19637" t="s">
        <v>2538</v>
      </c>
      <c r="D19637" s="254">
        <v>21.42</v>
      </c>
      <c r="E19637"/>
      <c r="F19637"/>
      <c r="G19637"/>
      <c r="H19637"/>
      <c r="I19637" s="489"/>
    </row>
    <row r="19638" spans="1:9" x14ac:dyDescent="0.25">
      <c r="A19638">
        <v>40980</v>
      </c>
      <c r="B19638" t="s">
        <v>23141</v>
      </c>
      <c r="C19638" t="s">
        <v>2544</v>
      </c>
      <c r="D19638" s="254">
        <v>3782.16</v>
      </c>
      <c r="E19638"/>
      <c r="F19638"/>
      <c r="G19638"/>
      <c r="H19638"/>
      <c r="I19638" s="489"/>
    </row>
    <row r="19639" spans="1:9" x14ac:dyDescent="0.25">
      <c r="A19639">
        <v>4243</v>
      </c>
      <c r="B19639" t="s">
        <v>23142</v>
      </c>
      <c r="C19639" t="s">
        <v>2538</v>
      </c>
      <c r="D19639" s="254">
        <v>18.86</v>
      </c>
      <c r="E19639"/>
      <c r="F19639"/>
      <c r="G19639"/>
      <c r="H19639"/>
      <c r="I19639" s="489"/>
    </row>
    <row r="19640" spans="1:9" x14ac:dyDescent="0.25">
      <c r="A19640">
        <v>41031</v>
      </c>
      <c r="B19640" t="s">
        <v>23143</v>
      </c>
      <c r="C19640" t="s">
        <v>2544</v>
      </c>
      <c r="D19640" s="254">
        <v>3330.03</v>
      </c>
      <c r="E19640"/>
      <c r="F19640"/>
      <c r="G19640"/>
      <c r="H19640"/>
      <c r="I19640" s="489"/>
    </row>
    <row r="19641" spans="1:9" x14ac:dyDescent="0.25">
      <c r="A19641">
        <v>37666</v>
      </c>
      <c r="B19641" t="s">
        <v>23144</v>
      </c>
      <c r="C19641" t="s">
        <v>2538</v>
      </c>
      <c r="D19641" s="254">
        <v>18.2</v>
      </c>
      <c r="E19641"/>
      <c r="F19641"/>
      <c r="G19641"/>
      <c r="H19641"/>
      <c r="I19641" s="489"/>
    </row>
    <row r="19642" spans="1:9" x14ac:dyDescent="0.25">
      <c r="A19642">
        <v>40986</v>
      </c>
      <c r="B19642" t="s">
        <v>23145</v>
      </c>
      <c r="C19642" t="s">
        <v>2544</v>
      </c>
      <c r="D19642" s="254">
        <v>3213.58</v>
      </c>
      <c r="E19642"/>
      <c r="F19642"/>
      <c r="G19642"/>
      <c r="H19642"/>
      <c r="I19642" s="489"/>
    </row>
    <row r="19643" spans="1:9" x14ac:dyDescent="0.25">
      <c r="A19643">
        <v>4250</v>
      </c>
      <c r="B19643" t="s">
        <v>23146</v>
      </c>
      <c r="C19643" t="s">
        <v>2538</v>
      </c>
      <c r="D19643" s="254">
        <v>19.329999999999998</v>
      </c>
      <c r="E19643"/>
      <c r="F19643"/>
      <c r="G19643"/>
      <c r="H19643"/>
      <c r="I19643" s="489"/>
    </row>
    <row r="19644" spans="1:9" x14ac:dyDescent="0.25">
      <c r="A19644">
        <v>40978</v>
      </c>
      <c r="B19644" t="s">
        <v>23147</v>
      </c>
      <c r="C19644" t="s">
        <v>2544</v>
      </c>
      <c r="D19644" s="254">
        <v>3411.51</v>
      </c>
      <c r="E19644"/>
      <c r="F19644"/>
      <c r="G19644"/>
      <c r="H19644"/>
      <c r="I19644" s="489"/>
    </row>
    <row r="19645" spans="1:9" x14ac:dyDescent="0.25">
      <c r="A19645">
        <v>41043</v>
      </c>
      <c r="B19645" t="s">
        <v>23148</v>
      </c>
      <c r="C19645" t="s">
        <v>2544</v>
      </c>
      <c r="D19645" s="254">
        <v>4098.49</v>
      </c>
      <c r="E19645"/>
      <c r="F19645"/>
      <c r="G19645"/>
      <c r="H19645"/>
      <c r="I19645" s="489"/>
    </row>
    <row r="19646" spans="1:9" x14ac:dyDescent="0.25">
      <c r="A19646">
        <v>44501</v>
      </c>
      <c r="B19646" t="s">
        <v>23149</v>
      </c>
      <c r="C19646" t="s">
        <v>2538</v>
      </c>
      <c r="D19646" s="254">
        <v>23.21</v>
      </c>
      <c r="E19646"/>
      <c r="F19646"/>
      <c r="G19646"/>
      <c r="H19646"/>
      <c r="I19646" s="489"/>
    </row>
    <row r="19647" spans="1:9" x14ac:dyDescent="0.25">
      <c r="A19647">
        <v>4234</v>
      </c>
      <c r="B19647" t="s">
        <v>23150</v>
      </c>
      <c r="C19647" t="s">
        <v>2538</v>
      </c>
      <c r="D19647" s="254">
        <v>25.44</v>
      </c>
      <c r="E19647"/>
      <c r="F19647"/>
      <c r="G19647"/>
      <c r="H19647"/>
      <c r="I19647" s="489"/>
    </row>
    <row r="19648" spans="1:9" x14ac:dyDescent="0.25">
      <c r="A19648">
        <v>40987</v>
      </c>
      <c r="B19648" t="s">
        <v>23151</v>
      </c>
      <c r="C19648" t="s">
        <v>2544</v>
      </c>
      <c r="D19648" s="254">
        <v>4489.72</v>
      </c>
      <c r="E19648"/>
      <c r="F19648"/>
      <c r="G19648"/>
      <c r="H19648"/>
      <c r="I19648" s="489"/>
    </row>
    <row r="19649" spans="1:9" x14ac:dyDescent="0.25">
      <c r="A19649">
        <v>4253</v>
      </c>
      <c r="B19649" t="s">
        <v>23152</v>
      </c>
      <c r="C19649" t="s">
        <v>2538</v>
      </c>
      <c r="D19649" s="254">
        <v>23.08</v>
      </c>
      <c r="E19649"/>
      <c r="F19649"/>
      <c r="G19649"/>
      <c r="H19649"/>
      <c r="I19649" s="489"/>
    </row>
    <row r="19650" spans="1:9" x14ac:dyDescent="0.25">
      <c r="A19650">
        <v>40981</v>
      </c>
      <c r="B19650" t="s">
        <v>23153</v>
      </c>
      <c r="C19650" t="s">
        <v>2544</v>
      </c>
      <c r="D19650" s="254">
        <v>4072.69</v>
      </c>
      <c r="E19650"/>
      <c r="F19650"/>
      <c r="G19650"/>
      <c r="H19650"/>
      <c r="I19650" s="489"/>
    </row>
    <row r="19651" spans="1:9" x14ac:dyDescent="0.25">
      <c r="A19651">
        <v>4254</v>
      </c>
      <c r="B19651" t="s">
        <v>23154</v>
      </c>
      <c r="C19651" t="s">
        <v>2538</v>
      </c>
      <c r="D19651" s="254">
        <v>23.08</v>
      </c>
      <c r="E19651"/>
      <c r="F19651"/>
      <c r="G19651"/>
      <c r="H19651"/>
      <c r="I19651" s="489"/>
    </row>
    <row r="19652" spans="1:9" x14ac:dyDescent="0.25">
      <c r="A19652">
        <v>41036</v>
      </c>
      <c r="B19652" t="s">
        <v>23155</v>
      </c>
      <c r="C19652" t="s">
        <v>2544</v>
      </c>
      <c r="D19652" s="254">
        <v>4072.69</v>
      </c>
      <c r="E19652"/>
      <c r="F19652"/>
      <c r="G19652"/>
      <c r="H19652"/>
      <c r="I19652" s="489"/>
    </row>
    <row r="19653" spans="1:9" x14ac:dyDescent="0.25">
      <c r="A19653">
        <v>4251</v>
      </c>
      <c r="B19653" t="s">
        <v>23156</v>
      </c>
      <c r="C19653" t="s">
        <v>2538</v>
      </c>
      <c r="D19653" s="254">
        <v>22.76</v>
      </c>
      <c r="E19653"/>
      <c r="F19653"/>
      <c r="G19653"/>
      <c r="H19653"/>
      <c r="I19653" s="489"/>
    </row>
    <row r="19654" spans="1:9" x14ac:dyDescent="0.25">
      <c r="A19654">
        <v>40979</v>
      </c>
      <c r="B19654" t="s">
        <v>23157</v>
      </c>
      <c r="C19654" t="s">
        <v>2544</v>
      </c>
      <c r="D19654" s="254">
        <v>4019.32</v>
      </c>
      <c r="E19654"/>
      <c r="F19654"/>
      <c r="G19654"/>
      <c r="H19654"/>
      <c r="I19654" s="489"/>
    </row>
    <row r="19655" spans="1:9" x14ac:dyDescent="0.25">
      <c r="A19655">
        <v>4230</v>
      </c>
      <c r="B19655" t="s">
        <v>23158</v>
      </c>
      <c r="C19655" t="s">
        <v>2538</v>
      </c>
      <c r="D19655" s="254">
        <v>23.7</v>
      </c>
      <c r="E19655"/>
      <c r="F19655"/>
      <c r="G19655"/>
      <c r="H19655"/>
      <c r="I19655" s="489"/>
    </row>
    <row r="19656" spans="1:9" x14ac:dyDescent="0.25">
      <c r="A19656">
        <v>40998</v>
      </c>
      <c r="B19656" t="s">
        <v>23159</v>
      </c>
      <c r="C19656" t="s">
        <v>2544</v>
      </c>
      <c r="D19656" s="254">
        <v>4182.08</v>
      </c>
      <c r="E19656"/>
      <c r="F19656"/>
      <c r="G19656"/>
      <c r="H19656"/>
      <c r="I19656" s="489"/>
    </row>
    <row r="19657" spans="1:9" x14ac:dyDescent="0.25">
      <c r="A19657">
        <v>4257</v>
      </c>
      <c r="B19657" t="s">
        <v>23160</v>
      </c>
      <c r="C19657" t="s">
        <v>2538</v>
      </c>
      <c r="D19657" s="254">
        <v>19.649999999999999</v>
      </c>
      <c r="E19657"/>
      <c r="F19657"/>
      <c r="G19657"/>
      <c r="H19657"/>
      <c r="I19657" s="489"/>
    </row>
    <row r="19658" spans="1:9" x14ac:dyDescent="0.25">
      <c r="A19658">
        <v>40982</v>
      </c>
      <c r="B19658" t="s">
        <v>23161</v>
      </c>
      <c r="C19658" t="s">
        <v>2544</v>
      </c>
      <c r="D19658" s="254">
        <v>3467.11</v>
      </c>
      <c r="E19658"/>
      <c r="F19658"/>
      <c r="G19658"/>
      <c r="H19658"/>
      <c r="I19658" s="489"/>
    </row>
    <row r="19659" spans="1:9" x14ac:dyDescent="0.25">
      <c r="A19659">
        <v>4240</v>
      </c>
      <c r="B19659" t="s">
        <v>23162</v>
      </c>
      <c r="C19659" t="s">
        <v>2538</v>
      </c>
      <c r="D19659" s="254">
        <v>23.61</v>
      </c>
      <c r="E19659"/>
      <c r="F19659"/>
      <c r="G19659"/>
      <c r="H19659"/>
      <c r="I19659" s="489"/>
    </row>
    <row r="19660" spans="1:9" x14ac:dyDescent="0.25">
      <c r="A19660">
        <v>41026</v>
      </c>
      <c r="B19660" t="s">
        <v>23163</v>
      </c>
      <c r="C19660" t="s">
        <v>2544</v>
      </c>
      <c r="D19660" s="254">
        <v>4168.3599999999997</v>
      </c>
      <c r="E19660"/>
      <c r="F19660"/>
      <c r="G19660"/>
      <c r="H19660"/>
      <c r="I19660" s="489"/>
    </row>
    <row r="19661" spans="1:9" x14ac:dyDescent="0.25">
      <c r="A19661">
        <v>4239</v>
      </c>
      <c r="B19661" t="s">
        <v>23164</v>
      </c>
      <c r="C19661" t="s">
        <v>2538</v>
      </c>
      <c r="D19661" s="254">
        <v>28.96</v>
      </c>
      <c r="E19661"/>
      <c r="F19661"/>
      <c r="G19661"/>
      <c r="H19661"/>
      <c r="I19661" s="489"/>
    </row>
    <row r="19662" spans="1:9" x14ac:dyDescent="0.25">
      <c r="A19662">
        <v>41024</v>
      </c>
      <c r="B19662" t="s">
        <v>23165</v>
      </c>
      <c r="C19662" t="s">
        <v>2544</v>
      </c>
      <c r="D19662" s="254">
        <v>5113.8</v>
      </c>
      <c r="E19662"/>
      <c r="F19662"/>
      <c r="G19662"/>
      <c r="H19662"/>
      <c r="I19662" s="489"/>
    </row>
    <row r="19663" spans="1:9" x14ac:dyDescent="0.25">
      <c r="A19663">
        <v>4248</v>
      </c>
      <c r="B19663" t="s">
        <v>23166</v>
      </c>
      <c r="C19663" t="s">
        <v>2538</v>
      </c>
      <c r="D19663" s="254">
        <v>28.94</v>
      </c>
      <c r="E19663"/>
      <c r="F19663"/>
      <c r="G19663"/>
      <c r="H19663"/>
      <c r="I19663" s="489"/>
    </row>
    <row r="19664" spans="1:9" x14ac:dyDescent="0.25">
      <c r="A19664">
        <v>41033</v>
      </c>
      <c r="B19664" t="s">
        <v>23167</v>
      </c>
      <c r="C19664" t="s">
        <v>2544</v>
      </c>
      <c r="D19664" s="254">
        <v>5108.1400000000003</v>
      </c>
      <c r="E19664"/>
      <c r="F19664"/>
      <c r="G19664"/>
      <c r="H19664"/>
      <c r="I19664" s="489"/>
    </row>
    <row r="19665" spans="1:9" x14ac:dyDescent="0.25">
      <c r="A19665">
        <v>41040</v>
      </c>
      <c r="B19665" t="s">
        <v>23168</v>
      </c>
      <c r="C19665" t="s">
        <v>2544</v>
      </c>
      <c r="D19665" s="254">
        <v>4303.42</v>
      </c>
      <c r="E19665"/>
      <c r="F19665"/>
      <c r="G19665"/>
      <c r="H19665"/>
      <c r="I19665" s="489"/>
    </row>
    <row r="19666" spans="1:9" x14ac:dyDescent="0.25">
      <c r="A19666">
        <v>44500</v>
      </c>
      <c r="B19666" t="s">
        <v>23169</v>
      </c>
      <c r="C19666" t="s">
        <v>2538</v>
      </c>
      <c r="D19666" s="254">
        <v>24.38</v>
      </c>
      <c r="E19666"/>
      <c r="F19666"/>
      <c r="G19666"/>
      <c r="H19666"/>
      <c r="I19666" s="489"/>
    </row>
    <row r="19667" spans="1:9" x14ac:dyDescent="0.25">
      <c r="A19667">
        <v>4238</v>
      </c>
      <c r="B19667" t="s">
        <v>23170</v>
      </c>
      <c r="C19667" t="s">
        <v>2538</v>
      </c>
      <c r="D19667" s="254">
        <v>17.96</v>
      </c>
      <c r="E19667"/>
      <c r="F19667"/>
      <c r="G19667"/>
      <c r="H19667"/>
      <c r="I19667" s="489"/>
    </row>
    <row r="19668" spans="1:9" x14ac:dyDescent="0.25">
      <c r="A19668">
        <v>41012</v>
      </c>
      <c r="B19668" t="s">
        <v>23171</v>
      </c>
      <c r="C19668" t="s">
        <v>2544</v>
      </c>
      <c r="D19668" s="254">
        <v>3172.59</v>
      </c>
      <c r="E19668"/>
      <c r="F19668"/>
      <c r="G19668"/>
      <c r="H19668"/>
      <c r="I19668" s="489"/>
    </row>
    <row r="19669" spans="1:9" x14ac:dyDescent="0.25">
      <c r="A19669">
        <v>4237</v>
      </c>
      <c r="B19669" t="s">
        <v>23172</v>
      </c>
      <c r="C19669" t="s">
        <v>2538</v>
      </c>
      <c r="D19669" s="254">
        <v>25.21</v>
      </c>
      <c r="E19669"/>
      <c r="F19669"/>
      <c r="G19669"/>
      <c r="H19669"/>
      <c r="I19669" s="489"/>
    </row>
    <row r="19670" spans="1:9" x14ac:dyDescent="0.25">
      <c r="A19670">
        <v>41002</v>
      </c>
      <c r="B19670" t="s">
        <v>23173</v>
      </c>
      <c r="C19670" t="s">
        <v>2544</v>
      </c>
      <c r="D19670" s="254">
        <v>4450.75</v>
      </c>
      <c r="E19670"/>
      <c r="F19670"/>
      <c r="G19670"/>
      <c r="H19670"/>
      <c r="I19670" s="489"/>
    </row>
    <row r="19671" spans="1:9" x14ac:dyDescent="0.25">
      <c r="A19671">
        <v>4233</v>
      </c>
      <c r="B19671" t="s">
        <v>23174</v>
      </c>
      <c r="C19671" t="s">
        <v>2538</v>
      </c>
      <c r="D19671" s="254">
        <v>20.93</v>
      </c>
      <c r="E19671"/>
      <c r="F19671"/>
      <c r="G19671"/>
      <c r="H19671"/>
      <c r="I19671" s="489"/>
    </row>
    <row r="19672" spans="1:9" x14ac:dyDescent="0.25">
      <c r="A19672">
        <v>41001</v>
      </c>
      <c r="B19672" t="s">
        <v>23175</v>
      </c>
      <c r="C19672" t="s">
        <v>2544</v>
      </c>
      <c r="D19672" s="254">
        <v>3695.63</v>
      </c>
      <c r="E19672"/>
      <c r="F19672"/>
      <c r="G19672"/>
      <c r="H19672"/>
      <c r="I19672" s="489"/>
    </row>
    <row r="19673" spans="1:9" x14ac:dyDescent="0.25">
      <c r="A19673">
        <v>2</v>
      </c>
      <c r="B19673" t="s">
        <v>23176</v>
      </c>
      <c r="C19673" t="s">
        <v>2540</v>
      </c>
      <c r="D19673" s="254">
        <v>12.93</v>
      </c>
      <c r="E19673"/>
      <c r="F19673"/>
      <c r="G19673"/>
      <c r="H19673"/>
      <c r="I19673" s="489"/>
    </row>
    <row r="19674" spans="1:9" x14ac:dyDescent="0.25">
      <c r="A19674">
        <v>36517</v>
      </c>
      <c r="B19674" t="s">
        <v>23177</v>
      </c>
      <c r="C19674" t="s">
        <v>2537</v>
      </c>
      <c r="D19674" s="254">
        <v>674791.2</v>
      </c>
      <c r="E19674"/>
      <c r="F19674"/>
      <c r="G19674"/>
      <c r="H19674"/>
      <c r="I19674" s="489"/>
    </row>
    <row r="19675" spans="1:9" x14ac:dyDescent="0.25">
      <c r="A19675">
        <v>4262</v>
      </c>
      <c r="B19675" t="s">
        <v>23178</v>
      </c>
      <c r="C19675" t="s">
        <v>2537</v>
      </c>
      <c r="D19675" s="254">
        <v>759900</v>
      </c>
      <c r="E19675"/>
      <c r="F19675"/>
      <c r="G19675"/>
      <c r="H19675"/>
      <c r="I19675" s="489"/>
    </row>
    <row r="19676" spans="1:9" x14ac:dyDescent="0.25">
      <c r="A19676">
        <v>4263</v>
      </c>
      <c r="B19676" t="s">
        <v>23179</v>
      </c>
      <c r="C19676" t="s">
        <v>2537</v>
      </c>
      <c r="D19676" s="254">
        <v>1053727.94</v>
      </c>
      <c r="E19676"/>
      <c r="F19676"/>
      <c r="G19676"/>
      <c r="H19676"/>
      <c r="I19676" s="489"/>
    </row>
    <row r="19677" spans="1:9" x14ac:dyDescent="0.25">
      <c r="A19677">
        <v>36518</v>
      </c>
      <c r="B19677" t="s">
        <v>23180</v>
      </c>
      <c r="C19677" t="s">
        <v>2537</v>
      </c>
      <c r="D19677" s="254">
        <v>1199628.74</v>
      </c>
      <c r="E19677"/>
      <c r="F19677"/>
      <c r="G19677"/>
      <c r="H19677"/>
      <c r="I19677" s="489"/>
    </row>
    <row r="19678" spans="1:9" x14ac:dyDescent="0.25">
      <c r="A19678">
        <v>14221</v>
      </c>
      <c r="B19678" t="s">
        <v>23181</v>
      </c>
      <c r="C19678" t="s">
        <v>2537</v>
      </c>
      <c r="D19678" s="254">
        <v>700121.17</v>
      </c>
      <c r="E19678"/>
      <c r="F19678"/>
      <c r="G19678"/>
      <c r="H19678"/>
      <c r="I19678" s="489"/>
    </row>
    <row r="19679" spans="1:9" x14ac:dyDescent="0.25">
      <c r="A19679">
        <v>38402</v>
      </c>
      <c r="B19679" t="s">
        <v>23182</v>
      </c>
      <c r="C19679" t="s">
        <v>2537</v>
      </c>
      <c r="D19679" s="254">
        <v>10.63</v>
      </c>
      <c r="E19679"/>
      <c r="F19679"/>
      <c r="G19679"/>
      <c r="H19679"/>
      <c r="I19679" s="489"/>
    </row>
    <row r="19680" spans="1:9" x14ac:dyDescent="0.25">
      <c r="A19680">
        <v>3412</v>
      </c>
      <c r="B19680" t="s">
        <v>23183</v>
      </c>
      <c r="C19680" t="s">
        <v>2539</v>
      </c>
      <c r="D19680" s="254">
        <v>12.54</v>
      </c>
      <c r="E19680"/>
      <c r="F19680"/>
      <c r="G19680"/>
      <c r="H19680"/>
      <c r="I19680" s="489"/>
    </row>
    <row r="19681" spans="1:9" x14ac:dyDescent="0.25">
      <c r="A19681">
        <v>3413</v>
      </c>
      <c r="B19681" t="s">
        <v>23184</v>
      </c>
      <c r="C19681" t="s">
        <v>2539</v>
      </c>
      <c r="D19681" s="254">
        <v>28.23</v>
      </c>
      <c r="E19681"/>
      <c r="F19681"/>
      <c r="G19681"/>
      <c r="H19681"/>
      <c r="I19681" s="489"/>
    </row>
    <row r="19682" spans="1:9" x14ac:dyDescent="0.25">
      <c r="A19682">
        <v>39744</v>
      </c>
      <c r="B19682" t="s">
        <v>23185</v>
      </c>
      <c r="C19682" t="s">
        <v>2539</v>
      </c>
      <c r="D19682" s="254">
        <v>21.92</v>
      </c>
      <c r="E19682"/>
      <c r="F19682"/>
      <c r="G19682"/>
      <c r="H19682"/>
      <c r="I19682" s="489"/>
    </row>
    <row r="19683" spans="1:9" x14ac:dyDescent="0.25">
      <c r="A19683">
        <v>39745</v>
      </c>
      <c r="B19683" t="s">
        <v>23186</v>
      </c>
      <c r="C19683" t="s">
        <v>2539</v>
      </c>
      <c r="D19683" s="254">
        <v>46.26</v>
      </c>
      <c r="E19683"/>
      <c r="F19683"/>
      <c r="G19683"/>
      <c r="H19683"/>
      <c r="I19683" s="489"/>
    </row>
    <row r="19684" spans="1:9" x14ac:dyDescent="0.25">
      <c r="A19684">
        <v>39637</v>
      </c>
      <c r="B19684" t="s">
        <v>23187</v>
      </c>
      <c r="C19684" t="s">
        <v>2539</v>
      </c>
      <c r="D19684" s="254">
        <v>92.71</v>
      </c>
      <c r="E19684"/>
      <c r="F19684"/>
      <c r="G19684"/>
      <c r="H19684"/>
      <c r="I19684" s="489"/>
    </row>
    <row r="19685" spans="1:9" x14ac:dyDescent="0.25">
      <c r="A19685">
        <v>39638</v>
      </c>
      <c r="B19685" t="s">
        <v>23188</v>
      </c>
      <c r="C19685" t="s">
        <v>2539</v>
      </c>
      <c r="D19685" s="254">
        <v>104.91</v>
      </c>
      <c r="E19685"/>
      <c r="F19685"/>
      <c r="G19685"/>
      <c r="H19685"/>
      <c r="I19685" s="489"/>
    </row>
    <row r="19686" spans="1:9" x14ac:dyDescent="0.25">
      <c r="A19686">
        <v>39639</v>
      </c>
      <c r="B19686" t="s">
        <v>23189</v>
      </c>
      <c r="C19686" t="s">
        <v>2539</v>
      </c>
      <c r="D19686" s="254">
        <v>158.28</v>
      </c>
      <c r="E19686"/>
      <c r="F19686"/>
      <c r="G19686"/>
      <c r="H19686"/>
      <c r="I19686" s="489"/>
    </row>
    <row r="19687" spans="1:9" x14ac:dyDescent="0.25">
      <c r="A19687">
        <v>39517</v>
      </c>
      <c r="B19687" t="s">
        <v>23190</v>
      </c>
      <c r="C19687" t="s">
        <v>2539</v>
      </c>
      <c r="D19687" s="254">
        <v>282.75</v>
      </c>
      <c r="E19687"/>
      <c r="F19687"/>
      <c r="G19687"/>
      <c r="H19687"/>
      <c r="I19687" s="489"/>
    </row>
    <row r="19688" spans="1:9" x14ac:dyDescent="0.25">
      <c r="A19688">
        <v>39518</v>
      </c>
      <c r="B19688" t="s">
        <v>23191</v>
      </c>
      <c r="C19688" t="s">
        <v>2539</v>
      </c>
      <c r="D19688" s="254">
        <v>335.22</v>
      </c>
      <c r="E19688"/>
      <c r="F19688"/>
      <c r="G19688"/>
      <c r="H19688"/>
      <c r="I19688" s="489"/>
    </row>
    <row r="19689" spans="1:9" x14ac:dyDescent="0.25">
      <c r="A19689">
        <v>38366</v>
      </c>
      <c r="B19689" t="s">
        <v>23192</v>
      </c>
      <c r="C19689" t="s">
        <v>2539</v>
      </c>
      <c r="D19689" s="254">
        <v>5.0599999999999996</v>
      </c>
      <c r="E19689"/>
      <c r="F19689"/>
      <c r="G19689"/>
      <c r="H19689"/>
      <c r="I19689" s="489"/>
    </row>
    <row r="19690" spans="1:9" x14ac:dyDescent="0.25">
      <c r="A19690">
        <v>11703</v>
      </c>
      <c r="B19690" t="s">
        <v>23193</v>
      </c>
      <c r="C19690" t="s">
        <v>2537</v>
      </c>
      <c r="D19690" s="254">
        <v>37.85</v>
      </c>
      <c r="E19690"/>
      <c r="F19690"/>
      <c r="G19690"/>
      <c r="H19690"/>
      <c r="I19690" s="489"/>
    </row>
    <row r="19691" spans="1:9" x14ac:dyDescent="0.25">
      <c r="A19691">
        <v>37400</v>
      </c>
      <c r="B19691" t="s">
        <v>23194</v>
      </c>
      <c r="C19691" t="s">
        <v>2537</v>
      </c>
      <c r="D19691" s="254">
        <v>49.61</v>
      </c>
      <c r="E19691"/>
      <c r="F19691"/>
      <c r="G19691"/>
      <c r="H19691"/>
      <c r="I19691" s="489"/>
    </row>
    <row r="19692" spans="1:9" x14ac:dyDescent="0.25">
      <c r="A19692">
        <v>25400</v>
      </c>
      <c r="B19692" t="s">
        <v>23195</v>
      </c>
      <c r="C19692" t="s">
        <v>2537</v>
      </c>
      <c r="D19692" s="254">
        <v>4430.28</v>
      </c>
      <c r="E19692"/>
      <c r="F19692"/>
      <c r="G19692"/>
      <c r="H19692"/>
      <c r="I19692" s="489"/>
    </row>
    <row r="19693" spans="1:9" x14ac:dyDescent="0.25">
      <c r="A19693">
        <v>4276</v>
      </c>
      <c r="B19693" t="s">
        <v>23196</v>
      </c>
      <c r="C19693" t="s">
        <v>2537</v>
      </c>
      <c r="D19693" s="254">
        <v>202.79</v>
      </c>
      <c r="E19693"/>
      <c r="F19693"/>
      <c r="G19693"/>
      <c r="H19693"/>
      <c r="I19693" s="489"/>
    </row>
    <row r="19694" spans="1:9" x14ac:dyDescent="0.25">
      <c r="A19694">
        <v>4273</v>
      </c>
      <c r="B19694" t="s">
        <v>23197</v>
      </c>
      <c r="C19694" t="s">
        <v>2537</v>
      </c>
      <c r="D19694" s="254">
        <v>368.19</v>
      </c>
      <c r="E19694"/>
      <c r="F19694"/>
      <c r="G19694"/>
      <c r="H19694"/>
      <c r="I19694" s="489"/>
    </row>
    <row r="19695" spans="1:9" x14ac:dyDescent="0.25">
      <c r="A19695">
        <v>4274</v>
      </c>
      <c r="B19695" t="s">
        <v>23198</v>
      </c>
      <c r="C19695" t="s">
        <v>2537</v>
      </c>
      <c r="D19695" s="254">
        <v>134.69999999999999</v>
      </c>
      <c r="E19695"/>
      <c r="F19695"/>
      <c r="G19695"/>
      <c r="H19695"/>
      <c r="I19695" s="489"/>
    </row>
    <row r="19696" spans="1:9" x14ac:dyDescent="0.25">
      <c r="A19696">
        <v>39438</v>
      </c>
      <c r="B19696" t="s">
        <v>23199</v>
      </c>
      <c r="C19696" t="s">
        <v>2537</v>
      </c>
      <c r="D19696" s="254">
        <v>0.41</v>
      </c>
      <c r="E19696"/>
      <c r="F19696"/>
      <c r="G19696"/>
      <c r="H19696"/>
      <c r="I19696" s="489"/>
    </row>
    <row r="19697" spans="1:9" x14ac:dyDescent="0.25">
      <c r="A19697">
        <v>11963</v>
      </c>
      <c r="B19697" t="s">
        <v>23200</v>
      </c>
      <c r="C19697" t="s">
        <v>2537</v>
      </c>
      <c r="D19697" s="254">
        <v>15</v>
      </c>
      <c r="E19697"/>
      <c r="F19697"/>
      <c r="G19697"/>
      <c r="H19697"/>
      <c r="I19697" s="489"/>
    </row>
    <row r="19698" spans="1:9" x14ac:dyDescent="0.25">
      <c r="A19698">
        <v>11964</v>
      </c>
      <c r="B19698" t="s">
        <v>23201</v>
      </c>
      <c r="C19698" t="s">
        <v>2537</v>
      </c>
      <c r="D19698" s="254">
        <v>3.78</v>
      </c>
      <c r="E19698"/>
      <c r="F19698"/>
      <c r="G19698"/>
      <c r="H19698"/>
      <c r="I19698" s="489"/>
    </row>
    <row r="19699" spans="1:9" x14ac:dyDescent="0.25">
      <c r="A19699">
        <v>4379</v>
      </c>
      <c r="B19699" t="s">
        <v>23202</v>
      </c>
      <c r="C19699" t="s">
        <v>2537</v>
      </c>
      <c r="D19699" s="254">
        <v>0.08</v>
      </c>
      <c r="E19699"/>
      <c r="F19699"/>
      <c r="G19699"/>
      <c r="H19699"/>
      <c r="I19699" s="489"/>
    </row>
    <row r="19700" spans="1:9" x14ac:dyDescent="0.25">
      <c r="A19700">
        <v>4377</v>
      </c>
      <c r="B19700" t="s">
        <v>23203</v>
      </c>
      <c r="C19700" t="s">
        <v>2537</v>
      </c>
      <c r="D19700" s="254">
        <v>0.28999999999999998</v>
      </c>
      <c r="E19700"/>
      <c r="F19700"/>
      <c r="G19700"/>
      <c r="H19700"/>
      <c r="I19700" s="489"/>
    </row>
    <row r="19701" spans="1:9" x14ac:dyDescent="0.25">
      <c r="A19701">
        <v>4356</v>
      </c>
      <c r="B19701" t="s">
        <v>23204</v>
      </c>
      <c r="C19701" t="s">
        <v>2537</v>
      </c>
      <c r="D19701" s="254">
        <v>0.41</v>
      </c>
      <c r="E19701"/>
      <c r="F19701"/>
      <c r="G19701"/>
      <c r="H19701"/>
      <c r="I19701" s="489"/>
    </row>
    <row r="19702" spans="1:9" x14ac:dyDescent="0.25">
      <c r="A19702">
        <v>13246</v>
      </c>
      <c r="B19702" t="s">
        <v>23205</v>
      </c>
      <c r="C19702" t="s">
        <v>2537</v>
      </c>
      <c r="D19702" s="254">
        <v>0.71</v>
      </c>
      <c r="E19702"/>
      <c r="F19702"/>
      <c r="G19702"/>
      <c r="H19702"/>
      <c r="I19702" s="489"/>
    </row>
    <row r="19703" spans="1:9" x14ac:dyDescent="0.25">
      <c r="A19703">
        <v>4346</v>
      </c>
      <c r="B19703" t="s">
        <v>23206</v>
      </c>
      <c r="C19703" t="s">
        <v>2537</v>
      </c>
      <c r="D19703" s="254">
        <v>16.07</v>
      </c>
      <c r="E19703"/>
      <c r="F19703"/>
      <c r="G19703"/>
      <c r="H19703"/>
      <c r="I19703" s="489"/>
    </row>
    <row r="19704" spans="1:9" x14ac:dyDescent="0.25">
      <c r="A19704">
        <v>11955</v>
      </c>
      <c r="B19704" t="s">
        <v>23207</v>
      </c>
      <c r="C19704" t="s">
        <v>2537</v>
      </c>
      <c r="D19704" s="254">
        <v>7.03</v>
      </c>
      <c r="E19704"/>
      <c r="F19704"/>
      <c r="G19704"/>
      <c r="H19704"/>
      <c r="I19704" s="489"/>
    </row>
    <row r="19705" spans="1:9" x14ac:dyDescent="0.25">
      <c r="A19705">
        <v>11960</v>
      </c>
      <c r="B19705" t="s">
        <v>23208</v>
      </c>
      <c r="C19705" t="s">
        <v>2537</v>
      </c>
      <c r="D19705" s="254">
        <v>0.23</v>
      </c>
      <c r="E19705"/>
      <c r="F19705"/>
      <c r="G19705"/>
      <c r="H19705"/>
      <c r="I19705" s="489"/>
    </row>
    <row r="19706" spans="1:9" x14ac:dyDescent="0.25">
      <c r="A19706">
        <v>4333</v>
      </c>
      <c r="B19706" t="s">
        <v>23209</v>
      </c>
      <c r="C19706" t="s">
        <v>2537</v>
      </c>
      <c r="D19706" s="254">
        <v>0.41</v>
      </c>
      <c r="E19706"/>
      <c r="F19706"/>
      <c r="G19706"/>
      <c r="H19706"/>
      <c r="I19706" s="489"/>
    </row>
    <row r="19707" spans="1:9" x14ac:dyDescent="0.25">
      <c r="A19707">
        <v>4358</v>
      </c>
      <c r="B19707" t="s">
        <v>23210</v>
      </c>
      <c r="C19707" t="s">
        <v>2537</v>
      </c>
      <c r="D19707" s="254">
        <v>3.22</v>
      </c>
      <c r="E19707"/>
      <c r="F19707"/>
      <c r="G19707"/>
      <c r="H19707"/>
      <c r="I19707" s="489"/>
    </row>
    <row r="19708" spans="1:9" x14ac:dyDescent="0.25">
      <c r="A19708">
        <v>39435</v>
      </c>
      <c r="B19708" t="s">
        <v>23211</v>
      </c>
      <c r="C19708" t="s">
        <v>2537</v>
      </c>
      <c r="D19708" s="254">
        <v>0.16</v>
      </c>
      <c r="E19708"/>
      <c r="F19708"/>
      <c r="G19708"/>
      <c r="H19708"/>
      <c r="I19708" s="489"/>
    </row>
    <row r="19709" spans="1:9" x14ac:dyDescent="0.25">
      <c r="A19709">
        <v>39436</v>
      </c>
      <c r="B19709" t="s">
        <v>23212</v>
      </c>
      <c r="C19709" t="s">
        <v>2537</v>
      </c>
      <c r="D19709" s="254">
        <v>0.27</v>
      </c>
      <c r="E19709"/>
      <c r="F19709"/>
      <c r="G19709"/>
      <c r="H19709"/>
      <c r="I19709" s="489"/>
    </row>
    <row r="19710" spans="1:9" x14ac:dyDescent="0.25">
      <c r="A19710">
        <v>39437</v>
      </c>
      <c r="B19710" t="s">
        <v>23213</v>
      </c>
      <c r="C19710" t="s">
        <v>2537</v>
      </c>
      <c r="D19710" s="254">
        <v>0.36</v>
      </c>
      <c r="E19710"/>
      <c r="F19710"/>
      <c r="G19710"/>
      <c r="H19710"/>
      <c r="I19710" s="489"/>
    </row>
    <row r="19711" spans="1:9" x14ac:dyDescent="0.25">
      <c r="A19711">
        <v>39439</v>
      </c>
      <c r="B19711" t="s">
        <v>23214</v>
      </c>
      <c r="C19711" t="s">
        <v>2537</v>
      </c>
      <c r="D19711" s="254">
        <v>0.25</v>
      </c>
      <c r="E19711"/>
      <c r="F19711"/>
      <c r="G19711"/>
      <c r="H19711"/>
      <c r="I19711" s="489"/>
    </row>
    <row r="19712" spans="1:9" x14ac:dyDescent="0.25">
      <c r="A19712">
        <v>39440</v>
      </c>
      <c r="B19712" t="s">
        <v>23215</v>
      </c>
      <c r="C19712" t="s">
        <v>2537</v>
      </c>
      <c r="D19712" s="254">
        <v>0.32</v>
      </c>
      <c r="E19712"/>
      <c r="F19712"/>
      <c r="G19712"/>
      <c r="H19712"/>
      <c r="I19712" s="489"/>
    </row>
    <row r="19713" spans="1:9" x14ac:dyDescent="0.25">
      <c r="A19713">
        <v>39441</v>
      </c>
      <c r="B19713" t="s">
        <v>23216</v>
      </c>
      <c r="C19713" t="s">
        <v>2537</v>
      </c>
      <c r="D19713" s="254">
        <v>0.4</v>
      </c>
      <c r="E19713"/>
      <c r="F19713"/>
      <c r="G19713"/>
      <c r="H19713"/>
      <c r="I19713" s="489"/>
    </row>
    <row r="19714" spans="1:9" x14ac:dyDescent="0.25">
      <c r="A19714">
        <v>39442</v>
      </c>
      <c r="B19714" t="s">
        <v>23217</v>
      </c>
      <c r="C19714" t="s">
        <v>2537</v>
      </c>
      <c r="D19714" s="254">
        <v>0.28999999999999998</v>
      </c>
      <c r="E19714"/>
      <c r="F19714"/>
      <c r="G19714"/>
      <c r="H19714"/>
      <c r="I19714" s="489"/>
    </row>
    <row r="19715" spans="1:9" x14ac:dyDescent="0.25">
      <c r="A19715">
        <v>39443</v>
      </c>
      <c r="B19715" t="s">
        <v>23218</v>
      </c>
      <c r="C19715" t="s">
        <v>2537</v>
      </c>
      <c r="D19715" s="254">
        <v>0.38</v>
      </c>
      <c r="E19715"/>
      <c r="F19715"/>
      <c r="G19715"/>
      <c r="H19715"/>
      <c r="I19715" s="489"/>
    </row>
    <row r="19716" spans="1:9" x14ac:dyDescent="0.25">
      <c r="A19716">
        <v>4329</v>
      </c>
      <c r="B19716" t="s">
        <v>23219</v>
      </c>
      <c r="C19716" t="s">
        <v>2537</v>
      </c>
      <c r="D19716" s="254">
        <v>3.43</v>
      </c>
      <c r="E19716"/>
      <c r="F19716"/>
      <c r="G19716"/>
      <c r="H19716"/>
      <c r="I19716" s="489"/>
    </row>
    <row r="19717" spans="1:9" x14ac:dyDescent="0.25">
      <c r="A19717">
        <v>4383</v>
      </c>
      <c r="B19717" t="s">
        <v>23220</v>
      </c>
      <c r="C19717" t="s">
        <v>2537</v>
      </c>
      <c r="D19717" s="254">
        <v>31.01</v>
      </c>
      <c r="E19717"/>
      <c r="F19717"/>
      <c r="G19717"/>
      <c r="H19717"/>
      <c r="I19717" s="489"/>
    </row>
    <row r="19718" spans="1:9" x14ac:dyDescent="0.25">
      <c r="A19718">
        <v>4344</v>
      </c>
      <c r="B19718" t="s">
        <v>23221</v>
      </c>
      <c r="C19718" t="s">
        <v>2537</v>
      </c>
      <c r="D19718" s="254">
        <v>32.51</v>
      </c>
      <c r="E19718"/>
      <c r="F19718"/>
      <c r="G19718"/>
      <c r="H19718"/>
      <c r="I19718" s="489"/>
    </row>
    <row r="19719" spans="1:9" x14ac:dyDescent="0.25">
      <c r="A19719">
        <v>436</v>
      </c>
      <c r="B19719" t="s">
        <v>23222</v>
      </c>
      <c r="C19719" t="s">
        <v>2537</v>
      </c>
      <c r="D19719" s="254">
        <v>9.75</v>
      </c>
      <c r="E19719"/>
      <c r="F19719"/>
      <c r="G19719"/>
      <c r="H19719"/>
      <c r="I19719" s="489"/>
    </row>
    <row r="19720" spans="1:9" x14ac:dyDescent="0.25">
      <c r="A19720">
        <v>442</v>
      </c>
      <c r="B19720" t="s">
        <v>23223</v>
      </c>
      <c r="C19720" t="s">
        <v>2537</v>
      </c>
      <c r="D19720" s="254">
        <v>5.76</v>
      </c>
      <c r="E19720"/>
      <c r="F19720"/>
      <c r="G19720"/>
      <c r="H19720"/>
      <c r="I19720" s="489"/>
    </row>
    <row r="19721" spans="1:9" x14ac:dyDescent="0.25">
      <c r="A19721">
        <v>11953</v>
      </c>
      <c r="B19721" t="s">
        <v>23224</v>
      </c>
      <c r="C19721" t="s">
        <v>2537</v>
      </c>
      <c r="D19721" s="254">
        <v>5.15</v>
      </c>
      <c r="E19721"/>
      <c r="F19721"/>
      <c r="G19721"/>
      <c r="H19721"/>
      <c r="I19721" s="489"/>
    </row>
    <row r="19722" spans="1:9" x14ac:dyDescent="0.25">
      <c r="A19722">
        <v>4335</v>
      </c>
      <c r="B19722" t="s">
        <v>23225</v>
      </c>
      <c r="C19722" t="s">
        <v>2537</v>
      </c>
      <c r="D19722" s="254">
        <v>21.83</v>
      </c>
      <c r="E19722"/>
      <c r="F19722"/>
      <c r="G19722"/>
      <c r="H19722"/>
      <c r="I19722" s="489"/>
    </row>
    <row r="19723" spans="1:9" x14ac:dyDescent="0.25">
      <c r="A19723">
        <v>4334</v>
      </c>
      <c r="B19723" t="s">
        <v>23226</v>
      </c>
      <c r="C19723" t="s">
        <v>2537</v>
      </c>
      <c r="D19723" s="254">
        <v>29.94</v>
      </c>
      <c r="E19723"/>
      <c r="F19723"/>
      <c r="G19723"/>
      <c r="H19723"/>
      <c r="I19723" s="489"/>
    </row>
    <row r="19724" spans="1:9" x14ac:dyDescent="0.25">
      <c r="A19724">
        <v>4343</v>
      </c>
      <c r="B19724" t="s">
        <v>23227</v>
      </c>
      <c r="C19724" t="s">
        <v>2537</v>
      </c>
      <c r="D19724" s="254">
        <v>7.36</v>
      </c>
      <c r="E19724"/>
      <c r="F19724"/>
      <c r="G19724"/>
      <c r="H19724"/>
      <c r="I19724" s="489"/>
    </row>
    <row r="19725" spans="1:9" x14ac:dyDescent="0.25">
      <c r="A19725">
        <v>430</v>
      </c>
      <c r="B19725" t="s">
        <v>23228</v>
      </c>
      <c r="C19725" t="s">
        <v>2537</v>
      </c>
      <c r="D19725" s="254">
        <v>8.7200000000000006</v>
      </c>
      <c r="E19725"/>
      <c r="F19725"/>
      <c r="G19725"/>
      <c r="H19725"/>
      <c r="I19725" s="489"/>
    </row>
    <row r="19726" spans="1:9" x14ac:dyDescent="0.25">
      <c r="A19726">
        <v>441</v>
      </c>
      <c r="B19726" t="s">
        <v>23229</v>
      </c>
      <c r="C19726" t="s">
        <v>2537</v>
      </c>
      <c r="D19726" s="254">
        <v>9.6</v>
      </c>
      <c r="E19726"/>
      <c r="F19726"/>
      <c r="G19726"/>
      <c r="H19726"/>
      <c r="I19726" s="489"/>
    </row>
    <row r="19727" spans="1:9" x14ac:dyDescent="0.25">
      <c r="A19727">
        <v>431</v>
      </c>
      <c r="B19727" t="s">
        <v>23230</v>
      </c>
      <c r="C19727" t="s">
        <v>2537</v>
      </c>
      <c r="D19727" s="254">
        <v>11.59</v>
      </c>
      <c r="E19727"/>
      <c r="F19727"/>
      <c r="G19727"/>
      <c r="H19727"/>
      <c r="I19727" s="489"/>
    </row>
    <row r="19728" spans="1:9" x14ac:dyDescent="0.25">
      <c r="A19728">
        <v>432</v>
      </c>
      <c r="B19728" t="s">
        <v>23231</v>
      </c>
      <c r="C19728" t="s">
        <v>2537</v>
      </c>
      <c r="D19728" s="254">
        <v>12.79</v>
      </c>
      <c r="E19728"/>
      <c r="F19728"/>
      <c r="G19728"/>
      <c r="H19728"/>
      <c r="I19728" s="489"/>
    </row>
    <row r="19729" spans="1:9" x14ac:dyDescent="0.25">
      <c r="A19729">
        <v>429</v>
      </c>
      <c r="B19729" t="s">
        <v>23232</v>
      </c>
      <c r="C19729" t="s">
        <v>2537</v>
      </c>
      <c r="D19729" s="254">
        <v>17.239999999999998</v>
      </c>
      <c r="E19729"/>
      <c r="F19729"/>
      <c r="G19729"/>
      <c r="H19729"/>
      <c r="I19729" s="489"/>
    </row>
    <row r="19730" spans="1:9" x14ac:dyDescent="0.25">
      <c r="A19730">
        <v>439</v>
      </c>
      <c r="B19730" t="s">
        <v>23233</v>
      </c>
      <c r="C19730" t="s">
        <v>2537</v>
      </c>
      <c r="D19730" s="254">
        <v>14.69</v>
      </c>
      <c r="E19730"/>
      <c r="F19730"/>
      <c r="G19730"/>
      <c r="H19730"/>
      <c r="I19730" s="489"/>
    </row>
    <row r="19731" spans="1:9" x14ac:dyDescent="0.25">
      <c r="A19731">
        <v>433</v>
      </c>
      <c r="B19731" t="s">
        <v>23234</v>
      </c>
      <c r="C19731" t="s">
        <v>2537</v>
      </c>
      <c r="D19731" s="254">
        <v>17.149999999999999</v>
      </c>
      <c r="E19731"/>
      <c r="F19731"/>
      <c r="G19731"/>
      <c r="H19731"/>
      <c r="I19731" s="489"/>
    </row>
    <row r="19732" spans="1:9" x14ac:dyDescent="0.25">
      <c r="A19732">
        <v>437</v>
      </c>
      <c r="B19732" t="s">
        <v>23235</v>
      </c>
      <c r="C19732" t="s">
        <v>2537</v>
      </c>
      <c r="D19732" s="254">
        <v>22.79</v>
      </c>
      <c r="E19732"/>
      <c r="F19732"/>
      <c r="G19732"/>
      <c r="H19732"/>
      <c r="I19732" s="489"/>
    </row>
    <row r="19733" spans="1:9" x14ac:dyDescent="0.25">
      <c r="A19733">
        <v>11790</v>
      </c>
      <c r="B19733" t="s">
        <v>23236</v>
      </c>
      <c r="C19733" t="s">
        <v>2537</v>
      </c>
      <c r="D19733" s="254">
        <v>25.85</v>
      </c>
      <c r="E19733"/>
      <c r="F19733"/>
      <c r="G19733"/>
      <c r="H19733"/>
      <c r="I19733" s="489"/>
    </row>
    <row r="19734" spans="1:9" x14ac:dyDescent="0.25">
      <c r="A19734">
        <v>428</v>
      </c>
      <c r="B19734" t="s">
        <v>23237</v>
      </c>
      <c r="C19734" t="s">
        <v>2537</v>
      </c>
      <c r="D19734" s="254">
        <v>28.11</v>
      </c>
      <c r="E19734"/>
      <c r="F19734"/>
      <c r="G19734"/>
      <c r="H19734"/>
      <c r="I19734" s="489"/>
    </row>
    <row r="19735" spans="1:9" x14ac:dyDescent="0.25">
      <c r="A19735">
        <v>4384</v>
      </c>
      <c r="B19735" t="s">
        <v>23238</v>
      </c>
      <c r="C19735" t="s">
        <v>2537</v>
      </c>
      <c r="D19735" s="254">
        <v>35.64</v>
      </c>
      <c r="E19735"/>
      <c r="F19735"/>
      <c r="G19735"/>
      <c r="H19735"/>
      <c r="I19735" s="489"/>
    </row>
    <row r="19736" spans="1:9" x14ac:dyDescent="0.25">
      <c r="A19736">
        <v>4351</v>
      </c>
      <c r="B19736" t="s">
        <v>23239</v>
      </c>
      <c r="C19736" t="s">
        <v>2537</v>
      </c>
      <c r="D19736" s="254">
        <v>26.42</v>
      </c>
      <c r="E19736"/>
      <c r="F19736"/>
      <c r="G19736"/>
      <c r="H19736"/>
      <c r="I19736" s="489"/>
    </row>
    <row r="19737" spans="1:9" x14ac:dyDescent="0.25">
      <c r="A19737">
        <v>11054</v>
      </c>
      <c r="B19737" t="s">
        <v>23240</v>
      </c>
      <c r="C19737" t="s">
        <v>2537</v>
      </c>
      <c r="D19737" s="254">
        <v>0.05</v>
      </c>
      <c r="E19737"/>
      <c r="F19737"/>
      <c r="G19737"/>
      <c r="H19737"/>
      <c r="I19737" s="489"/>
    </row>
    <row r="19738" spans="1:9" x14ac:dyDescent="0.25">
      <c r="A19738">
        <v>11055</v>
      </c>
      <c r="B19738" t="s">
        <v>23241</v>
      </c>
      <c r="C19738" t="s">
        <v>2537</v>
      </c>
      <c r="D19738" s="254">
        <v>0.08</v>
      </c>
      <c r="E19738"/>
      <c r="F19738"/>
      <c r="G19738"/>
      <c r="H19738"/>
      <c r="I19738" s="489"/>
    </row>
    <row r="19739" spans="1:9" x14ac:dyDescent="0.25">
      <c r="A19739">
        <v>11056</v>
      </c>
      <c r="B19739" t="s">
        <v>23242</v>
      </c>
      <c r="C19739" t="s">
        <v>2537</v>
      </c>
      <c r="D19739" s="254">
        <v>0.09</v>
      </c>
      <c r="E19739"/>
      <c r="F19739"/>
      <c r="G19739"/>
      <c r="H19739"/>
      <c r="I19739" s="489"/>
    </row>
    <row r="19740" spans="1:9" x14ac:dyDescent="0.25">
      <c r="A19740">
        <v>11057</v>
      </c>
      <c r="B19740" t="s">
        <v>23243</v>
      </c>
      <c r="C19740" t="s">
        <v>2537</v>
      </c>
      <c r="D19740" s="254">
        <v>0.18</v>
      </c>
      <c r="E19740"/>
      <c r="F19740"/>
      <c r="G19740"/>
      <c r="H19740"/>
      <c r="I19740" s="489"/>
    </row>
    <row r="19741" spans="1:9" x14ac:dyDescent="0.25">
      <c r="A19741">
        <v>11059</v>
      </c>
      <c r="B19741" t="s">
        <v>23244</v>
      </c>
      <c r="C19741" t="s">
        <v>2537</v>
      </c>
      <c r="D19741" s="254">
        <v>0.36</v>
      </c>
      <c r="E19741"/>
      <c r="F19741"/>
      <c r="G19741"/>
      <c r="H19741"/>
      <c r="I19741" s="489"/>
    </row>
    <row r="19742" spans="1:9" x14ac:dyDescent="0.25">
      <c r="A19742">
        <v>11058</v>
      </c>
      <c r="B19742" t="s">
        <v>23245</v>
      </c>
      <c r="C19742" t="s">
        <v>2537</v>
      </c>
      <c r="D19742" s="254">
        <v>0.47</v>
      </c>
      <c r="E19742"/>
      <c r="F19742"/>
      <c r="G19742"/>
      <c r="H19742"/>
      <c r="I19742" s="489"/>
    </row>
    <row r="19743" spans="1:9" x14ac:dyDescent="0.25">
      <c r="A19743">
        <v>4380</v>
      </c>
      <c r="B19743" t="s">
        <v>23246</v>
      </c>
      <c r="C19743" t="s">
        <v>2537</v>
      </c>
      <c r="D19743" s="254">
        <v>1.58</v>
      </c>
      <c r="E19743"/>
      <c r="F19743"/>
      <c r="G19743"/>
      <c r="H19743"/>
      <c r="I19743" s="489"/>
    </row>
    <row r="19744" spans="1:9" x14ac:dyDescent="0.25">
      <c r="A19744">
        <v>4299</v>
      </c>
      <c r="B19744" t="s">
        <v>23247</v>
      </c>
      <c r="C19744" t="s">
        <v>2537</v>
      </c>
      <c r="D19744" s="254">
        <v>1.49</v>
      </c>
      <c r="E19744"/>
      <c r="F19744"/>
      <c r="G19744"/>
      <c r="H19744"/>
      <c r="I19744" s="489"/>
    </row>
    <row r="19745" spans="1:9" x14ac:dyDescent="0.25">
      <c r="A19745">
        <v>4304</v>
      </c>
      <c r="B19745" t="s">
        <v>23248</v>
      </c>
      <c r="C19745" t="s">
        <v>2537</v>
      </c>
      <c r="D19745" s="254">
        <v>2.0299999999999998</v>
      </c>
      <c r="E19745"/>
      <c r="F19745"/>
      <c r="G19745"/>
      <c r="H19745"/>
      <c r="I19745" s="489"/>
    </row>
    <row r="19746" spans="1:9" x14ac:dyDescent="0.25">
      <c r="A19746">
        <v>4305</v>
      </c>
      <c r="B19746" t="s">
        <v>23249</v>
      </c>
      <c r="C19746" t="s">
        <v>2537</v>
      </c>
      <c r="D19746" s="254">
        <v>2.36</v>
      </c>
      <c r="E19746"/>
      <c r="F19746"/>
      <c r="G19746"/>
      <c r="H19746"/>
      <c r="I19746" s="489"/>
    </row>
    <row r="19747" spans="1:9" x14ac:dyDescent="0.25">
      <c r="A19747">
        <v>4306</v>
      </c>
      <c r="B19747" t="s">
        <v>23250</v>
      </c>
      <c r="C19747" t="s">
        <v>2537</v>
      </c>
      <c r="D19747" s="254">
        <v>2.74</v>
      </c>
      <c r="E19747"/>
      <c r="F19747"/>
      <c r="G19747"/>
      <c r="H19747"/>
      <c r="I19747" s="489"/>
    </row>
    <row r="19748" spans="1:9" x14ac:dyDescent="0.25">
      <c r="A19748">
        <v>4308</v>
      </c>
      <c r="B19748" t="s">
        <v>23251</v>
      </c>
      <c r="C19748" t="s">
        <v>2537</v>
      </c>
      <c r="D19748" s="254">
        <v>5.67</v>
      </c>
      <c r="E19748"/>
      <c r="F19748"/>
      <c r="G19748"/>
      <c r="H19748"/>
      <c r="I19748" s="489"/>
    </row>
    <row r="19749" spans="1:9" x14ac:dyDescent="0.25">
      <c r="A19749">
        <v>4302</v>
      </c>
      <c r="B19749" t="s">
        <v>23252</v>
      </c>
      <c r="C19749" t="s">
        <v>2537</v>
      </c>
      <c r="D19749" s="254">
        <v>4.25</v>
      </c>
      <c r="E19749"/>
      <c r="F19749"/>
      <c r="G19749"/>
      <c r="H19749"/>
      <c r="I19749" s="489"/>
    </row>
    <row r="19750" spans="1:9" x14ac:dyDescent="0.25">
      <c r="A19750">
        <v>4300</v>
      </c>
      <c r="B19750" t="s">
        <v>23253</v>
      </c>
      <c r="C19750" t="s">
        <v>2537</v>
      </c>
      <c r="D19750" s="254">
        <v>1.01</v>
      </c>
      <c r="E19750"/>
      <c r="F19750"/>
      <c r="G19750"/>
      <c r="H19750"/>
      <c r="I19750" s="489"/>
    </row>
    <row r="19751" spans="1:9" x14ac:dyDescent="0.25">
      <c r="A19751">
        <v>4301</v>
      </c>
      <c r="B19751" t="s">
        <v>23254</v>
      </c>
      <c r="C19751" t="s">
        <v>2537</v>
      </c>
      <c r="D19751" s="254">
        <v>1.24</v>
      </c>
      <c r="E19751"/>
      <c r="F19751"/>
      <c r="G19751"/>
      <c r="H19751"/>
      <c r="I19751" s="489"/>
    </row>
    <row r="19752" spans="1:9" x14ac:dyDescent="0.25">
      <c r="A19752">
        <v>4320</v>
      </c>
      <c r="B19752" t="s">
        <v>23255</v>
      </c>
      <c r="C19752" t="s">
        <v>2537</v>
      </c>
      <c r="D19752" s="254">
        <v>3.76</v>
      </c>
      <c r="E19752"/>
      <c r="F19752"/>
      <c r="G19752"/>
      <c r="H19752"/>
      <c r="I19752" s="489"/>
    </row>
    <row r="19753" spans="1:9" x14ac:dyDescent="0.25">
      <c r="A19753">
        <v>4318</v>
      </c>
      <c r="B19753" t="s">
        <v>23256</v>
      </c>
      <c r="C19753" t="s">
        <v>2537</v>
      </c>
      <c r="D19753" s="254">
        <v>1.83</v>
      </c>
      <c r="E19753"/>
      <c r="F19753"/>
      <c r="G19753"/>
      <c r="H19753"/>
      <c r="I19753" s="489"/>
    </row>
    <row r="19754" spans="1:9" x14ac:dyDescent="0.25">
      <c r="A19754">
        <v>40547</v>
      </c>
      <c r="B19754" t="s">
        <v>23257</v>
      </c>
      <c r="C19754" t="s">
        <v>2551</v>
      </c>
      <c r="D19754" s="254">
        <v>43.3</v>
      </c>
      <c r="E19754"/>
      <c r="F19754"/>
      <c r="G19754"/>
      <c r="H19754"/>
      <c r="I19754" s="489"/>
    </row>
    <row r="19755" spans="1:9" x14ac:dyDescent="0.25">
      <c r="A19755">
        <v>11962</v>
      </c>
      <c r="B19755" t="s">
        <v>23258</v>
      </c>
      <c r="C19755" t="s">
        <v>2537</v>
      </c>
      <c r="D19755" s="254">
        <v>0.35</v>
      </c>
      <c r="E19755"/>
      <c r="F19755"/>
      <c r="G19755"/>
      <c r="H19755"/>
      <c r="I19755" s="489"/>
    </row>
    <row r="19756" spans="1:9" x14ac:dyDescent="0.25">
      <c r="A19756">
        <v>4332</v>
      </c>
      <c r="B19756" t="s">
        <v>23259</v>
      </c>
      <c r="C19756" t="s">
        <v>2537</v>
      </c>
      <c r="D19756" s="254">
        <v>1.72</v>
      </c>
      <c r="E19756"/>
      <c r="F19756"/>
      <c r="G19756"/>
      <c r="H19756"/>
      <c r="I19756" s="489"/>
    </row>
    <row r="19757" spans="1:9" x14ac:dyDescent="0.25">
      <c r="A19757">
        <v>4331</v>
      </c>
      <c r="B19757" t="s">
        <v>23260</v>
      </c>
      <c r="C19757" t="s">
        <v>2537</v>
      </c>
      <c r="D19757" s="254">
        <v>6.5</v>
      </c>
      <c r="E19757"/>
      <c r="F19757"/>
      <c r="G19757"/>
      <c r="H19757"/>
      <c r="I19757" s="489"/>
    </row>
    <row r="19758" spans="1:9" x14ac:dyDescent="0.25">
      <c r="A19758">
        <v>4336</v>
      </c>
      <c r="B19758" t="s">
        <v>23261</v>
      </c>
      <c r="C19758" t="s">
        <v>2537</v>
      </c>
      <c r="D19758" s="254">
        <v>8.32</v>
      </c>
      <c r="E19758"/>
      <c r="F19758"/>
      <c r="G19758"/>
      <c r="H19758"/>
      <c r="I19758" s="489"/>
    </row>
    <row r="19759" spans="1:9" x14ac:dyDescent="0.25">
      <c r="A19759">
        <v>13294</v>
      </c>
      <c r="B19759" t="s">
        <v>23262</v>
      </c>
      <c r="C19759" t="s">
        <v>2537</v>
      </c>
      <c r="D19759" s="254">
        <v>2.38</v>
      </c>
      <c r="E19759"/>
      <c r="F19759"/>
      <c r="G19759"/>
      <c r="H19759"/>
      <c r="I19759" s="489"/>
    </row>
    <row r="19760" spans="1:9" x14ac:dyDescent="0.25">
      <c r="A19760">
        <v>11948</v>
      </c>
      <c r="B19760" t="s">
        <v>23263</v>
      </c>
      <c r="C19760" t="s">
        <v>2537</v>
      </c>
      <c r="D19760" s="254">
        <v>1.07</v>
      </c>
      <c r="E19760"/>
      <c r="F19760"/>
      <c r="G19760"/>
      <c r="H19760"/>
      <c r="I19760" s="489"/>
    </row>
    <row r="19761" spans="1:9" x14ac:dyDescent="0.25">
      <c r="A19761">
        <v>4382</v>
      </c>
      <c r="B19761" t="s">
        <v>23264</v>
      </c>
      <c r="C19761" t="s">
        <v>2537</v>
      </c>
      <c r="D19761" s="254">
        <v>1.78</v>
      </c>
      <c r="E19761"/>
      <c r="F19761"/>
      <c r="G19761"/>
      <c r="H19761"/>
      <c r="I19761" s="489"/>
    </row>
    <row r="19762" spans="1:9" x14ac:dyDescent="0.25">
      <c r="A19762">
        <v>4354</v>
      </c>
      <c r="B19762" t="s">
        <v>23265</v>
      </c>
      <c r="C19762" t="s">
        <v>2537</v>
      </c>
      <c r="D19762" s="254">
        <v>74.56</v>
      </c>
      <c r="E19762"/>
      <c r="F19762"/>
      <c r="G19762"/>
      <c r="H19762"/>
      <c r="I19762" s="489"/>
    </row>
    <row r="19763" spans="1:9" x14ac:dyDescent="0.25">
      <c r="A19763">
        <v>40839</v>
      </c>
      <c r="B19763" t="s">
        <v>23266</v>
      </c>
      <c r="C19763" t="s">
        <v>2551</v>
      </c>
      <c r="D19763" s="254">
        <v>179.41</v>
      </c>
      <c r="E19763"/>
      <c r="F19763"/>
      <c r="G19763"/>
      <c r="H19763"/>
      <c r="I19763" s="489"/>
    </row>
    <row r="19764" spans="1:9" x14ac:dyDescent="0.25">
      <c r="A19764">
        <v>40552</v>
      </c>
      <c r="B19764" t="s">
        <v>23267</v>
      </c>
      <c r="C19764" t="s">
        <v>2551</v>
      </c>
      <c r="D19764" s="254">
        <v>74.239999999999995</v>
      </c>
      <c r="E19764"/>
      <c r="F19764"/>
      <c r="G19764"/>
      <c r="H19764"/>
      <c r="I19764" s="489"/>
    </row>
    <row r="19765" spans="1:9" x14ac:dyDescent="0.25">
      <c r="A19765">
        <v>40549</v>
      </c>
      <c r="B19765" t="s">
        <v>23268</v>
      </c>
      <c r="C19765" t="s">
        <v>2551</v>
      </c>
      <c r="D19765" s="254">
        <v>293.87</v>
      </c>
      <c r="E19765"/>
      <c r="F19765"/>
      <c r="G19765"/>
      <c r="H19765"/>
      <c r="I19765" s="489"/>
    </row>
    <row r="19766" spans="1:9" x14ac:dyDescent="0.25">
      <c r="A19766">
        <v>4385</v>
      </c>
      <c r="B19766" t="s">
        <v>23269</v>
      </c>
      <c r="C19766" t="s">
        <v>2547</v>
      </c>
      <c r="D19766" s="254">
        <v>2794.37</v>
      </c>
      <c r="E19766"/>
      <c r="F19766"/>
      <c r="G19766"/>
      <c r="H19766"/>
      <c r="I19766" s="489"/>
    </row>
    <row r="19767" spans="1:9" x14ac:dyDescent="0.25">
      <c r="A19767">
        <v>20078</v>
      </c>
      <c r="B19767" t="s">
        <v>23270</v>
      </c>
      <c r="C19767" t="s">
        <v>2537</v>
      </c>
      <c r="D19767" s="254">
        <v>29.88</v>
      </c>
      <c r="E19767"/>
      <c r="F19767"/>
      <c r="G19767"/>
      <c r="H19767"/>
      <c r="I19767" s="489"/>
    </row>
    <row r="19768" spans="1:9" x14ac:dyDescent="0.25">
      <c r="A19768">
        <v>39897</v>
      </c>
      <c r="B19768" t="s">
        <v>23271</v>
      </c>
      <c r="C19768" t="s">
        <v>2537</v>
      </c>
      <c r="D19768" s="254">
        <v>50.77</v>
      </c>
      <c r="E19768"/>
      <c r="F19768"/>
      <c r="G19768"/>
      <c r="H19768"/>
      <c r="I19768" s="489"/>
    </row>
    <row r="19769" spans="1:9" x14ac:dyDescent="0.25">
      <c r="A19769">
        <v>118</v>
      </c>
      <c r="B19769" t="s">
        <v>23272</v>
      </c>
      <c r="C19769" t="s">
        <v>2537</v>
      </c>
      <c r="D19769" s="254">
        <v>63.17</v>
      </c>
      <c r="E19769"/>
      <c r="F19769"/>
      <c r="G19769"/>
      <c r="H19769"/>
      <c r="I19769" s="489"/>
    </row>
    <row r="19770" spans="1:9" x14ac:dyDescent="0.25">
      <c r="A19770">
        <v>4396</v>
      </c>
      <c r="B19770" t="s">
        <v>23273</v>
      </c>
      <c r="C19770" t="s">
        <v>2539</v>
      </c>
      <c r="D19770" s="254">
        <v>165.89</v>
      </c>
      <c r="E19770"/>
      <c r="F19770"/>
      <c r="G19770"/>
      <c r="H19770"/>
      <c r="I19770" s="489"/>
    </row>
    <row r="19771" spans="1:9" x14ac:dyDescent="0.25">
      <c r="A19771">
        <v>36881</v>
      </c>
      <c r="B19771" t="s">
        <v>23274</v>
      </c>
      <c r="C19771" t="s">
        <v>2539</v>
      </c>
      <c r="D19771" s="254">
        <v>106.84</v>
      </c>
      <c r="E19771"/>
      <c r="F19771"/>
      <c r="G19771"/>
      <c r="H19771"/>
      <c r="I19771" s="489"/>
    </row>
    <row r="19772" spans="1:9" x14ac:dyDescent="0.25">
      <c r="A19772">
        <v>4397</v>
      </c>
      <c r="B19772" t="s">
        <v>23275</v>
      </c>
      <c r="C19772" t="s">
        <v>2539</v>
      </c>
      <c r="D19772" s="254">
        <v>180.45</v>
      </c>
      <c r="E19772"/>
      <c r="F19772"/>
      <c r="G19772"/>
      <c r="H19772"/>
      <c r="I19772" s="489"/>
    </row>
    <row r="19773" spans="1:9" x14ac:dyDescent="0.25">
      <c r="A19773">
        <v>36882</v>
      </c>
      <c r="B19773" t="s">
        <v>23276</v>
      </c>
      <c r="C19773" t="s">
        <v>2539</v>
      </c>
      <c r="D19773" s="254">
        <v>127.75</v>
      </c>
      <c r="E19773"/>
      <c r="F19773"/>
      <c r="G19773"/>
      <c r="H19773"/>
      <c r="I19773" s="489"/>
    </row>
    <row r="19774" spans="1:9" x14ac:dyDescent="0.25">
      <c r="A19774">
        <v>4751</v>
      </c>
      <c r="B19774" t="s">
        <v>23277</v>
      </c>
      <c r="C19774" t="s">
        <v>2538</v>
      </c>
      <c r="D19774" s="254">
        <v>26.64</v>
      </c>
      <c r="E19774"/>
      <c r="F19774"/>
      <c r="G19774"/>
      <c r="H19774"/>
      <c r="I19774" s="489"/>
    </row>
    <row r="19775" spans="1:9" x14ac:dyDescent="0.25">
      <c r="A19775">
        <v>41066</v>
      </c>
      <c r="B19775" t="s">
        <v>23278</v>
      </c>
      <c r="C19775" t="s">
        <v>2544</v>
      </c>
      <c r="D19775" s="254">
        <v>4700.3</v>
      </c>
      <c r="E19775"/>
      <c r="F19775"/>
      <c r="G19775"/>
      <c r="H19775"/>
      <c r="I19775" s="489"/>
    </row>
    <row r="19776" spans="1:9" x14ac:dyDescent="0.25">
      <c r="A19776">
        <v>39604</v>
      </c>
      <c r="B19776" t="s">
        <v>23279</v>
      </c>
      <c r="C19776" t="s">
        <v>2537</v>
      </c>
      <c r="D19776" s="254">
        <v>14.67</v>
      </c>
      <c r="E19776"/>
      <c r="F19776"/>
      <c r="G19776"/>
      <c r="H19776"/>
      <c r="I19776" s="489"/>
    </row>
    <row r="19777" spans="1:9" x14ac:dyDescent="0.25">
      <c r="A19777">
        <v>39605</v>
      </c>
      <c r="B19777" t="s">
        <v>23280</v>
      </c>
      <c r="C19777" t="s">
        <v>2537</v>
      </c>
      <c r="D19777" s="254">
        <v>15.93</v>
      </c>
      <c r="E19777"/>
      <c r="F19777"/>
      <c r="G19777"/>
      <c r="H19777"/>
      <c r="I19777" s="489"/>
    </row>
    <row r="19778" spans="1:9" x14ac:dyDescent="0.25">
      <c r="A19778">
        <v>39606</v>
      </c>
      <c r="B19778" t="s">
        <v>23281</v>
      </c>
      <c r="C19778" t="s">
        <v>2537</v>
      </c>
      <c r="D19778" s="254">
        <v>27.9</v>
      </c>
      <c r="E19778"/>
      <c r="F19778"/>
      <c r="G19778"/>
      <c r="H19778"/>
      <c r="I19778" s="489"/>
    </row>
    <row r="19779" spans="1:9" x14ac:dyDescent="0.25">
      <c r="A19779">
        <v>39607</v>
      </c>
      <c r="B19779" t="s">
        <v>23282</v>
      </c>
      <c r="C19779" t="s">
        <v>2537</v>
      </c>
      <c r="D19779" s="254">
        <v>37.75</v>
      </c>
      <c r="E19779"/>
      <c r="F19779"/>
      <c r="G19779"/>
      <c r="H19779"/>
      <c r="I19779" s="489"/>
    </row>
    <row r="19780" spans="1:9" x14ac:dyDescent="0.25">
      <c r="A19780">
        <v>39594</v>
      </c>
      <c r="B19780" t="s">
        <v>23283</v>
      </c>
      <c r="C19780" t="s">
        <v>2537</v>
      </c>
      <c r="D19780" s="254">
        <v>411.99</v>
      </c>
      <c r="E19780"/>
      <c r="F19780"/>
      <c r="G19780"/>
      <c r="H19780"/>
      <c r="I19780" s="489"/>
    </row>
    <row r="19781" spans="1:9" x14ac:dyDescent="0.25">
      <c r="A19781">
        <v>39596</v>
      </c>
      <c r="B19781" t="s">
        <v>23284</v>
      </c>
      <c r="C19781" t="s">
        <v>2537</v>
      </c>
      <c r="D19781" s="254">
        <v>1103.3399999999999</v>
      </c>
      <c r="E19781"/>
      <c r="F19781"/>
      <c r="G19781"/>
      <c r="H19781"/>
      <c r="I19781" s="489"/>
    </row>
    <row r="19782" spans="1:9" x14ac:dyDescent="0.25">
      <c r="A19782">
        <v>39595</v>
      </c>
      <c r="B19782" t="s">
        <v>23285</v>
      </c>
      <c r="C19782" t="s">
        <v>2537</v>
      </c>
      <c r="D19782" s="254">
        <v>2479.06</v>
      </c>
      <c r="E19782"/>
      <c r="F19782"/>
      <c r="G19782"/>
      <c r="H19782"/>
      <c r="I19782" s="489"/>
    </row>
    <row r="19783" spans="1:9" x14ac:dyDescent="0.25">
      <c r="A19783">
        <v>39597</v>
      </c>
      <c r="B19783" t="s">
        <v>23286</v>
      </c>
      <c r="C19783" t="s">
        <v>2537</v>
      </c>
      <c r="D19783" s="254">
        <v>3888.74</v>
      </c>
      <c r="E19783"/>
      <c r="F19783"/>
      <c r="G19783"/>
      <c r="H19783"/>
      <c r="I19783" s="489"/>
    </row>
    <row r="19784" spans="1:9" x14ac:dyDescent="0.25">
      <c r="A19784">
        <v>10731</v>
      </c>
      <c r="B19784" t="s">
        <v>23287</v>
      </c>
      <c r="C19784" t="s">
        <v>2539</v>
      </c>
      <c r="D19784" s="254">
        <v>39.92</v>
      </c>
      <c r="E19784"/>
      <c r="F19784"/>
      <c r="G19784"/>
      <c r="H19784"/>
      <c r="I19784" s="489"/>
    </row>
    <row r="19785" spans="1:9" x14ac:dyDescent="0.25">
      <c r="A19785">
        <v>4704</v>
      </c>
      <c r="B19785" t="s">
        <v>23288</v>
      </c>
      <c r="C19785" t="s">
        <v>2539</v>
      </c>
      <c r="D19785" s="254">
        <v>36.020000000000003</v>
      </c>
      <c r="E19785"/>
      <c r="F19785"/>
      <c r="G19785"/>
      <c r="H19785"/>
      <c r="I19785" s="489"/>
    </row>
    <row r="19786" spans="1:9" x14ac:dyDescent="0.25">
      <c r="A19786">
        <v>10730</v>
      </c>
      <c r="B19786" t="s">
        <v>23289</v>
      </c>
      <c r="C19786" t="s">
        <v>2539</v>
      </c>
      <c r="D19786" s="254">
        <v>38.6</v>
      </c>
      <c r="E19786"/>
      <c r="F19786"/>
      <c r="G19786"/>
      <c r="H19786"/>
      <c r="I19786" s="489"/>
    </row>
    <row r="19787" spans="1:9" x14ac:dyDescent="0.25">
      <c r="A19787">
        <v>4729</v>
      </c>
      <c r="B19787" t="s">
        <v>23290</v>
      </c>
      <c r="C19787" t="s">
        <v>2540</v>
      </c>
      <c r="D19787" s="254">
        <v>102.73</v>
      </c>
      <c r="E19787"/>
      <c r="F19787"/>
      <c r="G19787"/>
      <c r="H19787"/>
      <c r="I19787" s="489"/>
    </row>
    <row r="19788" spans="1:9" x14ac:dyDescent="0.25">
      <c r="A19788">
        <v>4720</v>
      </c>
      <c r="B19788" t="s">
        <v>23291</v>
      </c>
      <c r="C19788" t="s">
        <v>2540</v>
      </c>
      <c r="D19788" s="254">
        <v>117.72</v>
      </c>
      <c r="E19788"/>
      <c r="F19788"/>
      <c r="G19788"/>
      <c r="H19788"/>
      <c r="I19788" s="489"/>
    </row>
    <row r="19789" spans="1:9" x14ac:dyDescent="0.25">
      <c r="A19789">
        <v>4721</v>
      </c>
      <c r="B19789" t="s">
        <v>23292</v>
      </c>
      <c r="C19789" t="s">
        <v>2540</v>
      </c>
      <c r="D19789" s="254">
        <v>101.96</v>
      </c>
      <c r="E19789"/>
      <c r="F19789"/>
      <c r="G19789"/>
      <c r="H19789"/>
      <c r="I19789" s="489"/>
    </row>
    <row r="19790" spans="1:9" x14ac:dyDescent="0.25">
      <c r="A19790">
        <v>4718</v>
      </c>
      <c r="B19790" t="s">
        <v>23293</v>
      </c>
      <c r="C19790" t="s">
        <v>2540</v>
      </c>
      <c r="D19790" s="254">
        <v>102.5</v>
      </c>
      <c r="E19790"/>
      <c r="F19790"/>
      <c r="G19790"/>
      <c r="H19790"/>
      <c r="I19790" s="489"/>
    </row>
    <row r="19791" spans="1:9" x14ac:dyDescent="0.25">
      <c r="A19791">
        <v>4722</v>
      </c>
      <c r="B19791" t="s">
        <v>23294</v>
      </c>
      <c r="C19791" t="s">
        <v>2540</v>
      </c>
      <c r="D19791" s="254">
        <v>96.31</v>
      </c>
      <c r="E19791"/>
      <c r="F19791"/>
      <c r="G19791"/>
      <c r="H19791"/>
      <c r="I19791" s="489"/>
    </row>
    <row r="19792" spans="1:9" x14ac:dyDescent="0.25">
      <c r="A19792">
        <v>4723</v>
      </c>
      <c r="B19792" t="s">
        <v>23295</v>
      </c>
      <c r="C19792" t="s">
        <v>2540</v>
      </c>
      <c r="D19792" s="254">
        <v>95.48</v>
      </c>
      <c r="E19792"/>
      <c r="F19792"/>
      <c r="G19792"/>
      <c r="H19792"/>
      <c r="I19792" s="489"/>
    </row>
    <row r="19793" spans="1:9" x14ac:dyDescent="0.25">
      <c r="A19793">
        <v>4727</v>
      </c>
      <c r="B19793" t="s">
        <v>23296</v>
      </c>
      <c r="C19793" t="s">
        <v>2540</v>
      </c>
      <c r="D19793" s="254">
        <v>87.39</v>
      </c>
      <c r="E19793"/>
      <c r="F19793"/>
      <c r="G19793"/>
      <c r="H19793"/>
      <c r="I19793" s="489"/>
    </row>
    <row r="19794" spans="1:9" x14ac:dyDescent="0.25">
      <c r="A19794">
        <v>4748</v>
      </c>
      <c r="B19794" t="s">
        <v>23297</v>
      </c>
      <c r="C19794" t="s">
        <v>2540</v>
      </c>
      <c r="D19794" s="254">
        <v>94.17</v>
      </c>
      <c r="E19794"/>
      <c r="F19794"/>
      <c r="G19794"/>
      <c r="H19794"/>
      <c r="I19794" s="489"/>
    </row>
    <row r="19795" spans="1:9" x14ac:dyDescent="0.25">
      <c r="A19795">
        <v>4730</v>
      </c>
      <c r="B19795" t="s">
        <v>23298</v>
      </c>
      <c r="C19795" t="s">
        <v>2540</v>
      </c>
      <c r="D19795" s="254">
        <v>95.84</v>
      </c>
      <c r="E19795"/>
      <c r="F19795"/>
      <c r="G19795"/>
      <c r="H19795"/>
      <c r="I19795" s="489"/>
    </row>
    <row r="19796" spans="1:9" x14ac:dyDescent="0.25">
      <c r="A19796">
        <v>13186</v>
      </c>
      <c r="B19796" t="s">
        <v>23299</v>
      </c>
      <c r="C19796" t="s">
        <v>2540</v>
      </c>
      <c r="D19796" s="254">
        <v>110.58</v>
      </c>
      <c r="E19796"/>
      <c r="F19796"/>
      <c r="G19796"/>
      <c r="H19796"/>
      <c r="I19796" s="489"/>
    </row>
    <row r="19797" spans="1:9" x14ac:dyDescent="0.25">
      <c r="A19797">
        <v>10737</v>
      </c>
      <c r="B19797" t="s">
        <v>23300</v>
      </c>
      <c r="C19797" t="s">
        <v>2539</v>
      </c>
      <c r="D19797" s="254">
        <v>125.45</v>
      </c>
      <c r="E19797"/>
      <c r="F19797"/>
      <c r="G19797"/>
      <c r="H19797"/>
      <c r="I19797" s="489"/>
    </row>
    <row r="19798" spans="1:9" x14ac:dyDescent="0.25">
      <c r="A19798">
        <v>10734</v>
      </c>
      <c r="B19798" t="s">
        <v>23301</v>
      </c>
      <c r="C19798" t="s">
        <v>2539</v>
      </c>
      <c r="D19798" s="254">
        <v>74.62</v>
      </c>
      <c r="E19798"/>
      <c r="F19798"/>
      <c r="G19798"/>
      <c r="H19798"/>
      <c r="I19798" s="489"/>
    </row>
    <row r="19799" spans="1:9" x14ac:dyDescent="0.25">
      <c r="A19799">
        <v>4708</v>
      </c>
      <c r="B19799" t="s">
        <v>23302</v>
      </c>
      <c r="C19799" t="s">
        <v>2539</v>
      </c>
      <c r="D19799" s="254">
        <v>144.75</v>
      </c>
      <c r="E19799"/>
      <c r="F19799"/>
      <c r="G19799"/>
      <c r="H19799"/>
      <c r="I19799" s="489"/>
    </row>
    <row r="19800" spans="1:9" x14ac:dyDescent="0.25">
      <c r="A19800">
        <v>4712</v>
      </c>
      <c r="B19800" t="s">
        <v>23303</v>
      </c>
      <c r="C19800" t="s">
        <v>2539</v>
      </c>
      <c r="D19800" s="254">
        <v>70.760000000000005</v>
      </c>
      <c r="E19800"/>
      <c r="F19800"/>
      <c r="G19800"/>
      <c r="H19800"/>
      <c r="I19800" s="489"/>
    </row>
    <row r="19801" spans="1:9" x14ac:dyDescent="0.25">
      <c r="A19801">
        <v>4710</v>
      </c>
      <c r="B19801" t="s">
        <v>23304</v>
      </c>
      <c r="C19801" t="s">
        <v>2539</v>
      </c>
      <c r="D19801" s="254">
        <v>226.94</v>
      </c>
      <c r="E19801"/>
      <c r="F19801"/>
      <c r="G19801"/>
      <c r="H19801"/>
      <c r="I19801" s="489"/>
    </row>
    <row r="19802" spans="1:9" x14ac:dyDescent="0.25">
      <c r="A19802">
        <v>4746</v>
      </c>
      <c r="B19802" t="s">
        <v>23305</v>
      </c>
      <c r="C19802" t="s">
        <v>2540</v>
      </c>
      <c r="D19802" s="254">
        <v>71.58</v>
      </c>
      <c r="E19802"/>
      <c r="F19802"/>
      <c r="G19802"/>
      <c r="H19802"/>
      <c r="I19802" s="489"/>
    </row>
    <row r="19803" spans="1:9" x14ac:dyDescent="0.25">
      <c r="A19803">
        <v>4750</v>
      </c>
      <c r="B19803" t="s">
        <v>23306</v>
      </c>
      <c r="C19803" t="s">
        <v>2538</v>
      </c>
      <c r="D19803" s="254">
        <v>26.64</v>
      </c>
      <c r="E19803"/>
      <c r="F19803"/>
      <c r="G19803"/>
      <c r="H19803"/>
      <c r="I19803" s="489"/>
    </row>
    <row r="19804" spans="1:9" x14ac:dyDescent="0.25">
      <c r="A19804">
        <v>41065</v>
      </c>
      <c r="B19804" t="s">
        <v>23307</v>
      </c>
      <c r="C19804" t="s">
        <v>2544</v>
      </c>
      <c r="D19804" s="254">
        <v>4700.3</v>
      </c>
      <c r="E19804"/>
      <c r="F19804"/>
      <c r="G19804"/>
      <c r="H19804"/>
      <c r="I19804" s="489"/>
    </row>
    <row r="19805" spans="1:9" x14ac:dyDescent="0.25">
      <c r="A19805">
        <v>34747</v>
      </c>
      <c r="B19805" t="s">
        <v>23308</v>
      </c>
      <c r="C19805" t="s">
        <v>2541</v>
      </c>
      <c r="D19805" s="254">
        <v>112.17</v>
      </c>
      <c r="E19805"/>
      <c r="F19805"/>
      <c r="G19805"/>
      <c r="H19805"/>
      <c r="I19805" s="489"/>
    </row>
    <row r="19806" spans="1:9" x14ac:dyDescent="0.25">
      <c r="A19806">
        <v>4826</v>
      </c>
      <c r="B19806" t="s">
        <v>23309</v>
      </c>
      <c r="C19806" t="s">
        <v>2541</v>
      </c>
      <c r="D19806" s="254">
        <v>120.61</v>
      </c>
      <c r="E19806"/>
      <c r="F19806"/>
      <c r="G19806"/>
      <c r="H19806"/>
      <c r="I19806" s="489"/>
    </row>
    <row r="19807" spans="1:9" x14ac:dyDescent="0.25">
      <c r="A19807">
        <v>41975</v>
      </c>
      <c r="B19807" t="s">
        <v>23310</v>
      </c>
      <c r="C19807" t="s">
        <v>2539</v>
      </c>
      <c r="D19807" s="254">
        <v>104.34</v>
      </c>
      <c r="E19807"/>
      <c r="F19807"/>
      <c r="G19807"/>
      <c r="H19807"/>
      <c r="I19807" s="489"/>
    </row>
    <row r="19808" spans="1:9" x14ac:dyDescent="0.25">
      <c r="A19808">
        <v>4825</v>
      </c>
      <c r="B19808" t="s">
        <v>23311</v>
      </c>
      <c r="C19808" t="s">
        <v>2541</v>
      </c>
      <c r="D19808" s="254">
        <v>166.95</v>
      </c>
      <c r="E19808"/>
      <c r="F19808"/>
      <c r="G19808"/>
      <c r="H19808"/>
      <c r="I19808" s="489"/>
    </row>
    <row r="19809" spans="1:9" x14ac:dyDescent="0.25">
      <c r="A19809">
        <v>34744</v>
      </c>
      <c r="B19809" t="s">
        <v>23312</v>
      </c>
      <c r="C19809" t="s">
        <v>2539</v>
      </c>
      <c r="D19809" s="254">
        <v>39.520000000000003</v>
      </c>
      <c r="E19809"/>
      <c r="F19809"/>
      <c r="G19809"/>
      <c r="H19809"/>
      <c r="I19809" s="489"/>
    </row>
    <row r="19810" spans="1:9" x14ac:dyDescent="0.25">
      <c r="A19810">
        <v>39430</v>
      </c>
      <c r="B19810" t="s">
        <v>23313</v>
      </c>
      <c r="C19810" t="s">
        <v>2537</v>
      </c>
      <c r="D19810" s="254">
        <v>2.85</v>
      </c>
      <c r="E19810"/>
      <c r="F19810"/>
      <c r="G19810"/>
      <c r="H19810"/>
      <c r="I19810" s="489"/>
    </row>
    <row r="19811" spans="1:9" x14ac:dyDescent="0.25">
      <c r="A19811">
        <v>39573</v>
      </c>
      <c r="B19811" t="s">
        <v>23314</v>
      </c>
      <c r="C19811" t="s">
        <v>2537</v>
      </c>
      <c r="D19811" s="254">
        <v>2.8</v>
      </c>
      <c r="E19811"/>
      <c r="F19811"/>
      <c r="G19811"/>
      <c r="H19811"/>
      <c r="I19811" s="489"/>
    </row>
    <row r="19812" spans="1:9" x14ac:dyDescent="0.25">
      <c r="A19812">
        <v>38410</v>
      </c>
      <c r="B19812" t="s">
        <v>23315</v>
      </c>
      <c r="C19812" t="s">
        <v>2537</v>
      </c>
      <c r="D19812" s="254">
        <v>14349.49</v>
      </c>
      <c r="E19812"/>
      <c r="F19812"/>
      <c r="G19812"/>
      <c r="H19812"/>
      <c r="I19812" s="489"/>
    </row>
    <row r="19813" spans="1:9" x14ac:dyDescent="0.25">
      <c r="A19813">
        <v>41596</v>
      </c>
      <c r="B19813" t="s">
        <v>23316</v>
      </c>
      <c r="C19813" t="s">
        <v>2542</v>
      </c>
      <c r="D19813" s="254">
        <v>18.21</v>
      </c>
      <c r="E19813"/>
      <c r="F19813"/>
      <c r="G19813"/>
      <c r="H19813"/>
      <c r="I19813" s="489"/>
    </row>
    <row r="19814" spans="1:9" x14ac:dyDescent="0.25">
      <c r="A19814">
        <v>41598</v>
      </c>
      <c r="B19814" t="s">
        <v>23317</v>
      </c>
      <c r="C19814" t="s">
        <v>2542</v>
      </c>
      <c r="D19814" s="254">
        <v>18.21</v>
      </c>
      <c r="E19814"/>
      <c r="F19814"/>
      <c r="G19814"/>
      <c r="H19814"/>
      <c r="I19814" s="489"/>
    </row>
    <row r="19815" spans="1:9" x14ac:dyDescent="0.25">
      <c r="A19815">
        <v>41594</v>
      </c>
      <c r="B19815" t="s">
        <v>23318</v>
      </c>
      <c r="C19815" t="s">
        <v>2542</v>
      </c>
      <c r="D19815" s="254">
        <v>18.5</v>
      </c>
      <c r="E19815"/>
      <c r="F19815"/>
      <c r="G19815"/>
      <c r="H19815"/>
      <c r="I19815" s="489"/>
    </row>
    <row r="19816" spans="1:9" x14ac:dyDescent="0.25">
      <c r="A19816">
        <v>43663</v>
      </c>
      <c r="B19816" t="s">
        <v>23319</v>
      </c>
      <c r="C19816" t="s">
        <v>2542</v>
      </c>
      <c r="D19816" s="254">
        <v>15.24</v>
      </c>
      <c r="E19816"/>
      <c r="F19816"/>
      <c r="G19816"/>
      <c r="H19816"/>
      <c r="I19816" s="489"/>
    </row>
    <row r="19817" spans="1:9" x14ac:dyDescent="0.25">
      <c r="A19817">
        <v>4766</v>
      </c>
      <c r="B19817" t="s">
        <v>23320</v>
      </c>
      <c r="C19817" t="s">
        <v>2542</v>
      </c>
      <c r="D19817" s="254">
        <v>14.35</v>
      </c>
      <c r="E19817"/>
      <c r="F19817"/>
      <c r="G19817"/>
      <c r="H19817"/>
      <c r="I19817" s="489"/>
    </row>
    <row r="19818" spans="1:9" x14ac:dyDescent="0.25">
      <c r="A19818">
        <v>43664</v>
      </c>
      <c r="B19818" t="s">
        <v>23321</v>
      </c>
      <c r="C19818" t="s">
        <v>2542</v>
      </c>
      <c r="D19818" s="254">
        <v>15.32</v>
      </c>
      <c r="E19818"/>
      <c r="F19818"/>
      <c r="G19818"/>
      <c r="H19818"/>
      <c r="I19818" s="489"/>
    </row>
    <row r="19819" spans="1:9" x14ac:dyDescent="0.25">
      <c r="A19819">
        <v>43082</v>
      </c>
      <c r="B19819" t="s">
        <v>23322</v>
      </c>
      <c r="C19819" t="s">
        <v>2542</v>
      </c>
      <c r="D19819" s="254">
        <v>16.7</v>
      </c>
      <c r="E19819"/>
      <c r="F19819"/>
      <c r="G19819"/>
      <c r="H19819"/>
      <c r="I19819" s="489"/>
    </row>
    <row r="19820" spans="1:9" x14ac:dyDescent="0.25">
      <c r="A19820">
        <v>43665</v>
      </c>
      <c r="B19820" t="s">
        <v>23323</v>
      </c>
      <c r="C19820" t="s">
        <v>2542</v>
      </c>
      <c r="D19820" s="254">
        <v>14.35</v>
      </c>
      <c r="E19820"/>
      <c r="F19820"/>
      <c r="G19820"/>
      <c r="H19820"/>
      <c r="I19820" s="489"/>
    </row>
    <row r="19821" spans="1:9" x14ac:dyDescent="0.25">
      <c r="A19821">
        <v>10966</v>
      </c>
      <c r="B19821" t="s">
        <v>23324</v>
      </c>
      <c r="C19821" t="s">
        <v>2542</v>
      </c>
      <c r="D19821" s="254">
        <v>15.24</v>
      </c>
      <c r="E19821"/>
      <c r="F19821"/>
      <c r="G19821"/>
      <c r="H19821"/>
      <c r="I19821" s="489"/>
    </row>
    <row r="19822" spans="1:9" x14ac:dyDescent="0.25">
      <c r="A19822">
        <v>43692</v>
      </c>
      <c r="B19822" t="s">
        <v>23325</v>
      </c>
      <c r="C19822" t="s">
        <v>2542</v>
      </c>
      <c r="D19822" s="254">
        <v>15.24</v>
      </c>
      <c r="E19822"/>
      <c r="F19822"/>
      <c r="G19822"/>
      <c r="H19822"/>
      <c r="I19822" s="489"/>
    </row>
    <row r="19823" spans="1:9" x14ac:dyDescent="0.25">
      <c r="A19823">
        <v>43083</v>
      </c>
      <c r="B19823" t="s">
        <v>23326</v>
      </c>
      <c r="C19823" t="s">
        <v>2542</v>
      </c>
      <c r="D19823" s="254">
        <v>14.47</v>
      </c>
      <c r="E19823"/>
      <c r="F19823"/>
      <c r="G19823"/>
      <c r="H19823"/>
      <c r="I19823" s="489"/>
    </row>
    <row r="19824" spans="1:9" x14ac:dyDescent="0.25">
      <c r="A19824">
        <v>40535</v>
      </c>
      <c r="B19824" t="s">
        <v>23327</v>
      </c>
      <c r="C19824" t="s">
        <v>2542</v>
      </c>
      <c r="D19824" s="254">
        <v>14.47</v>
      </c>
      <c r="E19824"/>
      <c r="F19824"/>
      <c r="G19824"/>
      <c r="H19824"/>
      <c r="I19824" s="489"/>
    </row>
    <row r="19825" spans="1:9" x14ac:dyDescent="0.25">
      <c r="A19825">
        <v>39427</v>
      </c>
      <c r="B19825" t="s">
        <v>23328</v>
      </c>
      <c r="C19825" t="s">
        <v>2541</v>
      </c>
      <c r="D19825" s="254">
        <v>7.56</v>
      </c>
      <c r="E19825"/>
      <c r="F19825"/>
      <c r="G19825"/>
      <c r="H19825"/>
      <c r="I19825" s="489"/>
    </row>
    <row r="19826" spans="1:9" x14ac:dyDescent="0.25">
      <c r="A19826">
        <v>39424</v>
      </c>
      <c r="B19826" t="s">
        <v>23329</v>
      </c>
      <c r="C19826" t="s">
        <v>2541</v>
      </c>
      <c r="D19826" s="254">
        <v>4.5</v>
      </c>
      <c r="E19826"/>
      <c r="F19826"/>
      <c r="G19826"/>
      <c r="H19826"/>
      <c r="I19826" s="489"/>
    </row>
    <row r="19827" spans="1:9" x14ac:dyDescent="0.25">
      <c r="A19827">
        <v>39425</v>
      </c>
      <c r="B19827" t="s">
        <v>23330</v>
      </c>
      <c r="C19827" t="s">
        <v>2541</v>
      </c>
      <c r="D19827" s="254">
        <v>4.4400000000000004</v>
      </c>
      <c r="E19827"/>
      <c r="F19827"/>
      <c r="G19827"/>
      <c r="H19827"/>
      <c r="I19827" s="489"/>
    </row>
    <row r="19828" spans="1:9" x14ac:dyDescent="0.25">
      <c r="A19828">
        <v>40664</v>
      </c>
      <c r="B19828" t="s">
        <v>23331</v>
      </c>
      <c r="C19828" t="s">
        <v>2542</v>
      </c>
      <c r="D19828" s="254">
        <v>29.68</v>
      </c>
      <c r="E19828"/>
      <c r="F19828"/>
      <c r="G19828"/>
      <c r="H19828"/>
      <c r="I19828" s="489"/>
    </row>
    <row r="19829" spans="1:9" x14ac:dyDescent="0.25">
      <c r="A19829">
        <v>34360</v>
      </c>
      <c r="B19829" t="s">
        <v>23332</v>
      </c>
      <c r="C19829" t="s">
        <v>2542</v>
      </c>
      <c r="D19829" s="254">
        <v>70.58</v>
      </c>
      <c r="E19829"/>
      <c r="F19829"/>
      <c r="G19829"/>
      <c r="H19829"/>
      <c r="I19829" s="489"/>
    </row>
    <row r="19830" spans="1:9" x14ac:dyDescent="0.25">
      <c r="A19830">
        <v>20259</v>
      </c>
      <c r="B19830" t="s">
        <v>23333</v>
      </c>
      <c r="C19830" t="s">
        <v>2541</v>
      </c>
      <c r="D19830" s="254">
        <v>13.2</v>
      </c>
      <c r="E19830"/>
      <c r="F19830"/>
      <c r="G19830"/>
      <c r="H19830"/>
      <c r="I19830" s="489"/>
    </row>
    <row r="19831" spans="1:9" x14ac:dyDescent="0.25">
      <c r="A19831">
        <v>14077</v>
      </c>
      <c r="B19831" t="s">
        <v>23334</v>
      </c>
      <c r="C19831" t="s">
        <v>2541</v>
      </c>
      <c r="D19831" s="254">
        <v>202.04</v>
      </c>
      <c r="E19831"/>
      <c r="F19831"/>
      <c r="G19831"/>
      <c r="H19831"/>
      <c r="I19831" s="489"/>
    </row>
    <row r="19832" spans="1:9" x14ac:dyDescent="0.25">
      <c r="A19832">
        <v>3678</v>
      </c>
      <c r="B19832" t="s">
        <v>23335</v>
      </c>
      <c r="C19832" t="s">
        <v>2541</v>
      </c>
      <c r="D19832" s="254">
        <v>91.32</v>
      </c>
      <c r="E19832"/>
      <c r="F19832"/>
      <c r="G19832"/>
      <c r="H19832"/>
      <c r="I19832" s="489"/>
    </row>
    <row r="19833" spans="1:9" x14ac:dyDescent="0.25">
      <c r="A19833">
        <v>39418</v>
      </c>
      <c r="B19833" t="s">
        <v>23336</v>
      </c>
      <c r="C19833" t="s">
        <v>2541</v>
      </c>
      <c r="D19833" s="254">
        <v>8.43</v>
      </c>
      <c r="E19833"/>
      <c r="F19833"/>
      <c r="G19833"/>
      <c r="H19833"/>
      <c r="I19833" s="489"/>
    </row>
    <row r="19834" spans="1:9" x14ac:dyDescent="0.25">
      <c r="A19834">
        <v>39419</v>
      </c>
      <c r="B19834" t="s">
        <v>23337</v>
      </c>
      <c r="C19834" t="s">
        <v>2541</v>
      </c>
      <c r="D19834" s="254">
        <v>10.28</v>
      </c>
      <c r="E19834"/>
      <c r="F19834"/>
      <c r="G19834"/>
      <c r="H19834"/>
      <c r="I19834" s="489"/>
    </row>
    <row r="19835" spans="1:9" x14ac:dyDescent="0.25">
      <c r="A19835">
        <v>39420</v>
      </c>
      <c r="B19835" t="s">
        <v>23338</v>
      </c>
      <c r="C19835" t="s">
        <v>2541</v>
      </c>
      <c r="D19835" s="254">
        <v>11.34</v>
      </c>
      <c r="E19835"/>
      <c r="F19835"/>
      <c r="G19835"/>
      <c r="H19835"/>
      <c r="I19835" s="489"/>
    </row>
    <row r="19836" spans="1:9" x14ac:dyDescent="0.25">
      <c r="A19836">
        <v>39571</v>
      </c>
      <c r="B19836" t="s">
        <v>23339</v>
      </c>
      <c r="C19836" t="s">
        <v>2541</v>
      </c>
      <c r="D19836" s="254">
        <v>6.86</v>
      </c>
      <c r="E19836"/>
      <c r="F19836"/>
      <c r="G19836"/>
      <c r="H19836"/>
      <c r="I19836" s="489"/>
    </row>
    <row r="19837" spans="1:9" x14ac:dyDescent="0.25">
      <c r="A19837">
        <v>39421</v>
      </c>
      <c r="B19837" t="s">
        <v>23340</v>
      </c>
      <c r="C19837" t="s">
        <v>2541</v>
      </c>
      <c r="D19837" s="254">
        <v>9.99</v>
      </c>
      <c r="E19837"/>
      <c r="F19837"/>
      <c r="G19837"/>
      <c r="H19837"/>
      <c r="I19837" s="489"/>
    </row>
    <row r="19838" spans="1:9" x14ac:dyDescent="0.25">
      <c r="A19838">
        <v>39422</v>
      </c>
      <c r="B19838" t="s">
        <v>23341</v>
      </c>
      <c r="C19838" t="s">
        <v>2541</v>
      </c>
      <c r="D19838" s="254">
        <v>11.66</v>
      </c>
      <c r="E19838"/>
      <c r="F19838"/>
      <c r="G19838"/>
      <c r="H19838"/>
      <c r="I19838" s="489"/>
    </row>
    <row r="19839" spans="1:9" x14ac:dyDescent="0.25">
      <c r="A19839">
        <v>39423</v>
      </c>
      <c r="B19839" t="s">
        <v>23342</v>
      </c>
      <c r="C19839" t="s">
        <v>2541</v>
      </c>
      <c r="D19839" s="254">
        <v>13.54</v>
      </c>
      <c r="E19839"/>
      <c r="F19839"/>
      <c r="G19839"/>
      <c r="H19839"/>
      <c r="I19839" s="489"/>
    </row>
    <row r="19840" spans="1:9" x14ac:dyDescent="0.25">
      <c r="A19840">
        <v>39426</v>
      </c>
      <c r="B19840" t="s">
        <v>23343</v>
      </c>
      <c r="C19840" t="s">
        <v>2541</v>
      </c>
      <c r="D19840" s="254">
        <v>30.44</v>
      </c>
      <c r="E19840"/>
      <c r="F19840"/>
      <c r="G19840"/>
      <c r="H19840"/>
      <c r="I19840" s="489"/>
    </row>
    <row r="19841" spans="1:9" x14ac:dyDescent="0.25">
      <c r="A19841">
        <v>39429</v>
      </c>
      <c r="B19841" t="s">
        <v>23344</v>
      </c>
      <c r="C19841" t="s">
        <v>2541</v>
      </c>
      <c r="D19841" s="254">
        <v>9.6</v>
      </c>
      <c r="E19841"/>
      <c r="F19841"/>
      <c r="G19841"/>
      <c r="H19841"/>
      <c r="I19841" s="489"/>
    </row>
    <row r="19842" spans="1:9" x14ac:dyDescent="0.25">
      <c r="A19842">
        <v>39428</v>
      </c>
      <c r="B19842" t="s">
        <v>23345</v>
      </c>
      <c r="C19842" t="s">
        <v>2541</v>
      </c>
      <c r="D19842" s="254">
        <v>7.33</v>
      </c>
      <c r="E19842"/>
      <c r="F19842"/>
      <c r="G19842"/>
      <c r="H19842"/>
      <c r="I19842" s="489"/>
    </row>
    <row r="19843" spans="1:9" x14ac:dyDescent="0.25">
      <c r="A19843">
        <v>39572</v>
      </c>
      <c r="B19843" t="s">
        <v>23346</v>
      </c>
      <c r="C19843" t="s">
        <v>2541</v>
      </c>
      <c r="D19843" s="254">
        <v>6.35</v>
      </c>
      <c r="E19843"/>
      <c r="F19843"/>
      <c r="G19843"/>
      <c r="H19843"/>
      <c r="I19843" s="489"/>
    </row>
    <row r="19844" spans="1:9" x14ac:dyDescent="0.25">
      <c r="A19844">
        <v>39570</v>
      </c>
      <c r="B19844" t="s">
        <v>23347</v>
      </c>
      <c r="C19844" t="s">
        <v>2541</v>
      </c>
      <c r="D19844" s="254">
        <v>6.73</v>
      </c>
      <c r="E19844"/>
      <c r="F19844"/>
      <c r="G19844"/>
      <c r="H19844"/>
      <c r="I19844" s="489"/>
    </row>
    <row r="19845" spans="1:9" x14ac:dyDescent="0.25">
      <c r="A19845">
        <v>39569</v>
      </c>
      <c r="B19845" t="s">
        <v>23348</v>
      </c>
      <c r="C19845" t="s">
        <v>2541</v>
      </c>
      <c r="D19845" s="254">
        <v>6.65</v>
      </c>
      <c r="E19845"/>
      <c r="F19845"/>
      <c r="G19845"/>
      <c r="H19845"/>
      <c r="I19845" s="489"/>
    </row>
    <row r="19846" spans="1:9" x14ac:dyDescent="0.25">
      <c r="A19846">
        <v>11552</v>
      </c>
      <c r="B19846" t="s">
        <v>23349</v>
      </c>
      <c r="C19846" t="s">
        <v>2541</v>
      </c>
      <c r="D19846" s="254">
        <v>7.52</v>
      </c>
      <c r="E19846"/>
      <c r="F19846"/>
      <c r="G19846"/>
      <c r="H19846"/>
      <c r="I19846" s="489"/>
    </row>
    <row r="19847" spans="1:9" x14ac:dyDescent="0.25">
      <c r="A19847">
        <v>40598</v>
      </c>
      <c r="B19847" t="s">
        <v>23350</v>
      </c>
      <c r="C19847" t="s">
        <v>2542</v>
      </c>
      <c r="D19847" s="254">
        <v>14.11</v>
      </c>
      <c r="E19847"/>
      <c r="F19847"/>
      <c r="G19847"/>
      <c r="H19847"/>
      <c r="I19847" s="489"/>
    </row>
    <row r="19848" spans="1:9" x14ac:dyDescent="0.25">
      <c r="A19848">
        <v>39029</v>
      </c>
      <c r="B19848" t="s">
        <v>23351</v>
      </c>
      <c r="C19848" t="s">
        <v>2541</v>
      </c>
      <c r="D19848" s="254">
        <v>21.49</v>
      </c>
      <c r="E19848"/>
      <c r="F19848"/>
      <c r="G19848"/>
      <c r="H19848"/>
      <c r="I19848" s="489"/>
    </row>
    <row r="19849" spans="1:9" x14ac:dyDescent="0.25">
      <c r="A19849">
        <v>39028</v>
      </c>
      <c r="B19849" t="s">
        <v>23352</v>
      </c>
      <c r="C19849" t="s">
        <v>2541</v>
      </c>
      <c r="D19849" s="254">
        <v>12.51</v>
      </c>
      <c r="E19849"/>
      <c r="F19849"/>
      <c r="G19849"/>
      <c r="H19849"/>
      <c r="I19849" s="489"/>
    </row>
    <row r="19850" spans="1:9" x14ac:dyDescent="0.25">
      <c r="A19850">
        <v>39328</v>
      </c>
      <c r="B19850" t="s">
        <v>23353</v>
      </c>
      <c r="C19850" t="s">
        <v>2541</v>
      </c>
      <c r="D19850" s="254">
        <v>6.88</v>
      </c>
      <c r="E19850"/>
      <c r="F19850"/>
      <c r="G19850"/>
      <c r="H19850"/>
      <c r="I19850" s="489"/>
    </row>
    <row r="19851" spans="1:9" x14ac:dyDescent="0.25">
      <c r="A19851">
        <v>38541</v>
      </c>
      <c r="B19851" t="s">
        <v>23354</v>
      </c>
      <c r="C19851" t="s">
        <v>2537</v>
      </c>
      <c r="D19851" s="254">
        <v>4243218.5199999996</v>
      </c>
      <c r="E19851"/>
      <c r="F19851"/>
      <c r="G19851"/>
      <c r="H19851"/>
      <c r="I19851" s="489"/>
    </row>
    <row r="19852" spans="1:9" x14ac:dyDescent="0.25">
      <c r="A19852">
        <v>38542</v>
      </c>
      <c r="B19852" t="s">
        <v>23355</v>
      </c>
      <c r="C19852" t="s">
        <v>2537</v>
      </c>
      <c r="D19852" s="254">
        <v>6598034.1600000001</v>
      </c>
      <c r="E19852"/>
      <c r="F19852"/>
      <c r="G19852"/>
      <c r="H19852"/>
      <c r="I19852" s="489"/>
    </row>
    <row r="19853" spans="1:9" x14ac:dyDescent="0.25">
      <c r="A19853">
        <v>38543</v>
      </c>
      <c r="B19853" t="s">
        <v>23356</v>
      </c>
      <c r="C19853" t="s">
        <v>2537</v>
      </c>
      <c r="D19853" s="254">
        <v>1615380.83</v>
      </c>
      <c r="E19853"/>
      <c r="F19853"/>
      <c r="G19853"/>
      <c r="H19853"/>
      <c r="I19853" s="489"/>
    </row>
    <row r="19854" spans="1:9" x14ac:dyDescent="0.25">
      <c r="A19854">
        <v>40406</v>
      </c>
      <c r="B19854" t="s">
        <v>23357</v>
      </c>
      <c r="C19854" t="s">
        <v>2537</v>
      </c>
      <c r="D19854" s="254">
        <v>54210.239999999998</v>
      </c>
      <c r="E19854"/>
      <c r="F19854"/>
      <c r="G19854"/>
      <c r="H19854"/>
      <c r="I19854" s="489"/>
    </row>
    <row r="19855" spans="1:9" x14ac:dyDescent="0.25">
      <c r="A19855">
        <v>40789</v>
      </c>
      <c r="B19855" t="s">
        <v>23358</v>
      </c>
      <c r="C19855" t="s">
        <v>2537</v>
      </c>
      <c r="D19855" s="254">
        <v>7812.25</v>
      </c>
      <c r="E19855"/>
      <c r="F19855"/>
      <c r="G19855"/>
      <c r="H19855"/>
      <c r="I19855" s="489"/>
    </row>
    <row r="19856" spans="1:9" x14ac:dyDescent="0.25">
      <c r="A19856">
        <v>40791</v>
      </c>
      <c r="B19856" t="s">
        <v>23359</v>
      </c>
      <c r="C19856" t="s">
        <v>2537</v>
      </c>
      <c r="D19856" s="254">
        <v>24455.75</v>
      </c>
      <c r="E19856"/>
      <c r="F19856"/>
      <c r="G19856"/>
      <c r="H19856"/>
      <c r="I19856" s="489"/>
    </row>
    <row r="19857" spans="1:9" x14ac:dyDescent="0.25">
      <c r="A19857">
        <v>11651</v>
      </c>
      <c r="B19857" t="s">
        <v>23360</v>
      </c>
      <c r="C19857" t="s">
        <v>2537</v>
      </c>
      <c r="D19857" s="254">
        <v>13375.19</v>
      </c>
      <c r="E19857"/>
      <c r="F19857"/>
      <c r="G19857"/>
      <c r="H19857"/>
      <c r="I19857" s="489"/>
    </row>
    <row r="19858" spans="1:9" x14ac:dyDescent="0.25">
      <c r="A19858">
        <v>40435</v>
      </c>
      <c r="B19858" t="s">
        <v>23361</v>
      </c>
      <c r="C19858" t="s">
        <v>2537</v>
      </c>
      <c r="D19858" s="254">
        <v>886184.25</v>
      </c>
      <c r="E19858"/>
      <c r="F19858"/>
      <c r="G19858"/>
      <c r="H19858"/>
      <c r="I19858" s="489"/>
    </row>
    <row r="19859" spans="1:9" x14ac:dyDescent="0.25">
      <c r="A19859">
        <v>39012</v>
      </c>
      <c r="B19859" t="s">
        <v>23362</v>
      </c>
      <c r="C19859" t="s">
        <v>2537</v>
      </c>
      <c r="D19859" s="254">
        <v>924610.75</v>
      </c>
      <c r="E19859"/>
      <c r="F19859"/>
      <c r="G19859"/>
      <c r="H19859"/>
      <c r="I19859" s="489"/>
    </row>
    <row r="19860" spans="1:9" x14ac:dyDescent="0.25">
      <c r="A19860">
        <v>13617</v>
      </c>
      <c r="B19860" t="s">
        <v>23363</v>
      </c>
      <c r="C19860" t="s">
        <v>2537</v>
      </c>
      <c r="D19860" s="254">
        <v>97485.13</v>
      </c>
      <c r="E19860"/>
      <c r="F19860"/>
      <c r="G19860"/>
      <c r="H19860"/>
      <c r="I19860" s="489"/>
    </row>
    <row r="19861" spans="1:9" x14ac:dyDescent="0.25">
      <c r="A19861">
        <v>35274</v>
      </c>
      <c r="B19861" t="s">
        <v>23364</v>
      </c>
      <c r="C19861" t="s">
        <v>2541</v>
      </c>
      <c r="D19861" s="254">
        <v>72.319999999999993</v>
      </c>
      <c r="E19861"/>
      <c r="F19861"/>
      <c r="G19861"/>
      <c r="H19861"/>
      <c r="I19861" s="489"/>
    </row>
    <row r="19862" spans="1:9" x14ac:dyDescent="0.25">
      <c r="A19862">
        <v>35275</v>
      </c>
      <c r="B19862" t="s">
        <v>23365</v>
      </c>
      <c r="C19862" t="s">
        <v>2541</v>
      </c>
      <c r="D19862" s="254">
        <v>153.49</v>
      </c>
      <c r="E19862"/>
      <c r="F19862"/>
      <c r="G19862"/>
      <c r="H19862"/>
      <c r="I19862" s="489"/>
    </row>
    <row r="19863" spans="1:9" x14ac:dyDescent="0.25">
      <c r="A19863">
        <v>35276</v>
      </c>
      <c r="B19863" t="s">
        <v>23366</v>
      </c>
      <c r="C19863" t="s">
        <v>2541</v>
      </c>
      <c r="D19863" s="254">
        <v>267.07</v>
      </c>
      <c r="E19863"/>
      <c r="F19863"/>
      <c r="G19863"/>
      <c r="H19863"/>
      <c r="I19863" s="489"/>
    </row>
    <row r="19864" spans="1:9" x14ac:dyDescent="0.25">
      <c r="A19864">
        <v>38386</v>
      </c>
      <c r="B19864" t="s">
        <v>23367</v>
      </c>
      <c r="C19864" t="s">
        <v>2537</v>
      </c>
      <c r="D19864" s="254">
        <v>5.26</v>
      </c>
      <c r="E19864"/>
      <c r="F19864"/>
      <c r="G19864"/>
      <c r="H19864"/>
      <c r="I19864" s="489"/>
    </row>
    <row r="19865" spans="1:9" x14ac:dyDescent="0.25">
      <c r="A19865">
        <v>11091</v>
      </c>
      <c r="B19865" t="s">
        <v>23368</v>
      </c>
      <c r="C19865" t="s">
        <v>2537</v>
      </c>
      <c r="D19865" s="254">
        <v>1.82</v>
      </c>
      <c r="E19865"/>
      <c r="F19865"/>
      <c r="G19865"/>
      <c r="H19865"/>
      <c r="I19865" s="489"/>
    </row>
    <row r="19866" spans="1:9" x14ac:dyDescent="0.25">
      <c r="A19866">
        <v>37586</v>
      </c>
      <c r="B19866" t="s">
        <v>23369</v>
      </c>
      <c r="C19866" t="s">
        <v>2551</v>
      </c>
      <c r="D19866" s="254">
        <v>46.91</v>
      </c>
      <c r="E19866"/>
      <c r="F19866"/>
      <c r="G19866"/>
      <c r="H19866"/>
      <c r="I19866" s="489"/>
    </row>
    <row r="19867" spans="1:9" x14ac:dyDescent="0.25">
      <c r="A19867">
        <v>37395</v>
      </c>
      <c r="B19867" t="s">
        <v>23370</v>
      </c>
      <c r="C19867" t="s">
        <v>2551</v>
      </c>
      <c r="D19867" s="254">
        <v>40.33</v>
      </c>
      <c r="E19867"/>
      <c r="F19867"/>
      <c r="G19867"/>
      <c r="H19867"/>
      <c r="I19867" s="489"/>
    </row>
    <row r="19868" spans="1:9" x14ac:dyDescent="0.25">
      <c r="A19868">
        <v>14147</v>
      </c>
      <c r="B19868" t="s">
        <v>23371</v>
      </c>
      <c r="C19868" t="s">
        <v>2551</v>
      </c>
      <c r="D19868" s="254">
        <v>53.5</v>
      </c>
      <c r="E19868"/>
      <c r="F19868"/>
      <c r="G19868"/>
      <c r="H19868"/>
      <c r="I19868" s="489"/>
    </row>
    <row r="19869" spans="1:9" x14ac:dyDescent="0.25">
      <c r="A19869">
        <v>37396</v>
      </c>
      <c r="B19869" t="s">
        <v>23372</v>
      </c>
      <c r="C19869" t="s">
        <v>2551</v>
      </c>
      <c r="D19869" s="254">
        <v>33</v>
      </c>
      <c r="E19869"/>
      <c r="F19869"/>
      <c r="G19869"/>
      <c r="H19869"/>
      <c r="I19869" s="489"/>
    </row>
    <row r="19870" spans="1:9" x14ac:dyDescent="0.25">
      <c r="A19870">
        <v>37397</v>
      </c>
      <c r="B19870" t="s">
        <v>23373</v>
      </c>
      <c r="C19870" t="s">
        <v>2551</v>
      </c>
      <c r="D19870" s="254">
        <v>34.57</v>
      </c>
      <c r="E19870"/>
      <c r="F19870"/>
      <c r="G19870"/>
      <c r="H19870"/>
      <c r="I19870" s="489"/>
    </row>
    <row r="19871" spans="1:9" x14ac:dyDescent="0.25">
      <c r="A19871">
        <v>43606</v>
      </c>
      <c r="B19871" t="s">
        <v>23374</v>
      </c>
      <c r="C19871" t="s">
        <v>2537</v>
      </c>
      <c r="D19871" s="254">
        <v>9.01</v>
      </c>
      <c r="E19871"/>
      <c r="F19871"/>
      <c r="G19871"/>
      <c r="H19871"/>
      <c r="I19871" s="489"/>
    </row>
    <row r="19872" spans="1:9" x14ac:dyDescent="0.25">
      <c r="A19872">
        <v>444</v>
      </c>
      <c r="B19872" t="s">
        <v>23375</v>
      </c>
      <c r="C19872" t="s">
        <v>2537</v>
      </c>
      <c r="D19872" s="254">
        <v>51.13</v>
      </c>
      <c r="E19872"/>
      <c r="F19872"/>
      <c r="G19872"/>
      <c r="H19872"/>
      <c r="I19872" s="489"/>
    </row>
    <row r="19873" spans="1:9" x14ac:dyDescent="0.25">
      <c r="A19873">
        <v>445</v>
      </c>
      <c r="B19873" t="s">
        <v>23376</v>
      </c>
      <c r="C19873" t="s">
        <v>2537</v>
      </c>
      <c r="D19873" s="254">
        <v>69.989999999999995</v>
      </c>
      <c r="E19873"/>
      <c r="F19873"/>
      <c r="G19873"/>
      <c r="H19873"/>
      <c r="I19873" s="489"/>
    </row>
    <row r="19874" spans="1:9" x14ac:dyDescent="0.25">
      <c r="A19874">
        <v>4783</v>
      </c>
      <c r="B19874" t="s">
        <v>23377</v>
      </c>
      <c r="C19874" t="s">
        <v>2538</v>
      </c>
      <c r="D19874" s="254">
        <v>25.44</v>
      </c>
      <c r="E19874"/>
      <c r="F19874"/>
      <c r="G19874"/>
      <c r="H19874"/>
      <c r="I19874" s="489"/>
    </row>
    <row r="19875" spans="1:9" x14ac:dyDescent="0.25">
      <c r="A19875">
        <v>41079</v>
      </c>
      <c r="B19875" t="s">
        <v>23378</v>
      </c>
      <c r="C19875" t="s">
        <v>2544</v>
      </c>
      <c r="D19875" s="254">
        <v>4489.72</v>
      </c>
      <c r="E19875"/>
      <c r="F19875"/>
      <c r="G19875"/>
      <c r="H19875"/>
      <c r="I19875" s="489"/>
    </row>
    <row r="19876" spans="1:9" x14ac:dyDescent="0.25">
      <c r="A19876">
        <v>12874</v>
      </c>
      <c r="B19876" t="s">
        <v>23379</v>
      </c>
      <c r="C19876" t="s">
        <v>2538</v>
      </c>
      <c r="D19876" s="254">
        <v>24.7</v>
      </c>
      <c r="E19876"/>
      <c r="F19876"/>
      <c r="G19876"/>
      <c r="H19876"/>
      <c r="I19876" s="489"/>
    </row>
    <row r="19877" spans="1:9" x14ac:dyDescent="0.25">
      <c r="A19877">
        <v>41082</v>
      </c>
      <c r="B19877" t="s">
        <v>23380</v>
      </c>
      <c r="C19877" t="s">
        <v>2544</v>
      </c>
      <c r="D19877" s="254">
        <v>4359.82</v>
      </c>
      <c r="E19877"/>
      <c r="F19877"/>
      <c r="G19877"/>
      <c r="H19877"/>
      <c r="I19877" s="489"/>
    </row>
    <row r="19878" spans="1:9" x14ac:dyDescent="0.25">
      <c r="A19878">
        <v>4785</v>
      </c>
      <c r="B19878" t="s">
        <v>23381</v>
      </c>
      <c r="C19878" t="s">
        <v>2538</v>
      </c>
      <c r="D19878" s="254">
        <v>25.44</v>
      </c>
      <c r="E19878"/>
      <c r="F19878"/>
      <c r="G19878"/>
      <c r="H19878"/>
      <c r="I19878" s="489"/>
    </row>
    <row r="19879" spans="1:9" x14ac:dyDescent="0.25">
      <c r="A19879">
        <v>41081</v>
      </c>
      <c r="B19879" t="s">
        <v>23382</v>
      </c>
      <c r="C19879" t="s">
        <v>2544</v>
      </c>
      <c r="D19879" s="254">
        <v>4489.72</v>
      </c>
      <c r="E19879"/>
      <c r="F19879"/>
      <c r="G19879"/>
      <c r="H19879"/>
      <c r="I19879" s="489"/>
    </row>
    <row r="19880" spans="1:9" x14ac:dyDescent="0.25">
      <c r="A19880">
        <v>4801</v>
      </c>
      <c r="B19880" t="s">
        <v>23383</v>
      </c>
      <c r="C19880" t="s">
        <v>2539</v>
      </c>
      <c r="D19880" s="254">
        <v>67.37</v>
      </c>
      <c r="E19880"/>
      <c r="F19880"/>
      <c r="G19880"/>
      <c r="H19880"/>
      <c r="I19880" s="489"/>
    </row>
    <row r="19881" spans="1:9" x14ac:dyDescent="0.25">
      <c r="A19881">
        <v>4794</v>
      </c>
      <c r="B19881" t="s">
        <v>23384</v>
      </c>
      <c r="C19881" t="s">
        <v>2539</v>
      </c>
      <c r="D19881" s="254">
        <v>306.82</v>
      </c>
      <c r="E19881"/>
      <c r="F19881"/>
      <c r="G19881"/>
      <c r="H19881"/>
      <c r="I19881" s="489"/>
    </row>
    <row r="19882" spans="1:9" x14ac:dyDescent="0.25">
      <c r="A19882">
        <v>4796</v>
      </c>
      <c r="B19882" t="s">
        <v>23385</v>
      </c>
      <c r="C19882" t="s">
        <v>2539</v>
      </c>
      <c r="D19882" s="254">
        <v>186.36</v>
      </c>
      <c r="E19882"/>
      <c r="F19882"/>
      <c r="G19882"/>
      <c r="H19882"/>
      <c r="I19882" s="489"/>
    </row>
    <row r="19883" spans="1:9" x14ac:dyDescent="0.25">
      <c r="A19883">
        <v>4800</v>
      </c>
      <c r="B19883" t="s">
        <v>23386</v>
      </c>
      <c r="C19883" t="s">
        <v>2539</v>
      </c>
      <c r="D19883" s="254">
        <v>51.25</v>
      </c>
      <c r="E19883"/>
      <c r="F19883"/>
      <c r="G19883"/>
      <c r="H19883"/>
      <c r="I19883" s="489"/>
    </row>
    <row r="19884" spans="1:9" x14ac:dyDescent="0.25">
      <c r="A19884">
        <v>4795</v>
      </c>
      <c r="B19884" t="s">
        <v>23387</v>
      </c>
      <c r="C19884" t="s">
        <v>2539</v>
      </c>
      <c r="D19884" s="254">
        <v>298.68</v>
      </c>
      <c r="E19884"/>
      <c r="F19884"/>
      <c r="G19884"/>
      <c r="H19884"/>
      <c r="I19884" s="489"/>
    </row>
    <row r="19885" spans="1:9" x14ac:dyDescent="0.25">
      <c r="A19885">
        <v>39694</v>
      </c>
      <c r="B19885" t="s">
        <v>23388</v>
      </c>
      <c r="C19885" t="s">
        <v>2539</v>
      </c>
      <c r="D19885" s="254">
        <v>439</v>
      </c>
      <c r="E19885"/>
      <c r="F19885"/>
      <c r="G19885"/>
      <c r="H19885"/>
      <c r="I19885" s="489"/>
    </row>
    <row r="19886" spans="1:9" x14ac:dyDescent="0.25">
      <c r="A19886">
        <v>1292</v>
      </c>
      <c r="B19886" t="s">
        <v>23389</v>
      </c>
      <c r="C19886" t="s">
        <v>2539</v>
      </c>
      <c r="D19886" s="254">
        <v>55.04</v>
      </c>
      <c r="E19886"/>
      <c r="F19886"/>
      <c r="G19886"/>
      <c r="H19886"/>
      <c r="I19886" s="489"/>
    </row>
    <row r="19887" spans="1:9" x14ac:dyDescent="0.25">
      <c r="A19887">
        <v>1287</v>
      </c>
      <c r="B19887" t="s">
        <v>23390</v>
      </c>
      <c r="C19887" t="s">
        <v>2539</v>
      </c>
      <c r="D19887" s="254">
        <v>27</v>
      </c>
      <c r="E19887"/>
      <c r="F19887"/>
      <c r="G19887"/>
      <c r="H19887"/>
      <c r="I19887" s="489"/>
    </row>
    <row r="19888" spans="1:9" x14ac:dyDescent="0.25">
      <c r="A19888">
        <v>1297</v>
      </c>
      <c r="B19888" t="s">
        <v>23391</v>
      </c>
      <c r="C19888" t="s">
        <v>2539</v>
      </c>
      <c r="D19888" s="254">
        <v>22.39</v>
      </c>
      <c r="E19888"/>
      <c r="F19888"/>
      <c r="G19888"/>
      <c r="H19888"/>
      <c r="I19888" s="489"/>
    </row>
    <row r="19889" spans="1:9" x14ac:dyDescent="0.25">
      <c r="A19889">
        <v>4786</v>
      </c>
      <c r="B19889" t="s">
        <v>23392</v>
      </c>
      <c r="C19889" t="s">
        <v>2539</v>
      </c>
      <c r="D19889" s="254">
        <v>120</v>
      </c>
      <c r="E19889"/>
      <c r="F19889"/>
      <c r="G19889"/>
      <c r="H19889"/>
      <c r="I19889" s="489"/>
    </row>
    <row r="19890" spans="1:9" x14ac:dyDescent="0.25">
      <c r="A19890">
        <v>10840</v>
      </c>
      <c r="B19890" t="s">
        <v>23393</v>
      </c>
      <c r="C19890" t="s">
        <v>2539</v>
      </c>
      <c r="D19890" s="254">
        <v>420</v>
      </c>
      <c r="E19890"/>
      <c r="F19890"/>
      <c r="G19890"/>
      <c r="H19890"/>
      <c r="I19890" s="489"/>
    </row>
    <row r="19891" spans="1:9" x14ac:dyDescent="0.25">
      <c r="A19891">
        <v>10841</v>
      </c>
      <c r="B19891" t="s">
        <v>23394</v>
      </c>
      <c r="C19891" t="s">
        <v>2539</v>
      </c>
      <c r="D19891" s="254">
        <v>316.98</v>
      </c>
      <c r="E19891"/>
      <c r="F19891"/>
      <c r="G19891"/>
      <c r="H19891"/>
      <c r="I19891" s="489"/>
    </row>
    <row r="19892" spans="1:9" x14ac:dyDescent="0.25">
      <c r="A19892">
        <v>44540</v>
      </c>
      <c r="B19892" t="s">
        <v>23395</v>
      </c>
      <c r="C19892" t="s">
        <v>2539</v>
      </c>
      <c r="D19892" s="254">
        <v>405.03</v>
      </c>
      <c r="E19892"/>
      <c r="F19892"/>
      <c r="G19892"/>
      <c r="H19892"/>
      <c r="I19892" s="489"/>
    </row>
    <row r="19893" spans="1:9" x14ac:dyDescent="0.25">
      <c r="A19893">
        <v>10842</v>
      </c>
      <c r="B19893" t="s">
        <v>23396</v>
      </c>
      <c r="C19893" t="s">
        <v>2539</v>
      </c>
      <c r="D19893" s="254">
        <v>457.86</v>
      </c>
      <c r="E19893"/>
      <c r="F19893"/>
      <c r="G19893"/>
      <c r="H19893"/>
      <c r="I19893" s="489"/>
    </row>
    <row r="19894" spans="1:9" x14ac:dyDescent="0.25">
      <c r="A19894">
        <v>21108</v>
      </c>
      <c r="B19894" t="s">
        <v>23397</v>
      </c>
      <c r="C19894" t="s">
        <v>2539</v>
      </c>
      <c r="D19894" s="254">
        <v>73.36</v>
      </c>
      <c r="E19894"/>
      <c r="F19894"/>
      <c r="G19894"/>
      <c r="H19894"/>
      <c r="I19894" s="489"/>
    </row>
    <row r="19895" spans="1:9" x14ac:dyDescent="0.25">
      <c r="A19895">
        <v>38180</v>
      </c>
      <c r="B19895" t="s">
        <v>23398</v>
      </c>
      <c r="C19895" t="s">
        <v>2539</v>
      </c>
      <c r="D19895" s="254">
        <v>150.04</v>
      </c>
      <c r="E19895"/>
      <c r="F19895"/>
      <c r="G19895"/>
      <c r="H19895"/>
      <c r="I19895" s="489"/>
    </row>
    <row r="19896" spans="1:9" x14ac:dyDescent="0.25">
      <c r="A19896">
        <v>40648</v>
      </c>
      <c r="B19896" t="s">
        <v>23399</v>
      </c>
      <c r="C19896" t="s">
        <v>2539</v>
      </c>
      <c r="D19896" s="254">
        <v>230.4</v>
      </c>
      <c r="E19896"/>
      <c r="F19896"/>
      <c r="G19896"/>
      <c r="H19896"/>
      <c r="I19896" s="489"/>
    </row>
    <row r="19897" spans="1:9" x14ac:dyDescent="0.25">
      <c r="A19897">
        <v>40649</v>
      </c>
      <c r="B19897" t="s">
        <v>23400</v>
      </c>
      <c r="C19897" t="s">
        <v>2539</v>
      </c>
      <c r="D19897" s="254">
        <v>134.19999999999999</v>
      </c>
      <c r="E19897"/>
      <c r="F19897"/>
      <c r="G19897"/>
      <c r="H19897"/>
      <c r="I19897" s="489"/>
    </row>
    <row r="19898" spans="1:9" x14ac:dyDescent="0.25">
      <c r="A19898">
        <v>40650</v>
      </c>
      <c r="B19898" t="s">
        <v>23401</v>
      </c>
      <c r="C19898" t="s">
        <v>2539</v>
      </c>
      <c r="D19898" s="254">
        <v>172.8</v>
      </c>
      <c r="E19898"/>
      <c r="F19898"/>
      <c r="G19898"/>
      <c r="H19898"/>
      <c r="I19898" s="489"/>
    </row>
    <row r="19899" spans="1:9" x14ac:dyDescent="0.25">
      <c r="A19899">
        <v>40651</v>
      </c>
      <c r="B19899" t="s">
        <v>23402</v>
      </c>
      <c r="C19899" t="s">
        <v>2539</v>
      </c>
      <c r="D19899" s="254">
        <v>318.72000000000003</v>
      </c>
      <c r="E19899"/>
      <c r="F19899"/>
      <c r="G19899"/>
      <c r="H19899"/>
      <c r="I19899" s="489"/>
    </row>
    <row r="19900" spans="1:9" x14ac:dyDescent="0.25">
      <c r="A19900">
        <v>40652</v>
      </c>
      <c r="B19900" t="s">
        <v>23403</v>
      </c>
      <c r="C19900" t="s">
        <v>2539</v>
      </c>
      <c r="D19900" s="254">
        <v>170.88</v>
      </c>
      <c r="E19900"/>
      <c r="F19900"/>
      <c r="G19900"/>
      <c r="H19900"/>
      <c r="I19900" s="489"/>
    </row>
    <row r="19901" spans="1:9" x14ac:dyDescent="0.25">
      <c r="A19901">
        <v>40647</v>
      </c>
      <c r="B19901" t="s">
        <v>23404</v>
      </c>
      <c r="C19901" t="s">
        <v>2539</v>
      </c>
      <c r="D19901" s="254">
        <v>188.16</v>
      </c>
      <c r="E19901"/>
      <c r="F19901"/>
      <c r="G19901"/>
      <c r="H19901"/>
      <c r="I19901" s="489"/>
    </row>
    <row r="19902" spans="1:9" x14ac:dyDescent="0.25">
      <c r="A19902">
        <v>40653</v>
      </c>
      <c r="B19902" t="s">
        <v>23405</v>
      </c>
      <c r="C19902" t="s">
        <v>2539</v>
      </c>
      <c r="D19902" s="254">
        <v>144</v>
      </c>
      <c r="E19902"/>
      <c r="F19902"/>
      <c r="G19902"/>
      <c r="H19902"/>
      <c r="I19902" s="489"/>
    </row>
    <row r="19903" spans="1:9" x14ac:dyDescent="0.25">
      <c r="A19903">
        <v>36178</v>
      </c>
      <c r="B19903" t="s">
        <v>23406</v>
      </c>
      <c r="C19903" t="s">
        <v>2537</v>
      </c>
      <c r="D19903" s="254">
        <v>10.52</v>
      </c>
      <c r="E19903"/>
      <c r="F19903"/>
      <c r="G19903"/>
      <c r="H19903"/>
      <c r="I19903" s="489"/>
    </row>
    <row r="19904" spans="1:9" x14ac:dyDescent="0.25">
      <c r="A19904">
        <v>38195</v>
      </c>
      <c r="B19904" t="s">
        <v>23407</v>
      </c>
      <c r="C19904" t="s">
        <v>2539</v>
      </c>
      <c r="D19904" s="254">
        <v>86.64</v>
      </c>
      <c r="E19904"/>
      <c r="F19904"/>
      <c r="G19904"/>
      <c r="H19904"/>
      <c r="I19904" s="489"/>
    </row>
    <row r="19905" spans="1:9" x14ac:dyDescent="0.25">
      <c r="A19905">
        <v>38181</v>
      </c>
      <c r="B19905" t="s">
        <v>23408</v>
      </c>
      <c r="C19905" t="s">
        <v>2539</v>
      </c>
      <c r="D19905" s="254">
        <v>204.83</v>
      </c>
      <c r="E19905"/>
      <c r="F19905"/>
      <c r="G19905"/>
      <c r="H19905"/>
      <c r="I19905" s="489"/>
    </row>
    <row r="19906" spans="1:9" x14ac:dyDescent="0.25">
      <c r="A19906">
        <v>38182</v>
      </c>
      <c r="B19906" t="s">
        <v>23409</v>
      </c>
      <c r="C19906" t="s">
        <v>2539</v>
      </c>
      <c r="D19906" s="254">
        <v>195.11</v>
      </c>
      <c r="E19906"/>
      <c r="F19906"/>
      <c r="G19906"/>
      <c r="H19906"/>
      <c r="I19906" s="489"/>
    </row>
    <row r="19907" spans="1:9" x14ac:dyDescent="0.25">
      <c r="A19907">
        <v>38186</v>
      </c>
      <c r="B19907" t="s">
        <v>23410</v>
      </c>
      <c r="C19907" t="s">
        <v>2539</v>
      </c>
      <c r="D19907" s="254">
        <v>507.16</v>
      </c>
      <c r="E19907"/>
      <c r="F19907"/>
      <c r="G19907"/>
      <c r="H19907"/>
      <c r="I19907" s="489"/>
    </row>
    <row r="19908" spans="1:9" x14ac:dyDescent="0.25">
      <c r="A19908">
        <v>38185</v>
      </c>
      <c r="B19908" t="s">
        <v>23411</v>
      </c>
      <c r="C19908" t="s">
        <v>2539</v>
      </c>
      <c r="D19908" s="254">
        <v>451.55</v>
      </c>
      <c r="E19908"/>
      <c r="F19908"/>
      <c r="G19908"/>
      <c r="H19908"/>
      <c r="I19908" s="489"/>
    </row>
    <row r="19909" spans="1:9" x14ac:dyDescent="0.25">
      <c r="A19909">
        <v>40654</v>
      </c>
      <c r="B19909" t="s">
        <v>23412</v>
      </c>
      <c r="C19909" t="s">
        <v>2539</v>
      </c>
      <c r="D19909" s="254">
        <v>223.68</v>
      </c>
      <c r="E19909"/>
      <c r="F19909"/>
      <c r="G19909"/>
      <c r="H19909"/>
      <c r="I19909" s="489"/>
    </row>
    <row r="19910" spans="1:9" x14ac:dyDescent="0.25">
      <c r="A19910">
        <v>44541</v>
      </c>
      <c r="B19910" t="s">
        <v>23413</v>
      </c>
      <c r="C19910" t="s">
        <v>2539</v>
      </c>
      <c r="D19910" s="254">
        <v>334.59</v>
      </c>
      <c r="E19910"/>
      <c r="F19910"/>
      <c r="G19910"/>
      <c r="H19910"/>
      <c r="I19910" s="489"/>
    </row>
    <row r="19911" spans="1:9" x14ac:dyDescent="0.25">
      <c r="A19911">
        <v>4822</v>
      </c>
      <c r="B19911" t="s">
        <v>23414</v>
      </c>
      <c r="C19911" t="s">
        <v>2539</v>
      </c>
      <c r="D19911" s="254">
        <v>462.12</v>
      </c>
      <c r="E19911"/>
      <c r="F19911"/>
      <c r="G19911"/>
      <c r="H19911"/>
      <c r="I19911" s="489"/>
    </row>
    <row r="19912" spans="1:9" x14ac:dyDescent="0.25">
      <c r="A19912">
        <v>4818</v>
      </c>
      <c r="B19912" t="s">
        <v>23415</v>
      </c>
      <c r="C19912" t="s">
        <v>2539</v>
      </c>
      <c r="D19912" s="254">
        <v>475</v>
      </c>
      <c r="E19912"/>
      <c r="F19912"/>
      <c r="G19912"/>
      <c r="H19912"/>
      <c r="I19912" s="489"/>
    </row>
    <row r="19913" spans="1:9" x14ac:dyDescent="0.25">
      <c r="A19913">
        <v>39567</v>
      </c>
      <c r="B19913" t="s">
        <v>23416</v>
      </c>
      <c r="C19913" t="s">
        <v>2539</v>
      </c>
      <c r="D19913" s="254">
        <v>48.27</v>
      </c>
      <c r="E19913"/>
      <c r="F19913"/>
      <c r="G19913"/>
      <c r="H19913"/>
      <c r="I19913" s="489"/>
    </row>
    <row r="19914" spans="1:9" x14ac:dyDescent="0.25">
      <c r="A19914">
        <v>39566</v>
      </c>
      <c r="B19914" t="s">
        <v>23417</v>
      </c>
      <c r="C19914" t="s">
        <v>2539</v>
      </c>
      <c r="D19914" s="254">
        <v>51.09</v>
      </c>
      <c r="E19914"/>
      <c r="F19914"/>
      <c r="G19914"/>
      <c r="H19914"/>
      <c r="I19914" s="489"/>
    </row>
    <row r="19915" spans="1:9" x14ac:dyDescent="0.25">
      <c r="A19915">
        <v>39416</v>
      </c>
      <c r="B19915" t="s">
        <v>23418</v>
      </c>
      <c r="C19915" t="s">
        <v>2539</v>
      </c>
      <c r="D19915" s="254">
        <v>31.14</v>
      </c>
      <c r="E19915"/>
      <c r="F19915"/>
      <c r="G19915"/>
      <c r="H19915"/>
      <c r="I19915" s="489"/>
    </row>
    <row r="19916" spans="1:9" x14ac:dyDescent="0.25">
      <c r="A19916">
        <v>39417</v>
      </c>
      <c r="B19916" t="s">
        <v>23419</v>
      </c>
      <c r="C19916" t="s">
        <v>2539</v>
      </c>
      <c r="D19916" s="254">
        <v>30.37</v>
      </c>
      <c r="E19916"/>
      <c r="F19916"/>
      <c r="G19916"/>
      <c r="H19916"/>
      <c r="I19916" s="489"/>
    </row>
    <row r="19917" spans="1:9" x14ac:dyDescent="0.25">
      <c r="A19917">
        <v>43742</v>
      </c>
      <c r="B19917" t="s">
        <v>23420</v>
      </c>
      <c r="C19917" t="s">
        <v>2539</v>
      </c>
      <c r="D19917" s="254">
        <v>32.76</v>
      </c>
      <c r="E19917"/>
      <c r="F19917"/>
      <c r="G19917"/>
      <c r="H19917"/>
      <c r="I19917" s="489"/>
    </row>
    <row r="19918" spans="1:9" x14ac:dyDescent="0.25">
      <c r="A19918">
        <v>39414</v>
      </c>
      <c r="B19918" t="s">
        <v>23421</v>
      </c>
      <c r="C19918" t="s">
        <v>2539</v>
      </c>
      <c r="D19918" s="254">
        <v>29.49</v>
      </c>
      <c r="E19918"/>
      <c r="F19918"/>
      <c r="G19918"/>
      <c r="H19918"/>
      <c r="I19918" s="489"/>
    </row>
    <row r="19919" spans="1:9" x14ac:dyDescent="0.25">
      <c r="A19919">
        <v>39415</v>
      </c>
      <c r="B19919" t="s">
        <v>23422</v>
      </c>
      <c r="C19919" t="s">
        <v>2539</v>
      </c>
      <c r="D19919" s="254">
        <v>25.42</v>
      </c>
      <c r="E19919"/>
      <c r="F19919"/>
      <c r="G19919"/>
      <c r="H19919"/>
      <c r="I19919" s="489"/>
    </row>
    <row r="19920" spans="1:9" x14ac:dyDescent="0.25">
      <c r="A19920">
        <v>43740</v>
      </c>
      <c r="B19920" t="s">
        <v>23423</v>
      </c>
      <c r="C19920" t="s">
        <v>2539</v>
      </c>
      <c r="D19920" s="254">
        <v>31.04</v>
      </c>
      <c r="E19920"/>
      <c r="F19920"/>
      <c r="G19920"/>
      <c r="H19920"/>
      <c r="I19920" s="489"/>
    </row>
    <row r="19921" spans="1:9" x14ac:dyDescent="0.25">
      <c r="A19921">
        <v>39412</v>
      </c>
      <c r="B19921" t="s">
        <v>23424</v>
      </c>
      <c r="C19921" t="s">
        <v>2539</v>
      </c>
      <c r="D19921" s="254">
        <v>21.29</v>
      </c>
      <c r="E19921"/>
      <c r="F19921"/>
      <c r="G19921"/>
      <c r="H19921"/>
      <c r="I19921" s="489"/>
    </row>
    <row r="19922" spans="1:9" x14ac:dyDescent="0.25">
      <c r="A19922">
        <v>39413</v>
      </c>
      <c r="B19922" t="s">
        <v>23425</v>
      </c>
      <c r="C19922" t="s">
        <v>2539</v>
      </c>
      <c r="D19922" s="254">
        <v>23.02</v>
      </c>
      <c r="E19922"/>
      <c r="F19922"/>
      <c r="G19922"/>
      <c r="H19922"/>
      <c r="I19922" s="489"/>
    </row>
    <row r="19923" spans="1:9" x14ac:dyDescent="0.25">
      <c r="A19923">
        <v>43741</v>
      </c>
      <c r="B19923" t="s">
        <v>23426</v>
      </c>
      <c r="C19923" t="s">
        <v>2539</v>
      </c>
      <c r="D19923" s="254">
        <v>24.54</v>
      </c>
      <c r="E19923"/>
      <c r="F19923"/>
      <c r="G19923"/>
      <c r="H19923"/>
      <c r="I19923" s="489"/>
    </row>
    <row r="19924" spans="1:9" x14ac:dyDescent="0.25">
      <c r="A19924">
        <v>11062</v>
      </c>
      <c r="B19924" t="s">
        <v>23427</v>
      </c>
      <c r="C19924" t="s">
        <v>2539</v>
      </c>
      <c r="D19924" s="254">
        <v>48.25</v>
      </c>
      <c r="E19924"/>
      <c r="F19924"/>
      <c r="G19924"/>
      <c r="H19924"/>
      <c r="I19924" s="489"/>
    </row>
    <row r="19925" spans="1:9" x14ac:dyDescent="0.25">
      <c r="A19925">
        <v>11063</v>
      </c>
      <c r="B19925" t="s">
        <v>23428</v>
      </c>
      <c r="C19925" t="s">
        <v>2539</v>
      </c>
      <c r="D19925" s="254">
        <v>29.53</v>
      </c>
      <c r="E19925"/>
      <c r="F19925"/>
      <c r="G19925"/>
      <c r="H19925"/>
      <c r="I19925" s="489"/>
    </row>
    <row r="19926" spans="1:9" x14ac:dyDescent="0.25">
      <c r="A19926">
        <v>13521</v>
      </c>
      <c r="B19926" t="s">
        <v>23429</v>
      </c>
      <c r="C19926" t="s">
        <v>2537</v>
      </c>
      <c r="D19926" s="254">
        <v>140.25</v>
      </c>
      <c r="E19926"/>
      <c r="F19926"/>
      <c r="G19926"/>
      <c r="H19926"/>
      <c r="I19926" s="489"/>
    </row>
    <row r="19927" spans="1:9" x14ac:dyDescent="0.25">
      <c r="A19927">
        <v>10851</v>
      </c>
      <c r="B19927" t="s">
        <v>23430</v>
      </c>
      <c r="C19927" t="s">
        <v>2537</v>
      </c>
      <c r="D19927" s="254">
        <v>64.27</v>
      </c>
      <c r="E19927"/>
      <c r="F19927"/>
      <c r="G19927"/>
      <c r="H19927"/>
      <c r="I19927" s="489"/>
    </row>
    <row r="19928" spans="1:9" x14ac:dyDescent="0.25">
      <c r="A19928">
        <v>39515</v>
      </c>
      <c r="B19928" t="s">
        <v>23431</v>
      </c>
      <c r="C19928" t="s">
        <v>2537</v>
      </c>
      <c r="D19928" s="254">
        <v>53.34</v>
      </c>
      <c r="E19928"/>
      <c r="F19928"/>
      <c r="G19928"/>
      <c r="H19928"/>
      <c r="I19928" s="489"/>
    </row>
    <row r="19929" spans="1:9" x14ac:dyDescent="0.25">
      <c r="A19929">
        <v>39516</v>
      </c>
      <c r="B19929" t="s">
        <v>23432</v>
      </c>
      <c r="C19929" t="s">
        <v>2537</v>
      </c>
      <c r="D19929" s="254">
        <v>44.97</v>
      </c>
      <c r="E19929"/>
      <c r="F19929"/>
      <c r="G19929"/>
      <c r="H19929"/>
      <c r="I19929" s="489"/>
    </row>
    <row r="19930" spans="1:9" x14ac:dyDescent="0.25">
      <c r="A19930">
        <v>39514</v>
      </c>
      <c r="B19930" t="s">
        <v>23433</v>
      </c>
      <c r="C19930" t="s">
        <v>2537</v>
      </c>
      <c r="D19930" s="254">
        <v>27.98</v>
      </c>
      <c r="E19930"/>
      <c r="F19930"/>
      <c r="G19930"/>
      <c r="H19930"/>
      <c r="I19930" s="489"/>
    </row>
    <row r="19931" spans="1:9" x14ac:dyDescent="0.25">
      <c r="A19931">
        <v>4812</v>
      </c>
      <c r="B19931" t="s">
        <v>23434</v>
      </c>
      <c r="C19931" t="s">
        <v>2539</v>
      </c>
      <c r="D19931" s="254">
        <v>12.77</v>
      </c>
      <c r="E19931"/>
      <c r="F19931"/>
      <c r="G19931"/>
      <c r="H19931"/>
      <c r="I19931" s="489"/>
    </row>
    <row r="19932" spans="1:9" x14ac:dyDescent="0.25">
      <c r="A19932">
        <v>10849</v>
      </c>
      <c r="B19932" t="s">
        <v>23435</v>
      </c>
      <c r="C19932" t="s">
        <v>2537</v>
      </c>
      <c r="D19932" s="254">
        <v>2040.02</v>
      </c>
      <c r="E19932"/>
      <c r="F19932"/>
      <c r="G19932"/>
      <c r="H19932"/>
      <c r="I19932" s="489"/>
    </row>
    <row r="19933" spans="1:9" x14ac:dyDescent="0.25">
      <c r="A19933">
        <v>10848</v>
      </c>
      <c r="B19933" t="s">
        <v>23436</v>
      </c>
      <c r="C19933" t="s">
        <v>2537</v>
      </c>
      <c r="D19933" s="254">
        <v>1281.3800000000001</v>
      </c>
      <c r="E19933"/>
      <c r="F19933"/>
      <c r="G19933"/>
      <c r="H19933"/>
      <c r="I19933" s="489"/>
    </row>
    <row r="19934" spans="1:9" x14ac:dyDescent="0.25">
      <c r="A19934">
        <v>4813</v>
      </c>
      <c r="B19934" t="s">
        <v>23437</v>
      </c>
      <c r="C19934" t="s">
        <v>2539</v>
      </c>
      <c r="D19934" s="254">
        <v>425</v>
      </c>
      <c r="E19934"/>
      <c r="F19934"/>
      <c r="G19934"/>
      <c r="H19934"/>
      <c r="I19934" s="489"/>
    </row>
    <row r="19935" spans="1:9" x14ac:dyDescent="0.25">
      <c r="A19935">
        <v>37560</v>
      </c>
      <c r="B19935" t="s">
        <v>23438</v>
      </c>
      <c r="C19935" t="s">
        <v>2537</v>
      </c>
      <c r="D19935" s="254">
        <v>39.17</v>
      </c>
      <c r="E19935"/>
      <c r="F19935"/>
      <c r="G19935"/>
      <c r="H19935"/>
      <c r="I19935" s="489"/>
    </row>
    <row r="19936" spans="1:9" x14ac:dyDescent="0.25">
      <c r="A19936">
        <v>37557</v>
      </c>
      <c r="B19936" t="s">
        <v>23439</v>
      </c>
      <c r="C19936" t="s">
        <v>2537</v>
      </c>
      <c r="D19936" s="254">
        <v>11.89</v>
      </c>
      <c r="E19936"/>
      <c r="F19936"/>
      <c r="G19936"/>
      <c r="H19936"/>
      <c r="I19936" s="489"/>
    </row>
    <row r="19937" spans="1:9" x14ac:dyDescent="0.25">
      <c r="A19937">
        <v>37556</v>
      </c>
      <c r="B19937" t="s">
        <v>23440</v>
      </c>
      <c r="C19937" t="s">
        <v>2537</v>
      </c>
      <c r="D19937" s="254">
        <v>23.01</v>
      </c>
      <c r="E19937"/>
      <c r="F19937"/>
      <c r="G19937"/>
      <c r="H19937"/>
      <c r="I19937" s="489"/>
    </row>
    <row r="19938" spans="1:9" x14ac:dyDescent="0.25">
      <c r="A19938">
        <v>37559</v>
      </c>
      <c r="B19938" t="s">
        <v>23441</v>
      </c>
      <c r="C19938" t="s">
        <v>2537</v>
      </c>
      <c r="D19938" s="254">
        <v>28.23</v>
      </c>
      <c r="E19938"/>
      <c r="F19938"/>
      <c r="G19938"/>
      <c r="H19938"/>
      <c r="I19938" s="489"/>
    </row>
    <row r="19939" spans="1:9" x14ac:dyDescent="0.25">
      <c r="A19939">
        <v>37539</v>
      </c>
      <c r="B19939" t="s">
        <v>23442</v>
      </c>
      <c r="C19939" t="s">
        <v>2537</v>
      </c>
      <c r="D19939" s="254">
        <v>19.899999999999999</v>
      </c>
      <c r="E19939"/>
      <c r="F19939"/>
      <c r="G19939"/>
      <c r="H19939"/>
      <c r="I19939" s="489"/>
    </row>
    <row r="19940" spans="1:9" x14ac:dyDescent="0.25">
      <c r="A19940">
        <v>37558</v>
      </c>
      <c r="B19940" t="s">
        <v>23443</v>
      </c>
      <c r="C19940" t="s">
        <v>2537</v>
      </c>
      <c r="D19940" s="254">
        <v>37.1</v>
      </c>
      <c r="E19940"/>
      <c r="F19940"/>
      <c r="G19940"/>
      <c r="H19940"/>
      <c r="I19940" s="489"/>
    </row>
    <row r="19941" spans="1:9" x14ac:dyDescent="0.25">
      <c r="A19941">
        <v>34723</v>
      </c>
      <c r="B19941" t="s">
        <v>23444</v>
      </c>
      <c r="C19941" t="s">
        <v>2539</v>
      </c>
      <c r="D19941" s="254">
        <v>981.75</v>
      </c>
      <c r="E19941"/>
      <c r="F19941"/>
      <c r="G19941"/>
      <c r="H19941"/>
      <c r="I19941" s="489"/>
    </row>
    <row r="19942" spans="1:9" x14ac:dyDescent="0.25">
      <c r="A19942">
        <v>34721</v>
      </c>
      <c r="B19942" t="s">
        <v>23445</v>
      </c>
      <c r="C19942" t="s">
        <v>2539</v>
      </c>
      <c r="D19942" s="254">
        <v>1224.01</v>
      </c>
      <c r="E19942"/>
      <c r="F19942"/>
      <c r="G19942"/>
      <c r="H19942"/>
      <c r="I19942" s="489"/>
    </row>
    <row r="19943" spans="1:9" x14ac:dyDescent="0.25">
      <c r="A19943">
        <v>4309</v>
      </c>
      <c r="B19943" t="s">
        <v>23446</v>
      </c>
      <c r="C19943" t="s">
        <v>2537</v>
      </c>
      <c r="D19943" s="254">
        <v>8.15</v>
      </c>
      <c r="E19943"/>
      <c r="F19943"/>
      <c r="G19943"/>
      <c r="H19943"/>
      <c r="I19943" s="489"/>
    </row>
    <row r="19944" spans="1:9" x14ac:dyDescent="0.25">
      <c r="A19944">
        <v>4307</v>
      </c>
      <c r="B19944" t="s">
        <v>23447</v>
      </c>
      <c r="C19944" t="s">
        <v>2537</v>
      </c>
      <c r="D19944" s="254">
        <v>13.95</v>
      </c>
      <c r="E19944"/>
      <c r="F19944"/>
      <c r="G19944"/>
      <c r="H19944"/>
      <c r="I19944" s="489"/>
    </row>
    <row r="19945" spans="1:9" x14ac:dyDescent="0.25">
      <c r="A19945">
        <v>10850</v>
      </c>
      <c r="B19945" t="s">
        <v>23448</v>
      </c>
      <c r="C19945" t="s">
        <v>2537</v>
      </c>
      <c r="D19945" s="254">
        <v>63.75</v>
      </c>
      <c r="E19945"/>
      <c r="F19945"/>
      <c r="G19945"/>
      <c r="H19945"/>
      <c r="I19945" s="489"/>
    </row>
    <row r="19946" spans="1:9" x14ac:dyDescent="0.25">
      <c r="A19946">
        <v>42438</v>
      </c>
      <c r="B19946" t="s">
        <v>23449</v>
      </c>
      <c r="C19946" t="s">
        <v>2537</v>
      </c>
      <c r="D19946" s="254">
        <v>2072.34</v>
      </c>
      <c r="E19946"/>
      <c r="F19946"/>
      <c r="G19946"/>
      <c r="H19946"/>
      <c r="I19946" s="489"/>
    </row>
    <row r="19947" spans="1:9" x14ac:dyDescent="0.25">
      <c r="A19947">
        <v>4792</v>
      </c>
      <c r="B19947" t="s">
        <v>23450</v>
      </c>
      <c r="C19947" t="s">
        <v>2539</v>
      </c>
      <c r="D19947" s="254">
        <v>144.03</v>
      </c>
      <c r="E19947"/>
      <c r="F19947"/>
      <c r="G19947"/>
      <c r="H19947"/>
      <c r="I19947" s="489"/>
    </row>
    <row r="19948" spans="1:9" x14ac:dyDescent="0.25">
      <c r="A19948">
        <v>4790</v>
      </c>
      <c r="B19948" t="s">
        <v>23451</v>
      </c>
      <c r="C19948" t="s">
        <v>2539</v>
      </c>
      <c r="D19948" s="254">
        <v>86.6</v>
      </c>
      <c r="E19948"/>
      <c r="F19948"/>
      <c r="G19948"/>
      <c r="H19948"/>
      <c r="I19948" s="489"/>
    </row>
    <row r="19949" spans="1:9" x14ac:dyDescent="0.25">
      <c r="A19949">
        <v>40671</v>
      </c>
      <c r="B19949" t="s">
        <v>23452</v>
      </c>
      <c r="C19949" t="s">
        <v>2539</v>
      </c>
      <c r="D19949" s="254">
        <v>69.05</v>
      </c>
      <c r="E19949"/>
      <c r="F19949"/>
      <c r="G19949"/>
      <c r="H19949"/>
      <c r="I19949" s="489"/>
    </row>
    <row r="19950" spans="1:9" x14ac:dyDescent="0.25">
      <c r="A19950">
        <v>7552</v>
      </c>
      <c r="B19950" t="s">
        <v>23453</v>
      </c>
      <c r="C19950" t="s">
        <v>2537</v>
      </c>
      <c r="D19950" s="254">
        <v>34.299999999999997</v>
      </c>
      <c r="E19950"/>
      <c r="F19950"/>
      <c r="G19950"/>
      <c r="H19950"/>
      <c r="I19950" s="489"/>
    </row>
    <row r="19951" spans="1:9" x14ac:dyDescent="0.25">
      <c r="A19951">
        <v>4893</v>
      </c>
      <c r="B19951" t="s">
        <v>23454</v>
      </c>
      <c r="C19951" t="s">
        <v>2537</v>
      </c>
      <c r="D19951" s="254">
        <v>14.78</v>
      </c>
      <c r="E19951"/>
      <c r="F19951"/>
      <c r="G19951"/>
      <c r="H19951"/>
      <c r="I19951" s="489"/>
    </row>
    <row r="19952" spans="1:9" x14ac:dyDescent="0.25">
      <c r="A19952">
        <v>4894</v>
      </c>
      <c r="B19952" t="s">
        <v>23455</v>
      </c>
      <c r="C19952" t="s">
        <v>2537</v>
      </c>
      <c r="D19952" s="254">
        <v>12.68</v>
      </c>
      <c r="E19952"/>
      <c r="F19952"/>
      <c r="G19952"/>
      <c r="H19952"/>
      <c r="I19952" s="489"/>
    </row>
    <row r="19953" spans="1:9" x14ac:dyDescent="0.25">
      <c r="A19953">
        <v>4888</v>
      </c>
      <c r="B19953" t="s">
        <v>23456</v>
      </c>
      <c r="C19953" t="s">
        <v>2537</v>
      </c>
      <c r="D19953" s="254">
        <v>4.32</v>
      </c>
      <c r="E19953"/>
      <c r="F19953"/>
      <c r="G19953"/>
      <c r="H19953"/>
      <c r="I19953" s="489"/>
    </row>
    <row r="19954" spans="1:9" x14ac:dyDescent="0.25">
      <c r="A19954">
        <v>4890</v>
      </c>
      <c r="B19954" t="s">
        <v>23457</v>
      </c>
      <c r="C19954" t="s">
        <v>2537</v>
      </c>
      <c r="D19954" s="254">
        <v>8.11</v>
      </c>
      <c r="E19954"/>
      <c r="F19954"/>
      <c r="G19954"/>
      <c r="H19954"/>
      <c r="I19954" s="489"/>
    </row>
    <row r="19955" spans="1:9" x14ac:dyDescent="0.25">
      <c r="A19955">
        <v>12411</v>
      </c>
      <c r="B19955" t="s">
        <v>23458</v>
      </c>
      <c r="C19955" t="s">
        <v>2537</v>
      </c>
      <c r="D19955" s="254">
        <v>43.71</v>
      </c>
      <c r="E19955"/>
      <c r="F19955"/>
      <c r="G19955"/>
      <c r="H19955"/>
      <c r="I19955" s="489"/>
    </row>
    <row r="19956" spans="1:9" x14ac:dyDescent="0.25">
      <c r="A19956">
        <v>4891</v>
      </c>
      <c r="B19956" t="s">
        <v>23459</v>
      </c>
      <c r="C19956" t="s">
        <v>2537</v>
      </c>
      <c r="D19956" s="254">
        <v>21.85</v>
      </c>
      <c r="E19956"/>
      <c r="F19956"/>
      <c r="G19956"/>
      <c r="H19956"/>
      <c r="I19956" s="489"/>
    </row>
    <row r="19957" spans="1:9" x14ac:dyDescent="0.25">
      <c r="A19957">
        <v>4889</v>
      </c>
      <c r="B19957" t="s">
        <v>23460</v>
      </c>
      <c r="C19957" t="s">
        <v>2537</v>
      </c>
      <c r="D19957" s="254">
        <v>5.84</v>
      </c>
      <c r="E19957"/>
      <c r="F19957"/>
      <c r="G19957"/>
      <c r="H19957"/>
      <c r="I19957" s="489"/>
    </row>
    <row r="19958" spans="1:9" x14ac:dyDescent="0.25">
      <c r="A19958">
        <v>4892</v>
      </c>
      <c r="B19958" t="s">
        <v>23461</v>
      </c>
      <c r="C19958" t="s">
        <v>2537</v>
      </c>
      <c r="D19958" s="254">
        <v>61.2</v>
      </c>
      <c r="E19958"/>
      <c r="F19958"/>
      <c r="G19958"/>
      <c r="H19958"/>
      <c r="I19958" s="489"/>
    </row>
    <row r="19959" spans="1:9" x14ac:dyDescent="0.25">
      <c r="A19959">
        <v>12412</v>
      </c>
      <c r="B19959" t="s">
        <v>23462</v>
      </c>
      <c r="C19959" t="s">
        <v>2537</v>
      </c>
      <c r="D19959" s="254">
        <v>113.74</v>
      </c>
      <c r="E19959"/>
      <c r="F19959"/>
      <c r="G19959"/>
      <c r="H19959"/>
      <c r="I19959" s="489"/>
    </row>
    <row r="19960" spans="1:9" x14ac:dyDescent="0.25">
      <c r="A19960">
        <v>11073</v>
      </c>
      <c r="B19960" t="s">
        <v>23463</v>
      </c>
      <c r="C19960" t="s">
        <v>2537</v>
      </c>
      <c r="D19960" s="254">
        <v>5.91</v>
      </c>
      <c r="E19960"/>
      <c r="F19960"/>
      <c r="G19960"/>
      <c r="H19960"/>
      <c r="I19960" s="489"/>
    </row>
    <row r="19961" spans="1:9" x14ac:dyDescent="0.25">
      <c r="A19961">
        <v>11071</v>
      </c>
      <c r="B19961" t="s">
        <v>23464</v>
      </c>
      <c r="C19961" t="s">
        <v>2537</v>
      </c>
      <c r="D19961" s="254">
        <v>9.57</v>
      </c>
      <c r="E19961"/>
      <c r="F19961"/>
      <c r="G19961"/>
      <c r="H19961"/>
      <c r="I19961" s="489"/>
    </row>
    <row r="19962" spans="1:9" x14ac:dyDescent="0.25">
      <c r="A19962">
        <v>11072</v>
      </c>
      <c r="B19962" t="s">
        <v>23465</v>
      </c>
      <c r="C19962" t="s">
        <v>2537</v>
      </c>
      <c r="D19962" s="254">
        <v>3.34</v>
      </c>
      <c r="E19962"/>
      <c r="F19962"/>
      <c r="G19962"/>
      <c r="H19962"/>
      <c r="I19962" s="489"/>
    </row>
    <row r="19963" spans="1:9" x14ac:dyDescent="0.25">
      <c r="A19963">
        <v>4895</v>
      </c>
      <c r="B19963" t="s">
        <v>23466</v>
      </c>
      <c r="C19963" t="s">
        <v>2537</v>
      </c>
      <c r="D19963" s="254">
        <v>0.69</v>
      </c>
      <c r="E19963"/>
      <c r="F19963"/>
      <c r="G19963"/>
      <c r="H19963"/>
      <c r="I19963" s="489"/>
    </row>
    <row r="19964" spans="1:9" x14ac:dyDescent="0.25">
      <c r="A19964">
        <v>4907</v>
      </c>
      <c r="B19964" t="s">
        <v>23467</v>
      </c>
      <c r="C19964" t="s">
        <v>2537</v>
      </c>
      <c r="D19964" s="254">
        <v>39.770000000000003</v>
      </c>
      <c r="E19964"/>
      <c r="F19964"/>
      <c r="G19964"/>
      <c r="H19964"/>
      <c r="I19964" s="489"/>
    </row>
    <row r="19965" spans="1:9" x14ac:dyDescent="0.25">
      <c r="A19965">
        <v>4902</v>
      </c>
      <c r="B19965" t="s">
        <v>23468</v>
      </c>
      <c r="C19965" t="s">
        <v>2537</v>
      </c>
      <c r="D19965" s="254">
        <v>90.01</v>
      </c>
      <c r="E19965"/>
      <c r="F19965"/>
      <c r="G19965"/>
      <c r="H19965"/>
      <c r="I19965" s="489"/>
    </row>
    <row r="19966" spans="1:9" x14ac:dyDescent="0.25">
      <c r="A19966">
        <v>4908</v>
      </c>
      <c r="B19966" t="s">
        <v>23469</v>
      </c>
      <c r="C19966" t="s">
        <v>2537</v>
      </c>
      <c r="D19966" s="254">
        <v>182.78</v>
      </c>
      <c r="E19966"/>
      <c r="F19966"/>
      <c r="G19966"/>
      <c r="H19966"/>
      <c r="I19966" s="489"/>
    </row>
    <row r="19967" spans="1:9" x14ac:dyDescent="0.25">
      <c r="A19967">
        <v>4909</v>
      </c>
      <c r="B19967" t="s">
        <v>23470</v>
      </c>
      <c r="C19967" t="s">
        <v>2537</v>
      </c>
      <c r="D19967" s="254">
        <v>352.99</v>
      </c>
      <c r="E19967"/>
      <c r="F19967"/>
      <c r="G19967"/>
      <c r="H19967"/>
      <c r="I19967" s="489"/>
    </row>
    <row r="19968" spans="1:9" x14ac:dyDescent="0.25">
      <c r="A19968">
        <v>4903</v>
      </c>
      <c r="B19968" t="s">
        <v>23471</v>
      </c>
      <c r="C19968" t="s">
        <v>2537</v>
      </c>
      <c r="D19968" s="254">
        <v>1037.93</v>
      </c>
      <c r="E19968"/>
      <c r="F19968"/>
      <c r="G19968"/>
      <c r="H19968"/>
      <c r="I19968" s="489"/>
    </row>
    <row r="19969" spans="1:9" x14ac:dyDescent="0.25">
      <c r="A19969">
        <v>4897</v>
      </c>
      <c r="B19969" t="s">
        <v>23472</v>
      </c>
      <c r="C19969" t="s">
        <v>2537</v>
      </c>
      <c r="D19969" s="254">
        <v>2.93</v>
      </c>
      <c r="E19969"/>
      <c r="F19969"/>
      <c r="G19969"/>
      <c r="H19969"/>
      <c r="I19969" s="489"/>
    </row>
    <row r="19970" spans="1:9" x14ac:dyDescent="0.25">
      <c r="A19970">
        <v>4896</v>
      </c>
      <c r="B19970" t="s">
        <v>23473</v>
      </c>
      <c r="C19970" t="s">
        <v>2537</v>
      </c>
      <c r="D19970" s="254">
        <v>1.04</v>
      </c>
      <c r="E19970"/>
      <c r="F19970"/>
      <c r="G19970"/>
      <c r="H19970"/>
      <c r="I19970" s="489"/>
    </row>
    <row r="19971" spans="1:9" x14ac:dyDescent="0.25">
      <c r="A19971">
        <v>4900</v>
      </c>
      <c r="B19971" t="s">
        <v>23474</v>
      </c>
      <c r="C19971" t="s">
        <v>2537</v>
      </c>
      <c r="D19971" s="254">
        <v>8.7200000000000006</v>
      </c>
      <c r="E19971"/>
      <c r="F19971"/>
      <c r="G19971"/>
      <c r="H19971"/>
      <c r="I19971" s="489"/>
    </row>
    <row r="19972" spans="1:9" x14ac:dyDescent="0.25">
      <c r="A19972">
        <v>4898</v>
      </c>
      <c r="B19972" t="s">
        <v>23475</v>
      </c>
      <c r="C19972" t="s">
        <v>2537</v>
      </c>
      <c r="D19972" s="254">
        <v>3.26</v>
      </c>
      <c r="E19972"/>
      <c r="F19972"/>
      <c r="G19972"/>
      <c r="H19972"/>
      <c r="I19972" s="489"/>
    </row>
    <row r="19973" spans="1:9" x14ac:dyDescent="0.25">
      <c r="A19973">
        <v>4899</v>
      </c>
      <c r="B19973" t="s">
        <v>23476</v>
      </c>
      <c r="C19973" t="s">
        <v>2537</v>
      </c>
      <c r="D19973" s="254">
        <v>11.96</v>
      </c>
      <c r="E19973"/>
      <c r="F19973"/>
      <c r="G19973"/>
      <c r="H19973"/>
      <c r="I19973" s="489"/>
    </row>
    <row r="19974" spans="1:9" x14ac:dyDescent="0.25">
      <c r="A19974">
        <v>11096</v>
      </c>
      <c r="B19974" t="s">
        <v>23477</v>
      </c>
      <c r="C19974" t="s">
        <v>2542</v>
      </c>
      <c r="D19974" s="254">
        <v>1.4</v>
      </c>
      <c r="E19974"/>
      <c r="F19974"/>
      <c r="G19974"/>
      <c r="H19974"/>
      <c r="I19974" s="489"/>
    </row>
    <row r="19975" spans="1:9" x14ac:dyDescent="0.25">
      <c r="A19975">
        <v>4741</v>
      </c>
      <c r="B19975" t="s">
        <v>23478</v>
      </c>
      <c r="C19975" t="s">
        <v>2540</v>
      </c>
      <c r="D19975" s="254">
        <v>96.31</v>
      </c>
      <c r="E19975"/>
      <c r="F19975"/>
      <c r="G19975"/>
      <c r="H19975"/>
      <c r="I19975" s="489"/>
    </row>
    <row r="19976" spans="1:9" x14ac:dyDescent="0.25">
      <c r="A19976">
        <v>4752</v>
      </c>
      <c r="B19976" t="s">
        <v>23479</v>
      </c>
      <c r="C19976" t="s">
        <v>2538</v>
      </c>
      <c r="D19976" s="254">
        <v>18.54</v>
      </c>
      <c r="E19976"/>
      <c r="F19976"/>
      <c r="G19976"/>
      <c r="H19976"/>
      <c r="I19976" s="489"/>
    </row>
    <row r="19977" spans="1:9" x14ac:dyDescent="0.25">
      <c r="A19977">
        <v>41091</v>
      </c>
      <c r="B19977" t="s">
        <v>23480</v>
      </c>
      <c r="C19977" t="s">
        <v>2544</v>
      </c>
      <c r="D19977" s="254">
        <v>3271.88</v>
      </c>
      <c r="E19977"/>
      <c r="F19977"/>
      <c r="G19977"/>
      <c r="H19977"/>
      <c r="I19977" s="489"/>
    </row>
    <row r="19978" spans="1:9" x14ac:dyDescent="0.25">
      <c r="A19978">
        <v>13954</v>
      </c>
      <c r="B19978" t="s">
        <v>23481</v>
      </c>
      <c r="C19978" t="s">
        <v>2537</v>
      </c>
      <c r="D19978" s="254">
        <v>7146.79</v>
      </c>
      <c r="E19978"/>
      <c r="F19978"/>
      <c r="G19978"/>
      <c r="H19978"/>
      <c r="I19978" s="489"/>
    </row>
    <row r="19979" spans="1:9" x14ac:dyDescent="0.25">
      <c r="A19979">
        <v>3411</v>
      </c>
      <c r="B19979" t="s">
        <v>23482</v>
      </c>
      <c r="C19979" t="s">
        <v>2542</v>
      </c>
      <c r="D19979" s="254">
        <v>35.200000000000003</v>
      </c>
      <c r="E19979"/>
      <c r="F19979"/>
      <c r="G19979"/>
      <c r="H19979"/>
      <c r="I19979" s="489"/>
    </row>
    <row r="19980" spans="1:9" x14ac:dyDescent="0.25">
      <c r="A19980">
        <v>39995</v>
      </c>
      <c r="B19980" t="s">
        <v>23483</v>
      </c>
      <c r="C19980" t="s">
        <v>2540</v>
      </c>
      <c r="D19980" s="254">
        <v>270.79000000000002</v>
      </c>
      <c r="E19980"/>
      <c r="F19980"/>
      <c r="G19980"/>
      <c r="H19980"/>
      <c r="I19980" s="489"/>
    </row>
    <row r="19981" spans="1:9" x14ac:dyDescent="0.25">
      <c r="A19981">
        <v>11615</v>
      </c>
      <c r="B19981" t="s">
        <v>23484</v>
      </c>
      <c r="C19981" t="s">
        <v>2539</v>
      </c>
      <c r="D19981" s="254">
        <v>2.29</v>
      </c>
      <c r="E19981"/>
      <c r="F19981"/>
      <c r="G19981"/>
      <c r="H19981"/>
      <c r="I19981" s="489"/>
    </row>
    <row r="19982" spans="1:9" x14ac:dyDescent="0.25">
      <c r="A19982">
        <v>3408</v>
      </c>
      <c r="B19982" t="s">
        <v>23485</v>
      </c>
      <c r="C19982" t="s">
        <v>2539</v>
      </c>
      <c r="D19982" s="254">
        <v>6.1</v>
      </c>
      <c r="E19982"/>
      <c r="F19982"/>
      <c r="G19982"/>
      <c r="H19982"/>
      <c r="I19982" s="489"/>
    </row>
    <row r="19983" spans="1:9" x14ac:dyDescent="0.25">
      <c r="A19983">
        <v>3409</v>
      </c>
      <c r="B19983" t="s">
        <v>23486</v>
      </c>
      <c r="C19983" t="s">
        <v>2539</v>
      </c>
      <c r="D19983" s="254">
        <v>15.25</v>
      </c>
      <c r="E19983"/>
      <c r="F19983"/>
      <c r="G19983"/>
      <c r="H19983"/>
      <c r="I19983" s="489"/>
    </row>
    <row r="19984" spans="1:9" x14ac:dyDescent="0.25">
      <c r="A19984">
        <v>11427</v>
      </c>
      <c r="B19984" t="s">
        <v>23487</v>
      </c>
      <c r="C19984" t="s">
        <v>2542</v>
      </c>
      <c r="D19984" s="254">
        <v>110.86</v>
      </c>
      <c r="E19984"/>
      <c r="F19984"/>
      <c r="G19984"/>
      <c r="H19984"/>
      <c r="I19984" s="489"/>
    </row>
    <row r="19985" spans="1:9" x14ac:dyDescent="0.25">
      <c r="A19985">
        <v>4491</v>
      </c>
      <c r="B19985" t="s">
        <v>23488</v>
      </c>
      <c r="C19985" t="s">
        <v>2541</v>
      </c>
      <c r="D19985" s="254">
        <v>8.1199999999999992</v>
      </c>
      <c r="E19985"/>
      <c r="F19985"/>
      <c r="G19985"/>
      <c r="H19985"/>
      <c r="I19985" s="489"/>
    </row>
    <row r="19986" spans="1:9" x14ac:dyDescent="0.25">
      <c r="A19986">
        <v>2745</v>
      </c>
      <c r="B19986" t="s">
        <v>23489</v>
      </c>
      <c r="C19986" t="s">
        <v>2541</v>
      </c>
      <c r="D19986" s="254">
        <v>3.34</v>
      </c>
      <c r="E19986"/>
      <c r="F19986"/>
      <c r="G19986"/>
      <c r="H19986"/>
      <c r="I19986" s="489"/>
    </row>
    <row r="19987" spans="1:9" x14ac:dyDescent="0.25">
      <c r="A19987">
        <v>14439</v>
      </c>
      <c r="B19987" t="s">
        <v>23490</v>
      </c>
      <c r="C19987" t="s">
        <v>2541</v>
      </c>
      <c r="D19987" s="254">
        <v>4.1500000000000004</v>
      </c>
      <c r="E19987"/>
      <c r="F19987"/>
      <c r="G19987"/>
      <c r="H19987"/>
      <c r="I19987" s="489"/>
    </row>
    <row r="19988" spans="1:9" x14ac:dyDescent="0.25">
      <c r="A19988">
        <v>44496</v>
      </c>
      <c r="B19988" t="s">
        <v>23491</v>
      </c>
      <c r="C19988" t="s">
        <v>2537</v>
      </c>
      <c r="D19988" s="254">
        <v>189.69</v>
      </c>
      <c r="E19988"/>
      <c r="F19988"/>
      <c r="G19988"/>
      <c r="H19988"/>
      <c r="I19988" s="489"/>
    </row>
    <row r="19989" spans="1:9" x14ac:dyDescent="0.25">
      <c r="A19989">
        <v>12362</v>
      </c>
      <c r="B19989" t="s">
        <v>23492</v>
      </c>
      <c r="C19989" t="s">
        <v>2537</v>
      </c>
      <c r="D19989" s="254">
        <v>27.78</v>
      </c>
      <c r="E19989"/>
      <c r="F19989"/>
      <c r="G19989"/>
      <c r="H19989"/>
      <c r="I19989" s="489"/>
    </row>
    <row r="19990" spans="1:9" x14ac:dyDescent="0.25">
      <c r="A19990">
        <v>421</v>
      </c>
      <c r="B19990" t="s">
        <v>23493</v>
      </c>
      <c r="C19990" t="s">
        <v>2537</v>
      </c>
      <c r="D19990" s="254">
        <v>16.98</v>
      </c>
      <c r="E19990"/>
      <c r="F19990"/>
      <c r="G19990"/>
      <c r="H19990"/>
      <c r="I19990" s="489"/>
    </row>
    <row r="19991" spans="1:9" x14ac:dyDescent="0.25">
      <c r="A19991">
        <v>14148</v>
      </c>
      <c r="B19991" t="s">
        <v>23494</v>
      </c>
      <c r="C19991" t="s">
        <v>2537</v>
      </c>
      <c r="D19991" s="254">
        <v>0.91</v>
      </c>
      <c r="E19991"/>
      <c r="F19991"/>
      <c r="G19991"/>
      <c r="H19991"/>
      <c r="I19991" s="489"/>
    </row>
    <row r="19992" spans="1:9" x14ac:dyDescent="0.25">
      <c r="A19992">
        <v>4341</v>
      </c>
      <c r="B19992" t="s">
        <v>23495</v>
      </c>
      <c r="C19992" t="s">
        <v>2537</v>
      </c>
      <c r="D19992" s="254">
        <v>1.61</v>
      </c>
      <c r="E19992"/>
      <c r="F19992"/>
      <c r="G19992"/>
      <c r="H19992"/>
      <c r="I19992" s="489"/>
    </row>
    <row r="19993" spans="1:9" x14ac:dyDescent="0.25">
      <c r="A19993">
        <v>4337</v>
      </c>
      <c r="B19993" t="s">
        <v>23496</v>
      </c>
      <c r="C19993" t="s">
        <v>2537</v>
      </c>
      <c r="D19993" s="254">
        <v>4.05</v>
      </c>
      <c r="E19993"/>
      <c r="F19993"/>
      <c r="G19993"/>
      <c r="H19993"/>
      <c r="I19993" s="489"/>
    </row>
    <row r="19994" spans="1:9" x14ac:dyDescent="0.25">
      <c r="A19994">
        <v>4339</v>
      </c>
      <c r="B19994" t="s">
        <v>23497</v>
      </c>
      <c r="C19994" t="s">
        <v>2537</v>
      </c>
      <c r="D19994" s="254">
        <v>0.86</v>
      </c>
      <c r="E19994"/>
      <c r="F19994"/>
      <c r="G19994"/>
      <c r="H19994"/>
      <c r="I19994" s="489"/>
    </row>
    <row r="19995" spans="1:9" x14ac:dyDescent="0.25">
      <c r="A19995">
        <v>39997</v>
      </c>
      <c r="B19995" t="s">
        <v>23498</v>
      </c>
      <c r="C19995" t="s">
        <v>2537</v>
      </c>
      <c r="D19995" s="254">
        <v>0.48</v>
      </c>
      <c r="E19995"/>
      <c r="F19995"/>
      <c r="G19995"/>
      <c r="H19995"/>
      <c r="I19995" s="489"/>
    </row>
    <row r="19996" spans="1:9" x14ac:dyDescent="0.25">
      <c r="A19996">
        <v>11971</v>
      </c>
      <c r="B19996" t="s">
        <v>23499</v>
      </c>
      <c r="C19996" t="s">
        <v>2537</v>
      </c>
      <c r="D19996" s="254">
        <v>6.71</v>
      </c>
      <c r="E19996"/>
      <c r="F19996"/>
      <c r="G19996"/>
      <c r="H19996"/>
      <c r="I19996" s="489"/>
    </row>
    <row r="19997" spans="1:9" x14ac:dyDescent="0.25">
      <c r="A19997">
        <v>4342</v>
      </c>
      <c r="B19997" t="s">
        <v>23500</v>
      </c>
      <c r="C19997" t="s">
        <v>2537</v>
      </c>
      <c r="D19997" s="254">
        <v>0.35</v>
      </c>
      <c r="E19997"/>
      <c r="F19997"/>
      <c r="G19997"/>
      <c r="H19997"/>
      <c r="I19997" s="489"/>
    </row>
    <row r="19998" spans="1:9" x14ac:dyDescent="0.25">
      <c r="A19998">
        <v>4330</v>
      </c>
      <c r="B19998" t="s">
        <v>23501</v>
      </c>
      <c r="C19998" t="s">
        <v>2537</v>
      </c>
      <c r="D19998" s="254">
        <v>0.23</v>
      </c>
      <c r="E19998"/>
      <c r="F19998"/>
      <c r="G19998"/>
      <c r="H19998"/>
      <c r="I19998" s="489"/>
    </row>
    <row r="19999" spans="1:9" x14ac:dyDescent="0.25">
      <c r="A19999">
        <v>4340</v>
      </c>
      <c r="B19999" t="s">
        <v>23502</v>
      </c>
      <c r="C19999" t="s">
        <v>2537</v>
      </c>
      <c r="D19999" s="254">
        <v>1.87</v>
      </c>
      <c r="E19999"/>
      <c r="F19999"/>
      <c r="G19999"/>
      <c r="H19999"/>
      <c r="I19999" s="489"/>
    </row>
    <row r="20000" spans="1:9" x14ac:dyDescent="0.25">
      <c r="A20000">
        <v>5088</v>
      </c>
      <c r="B20000" t="s">
        <v>23503</v>
      </c>
      <c r="C20000" t="s">
        <v>2537</v>
      </c>
      <c r="D20000" s="254">
        <v>7.03</v>
      </c>
      <c r="E20000"/>
      <c r="F20000"/>
      <c r="G20000"/>
      <c r="H20000"/>
      <c r="I20000" s="489"/>
    </row>
    <row r="20001" spans="1:9" x14ac:dyDescent="0.25">
      <c r="A20001">
        <v>11154</v>
      </c>
      <c r="B20001" t="s">
        <v>23504</v>
      </c>
      <c r="C20001" t="s">
        <v>2537</v>
      </c>
      <c r="D20001" s="254">
        <v>1252.3399999999999</v>
      </c>
      <c r="E20001"/>
      <c r="F20001"/>
      <c r="G20001"/>
      <c r="H20001"/>
      <c r="I20001" s="489"/>
    </row>
    <row r="20002" spans="1:9" x14ac:dyDescent="0.25">
      <c r="A20002">
        <v>4989</v>
      </c>
      <c r="B20002" t="s">
        <v>23505</v>
      </c>
      <c r="C20002" t="s">
        <v>2537</v>
      </c>
      <c r="D20002" s="254">
        <v>329.53</v>
      </c>
      <c r="E20002"/>
      <c r="F20002"/>
      <c r="G20002"/>
      <c r="H20002"/>
      <c r="I20002" s="489"/>
    </row>
    <row r="20003" spans="1:9" x14ac:dyDescent="0.25">
      <c r="A20003">
        <v>4982</v>
      </c>
      <c r="B20003" t="s">
        <v>23506</v>
      </c>
      <c r="C20003" t="s">
        <v>2537</v>
      </c>
      <c r="D20003" s="254">
        <v>309.08</v>
      </c>
      <c r="E20003"/>
      <c r="F20003"/>
      <c r="G20003"/>
      <c r="H20003"/>
      <c r="I20003" s="489"/>
    </row>
    <row r="20004" spans="1:9" x14ac:dyDescent="0.25">
      <c r="A20004">
        <v>4962</v>
      </c>
      <c r="B20004" t="s">
        <v>23507</v>
      </c>
      <c r="C20004" t="s">
        <v>2537</v>
      </c>
      <c r="D20004" s="254">
        <v>243.75</v>
      </c>
      <c r="E20004"/>
      <c r="F20004"/>
      <c r="G20004"/>
      <c r="H20004"/>
      <c r="I20004" s="489"/>
    </row>
    <row r="20005" spans="1:9" x14ac:dyDescent="0.25">
      <c r="A20005">
        <v>4981</v>
      </c>
      <c r="B20005" t="s">
        <v>23508</v>
      </c>
      <c r="C20005" t="s">
        <v>2537</v>
      </c>
      <c r="D20005" s="254">
        <v>217</v>
      </c>
      <c r="E20005"/>
      <c r="F20005"/>
      <c r="G20005"/>
      <c r="H20005"/>
      <c r="I20005" s="489"/>
    </row>
    <row r="20006" spans="1:9" x14ac:dyDescent="0.25">
      <c r="A20006">
        <v>4964</v>
      </c>
      <c r="B20006" t="s">
        <v>23509</v>
      </c>
      <c r="C20006" t="s">
        <v>2537</v>
      </c>
      <c r="D20006" s="254">
        <v>275.29000000000002</v>
      </c>
      <c r="E20006"/>
      <c r="F20006"/>
      <c r="G20006"/>
      <c r="H20006"/>
      <c r="I20006" s="489"/>
    </row>
    <row r="20007" spans="1:9" x14ac:dyDescent="0.25">
      <c r="A20007">
        <v>4992</v>
      </c>
      <c r="B20007" t="s">
        <v>23510</v>
      </c>
      <c r="C20007" t="s">
        <v>2537</v>
      </c>
      <c r="D20007" s="254">
        <v>268.91000000000003</v>
      </c>
      <c r="E20007"/>
      <c r="F20007"/>
      <c r="G20007"/>
      <c r="H20007"/>
      <c r="I20007" s="489"/>
    </row>
    <row r="20008" spans="1:9" x14ac:dyDescent="0.25">
      <c r="A20008">
        <v>4987</v>
      </c>
      <c r="B20008" t="s">
        <v>23511</v>
      </c>
      <c r="C20008" t="s">
        <v>2537</v>
      </c>
      <c r="D20008" s="254">
        <v>307.64999999999998</v>
      </c>
      <c r="E20008"/>
      <c r="F20008"/>
      <c r="G20008"/>
      <c r="H20008"/>
      <c r="I20008" s="489"/>
    </row>
    <row r="20009" spans="1:9" x14ac:dyDescent="0.25">
      <c r="A20009">
        <v>4930</v>
      </c>
      <c r="B20009" t="s">
        <v>23512</v>
      </c>
      <c r="C20009" t="s">
        <v>2539</v>
      </c>
      <c r="D20009" s="254">
        <v>530.44000000000005</v>
      </c>
      <c r="E20009"/>
      <c r="F20009"/>
      <c r="G20009"/>
      <c r="H20009"/>
      <c r="I20009" s="489"/>
    </row>
    <row r="20010" spans="1:9" x14ac:dyDescent="0.25">
      <c r="A20010">
        <v>39021</v>
      </c>
      <c r="B20010" t="s">
        <v>23513</v>
      </c>
      <c r="C20010" t="s">
        <v>2537</v>
      </c>
      <c r="D20010" s="254">
        <v>564</v>
      </c>
      <c r="E20010"/>
      <c r="F20010"/>
      <c r="G20010"/>
      <c r="H20010"/>
      <c r="I20010" s="489"/>
    </row>
    <row r="20011" spans="1:9" x14ac:dyDescent="0.25">
      <c r="A20011">
        <v>39022</v>
      </c>
      <c r="B20011" t="s">
        <v>23514</v>
      </c>
      <c r="C20011" t="s">
        <v>2537</v>
      </c>
      <c r="D20011" s="254">
        <v>505.19</v>
      </c>
      <c r="E20011"/>
      <c r="F20011"/>
      <c r="G20011"/>
      <c r="H20011"/>
      <c r="I20011" s="489"/>
    </row>
    <row r="20012" spans="1:9" x14ac:dyDescent="0.25">
      <c r="A20012">
        <v>39024</v>
      </c>
      <c r="B20012" t="s">
        <v>23515</v>
      </c>
      <c r="C20012" t="s">
        <v>2537</v>
      </c>
      <c r="D20012" s="254">
        <v>1127.08</v>
      </c>
      <c r="E20012"/>
      <c r="F20012"/>
      <c r="G20012"/>
      <c r="H20012"/>
      <c r="I20012" s="489"/>
    </row>
    <row r="20013" spans="1:9" x14ac:dyDescent="0.25">
      <c r="A20013">
        <v>4914</v>
      </c>
      <c r="B20013" t="s">
        <v>23516</v>
      </c>
      <c r="C20013" t="s">
        <v>2539</v>
      </c>
      <c r="D20013" s="254">
        <v>913.86</v>
      </c>
      <c r="E20013"/>
      <c r="F20013"/>
      <c r="G20013"/>
      <c r="H20013"/>
      <c r="I20013" s="489"/>
    </row>
    <row r="20014" spans="1:9" x14ac:dyDescent="0.25">
      <c r="A20014">
        <v>4917</v>
      </c>
      <c r="B20014" t="s">
        <v>23517</v>
      </c>
      <c r="C20014" t="s">
        <v>2539</v>
      </c>
      <c r="D20014" s="254">
        <v>631.12</v>
      </c>
      <c r="E20014"/>
      <c r="F20014"/>
      <c r="G20014"/>
      <c r="H20014"/>
      <c r="I20014" s="489"/>
    </row>
    <row r="20015" spans="1:9" x14ac:dyDescent="0.25">
      <c r="A20015">
        <v>39025</v>
      </c>
      <c r="B20015" t="s">
        <v>23518</v>
      </c>
      <c r="C20015" t="s">
        <v>2537</v>
      </c>
      <c r="D20015" s="254">
        <v>1155.7</v>
      </c>
      <c r="E20015"/>
      <c r="F20015"/>
      <c r="G20015"/>
      <c r="H20015"/>
      <c r="I20015" s="489"/>
    </row>
    <row r="20016" spans="1:9" x14ac:dyDescent="0.25">
      <c r="A20016">
        <v>4922</v>
      </c>
      <c r="B20016" t="s">
        <v>23519</v>
      </c>
      <c r="C20016" t="s">
        <v>2539</v>
      </c>
      <c r="D20016" s="254">
        <v>585.41999999999996</v>
      </c>
      <c r="E20016"/>
      <c r="F20016"/>
      <c r="G20016"/>
      <c r="H20016"/>
      <c r="I20016" s="489"/>
    </row>
    <row r="20017" spans="1:9" x14ac:dyDescent="0.25">
      <c r="A20017">
        <v>4911</v>
      </c>
      <c r="B20017" t="s">
        <v>23520</v>
      </c>
      <c r="C20017" t="s">
        <v>2539</v>
      </c>
      <c r="D20017" s="254">
        <v>393.4</v>
      </c>
      <c r="E20017"/>
      <c r="F20017"/>
      <c r="G20017"/>
      <c r="H20017"/>
      <c r="I20017" s="489"/>
    </row>
    <row r="20018" spans="1:9" x14ac:dyDescent="0.25">
      <c r="A20018">
        <v>37518</v>
      </c>
      <c r="B20018" t="s">
        <v>23521</v>
      </c>
      <c r="C20018" t="s">
        <v>2539</v>
      </c>
      <c r="D20018" s="254">
        <v>639.27</v>
      </c>
      <c r="E20018"/>
      <c r="F20018"/>
      <c r="G20018"/>
      <c r="H20018"/>
      <c r="I20018" s="489"/>
    </row>
    <row r="20019" spans="1:9" x14ac:dyDescent="0.25">
      <c r="A20019">
        <v>4910</v>
      </c>
      <c r="B20019" t="s">
        <v>23522</v>
      </c>
      <c r="C20019" t="s">
        <v>2539</v>
      </c>
      <c r="D20019" s="254">
        <v>538.91</v>
      </c>
      <c r="E20019"/>
      <c r="F20019"/>
      <c r="G20019"/>
      <c r="H20019"/>
      <c r="I20019" s="489"/>
    </row>
    <row r="20020" spans="1:9" x14ac:dyDescent="0.25">
      <c r="A20020">
        <v>4943</v>
      </c>
      <c r="B20020" t="s">
        <v>23523</v>
      </c>
      <c r="C20020" t="s">
        <v>2539</v>
      </c>
      <c r="D20020" s="254">
        <v>802.85</v>
      </c>
      <c r="E20020"/>
      <c r="F20020"/>
      <c r="G20020"/>
      <c r="H20020"/>
      <c r="I20020" s="489"/>
    </row>
    <row r="20021" spans="1:9" x14ac:dyDescent="0.25">
      <c r="A20021">
        <v>5002</v>
      </c>
      <c r="B20021" t="s">
        <v>23524</v>
      </c>
      <c r="C20021" t="s">
        <v>2539</v>
      </c>
      <c r="D20021" s="254">
        <v>470.3</v>
      </c>
      <c r="E20021"/>
      <c r="F20021"/>
      <c r="G20021"/>
      <c r="H20021"/>
      <c r="I20021" s="489"/>
    </row>
    <row r="20022" spans="1:9" x14ac:dyDescent="0.25">
      <c r="A20022">
        <v>4977</v>
      </c>
      <c r="B20022" t="s">
        <v>23525</v>
      </c>
      <c r="C20022" t="s">
        <v>2539</v>
      </c>
      <c r="D20022" s="254">
        <v>317.47000000000003</v>
      </c>
      <c r="E20022"/>
      <c r="F20022"/>
      <c r="G20022"/>
      <c r="H20022"/>
      <c r="I20022" s="489"/>
    </row>
    <row r="20023" spans="1:9" x14ac:dyDescent="0.25">
      <c r="A20023">
        <v>5028</v>
      </c>
      <c r="B20023" t="s">
        <v>23526</v>
      </c>
      <c r="C20023" t="s">
        <v>2539</v>
      </c>
      <c r="D20023" s="254">
        <v>776.8</v>
      </c>
      <c r="E20023"/>
      <c r="F20023"/>
      <c r="G20023"/>
      <c r="H20023"/>
      <c r="I20023" s="489"/>
    </row>
    <row r="20024" spans="1:9" x14ac:dyDescent="0.25">
      <c r="A20024">
        <v>4998</v>
      </c>
      <c r="B20024" t="s">
        <v>23527</v>
      </c>
      <c r="C20024" t="s">
        <v>2539</v>
      </c>
      <c r="D20024" s="254">
        <v>645.15</v>
      </c>
      <c r="E20024"/>
      <c r="F20024"/>
      <c r="G20024"/>
      <c r="H20024"/>
      <c r="I20024" s="489"/>
    </row>
    <row r="20025" spans="1:9" x14ac:dyDescent="0.25">
      <c r="A20025">
        <v>4969</v>
      </c>
      <c r="B20025" t="s">
        <v>23528</v>
      </c>
      <c r="C20025" t="s">
        <v>2539</v>
      </c>
      <c r="D20025" s="254">
        <v>449</v>
      </c>
      <c r="E20025"/>
      <c r="F20025"/>
      <c r="G20025"/>
      <c r="H20025"/>
      <c r="I20025" s="489"/>
    </row>
    <row r="20026" spans="1:9" x14ac:dyDescent="0.25">
      <c r="A20026">
        <v>11364</v>
      </c>
      <c r="B20026" t="s">
        <v>23529</v>
      </c>
      <c r="C20026" t="s">
        <v>2537</v>
      </c>
      <c r="D20026" s="254">
        <v>186.42</v>
      </c>
      <c r="E20026"/>
      <c r="F20026"/>
      <c r="G20026"/>
      <c r="H20026"/>
      <c r="I20026" s="489"/>
    </row>
    <row r="20027" spans="1:9" x14ac:dyDescent="0.25">
      <c r="A20027">
        <v>11365</v>
      </c>
      <c r="B20027" t="s">
        <v>23530</v>
      </c>
      <c r="C20027" t="s">
        <v>2537</v>
      </c>
      <c r="D20027" s="254">
        <v>193.46</v>
      </c>
      <c r="E20027"/>
      <c r="F20027"/>
      <c r="G20027"/>
      <c r="H20027"/>
      <c r="I20027" s="489"/>
    </row>
    <row r="20028" spans="1:9" x14ac:dyDescent="0.25">
      <c r="A20028">
        <v>11366</v>
      </c>
      <c r="B20028" t="s">
        <v>23531</v>
      </c>
      <c r="C20028" t="s">
        <v>2537</v>
      </c>
      <c r="D20028" s="254">
        <v>205.65</v>
      </c>
      <c r="E20028"/>
      <c r="F20028"/>
      <c r="G20028"/>
      <c r="H20028"/>
      <c r="I20028" s="489"/>
    </row>
    <row r="20029" spans="1:9" x14ac:dyDescent="0.25">
      <c r="A20029">
        <v>43777</v>
      </c>
      <c r="B20029" t="s">
        <v>23532</v>
      </c>
      <c r="C20029" t="s">
        <v>2537</v>
      </c>
      <c r="D20029" s="254">
        <v>241.56</v>
      </c>
      <c r="E20029"/>
      <c r="F20029"/>
      <c r="G20029"/>
      <c r="H20029"/>
      <c r="I20029" s="489"/>
    </row>
    <row r="20030" spans="1:9" x14ac:dyDescent="0.25">
      <c r="A20030">
        <v>20322</v>
      </c>
      <c r="B20030" t="s">
        <v>23533</v>
      </c>
      <c r="C20030" t="s">
        <v>2537</v>
      </c>
      <c r="D20030" s="254">
        <v>224.24</v>
      </c>
      <c r="E20030"/>
      <c r="F20030"/>
      <c r="G20030"/>
      <c r="H20030"/>
      <c r="I20030" s="489"/>
    </row>
    <row r="20031" spans="1:9" x14ac:dyDescent="0.25">
      <c r="A20031">
        <v>10553</v>
      </c>
      <c r="B20031" t="s">
        <v>23534</v>
      </c>
      <c r="C20031" t="s">
        <v>2537</v>
      </c>
      <c r="D20031" s="254">
        <v>203.61</v>
      </c>
      <c r="E20031"/>
      <c r="F20031"/>
      <c r="G20031"/>
      <c r="H20031"/>
      <c r="I20031" s="489"/>
    </row>
    <row r="20032" spans="1:9" x14ac:dyDescent="0.25">
      <c r="A20032">
        <v>5020</v>
      </c>
      <c r="B20032" t="s">
        <v>23535</v>
      </c>
      <c r="C20032" t="s">
        <v>2537</v>
      </c>
      <c r="D20032" s="254">
        <v>214.67</v>
      </c>
      <c r="E20032"/>
      <c r="F20032"/>
      <c r="G20032"/>
      <c r="H20032"/>
      <c r="I20032" s="489"/>
    </row>
    <row r="20033" spans="1:9" x14ac:dyDescent="0.25">
      <c r="A20033">
        <v>10554</v>
      </c>
      <c r="B20033" t="s">
        <v>23536</v>
      </c>
      <c r="C20033" t="s">
        <v>2537</v>
      </c>
      <c r="D20033" s="254">
        <v>205.42</v>
      </c>
      <c r="E20033"/>
      <c r="F20033"/>
      <c r="G20033"/>
      <c r="H20033"/>
      <c r="I20033" s="489"/>
    </row>
    <row r="20034" spans="1:9" x14ac:dyDescent="0.25">
      <c r="A20034">
        <v>10555</v>
      </c>
      <c r="B20034" t="s">
        <v>23537</v>
      </c>
      <c r="C20034" t="s">
        <v>2537</v>
      </c>
      <c r="D20034" s="254">
        <v>224.01</v>
      </c>
      <c r="E20034"/>
      <c r="F20034"/>
      <c r="G20034"/>
      <c r="H20034"/>
      <c r="I20034" s="489"/>
    </row>
    <row r="20035" spans="1:9" x14ac:dyDescent="0.25">
      <c r="A20035">
        <v>10556</v>
      </c>
      <c r="B20035" t="s">
        <v>23538</v>
      </c>
      <c r="C20035" t="s">
        <v>2537</v>
      </c>
      <c r="D20035" s="254">
        <v>297.85000000000002</v>
      </c>
      <c r="E20035"/>
      <c r="F20035"/>
      <c r="G20035"/>
      <c r="H20035"/>
      <c r="I20035" s="489"/>
    </row>
    <row r="20036" spans="1:9" x14ac:dyDescent="0.25">
      <c r="A20036">
        <v>39502</v>
      </c>
      <c r="B20036" t="s">
        <v>23539</v>
      </c>
      <c r="C20036" t="s">
        <v>2537</v>
      </c>
      <c r="D20036" s="254">
        <v>418.25</v>
      </c>
      <c r="E20036"/>
      <c r="F20036"/>
      <c r="G20036"/>
      <c r="H20036"/>
      <c r="I20036" s="489"/>
    </row>
    <row r="20037" spans="1:9" x14ac:dyDescent="0.25">
      <c r="A20037">
        <v>39504</v>
      </c>
      <c r="B20037" t="s">
        <v>23540</v>
      </c>
      <c r="C20037" t="s">
        <v>2537</v>
      </c>
      <c r="D20037" s="254">
        <v>462.51</v>
      </c>
      <c r="E20037"/>
      <c r="F20037"/>
      <c r="G20037"/>
      <c r="H20037"/>
      <c r="I20037" s="489"/>
    </row>
    <row r="20038" spans="1:9" x14ac:dyDescent="0.25">
      <c r="A20038">
        <v>39503</v>
      </c>
      <c r="B20038" t="s">
        <v>23541</v>
      </c>
      <c r="C20038" t="s">
        <v>2537</v>
      </c>
      <c r="D20038" s="254">
        <v>486.78</v>
      </c>
      <c r="E20038"/>
      <c r="F20038"/>
      <c r="G20038"/>
      <c r="H20038"/>
      <c r="I20038" s="489"/>
    </row>
    <row r="20039" spans="1:9" x14ac:dyDescent="0.25">
      <c r="A20039">
        <v>39505</v>
      </c>
      <c r="B20039" t="s">
        <v>23542</v>
      </c>
      <c r="C20039" t="s">
        <v>2537</v>
      </c>
      <c r="D20039" s="254">
        <v>524.57000000000005</v>
      </c>
      <c r="E20039"/>
      <c r="F20039"/>
      <c r="G20039"/>
      <c r="H20039"/>
      <c r="I20039" s="489"/>
    </row>
    <row r="20040" spans="1:9" x14ac:dyDescent="0.25">
      <c r="A20040">
        <v>44471</v>
      </c>
      <c r="B20040" t="s">
        <v>23543</v>
      </c>
      <c r="C20040" t="s">
        <v>2537</v>
      </c>
      <c r="D20040" s="254">
        <v>574.28</v>
      </c>
      <c r="E20040"/>
      <c r="F20040"/>
      <c r="G20040"/>
      <c r="H20040"/>
      <c r="I20040" s="489"/>
    </row>
    <row r="20041" spans="1:9" x14ac:dyDescent="0.25">
      <c r="A20041">
        <v>4944</v>
      </c>
      <c r="B20041" t="s">
        <v>23544</v>
      </c>
      <c r="C20041" t="s">
        <v>2539</v>
      </c>
      <c r="D20041" s="254">
        <v>1200.27</v>
      </c>
      <c r="E20041"/>
      <c r="F20041"/>
      <c r="G20041"/>
      <c r="H20041"/>
      <c r="I20041" s="489"/>
    </row>
    <row r="20042" spans="1:9" x14ac:dyDescent="0.25">
      <c r="A20042">
        <v>21102</v>
      </c>
      <c r="B20042" t="s">
        <v>23545</v>
      </c>
      <c r="C20042" t="s">
        <v>2537</v>
      </c>
      <c r="D20042" s="254">
        <v>45.03</v>
      </c>
      <c r="E20042"/>
      <c r="F20042"/>
      <c r="G20042"/>
      <c r="H20042"/>
      <c r="I20042" s="489"/>
    </row>
    <row r="20043" spans="1:9" x14ac:dyDescent="0.25">
      <c r="A20043">
        <v>21101</v>
      </c>
      <c r="B20043" t="s">
        <v>23546</v>
      </c>
      <c r="C20043" t="s">
        <v>2537</v>
      </c>
      <c r="D20043" s="254">
        <v>28.91</v>
      </c>
      <c r="E20043"/>
      <c r="F20043"/>
      <c r="G20043"/>
      <c r="H20043"/>
      <c r="I20043" s="489"/>
    </row>
    <row r="20044" spans="1:9" x14ac:dyDescent="0.25">
      <c r="A20044">
        <v>34713</v>
      </c>
      <c r="B20044" t="s">
        <v>23547</v>
      </c>
      <c r="C20044" t="s">
        <v>2539</v>
      </c>
      <c r="D20044" s="254">
        <v>321.83999999999997</v>
      </c>
      <c r="E20044"/>
      <c r="F20044"/>
      <c r="G20044"/>
      <c r="H20044"/>
      <c r="I20044" s="489"/>
    </row>
    <row r="20045" spans="1:9" x14ac:dyDescent="0.25">
      <c r="A20045">
        <v>37563</v>
      </c>
      <c r="B20045" t="s">
        <v>23548</v>
      </c>
      <c r="C20045" t="s">
        <v>2539</v>
      </c>
      <c r="D20045" s="254">
        <v>583.67999999999995</v>
      </c>
      <c r="E20045"/>
      <c r="F20045"/>
      <c r="G20045"/>
      <c r="H20045"/>
      <c r="I20045" s="489"/>
    </row>
    <row r="20046" spans="1:9" x14ac:dyDescent="0.25">
      <c r="A20046">
        <v>4948</v>
      </c>
      <c r="B20046" t="s">
        <v>23549</v>
      </c>
      <c r="C20046" t="s">
        <v>2539</v>
      </c>
      <c r="D20046" s="254">
        <v>507.82</v>
      </c>
      <c r="E20046"/>
      <c r="F20046"/>
      <c r="G20046"/>
      <c r="H20046"/>
      <c r="I20046" s="489"/>
    </row>
    <row r="20047" spans="1:9" x14ac:dyDescent="0.25">
      <c r="A20047">
        <v>37561</v>
      </c>
      <c r="B20047" t="s">
        <v>23550</v>
      </c>
      <c r="C20047" t="s">
        <v>2539</v>
      </c>
      <c r="D20047" s="254">
        <v>473.61</v>
      </c>
      <c r="E20047"/>
      <c r="F20047"/>
      <c r="G20047"/>
      <c r="H20047"/>
      <c r="I20047" s="489"/>
    </row>
    <row r="20048" spans="1:9" x14ac:dyDescent="0.25">
      <c r="A20048">
        <v>37562</v>
      </c>
      <c r="B20048" t="s">
        <v>23551</v>
      </c>
      <c r="C20048" t="s">
        <v>2539</v>
      </c>
      <c r="D20048" s="254">
        <v>620.96</v>
      </c>
      <c r="E20048"/>
      <c r="F20048"/>
      <c r="G20048"/>
      <c r="H20048"/>
      <c r="I20048" s="489"/>
    </row>
    <row r="20049" spans="1:9" x14ac:dyDescent="0.25">
      <c r="A20049">
        <v>14164</v>
      </c>
      <c r="B20049" t="s">
        <v>23552</v>
      </c>
      <c r="C20049" t="s">
        <v>2537</v>
      </c>
      <c r="D20049" s="254">
        <v>2356.9899999999998</v>
      </c>
      <c r="E20049"/>
      <c r="F20049"/>
      <c r="G20049"/>
      <c r="H20049"/>
      <c r="I20049" s="489"/>
    </row>
    <row r="20050" spans="1:9" x14ac:dyDescent="0.25">
      <c r="A20050">
        <v>14163</v>
      </c>
      <c r="B20050" t="s">
        <v>23553</v>
      </c>
      <c r="C20050" t="s">
        <v>2537</v>
      </c>
      <c r="D20050" s="254">
        <v>2678.88</v>
      </c>
      <c r="E20050"/>
      <c r="F20050"/>
      <c r="G20050"/>
      <c r="H20050"/>
      <c r="I20050" s="489"/>
    </row>
    <row r="20051" spans="1:9" x14ac:dyDescent="0.25">
      <c r="A20051">
        <v>5051</v>
      </c>
      <c r="B20051" t="s">
        <v>23554</v>
      </c>
      <c r="C20051" t="s">
        <v>2537</v>
      </c>
      <c r="D20051" s="254">
        <v>2278.35</v>
      </c>
      <c r="E20051"/>
      <c r="F20051"/>
      <c r="G20051"/>
      <c r="H20051"/>
      <c r="I20051" s="489"/>
    </row>
    <row r="20052" spans="1:9" x14ac:dyDescent="0.25">
      <c r="A20052">
        <v>14162</v>
      </c>
      <c r="B20052" t="s">
        <v>23555</v>
      </c>
      <c r="C20052" t="s">
        <v>2537</v>
      </c>
      <c r="D20052" s="254">
        <v>2275.04</v>
      </c>
      <c r="E20052"/>
      <c r="F20052"/>
      <c r="G20052"/>
      <c r="H20052"/>
      <c r="I20052" s="489"/>
    </row>
    <row r="20053" spans="1:9" x14ac:dyDescent="0.25">
      <c r="A20053">
        <v>5052</v>
      </c>
      <c r="B20053" t="s">
        <v>23556</v>
      </c>
      <c r="C20053" t="s">
        <v>2537</v>
      </c>
      <c r="D20053" s="254">
        <v>1697.5</v>
      </c>
      <c r="E20053"/>
      <c r="F20053"/>
      <c r="G20053"/>
      <c r="H20053"/>
      <c r="I20053" s="489"/>
    </row>
    <row r="20054" spans="1:9" x14ac:dyDescent="0.25">
      <c r="A20054">
        <v>14166</v>
      </c>
      <c r="B20054" t="s">
        <v>23557</v>
      </c>
      <c r="C20054" t="s">
        <v>2537</v>
      </c>
      <c r="D20054" s="254">
        <v>1719.05</v>
      </c>
      <c r="E20054"/>
      <c r="F20054"/>
      <c r="G20054"/>
      <c r="H20054"/>
      <c r="I20054" s="489"/>
    </row>
    <row r="20055" spans="1:9" x14ac:dyDescent="0.25">
      <c r="A20055">
        <v>14165</v>
      </c>
      <c r="B20055" t="s">
        <v>23558</v>
      </c>
      <c r="C20055" t="s">
        <v>2537</v>
      </c>
      <c r="D20055" s="254">
        <v>2381.5100000000002</v>
      </c>
      <c r="E20055"/>
      <c r="F20055"/>
      <c r="G20055"/>
      <c r="H20055"/>
      <c r="I20055" s="489"/>
    </row>
    <row r="20056" spans="1:9" x14ac:dyDescent="0.25">
      <c r="A20056">
        <v>5050</v>
      </c>
      <c r="B20056" t="s">
        <v>23559</v>
      </c>
      <c r="C20056" t="s">
        <v>2537</v>
      </c>
      <c r="D20056" s="254">
        <v>586.14</v>
      </c>
      <c r="E20056"/>
      <c r="F20056"/>
      <c r="G20056"/>
      <c r="H20056"/>
      <c r="I20056" s="489"/>
    </row>
    <row r="20057" spans="1:9" x14ac:dyDescent="0.25">
      <c r="A20057">
        <v>12366</v>
      </c>
      <c r="B20057" t="s">
        <v>23560</v>
      </c>
      <c r="C20057" t="s">
        <v>2537</v>
      </c>
      <c r="D20057" s="254">
        <v>1651.89</v>
      </c>
      <c r="E20057"/>
      <c r="F20057"/>
      <c r="G20057"/>
      <c r="H20057"/>
      <c r="I20057" s="489"/>
    </row>
    <row r="20058" spans="1:9" x14ac:dyDescent="0.25">
      <c r="A20058">
        <v>5045</v>
      </c>
      <c r="B20058" t="s">
        <v>23561</v>
      </c>
      <c r="C20058" t="s">
        <v>2537</v>
      </c>
      <c r="D20058" s="254">
        <v>2623.75</v>
      </c>
      <c r="E20058"/>
      <c r="F20058"/>
      <c r="G20058"/>
      <c r="H20058"/>
      <c r="I20058" s="489"/>
    </row>
    <row r="20059" spans="1:9" x14ac:dyDescent="0.25">
      <c r="A20059">
        <v>5035</v>
      </c>
      <c r="B20059" t="s">
        <v>23562</v>
      </c>
      <c r="C20059" t="s">
        <v>2537</v>
      </c>
      <c r="D20059" s="254">
        <v>4025.3</v>
      </c>
      <c r="E20059"/>
      <c r="F20059"/>
      <c r="G20059"/>
      <c r="H20059"/>
      <c r="I20059" s="489"/>
    </row>
    <row r="20060" spans="1:9" x14ac:dyDescent="0.25">
      <c r="A20060">
        <v>41180</v>
      </c>
      <c r="B20060" t="s">
        <v>23563</v>
      </c>
      <c r="C20060" t="s">
        <v>2537</v>
      </c>
      <c r="D20060" s="254">
        <v>5898.14</v>
      </c>
      <c r="E20060"/>
      <c r="F20060"/>
      <c r="G20060"/>
      <c r="H20060"/>
      <c r="I20060" s="489"/>
    </row>
    <row r="20061" spans="1:9" x14ac:dyDescent="0.25">
      <c r="A20061">
        <v>41181</v>
      </c>
      <c r="B20061" t="s">
        <v>23564</v>
      </c>
      <c r="C20061" t="s">
        <v>2537</v>
      </c>
      <c r="D20061" s="254">
        <v>7808.95</v>
      </c>
      <c r="E20061"/>
      <c r="F20061"/>
      <c r="G20061"/>
      <c r="H20061"/>
      <c r="I20061" s="489"/>
    </row>
    <row r="20062" spans="1:9" x14ac:dyDescent="0.25">
      <c r="A20062">
        <v>41182</v>
      </c>
      <c r="B20062" t="s">
        <v>23565</v>
      </c>
      <c r="C20062" t="s">
        <v>2537</v>
      </c>
      <c r="D20062" s="254">
        <v>11202.58</v>
      </c>
      <c r="E20062"/>
      <c r="F20062"/>
      <c r="G20062"/>
      <c r="H20062"/>
      <c r="I20062" s="489"/>
    </row>
    <row r="20063" spans="1:9" x14ac:dyDescent="0.25">
      <c r="A20063">
        <v>41183</v>
      </c>
      <c r="B20063" t="s">
        <v>23566</v>
      </c>
      <c r="C20063" t="s">
        <v>2537</v>
      </c>
      <c r="D20063" s="254">
        <v>13986.66</v>
      </c>
      <c r="E20063"/>
      <c r="F20063"/>
      <c r="G20063"/>
      <c r="H20063"/>
      <c r="I20063" s="489"/>
    </row>
    <row r="20064" spans="1:9" x14ac:dyDescent="0.25">
      <c r="A20064">
        <v>41184</v>
      </c>
      <c r="B20064" t="s">
        <v>23567</v>
      </c>
      <c r="C20064" t="s">
        <v>2537</v>
      </c>
      <c r="D20064" s="254">
        <v>21295.54</v>
      </c>
      <c r="E20064"/>
      <c r="F20064"/>
      <c r="G20064"/>
      <c r="H20064"/>
      <c r="I20064" s="489"/>
    </row>
    <row r="20065" spans="1:9" x14ac:dyDescent="0.25">
      <c r="A20065">
        <v>41185</v>
      </c>
      <c r="B20065" t="s">
        <v>23568</v>
      </c>
      <c r="C20065" t="s">
        <v>2537</v>
      </c>
      <c r="D20065" s="254">
        <v>7897.34</v>
      </c>
      <c r="E20065"/>
      <c r="F20065"/>
      <c r="G20065"/>
      <c r="H20065"/>
      <c r="I20065" s="489"/>
    </row>
    <row r="20066" spans="1:9" x14ac:dyDescent="0.25">
      <c r="A20066">
        <v>41186</v>
      </c>
      <c r="B20066" t="s">
        <v>23569</v>
      </c>
      <c r="C20066" t="s">
        <v>2537</v>
      </c>
      <c r="D20066" s="254">
        <v>11067.21</v>
      </c>
      <c r="E20066"/>
      <c r="F20066"/>
      <c r="G20066"/>
      <c r="H20066"/>
      <c r="I20066" s="489"/>
    </row>
    <row r="20067" spans="1:9" x14ac:dyDescent="0.25">
      <c r="A20067">
        <v>41187</v>
      </c>
      <c r="B20067" t="s">
        <v>23570</v>
      </c>
      <c r="C20067" t="s">
        <v>2537</v>
      </c>
      <c r="D20067" s="254">
        <v>14842.05</v>
      </c>
      <c r="E20067"/>
      <c r="F20067"/>
      <c r="G20067"/>
      <c r="H20067"/>
      <c r="I20067" s="489"/>
    </row>
    <row r="20068" spans="1:9" x14ac:dyDescent="0.25">
      <c r="A20068">
        <v>41188</v>
      </c>
      <c r="B20068" t="s">
        <v>23571</v>
      </c>
      <c r="C20068" t="s">
        <v>2537</v>
      </c>
      <c r="D20068" s="254">
        <v>18979.68</v>
      </c>
      <c r="E20068"/>
      <c r="F20068"/>
      <c r="G20068"/>
      <c r="H20068"/>
      <c r="I20068" s="489"/>
    </row>
    <row r="20069" spans="1:9" x14ac:dyDescent="0.25">
      <c r="A20069">
        <v>5036</v>
      </c>
      <c r="B20069" t="s">
        <v>23572</v>
      </c>
      <c r="C20069" t="s">
        <v>2537</v>
      </c>
      <c r="D20069" s="254">
        <v>1423.18</v>
      </c>
      <c r="E20069"/>
      <c r="F20069"/>
      <c r="G20069"/>
      <c r="H20069"/>
      <c r="I20069" s="489"/>
    </row>
    <row r="20070" spans="1:9" x14ac:dyDescent="0.25">
      <c r="A20070">
        <v>41189</v>
      </c>
      <c r="B20070" t="s">
        <v>23573</v>
      </c>
      <c r="C20070" t="s">
        <v>2537</v>
      </c>
      <c r="D20070" s="254">
        <v>24400.36</v>
      </c>
      <c r="E20070"/>
      <c r="F20070"/>
      <c r="G20070"/>
      <c r="H20070"/>
      <c r="I20070" s="489"/>
    </row>
    <row r="20071" spans="1:9" x14ac:dyDescent="0.25">
      <c r="A20071">
        <v>41190</v>
      </c>
      <c r="B20071" t="s">
        <v>23574</v>
      </c>
      <c r="C20071" t="s">
        <v>2537</v>
      </c>
      <c r="D20071" s="254">
        <v>8485.59</v>
      </c>
      <c r="E20071"/>
      <c r="F20071"/>
      <c r="G20071"/>
      <c r="H20071"/>
      <c r="I20071" s="489"/>
    </row>
    <row r="20072" spans="1:9" x14ac:dyDescent="0.25">
      <c r="A20072">
        <v>41191</v>
      </c>
      <c r="B20072" t="s">
        <v>23575</v>
      </c>
      <c r="C20072" t="s">
        <v>2537</v>
      </c>
      <c r="D20072" s="254">
        <v>13012.33</v>
      </c>
      <c r="E20072"/>
      <c r="F20072"/>
      <c r="G20072"/>
      <c r="H20072"/>
      <c r="I20072" s="489"/>
    </row>
    <row r="20073" spans="1:9" x14ac:dyDescent="0.25">
      <c r="A20073">
        <v>41192</v>
      </c>
      <c r="B20073" t="s">
        <v>23576</v>
      </c>
      <c r="C20073" t="s">
        <v>2537</v>
      </c>
      <c r="D20073" s="254">
        <v>13565.26</v>
      </c>
      <c r="E20073"/>
      <c r="F20073"/>
      <c r="G20073"/>
      <c r="H20073"/>
      <c r="I20073" s="489"/>
    </row>
    <row r="20074" spans="1:9" x14ac:dyDescent="0.25">
      <c r="A20074">
        <v>41193</v>
      </c>
      <c r="B20074" t="s">
        <v>23577</v>
      </c>
      <c r="C20074" t="s">
        <v>2537</v>
      </c>
      <c r="D20074" s="254">
        <v>22165.18</v>
      </c>
      <c r="E20074"/>
      <c r="F20074"/>
      <c r="G20074"/>
      <c r="H20074"/>
      <c r="I20074" s="489"/>
    </row>
    <row r="20075" spans="1:9" x14ac:dyDescent="0.25">
      <c r="A20075">
        <v>41194</v>
      </c>
      <c r="B20075" t="s">
        <v>23578</v>
      </c>
      <c r="C20075" t="s">
        <v>2537</v>
      </c>
      <c r="D20075" s="254">
        <v>26448.080000000002</v>
      </c>
      <c r="E20075"/>
      <c r="F20075"/>
      <c r="G20075"/>
      <c r="H20075"/>
      <c r="I20075" s="489"/>
    </row>
    <row r="20076" spans="1:9" x14ac:dyDescent="0.25">
      <c r="A20076">
        <v>5044</v>
      </c>
      <c r="B20076" t="s">
        <v>23579</v>
      </c>
      <c r="C20076" t="s">
        <v>2537</v>
      </c>
      <c r="D20076" s="254">
        <v>2281.9899999999998</v>
      </c>
      <c r="E20076"/>
      <c r="F20076"/>
      <c r="G20076"/>
      <c r="H20076"/>
      <c r="I20076" s="489"/>
    </row>
    <row r="20077" spans="1:9" x14ac:dyDescent="0.25">
      <c r="A20077">
        <v>5059</v>
      </c>
      <c r="B20077" t="s">
        <v>23580</v>
      </c>
      <c r="C20077" t="s">
        <v>2537</v>
      </c>
      <c r="D20077" s="254">
        <v>1701.95</v>
      </c>
      <c r="E20077"/>
      <c r="F20077"/>
      <c r="G20077"/>
      <c r="H20077"/>
      <c r="I20077" s="489"/>
    </row>
    <row r="20078" spans="1:9" x14ac:dyDescent="0.25">
      <c r="A20078">
        <v>41201</v>
      </c>
      <c r="B20078" t="s">
        <v>23581</v>
      </c>
      <c r="C20078" t="s">
        <v>2537</v>
      </c>
      <c r="D20078" s="254">
        <v>3453.96</v>
      </c>
      <c r="E20078"/>
      <c r="F20078"/>
      <c r="G20078"/>
      <c r="H20078"/>
      <c r="I20078" s="489"/>
    </row>
    <row r="20079" spans="1:9" x14ac:dyDescent="0.25">
      <c r="A20079">
        <v>41199</v>
      </c>
      <c r="B20079" t="s">
        <v>23582</v>
      </c>
      <c r="C20079" t="s">
        <v>2537</v>
      </c>
      <c r="D20079" s="254">
        <v>1109.8900000000001</v>
      </c>
      <c r="E20079"/>
      <c r="F20079"/>
      <c r="G20079"/>
      <c r="H20079"/>
      <c r="I20079" s="489"/>
    </row>
    <row r="20080" spans="1:9" x14ac:dyDescent="0.25">
      <c r="A20080">
        <v>5057</v>
      </c>
      <c r="B20080" t="s">
        <v>23583</v>
      </c>
      <c r="C20080" t="s">
        <v>2537</v>
      </c>
      <c r="D20080" s="254">
        <v>1502.58</v>
      </c>
      <c r="E20080"/>
      <c r="F20080"/>
      <c r="G20080"/>
      <c r="H20080"/>
      <c r="I20080" s="489"/>
    </row>
    <row r="20081" spans="1:9" x14ac:dyDescent="0.25">
      <c r="A20081">
        <v>41200</v>
      </c>
      <c r="B20081" t="s">
        <v>23584</v>
      </c>
      <c r="C20081" t="s">
        <v>2537</v>
      </c>
      <c r="D20081" s="254">
        <v>2160.23</v>
      </c>
      <c r="E20081"/>
      <c r="F20081"/>
      <c r="G20081"/>
      <c r="H20081"/>
      <c r="I20081" s="489"/>
    </row>
    <row r="20082" spans="1:9" x14ac:dyDescent="0.25">
      <c r="A20082">
        <v>41205</v>
      </c>
      <c r="B20082" t="s">
        <v>23585</v>
      </c>
      <c r="C20082" t="s">
        <v>2537</v>
      </c>
      <c r="D20082" s="254">
        <v>4002.86</v>
      </c>
      <c r="E20082"/>
      <c r="F20082"/>
      <c r="G20082"/>
      <c r="H20082"/>
      <c r="I20082" s="489"/>
    </row>
    <row r="20083" spans="1:9" x14ac:dyDescent="0.25">
      <c r="A20083">
        <v>41202</v>
      </c>
      <c r="B20083" t="s">
        <v>23586</v>
      </c>
      <c r="C20083" t="s">
        <v>2537</v>
      </c>
      <c r="D20083" s="254">
        <v>1168.06</v>
      </c>
      <c r="E20083"/>
      <c r="F20083"/>
      <c r="G20083"/>
      <c r="H20083"/>
      <c r="I20083" s="489"/>
    </row>
    <row r="20084" spans="1:9" x14ac:dyDescent="0.25">
      <c r="A20084">
        <v>41206</v>
      </c>
      <c r="B20084" t="s">
        <v>23587</v>
      </c>
      <c r="C20084" t="s">
        <v>2537</v>
      </c>
      <c r="D20084" s="254">
        <v>5277.6</v>
      </c>
      <c r="E20084"/>
      <c r="F20084"/>
      <c r="G20084"/>
      <c r="H20084"/>
      <c r="I20084" s="489"/>
    </row>
    <row r="20085" spans="1:9" x14ac:dyDescent="0.25">
      <c r="A20085">
        <v>12372</v>
      </c>
      <c r="B20085" t="s">
        <v>23588</v>
      </c>
      <c r="C20085" t="s">
        <v>2537</v>
      </c>
      <c r="D20085" s="254">
        <v>1226.47</v>
      </c>
      <c r="E20085"/>
      <c r="F20085"/>
      <c r="G20085"/>
      <c r="H20085"/>
      <c r="I20085" s="489"/>
    </row>
    <row r="20086" spans="1:9" x14ac:dyDescent="0.25">
      <c r="A20086">
        <v>41207</v>
      </c>
      <c r="B20086" t="s">
        <v>23589</v>
      </c>
      <c r="C20086" t="s">
        <v>2537</v>
      </c>
      <c r="D20086" s="254">
        <v>7104.69</v>
      </c>
      <c r="E20086"/>
      <c r="F20086"/>
      <c r="G20086"/>
      <c r="H20086"/>
      <c r="I20086" s="489"/>
    </row>
    <row r="20087" spans="1:9" x14ac:dyDescent="0.25">
      <c r="A20087">
        <v>41203</v>
      </c>
      <c r="B20087" t="s">
        <v>23590</v>
      </c>
      <c r="C20087" t="s">
        <v>2537</v>
      </c>
      <c r="D20087" s="254">
        <v>1871.11</v>
      </c>
      <c r="E20087"/>
      <c r="F20087"/>
      <c r="G20087"/>
      <c r="H20087"/>
      <c r="I20087" s="489"/>
    </row>
    <row r="20088" spans="1:9" x14ac:dyDescent="0.25">
      <c r="A20088">
        <v>41204</v>
      </c>
      <c r="B20088" t="s">
        <v>23591</v>
      </c>
      <c r="C20088" t="s">
        <v>2537</v>
      </c>
      <c r="D20088" s="254">
        <v>2645.27</v>
      </c>
      <c r="E20088"/>
      <c r="F20088"/>
      <c r="G20088"/>
      <c r="H20088"/>
      <c r="I20088" s="489"/>
    </row>
    <row r="20089" spans="1:9" x14ac:dyDescent="0.25">
      <c r="A20089">
        <v>41210</v>
      </c>
      <c r="B20089" t="s">
        <v>23592</v>
      </c>
      <c r="C20089" t="s">
        <v>2537</v>
      </c>
      <c r="D20089" s="254">
        <v>4418.8599999999997</v>
      </c>
      <c r="E20089"/>
      <c r="F20089"/>
      <c r="G20089"/>
      <c r="H20089"/>
      <c r="I20089" s="489"/>
    </row>
    <row r="20090" spans="1:9" x14ac:dyDescent="0.25">
      <c r="A20090">
        <v>41208</v>
      </c>
      <c r="B20090" t="s">
        <v>23593</v>
      </c>
      <c r="C20090" t="s">
        <v>2537</v>
      </c>
      <c r="D20090" s="254">
        <v>1546.86</v>
      </c>
      <c r="E20090"/>
      <c r="F20090"/>
      <c r="G20090"/>
      <c r="H20090"/>
      <c r="I20090" s="489"/>
    </row>
    <row r="20091" spans="1:9" x14ac:dyDescent="0.25">
      <c r="A20091">
        <v>41211</v>
      </c>
      <c r="B20091" t="s">
        <v>23594</v>
      </c>
      <c r="C20091" t="s">
        <v>2537</v>
      </c>
      <c r="D20091" s="254">
        <v>6226.1</v>
      </c>
      <c r="E20091"/>
      <c r="F20091"/>
      <c r="G20091"/>
      <c r="H20091"/>
      <c r="I20091" s="489"/>
    </row>
    <row r="20092" spans="1:9" x14ac:dyDescent="0.25">
      <c r="A20092">
        <v>13339</v>
      </c>
      <c r="B20092" t="s">
        <v>23595</v>
      </c>
      <c r="C20092" t="s">
        <v>2537</v>
      </c>
      <c r="D20092" s="254">
        <v>2096.36</v>
      </c>
      <c r="E20092"/>
      <c r="F20092"/>
      <c r="G20092"/>
      <c r="H20092"/>
      <c r="I20092" s="489"/>
    </row>
    <row r="20093" spans="1:9" x14ac:dyDescent="0.25">
      <c r="A20093">
        <v>41213</v>
      </c>
      <c r="B20093" t="s">
        <v>23596</v>
      </c>
      <c r="C20093" t="s">
        <v>2537</v>
      </c>
      <c r="D20093" s="254">
        <v>12905.18</v>
      </c>
      <c r="E20093"/>
      <c r="F20093"/>
      <c r="G20093"/>
      <c r="H20093"/>
      <c r="I20093" s="489"/>
    </row>
    <row r="20094" spans="1:9" x14ac:dyDescent="0.25">
      <c r="A20094">
        <v>41209</v>
      </c>
      <c r="B20094" t="s">
        <v>23597</v>
      </c>
      <c r="C20094" t="s">
        <v>2537</v>
      </c>
      <c r="D20094" s="254">
        <v>2884.34</v>
      </c>
      <c r="E20094"/>
      <c r="F20094"/>
      <c r="G20094"/>
      <c r="H20094"/>
      <c r="I20094" s="489"/>
    </row>
    <row r="20095" spans="1:9" x14ac:dyDescent="0.25">
      <c r="A20095">
        <v>41216</v>
      </c>
      <c r="B20095" t="s">
        <v>23598</v>
      </c>
      <c r="C20095" t="s">
        <v>2537</v>
      </c>
      <c r="D20095" s="254">
        <v>5402.74</v>
      </c>
      <c r="E20095"/>
      <c r="F20095"/>
      <c r="G20095"/>
      <c r="H20095"/>
      <c r="I20095" s="489"/>
    </row>
    <row r="20096" spans="1:9" x14ac:dyDescent="0.25">
      <c r="A20096">
        <v>41217</v>
      </c>
      <c r="B20096" t="s">
        <v>23599</v>
      </c>
      <c r="C20096" t="s">
        <v>2537</v>
      </c>
      <c r="D20096" s="254">
        <v>8662.52</v>
      </c>
      <c r="E20096"/>
      <c r="F20096"/>
      <c r="G20096"/>
      <c r="H20096"/>
      <c r="I20096" s="489"/>
    </row>
    <row r="20097" spans="1:9" x14ac:dyDescent="0.25">
      <c r="A20097">
        <v>41218</v>
      </c>
      <c r="B20097" t="s">
        <v>23600</v>
      </c>
      <c r="C20097" t="s">
        <v>2537</v>
      </c>
      <c r="D20097" s="254">
        <v>11616.7</v>
      </c>
      <c r="E20097"/>
      <c r="F20097"/>
      <c r="G20097"/>
      <c r="H20097"/>
      <c r="I20097" s="489"/>
    </row>
    <row r="20098" spans="1:9" x14ac:dyDescent="0.25">
      <c r="A20098">
        <v>41214</v>
      </c>
      <c r="B20098" t="s">
        <v>23601</v>
      </c>
      <c r="C20098" t="s">
        <v>2537</v>
      </c>
      <c r="D20098" s="254">
        <v>2449.36</v>
      </c>
      <c r="E20098"/>
      <c r="F20098"/>
      <c r="G20098"/>
      <c r="H20098"/>
      <c r="I20098" s="489"/>
    </row>
    <row r="20099" spans="1:9" x14ac:dyDescent="0.25">
      <c r="A20099">
        <v>41215</v>
      </c>
      <c r="B20099" t="s">
        <v>23602</v>
      </c>
      <c r="C20099" t="s">
        <v>2537</v>
      </c>
      <c r="D20099" s="254">
        <v>3687.85</v>
      </c>
      <c r="E20099"/>
      <c r="F20099"/>
      <c r="G20099"/>
      <c r="H20099"/>
      <c r="I20099" s="489"/>
    </row>
    <row r="20100" spans="1:9" x14ac:dyDescent="0.25">
      <c r="A20100">
        <v>41221</v>
      </c>
      <c r="B20100" t="s">
        <v>23603</v>
      </c>
      <c r="C20100" t="s">
        <v>2537</v>
      </c>
      <c r="D20100" s="254">
        <v>10678.21</v>
      </c>
      <c r="E20100"/>
      <c r="F20100"/>
      <c r="G20100"/>
      <c r="H20100"/>
      <c r="I20100" s="489"/>
    </row>
    <row r="20101" spans="1:9" x14ac:dyDescent="0.25">
      <c r="A20101">
        <v>41222</v>
      </c>
      <c r="B20101" t="s">
        <v>23604</v>
      </c>
      <c r="C20101" t="s">
        <v>2537</v>
      </c>
      <c r="D20101" s="254">
        <v>15280.64</v>
      </c>
      <c r="E20101"/>
      <c r="F20101"/>
      <c r="G20101"/>
      <c r="H20101"/>
      <c r="I20101" s="489"/>
    </row>
    <row r="20102" spans="1:9" x14ac:dyDescent="0.25">
      <c r="A20102">
        <v>41195</v>
      </c>
      <c r="B20102" t="s">
        <v>23605</v>
      </c>
      <c r="C20102" t="s">
        <v>2537</v>
      </c>
      <c r="D20102" s="254">
        <v>785.38</v>
      </c>
      <c r="E20102"/>
      <c r="F20102"/>
      <c r="G20102"/>
      <c r="H20102"/>
      <c r="I20102" s="489"/>
    </row>
    <row r="20103" spans="1:9" x14ac:dyDescent="0.25">
      <c r="A20103">
        <v>41198</v>
      </c>
      <c r="B20103" t="s">
        <v>23606</v>
      </c>
      <c r="C20103" t="s">
        <v>2537</v>
      </c>
      <c r="D20103" s="254">
        <v>3069.08</v>
      </c>
      <c r="E20103"/>
      <c r="F20103"/>
      <c r="G20103"/>
      <c r="H20103"/>
      <c r="I20103" s="489"/>
    </row>
    <row r="20104" spans="1:9" x14ac:dyDescent="0.25">
      <c r="A20104">
        <v>41196</v>
      </c>
      <c r="B20104" t="s">
        <v>23607</v>
      </c>
      <c r="C20104" t="s">
        <v>2537</v>
      </c>
      <c r="D20104" s="254">
        <v>973.53</v>
      </c>
      <c r="E20104"/>
      <c r="F20104"/>
      <c r="G20104"/>
      <c r="H20104"/>
      <c r="I20104" s="489"/>
    </row>
    <row r="20105" spans="1:9" x14ac:dyDescent="0.25">
      <c r="A20105">
        <v>5033</v>
      </c>
      <c r="B20105" t="s">
        <v>23608</v>
      </c>
      <c r="C20105" t="s">
        <v>2537</v>
      </c>
      <c r="D20105" s="254">
        <v>1278.19</v>
      </c>
      <c r="E20105"/>
      <c r="F20105"/>
      <c r="G20105"/>
      <c r="H20105"/>
      <c r="I20105" s="489"/>
    </row>
    <row r="20106" spans="1:9" x14ac:dyDescent="0.25">
      <c r="A20106">
        <v>41197</v>
      </c>
      <c r="B20106" t="s">
        <v>23609</v>
      </c>
      <c r="C20106" t="s">
        <v>2537</v>
      </c>
      <c r="D20106" s="254">
        <v>1898.59</v>
      </c>
      <c r="E20106"/>
      <c r="F20106"/>
      <c r="G20106"/>
      <c r="H20106"/>
      <c r="I20106" s="489"/>
    </row>
    <row r="20107" spans="1:9" x14ac:dyDescent="0.25">
      <c r="A20107">
        <v>12388</v>
      </c>
      <c r="B20107" t="s">
        <v>23610</v>
      </c>
      <c r="C20107" t="s">
        <v>2537</v>
      </c>
      <c r="D20107" s="254">
        <v>346.95</v>
      </c>
      <c r="E20107"/>
      <c r="F20107"/>
      <c r="G20107"/>
      <c r="H20107"/>
      <c r="I20107" s="489"/>
    </row>
    <row r="20108" spans="1:9" x14ac:dyDescent="0.25">
      <c r="A20108">
        <v>2731</v>
      </c>
      <c r="B20108" t="s">
        <v>23611</v>
      </c>
      <c r="C20108" t="s">
        <v>2541</v>
      </c>
      <c r="D20108" s="254">
        <v>95.52</v>
      </c>
      <c r="E20108"/>
      <c r="F20108"/>
      <c r="G20108"/>
      <c r="H20108"/>
      <c r="I20108" s="489"/>
    </row>
    <row r="20109" spans="1:9" x14ac:dyDescent="0.25">
      <c r="A20109">
        <v>41457</v>
      </c>
      <c r="B20109" t="s">
        <v>23612</v>
      </c>
      <c r="C20109" t="s">
        <v>2537</v>
      </c>
      <c r="D20109" s="254">
        <v>1588.26</v>
      </c>
      <c r="E20109"/>
      <c r="F20109"/>
      <c r="G20109"/>
      <c r="H20109"/>
      <c r="I20109" s="489"/>
    </row>
    <row r="20110" spans="1:9" x14ac:dyDescent="0.25">
      <c r="A20110">
        <v>41458</v>
      </c>
      <c r="B20110" t="s">
        <v>23613</v>
      </c>
      <c r="C20110" t="s">
        <v>2537</v>
      </c>
      <c r="D20110" s="254">
        <v>2217.29</v>
      </c>
      <c r="E20110"/>
      <c r="F20110"/>
      <c r="G20110"/>
      <c r="H20110"/>
      <c r="I20110" s="489"/>
    </row>
    <row r="20111" spans="1:9" x14ac:dyDescent="0.25">
      <c r="A20111">
        <v>41459</v>
      </c>
      <c r="B20111" t="s">
        <v>23614</v>
      </c>
      <c r="C20111" t="s">
        <v>2537</v>
      </c>
      <c r="D20111" s="254">
        <v>3092.95</v>
      </c>
      <c r="E20111"/>
      <c r="F20111"/>
      <c r="G20111"/>
      <c r="H20111"/>
      <c r="I20111" s="489"/>
    </row>
    <row r="20112" spans="1:9" x14ac:dyDescent="0.25">
      <c r="A20112">
        <v>41461</v>
      </c>
      <c r="B20112" t="s">
        <v>23615</v>
      </c>
      <c r="C20112" t="s">
        <v>2537</v>
      </c>
      <c r="D20112" s="254">
        <v>4217.08</v>
      </c>
      <c r="E20112"/>
      <c r="F20112"/>
      <c r="G20112"/>
      <c r="H20112"/>
      <c r="I20112" s="489"/>
    </row>
    <row r="20113" spans="1:9" x14ac:dyDescent="0.25">
      <c r="A20113">
        <v>44537</v>
      </c>
      <c r="B20113" t="s">
        <v>23616</v>
      </c>
      <c r="C20113" t="s">
        <v>2548</v>
      </c>
      <c r="D20113" s="254">
        <v>321.91000000000003</v>
      </c>
      <c r="E20113"/>
      <c r="F20113"/>
      <c r="G20113"/>
      <c r="H20113"/>
      <c r="I20113" s="489"/>
    </row>
    <row r="20114" spans="1:9" x14ac:dyDescent="0.25">
      <c r="A20114">
        <v>11844</v>
      </c>
      <c r="B20114" t="s">
        <v>23617</v>
      </c>
      <c r="C20114" t="s">
        <v>2541</v>
      </c>
      <c r="D20114" s="254">
        <v>75.73</v>
      </c>
      <c r="E20114"/>
      <c r="F20114"/>
      <c r="G20114"/>
      <c r="H20114"/>
      <c r="I20114" s="489"/>
    </row>
    <row r="20115" spans="1:9" x14ac:dyDescent="0.25">
      <c r="A20115">
        <v>4465</v>
      </c>
      <c r="B20115" t="s">
        <v>23618</v>
      </c>
      <c r="C20115" t="s">
        <v>2541</v>
      </c>
      <c r="D20115" s="254">
        <v>62.93</v>
      </c>
      <c r="E20115"/>
      <c r="F20115"/>
      <c r="G20115"/>
      <c r="H20115"/>
      <c r="I20115" s="489"/>
    </row>
    <row r="20116" spans="1:9" x14ac:dyDescent="0.25">
      <c r="A20116">
        <v>35273</v>
      </c>
      <c r="B20116" t="s">
        <v>23619</v>
      </c>
      <c r="C20116" t="s">
        <v>2541</v>
      </c>
      <c r="D20116" s="254">
        <v>75.47</v>
      </c>
      <c r="E20116"/>
      <c r="F20116"/>
      <c r="G20116"/>
      <c r="H20116"/>
      <c r="I20116" s="489"/>
    </row>
    <row r="20117" spans="1:9" x14ac:dyDescent="0.25">
      <c r="A20117">
        <v>4470</v>
      </c>
      <c r="B20117" t="s">
        <v>23620</v>
      </c>
      <c r="C20117" t="s">
        <v>2541</v>
      </c>
      <c r="D20117" s="254">
        <v>174.17</v>
      </c>
      <c r="E20117"/>
      <c r="F20117"/>
      <c r="G20117"/>
      <c r="H20117"/>
      <c r="I20117" s="489"/>
    </row>
    <row r="20118" spans="1:9" x14ac:dyDescent="0.25">
      <c r="A20118">
        <v>20208</v>
      </c>
      <c r="B20118" t="s">
        <v>23621</v>
      </c>
      <c r="C20118" t="s">
        <v>2541</v>
      </c>
      <c r="D20118" s="254">
        <v>156.76</v>
      </c>
      <c r="E20118"/>
      <c r="F20118"/>
      <c r="G20118"/>
      <c r="H20118"/>
      <c r="I20118" s="489"/>
    </row>
    <row r="20119" spans="1:9" x14ac:dyDescent="0.25">
      <c r="A20119">
        <v>20204</v>
      </c>
      <c r="B20119" t="s">
        <v>23622</v>
      </c>
      <c r="C20119" t="s">
        <v>2541</v>
      </c>
      <c r="D20119" s="254">
        <v>116.11</v>
      </c>
      <c r="E20119"/>
      <c r="F20119"/>
      <c r="G20119"/>
      <c r="H20119"/>
      <c r="I20119" s="489"/>
    </row>
    <row r="20120" spans="1:9" x14ac:dyDescent="0.25">
      <c r="A20120">
        <v>4437</v>
      </c>
      <c r="B20120" t="s">
        <v>23623</v>
      </c>
      <c r="C20120" t="s">
        <v>2541</v>
      </c>
      <c r="D20120" s="254">
        <v>130.63</v>
      </c>
      <c r="E20120"/>
      <c r="F20120"/>
      <c r="G20120"/>
      <c r="H20120"/>
      <c r="I20120" s="489"/>
    </row>
    <row r="20121" spans="1:9" x14ac:dyDescent="0.25">
      <c r="A20121">
        <v>14580</v>
      </c>
      <c r="B20121" t="s">
        <v>23624</v>
      </c>
      <c r="C20121" t="s">
        <v>2541</v>
      </c>
      <c r="D20121" s="254">
        <v>130.63</v>
      </c>
      <c r="E20121"/>
      <c r="F20121"/>
      <c r="G20121"/>
      <c r="H20121"/>
      <c r="I20121" s="489"/>
    </row>
    <row r="20122" spans="1:9" x14ac:dyDescent="0.25">
      <c r="A20122">
        <v>40304</v>
      </c>
      <c r="B20122" t="s">
        <v>23625</v>
      </c>
      <c r="C20122" t="s">
        <v>2542</v>
      </c>
      <c r="D20122" s="254">
        <v>26.91</v>
      </c>
      <c r="E20122"/>
      <c r="F20122"/>
      <c r="G20122"/>
      <c r="H20122"/>
      <c r="I20122" s="489"/>
    </row>
    <row r="20123" spans="1:9" x14ac:dyDescent="0.25">
      <c r="A20123">
        <v>5065</v>
      </c>
      <c r="B20123" t="s">
        <v>23626</v>
      </c>
      <c r="C20123" t="s">
        <v>2542</v>
      </c>
      <c r="D20123" s="254">
        <v>41.47</v>
      </c>
      <c r="E20123"/>
      <c r="F20123"/>
      <c r="G20123"/>
      <c r="H20123"/>
      <c r="I20123" s="489"/>
    </row>
    <row r="20124" spans="1:9" x14ac:dyDescent="0.25">
      <c r="A20124">
        <v>5072</v>
      </c>
      <c r="B20124" t="s">
        <v>23627</v>
      </c>
      <c r="C20124" t="s">
        <v>2542</v>
      </c>
      <c r="D20124" s="254">
        <v>38.36</v>
      </c>
      <c r="E20124"/>
      <c r="F20124"/>
      <c r="G20124"/>
      <c r="H20124"/>
      <c r="I20124" s="489"/>
    </row>
    <row r="20125" spans="1:9" x14ac:dyDescent="0.25">
      <c r="A20125">
        <v>5066</v>
      </c>
      <c r="B20125" t="s">
        <v>23628</v>
      </c>
      <c r="C20125" t="s">
        <v>2542</v>
      </c>
      <c r="D20125" s="254">
        <v>28.72</v>
      </c>
      <c r="E20125"/>
      <c r="F20125"/>
      <c r="G20125"/>
      <c r="H20125"/>
      <c r="I20125" s="489"/>
    </row>
    <row r="20126" spans="1:9" x14ac:dyDescent="0.25">
      <c r="A20126">
        <v>5063</v>
      </c>
      <c r="B20126" t="s">
        <v>23629</v>
      </c>
      <c r="C20126" t="s">
        <v>2542</v>
      </c>
      <c r="D20126" s="254">
        <v>26.01</v>
      </c>
      <c r="E20126"/>
      <c r="F20126"/>
      <c r="G20126"/>
      <c r="H20126"/>
      <c r="I20126" s="489"/>
    </row>
    <row r="20127" spans="1:9" x14ac:dyDescent="0.25">
      <c r="A20127">
        <v>20247</v>
      </c>
      <c r="B20127" t="s">
        <v>23630</v>
      </c>
      <c r="C20127" t="s">
        <v>2542</v>
      </c>
      <c r="D20127" s="254">
        <v>24.14</v>
      </c>
      <c r="E20127"/>
      <c r="F20127"/>
      <c r="G20127"/>
      <c r="H20127"/>
      <c r="I20127" s="489"/>
    </row>
    <row r="20128" spans="1:9" x14ac:dyDescent="0.25">
      <c r="A20128">
        <v>5074</v>
      </c>
      <c r="B20128" t="s">
        <v>23631</v>
      </c>
      <c r="C20128" t="s">
        <v>2542</v>
      </c>
      <c r="D20128" s="254">
        <v>24.42</v>
      </c>
      <c r="E20128"/>
      <c r="F20128"/>
      <c r="G20128"/>
      <c r="H20128"/>
      <c r="I20128" s="489"/>
    </row>
    <row r="20129" spans="1:9" x14ac:dyDescent="0.25">
      <c r="A20129">
        <v>5067</v>
      </c>
      <c r="B20129" t="s">
        <v>23632</v>
      </c>
      <c r="C20129" t="s">
        <v>2542</v>
      </c>
      <c r="D20129" s="254">
        <v>23.23</v>
      </c>
      <c r="E20129"/>
      <c r="F20129"/>
      <c r="G20129"/>
      <c r="H20129"/>
      <c r="I20129" s="489"/>
    </row>
    <row r="20130" spans="1:9" x14ac:dyDescent="0.25">
      <c r="A20130">
        <v>5078</v>
      </c>
      <c r="B20130" t="s">
        <v>23633</v>
      </c>
      <c r="C20130" t="s">
        <v>2542</v>
      </c>
      <c r="D20130" s="254">
        <v>22.97</v>
      </c>
      <c r="E20130"/>
      <c r="F20130"/>
      <c r="G20130"/>
      <c r="H20130"/>
      <c r="I20130" s="489"/>
    </row>
    <row r="20131" spans="1:9" x14ac:dyDescent="0.25">
      <c r="A20131">
        <v>5068</v>
      </c>
      <c r="B20131" t="s">
        <v>23634</v>
      </c>
      <c r="C20131" t="s">
        <v>2542</v>
      </c>
      <c r="D20131" s="254">
        <v>21.8</v>
      </c>
      <c r="E20131"/>
      <c r="F20131"/>
      <c r="G20131"/>
      <c r="H20131"/>
      <c r="I20131" s="489"/>
    </row>
    <row r="20132" spans="1:9" x14ac:dyDescent="0.25">
      <c r="A20132">
        <v>5073</v>
      </c>
      <c r="B20132" t="s">
        <v>23635</v>
      </c>
      <c r="C20132" t="s">
        <v>2542</v>
      </c>
      <c r="D20132" s="254">
        <v>22.22</v>
      </c>
      <c r="E20132"/>
      <c r="F20132"/>
      <c r="G20132"/>
      <c r="H20132"/>
      <c r="I20132" s="489"/>
    </row>
    <row r="20133" spans="1:9" x14ac:dyDescent="0.25">
      <c r="A20133">
        <v>5069</v>
      </c>
      <c r="B20133" t="s">
        <v>23636</v>
      </c>
      <c r="C20133" t="s">
        <v>2542</v>
      </c>
      <c r="D20133" s="254">
        <v>22.22</v>
      </c>
      <c r="E20133"/>
      <c r="F20133"/>
      <c r="G20133"/>
      <c r="H20133"/>
      <c r="I20133" s="489"/>
    </row>
    <row r="20134" spans="1:9" x14ac:dyDescent="0.25">
      <c r="A20134">
        <v>5070</v>
      </c>
      <c r="B20134" t="s">
        <v>23637</v>
      </c>
      <c r="C20134" t="s">
        <v>2542</v>
      </c>
      <c r="D20134" s="254">
        <v>22.46</v>
      </c>
      <c r="E20134"/>
      <c r="F20134"/>
      <c r="G20134"/>
      <c r="H20134"/>
      <c r="I20134" s="489"/>
    </row>
    <row r="20135" spans="1:9" x14ac:dyDescent="0.25">
      <c r="A20135">
        <v>5071</v>
      </c>
      <c r="B20135" t="s">
        <v>23638</v>
      </c>
      <c r="C20135" t="s">
        <v>2542</v>
      </c>
      <c r="D20135" s="254">
        <v>21.8</v>
      </c>
      <c r="E20135"/>
      <c r="F20135"/>
      <c r="G20135"/>
      <c r="H20135"/>
      <c r="I20135" s="489"/>
    </row>
    <row r="20136" spans="1:9" x14ac:dyDescent="0.25">
      <c r="A20136">
        <v>5061</v>
      </c>
      <c r="B20136" t="s">
        <v>23639</v>
      </c>
      <c r="C20136" t="s">
        <v>2542</v>
      </c>
      <c r="D20136" s="254">
        <v>21.43</v>
      </c>
      <c r="E20136"/>
      <c r="F20136"/>
      <c r="G20136"/>
      <c r="H20136"/>
      <c r="I20136" s="489"/>
    </row>
    <row r="20137" spans="1:9" x14ac:dyDescent="0.25">
      <c r="A20137">
        <v>5075</v>
      </c>
      <c r="B20137" t="s">
        <v>23640</v>
      </c>
      <c r="C20137" t="s">
        <v>2542</v>
      </c>
      <c r="D20137" s="254">
        <v>21.8</v>
      </c>
      <c r="E20137"/>
      <c r="F20137"/>
      <c r="G20137"/>
      <c r="H20137"/>
      <c r="I20137" s="489"/>
    </row>
    <row r="20138" spans="1:9" x14ac:dyDescent="0.25">
      <c r="A20138">
        <v>39027</v>
      </c>
      <c r="B20138" t="s">
        <v>23641</v>
      </c>
      <c r="C20138" t="s">
        <v>2542</v>
      </c>
      <c r="D20138" s="254">
        <v>21.78</v>
      </c>
      <c r="E20138"/>
      <c r="F20138"/>
      <c r="G20138"/>
      <c r="H20138"/>
      <c r="I20138" s="489"/>
    </row>
    <row r="20139" spans="1:9" x14ac:dyDescent="0.25">
      <c r="A20139">
        <v>5062</v>
      </c>
      <c r="B20139" t="s">
        <v>23642</v>
      </c>
      <c r="C20139" t="s">
        <v>2542</v>
      </c>
      <c r="D20139" s="254">
        <v>22.09</v>
      </c>
      <c r="E20139"/>
      <c r="F20139"/>
      <c r="G20139"/>
      <c r="H20139"/>
      <c r="I20139" s="489"/>
    </row>
    <row r="20140" spans="1:9" x14ac:dyDescent="0.25">
      <c r="A20140">
        <v>40568</v>
      </c>
      <c r="B20140" t="s">
        <v>23643</v>
      </c>
      <c r="C20140" t="s">
        <v>2542</v>
      </c>
      <c r="D20140" s="254">
        <v>21.96</v>
      </c>
      <c r="E20140"/>
      <c r="F20140"/>
      <c r="G20140"/>
      <c r="H20140"/>
      <c r="I20140" s="489"/>
    </row>
    <row r="20141" spans="1:9" x14ac:dyDescent="0.25">
      <c r="A20141">
        <v>39026</v>
      </c>
      <c r="B20141" t="s">
        <v>23644</v>
      </c>
      <c r="C20141" t="s">
        <v>2542</v>
      </c>
      <c r="D20141" s="254">
        <v>24.51</v>
      </c>
      <c r="E20141"/>
      <c r="F20141"/>
      <c r="G20141"/>
      <c r="H20141"/>
      <c r="I20141" s="489"/>
    </row>
    <row r="20142" spans="1:9" x14ac:dyDescent="0.25">
      <c r="A20142">
        <v>42431</v>
      </c>
      <c r="B20142" t="s">
        <v>23645</v>
      </c>
      <c r="C20142" t="s">
        <v>2537</v>
      </c>
      <c r="D20142" s="254">
        <v>3922.99</v>
      </c>
      <c r="E20142"/>
      <c r="F20142"/>
      <c r="G20142"/>
      <c r="H20142"/>
      <c r="I20142" s="489"/>
    </row>
    <row r="20143" spans="1:9" x14ac:dyDescent="0.25">
      <c r="A20143">
        <v>44074</v>
      </c>
      <c r="B20143" t="s">
        <v>23646</v>
      </c>
      <c r="C20143" t="s">
        <v>2543</v>
      </c>
      <c r="D20143" s="254">
        <v>514.19000000000005</v>
      </c>
      <c r="E20143"/>
      <c r="F20143"/>
      <c r="G20143"/>
      <c r="H20143"/>
      <c r="I20143" s="489"/>
    </row>
    <row r="20144" spans="1:9" x14ac:dyDescent="0.25">
      <c r="A20144">
        <v>44072</v>
      </c>
      <c r="B20144" t="s">
        <v>23647</v>
      </c>
      <c r="C20144" t="s">
        <v>2543</v>
      </c>
      <c r="D20144" s="254">
        <v>121.64</v>
      </c>
      <c r="E20144"/>
      <c r="F20144"/>
      <c r="G20144"/>
      <c r="H20144"/>
      <c r="I20144" s="489"/>
    </row>
    <row r="20145" spans="1:9" x14ac:dyDescent="0.25">
      <c r="A20145">
        <v>511</v>
      </c>
      <c r="B20145" t="s">
        <v>23648</v>
      </c>
      <c r="C20145" t="s">
        <v>2543</v>
      </c>
      <c r="D20145" s="254">
        <v>12.5</v>
      </c>
      <c r="E20145"/>
      <c r="F20145"/>
      <c r="G20145"/>
      <c r="H20145"/>
      <c r="I20145" s="489"/>
    </row>
    <row r="20146" spans="1:9" x14ac:dyDescent="0.25">
      <c r="A20146">
        <v>37540</v>
      </c>
      <c r="B20146" t="s">
        <v>23649</v>
      </c>
      <c r="C20146" t="s">
        <v>2537</v>
      </c>
      <c r="D20146" s="254">
        <v>79733.11</v>
      </c>
      <c r="E20146"/>
      <c r="F20146"/>
      <c r="G20146"/>
      <c r="H20146"/>
      <c r="I20146" s="489"/>
    </row>
    <row r="20147" spans="1:9" x14ac:dyDescent="0.25">
      <c r="A20147">
        <v>37548</v>
      </c>
      <c r="B20147" t="s">
        <v>23650</v>
      </c>
      <c r="C20147" t="s">
        <v>2537</v>
      </c>
      <c r="D20147" s="254">
        <v>105685.83</v>
      </c>
      <c r="E20147"/>
      <c r="F20147"/>
      <c r="G20147"/>
      <c r="H20147"/>
      <c r="I20147" s="489"/>
    </row>
    <row r="20148" spans="1:9" x14ac:dyDescent="0.25">
      <c r="A20148">
        <v>39828</v>
      </c>
      <c r="B20148" t="s">
        <v>23651</v>
      </c>
      <c r="C20148" t="s">
        <v>2537</v>
      </c>
      <c r="D20148" s="254">
        <v>634.01</v>
      </c>
      <c r="E20148"/>
      <c r="F20148"/>
      <c r="G20148"/>
      <c r="H20148"/>
      <c r="I20148" s="489"/>
    </row>
    <row r="20149" spans="1:9" x14ac:dyDescent="0.25">
      <c r="A20149">
        <v>12273</v>
      </c>
      <c r="B20149" t="s">
        <v>23652</v>
      </c>
      <c r="C20149" t="s">
        <v>2537</v>
      </c>
      <c r="D20149" s="254">
        <v>119.91</v>
      </c>
      <c r="E20149"/>
      <c r="F20149"/>
      <c r="G20149"/>
      <c r="H20149"/>
      <c r="I20149" s="489"/>
    </row>
    <row r="20150" spans="1:9" x14ac:dyDescent="0.25">
      <c r="A20150">
        <v>38392</v>
      </c>
      <c r="B20150" t="s">
        <v>23653</v>
      </c>
      <c r="C20150" t="s">
        <v>2537</v>
      </c>
      <c r="D20150" s="254">
        <v>58.02</v>
      </c>
      <c r="E20150"/>
      <c r="F20150"/>
      <c r="G20150"/>
      <c r="H20150"/>
      <c r="I20150" s="489"/>
    </row>
    <row r="20151" spans="1:9" x14ac:dyDescent="0.25">
      <c r="A20151">
        <v>11735</v>
      </c>
      <c r="B20151" t="s">
        <v>23654</v>
      </c>
      <c r="C20151" t="s">
        <v>2537</v>
      </c>
      <c r="D20151" s="254">
        <v>9.5</v>
      </c>
      <c r="E20151"/>
      <c r="F20151"/>
      <c r="G20151"/>
      <c r="H20151"/>
      <c r="I20151" s="489"/>
    </row>
    <row r="20152" spans="1:9" x14ac:dyDescent="0.25">
      <c r="A20152">
        <v>11737</v>
      </c>
      <c r="B20152" t="s">
        <v>23655</v>
      </c>
      <c r="C20152" t="s">
        <v>2537</v>
      </c>
      <c r="D20152" s="254">
        <v>13.47</v>
      </c>
      <c r="E20152"/>
      <c r="F20152"/>
      <c r="G20152"/>
      <c r="H20152"/>
      <c r="I20152" s="489"/>
    </row>
    <row r="20153" spans="1:9" x14ac:dyDescent="0.25">
      <c r="A20153">
        <v>11738</v>
      </c>
      <c r="B20153" t="s">
        <v>23656</v>
      </c>
      <c r="C20153" t="s">
        <v>2537</v>
      </c>
      <c r="D20153" s="254">
        <v>16.989999999999998</v>
      </c>
      <c r="E20153"/>
      <c r="F20153"/>
      <c r="G20153"/>
      <c r="H20153"/>
      <c r="I20153" s="489"/>
    </row>
    <row r="20154" spans="1:9" x14ac:dyDescent="0.25">
      <c r="A20154">
        <v>36143</v>
      </c>
      <c r="B20154" t="s">
        <v>23657</v>
      </c>
      <c r="C20154" t="s">
        <v>2537</v>
      </c>
      <c r="D20154" s="254">
        <v>30.54</v>
      </c>
      <c r="E20154"/>
      <c r="F20154"/>
      <c r="G20154"/>
      <c r="H20154"/>
      <c r="I20154" s="489"/>
    </row>
    <row r="20155" spans="1:9" x14ac:dyDescent="0.25">
      <c r="A20155">
        <v>36142</v>
      </c>
      <c r="B20155" t="s">
        <v>23658</v>
      </c>
      <c r="C20155" t="s">
        <v>2537</v>
      </c>
      <c r="D20155" s="254">
        <v>2.23</v>
      </c>
      <c r="E20155"/>
      <c r="F20155"/>
      <c r="G20155"/>
      <c r="H20155"/>
      <c r="I20155" s="489"/>
    </row>
    <row r="20156" spans="1:9" x14ac:dyDescent="0.25">
      <c r="A20156">
        <v>36146</v>
      </c>
      <c r="B20156" t="s">
        <v>23659</v>
      </c>
      <c r="C20156" t="s">
        <v>2537</v>
      </c>
      <c r="D20156" s="254">
        <v>253.3</v>
      </c>
      <c r="E20156"/>
      <c r="F20156"/>
      <c r="G20156"/>
      <c r="H20156"/>
      <c r="I20156" s="489"/>
    </row>
    <row r="20157" spans="1:9" x14ac:dyDescent="0.25">
      <c r="A20157">
        <v>39015</v>
      </c>
      <c r="B20157" t="s">
        <v>23660</v>
      </c>
      <c r="C20157" t="s">
        <v>2537</v>
      </c>
      <c r="D20157" s="254">
        <v>0.86</v>
      </c>
      <c r="E20157"/>
      <c r="F20157"/>
      <c r="G20157"/>
      <c r="H20157"/>
      <c r="I20157" s="489"/>
    </row>
    <row r="20158" spans="1:9" x14ac:dyDescent="0.25">
      <c r="A20158">
        <v>38377</v>
      </c>
      <c r="B20158" t="s">
        <v>23661</v>
      </c>
      <c r="C20158" t="s">
        <v>2537</v>
      </c>
      <c r="D20158" s="254">
        <v>50.44</v>
      </c>
      <c r="E20158"/>
      <c r="F20158"/>
      <c r="G20158"/>
      <c r="H20158"/>
      <c r="I20158" s="489"/>
    </row>
    <row r="20159" spans="1:9" x14ac:dyDescent="0.25">
      <c r="A20159">
        <v>38376</v>
      </c>
      <c r="B20159" t="s">
        <v>23662</v>
      </c>
      <c r="C20159" t="s">
        <v>2537</v>
      </c>
      <c r="D20159" s="254">
        <v>57.51</v>
      </c>
      <c r="E20159"/>
      <c r="F20159"/>
      <c r="G20159"/>
      <c r="H20159"/>
      <c r="I20159" s="489"/>
    </row>
    <row r="20160" spans="1:9" x14ac:dyDescent="0.25">
      <c r="A20160">
        <v>38116</v>
      </c>
      <c r="B20160" t="s">
        <v>23663</v>
      </c>
      <c r="C20160" t="s">
        <v>2537</v>
      </c>
      <c r="D20160" s="254">
        <v>6.01</v>
      </c>
      <c r="E20160"/>
      <c r="F20160"/>
      <c r="G20160"/>
      <c r="H20160"/>
      <c r="I20160" s="489"/>
    </row>
    <row r="20161" spans="1:9" x14ac:dyDescent="0.25">
      <c r="A20161">
        <v>38066</v>
      </c>
      <c r="B20161" t="s">
        <v>23664</v>
      </c>
      <c r="C20161" t="s">
        <v>2537</v>
      </c>
      <c r="D20161" s="254">
        <v>9.93</v>
      </c>
      <c r="E20161"/>
      <c r="F20161"/>
      <c r="G20161"/>
      <c r="H20161"/>
      <c r="I20161" s="489"/>
    </row>
    <row r="20162" spans="1:9" x14ac:dyDescent="0.25">
      <c r="A20162">
        <v>38117</v>
      </c>
      <c r="B20162" t="s">
        <v>23665</v>
      </c>
      <c r="C20162" t="s">
        <v>2537</v>
      </c>
      <c r="D20162" s="254">
        <v>10.24</v>
      </c>
      <c r="E20162"/>
      <c r="F20162"/>
      <c r="G20162"/>
      <c r="H20162"/>
      <c r="I20162" s="489"/>
    </row>
    <row r="20163" spans="1:9" x14ac:dyDescent="0.25">
      <c r="A20163">
        <v>38067</v>
      </c>
      <c r="B20163" t="s">
        <v>23666</v>
      </c>
      <c r="C20163" t="s">
        <v>2537</v>
      </c>
      <c r="D20163" s="254">
        <v>13.98</v>
      </c>
      <c r="E20163"/>
      <c r="F20163"/>
      <c r="G20163"/>
      <c r="H20163"/>
      <c r="I20163" s="489"/>
    </row>
    <row r="20164" spans="1:9" x14ac:dyDescent="0.25">
      <c r="A20164">
        <v>11522</v>
      </c>
      <c r="B20164" t="s">
        <v>23667</v>
      </c>
      <c r="C20164" t="s">
        <v>2537</v>
      </c>
      <c r="D20164" s="254">
        <v>13.63</v>
      </c>
      <c r="E20164"/>
      <c r="F20164"/>
      <c r="G20164"/>
      <c r="H20164"/>
      <c r="I20164" s="489"/>
    </row>
    <row r="20165" spans="1:9" x14ac:dyDescent="0.25">
      <c r="A20165">
        <v>43600</v>
      </c>
      <c r="B20165" t="s">
        <v>23668</v>
      </c>
      <c r="C20165" t="s">
        <v>2537</v>
      </c>
      <c r="D20165" s="254">
        <v>54.62</v>
      </c>
      <c r="E20165"/>
      <c r="F20165"/>
      <c r="G20165"/>
      <c r="H20165"/>
      <c r="I20165" s="489"/>
    </row>
    <row r="20166" spans="1:9" x14ac:dyDescent="0.25">
      <c r="A20166">
        <v>5080</v>
      </c>
      <c r="B20166" t="s">
        <v>23669</v>
      </c>
      <c r="C20166" t="s">
        <v>2537</v>
      </c>
      <c r="D20166" s="254">
        <v>21.3</v>
      </c>
      <c r="E20166"/>
      <c r="F20166"/>
      <c r="G20166"/>
      <c r="H20166"/>
      <c r="I20166" s="489"/>
    </row>
    <row r="20167" spans="1:9" x14ac:dyDescent="0.25">
      <c r="A20167">
        <v>38168</v>
      </c>
      <c r="B20167" t="s">
        <v>23670</v>
      </c>
      <c r="C20167" t="s">
        <v>2537</v>
      </c>
      <c r="D20167" s="254">
        <v>148.69999999999999</v>
      </c>
      <c r="E20167"/>
      <c r="F20167"/>
      <c r="G20167"/>
      <c r="H20167"/>
      <c r="I20167" s="489"/>
    </row>
    <row r="20168" spans="1:9" x14ac:dyDescent="0.25">
      <c r="A20168">
        <v>43601</v>
      </c>
      <c r="B20168" t="s">
        <v>23671</v>
      </c>
      <c r="C20168" t="s">
        <v>2537</v>
      </c>
      <c r="D20168" s="254">
        <v>74.349999999999994</v>
      </c>
      <c r="E20168"/>
      <c r="F20168"/>
      <c r="G20168"/>
      <c r="H20168"/>
      <c r="I20168" s="489"/>
    </row>
    <row r="20169" spans="1:9" x14ac:dyDescent="0.25">
      <c r="A20169">
        <v>13393</v>
      </c>
      <c r="B20169" t="s">
        <v>23672</v>
      </c>
      <c r="C20169" t="s">
        <v>2537</v>
      </c>
      <c r="D20169" s="254">
        <v>408.19</v>
      </c>
      <c r="E20169"/>
      <c r="F20169"/>
      <c r="G20169"/>
      <c r="H20169"/>
      <c r="I20169" s="489"/>
    </row>
    <row r="20170" spans="1:9" x14ac:dyDescent="0.25">
      <c r="A20170">
        <v>13395</v>
      </c>
      <c r="B20170" t="s">
        <v>23673</v>
      </c>
      <c r="C20170" t="s">
        <v>2537</v>
      </c>
      <c r="D20170" s="254">
        <v>572.03</v>
      </c>
      <c r="E20170"/>
      <c r="F20170"/>
      <c r="G20170"/>
      <c r="H20170"/>
      <c r="I20170" s="489"/>
    </row>
    <row r="20171" spans="1:9" x14ac:dyDescent="0.25">
      <c r="A20171">
        <v>12039</v>
      </c>
      <c r="B20171" t="s">
        <v>23674</v>
      </c>
      <c r="C20171" t="s">
        <v>2537</v>
      </c>
      <c r="D20171" s="254">
        <v>601.14</v>
      </c>
      <c r="E20171"/>
      <c r="F20171"/>
      <c r="G20171"/>
      <c r="H20171"/>
      <c r="I20171" s="489"/>
    </row>
    <row r="20172" spans="1:9" x14ac:dyDescent="0.25">
      <c r="A20172">
        <v>13396</v>
      </c>
      <c r="B20172" t="s">
        <v>23675</v>
      </c>
      <c r="C20172" t="s">
        <v>2537</v>
      </c>
      <c r="D20172" s="254">
        <v>844.27</v>
      </c>
      <c r="E20172"/>
      <c r="F20172"/>
      <c r="G20172"/>
      <c r="H20172"/>
      <c r="I20172" s="489"/>
    </row>
    <row r="20173" spans="1:9" x14ac:dyDescent="0.25">
      <c r="A20173">
        <v>12041</v>
      </c>
      <c r="B20173" t="s">
        <v>23676</v>
      </c>
      <c r="C20173" t="s">
        <v>2537</v>
      </c>
      <c r="D20173" s="254">
        <v>689.4</v>
      </c>
      <c r="E20173"/>
      <c r="F20173"/>
      <c r="G20173"/>
      <c r="H20173"/>
      <c r="I20173" s="489"/>
    </row>
    <row r="20174" spans="1:9" x14ac:dyDescent="0.25">
      <c r="A20174">
        <v>12043</v>
      </c>
      <c r="B20174" t="s">
        <v>23677</v>
      </c>
      <c r="C20174" t="s">
        <v>2537</v>
      </c>
      <c r="D20174" s="254">
        <v>1455.55</v>
      </c>
      <c r="E20174"/>
      <c r="F20174"/>
      <c r="G20174"/>
      <c r="H20174"/>
      <c r="I20174" s="489"/>
    </row>
    <row r="20175" spans="1:9" x14ac:dyDescent="0.25">
      <c r="A20175">
        <v>39762</v>
      </c>
      <c r="B20175" t="s">
        <v>23678</v>
      </c>
      <c r="C20175" t="s">
        <v>2537</v>
      </c>
      <c r="D20175" s="254">
        <v>692.88</v>
      </c>
      <c r="E20175"/>
      <c r="F20175"/>
      <c r="G20175"/>
      <c r="H20175"/>
      <c r="I20175" s="489"/>
    </row>
    <row r="20176" spans="1:9" x14ac:dyDescent="0.25">
      <c r="A20176">
        <v>12042</v>
      </c>
      <c r="B20176" t="s">
        <v>23679</v>
      </c>
      <c r="C20176" t="s">
        <v>2537</v>
      </c>
      <c r="D20176" s="254">
        <v>1011.58</v>
      </c>
      <c r="E20176"/>
      <c r="F20176"/>
      <c r="G20176"/>
      <c r="H20176"/>
      <c r="I20176" s="489"/>
    </row>
    <row r="20177" spans="1:9" x14ac:dyDescent="0.25">
      <c r="A20177">
        <v>39763</v>
      </c>
      <c r="B20177" t="s">
        <v>23680</v>
      </c>
      <c r="C20177" t="s">
        <v>2537</v>
      </c>
      <c r="D20177" s="254">
        <v>1183.93</v>
      </c>
      <c r="E20177"/>
      <c r="F20177"/>
      <c r="G20177"/>
      <c r="H20177"/>
      <c r="I20177" s="489"/>
    </row>
    <row r="20178" spans="1:9" x14ac:dyDescent="0.25">
      <c r="A20178">
        <v>39760</v>
      </c>
      <c r="B20178" t="s">
        <v>23681</v>
      </c>
      <c r="C20178" t="s">
        <v>2537</v>
      </c>
      <c r="D20178" s="254">
        <v>1180.03</v>
      </c>
      <c r="E20178"/>
      <c r="F20178"/>
      <c r="G20178"/>
      <c r="H20178"/>
      <c r="I20178" s="489"/>
    </row>
    <row r="20179" spans="1:9" x14ac:dyDescent="0.25">
      <c r="A20179">
        <v>39756</v>
      </c>
      <c r="B20179" t="s">
        <v>23682</v>
      </c>
      <c r="C20179" t="s">
        <v>2537</v>
      </c>
      <c r="D20179" s="254">
        <v>423.7</v>
      </c>
      <c r="E20179"/>
      <c r="F20179"/>
      <c r="G20179"/>
      <c r="H20179"/>
      <c r="I20179" s="489"/>
    </row>
    <row r="20180" spans="1:9" x14ac:dyDescent="0.25">
      <c r="A20180">
        <v>12038</v>
      </c>
      <c r="B20180" t="s">
        <v>23683</v>
      </c>
      <c r="C20180" t="s">
        <v>2537</v>
      </c>
      <c r="D20180" s="254">
        <v>529.42999999999995</v>
      </c>
      <c r="E20180"/>
      <c r="F20180"/>
      <c r="G20180"/>
      <c r="H20180"/>
      <c r="I20180" s="489"/>
    </row>
    <row r="20181" spans="1:9" x14ac:dyDescent="0.25">
      <c r="A20181">
        <v>39757</v>
      </c>
      <c r="B20181" t="s">
        <v>23684</v>
      </c>
      <c r="C20181" t="s">
        <v>2537</v>
      </c>
      <c r="D20181" s="254">
        <v>489.56</v>
      </c>
      <c r="E20181"/>
      <c r="F20181"/>
      <c r="G20181"/>
      <c r="H20181"/>
      <c r="I20181" s="489"/>
    </row>
    <row r="20182" spans="1:9" x14ac:dyDescent="0.25">
      <c r="A20182">
        <v>39758</v>
      </c>
      <c r="B20182" t="s">
        <v>23685</v>
      </c>
      <c r="C20182" t="s">
        <v>2537</v>
      </c>
      <c r="D20182" s="254">
        <v>713.46</v>
      </c>
      <c r="E20182"/>
      <c r="F20182"/>
      <c r="G20182"/>
      <c r="H20182"/>
      <c r="I20182" s="489"/>
    </row>
    <row r="20183" spans="1:9" x14ac:dyDescent="0.25">
      <c r="A20183">
        <v>39759</v>
      </c>
      <c r="B20183" t="s">
        <v>23686</v>
      </c>
      <c r="C20183" t="s">
        <v>2537</v>
      </c>
      <c r="D20183" s="254">
        <v>881.13</v>
      </c>
      <c r="E20183"/>
      <c r="F20183"/>
      <c r="G20183"/>
      <c r="H20183"/>
      <c r="I20183" s="489"/>
    </row>
    <row r="20184" spans="1:9" x14ac:dyDescent="0.25">
      <c r="A20184">
        <v>39761</v>
      </c>
      <c r="B20184" t="s">
        <v>23687</v>
      </c>
      <c r="C20184" t="s">
        <v>2537</v>
      </c>
      <c r="D20184" s="254">
        <v>1059.1400000000001</v>
      </c>
      <c r="E20184"/>
      <c r="F20184"/>
      <c r="G20184"/>
      <c r="H20184"/>
      <c r="I20184" s="489"/>
    </row>
    <row r="20185" spans="1:9" x14ac:dyDescent="0.25">
      <c r="A20185">
        <v>39805</v>
      </c>
      <c r="B20185" t="s">
        <v>23688</v>
      </c>
      <c r="C20185" t="s">
        <v>2537</v>
      </c>
      <c r="D20185" s="254">
        <v>190.63</v>
      </c>
      <c r="E20185"/>
      <c r="F20185"/>
      <c r="G20185"/>
      <c r="H20185"/>
      <c r="I20185" s="489"/>
    </row>
    <row r="20186" spans="1:9" x14ac:dyDescent="0.25">
      <c r="A20186">
        <v>39806</v>
      </c>
      <c r="B20186" t="s">
        <v>23689</v>
      </c>
      <c r="C20186" t="s">
        <v>2537</v>
      </c>
      <c r="D20186" s="254">
        <v>353.18</v>
      </c>
      <c r="E20186"/>
      <c r="F20186"/>
      <c r="G20186"/>
      <c r="H20186"/>
      <c r="I20186" s="489"/>
    </row>
    <row r="20187" spans="1:9" x14ac:dyDescent="0.25">
      <c r="A20187">
        <v>39807</v>
      </c>
      <c r="B20187" t="s">
        <v>23690</v>
      </c>
      <c r="C20187" t="s">
        <v>2537</v>
      </c>
      <c r="D20187" s="254">
        <v>765.43</v>
      </c>
      <c r="E20187"/>
      <c r="F20187"/>
      <c r="G20187"/>
      <c r="H20187"/>
      <c r="I20187" s="489"/>
    </row>
    <row r="20188" spans="1:9" x14ac:dyDescent="0.25">
      <c r="A20188">
        <v>43100</v>
      </c>
      <c r="B20188" t="s">
        <v>23691</v>
      </c>
      <c r="C20188" t="s">
        <v>2537</v>
      </c>
      <c r="D20188" s="254">
        <v>598.41</v>
      </c>
      <c r="E20188"/>
      <c r="F20188"/>
      <c r="G20188"/>
      <c r="H20188"/>
      <c r="I20188" s="489"/>
    </row>
    <row r="20189" spans="1:9" x14ac:dyDescent="0.25">
      <c r="A20189">
        <v>39804</v>
      </c>
      <c r="B20189" t="s">
        <v>23692</v>
      </c>
      <c r="C20189" t="s">
        <v>2537</v>
      </c>
      <c r="D20189" s="254">
        <v>111.94</v>
      </c>
      <c r="E20189"/>
      <c r="F20189"/>
      <c r="G20189"/>
      <c r="H20189"/>
      <c r="I20189" s="489"/>
    </row>
    <row r="20190" spans="1:9" x14ac:dyDescent="0.25">
      <c r="A20190">
        <v>39796</v>
      </c>
      <c r="B20190" t="s">
        <v>23693</v>
      </c>
      <c r="C20190" t="s">
        <v>2537</v>
      </c>
      <c r="D20190" s="254">
        <v>115.94</v>
      </c>
      <c r="E20190"/>
      <c r="F20190"/>
      <c r="G20190"/>
      <c r="H20190"/>
      <c r="I20190" s="489"/>
    </row>
    <row r="20191" spans="1:9" x14ac:dyDescent="0.25">
      <c r="A20191">
        <v>39797</v>
      </c>
      <c r="B20191" t="s">
        <v>23694</v>
      </c>
      <c r="C20191" t="s">
        <v>2537</v>
      </c>
      <c r="D20191" s="254">
        <v>182</v>
      </c>
      <c r="E20191"/>
      <c r="F20191"/>
      <c r="G20191"/>
      <c r="H20191"/>
      <c r="I20191" s="489"/>
    </row>
    <row r="20192" spans="1:9" x14ac:dyDescent="0.25">
      <c r="A20192">
        <v>39798</v>
      </c>
      <c r="B20192" t="s">
        <v>23695</v>
      </c>
      <c r="C20192" t="s">
        <v>2537</v>
      </c>
      <c r="D20192" s="254">
        <v>312.19</v>
      </c>
      <c r="E20192"/>
      <c r="F20192"/>
      <c r="G20192"/>
      <c r="H20192"/>
      <c r="I20192" s="489"/>
    </row>
    <row r="20193" spans="1:9" x14ac:dyDescent="0.25">
      <c r="A20193">
        <v>39794</v>
      </c>
      <c r="B20193" t="s">
        <v>23696</v>
      </c>
      <c r="C20193" t="s">
        <v>2537</v>
      </c>
      <c r="D20193" s="254">
        <v>49.21</v>
      </c>
      <c r="E20193"/>
      <c r="F20193"/>
      <c r="G20193"/>
      <c r="H20193"/>
      <c r="I20193" s="489"/>
    </row>
    <row r="20194" spans="1:9" x14ac:dyDescent="0.25">
      <c r="A20194">
        <v>39795</v>
      </c>
      <c r="B20194" t="s">
        <v>23697</v>
      </c>
      <c r="C20194" t="s">
        <v>2537</v>
      </c>
      <c r="D20194" s="254">
        <v>77.75</v>
      </c>
      <c r="E20194"/>
      <c r="F20194"/>
      <c r="G20194"/>
      <c r="H20194"/>
      <c r="I20194" s="489"/>
    </row>
    <row r="20195" spans="1:9" x14ac:dyDescent="0.25">
      <c r="A20195">
        <v>39799</v>
      </c>
      <c r="B20195" t="s">
        <v>23698</v>
      </c>
      <c r="C20195" t="s">
        <v>2537</v>
      </c>
      <c r="D20195" s="254">
        <v>57.36</v>
      </c>
      <c r="E20195"/>
      <c r="F20195"/>
      <c r="G20195"/>
      <c r="H20195"/>
      <c r="I20195" s="489"/>
    </row>
    <row r="20196" spans="1:9" x14ac:dyDescent="0.25">
      <c r="A20196">
        <v>39801</v>
      </c>
      <c r="B20196" t="s">
        <v>23699</v>
      </c>
      <c r="C20196" t="s">
        <v>2537</v>
      </c>
      <c r="D20196" s="254">
        <v>164.18</v>
      </c>
      <c r="E20196"/>
      <c r="F20196"/>
      <c r="G20196"/>
      <c r="H20196"/>
      <c r="I20196" s="489"/>
    </row>
    <row r="20197" spans="1:9" x14ac:dyDescent="0.25">
      <c r="A20197">
        <v>39802</v>
      </c>
      <c r="B20197" t="s">
        <v>23700</v>
      </c>
      <c r="C20197" t="s">
        <v>2537</v>
      </c>
      <c r="D20197" s="254">
        <v>240.65</v>
      </c>
      <c r="E20197"/>
      <c r="F20197"/>
      <c r="G20197"/>
      <c r="H20197"/>
      <c r="I20197" s="489"/>
    </row>
    <row r="20198" spans="1:9" x14ac:dyDescent="0.25">
      <c r="A20198">
        <v>39803</v>
      </c>
      <c r="B20198" t="s">
        <v>23701</v>
      </c>
      <c r="C20198" t="s">
        <v>2537</v>
      </c>
      <c r="D20198" s="254">
        <v>335.71</v>
      </c>
      <c r="E20198"/>
      <c r="F20198"/>
      <c r="G20198"/>
      <c r="H20198"/>
      <c r="I20198" s="489"/>
    </row>
    <row r="20199" spans="1:9" x14ac:dyDescent="0.25">
      <c r="A20199">
        <v>39800</v>
      </c>
      <c r="B20199" t="s">
        <v>23702</v>
      </c>
      <c r="C20199" t="s">
        <v>2537</v>
      </c>
      <c r="D20199" s="254">
        <v>97.72</v>
      </c>
      <c r="E20199"/>
      <c r="F20199"/>
      <c r="G20199"/>
      <c r="H20199"/>
      <c r="I20199" s="489"/>
    </row>
    <row r="20200" spans="1:9" x14ac:dyDescent="0.25">
      <c r="A20200">
        <v>43837</v>
      </c>
      <c r="B20200" t="s">
        <v>23703</v>
      </c>
      <c r="C20200" t="s">
        <v>2537</v>
      </c>
      <c r="D20200" s="254">
        <v>1647.66</v>
      </c>
      <c r="E20200"/>
      <c r="F20200"/>
      <c r="G20200"/>
      <c r="H20200"/>
      <c r="I20200" s="489"/>
    </row>
    <row r="20201" spans="1:9" x14ac:dyDescent="0.25">
      <c r="A20201">
        <v>43836</v>
      </c>
      <c r="B20201" t="s">
        <v>23704</v>
      </c>
      <c r="C20201" t="s">
        <v>2537</v>
      </c>
      <c r="D20201" s="254">
        <v>3352.7</v>
      </c>
      <c r="E20201"/>
      <c r="F20201"/>
      <c r="G20201"/>
      <c r="H20201"/>
      <c r="I20201" s="489"/>
    </row>
    <row r="20202" spans="1:9" x14ac:dyDescent="0.25">
      <c r="A20202">
        <v>21059</v>
      </c>
      <c r="B20202" t="s">
        <v>23705</v>
      </c>
      <c r="C20202" t="s">
        <v>2537</v>
      </c>
      <c r="D20202" s="254">
        <v>63.65</v>
      </c>
      <c r="E20202"/>
      <c r="F20202"/>
      <c r="G20202"/>
      <c r="H20202"/>
      <c r="I20202" s="489"/>
    </row>
    <row r="20203" spans="1:9" x14ac:dyDescent="0.25">
      <c r="A20203">
        <v>11234</v>
      </c>
      <c r="B20203" t="s">
        <v>23706</v>
      </c>
      <c r="C20203" t="s">
        <v>2537</v>
      </c>
      <c r="D20203" s="254">
        <v>95.93</v>
      </c>
      <c r="E20203"/>
      <c r="F20203"/>
      <c r="G20203"/>
      <c r="H20203"/>
      <c r="I20203" s="489"/>
    </row>
    <row r="20204" spans="1:9" x14ac:dyDescent="0.25">
      <c r="A20204">
        <v>21060</v>
      </c>
      <c r="B20204" t="s">
        <v>23707</v>
      </c>
      <c r="C20204" t="s">
        <v>2537</v>
      </c>
      <c r="D20204" s="254">
        <v>118.07</v>
      </c>
      <c r="E20204"/>
      <c r="F20204"/>
      <c r="G20204"/>
      <c r="H20204"/>
      <c r="I20204" s="489"/>
    </row>
    <row r="20205" spans="1:9" x14ac:dyDescent="0.25">
      <c r="A20205">
        <v>21061</v>
      </c>
      <c r="B20205" t="s">
        <v>23708</v>
      </c>
      <c r="C20205" t="s">
        <v>2537</v>
      </c>
      <c r="D20205" s="254">
        <v>147.59</v>
      </c>
      <c r="E20205"/>
      <c r="F20205"/>
      <c r="G20205"/>
      <c r="H20205"/>
      <c r="I20205" s="489"/>
    </row>
    <row r="20206" spans="1:9" x14ac:dyDescent="0.25">
      <c r="A20206">
        <v>21062</v>
      </c>
      <c r="B20206" t="s">
        <v>23709</v>
      </c>
      <c r="C20206" t="s">
        <v>2537</v>
      </c>
      <c r="D20206" s="254">
        <v>232.46</v>
      </c>
      <c r="E20206"/>
      <c r="F20206"/>
      <c r="G20206"/>
      <c r="H20206"/>
      <c r="I20206" s="489"/>
    </row>
    <row r="20207" spans="1:9" x14ac:dyDescent="0.25">
      <c r="A20207">
        <v>11708</v>
      </c>
      <c r="B20207" t="s">
        <v>23710</v>
      </c>
      <c r="C20207" t="s">
        <v>2537</v>
      </c>
      <c r="D20207" s="254">
        <v>25.36</v>
      </c>
      <c r="E20207"/>
      <c r="F20207"/>
      <c r="G20207"/>
      <c r="H20207"/>
      <c r="I20207" s="489"/>
    </row>
    <row r="20208" spans="1:9" x14ac:dyDescent="0.25">
      <c r="A20208">
        <v>11709</v>
      </c>
      <c r="B20208" t="s">
        <v>23711</v>
      </c>
      <c r="C20208" t="s">
        <v>2537</v>
      </c>
      <c r="D20208" s="254">
        <v>59.59</v>
      </c>
      <c r="E20208"/>
      <c r="F20208"/>
      <c r="G20208"/>
      <c r="H20208"/>
      <c r="I20208" s="489"/>
    </row>
    <row r="20209" spans="1:9" x14ac:dyDescent="0.25">
      <c r="A20209">
        <v>11710</v>
      </c>
      <c r="B20209" t="s">
        <v>23712</v>
      </c>
      <c r="C20209" t="s">
        <v>2537</v>
      </c>
      <c r="D20209" s="254">
        <v>136.97999999999999</v>
      </c>
      <c r="E20209"/>
      <c r="F20209"/>
      <c r="G20209"/>
      <c r="H20209"/>
      <c r="I20209" s="489"/>
    </row>
    <row r="20210" spans="1:9" x14ac:dyDescent="0.25">
      <c r="A20210">
        <v>11707</v>
      </c>
      <c r="B20210" t="s">
        <v>23713</v>
      </c>
      <c r="C20210" t="s">
        <v>2537</v>
      </c>
      <c r="D20210" s="254">
        <v>19</v>
      </c>
      <c r="E20210"/>
      <c r="F20210"/>
      <c r="G20210"/>
      <c r="H20210"/>
      <c r="I20210" s="489"/>
    </row>
    <row r="20211" spans="1:9" x14ac:dyDescent="0.25">
      <c r="A20211">
        <v>5102</v>
      </c>
      <c r="B20211" t="s">
        <v>23714</v>
      </c>
      <c r="C20211" t="s">
        <v>2537</v>
      </c>
      <c r="D20211" s="254">
        <v>13.35</v>
      </c>
      <c r="E20211"/>
      <c r="F20211"/>
      <c r="G20211"/>
      <c r="H20211"/>
      <c r="I20211" s="489"/>
    </row>
    <row r="20212" spans="1:9" x14ac:dyDescent="0.25">
      <c r="A20212">
        <v>11739</v>
      </c>
      <c r="B20212" t="s">
        <v>23715</v>
      </c>
      <c r="C20212" t="s">
        <v>2537</v>
      </c>
      <c r="D20212" s="254">
        <v>9.51</v>
      </c>
      <c r="E20212"/>
      <c r="F20212"/>
      <c r="G20212"/>
      <c r="H20212"/>
      <c r="I20212" s="489"/>
    </row>
    <row r="20213" spans="1:9" x14ac:dyDescent="0.25">
      <c r="A20213">
        <v>11711</v>
      </c>
      <c r="B20213" t="s">
        <v>23716</v>
      </c>
      <c r="C20213" t="s">
        <v>2537</v>
      </c>
      <c r="D20213" s="254">
        <v>11.12</v>
      </c>
      <c r="E20213"/>
      <c r="F20213"/>
      <c r="G20213"/>
      <c r="H20213"/>
      <c r="I20213" s="489"/>
    </row>
    <row r="20214" spans="1:9" x14ac:dyDescent="0.25">
      <c r="A20214">
        <v>11741</v>
      </c>
      <c r="B20214" t="s">
        <v>23717</v>
      </c>
      <c r="C20214" t="s">
        <v>2537</v>
      </c>
      <c r="D20214" s="254">
        <v>12.11</v>
      </c>
      <c r="E20214"/>
      <c r="F20214"/>
      <c r="G20214"/>
      <c r="H20214"/>
      <c r="I20214" s="489"/>
    </row>
    <row r="20215" spans="1:9" x14ac:dyDescent="0.25">
      <c r="A20215">
        <v>11745</v>
      </c>
      <c r="B20215" t="s">
        <v>23718</v>
      </c>
      <c r="C20215" t="s">
        <v>2537</v>
      </c>
      <c r="D20215" s="254">
        <v>15.96</v>
      </c>
      <c r="E20215"/>
      <c r="F20215"/>
      <c r="G20215"/>
      <c r="H20215"/>
      <c r="I20215" s="489"/>
    </row>
    <row r="20216" spans="1:9" x14ac:dyDescent="0.25">
      <c r="A20216">
        <v>11743</v>
      </c>
      <c r="B20216" t="s">
        <v>23719</v>
      </c>
      <c r="C20216" t="s">
        <v>2537</v>
      </c>
      <c r="D20216" s="254">
        <v>10.17</v>
      </c>
      <c r="E20216"/>
      <c r="F20216"/>
      <c r="G20216"/>
      <c r="H20216"/>
      <c r="I20216" s="489"/>
    </row>
    <row r="20217" spans="1:9" x14ac:dyDescent="0.25">
      <c r="A20217">
        <v>40985</v>
      </c>
      <c r="B20217" t="s">
        <v>23720</v>
      </c>
      <c r="C20217" t="s">
        <v>2544</v>
      </c>
      <c r="D20217" s="254">
        <v>2910.87</v>
      </c>
      <c r="E20217"/>
      <c r="F20217"/>
      <c r="G20217"/>
      <c r="H20217"/>
      <c r="I20217" s="489"/>
    </row>
    <row r="20218" spans="1:9" x14ac:dyDescent="0.25">
      <c r="A20218">
        <v>44502</v>
      </c>
      <c r="B20218" t="s">
        <v>23721</v>
      </c>
      <c r="C20218" t="s">
        <v>2538</v>
      </c>
      <c r="D20218" s="254">
        <v>16.489999999999998</v>
      </c>
      <c r="E20218"/>
      <c r="F20218"/>
      <c r="G20218"/>
      <c r="H20218"/>
      <c r="I20218" s="489"/>
    </row>
    <row r="20219" spans="1:9" x14ac:dyDescent="0.25">
      <c r="A20219">
        <v>1088</v>
      </c>
      <c r="B20219" t="s">
        <v>23722</v>
      </c>
      <c r="C20219" t="s">
        <v>2537</v>
      </c>
      <c r="D20219" s="254">
        <v>31.86</v>
      </c>
      <c r="E20219"/>
      <c r="F20219"/>
      <c r="G20219"/>
      <c r="H20219"/>
      <c r="I20219" s="489"/>
    </row>
    <row r="20220" spans="1:9" x14ac:dyDescent="0.25">
      <c r="A20220">
        <v>1087</v>
      </c>
      <c r="B20220" t="s">
        <v>23723</v>
      </c>
      <c r="C20220" t="s">
        <v>2537</v>
      </c>
      <c r="D20220" s="254">
        <v>39.79</v>
      </c>
      <c r="E20220"/>
      <c r="F20220"/>
      <c r="G20220"/>
      <c r="H20220"/>
      <c r="I20220" s="489"/>
    </row>
    <row r="20221" spans="1:9" x14ac:dyDescent="0.25">
      <c r="A20221">
        <v>38777</v>
      </c>
      <c r="B20221" t="s">
        <v>23724</v>
      </c>
      <c r="C20221" t="s">
        <v>2537</v>
      </c>
      <c r="D20221" s="254">
        <v>79.25</v>
      </c>
      <c r="E20221"/>
      <c r="F20221"/>
      <c r="G20221"/>
      <c r="H20221"/>
      <c r="I20221" s="489"/>
    </row>
    <row r="20222" spans="1:9" x14ac:dyDescent="0.25">
      <c r="A20222">
        <v>1086</v>
      </c>
      <c r="B20222" t="s">
        <v>23725</v>
      </c>
      <c r="C20222" t="s">
        <v>2537</v>
      </c>
      <c r="D20222" s="254">
        <v>41.82</v>
      </c>
      <c r="E20222"/>
      <c r="F20222"/>
      <c r="G20222"/>
      <c r="H20222"/>
      <c r="I20222" s="489"/>
    </row>
    <row r="20223" spans="1:9" x14ac:dyDescent="0.25">
      <c r="A20223">
        <v>1079</v>
      </c>
      <c r="B20223" t="s">
        <v>23726</v>
      </c>
      <c r="C20223" t="s">
        <v>2537</v>
      </c>
      <c r="D20223" s="254">
        <v>43.23</v>
      </c>
      <c r="E20223"/>
      <c r="F20223"/>
      <c r="G20223"/>
      <c r="H20223"/>
      <c r="I20223" s="489"/>
    </row>
    <row r="20224" spans="1:9" x14ac:dyDescent="0.25">
      <c r="A20224">
        <v>39374</v>
      </c>
      <c r="B20224" t="s">
        <v>23727</v>
      </c>
      <c r="C20224" t="s">
        <v>2537</v>
      </c>
      <c r="D20224" s="254">
        <v>101.79</v>
      </c>
      <c r="E20224"/>
      <c r="F20224"/>
      <c r="G20224"/>
      <c r="H20224"/>
      <c r="I20224" s="489"/>
    </row>
    <row r="20225" spans="1:9" x14ac:dyDescent="0.25">
      <c r="A20225">
        <v>1082</v>
      </c>
      <c r="B20225" t="s">
        <v>23728</v>
      </c>
      <c r="C20225" t="s">
        <v>2537</v>
      </c>
      <c r="D20225" s="254">
        <v>271.8</v>
      </c>
      <c r="E20225"/>
      <c r="F20225"/>
      <c r="G20225"/>
      <c r="H20225"/>
      <c r="I20225" s="489"/>
    </row>
    <row r="20226" spans="1:9" x14ac:dyDescent="0.25">
      <c r="A20226">
        <v>12316</v>
      </c>
      <c r="B20226" t="s">
        <v>23729</v>
      </c>
      <c r="C20226" t="s">
        <v>2537</v>
      </c>
      <c r="D20226" s="254">
        <v>124.57</v>
      </c>
      <c r="E20226"/>
      <c r="F20226"/>
      <c r="G20226"/>
      <c r="H20226"/>
      <c r="I20226" s="489"/>
    </row>
    <row r="20227" spans="1:9" x14ac:dyDescent="0.25">
      <c r="A20227">
        <v>12317</v>
      </c>
      <c r="B20227" t="s">
        <v>23730</v>
      </c>
      <c r="C20227" t="s">
        <v>2537</v>
      </c>
      <c r="D20227" s="254">
        <v>148.55000000000001</v>
      </c>
      <c r="E20227"/>
      <c r="F20227"/>
      <c r="G20227"/>
      <c r="H20227"/>
      <c r="I20227" s="489"/>
    </row>
    <row r="20228" spans="1:9" x14ac:dyDescent="0.25">
      <c r="A20228">
        <v>12318</v>
      </c>
      <c r="B20228" t="s">
        <v>23731</v>
      </c>
      <c r="C20228" t="s">
        <v>2537</v>
      </c>
      <c r="D20228" s="254">
        <v>171.14</v>
      </c>
      <c r="E20228"/>
      <c r="F20228"/>
      <c r="G20228"/>
      <c r="H20228"/>
      <c r="I20228" s="489"/>
    </row>
    <row r="20229" spans="1:9" x14ac:dyDescent="0.25">
      <c r="A20229">
        <v>5104</v>
      </c>
      <c r="B20229" t="s">
        <v>23732</v>
      </c>
      <c r="C20229" t="s">
        <v>2542</v>
      </c>
      <c r="D20229" s="254">
        <v>115.07</v>
      </c>
      <c r="E20229"/>
      <c r="F20229"/>
      <c r="G20229"/>
      <c r="H20229"/>
      <c r="I20229" s="489"/>
    </row>
    <row r="20230" spans="1:9" x14ac:dyDescent="0.25">
      <c r="A20230">
        <v>44530</v>
      </c>
      <c r="B20230" t="s">
        <v>23733</v>
      </c>
      <c r="C20230" t="s">
        <v>2537</v>
      </c>
      <c r="D20230" s="254">
        <v>67.38</v>
      </c>
      <c r="E20230"/>
      <c r="F20230"/>
      <c r="G20230"/>
      <c r="H20230"/>
      <c r="I20230" s="489"/>
    </row>
    <row r="20231" spans="1:9" x14ac:dyDescent="0.25">
      <c r="A20231">
        <v>2710</v>
      </c>
      <c r="B20231" t="s">
        <v>23734</v>
      </c>
      <c r="C20231" t="s">
        <v>2537</v>
      </c>
      <c r="D20231" s="254">
        <v>53.81</v>
      </c>
      <c r="E20231"/>
      <c r="F20231"/>
      <c r="G20231"/>
      <c r="H20231"/>
      <c r="I20231" s="489"/>
    </row>
    <row r="20232" spans="1:9" x14ac:dyDescent="0.25">
      <c r="A20232">
        <v>14575</v>
      </c>
      <c r="B20232" t="s">
        <v>23735</v>
      </c>
      <c r="C20232" t="s">
        <v>2537</v>
      </c>
      <c r="D20232" s="254">
        <v>5800652.5300000003</v>
      </c>
      <c r="E20232"/>
      <c r="F20232"/>
      <c r="G20232"/>
      <c r="H20232"/>
      <c r="I20232" s="489"/>
    </row>
    <row r="20233" spans="1:9" x14ac:dyDescent="0.25">
      <c r="A20233">
        <v>20034</v>
      </c>
      <c r="B20233" t="s">
        <v>23736</v>
      </c>
      <c r="C20233" t="s">
        <v>2537</v>
      </c>
      <c r="D20233" s="254">
        <v>130.04</v>
      </c>
      <c r="E20233"/>
      <c r="F20233"/>
      <c r="G20233"/>
      <c r="H20233"/>
      <c r="I20233" s="489"/>
    </row>
    <row r="20234" spans="1:9" x14ac:dyDescent="0.25">
      <c r="A20234">
        <v>20036</v>
      </c>
      <c r="B20234" t="s">
        <v>23737</v>
      </c>
      <c r="C20234" t="s">
        <v>2537</v>
      </c>
      <c r="D20234" s="254">
        <v>250.14</v>
      </c>
      <c r="E20234"/>
      <c r="F20234"/>
      <c r="G20234"/>
      <c r="H20234"/>
      <c r="I20234" s="489"/>
    </row>
    <row r="20235" spans="1:9" x14ac:dyDescent="0.25">
      <c r="A20235">
        <v>20037</v>
      </c>
      <c r="B20235" t="s">
        <v>23738</v>
      </c>
      <c r="C20235" t="s">
        <v>2537</v>
      </c>
      <c r="D20235" s="254">
        <v>471.81</v>
      </c>
      <c r="E20235"/>
      <c r="F20235"/>
      <c r="G20235"/>
      <c r="H20235"/>
      <c r="I20235" s="489"/>
    </row>
    <row r="20236" spans="1:9" x14ac:dyDescent="0.25">
      <c r="A20236">
        <v>20043</v>
      </c>
      <c r="B20236" t="s">
        <v>23739</v>
      </c>
      <c r="C20236" t="s">
        <v>2537</v>
      </c>
      <c r="D20236" s="254">
        <v>8.0299999999999994</v>
      </c>
      <c r="E20236"/>
      <c r="F20236"/>
      <c r="G20236"/>
      <c r="H20236"/>
      <c r="I20236" s="489"/>
    </row>
    <row r="20237" spans="1:9" x14ac:dyDescent="0.25">
      <c r="A20237">
        <v>20044</v>
      </c>
      <c r="B20237" t="s">
        <v>23740</v>
      </c>
      <c r="C20237" t="s">
        <v>2537</v>
      </c>
      <c r="D20237" s="254">
        <v>9.3800000000000008</v>
      </c>
      <c r="E20237"/>
      <c r="F20237"/>
      <c r="G20237"/>
      <c r="H20237"/>
      <c r="I20237" s="489"/>
    </row>
    <row r="20238" spans="1:9" x14ac:dyDescent="0.25">
      <c r="A20238">
        <v>20042</v>
      </c>
      <c r="B20238" t="s">
        <v>23741</v>
      </c>
      <c r="C20238" t="s">
        <v>2537</v>
      </c>
      <c r="D20238" s="254">
        <v>6.8</v>
      </c>
      <c r="E20238"/>
      <c r="F20238"/>
      <c r="G20238"/>
      <c r="H20238"/>
      <c r="I20238" s="489"/>
    </row>
    <row r="20239" spans="1:9" x14ac:dyDescent="0.25">
      <c r="A20239">
        <v>20046</v>
      </c>
      <c r="B20239" t="s">
        <v>23742</v>
      </c>
      <c r="C20239" t="s">
        <v>2537</v>
      </c>
      <c r="D20239" s="254">
        <v>19.91</v>
      </c>
      <c r="E20239"/>
      <c r="F20239"/>
      <c r="G20239"/>
      <c r="H20239"/>
      <c r="I20239" s="489"/>
    </row>
    <row r="20240" spans="1:9" x14ac:dyDescent="0.25">
      <c r="A20240">
        <v>20047</v>
      </c>
      <c r="B20240" t="s">
        <v>23743</v>
      </c>
      <c r="C20240" t="s">
        <v>2537</v>
      </c>
      <c r="D20240" s="254">
        <v>54.41</v>
      </c>
      <c r="E20240"/>
      <c r="F20240"/>
      <c r="G20240"/>
      <c r="H20240"/>
      <c r="I20240" s="489"/>
    </row>
    <row r="20241" spans="1:9" x14ac:dyDescent="0.25">
      <c r="A20241">
        <v>20045</v>
      </c>
      <c r="B20241" t="s">
        <v>23744</v>
      </c>
      <c r="C20241" t="s">
        <v>2537</v>
      </c>
      <c r="D20241" s="254">
        <v>8.19</v>
      </c>
      <c r="E20241"/>
      <c r="F20241"/>
      <c r="G20241"/>
      <c r="H20241"/>
      <c r="I20241" s="489"/>
    </row>
    <row r="20242" spans="1:9" x14ac:dyDescent="0.25">
      <c r="A20242">
        <v>20972</v>
      </c>
      <c r="B20242" t="s">
        <v>23745</v>
      </c>
      <c r="C20242" t="s">
        <v>2537</v>
      </c>
      <c r="D20242" s="254">
        <v>78.53</v>
      </c>
      <c r="E20242"/>
      <c r="F20242"/>
      <c r="G20242"/>
      <c r="H20242"/>
      <c r="I20242" s="489"/>
    </row>
    <row r="20243" spans="1:9" x14ac:dyDescent="0.25">
      <c r="A20243">
        <v>20032</v>
      </c>
      <c r="B20243" t="s">
        <v>23746</v>
      </c>
      <c r="C20243" t="s">
        <v>2537</v>
      </c>
      <c r="D20243" s="254">
        <v>76.400000000000006</v>
      </c>
      <c r="E20243"/>
      <c r="F20243"/>
      <c r="G20243"/>
      <c r="H20243"/>
      <c r="I20243" s="489"/>
    </row>
    <row r="20244" spans="1:9" x14ac:dyDescent="0.25">
      <c r="A20244">
        <v>11321</v>
      </c>
      <c r="B20244" t="s">
        <v>23747</v>
      </c>
      <c r="C20244" t="s">
        <v>2537</v>
      </c>
      <c r="D20244" s="254">
        <v>34.83</v>
      </c>
      <c r="E20244"/>
      <c r="F20244"/>
      <c r="G20244"/>
      <c r="H20244"/>
      <c r="I20244" s="489"/>
    </row>
    <row r="20245" spans="1:9" x14ac:dyDescent="0.25">
      <c r="A20245">
        <v>11323</v>
      </c>
      <c r="B20245" t="s">
        <v>23748</v>
      </c>
      <c r="C20245" t="s">
        <v>2537</v>
      </c>
      <c r="D20245" s="254">
        <v>40.06</v>
      </c>
      <c r="E20245"/>
      <c r="F20245"/>
      <c r="G20245"/>
      <c r="H20245"/>
      <c r="I20245" s="489"/>
    </row>
    <row r="20246" spans="1:9" x14ac:dyDescent="0.25">
      <c r="A20246">
        <v>20327</v>
      </c>
      <c r="B20246" t="s">
        <v>23749</v>
      </c>
      <c r="C20246" t="s">
        <v>2537</v>
      </c>
      <c r="D20246" s="254">
        <v>22.73</v>
      </c>
      <c r="E20246"/>
      <c r="F20246"/>
      <c r="G20246"/>
      <c r="H20246"/>
      <c r="I20246" s="489"/>
    </row>
    <row r="20247" spans="1:9" x14ac:dyDescent="0.25">
      <c r="A20247">
        <v>13390</v>
      </c>
      <c r="B20247" t="s">
        <v>23750</v>
      </c>
      <c r="C20247" t="s">
        <v>2537</v>
      </c>
      <c r="D20247" s="254">
        <v>157.21</v>
      </c>
      <c r="E20247"/>
      <c r="F20247"/>
      <c r="G20247"/>
      <c r="H20247"/>
      <c r="I20247" s="489"/>
    </row>
    <row r="20248" spans="1:9" x14ac:dyDescent="0.25">
      <c r="A20248">
        <v>6034</v>
      </c>
      <c r="B20248" t="s">
        <v>23751</v>
      </c>
      <c r="C20248" t="s">
        <v>2537</v>
      </c>
      <c r="D20248" s="254">
        <v>11.99</v>
      </c>
      <c r="E20248"/>
      <c r="F20248"/>
      <c r="G20248"/>
      <c r="H20248"/>
      <c r="I20248" s="489"/>
    </row>
    <row r="20249" spans="1:9" x14ac:dyDescent="0.25">
      <c r="A20249">
        <v>6036</v>
      </c>
      <c r="B20249" t="s">
        <v>23752</v>
      </c>
      <c r="C20249" t="s">
        <v>2537</v>
      </c>
      <c r="D20249" s="254">
        <v>16.329999999999998</v>
      </c>
      <c r="E20249"/>
      <c r="F20249"/>
      <c r="G20249"/>
      <c r="H20249"/>
      <c r="I20249" s="489"/>
    </row>
    <row r="20250" spans="1:9" x14ac:dyDescent="0.25">
      <c r="A20250">
        <v>6031</v>
      </c>
      <c r="B20250" t="s">
        <v>23753</v>
      </c>
      <c r="C20250" t="s">
        <v>2537</v>
      </c>
      <c r="D20250" s="254">
        <v>19.190000000000001</v>
      </c>
      <c r="E20250"/>
      <c r="F20250"/>
      <c r="G20250"/>
      <c r="H20250"/>
      <c r="I20250" s="489"/>
    </row>
    <row r="20251" spans="1:9" x14ac:dyDescent="0.25">
      <c r="A20251">
        <v>6029</v>
      </c>
      <c r="B20251" t="s">
        <v>23754</v>
      </c>
      <c r="C20251" t="s">
        <v>2537</v>
      </c>
      <c r="D20251" s="254">
        <v>19.39</v>
      </c>
      <c r="E20251"/>
      <c r="F20251"/>
      <c r="G20251"/>
      <c r="H20251"/>
      <c r="I20251" s="489"/>
    </row>
    <row r="20252" spans="1:9" x14ac:dyDescent="0.25">
      <c r="A20252">
        <v>6033</v>
      </c>
      <c r="B20252" t="s">
        <v>23755</v>
      </c>
      <c r="C20252" t="s">
        <v>2537</v>
      </c>
      <c r="D20252" s="254">
        <v>25.56</v>
      </c>
      <c r="E20252"/>
      <c r="F20252"/>
      <c r="G20252"/>
      <c r="H20252"/>
      <c r="I20252" s="489"/>
    </row>
    <row r="20253" spans="1:9" x14ac:dyDescent="0.25">
      <c r="A20253">
        <v>11672</v>
      </c>
      <c r="B20253" t="s">
        <v>23756</v>
      </c>
      <c r="C20253" t="s">
        <v>2537</v>
      </c>
      <c r="D20253" s="254">
        <v>55.6</v>
      </c>
      <c r="E20253"/>
      <c r="F20253"/>
      <c r="G20253"/>
      <c r="H20253"/>
      <c r="I20253" s="489"/>
    </row>
    <row r="20254" spans="1:9" x14ac:dyDescent="0.25">
      <c r="A20254">
        <v>11669</v>
      </c>
      <c r="B20254" t="s">
        <v>23757</v>
      </c>
      <c r="C20254" t="s">
        <v>2537</v>
      </c>
      <c r="D20254" s="254">
        <v>52.95</v>
      </c>
      <c r="E20254"/>
      <c r="F20254"/>
      <c r="G20254"/>
      <c r="H20254"/>
      <c r="I20254" s="489"/>
    </row>
    <row r="20255" spans="1:9" x14ac:dyDescent="0.25">
      <c r="A20255">
        <v>11670</v>
      </c>
      <c r="B20255" t="s">
        <v>23758</v>
      </c>
      <c r="C20255" t="s">
        <v>2537</v>
      </c>
      <c r="D20255" s="254">
        <v>20.28</v>
      </c>
      <c r="E20255"/>
      <c r="F20255"/>
      <c r="G20255"/>
      <c r="H20255"/>
      <c r="I20255" s="489"/>
    </row>
    <row r="20256" spans="1:9" x14ac:dyDescent="0.25">
      <c r="A20256">
        <v>20055</v>
      </c>
      <c r="B20256" t="s">
        <v>23759</v>
      </c>
      <c r="C20256" t="s">
        <v>2537</v>
      </c>
      <c r="D20256" s="254">
        <v>39.65</v>
      </c>
      <c r="E20256"/>
      <c r="F20256"/>
      <c r="G20256"/>
      <c r="H20256"/>
      <c r="I20256" s="489"/>
    </row>
    <row r="20257" spans="1:9" x14ac:dyDescent="0.25">
      <c r="A20257">
        <v>11671</v>
      </c>
      <c r="B20257" t="s">
        <v>23760</v>
      </c>
      <c r="C20257" t="s">
        <v>2537</v>
      </c>
      <c r="D20257" s="254">
        <v>85.09</v>
      </c>
      <c r="E20257"/>
      <c r="F20257"/>
      <c r="G20257"/>
      <c r="H20257"/>
      <c r="I20257" s="489"/>
    </row>
    <row r="20258" spans="1:9" x14ac:dyDescent="0.25">
      <c r="A20258">
        <v>6032</v>
      </c>
      <c r="B20258" t="s">
        <v>23761</v>
      </c>
      <c r="C20258" t="s">
        <v>2537</v>
      </c>
      <c r="D20258" s="254">
        <v>24.3</v>
      </c>
      <c r="E20258"/>
      <c r="F20258"/>
      <c r="G20258"/>
      <c r="H20258"/>
      <c r="I20258" s="489"/>
    </row>
    <row r="20259" spans="1:9" x14ac:dyDescent="0.25">
      <c r="A20259">
        <v>11673</v>
      </c>
      <c r="B20259" t="s">
        <v>23762</v>
      </c>
      <c r="C20259" t="s">
        <v>2537</v>
      </c>
      <c r="D20259" s="254">
        <v>19.14</v>
      </c>
      <c r="E20259"/>
      <c r="F20259"/>
      <c r="G20259"/>
      <c r="H20259"/>
      <c r="I20259" s="489"/>
    </row>
    <row r="20260" spans="1:9" x14ac:dyDescent="0.25">
      <c r="A20260">
        <v>11674</v>
      </c>
      <c r="B20260" t="s">
        <v>23763</v>
      </c>
      <c r="C20260" t="s">
        <v>2537</v>
      </c>
      <c r="D20260" s="254">
        <v>24.65</v>
      </c>
      <c r="E20260"/>
      <c r="F20260"/>
      <c r="G20260"/>
      <c r="H20260"/>
      <c r="I20260" s="489"/>
    </row>
    <row r="20261" spans="1:9" x14ac:dyDescent="0.25">
      <c r="A20261">
        <v>11675</v>
      </c>
      <c r="B20261" t="s">
        <v>23764</v>
      </c>
      <c r="C20261" t="s">
        <v>2537</v>
      </c>
      <c r="D20261" s="254">
        <v>39.130000000000003</v>
      </c>
      <c r="E20261"/>
      <c r="F20261"/>
      <c r="G20261"/>
      <c r="H20261"/>
      <c r="I20261" s="489"/>
    </row>
    <row r="20262" spans="1:9" x14ac:dyDescent="0.25">
      <c r="A20262">
        <v>11676</v>
      </c>
      <c r="B20262" t="s">
        <v>23765</v>
      </c>
      <c r="C20262" t="s">
        <v>2537</v>
      </c>
      <c r="D20262" s="254">
        <v>52.33</v>
      </c>
      <c r="E20262"/>
      <c r="F20262"/>
      <c r="G20262"/>
      <c r="H20262"/>
      <c r="I20262" s="489"/>
    </row>
    <row r="20263" spans="1:9" x14ac:dyDescent="0.25">
      <c r="A20263">
        <v>11677</v>
      </c>
      <c r="B20263" t="s">
        <v>23766</v>
      </c>
      <c r="C20263" t="s">
        <v>2537</v>
      </c>
      <c r="D20263" s="254">
        <v>54.05</v>
      </c>
      <c r="E20263"/>
      <c r="F20263"/>
      <c r="G20263"/>
      <c r="H20263"/>
      <c r="I20263" s="489"/>
    </row>
    <row r="20264" spans="1:9" x14ac:dyDescent="0.25">
      <c r="A20264">
        <v>11678</v>
      </c>
      <c r="B20264" t="s">
        <v>23767</v>
      </c>
      <c r="C20264" t="s">
        <v>2537</v>
      </c>
      <c r="D20264" s="254">
        <v>98.98</v>
      </c>
      <c r="E20264"/>
      <c r="F20264"/>
      <c r="G20264"/>
      <c r="H20264"/>
      <c r="I20264" s="489"/>
    </row>
    <row r="20265" spans="1:9" x14ac:dyDescent="0.25">
      <c r="A20265">
        <v>6038</v>
      </c>
      <c r="B20265" t="s">
        <v>23768</v>
      </c>
      <c r="C20265" t="s">
        <v>2537</v>
      </c>
      <c r="D20265" s="254">
        <v>6.28</v>
      </c>
      <c r="E20265"/>
      <c r="F20265"/>
      <c r="G20265"/>
      <c r="H20265"/>
      <c r="I20265" s="489"/>
    </row>
    <row r="20266" spans="1:9" x14ac:dyDescent="0.25">
      <c r="A20266">
        <v>11718</v>
      </c>
      <c r="B20266" t="s">
        <v>23769</v>
      </c>
      <c r="C20266" t="s">
        <v>2537</v>
      </c>
      <c r="D20266" s="254">
        <v>17.91</v>
      </c>
      <c r="E20266"/>
      <c r="F20266"/>
      <c r="G20266"/>
      <c r="H20266"/>
      <c r="I20266" s="489"/>
    </row>
    <row r="20267" spans="1:9" x14ac:dyDescent="0.25">
      <c r="A20267">
        <v>6037</v>
      </c>
      <c r="B20267" t="s">
        <v>23770</v>
      </c>
      <c r="C20267" t="s">
        <v>2537</v>
      </c>
      <c r="D20267" s="254">
        <v>13.06</v>
      </c>
      <c r="E20267"/>
      <c r="F20267"/>
      <c r="G20267"/>
      <c r="H20267"/>
      <c r="I20267" s="489"/>
    </row>
    <row r="20268" spans="1:9" x14ac:dyDescent="0.25">
      <c r="A20268">
        <v>11719</v>
      </c>
      <c r="B20268" t="s">
        <v>23771</v>
      </c>
      <c r="C20268" t="s">
        <v>2537</v>
      </c>
      <c r="D20268" s="254">
        <v>14.52</v>
      </c>
      <c r="E20268"/>
      <c r="F20268"/>
      <c r="G20268"/>
      <c r="H20268"/>
      <c r="I20268" s="489"/>
    </row>
    <row r="20269" spans="1:9" x14ac:dyDescent="0.25">
      <c r="A20269">
        <v>6019</v>
      </c>
      <c r="B20269" t="s">
        <v>23772</v>
      </c>
      <c r="C20269" t="s">
        <v>2537</v>
      </c>
      <c r="D20269" s="254">
        <v>46.18</v>
      </c>
      <c r="E20269"/>
      <c r="F20269"/>
      <c r="G20269"/>
      <c r="H20269"/>
      <c r="I20269" s="489"/>
    </row>
    <row r="20270" spans="1:9" x14ac:dyDescent="0.25">
      <c r="A20270">
        <v>6010</v>
      </c>
      <c r="B20270" t="s">
        <v>23773</v>
      </c>
      <c r="C20270" t="s">
        <v>2537</v>
      </c>
      <c r="D20270" s="254">
        <v>79.459999999999994</v>
      </c>
      <c r="E20270"/>
      <c r="F20270"/>
      <c r="G20270"/>
      <c r="H20270"/>
      <c r="I20270" s="489"/>
    </row>
    <row r="20271" spans="1:9" x14ac:dyDescent="0.25">
      <c r="A20271">
        <v>6017</v>
      </c>
      <c r="B20271" t="s">
        <v>23774</v>
      </c>
      <c r="C20271" t="s">
        <v>2537</v>
      </c>
      <c r="D20271" s="254">
        <v>62.94</v>
      </c>
      <c r="E20271"/>
      <c r="F20271"/>
      <c r="G20271"/>
      <c r="H20271"/>
      <c r="I20271" s="489"/>
    </row>
    <row r="20272" spans="1:9" x14ac:dyDescent="0.25">
      <c r="A20272">
        <v>6020</v>
      </c>
      <c r="B20272" t="s">
        <v>23775</v>
      </c>
      <c r="C20272" t="s">
        <v>2537</v>
      </c>
      <c r="D20272" s="254">
        <v>27.74</v>
      </c>
      <c r="E20272"/>
      <c r="F20272"/>
      <c r="G20272"/>
      <c r="H20272"/>
      <c r="I20272" s="489"/>
    </row>
    <row r="20273" spans="1:9" x14ac:dyDescent="0.25">
      <c r="A20273">
        <v>6028</v>
      </c>
      <c r="B20273" t="s">
        <v>23776</v>
      </c>
      <c r="C20273" t="s">
        <v>2537</v>
      </c>
      <c r="D20273" s="254">
        <v>110.68</v>
      </c>
      <c r="E20273"/>
      <c r="F20273"/>
      <c r="G20273"/>
      <c r="H20273"/>
      <c r="I20273" s="489"/>
    </row>
    <row r="20274" spans="1:9" x14ac:dyDescent="0.25">
      <c r="A20274">
        <v>6011</v>
      </c>
      <c r="B20274" t="s">
        <v>23777</v>
      </c>
      <c r="C20274" t="s">
        <v>2537</v>
      </c>
      <c r="D20274" s="254">
        <v>229.55</v>
      </c>
      <c r="E20274"/>
      <c r="F20274"/>
      <c r="G20274"/>
      <c r="H20274"/>
      <c r="I20274" s="489"/>
    </row>
    <row r="20275" spans="1:9" x14ac:dyDescent="0.25">
      <c r="A20275">
        <v>6012</v>
      </c>
      <c r="B20275" t="s">
        <v>23778</v>
      </c>
      <c r="C20275" t="s">
        <v>2537</v>
      </c>
      <c r="D20275" s="254">
        <v>277.91000000000003</v>
      </c>
      <c r="E20275"/>
      <c r="F20275"/>
      <c r="G20275"/>
      <c r="H20275"/>
      <c r="I20275" s="489"/>
    </row>
    <row r="20276" spans="1:9" x14ac:dyDescent="0.25">
      <c r="A20276">
        <v>6016</v>
      </c>
      <c r="B20276" t="s">
        <v>23779</v>
      </c>
      <c r="C20276" t="s">
        <v>2537</v>
      </c>
      <c r="D20276" s="254">
        <v>29.26</v>
      </c>
      <c r="E20276"/>
      <c r="F20276"/>
      <c r="G20276"/>
      <c r="H20276"/>
      <c r="I20276" s="489"/>
    </row>
    <row r="20277" spans="1:9" x14ac:dyDescent="0.25">
      <c r="A20277">
        <v>6027</v>
      </c>
      <c r="B20277" t="s">
        <v>23780</v>
      </c>
      <c r="C20277" t="s">
        <v>2537</v>
      </c>
      <c r="D20277" s="254">
        <v>579.05999999999995</v>
      </c>
      <c r="E20277"/>
      <c r="F20277"/>
      <c r="G20277"/>
      <c r="H20277"/>
      <c r="I20277" s="489"/>
    </row>
    <row r="20278" spans="1:9" x14ac:dyDescent="0.25">
      <c r="A20278">
        <v>6013</v>
      </c>
      <c r="B20278" t="s">
        <v>23781</v>
      </c>
      <c r="C20278" t="s">
        <v>2537</v>
      </c>
      <c r="D20278" s="254">
        <v>87.38</v>
      </c>
      <c r="E20278"/>
      <c r="F20278"/>
      <c r="G20278"/>
      <c r="H20278"/>
      <c r="I20278" s="489"/>
    </row>
    <row r="20279" spans="1:9" x14ac:dyDescent="0.25">
      <c r="A20279">
        <v>6015</v>
      </c>
      <c r="B20279" t="s">
        <v>23782</v>
      </c>
      <c r="C20279" t="s">
        <v>2537</v>
      </c>
      <c r="D20279" s="254">
        <v>127.07</v>
      </c>
      <c r="E20279"/>
      <c r="F20279"/>
      <c r="G20279"/>
      <c r="H20279"/>
      <c r="I20279" s="489"/>
    </row>
    <row r="20280" spans="1:9" x14ac:dyDescent="0.25">
      <c r="A20280">
        <v>6014</v>
      </c>
      <c r="B20280" t="s">
        <v>23783</v>
      </c>
      <c r="C20280" t="s">
        <v>2537</v>
      </c>
      <c r="D20280" s="254">
        <v>121.48</v>
      </c>
      <c r="E20280"/>
      <c r="F20280"/>
      <c r="G20280"/>
      <c r="H20280"/>
      <c r="I20280" s="489"/>
    </row>
    <row r="20281" spans="1:9" x14ac:dyDescent="0.25">
      <c r="A20281">
        <v>6006</v>
      </c>
      <c r="B20281" t="s">
        <v>23784</v>
      </c>
      <c r="C20281" t="s">
        <v>2537</v>
      </c>
      <c r="D20281" s="254">
        <v>63.27</v>
      </c>
      <c r="E20281"/>
      <c r="F20281"/>
      <c r="G20281"/>
      <c r="H20281"/>
      <c r="I20281" s="489"/>
    </row>
    <row r="20282" spans="1:9" x14ac:dyDescent="0.25">
      <c r="A20282">
        <v>6005</v>
      </c>
      <c r="B20282" t="s">
        <v>23785</v>
      </c>
      <c r="C20282" t="s">
        <v>2537</v>
      </c>
      <c r="D20282" s="254">
        <v>71.38</v>
      </c>
      <c r="E20282"/>
      <c r="F20282"/>
      <c r="G20282"/>
      <c r="H20282"/>
      <c r="I20282" s="489"/>
    </row>
    <row r="20283" spans="1:9" x14ac:dyDescent="0.25">
      <c r="A20283">
        <v>11756</v>
      </c>
      <c r="B20283" t="s">
        <v>23786</v>
      </c>
      <c r="C20283" t="s">
        <v>2537</v>
      </c>
      <c r="D20283" s="254">
        <v>34.090000000000003</v>
      </c>
      <c r="E20283"/>
      <c r="F20283"/>
      <c r="G20283"/>
      <c r="H20283"/>
      <c r="I20283" s="489"/>
    </row>
    <row r="20284" spans="1:9" x14ac:dyDescent="0.25">
      <c r="A20284">
        <v>10904</v>
      </c>
      <c r="B20284" t="s">
        <v>23787</v>
      </c>
      <c r="C20284" t="s">
        <v>2537</v>
      </c>
      <c r="D20284" s="254">
        <v>109.95</v>
      </c>
      <c r="E20284"/>
      <c r="F20284"/>
      <c r="G20284"/>
      <c r="H20284"/>
      <c r="I20284" s="489"/>
    </row>
    <row r="20285" spans="1:9" x14ac:dyDescent="0.25">
      <c r="A20285">
        <v>11752</v>
      </c>
      <c r="B20285" t="s">
        <v>23788</v>
      </c>
      <c r="C20285" t="s">
        <v>2537</v>
      </c>
      <c r="D20285" s="254">
        <v>19.66</v>
      </c>
      <c r="E20285"/>
      <c r="F20285"/>
      <c r="G20285"/>
      <c r="H20285"/>
      <c r="I20285" s="489"/>
    </row>
    <row r="20286" spans="1:9" x14ac:dyDescent="0.25">
      <c r="A20286">
        <v>11753</v>
      </c>
      <c r="B20286" t="s">
        <v>23789</v>
      </c>
      <c r="C20286" t="s">
        <v>2537</v>
      </c>
      <c r="D20286" s="254">
        <v>23.47</v>
      </c>
      <c r="E20286"/>
      <c r="F20286"/>
      <c r="G20286"/>
      <c r="H20286"/>
      <c r="I20286" s="489"/>
    </row>
    <row r="20287" spans="1:9" x14ac:dyDescent="0.25">
      <c r="A20287">
        <v>6021</v>
      </c>
      <c r="B20287" t="s">
        <v>23790</v>
      </c>
      <c r="C20287" t="s">
        <v>2537</v>
      </c>
      <c r="D20287" s="254">
        <v>65.13</v>
      </c>
      <c r="E20287"/>
      <c r="F20287"/>
      <c r="G20287"/>
      <c r="H20287"/>
      <c r="I20287" s="489"/>
    </row>
    <row r="20288" spans="1:9" x14ac:dyDescent="0.25">
      <c r="A20288">
        <v>6024</v>
      </c>
      <c r="B20288" t="s">
        <v>23791</v>
      </c>
      <c r="C20288" t="s">
        <v>2537</v>
      </c>
      <c r="D20288" s="254">
        <v>67.319999999999993</v>
      </c>
      <c r="E20288"/>
      <c r="F20288"/>
      <c r="G20288"/>
      <c r="H20288"/>
      <c r="I20288" s="489"/>
    </row>
    <row r="20289" spans="1:9" x14ac:dyDescent="0.25">
      <c r="A20289">
        <v>38379</v>
      </c>
      <c r="B20289" t="s">
        <v>23792</v>
      </c>
      <c r="C20289" t="s">
        <v>2541</v>
      </c>
      <c r="D20289" s="254">
        <v>67.48</v>
      </c>
      <c r="E20289"/>
      <c r="F20289"/>
      <c r="G20289"/>
      <c r="H20289"/>
      <c r="I20289" s="489"/>
    </row>
    <row r="20290" spans="1:9" x14ac:dyDescent="0.25">
      <c r="A20290">
        <v>13897</v>
      </c>
      <c r="B20290" t="s">
        <v>23793</v>
      </c>
      <c r="C20290" t="s">
        <v>2537</v>
      </c>
      <c r="D20290" s="254">
        <v>6517.88</v>
      </c>
      <c r="E20290"/>
      <c r="F20290"/>
      <c r="G20290"/>
      <c r="H20290"/>
      <c r="I20290" s="489"/>
    </row>
    <row r="20291" spans="1:9" x14ac:dyDescent="0.25">
      <c r="A20291">
        <v>10640</v>
      </c>
      <c r="B20291" t="s">
        <v>23794</v>
      </c>
      <c r="C20291" t="s">
        <v>2537</v>
      </c>
      <c r="D20291" s="254">
        <v>14116.35</v>
      </c>
      <c r="E20291"/>
      <c r="F20291"/>
      <c r="G20291"/>
      <c r="H20291"/>
      <c r="I20291" s="489"/>
    </row>
    <row r="20292" spans="1:9" x14ac:dyDescent="0.25">
      <c r="A20292">
        <v>34357</v>
      </c>
      <c r="B20292" t="s">
        <v>23795</v>
      </c>
      <c r="C20292" t="s">
        <v>2542</v>
      </c>
      <c r="D20292" s="254">
        <v>3.52</v>
      </c>
      <c r="E20292"/>
      <c r="F20292"/>
      <c r="G20292"/>
      <c r="H20292"/>
      <c r="I20292" s="489"/>
    </row>
    <row r="20293" spans="1:9" x14ac:dyDescent="0.25">
      <c r="A20293">
        <v>37329</v>
      </c>
      <c r="B20293" t="s">
        <v>23796</v>
      </c>
      <c r="C20293" t="s">
        <v>2542</v>
      </c>
      <c r="D20293" s="254">
        <v>74.2</v>
      </c>
      <c r="E20293"/>
      <c r="F20293"/>
      <c r="G20293"/>
      <c r="H20293"/>
      <c r="I20293" s="489"/>
    </row>
    <row r="20294" spans="1:9" x14ac:dyDescent="0.25">
      <c r="A20294">
        <v>2510</v>
      </c>
      <c r="B20294" t="s">
        <v>23797</v>
      </c>
      <c r="C20294" t="s">
        <v>2537</v>
      </c>
      <c r="D20294" s="254">
        <v>39.369999999999997</v>
      </c>
      <c r="E20294"/>
      <c r="F20294"/>
      <c r="G20294"/>
      <c r="H20294"/>
      <c r="I20294" s="489"/>
    </row>
    <row r="20295" spans="1:9" x14ac:dyDescent="0.25">
      <c r="A20295">
        <v>12359</v>
      </c>
      <c r="B20295" t="s">
        <v>23798</v>
      </c>
      <c r="C20295" t="s">
        <v>2537</v>
      </c>
      <c r="D20295" s="254">
        <v>144.58000000000001</v>
      </c>
      <c r="E20295"/>
      <c r="F20295"/>
      <c r="G20295"/>
      <c r="H20295"/>
      <c r="I20295" s="489"/>
    </row>
    <row r="20296" spans="1:9" x14ac:dyDescent="0.25">
      <c r="A20296">
        <v>7353</v>
      </c>
      <c r="B20296" t="s">
        <v>23799</v>
      </c>
      <c r="C20296" t="s">
        <v>2543</v>
      </c>
      <c r="D20296" s="254">
        <v>28.85</v>
      </c>
      <c r="E20296"/>
      <c r="F20296"/>
      <c r="G20296"/>
      <c r="H20296"/>
      <c r="I20296" s="489"/>
    </row>
    <row r="20297" spans="1:9" x14ac:dyDescent="0.25">
      <c r="A20297">
        <v>36144</v>
      </c>
      <c r="B20297" t="s">
        <v>23800</v>
      </c>
      <c r="C20297" t="s">
        <v>2537</v>
      </c>
      <c r="D20297" s="254">
        <v>1.66</v>
      </c>
      <c r="E20297"/>
      <c r="F20297"/>
      <c r="G20297"/>
      <c r="H20297"/>
      <c r="I20297" s="489"/>
    </row>
    <row r="20298" spans="1:9" x14ac:dyDescent="0.25">
      <c r="A20298">
        <v>10518</v>
      </c>
      <c r="B20298" t="s">
        <v>23801</v>
      </c>
      <c r="C20298" t="s">
        <v>2537</v>
      </c>
      <c r="D20298" s="254">
        <v>138.11000000000001</v>
      </c>
      <c r="E20298"/>
      <c r="F20298"/>
      <c r="G20298"/>
      <c r="H20298"/>
      <c r="I20298" s="489"/>
    </row>
    <row r="20299" spans="1:9" x14ac:dyDescent="0.25">
      <c r="A20299">
        <v>36530</v>
      </c>
      <c r="B20299" t="s">
        <v>23802</v>
      </c>
      <c r="C20299" t="s">
        <v>2537</v>
      </c>
      <c r="D20299" s="254">
        <v>419487.79</v>
      </c>
      <c r="E20299"/>
      <c r="F20299"/>
      <c r="G20299"/>
      <c r="H20299"/>
      <c r="I20299" s="489"/>
    </row>
    <row r="20300" spans="1:9" x14ac:dyDescent="0.25">
      <c r="A20300">
        <v>6046</v>
      </c>
      <c r="B20300" t="s">
        <v>23803</v>
      </c>
      <c r="C20300" t="s">
        <v>2537</v>
      </c>
      <c r="D20300" s="254">
        <v>455000</v>
      </c>
      <c r="E20300"/>
      <c r="F20300"/>
      <c r="G20300"/>
      <c r="H20300"/>
      <c r="I20300" s="489"/>
    </row>
    <row r="20301" spans="1:9" x14ac:dyDescent="0.25">
      <c r="A20301">
        <v>36531</v>
      </c>
      <c r="B20301" t="s">
        <v>23804</v>
      </c>
      <c r="C20301" t="s">
        <v>2537</v>
      </c>
      <c r="D20301" s="254">
        <v>471646.31</v>
      </c>
      <c r="E20301"/>
      <c r="F20301"/>
      <c r="G20301"/>
      <c r="H20301"/>
      <c r="I20301" s="489"/>
    </row>
    <row r="20302" spans="1:9" x14ac:dyDescent="0.25">
      <c r="A20302">
        <v>34684</v>
      </c>
      <c r="B20302" t="s">
        <v>23805</v>
      </c>
      <c r="C20302" t="s">
        <v>2539</v>
      </c>
      <c r="D20302" s="254">
        <v>283.82</v>
      </c>
      <c r="E20302"/>
      <c r="F20302"/>
      <c r="G20302"/>
      <c r="H20302"/>
      <c r="I20302" s="489"/>
    </row>
    <row r="20303" spans="1:9" x14ac:dyDescent="0.25">
      <c r="A20303">
        <v>34683</v>
      </c>
      <c r="B20303" t="s">
        <v>23806</v>
      </c>
      <c r="C20303" t="s">
        <v>2539</v>
      </c>
      <c r="D20303" s="254">
        <v>177.39</v>
      </c>
      <c r="E20303"/>
      <c r="F20303"/>
      <c r="G20303"/>
      <c r="H20303"/>
      <c r="I20303" s="489"/>
    </row>
    <row r="20304" spans="1:9" x14ac:dyDescent="0.25">
      <c r="A20304">
        <v>533</v>
      </c>
      <c r="B20304" t="s">
        <v>23807</v>
      </c>
      <c r="C20304" t="s">
        <v>2539</v>
      </c>
      <c r="D20304" s="254">
        <v>19.78</v>
      </c>
      <c r="E20304"/>
      <c r="F20304"/>
      <c r="G20304"/>
      <c r="H20304"/>
      <c r="I20304" s="489"/>
    </row>
    <row r="20305" spans="1:9" x14ac:dyDescent="0.25">
      <c r="A20305">
        <v>10515</v>
      </c>
      <c r="B20305" t="s">
        <v>23808</v>
      </c>
      <c r="C20305" t="s">
        <v>2539</v>
      </c>
      <c r="D20305" s="254">
        <v>37.32</v>
      </c>
      <c r="E20305"/>
      <c r="F20305"/>
      <c r="G20305"/>
      <c r="H20305"/>
      <c r="I20305" s="489"/>
    </row>
    <row r="20306" spans="1:9" x14ac:dyDescent="0.25">
      <c r="A20306">
        <v>536</v>
      </c>
      <c r="B20306" t="s">
        <v>23809</v>
      </c>
      <c r="C20306" t="s">
        <v>2539</v>
      </c>
      <c r="D20306" s="254">
        <v>27</v>
      </c>
      <c r="E20306"/>
      <c r="F20306"/>
      <c r="G20306"/>
      <c r="H20306"/>
      <c r="I20306" s="489"/>
    </row>
    <row r="20307" spans="1:9" x14ac:dyDescent="0.25">
      <c r="A20307">
        <v>153</v>
      </c>
      <c r="B20307" t="s">
        <v>23810</v>
      </c>
      <c r="C20307" t="s">
        <v>2543</v>
      </c>
      <c r="D20307" s="254">
        <v>89.15</v>
      </c>
      <c r="E20307"/>
      <c r="F20307"/>
      <c r="G20307"/>
      <c r="H20307"/>
      <c r="I20307" s="489"/>
    </row>
    <row r="20308" spans="1:9" x14ac:dyDescent="0.25">
      <c r="A20308">
        <v>34682</v>
      </c>
      <c r="B20308" t="s">
        <v>23811</v>
      </c>
      <c r="C20308" t="s">
        <v>2539</v>
      </c>
      <c r="D20308" s="254">
        <v>135.65</v>
      </c>
      <c r="E20308"/>
      <c r="F20308"/>
      <c r="G20308"/>
      <c r="H20308"/>
      <c r="I20308" s="489"/>
    </row>
    <row r="20309" spans="1:9" x14ac:dyDescent="0.25">
      <c r="A20309">
        <v>20205</v>
      </c>
      <c r="B20309" t="s">
        <v>23812</v>
      </c>
      <c r="C20309" t="s">
        <v>2541</v>
      </c>
      <c r="D20309" s="254">
        <v>4.84</v>
      </c>
      <c r="E20309"/>
      <c r="F20309"/>
      <c r="G20309"/>
      <c r="H20309"/>
      <c r="I20309" s="489"/>
    </row>
    <row r="20310" spans="1:9" x14ac:dyDescent="0.25">
      <c r="A20310">
        <v>4412</v>
      </c>
      <c r="B20310" t="s">
        <v>23813</v>
      </c>
      <c r="C20310" t="s">
        <v>2541</v>
      </c>
      <c r="D20310" s="254">
        <v>2.9</v>
      </c>
      <c r="E20310"/>
      <c r="F20310"/>
      <c r="G20310"/>
      <c r="H20310"/>
      <c r="I20310" s="489"/>
    </row>
    <row r="20311" spans="1:9" x14ac:dyDescent="0.25">
      <c r="A20311">
        <v>4408</v>
      </c>
      <c r="B20311" t="s">
        <v>23814</v>
      </c>
      <c r="C20311" t="s">
        <v>2541</v>
      </c>
      <c r="D20311" s="254">
        <v>3.62</v>
      </c>
      <c r="E20311"/>
      <c r="F20311"/>
      <c r="G20311"/>
      <c r="H20311"/>
      <c r="I20311" s="489"/>
    </row>
    <row r="20312" spans="1:9" x14ac:dyDescent="0.25">
      <c r="A20312">
        <v>36250</v>
      </c>
      <c r="B20312" t="s">
        <v>23815</v>
      </c>
      <c r="C20312" t="s">
        <v>2541</v>
      </c>
      <c r="D20312" s="254">
        <v>5.2</v>
      </c>
      <c r="E20312"/>
      <c r="F20312"/>
      <c r="G20312"/>
      <c r="H20312"/>
      <c r="I20312" s="489"/>
    </row>
    <row r="20313" spans="1:9" x14ac:dyDescent="0.25">
      <c r="A20313">
        <v>10857</v>
      </c>
      <c r="B20313" t="s">
        <v>23816</v>
      </c>
      <c r="C20313" t="s">
        <v>2541</v>
      </c>
      <c r="D20313" s="254">
        <v>15.55</v>
      </c>
      <c r="E20313"/>
      <c r="F20313"/>
      <c r="G20313"/>
      <c r="H20313"/>
      <c r="I20313" s="489"/>
    </row>
    <row r="20314" spans="1:9" x14ac:dyDescent="0.25">
      <c r="A20314">
        <v>4803</v>
      </c>
      <c r="B20314" t="s">
        <v>23817</v>
      </c>
      <c r="C20314" t="s">
        <v>2541</v>
      </c>
      <c r="D20314" s="254">
        <v>27.39</v>
      </c>
      <c r="E20314"/>
      <c r="F20314"/>
      <c r="G20314"/>
      <c r="H20314"/>
      <c r="I20314" s="489"/>
    </row>
    <row r="20315" spans="1:9" x14ac:dyDescent="0.25">
      <c r="A20315">
        <v>6186</v>
      </c>
      <c r="B20315" t="s">
        <v>23818</v>
      </c>
      <c r="C20315" t="s">
        <v>2541</v>
      </c>
      <c r="D20315" s="254">
        <v>10.52</v>
      </c>
      <c r="E20315"/>
      <c r="F20315"/>
      <c r="G20315"/>
      <c r="H20315"/>
      <c r="I20315" s="489"/>
    </row>
    <row r="20316" spans="1:9" x14ac:dyDescent="0.25">
      <c r="A20316">
        <v>4829</v>
      </c>
      <c r="B20316" t="s">
        <v>23819</v>
      </c>
      <c r="C20316" t="s">
        <v>2541</v>
      </c>
      <c r="D20316" s="254">
        <v>56.55</v>
      </c>
      <c r="E20316"/>
      <c r="F20316"/>
      <c r="G20316"/>
      <c r="H20316"/>
      <c r="I20316" s="489"/>
    </row>
    <row r="20317" spans="1:9" x14ac:dyDescent="0.25">
      <c r="A20317">
        <v>39829</v>
      </c>
      <c r="B20317" t="s">
        <v>23820</v>
      </c>
      <c r="C20317" t="s">
        <v>2541</v>
      </c>
      <c r="D20317" s="254">
        <v>27.83</v>
      </c>
      <c r="E20317"/>
      <c r="F20317"/>
      <c r="G20317"/>
      <c r="H20317"/>
      <c r="I20317" s="489"/>
    </row>
    <row r="20318" spans="1:9" x14ac:dyDescent="0.25">
      <c r="A20318">
        <v>20231</v>
      </c>
      <c r="B20318" t="s">
        <v>23821</v>
      </c>
      <c r="C20318" t="s">
        <v>2541</v>
      </c>
      <c r="D20318" s="254">
        <v>62.51</v>
      </c>
      <c r="E20318"/>
      <c r="F20318"/>
      <c r="G20318"/>
      <c r="H20318"/>
      <c r="I20318" s="489"/>
    </row>
    <row r="20319" spans="1:9" x14ac:dyDescent="0.25">
      <c r="A20319">
        <v>4804</v>
      </c>
      <c r="B20319" t="s">
        <v>23822</v>
      </c>
      <c r="C20319" t="s">
        <v>2541</v>
      </c>
      <c r="D20319" s="254">
        <v>21.03</v>
      </c>
      <c r="E20319"/>
      <c r="F20319"/>
      <c r="G20319"/>
      <c r="H20319"/>
      <c r="I20319" s="489"/>
    </row>
    <row r="20320" spans="1:9" x14ac:dyDescent="0.25">
      <c r="A20320">
        <v>34680</v>
      </c>
      <c r="B20320" t="s">
        <v>23823</v>
      </c>
      <c r="C20320" t="s">
        <v>2541</v>
      </c>
      <c r="D20320" s="254">
        <v>41.73</v>
      </c>
      <c r="E20320"/>
      <c r="F20320"/>
      <c r="G20320"/>
      <c r="H20320"/>
      <c r="I20320" s="489"/>
    </row>
    <row r="20321" spans="1:9" x14ac:dyDescent="0.25">
      <c r="A20321">
        <v>11573</v>
      </c>
      <c r="B20321" t="s">
        <v>23824</v>
      </c>
      <c r="C20321" t="s">
        <v>2537</v>
      </c>
      <c r="D20321" s="254">
        <v>6.1</v>
      </c>
      <c r="E20321"/>
      <c r="F20321"/>
      <c r="G20321"/>
      <c r="H20321"/>
      <c r="I20321" s="489"/>
    </row>
    <row r="20322" spans="1:9" x14ac:dyDescent="0.25">
      <c r="A20322">
        <v>38401</v>
      </c>
      <c r="B20322" t="s">
        <v>23825</v>
      </c>
      <c r="C20322" t="s">
        <v>2537</v>
      </c>
      <c r="D20322" s="254">
        <v>12.65</v>
      </c>
      <c r="E20322"/>
      <c r="F20322"/>
      <c r="G20322"/>
      <c r="H20322"/>
      <c r="I20322" s="489"/>
    </row>
    <row r="20323" spans="1:9" x14ac:dyDescent="0.25">
      <c r="A20323">
        <v>11575</v>
      </c>
      <c r="B20323" t="s">
        <v>23826</v>
      </c>
      <c r="C20323" t="s">
        <v>2537</v>
      </c>
      <c r="D20323" s="254">
        <v>58.82</v>
      </c>
      <c r="E20323"/>
      <c r="F20323"/>
      <c r="G20323"/>
      <c r="H20323"/>
      <c r="I20323" s="489"/>
    </row>
    <row r="20324" spans="1:9" x14ac:dyDescent="0.25">
      <c r="A20324">
        <v>38179</v>
      </c>
      <c r="B20324" t="s">
        <v>23827</v>
      </c>
      <c r="C20324" t="s">
        <v>2537</v>
      </c>
      <c r="D20324" s="254">
        <v>48.63</v>
      </c>
      <c r="E20324"/>
      <c r="F20324"/>
      <c r="G20324"/>
      <c r="H20324"/>
      <c r="I20324" s="489"/>
    </row>
    <row r="20325" spans="1:9" x14ac:dyDescent="0.25">
      <c r="A20325">
        <v>20256</v>
      </c>
      <c r="B20325" t="s">
        <v>23828</v>
      </c>
      <c r="C20325" t="s">
        <v>2537</v>
      </c>
      <c r="D20325" s="254">
        <v>0.45</v>
      </c>
      <c r="E20325"/>
      <c r="F20325"/>
      <c r="G20325"/>
      <c r="H20325"/>
      <c r="I20325" s="489"/>
    </row>
    <row r="20326" spans="1:9" x14ac:dyDescent="0.25">
      <c r="A20326">
        <v>14511</v>
      </c>
      <c r="B20326" t="s">
        <v>23829</v>
      </c>
      <c r="C20326" t="s">
        <v>2537</v>
      </c>
      <c r="D20326" s="254">
        <v>717797.38</v>
      </c>
      <c r="E20326"/>
      <c r="F20326"/>
      <c r="G20326"/>
      <c r="H20326"/>
      <c r="I20326" s="489"/>
    </row>
    <row r="20327" spans="1:9" x14ac:dyDescent="0.25">
      <c r="A20327">
        <v>10642</v>
      </c>
      <c r="B20327" t="s">
        <v>23830</v>
      </c>
      <c r="C20327" t="s">
        <v>2537</v>
      </c>
      <c r="D20327" s="254">
        <v>676200</v>
      </c>
      <c r="E20327"/>
      <c r="F20327"/>
      <c r="G20327"/>
      <c r="H20327"/>
      <c r="I20327" s="489"/>
    </row>
    <row r="20328" spans="1:9" x14ac:dyDescent="0.25">
      <c r="A20328">
        <v>14489</v>
      </c>
      <c r="B20328" t="s">
        <v>23831</v>
      </c>
      <c r="C20328" t="s">
        <v>2537</v>
      </c>
      <c r="D20328" s="254">
        <v>599776.81999999995</v>
      </c>
      <c r="E20328"/>
      <c r="F20328"/>
      <c r="G20328"/>
      <c r="H20328"/>
      <c r="I20328" s="489"/>
    </row>
    <row r="20329" spans="1:9" x14ac:dyDescent="0.25">
      <c r="A20329">
        <v>14513</v>
      </c>
      <c r="B20329" t="s">
        <v>23832</v>
      </c>
      <c r="C20329" t="s">
        <v>2537</v>
      </c>
      <c r="D20329" s="254">
        <v>449846.85</v>
      </c>
      <c r="E20329"/>
      <c r="F20329"/>
      <c r="G20329"/>
      <c r="H20329"/>
      <c r="I20329" s="489"/>
    </row>
    <row r="20330" spans="1:9" x14ac:dyDescent="0.25">
      <c r="A20330">
        <v>13600</v>
      </c>
      <c r="B20330" t="s">
        <v>23833</v>
      </c>
      <c r="C20330" t="s">
        <v>2537</v>
      </c>
      <c r="D20330" s="254">
        <v>580429.11</v>
      </c>
      <c r="E20330"/>
      <c r="F20330"/>
      <c r="G20330"/>
      <c r="H20330"/>
      <c r="I20330" s="489"/>
    </row>
    <row r="20331" spans="1:9" x14ac:dyDescent="0.25">
      <c r="A20331">
        <v>10646</v>
      </c>
      <c r="B20331" t="s">
        <v>23834</v>
      </c>
      <c r="C20331" t="s">
        <v>2537</v>
      </c>
      <c r="D20331" s="254">
        <v>432671.23</v>
      </c>
      <c r="E20331"/>
      <c r="F20331"/>
      <c r="G20331"/>
      <c r="H20331"/>
      <c r="I20331" s="489"/>
    </row>
    <row r="20332" spans="1:9" x14ac:dyDescent="0.25">
      <c r="A20332">
        <v>6070</v>
      </c>
      <c r="B20332" t="s">
        <v>23835</v>
      </c>
      <c r="C20332" t="s">
        <v>2537</v>
      </c>
      <c r="D20332" s="254">
        <v>591191.99</v>
      </c>
      <c r="E20332"/>
      <c r="F20332"/>
      <c r="G20332"/>
      <c r="H20332"/>
      <c r="I20332" s="489"/>
    </row>
    <row r="20333" spans="1:9" x14ac:dyDescent="0.25">
      <c r="A20333">
        <v>6069</v>
      </c>
      <c r="B20333" t="s">
        <v>23836</v>
      </c>
      <c r="C20333" t="s">
        <v>2537</v>
      </c>
      <c r="D20333" s="254">
        <v>130603.22</v>
      </c>
      <c r="E20333"/>
      <c r="F20333"/>
      <c r="G20333"/>
      <c r="H20333"/>
      <c r="I20333" s="489"/>
    </row>
    <row r="20334" spans="1:9" x14ac:dyDescent="0.25">
      <c r="A20334">
        <v>14626</v>
      </c>
      <c r="B20334" t="s">
        <v>23837</v>
      </c>
      <c r="C20334" t="s">
        <v>2537</v>
      </c>
      <c r="D20334" s="254">
        <v>647220.02</v>
      </c>
      <c r="E20334"/>
      <c r="F20334"/>
      <c r="G20334"/>
      <c r="H20334"/>
      <c r="I20334" s="489"/>
    </row>
    <row r="20335" spans="1:9" x14ac:dyDescent="0.25">
      <c r="A20335">
        <v>6067</v>
      </c>
      <c r="B20335" t="s">
        <v>23838</v>
      </c>
      <c r="C20335" t="s">
        <v>2537</v>
      </c>
      <c r="D20335" s="254">
        <v>531300</v>
      </c>
      <c r="E20335"/>
      <c r="F20335"/>
      <c r="G20335"/>
      <c r="H20335"/>
      <c r="I20335" s="489"/>
    </row>
    <row r="20336" spans="1:9" x14ac:dyDescent="0.25">
      <c r="A20336">
        <v>38393</v>
      </c>
      <c r="B20336" t="s">
        <v>23839</v>
      </c>
      <c r="C20336" t="s">
        <v>2537</v>
      </c>
      <c r="D20336" s="254">
        <v>16.25</v>
      </c>
      <c r="E20336"/>
      <c r="F20336"/>
      <c r="G20336"/>
      <c r="H20336"/>
      <c r="I20336" s="489"/>
    </row>
    <row r="20337" spans="1:9" x14ac:dyDescent="0.25">
      <c r="A20337">
        <v>38390</v>
      </c>
      <c r="B20337" t="s">
        <v>23840</v>
      </c>
      <c r="C20337" t="s">
        <v>2537</v>
      </c>
      <c r="D20337" s="254">
        <v>36.04</v>
      </c>
      <c r="E20337"/>
      <c r="F20337"/>
      <c r="G20337"/>
      <c r="H20337"/>
      <c r="I20337" s="489"/>
    </row>
    <row r="20338" spans="1:9" x14ac:dyDescent="0.25">
      <c r="A20338">
        <v>36532</v>
      </c>
      <c r="B20338" t="s">
        <v>23841</v>
      </c>
      <c r="C20338" t="s">
        <v>2537</v>
      </c>
      <c r="D20338" s="254">
        <v>20916.71</v>
      </c>
      <c r="E20338"/>
      <c r="F20338"/>
      <c r="G20338"/>
      <c r="H20338"/>
      <c r="I20338" s="489"/>
    </row>
    <row r="20339" spans="1:9" x14ac:dyDescent="0.25">
      <c r="A20339">
        <v>11578</v>
      </c>
      <c r="B20339" t="s">
        <v>23842</v>
      </c>
      <c r="C20339" t="s">
        <v>2537</v>
      </c>
      <c r="D20339" s="254">
        <v>12.7</v>
      </c>
      <c r="E20339"/>
      <c r="F20339"/>
      <c r="G20339"/>
      <c r="H20339"/>
      <c r="I20339" s="489"/>
    </row>
    <row r="20340" spans="1:9" x14ac:dyDescent="0.25">
      <c r="A20340">
        <v>11577</v>
      </c>
      <c r="B20340" t="s">
        <v>23843</v>
      </c>
      <c r="C20340" t="s">
        <v>2537</v>
      </c>
      <c r="D20340" s="254">
        <v>12.12</v>
      </c>
      <c r="E20340"/>
      <c r="F20340"/>
      <c r="G20340"/>
      <c r="H20340"/>
      <c r="I20340" s="489"/>
    </row>
    <row r="20341" spans="1:9" x14ac:dyDescent="0.25">
      <c r="A20341">
        <v>42432</v>
      </c>
      <c r="B20341" t="s">
        <v>23844</v>
      </c>
      <c r="C20341" t="s">
        <v>2537</v>
      </c>
      <c r="D20341" s="254">
        <v>2403.2800000000002</v>
      </c>
      <c r="E20341"/>
      <c r="F20341"/>
      <c r="G20341"/>
      <c r="H20341"/>
      <c r="I20341" s="489"/>
    </row>
    <row r="20342" spans="1:9" x14ac:dyDescent="0.25">
      <c r="A20342">
        <v>42437</v>
      </c>
      <c r="B20342" t="s">
        <v>23845</v>
      </c>
      <c r="C20342" t="s">
        <v>2537</v>
      </c>
      <c r="D20342" s="254">
        <v>1827.13</v>
      </c>
      <c r="E20342"/>
      <c r="F20342"/>
      <c r="G20342"/>
      <c r="H20342"/>
      <c r="I20342" s="489"/>
    </row>
    <row r="20343" spans="1:9" x14ac:dyDescent="0.25">
      <c r="A20343">
        <v>1116</v>
      </c>
      <c r="B20343" t="s">
        <v>23846</v>
      </c>
      <c r="C20343" t="s">
        <v>2541</v>
      </c>
      <c r="D20343" s="254">
        <v>23.45</v>
      </c>
      <c r="E20343"/>
      <c r="F20343"/>
      <c r="G20343"/>
      <c r="H20343"/>
      <c r="I20343" s="489"/>
    </row>
    <row r="20344" spans="1:9" x14ac:dyDescent="0.25">
      <c r="A20344">
        <v>1115</v>
      </c>
      <c r="B20344" t="s">
        <v>23847</v>
      </c>
      <c r="C20344" t="s">
        <v>2541</v>
      </c>
      <c r="D20344" s="254">
        <v>28.1</v>
      </c>
      <c r="E20344"/>
      <c r="F20344"/>
      <c r="G20344"/>
      <c r="H20344"/>
      <c r="I20344" s="489"/>
    </row>
    <row r="20345" spans="1:9" x14ac:dyDescent="0.25">
      <c r="A20345">
        <v>1113</v>
      </c>
      <c r="B20345" t="s">
        <v>23848</v>
      </c>
      <c r="C20345" t="s">
        <v>2541</v>
      </c>
      <c r="D20345" s="254">
        <v>32.85</v>
      </c>
      <c r="E20345"/>
      <c r="F20345"/>
      <c r="G20345"/>
      <c r="H20345"/>
      <c r="I20345" s="489"/>
    </row>
    <row r="20346" spans="1:9" x14ac:dyDescent="0.25">
      <c r="A20346">
        <v>1114</v>
      </c>
      <c r="B20346" t="s">
        <v>23849</v>
      </c>
      <c r="C20346" t="s">
        <v>2541</v>
      </c>
      <c r="D20346" s="254">
        <v>39.14</v>
      </c>
      <c r="E20346"/>
      <c r="F20346"/>
      <c r="G20346"/>
      <c r="H20346"/>
      <c r="I20346" s="489"/>
    </row>
    <row r="20347" spans="1:9" x14ac:dyDescent="0.25">
      <c r="A20347">
        <v>40873</v>
      </c>
      <c r="B20347" t="s">
        <v>23850</v>
      </c>
      <c r="C20347" t="s">
        <v>2541</v>
      </c>
      <c r="D20347" s="254">
        <v>30.62</v>
      </c>
      <c r="E20347"/>
      <c r="F20347"/>
      <c r="G20347"/>
      <c r="H20347"/>
      <c r="I20347" s="489"/>
    </row>
    <row r="20348" spans="1:9" x14ac:dyDescent="0.25">
      <c r="A20348">
        <v>20214</v>
      </c>
      <c r="B20348" t="s">
        <v>23851</v>
      </c>
      <c r="C20348" t="s">
        <v>2537</v>
      </c>
      <c r="D20348" s="254">
        <v>54.12</v>
      </c>
      <c r="E20348"/>
      <c r="F20348"/>
      <c r="G20348"/>
      <c r="H20348"/>
      <c r="I20348" s="489"/>
    </row>
    <row r="20349" spans="1:9" x14ac:dyDescent="0.25">
      <c r="A20349">
        <v>7237</v>
      </c>
      <c r="B20349" t="s">
        <v>23852</v>
      </c>
      <c r="C20349" t="s">
        <v>2537</v>
      </c>
      <c r="D20349" s="254">
        <v>52.98</v>
      </c>
      <c r="E20349"/>
      <c r="F20349"/>
      <c r="G20349"/>
      <c r="H20349"/>
      <c r="I20349" s="489"/>
    </row>
    <row r="20350" spans="1:9" x14ac:dyDescent="0.25">
      <c r="A20350">
        <v>11757</v>
      </c>
      <c r="B20350" t="s">
        <v>23853</v>
      </c>
      <c r="C20350" t="s">
        <v>2537</v>
      </c>
      <c r="D20350" s="254">
        <v>36.9</v>
      </c>
      <c r="E20350"/>
      <c r="F20350"/>
      <c r="G20350"/>
      <c r="H20350"/>
      <c r="I20350" s="489"/>
    </row>
    <row r="20351" spans="1:9" x14ac:dyDescent="0.25">
      <c r="A20351">
        <v>11758</v>
      </c>
      <c r="B20351" t="s">
        <v>23854</v>
      </c>
      <c r="C20351" t="s">
        <v>2537</v>
      </c>
      <c r="D20351" s="254">
        <v>47.65</v>
      </c>
      <c r="E20351"/>
      <c r="F20351"/>
      <c r="G20351"/>
      <c r="H20351"/>
      <c r="I20351" s="489"/>
    </row>
    <row r="20352" spans="1:9" x14ac:dyDescent="0.25">
      <c r="A20352">
        <v>37526</v>
      </c>
      <c r="B20352" t="s">
        <v>23855</v>
      </c>
      <c r="C20352" t="s">
        <v>2537</v>
      </c>
      <c r="D20352" s="254">
        <v>3.4</v>
      </c>
      <c r="E20352"/>
      <c r="F20352"/>
      <c r="G20352"/>
      <c r="H20352"/>
      <c r="I20352" s="489"/>
    </row>
    <row r="20353" spans="1:9" x14ac:dyDescent="0.25">
      <c r="A20353">
        <v>6076</v>
      </c>
      <c r="B20353" t="s">
        <v>23856</v>
      </c>
      <c r="C20353" t="s">
        <v>2540</v>
      </c>
      <c r="D20353" s="254">
        <v>99.67</v>
      </c>
      <c r="E20353"/>
      <c r="F20353"/>
      <c r="G20353"/>
      <c r="H20353"/>
      <c r="I20353" s="489"/>
    </row>
    <row r="20354" spans="1:9" x14ac:dyDescent="0.25">
      <c r="A20354">
        <v>13109</v>
      </c>
      <c r="B20354" t="s">
        <v>23857</v>
      </c>
      <c r="C20354" t="s">
        <v>2537</v>
      </c>
      <c r="D20354" s="254">
        <v>307.14999999999998</v>
      </c>
      <c r="E20354"/>
      <c r="F20354"/>
      <c r="G20354"/>
      <c r="H20354"/>
      <c r="I20354" s="489"/>
    </row>
    <row r="20355" spans="1:9" x14ac:dyDescent="0.25">
      <c r="A20355">
        <v>13110</v>
      </c>
      <c r="B20355" t="s">
        <v>23858</v>
      </c>
      <c r="C20355" t="s">
        <v>2537</v>
      </c>
      <c r="D20355" s="254">
        <v>404.22</v>
      </c>
      <c r="E20355"/>
      <c r="F20355"/>
      <c r="G20355"/>
      <c r="H20355"/>
      <c r="I20355" s="489"/>
    </row>
    <row r="20356" spans="1:9" x14ac:dyDescent="0.25">
      <c r="A20356">
        <v>7581</v>
      </c>
      <c r="B20356" t="s">
        <v>23859</v>
      </c>
      <c r="C20356" t="s">
        <v>2537</v>
      </c>
      <c r="D20356" s="254">
        <v>7.33</v>
      </c>
      <c r="E20356"/>
      <c r="F20356"/>
      <c r="G20356"/>
      <c r="H20356"/>
      <c r="I20356" s="489"/>
    </row>
    <row r="20357" spans="1:9" x14ac:dyDescent="0.25">
      <c r="A20357">
        <v>4509</v>
      </c>
      <c r="B20357" t="s">
        <v>23860</v>
      </c>
      <c r="C20357" t="s">
        <v>2541</v>
      </c>
      <c r="D20357" s="254">
        <v>4.12</v>
      </c>
      <c r="E20357"/>
      <c r="F20357"/>
      <c r="G20357"/>
      <c r="H20357"/>
      <c r="I20357" s="489"/>
    </row>
    <row r="20358" spans="1:9" x14ac:dyDescent="0.25">
      <c r="A20358">
        <v>4512</v>
      </c>
      <c r="B20358" t="s">
        <v>23861</v>
      </c>
      <c r="C20358" t="s">
        <v>2541</v>
      </c>
      <c r="D20358" s="254">
        <v>1.96</v>
      </c>
      <c r="E20358"/>
      <c r="F20358"/>
      <c r="G20358"/>
      <c r="H20358"/>
      <c r="I20358" s="489"/>
    </row>
    <row r="20359" spans="1:9" x14ac:dyDescent="0.25">
      <c r="A20359">
        <v>4517</v>
      </c>
      <c r="B20359" t="s">
        <v>23862</v>
      </c>
      <c r="C20359" t="s">
        <v>2541</v>
      </c>
      <c r="D20359" s="254">
        <v>2.84</v>
      </c>
      <c r="E20359"/>
      <c r="F20359"/>
      <c r="G20359"/>
      <c r="H20359"/>
      <c r="I20359" s="489"/>
    </row>
    <row r="20360" spans="1:9" x14ac:dyDescent="0.25">
      <c r="A20360">
        <v>20206</v>
      </c>
      <c r="B20360" t="s">
        <v>23863</v>
      </c>
      <c r="C20360" t="s">
        <v>2541</v>
      </c>
      <c r="D20360" s="254">
        <v>13.06</v>
      </c>
      <c r="E20360"/>
      <c r="F20360"/>
      <c r="G20360"/>
      <c r="H20360"/>
      <c r="I20360" s="489"/>
    </row>
    <row r="20361" spans="1:9" x14ac:dyDescent="0.25">
      <c r="A20361">
        <v>4460</v>
      </c>
      <c r="B20361" t="s">
        <v>23864</v>
      </c>
      <c r="C20361" t="s">
        <v>2541</v>
      </c>
      <c r="D20361" s="254">
        <v>13.41</v>
      </c>
      <c r="E20361"/>
      <c r="F20361"/>
      <c r="G20361"/>
      <c r="H20361"/>
      <c r="I20361" s="489"/>
    </row>
    <row r="20362" spans="1:9" x14ac:dyDescent="0.25">
      <c r="A20362">
        <v>4417</v>
      </c>
      <c r="B20362" t="s">
        <v>23865</v>
      </c>
      <c r="C20362" t="s">
        <v>2541</v>
      </c>
      <c r="D20362" s="254">
        <v>10.34</v>
      </c>
      <c r="E20362"/>
      <c r="F20362"/>
      <c r="G20362"/>
      <c r="H20362"/>
      <c r="I20362" s="489"/>
    </row>
    <row r="20363" spans="1:9" x14ac:dyDescent="0.25">
      <c r="A20363">
        <v>4415</v>
      </c>
      <c r="B20363" t="s">
        <v>23866</v>
      </c>
      <c r="C20363" t="s">
        <v>2541</v>
      </c>
      <c r="D20363" s="254">
        <v>7.18</v>
      </c>
      <c r="E20363"/>
      <c r="F20363"/>
      <c r="G20363"/>
      <c r="H20363"/>
      <c r="I20363" s="489"/>
    </row>
    <row r="20364" spans="1:9" x14ac:dyDescent="0.25">
      <c r="A20364">
        <v>37373</v>
      </c>
      <c r="B20364" t="s">
        <v>23867</v>
      </c>
      <c r="C20364" t="s">
        <v>2538</v>
      </c>
      <c r="D20364" s="254">
        <v>0.06</v>
      </c>
      <c r="E20364"/>
      <c r="F20364"/>
      <c r="G20364"/>
      <c r="H20364"/>
      <c r="I20364" s="489"/>
    </row>
    <row r="20365" spans="1:9" x14ac:dyDescent="0.25">
      <c r="A20365">
        <v>40864</v>
      </c>
      <c r="B20365" t="s">
        <v>23868</v>
      </c>
      <c r="C20365" t="s">
        <v>2544</v>
      </c>
      <c r="D20365" s="254">
        <v>11.8</v>
      </c>
      <c r="E20365"/>
      <c r="F20365"/>
      <c r="G20365"/>
      <c r="H20365"/>
      <c r="I20365" s="489"/>
    </row>
    <row r="20366" spans="1:9" x14ac:dyDescent="0.25">
      <c r="A20366">
        <v>4734</v>
      </c>
      <c r="B20366" t="s">
        <v>23869</v>
      </c>
      <c r="C20366" t="s">
        <v>2540</v>
      </c>
      <c r="D20366" s="254">
        <v>335.18</v>
      </c>
      <c r="E20366"/>
      <c r="F20366"/>
      <c r="G20366"/>
      <c r="H20366"/>
      <c r="I20366" s="489"/>
    </row>
    <row r="20367" spans="1:9" x14ac:dyDescent="0.25">
      <c r="A20367">
        <v>6085</v>
      </c>
      <c r="B20367" t="s">
        <v>23870</v>
      </c>
      <c r="C20367" t="s">
        <v>2543</v>
      </c>
      <c r="D20367" s="254">
        <v>7.11</v>
      </c>
      <c r="E20367"/>
      <c r="F20367"/>
      <c r="G20367"/>
      <c r="H20367"/>
      <c r="I20367" s="489"/>
    </row>
    <row r="20368" spans="1:9" x14ac:dyDescent="0.25">
      <c r="A20368">
        <v>38396</v>
      </c>
      <c r="B20368" t="s">
        <v>23871</v>
      </c>
      <c r="C20368" t="s">
        <v>2537</v>
      </c>
      <c r="D20368" s="254">
        <v>525.63</v>
      </c>
      <c r="E20368"/>
      <c r="F20368"/>
      <c r="G20368"/>
      <c r="H20368"/>
      <c r="I20368" s="489"/>
    </row>
    <row r="20369" spans="1:9" x14ac:dyDescent="0.25">
      <c r="A20369">
        <v>11622</v>
      </c>
      <c r="B20369" t="s">
        <v>23872</v>
      </c>
      <c r="C20369" t="s">
        <v>2542</v>
      </c>
      <c r="D20369" s="254">
        <v>67.180000000000007</v>
      </c>
      <c r="E20369"/>
      <c r="F20369"/>
      <c r="G20369"/>
      <c r="H20369"/>
      <c r="I20369" s="489"/>
    </row>
    <row r="20370" spans="1:9" x14ac:dyDescent="0.25">
      <c r="A20370">
        <v>43143</v>
      </c>
      <c r="B20370" t="s">
        <v>23873</v>
      </c>
      <c r="C20370" t="s">
        <v>2543</v>
      </c>
      <c r="D20370" s="254">
        <v>25.37</v>
      </c>
      <c r="E20370"/>
      <c r="F20370"/>
      <c r="G20370"/>
      <c r="H20370"/>
      <c r="I20370" s="489"/>
    </row>
    <row r="20371" spans="1:9" x14ac:dyDescent="0.25">
      <c r="A20371">
        <v>7317</v>
      </c>
      <c r="B20371" t="s">
        <v>23874</v>
      </c>
      <c r="C20371" t="s">
        <v>2542</v>
      </c>
      <c r="D20371" s="254">
        <v>36.29</v>
      </c>
      <c r="E20371"/>
      <c r="F20371"/>
      <c r="G20371"/>
      <c r="H20371"/>
      <c r="I20371" s="489"/>
    </row>
    <row r="20372" spans="1:9" x14ac:dyDescent="0.25">
      <c r="A20372">
        <v>142</v>
      </c>
      <c r="B20372" t="s">
        <v>23875</v>
      </c>
      <c r="C20372" t="s">
        <v>2553</v>
      </c>
      <c r="D20372" s="254">
        <v>31.7</v>
      </c>
      <c r="E20372"/>
      <c r="F20372"/>
      <c r="G20372"/>
      <c r="H20372"/>
      <c r="I20372" s="489"/>
    </row>
    <row r="20373" spans="1:9" x14ac:dyDescent="0.25">
      <c r="A20373">
        <v>43142</v>
      </c>
      <c r="B20373" t="s">
        <v>23876</v>
      </c>
      <c r="C20373" t="s">
        <v>2543</v>
      </c>
      <c r="D20373" s="254">
        <v>143.99</v>
      </c>
      <c r="E20373"/>
      <c r="F20373"/>
      <c r="G20373"/>
      <c r="H20373"/>
      <c r="I20373" s="489"/>
    </row>
    <row r="20374" spans="1:9" x14ac:dyDescent="0.25">
      <c r="A20374">
        <v>38123</v>
      </c>
      <c r="B20374" t="s">
        <v>23877</v>
      </c>
      <c r="C20374" t="s">
        <v>2542</v>
      </c>
      <c r="D20374" s="254">
        <v>44.95</v>
      </c>
      <c r="E20374"/>
      <c r="F20374"/>
      <c r="G20374"/>
      <c r="H20374"/>
      <c r="I20374" s="489"/>
    </row>
    <row r="20375" spans="1:9" x14ac:dyDescent="0.25">
      <c r="A20375">
        <v>42701</v>
      </c>
      <c r="B20375" t="s">
        <v>23878</v>
      </c>
      <c r="C20375" t="s">
        <v>2537</v>
      </c>
      <c r="D20375" s="254">
        <v>60.47</v>
      </c>
      <c r="E20375"/>
      <c r="F20375"/>
      <c r="G20375"/>
      <c r="H20375"/>
      <c r="I20375" s="489"/>
    </row>
    <row r="20376" spans="1:9" x14ac:dyDescent="0.25">
      <c r="A20376">
        <v>42702</v>
      </c>
      <c r="B20376" t="s">
        <v>23879</v>
      </c>
      <c r="C20376" t="s">
        <v>2537</v>
      </c>
      <c r="D20376" s="254">
        <v>107.46</v>
      </c>
      <c r="E20376"/>
      <c r="F20376"/>
      <c r="G20376"/>
      <c r="H20376"/>
      <c r="I20376" s="489"/>
    </row>
    <row r="20377" spans="1:9" x14ac:dyDescent="0.25">
      <c r="A20377">
        <v>37955</v>
      </c>
      <c r="B20377" t="s">
        <v>23880</v>
      </c>
      <c r="C20377" t="s">
        <v>2537</v>
      </c>
      <c r="D20377" s="254">
        <v>139.26</v>
      </c>
      <c r="E20377"/>
      <c r="F20377"/>
      <c r="G20377"/>
      <c r="H20377"/>
      <c r="I20377" s="489"/>
    </row>
    <row r="20378" spans="1:9" x14ac:dyDescent="0.25">
      <c r="A20378">
        <v>42699</v>
      </c>
      <c r="B20378" t="s">
        <v>23881</v>
      </c>
      <c r="C20378" t="s">
        <v>2537</v>
      </c>
      <c r="D20378" s="254">
        <v>36.94</v>
      </c>
      <c r="E20378"/>
      <c r="F20378"/>
      <c r="G20378"/>
      <c r="H20378"/>
      <c r="I20378" s="489"/>
    </row>
    <row r="20379" spans="1:9" x14ac:dyDescent="0.25">
      <c r="A20379">
        <v>42700</v>
      </c>
      <c r="B20379" t="s">
        <v>23882</v>
      </c>
      <c r="C20379" t="s">
        <v>2537</v>
      </c>
      <c r="D20379" s="254">
        <v>105.31</v>
      </c>
      <c r="E20379"/>
      <c r="F20379"/>
      <c r="G20379"/>
      <c r="H20379"/>
      <c r="I20379" s="489"/>
    </row>
    <row r="20380" spans="1:9" x14ac:dyDescent="0.25">
      <c r="A20380">
        <v>37743</v>
      </c>
      <c r="B20380" t="s">
        <v>23883</v>
      </c>
      <c r="C20380" t="s">
        <v>2537</v>
      </c>
      <c r="D20380" s="254">
        <v>203204.33</v>
      </c>
      <c r="E20380"/>
      <c r="F20380"/>
      <c r="G20380"/>
      <c r="H20380"/>
      <c r="I20380" s="489"/>
    </row>
    <row r="20381" spans="1:9" x14ac:dyDescent="0.25">
      <c r="A20381">
        <v>37744</v>
      </c>
      <c r="B20381" t="s">
        <v>23884</v>
      </c>
      <c r="C20381" t="s">
        <v>2537</v>
      </c>
      <c r="D20381" s="254">
        <v>238930.07</v>
      </c>
      <c r="E20381"/>
      <c r="F20381"/>
      <c r="G20381"/>
      <c r="H20381"/>
      <c r="I20381" s="489"/>
    </row>
    <row r="20382" spans="1:9" x14ac:dyDescent="0.25">
      <c r="A20382">
        <v>37741</v>
      </c>
      <c r="B20382" t="s">
        <v>23885</v>
      </c>
      <c r="C20382" t="s">
        <v>2537</v>
      </c>
      <c r="D20382" s="254">
        <v>184772.58</v>
      </c>
      <c r="E20382"/>
      <c r="F20382"/>
      <c r="G20382"/>
      <c r="H20382"/>
      <c r="I20382" s="489"/>
    </row>
    <row r="20383" spans="1:9" x14ac:dyDescent="0.25">
      <c r="A20383">
        <v>39396</v>
      </c>
      <c r="B20383" t="s">
        <v>23886</v>
      </c>
      <c r="C20383" t="s">
        <v>2537</v>
      </c>
      <c r="D20383" s="254">
        <v>77.099999999999994</v>
      </c>
      <c r="E20383"/>
      <c r="F20383"/>
      <c r="G20383"/>
      <c r="H20383"/>
      <c r="I20383" s="489"/>
    </row>
    <row r="20384" spans="1:9" x14ac:dyDescent="0.25">
      <c r="A20384">
        <v>39392</v>
      </c>
      <c r="B20384" t="s">
        <v>23887</v>
      </c>
      <c r="C20384" t="s">
        <v>2537</v>
      </c>
      <c r="D20384" s="254">
        <v>86.97</v>
      </c>
      <c r="E20384"/>
      <c r="F20384"/>
      <c r="G20384"/>
      <c r="H20384"/>
      <c r="I20384" s="489"/>
    </row>
    <row r="20385" spans="1:9" x14ac:dyDescent="0.25">
      <c r="A20385">
        <v>39393</v>
      </c>
      <c r="B20385" t="s">
        <v>23888</v>
      </c>
      <c r="C20385" t="s">
        <v>2537</v>
      </c>
      <c r="D20385" s="254">
        <v>53.79</v>
      </c>
      <c r="E20385"/>
      <c r="F20385"/>
      <c r="G20385"/>
      <c r="H20385"/>
      <c r="I20385" s="489"/>
    </row>
    <row r="20386" spans="1:9" x14ac:dyDescent="0.25">
      <c r="A20386">
        <v>39394</v>
      </c>
      <c r="B20386" t="s">
        <v>23889</v>
      </c>
      <c r="C20386" t="s">
        <v>2537</v>
      </c>
      <c r="D20386" s="254">
        <v>60.54</v>
      </c>
      <c r="E20386"/>
      <c r="F20386"/>
      <c r="G20386"/>
      <c r="H20386"/>
      <c r="I20386" s="489"/>
    </row>
    <row r="20387" spans="1:9" x14ac:dyDescent="0.25">
      <c r="A20387">
        <v>39395</v>
      </c>
      <c r="B20387" t="s">
        <v>23890</v>
      </c>
      <c r="C20387" t="s">
        <v>2537</v>
      </c>
      <c r="D20387" s="254">
        <v>56.3</v>
      </c>
      <c r="E20387"/>
      <c r="F20387"/>
      <c r="G20387"/>
      <c r="H20387"/>
      <c r="I20387" s="489"/>
    </row>
    <row r="20388" spans="1:9" x14ac:dyDescent="0.25">
      <c r="A20388">
        <v>14618</v>
      </c>
      <c r="B20388" t="s">
        <v>23891</v>
      </c>
      <c r="C20388" t="s">
        <v>2537</v>
      </c>
      <c r="D20388" s="254">
        <v>1252.83</v>
      </c>
      <c r="E20388"/>
      <c r="F20388"/>
      <c r="G20388"/>
      <c r="H20388"/>
      <c r="I20388" s="489"/>
    </row>
    <row r="20389" spans="1:9" x14ac:dyDescent="0.25">
      <c r="A20389">
        <v>40269</v>
      </c>
      <c r="B20389" t="s">
        <v>23892</v>
      </c>
      <c r="C20389" t="s">
        <v>2537</v>
      </c>
      <c r="D20389" s="254">
        <v>5047.58</v>
      </c>
      <c r="E20389"/>
      <c r="F20389"/>
      <c r="G20389"/>
      <c r="H20389"/>
      <c r="I20389" s="489"/>
    </row>
    <row r="20390" spans="1:9" x14ac:dyDescent="0.25">
      <c r="A20390">
        <v>6110</v>
      </c>
      <c r="B20390" t="s">
        <v>23893</v>
      </c>
      <c r="C20390" t="s">
        <v>2538</v>
      </c>
      <c r="D20390" s="254">
        <v>26.64</v>
      </c>
      <c r="E20390"/>
      <c r="F20390"/>
      <c r="G20390"/>
      <c r="H20390"/>
      <c r="I20390" s="489"/>
    </row>
    <row r="20391" spans="1:9" x14ac:dyDescent="0.25">
      <c r="A20391">
        <v>40910</v>
      </c>
      <c r="B20391" t="s">
        <v>23894</v>
      </c>
      <c r="C20391" t="s">
        <v>2544</v>
      </c>
      <c r="D20391" s="254">
        <v>4700.3</v>
      </c>
      <c r="E20391"/>
      <c r="F20391"/>
      <c r="G20391"/>
      <c r="H20391"/>
      <c r="I20391" s="489"/>
    </row>
    <row r="20392" spans="1:9" x14ac:dyDescent="0.25">
      <c r="A20392">
        <v>6111</v>
      </c>
      <c r="B20392" t="s">
        <v>23895</v>
      </c>
      <c r="C20392" t="s">
        <v>2538</v>
      </c>
      <c r="D20392" s="254">
        <v>17.3</v>
      </c>
      <c r="E20392"/>
      <c r="F20392"/>
      <c r="G20392"/>
      <c r="H20392"/>
      <c r="I20392" s="489"/>
    </row>
    <row r="20393" spans="1:9" x14ac:dyDescent="0.25">
      <c r="A20393">
        <v>41084</v>
      </c>
      <c r="B20393" t="s">
        <v>23896</v>
      </c>
      <c r="C20393" t="s">
        <v>2544</v>
      </c>
      <c r="D20393" s="254">
        <v>3053.31</v>
      </c>
      <c r="E20393"/>
      <c r="F20393"/>
      <c r="G20393"/>
      <c r="H20393"/>
      <c r="I20393" s="489"/>
    </row>
    <row r="20394" spans="1:9" x14ac:dyDescent="0.25">
      <c r="A20394">
        <v>44535</v>
      </c>
      <c r="B20394" t="s">
        <v>23897</v>
      </c>
      <c r="C20394" t="s">
        <v>2540</v>
      </c>
      <c r="D20394" s="254">
        <v>49.14</v>
      </c>
      <c r="E20394"/>
      <c r="F20394"/>
      <c r="G20394"/>
      <c r="H20394"/>
      <c r="I20394" s="489"/>
    </row>
    <row r="20395" spans="1:9" x14ac:dyDescent="0.25">
      <c r="A20395">
        <v>44945</v>
      </c>
      <c r="B20395" t="s">
        <v>23898</v>
      </c>
      <c r="C20395" t="s">
        <v>2537</v>
      </c>
      <c r="D20395" s="254">
        <v>8.9</v>
      </c>
      <c r="E20395"/>
      <c r="F20395"/>
      <c r="G20395"/>
      <c r="H20395"/>
      <c r="I20395" s="489"/>
    </row>
    <row r="20396" spans="1:9" x14ac:dyDescent="0.25">
      <c r="A20396">
        <v>38637</v>
      </c>
      <c r="B20396" t="s">
        <v>23899</v>
      </c>
      <c r="C20396" t="s">
        <v>2537</v>
      </c>
      <c r="D20396" s="254">
        <v>274.27</v>
      </c>
      <c r="E20396"/>
      <c r="F20396"/>
      <c r="G20396"/>
      <c r="H20396"/>
      <c r="I20396" s="489"/>
    </row>
    <row r="20397" spans="1:9" x14ac:dyDescent="0.25">
      <c r="A20397">
        <v>6150</v>
      </c>
      <c r="B20397" t="s">
        <v>23900</v>
      </c>
      <c r="C20397" t="s">
        <v>2537</v>
      </c>
      <c r="D20397" s="254">
        <v>277.63</v>
      </c>
      <c r="E20397"/>
      <c r="F20397"/>
      <c r="G20397"/>
      <c r="H20397"/>
      <c r="I20397" s="489"/>
    </row>
    <row r="20398" spans="1:9" x14ac:dyDescent="0.25">
      <c r="A20398">
        <v>6136</v>
      </c>
      <c r="B20398" t="s">
        <v>23901</v>
      </c>
      <c r="C20398" t="s">
        <v>2537</v>
      </c>
      <c r="D20398" s="254">
        <v>218.23</v>
      </c>
      <c r="E20398"/>
      <c r="F20398"/>
      <c r="G20398"/>
      <c r="H20398"/>
      <c r="I20398" s="489"/>
    </row>
    <row r="20399" spans="1:9" x14ac:dyDescent="0.25">
      <c r="A20399">
        <v>38638</v>
      </c>
      <c r="B20399" t="s">
        <v>23902</v>
      </c>
      <c r="C20399" t="s">
        <v>2537</v>
      </c>
      <c r="D20399" s="254">
        <v>231.12</v>
      </c>
      <c r="E20399"/>
      <c r="F20399"/>
      <c r="G20399"/>
      <c r="H20399"/>
      <c r="I20399" s="489"/>
    </row>
    <row r="20400" spans="1:9" x14ac:dyDescent="0.25">
      <c r="A20400">
        <v>20262</v>
      </c>
      <c r="B20400" t="s">
        <v>23903</v>
      </c>
      <c r="C20400" t="s">
        <v>2537</v>
      </c>
      <c r="D20400" s="254">
        <v>16.3</v>
      </c>
      <c r="E20400"/>
      <c r="F20400"/>
      <c r="G20400"/>
      <c r="H20400"/>
      <c r="I20400" s="489"/>
    </row>
    <row r="20401" spans="1:9" x14ac:dyDescent="0.25">
      <c r="A20401">
        <v>6148</v>
      </c>
      <c r="B20401" t="s">
        <v>23904</v>
      </c>
      <c r="C20401" t="s">
        <v>2537</v>
      </c>
      <c r="D20401" s="254">
        <v>19.21</v>
      </c>
      <c r="E20401"/>
      <c r="F20401"/>
      <c r="G20401"/>
      <c r="H20401"/>
      <c r="I20401" s="489"/>
    </row>
    <row r="20402" spans="1:9" x14ac:dyDescent="0.25">
      <c r="A20402">
        <v>6145</v>
      </c>
      <c r="B20402" t="s">
        <v>23905</v>
      </c>
      <c r="C20402" t="s">
        <v>2537</v>
      </c>
      <c r="D20402" s="254">
        <v>18.010000000000002</v>
      </c>
      <c r="E20402"/>
      <c r="F20402"/>
      <c r="G20402"/>
      <c r="H20402"/>
      <c r="I20402" s="489"/>
    </row>
    <row r="20403" spans="1:9" x14ac:dyDescent="0.25">
      <c r="A20403">
        <v>6149</v>
      </c>
      <c r="B20403" t="s">
        <v>23906</v>
      </c>
      <c r="C20403" t="s">
        <v>2537</v>
      </c>
      <c r="D20403" s="254">
        <v>11.9</v>
      </c>
      <c r="E20403"/>
      <c r="F20403"/>
      <c r="G20403"/>
      <c r="H20403"/>
      <c r="I20403" s="489"/>
    </row>
    <row r="20404" spans="1:9" x14ac:dyDescent="0.25">
      <c r="A20404">
        <v>6146</v>
      </c>
      <c r="B20404" t="s">
        <v>23907</v>
      </c>
      <c r="C20404" t="s">
        <v>2537</v>
      </c>
      <c r="D20404" s="254">
        <v>17.11</v>
      </c>
      <c r="E20404"/>
      <c r="F20404"/>
      <c r="G20404"/>
      <c r="H20404"/>
      <c r="I20404" s="489"/>
    </row>
    <row r="20405" spans="1:9" x14ac:dyDescent="0.25">
      <c r="A20405">
        <v>44536</v>
      </c>
      <c r="B20405" t="s">
        <v>23908</v>
      </c>
      <c r="C20405" t="s">
        <v>2542</v>
      </c>
      <c r="D20405" s="254">
        <v>2.66</v>
      </c>
      <c r="E20405"/>
      <c r="F20405"/>
      <c r="G20405"/>
      <c r="H20405"/>
      <c r="I20405" s="489"/>
    </row>
    <row r="20406" spans="1:9" x14ac:dyDescent="0.25">
      <c r="A20406">
        <v>39961</v>
      </c>
      <c r="B20406" t="s">
        <v>23909</v>
      </c>
      <c r="C20406" t="s">
        <v>2537</v>
      </c>
      <c r="D20406" s="254">
        <v>20.94</v>
      </c>
      <c r="E20406"/>
      <c r="F20406"/>
      <c r="G20406"/>
      <c r="H20406"/>
      <c r="I20406" s="489"/>
    </row>
    <row r="20407" spans="1:9" x14ac:dyDescent="0.25">
      <c r="A20407">
        <v>42433</v>
      </c>
      <c r="B20407" t="s">
        <v>23910</v>
      </c>
      <c r="C20407" t="s">
        <v>2537</v>
      </c>
      <c r="D20407" s="254">
        <v>4747</v>
      </c>
      <c r="E20407"/>
      <c r="F20407"/>
      <c r="G20407"/>
      <c r="H20407"/>
      <c r="I20407" s="489"/>
    </row>
    <row r="20408" spans="1:9" x14ac:dyDescent="0.25">
      <c r="A20408">
        <v>42434</v>
      </c>
      <c r="B20408" t="s">
        <v>23911</v>
      </c>
      <c r="C20408" t="s">
        <v>2537</v>
      </c>
      <c r="D20408" s="254">
        <v>5129.83</v>
      </c>
      <c r="E20408"/>
      <c r="F20408"/>
      <c r="G20408"/>
      <c r="H20408"/>
      <c r="I20408" s="489"/>
    </row>
    <row r="20409" spans="1:9" x14ac:dyDescent="0.25">
      <c r="A20409">
        <v>42435</v>
      </c>
      <c r="B20409" t="s">
        <v>23912</v>
      </c>
      <c r="C20409" t="s">
        <v>2537</v>
      </c>
      <c r="D20409" s="254">
        <v>2558.0500000000002</v>
      </c>
      <c r="E20409"/>
      <c r="F20409"/>
      <c r="G20409"/>
      <c r="H20409"/>
      <c r="I20409" s="489"/>
    </row>
    <row r="20410" spans="1:9" x14ac:dyDescent="0.25">
      <c r="A20410">
        <v>38061</v>
      </c>
      <c r="B20410" t="s">
        <v>23913</v>
      </c>
      <c r="C20410" t="s">
        <v>2537</v>
      </c>
      <c r="D20410" s="254">
        <v>48.02</v>
      </c>
      <c r="E20410"/>
      <c r="F20410"/>
      <c r="G20410"/>
      <c r="H20410"/>
      <c r="I20410" s="489"/>
    </row>
    <row r="20411" spans="1:9" x14ac:dyDescent="0.25">
      <c r="A20411">
        <v>20250</v>
      </c>
      <c r="B20411" t="s">
        <v>23914</v>
      </c>
      <c r="C20411" t="s">
        <v>2542</v>
      </c>
      <c r="D20411" s="254">
        <v>15.31</v>
      </c>
      <c r="E20411"/>
      <c r="F20411"/>
      <c r="G20411"/>
      <c r="H20411"/>
      <c r="I20411" s="489"/>
    </row>
    <row r="20412" spans="1:9" x14ac:dyDescent="0.25">
      <c r="A20412">
        <v>13388</v>
      </c>
      <c r="B20412" t="s">
        <v>23915</v>
      </c>
      <c r="C20412" t="s">
        <v>2542</v>
      </c>
      <c r="D20412" s="254">
        <v>193.2</v>
      </c>
      <c r="E20412"/>
      <c r="F20412"/>
      <c r="G20412"/>
      <c r="H20412"/>
      <c r="I20412" s="489"/>
    </row>
    <row r="20413" spans="1:9" x14ac:dyDescent="0.25">
      <c r="A20413">
        <v>39914</v>
      </c>
      <c r="B20413" t="s">
        <v>23916</v>
      </c>
      <c r="C20413" t="s">
        <v>2542</v>
      </c>
      <c r="D20413" s="254">
        <v>240</v>
      </c>
      <c r="E20413"/>
      <c r="F20413"/>
      <c r="G20413"/>
      <c r="H20413"/>
      <c r="I20413" s="489"/>
    </row>
    <row r="20414" spans="1:9" x14ac:dyDescent="0.25">
      <c r="A20414">
        <v>12732</v>
      </c>
      <c r="B20414" t="s">
        <v>23917</v>
      </c>
      <c r="C20414" t="s">
        <v>2537</v>
      </c>
      <c r="D20414" s="254">
        <v>276.93</v>
      </c>
      <c r="E20414"/>
      <c r="F20414"/>
      <c r="G20414"/>
      <c r="H20414"/>
      <c r="I20414" s="489"/>
    </row>
    <row r="20415" spans="1:9" x14ac:dyDescent="0.25">
      <c r="A20415">
        <v>6160</v>
      </c>
      <c r="B20415" t="s">
        <v>23918</v>
      </c>
      <c r="C20415" t="s">
        <v>2538</v>
      </c>
      <c r="D20415" s="254">
        <v>25.44</v>
      </c>
      <c r="E20415"/>
      <c r="F20415"/>
      <c r="G20415"/>
      <c r="H20415"/>
      <c r="I20415" s="489"/>
    </row>
    <row r="20416" spans="1:9" x14ac:dyDescent="0.25">
      <c r="A20416">
        <v>41087</v>
      </c>
      <c r="B20416" t="s">
        <v>23919</v>
      </c>
      <c r="C20416" t="s">
        <v>2544</v>
      </c>
      <c r="D20416" s="254">
        <v>4489.72</v>
      </c>
      <c r="E20416"/>
      <c r="F20416"/>
      <c r="G20416"/>
      <c r="H20416"/>
      <c r="I20416" s="489"/>
    </row>
    <row r="20417" spans="1:9" x14ac:dyDescent="0.25">
      <c r="A20417">
        <v>6166</v>
      </c>
      <c r="B20417" t="s">
        <v>23920</v>
      </c>
      <c r="C20417" t="s">
        <v>2538</v>
      </c>
      <c r="D20417" s="254">
        <v>20.37</v>
      </c>
      <c r="E20417"/>
      <c r="F20417"/>
      <c r="G20417"/>
      <c r="H20417"/>
      <c r="I20417" s="489"/>
    </row>
    <row r="20418" spans="1:9" x14ac:dyDescent="0.25">
      <c r="A20418">
        <v>41088</v>
      </c>
      <c r="B20418" t="s">
        <v>23921</v>
      </c>
      <c r="C20418" t="s">
        <v>2544</v>
      </c>
      <c r="D20418" s="254">
        <v>3597.71</v>
      </c>
      <c r="E20418"/>
      <c r="F20418"/>
      <c r="G20418"/>
      <c r="H20418"/>
      <c r="I20418" s="489"/>
    </row>
    <row r="20419" spans="1:9" x14ac:dyDescent="0.25">
      <c r="A20419">
        <v>20232</v>
      </c>
      <c r="B20419" t="s">
        <v>23922</v>
      </c>
      <c r="C20419" t="s">
        <v>2541</v>
      </c>
      <c r="D20419" s="254">
        <v>88.49</v>
      </c>
      <c r="E20419"/>
      <c r="F20419"/>
      <c r="G20419"/>
      <c r="H20419"/>
      <c r="I20419" s="489"/>
    </row>
    <row r="20420" spans="1:9" x14ac:dyDescent="0.25">
      <c r="A20420">
        <v>10856</v>
      </c>
      <c r="B20420" t="s">
        <v>23923</v>
      </c>
      <c r="C20420" t="s">
        <v>2541</v>
      </c>
      <c r="D20420" s="254">
        <v>114.78</v>
      </c>
      <c r="E20420"/>
      <c r="F20420"/>
      <c r="G20420"/>
      <c r="H20420"/>
      <c r="I20420" s="489"/>
    </row>
    <row r="20421" spans="1:9" x14ac:dyDescent="0.25">
      <c r="A20421">
        <v>4828</v>
      </c>
      <c r="B20421" t="s">
        <v>23924</v>
      </c>
      <c r="C20421" t="s">
        <v>2541</v>
      </c>
      <c r="D20421" s="254">
        <v>84.4</v>
      </c>
      <c r="E20421"/>
      <c r="F20421"/>
      <c r="G20421"/>
      <c r="H20421"/>
      <c r="I20421" s="489"/>
    </row>
    <row r="20422" spans="1:9" x14ac:dyDescent="0.25">
      <c r="A20422">
        <v>20249</v>
      </c>
      <c r="B20422" t="s">
        <v>23925</v>
      </c>
      <c r="C20422" t="s">
        <v>2541</v>
      </c>
      <c r="D20422" s="254">
        <v>46.22</v>
      </c>
      <c r="E20422"/>
      <c r="F20422"/>
      <c r="G20422"/>
      <c r="H20422"/>
      <c r="I20422" s="489"/>
    </row>
    <row r="20423" spans="1:9" x14ac:dyDescent="0.25">
      <c r="A20423">
        <v>11609</v>
      </c>
      <c r="B20423" t="s">
        <v>23926</v>
      </c>
      <c r="C20423" t="s">
        <v>2543</v>
      </c>
      <c r="D20423" s="254">
        <v>11.16</v>
      </c>
      <c r="E20423"/>
      <c r="F20423"/>
      <c r="G20423"/>
      <c r="H20423"/>
      <c r="I20423" s="489"/>
    </row>
    <row r="20424" spans="1:9" x14ac:dyDescent="0.25">
      <c r="A20424">
        <v>20083</v>
      </c>
      <c r="B20424" t="s">
        <v>23927</v>
      </c>
      <c r="C20424" t="s">
        <v>2537</v>
      </c>
      <c r="D20424" s="254">
        <v>82.03</v>
      </c>
      <c r="E20424"/>
      <c r="F20424"/>
      <c r="G20424"/>
      <c r="H20424"/>
      <c r="I20424" s="489"/>
    </row>
    <row r="20425" spans="1:9" x14ac:dyDescent="0.25">
      <c r="A20425">
        <v>10691</v>
      </c>
      <c r="B20425" t="s">
        <v>23928</v>
      </c>
      <c r="C20425" t="s">
        <v>2543</v>
      </c>
      <c r="D20425" s="254">
        <v>78.22</v>
      </c>
      <c r="E20425"/>
      <c r="F20425"/>
      <c r="G20425"/>
      <c r="H20425"/>
      <c r="I20425" s="489"/>
    </row>
    <row r="20426" spans="1:9" x14ac:dyDescent="0.25">
      <c r="A20426">
        <v>12295</v>
      </c>
      <c r="B20426" t="s">
        <v>23929</v>
      </c>
      <c r="C20426" t="s">
        <v>2537</v>
      </c>
      <c r="D20426" s="254">
        <v>3.84</v>
      </c>
      <c r="E20426"/>
      <c r="F20426"/>
      <c r="G20426"/>
      <c r="H20426"/>
      <c r="I20426" s="489"/>
    </row>
    <row r="20427" spans="1:9" x14ac:dyDescent="0.25">
      <c r="A20427">
        <v>12296</v>
      </c>
      <c r="B20427" t="s">
        <v>23930</v>
      </c>
      <c r="C20427" t="s">
        <v>2537</v>
      </c>
      <c r="D20427" s="254">
        <v>4.97</v>
      </c>
      <c r="E20427"/>
      <c r="F20427"/>
      <c r="G20427"/>
      <c r="H20427"/>
      <c r="I20427" s="489"/>
    </row>
    <row r="20428" spans="1:9" x14ac:dyDescent="0.25">
      <c r="A20428">
        <v>12294</v>
      </c>
      <c r="B20428" t="s">
        <v>23931</v>
      </c>
      <c r="C20428" t="s">
        <v>2537</v>
      </c>
      <c r="D20428" s="254">
        <v>11.93</v>
      </c>
      <c r="E20428"/>
      <c r="F20428"/>
      <c r="G20428"/>
      <c r="H20428"/>
      <c r="I20428" s="489"/>
    </row>
    <row r="20429" spans="1:9" x14ac:dyDescent="0.25">
      <c r="A20429">
        <v>14543</v>
      </c>
      <c r="B20429" t="s">
        <v>23932</v>
      </c>
      <c r="C20429" t="s">
        <v>2537</v>
      </c>
      <c r="D20429" s="254">
        <v>8.52</v>
      </c>
      <c r="E20429"/>
      <c r="F20429"/>
      <c r="G20429"/>
      <c r="H20429"/>
      <c r="I20429" s="489"/>
    </row>
    <row r="20430" spans="1:9" x14ac:dyDescent="0.25">
      <c r="A20430">
        <v>13329</v>
      </c>
      <c r="B20430" t="s">
        <v>23933</v>
      </c>
      <c r="C20430" t="s">
        <v>2537</v>
      </c>
      <c r="D20430" s="254">
        <v>5</v>
      </c>
      <c r="E20430"/>
      <c r="F20430"/>
      <c r="G20430"/>
      <c r="H20430"/>
      <c r="I20430" s="489"/>
    </row>
    <row r="20431" spans="1:9" x14ac:dyDescent="0.25">
      <c r="A20431">
        <v>21047</v>
      </c>
      <c r="B20431" t="s">
        <v>23934</v>
      </c>
      <c r="C20431" t="s">
        <v>2537</v>
      </c>
      <c r="D20431" s="254">
        <v>37.06</v>
      </c>
      <c r="E20431"/>
      <c r="F20431"/>
      <c r="G20431"/>
      <c r="H20431"/>
      <c r="I20431" s="489"/>
    </row>
    <row r="20432" spans="1:9" x14ac:dyDescent="0.25">
      <c r="A20432">
        <v>21042</v>
      </c>
      <c r="B20432" t="s">
        <v>23935</v>
      </c>
      <c r="C20432" t="s">
        <v>2537</v>
      </c>
      <c r="D20432" s="254">
        <v>28.56</v>
      </c>
      <c r="E20432"/>
      <c r="F20432"/>
      <c r="G20432"/>
      <c r="H20432"/>
      <c r="I20432" s="489"/>
    </row>
    <row r="20433" spans="1:9" x14ac:dyDescent="0.25">
      <c r="A20433">
        <v>21043</v>
      </c>
      <c r="B20433" t="s">
        <v>23936</v>
      </c>
      <c r="C20433" t="s">
        <v>2537</v>
      </c>
      <c r="D20433" s="254">
        <v>36.08</v>
      </c>
      <c r="E20433"/>
      <c r="F20433"/>
      <c r="G20433"/>
      <c r="H20433"/>
      <c r="I20433" s="489"/>
    </row>
    <row r="20434" spans="1:9" x14ac:dyDescent="0.25">
      <c r="A20434">
        <v>21044</v>
      </c>
      <c r="B20434" t="s">
        <v>23937</v>
      </c>
      <c r="C20434" t="s">
        <v>2537</v>
      </c>
      <c r="D20434" s="254">
        <v>25.14</v>
      </c>
      <c r="E20434"/>
      <c r="F20434"/>
      <c r="G20434"/>
      <c r="H20434"/>
      <c r="I20434" s="489"/>
    </row>
    <row r="20435" spans="1:9" x14ac:dyDescent="0.25">
      <c r="A20435">
        <v>21045</v>
      </c>
      <c r="B20435" t="s">
        <v>23938</v>
      </c>
      <c r="C20435" t="s">
        <v>2537</v>
      </c>
      <c r="D20435" s="254">
        <v>34.43</v>
      </c>
      <c r="E20435"/>
      <c r="F20435"/>
      <c r="G20435"/>
      <c r="H20435"/>
      <c r="I20435" s="489"/>
    </row>
    <row r="20436" spans="1:9" x14ac:dyDescent="0.25">
      <c r="A20436">
        <v>21041</v>
      </c>
      <c r="B20436" t="s">
        <v>23939</v>
      </c>
      <c r="C20436" t="s">
        <v>2537</v>
      </c>
      <c r="D20436" s="254">
        <v>29.69</v>
      </c>
      <c r="E20436"/>
      <c r="F20436"/>
      <c r="G20436"/>
      <c r="H20436"/>
      <c r="I20436" s="489"/>
    </row>
    <row r="20437" spans="1:9" x14ac:dyDescent="0.25">
      <c r="A20437">
        <v>21040</v>
      </c>
      <c r="B20437" t="s">
        <v>23940</v>
      </c>
      <c r="C20437" t="s">
        <v>2537</v>
      </c>
      <c r="D20437" s="254">
        <v>24.6</v>
      </c>
      <c r="E20437"/>
      <c r="F20437"/>
      <c r="G20437"/>
      <c r="H20437"/>
      <c r="I20437" s="489"/>
    </row>
    <row r="20438" spans="1:9" x14ac:dyDescent="0.25">
      <c r="A20438">
        <v>14149</v>
      </c>
      <c r="B20438" t="s">
        <v>23941</v>
      </c>
      <c r="C20438" t="s">
        <v>2551</v>
      </c>
      <c r="D20438" s="254">
        <v>190.4</v>
      </c>
      <c r="E20438"/>
      <c r="F20438"/>
      <c r="G20438"/>
      <c r="H20438"/>
      <c r="I20438" s="489"/>
    </row>
    <row r="20439" spans="1:9" x14ac:dyDescent="0.25">
      <c r="A20439">
        <v>38099</v>
      </c>
      <c r="B20439" t="s">
        <v>23942</v>
      </c>
      <c r="C20439" t="s">
        <v>2537</v>
      </c>
      <c r="D20439" s="254">
        <v>1.58</v>
      </c>
      <c r="E20439"/>
      <c r="F20439"/>
      <c r="G20439"/>
      <c r="H20439"/>
      <c r="I20439" s="489"/>
    </row>
    <row r="20440" spans="1:9" x14ac:dyDescent="0.25">
      <c r="A20440">
        <v>38100</v>
      </c>
      <c r="B20440" t="s">
        <v>23943</v>
      </c>
      <c r="C20440" t="s">
        <v>2537</v>
      </c>
      <c r="D20440" s="254">
        <v>2.58</v>
      </c>
      <c r="E20440"/>
      <c r="F20440"/>
      <c r="G20440"/>
      <c r="H20440"/>
      <c r="I20440" s="489"/>
    </row>
    <row r="20441" spans="1:9" x14ac:dyDescent="0.25">
      <c r="A20441">
        <v>20061</v>
      </c>
      <c r="B20441" t="s">
        <v>23944</v>
      </c>
      <c r="C20441" t="s">
        <v>2537</v>
      </c>
      <c r="D20441" s="254">
        <v>3.9</v>
      </c>
      <c r="E20441"/>
      <c r="F20441"/>
      <c r="G20441"/>
      <c r="H20441"/>
      <c r="I20441" s="489"/>
    </row>
    <row r="20442" spans="1:9" x14ac:dyDescent="0.25">
      <c r="A20442">
        <v>7576</v>
      </c>
      <c r="B20442" t="s">
        <v>23945</v>
      </c>
      <c r="C20442" t="s">
        <v>2537</v>
      </c>
      <c r="D20442" s="254">
        <v>301.07</v>
      </c>
      <c r="E20442"/>
      <c r="F20442"/>
      <c r="G20442"/>
      <c r="H20442"/>
      <c r="I20442" s="489"/>
    </row>
    <row r="20443" spans="1:9" x14ac:dyDescent="0.25">
      <c r="A20443">
        <v>3384</v>
      </c>
      <c r="B20443" t="s">
        <v>23946</v>
      </c>
      <c r="C20443" t="s">
        <v>2537</v>
      </c>
      <c r="D20443" s="254">
        <v>7.79</v>
      </c>
      <c r="E20443"/>
      <c r="F20443"/>
      <c r="G20443"/>
      <c r="H20443"/>
      <c r="I20443" s="489"/>
    </row>
    <row r="20444" spans="1:9" x14ac:dyDescent="0.25">
      <c r="A20444">
        <v>7572</v>
      </c>
      <c r="B20444" t="s">
        <v>23947</v>
      </c>
      <c r="C20444" t="s">
        <v>2537</v>
      </c>
      <c r="D20444" s="254">
        <v>7.85</v>
      </c>
      <c r="E20444"/>
      <c r="F20444"/>
      <c r="G20444"/>
      <c r="H20444"/>
      <c r="I20444" s="489"/>
    </row>
    <row r="20445" spans="1:9" x14ac:dyDescent="0.25">
      <c r="A20445">
        <v>3396</v>
      </c>
      <c r="B20445" t="s">
        <v>23948</v>
      </c>
      <c r="C20445" t="s">
        <v>2537</v>
      </c>
      <c r="D20445" s="254">
        <v>5.31</v>
      </c>
      <c r="E20445"/>
      <c r="F20445"/>
      <c r="G20445"/>
      <c r="H20445"/>
      <c r="I20445" s="489"/>
    </row>
    <row r="20446" spans="1:9" x14ac:dyDescent="0.25">
      <c r="A20446">
        <v>37590</v>
      </c>
      <c r="B20446" t="s">
        <v>23949</v>
      </c>
      <c r="C20446" t="s">
        <v>2537</v>
      </c>
      <c r="D20446" s="254">
        <v>28.16</v>
      </c>
      <c r="E20446"/>
      <c r="F20446"/>
      <c r="G20446"/>
      <c r="H20446"/>
      <c r="I20446" s="489"/>
    </row>
    <row r="20447" spans="1:9" x14ac:dyDescent="0.25">
      <c r="A20447">
        <v>37591</v>
      </c>
      <c r="B20447" t="s">
        <v>23950</v>
      </c>
      <c r="C20447" t="s">
        <v>2537</v>
      </c>
      <c r="D20447" s="254">
        <v>33.85</v>
      </c>
      <c r="E20447"/>
      <c r="F20447"/>
      <c r="G20447"/>
      <c r="H20447"/>
      <c r="I20447" s="489"/>
    </row>
    <row r="20448" spans="1:9" x14ac:dyDescent="0.25">
      <c r="A20448">
        <v>12626</v>
      </c>
      <c r="B20448" t="s">
        <v>23951</v>
      </c>
      <c r="C20448" t="s">
        <v>2537</v>
      </c>
      <c r="D20448" s="254">
        <v>18.71</v>
      </c>
      <c r="E20448"/>
      <c r="F20448"/>
      <c r="G20448"/>
      <c r="H20448"/>
      <c r="I20448" s="489"/>
    </row>
    <row r="20449" spans="1:9" x14ac:dyDescent="0.25">
      <c r="A20449">
        <v>11033</v>
      </c>
      <c r="B20449" t="s">
        <v>23952</v>
      </c>
      <c r="C20449" t="s">
        <v>2537</v>
      </c>
      <c r="D20449" s="254">
        <v>7.8</v>
      </c>
      <c r="E20449"/>
      <c r="F20449"/>
      <c r="G20449"/>
      <c r="H20449"/>
      <c r="I20449" s="489"/>
    </row>
    <row r="20450" spans="1:9" x14ac:dyDescent="0.25">
      <c r="A20450">
        <v>390</v>
      </c>
      <c r="B20450" t="s">
        <v>23953</v>
      </c>
      <c r="C20450" t="s">
        <v>2537</v>
      </c>
      <c r="D20450" s="254">
        <v>9.6</v>
      </c>
      <c r="E20450"/>
      <c r="F20450"/>
      <c r="G20450"/>
      <c r="H20450"/>
      <c r="I20450" s="489"/>
    </row>
    <row r="20451" spans="1:9" x14ac:dyDescent="0.25">
      <c r="A20451">
        <v>42436</v>
      </c>
      <c r="B20451" t="s">
        <v>23954</v>
      </c>
      <c r="C20451" t="s">
        <v>2537</v>
      </c>
      <c r="D20451" s="254">
        <v>2677.55</v>
      </c>
      <c r="E20451"/>
      <c r="F20451"/>
      <c r="G20451"/>
      <c r="H20451"/>
      <c r="I20451" s="489"/>
    </row>
    <row r="20452" spans="1:9" x14ac:dyDescent="0.25">
      <c r="A20452">
        <v>6193</v>
      </c>
      <c r="B20452" t="s">
        <v>23955</v>
      </c>
      <c r="C20452" t="s">
        <v>2541</v>
      </c>
      <c r="D20452" s="254">
        <v>26.85</v>
      </c>
      <c r="E20452"/>
      <c r="F20452"/>
      <c r="G20452"/>
      <c r="H20452"/>
      <c r="I20452" s="489"/>
    </row>
    <row r="20453" spans="1:9" x14ac:dyDescent="0.25">
      <c r="A20453">
        <v>6194</v>
      </c>
      <c r="B20453" t="s">
        <v>23956</v>
      </c>
      <c r="C20453" t="s">
        <v>2541</v>
      </c>
      <c r="D20453" s="254">
        <v>5.79</v>
      </c>
      <c r="E20453"/>
      <c r="F20453"/>
      <c r="G20453"/>
      <c r="H20453"/>
      <c r="I20453" s="489"/>
    </row>
    <row r="20454" spans="1:9" x14ac:dyDescent="0.25">
      <c r="A20454">
        <v>10567</v>
      </c>
      <c r="B20454" t="s">
        <v>23957</v>
      </c>
      <c r="C20454" t="s">
        <v>2541</v>
      </c>
      <c r="D20454" s="254">
        <v>9.17</v>
      </c>
      <c r="E20454"/>
      <c r="F20454"/>
      <c r="G20454"/>
      <c r="H20454"/>
      <c r="I20454" s="489"/>
    </row>
    <row r="20455" spans="1:9" x14ac:dyDescent="0.25">
      <c r="A20455">
        <v>6212</v>
      </c>
      <c r="B20455" t="s">
        <v>23958</v>
      </c>
      <c r="C20455" t="s">
        <v>2541</v>
      </c>
      <c r="D20455" s="254">
        <v>13.46</v>
      </c>
      <c r="E20455"/>
      <c r="F20455"/>
      <c r="G20455"/>
      <c r="H20455"/>
      <c r="I20455" s="489"/>
    </row>
    <row r="20456" spans="1:9" x14ac:dyDescent="0.25">
      <c r="A20456">
        <v>3993</v>
      </c>
      <c r="B20456" t="s">
        <v>23959</v>
      </c>
      <c r="C20456" t="s">
        <v>2539</v>
      </c>
      <c r="D20456" s="254">
        <v>173.54</v>
      </c>
      <c r="E20456"/>
      <c r="F20456"/>
      <c r="G20456"/>
      <c r="H20456"/>
      <c r="I20456" s="489"/>
    </row>
    <row r="20457" spans="1:9" x14ac:dyDescent="0.25">
      <c r="A20457">
        <v>3990</v>
      </c>
      <c r="B20457" t="s">
        <v>23960</v>
      </c>
      <c r="C20457" t="s">
        <v>2541</v>
      </c>
      <c r="D20457" s="254">
        <v>32.65</v>
      </c>
      <c r="E20457"/>
      <c r="F20457"/>
      <c r="G20457"/>
      <c r="H20457"/>
      <c r="I20457" s="489"/>
    </row>
    <row r="20458" spans="1:9" x14ac:dyDescent="0.25">
      <c r="A20458">
        <v>3992</v>
      </c>
      <c r="B20458" t="s">
        <v>23961</v>
      </c>
      <c r="C20458" t="s">
        <v>2541</v>
      </c>
      <c r="D20458" s="254">
        <v>44.08</v>
      </c>
      <c r="E20458"/>
      <c r="F20458"/>
      <c r="G20458"/>
      <c r="H20458"/>
      <c r="I20458" s="489"/>
    </row>
    <row r="20459" spans="1:9" x14ac:dyDescent="0.25">
      <c r="A20459">
        <v>6178</v>
      </c>
      <c r="B20459" t="s">
        <v>23962</v>
      </c>
      <c r="C20459" t="s">
        <v>2539</v>
      </c>
      <c r="D20459" s="254">
        <v>175.58</v>
      </c>
      <c r="E20459"/>
      <c r="F20459"/>
      <c r="G20459"/>
      <c r="H20459"/>
      <c r="I20459" s="489"/>
    </row>
    <row r="20460" spans="1:9" x14ac:dyDescent="0.25">
      <c r="A20460">
        <v>6180</v>
      </c>
      <c r="B20460" t="s">
        <v>23963</v>
      </c>
      <c r="C20460" t="s">
        <v>2539</v>
      </c>
      <c r="D20460" s="254">
        <v>189.5</v>
      </c>
      <c r="E20460"/>
      <c r="F20460"/>
      <c r="G20460"/>
      <c r="H20460"/>
      <c r="I20460" s="489"/>
    </row>
    <row r="20461" spans="1:9" x14ac:dyDescent="0.25">
      <c r="A20461">
        <v>6182</v>
      </c>
      <c r="B20461" t="s">
        <v>23964</v>
      </c>
      <c r="C20461" t="s">
        <v>2539</v>
      </c>
      <c r="D20461" s="254">
        <v>235.21</v>
      </c>
      <c r="E20461"/>
      <c r="F20461"/>
      <c r="G20461"/>
      <c r="H20461"/>
      <c r="I20461" s="489"/>
    </row>
    <row r="20462" spans="1:9" x14ac:dyDescent="0.25">
      <c r="A20462">
        <v>43614</v>
      </c>
      <c r="B20462" t="s">
        <v>23965</v>
      </c>
      <c r="C20462" t="s">
        <v>2541</v>
      </c>
      <c r="D20462" s="254">
        <v>22.06</v>
      </c>
      <c r="E20462"/>
      <c r="F20462"/>
      <c r="G20462"/>
      <c r="H20462"/>
      <c r="I20462" s="489"/>
    </row>
    <row r="20463" spans="1:9" x14ac:dyDescent="0.25">
      <c r="A20463">
        <v>6189</v>
      </c>
      <c r="B20463" t="s">
        <v>23966</v>
      </c>
      <c r="C20463" t="s">
        <v>2541</v>
      </c>
      <c r="D20463" s="254">
        <v>39.19</v>
      </c>
      <c r="E20463"/>
      <c r="F20463"/>
      <c r="G20463"/>
      <c r="H20463"/>
      <c r="I20463" s="489"/>
    </row>
    <row r="20464" spans="1:9" x14ac:dyDescent="0.25">
      <c r="A20464">
        <v>6214</v>
      </c>
      <c r="B20464" t="s">
        <v>23967</v>
      </c>
      <c r="C20464" t="s">
        <v>2539</v>
      </c>
      <c r="D20464" s="254">
        <v>109.98</v>
      </c>
      <c r="E20464"/>
      <c r="F20464"/>
      <c r="G20464"/>
      <c r="H20464"/>
      <c r="I20464" s="489"/>
    </row>
    <row r="20465" spans="1:9" x14ac:dyDescent="0.25">
      <c r="A20465">
        <v>36153</v>
      </c>
      <c r="B20465" t="s">
        <v>23968</v>
      </c>
      <c r="C20465" t="s">
        <v>2537</v>
      </c>
      <c r="D20465" s="254">
        <v>199.28</v>
      </c>
      <c r="E20465"/>
      <c r="F20465"/>
      <c r="G20465"/>
      <c r="H20465"/>
      <c r="I20465" s="489"/>
    </row>
    <row r="20466" spans="1:9" x14ac:dyDescent="0.25">
      <c r="A20466">
        <v>10740</v>
      </c>
      <c r="B20466" t="s">
        <v>23969</v>
      </c>
      <c r="C20466" t="s">
        <v>2537</v>
      </c>
      <c r="D20466" s="254">
        <v>11233.88</v>
      </c>
      <c r="E20466"/>
      <c r="F20466"/>
      <c r="G20466"/>
      <c r="H20466"/>
      <c r="I20466" s="489"/>
    </row>
    <row r="20467" spans="1:9" x14ac:dyDescent="0.25">
      <c r="A20467">
        <v>13914</v>
      </c>
      <c r="B20467" t="s">
        <v>23970</v>
      </c>
      <c r="C20467" t="s">
        <v>2537</v>
      </c>
      <c r="D20467" s="254">
        <v>812.81</v>
      </c>
      <c r="E20467"/>
      <c r="F20467"/>
      <c r="G20467"/>
      <c r="H20467"/>
      <c r="I20467" s="489"/>
    </row>
    <row r="20468" spans="1:9" x14ac:dyDescent="0.25">
      <c r="A20468">
        <v>10742</v>
      </c>
      <c r="B20468" t="s">
        <v>23971</v>
      </c>
      <c r="C20468" t="s">
        <v>2537</v>
      </c>
      <c r="D20468" s="254">
        <v>1185.5</v>
      </c>
      <c r="E20468"/>
      <c r="F20468"/>
      <c r="G20468"/>
      <c r="H20468"/>
      <c r="I20468" s="489"/>
    </row>
    <row r="20469" spans="1:9" x14ac:dyDescent="0.25">
      <c r="A20469">
        <v>38465</v>
      </c>
      <c r="B20469" t="s">
        <v>23972</v>
      </c>
      <c r="C20469" t="s">
        <v>2537</v>
      </c>
      <c r="D20469" s="254">
        <v>31.74</v>
      </c>
      <c r="E20469"/>
      <c r="F20469"/>
      <c r="G20469"/>
      <c r="H20469"/>
      <c r="I20469" s="489"/>
    </row>
    <row r="20470" spans="1:9" x14ac:dyDescent="0.25">
      <c r="A20470">
        <v>7543</v>
      </c>
      <c r="B20470" t="s">
        <v>23973</v>
      </c>
      <c r="C20470" t="s">
        <v>2537</v>
      </c>
      <c r="D20470" s="254">
        <v>5.45</v>
      </c>
      <c r="E20470"/>
      <c r="F20470"/>
      <c r="G20470"/>
      <c r="H20470"/>
      <c r="I20470" s="489"/>
    </row>
    <row r="20471" spans="1:9" x14ac:dyDescent="0.25">
      <c r="A20471">
        <v>43427</v>
      </c>
      <c r="B20471" t="s">
        <v>23974</v>
      </c>
      <c r="C20471" t="s">
        <v>2537</v>
      </c>
      <c r="D20471" s="254">
        <v>1702.05</v>
      </c>
      <c r="E20471"/>
      <c r="F20471"/>
      <c r="G20471"/>
      <c r="H20471"/>
      <c r="I20471" s="489"/>
    </row>
    <row r="20472" spans="1:9" x14ac:dyDescent="0.25">
      <c r="A20472">
        <v>41613</v>
      </c>
      <c r="B20472" t="s">
        <v>23975</v>
      </c>
      <c r="C20472" t="s">
        <v>2537</v>
      </c>
      <c r="D20472" s="254">
        <v>109.41</v>
      </c>
      <c r="E20472"/>
      <c r="F20472"/>
      <c r="G20472"/>
      <c r="H20472"/>
      <c r="I20472" s="489"/>
    </row>
    <row r="20473" spans="1:9" x14ac:dyDescent="0.25">
      <c r="A20473">
        <v>41614</v>
      </c>
      <c r="B20473" t="s">
        <v>23976</v>
      </c>
      <c r="C20473" t="s">
        <v>2537</v>
      </c>
      <c r="D20473" s="254">
        <v>139.41</v>
      </c>
      <c r="E20473"/>
      <c r="F20473"/>
      <c r="G20473"/>
      <c r="H20473"/>
      <c r="I20473" s="489"/>
    </row>
    <row r="20474" spans="1:9" x14ac:dyDescent="0.25">
      <c r="A20474">
        <v>41615</v>
      </c>
      <c r="B20474" t="s">
        <v>23977</v>
      </c>
      <c r="C20474" t="s">
        <v>2537</v>
      </c>
      <c r="D20474" s="254">
        <v>215.47</v>
      </c>
      <c r="E20474"/>
      <c r="F20474"/>
      <c r="G20474"/>
      <c r="H20474"/>
      <c r="I20474" s="489"/>
    </row>
    <row r="20475" spans="1:9" x14ac:dyDescent="0.25">
      <c r="A20475">
        <v>41616</v>
      </c>
      <c r="B20475" t="s">
        <v>23978</v>
      </c>
      <c r="C20475" t="s">
        <v>2537</v>
      </c>
      <c r="D20475" s="254">
        <v>321.94</v>
      </c>
      <c r="E20475"/>
      <c r="F20475"/>
      <c r="G20475"/>
      <c r="H20475"/>
      <c r="I20475" s="489"/>
    </row>
    <row r="20476" spans="1:9" x14ac:dyDescent="0.25">
      <c r="A20476">
        <v>41617</v>
      </c>
      <c r="B20476" t="s">
        <v>23979</v>
      </c>
      <c r="C20476" t="s">
        <v>2537</v>
      </c>
      <c r="D20476" s="254">
        <v>640.14</v>
      </c>
      <c r="E20476"/>
      <c r="F20476"/>
      <c r="G20476"/>
      <c r="H20476"/>
      <c r="I20476" s="489"/>
    </row>
    <row r="20477" spans="1:9" x14ac:dyDescent="0.25">
      <c r="A20477">
        <v>41618</v>
      </c>
      <c r="B20477" t="s">
        <v>23980</v>
      </c>
      <c r="C20477" t="s">
        <v>2537</v>
      </c>
      <c r="D20477" s="254">
        <v>1178.47</v>
      </c>
      <c r="E20477"/>
      <c r="F20477"/>
      <c r="G20477"/>
      <c r="H20477"/>
      <c r="I20477" s="489"/>
    </row>
    <row r="20478" spans="1:9" x14ac:dyDescent="0.25">
      <c r="A20478">
        <v>43428</v>
      </c>
      <c r="B20478" t="s">
        <v>23981</v>
      </c>
      <c r="C20478" t="s">
        <v>2537</v>
      </c>
      <c r="D20478" s="254">
        <v>2070</v>
      </c>
      <c r="E20478"/>
      <c r="F20478"/>
      <c r="G20478"/>
      <c r="H20478"/>
      <c r="I20478" s="489"/>
    </row>
    <row r="20479" spans="1:9" x14ac:dyDescent="0.25">
      <c r="A20479">
        <v>41619</v>
      </c>
      <c r="B20479" t="s">
        <v>23982</v>
      </c>
      <c r="C20479" t="s">
        <v>2537</v>
      </c>
      <c r="D20479" s="254">
        <v>134.11000000000001</v>
      </c>
      <c r="E20479"/>
      <c r="F20479"/>
      <c r="G20479"/>
      <c r="H20479"/>
      <c r="I20479" s="489"/>
    </row>
    <row r="20480" spans="1:9" x14ac:dyDescent="0.25">
      <c r="A20480">
        <v>41620</v>
      </c>
      <c r="B20480" t="s">
        <v>23983</v>
      </c>
      <c r="C20480" t="s">
        <v>2537</v>
      </c>
      <c r="D20480" s="254">
        <v>169.41</v>
      </c>
      <c r="E20480"/>
      <c r="F20480"/>
      <c r="G20480"/>
      <c r="H20480"/>
      <c r="I20480" s="489"/>
    </row>
    <row r="20481" spans="1:9" x14ac:dyDescent="0.25">
      <c r="A20481">
        <v>41622</v>
      </c>
      <c r="B20481" t="s">
        <v>23984</v>
      </c>
      <c r="C20481" t="s">
        <v>2537</v>
      </c>
      <c r="D20481" s="254">
        <v>293.82</v>
      </c>
      <c r="E20481"/>
      <c r="F20481"/>
      <c r="G20481"/>
      <c r="H20481"/>
      <c r="I20481" s="489"/>
    </row>
    <row r="20482" spans="1:9" x14ac:dyDescent="0.25">
      <c r="A20482">
        <v>41623</v>
      </c>
      <c r="B20482" t="s">
        <v>23985</v>
      </c>
      <c r="C20482" t="s">
        <v>2537</v>
      </c>
      <c r="D20482" s="254">
        <v>451.76</v>
      </c>
      <c r="E20482"/>
      <c r="F20482"/>
      <c r="G20482"/>
      <c r="H20482"/>
      <c r="I20482" s="489"/>
    </row>
    <row r="20483" spans="1:9" x14ac:dyDescent="0.25">
      <c r="A20483">
        <v>41624</v>
      </c>
      <c r="B20483" t="s">
        <v>23986</v>
      </c>
      <c r="C20483" t="s">
        <v>2537</v>
      </c>
      <c r="D20483" s="254">
        <v>847.05</v>
      </c>
      <c r="E20483"/>
      <c r="F20483"/>
      <c r="G20483"/>
      <c r="H20483"/>
      <c r="I20483" s="489"/>
    </row>
    <row r="20484" spans="1:9" x14ac:dyDescent="0.25">
      <c r="A20484">
        <v>41625</v>
      </c>
      <c r="B20484" t="s">
        <v>23987</v>
      </c>
      <c r="C20484" t="s">
        <v>2537</v>
      </c>
      <c r="D20484" s="254">
        <v>1303.23</v>
      </c>
      <c r="E20484"/>
      <c r="F20484"/>
      <c r="G20484"/>
      <c r="H20484"/>
      <c r="I20484" s="489"/>
    </row>
    <row r="20485" spans="1:9" x14ac:dyDescent="0.25">
      <c r="A20485">
        <v>39352</v>
      </c>
      <c r="B20485" t="s">
        <v>23988</v>
      </c>
      <c r="C20485" t="s">
        <v>2537</v>
      </c>
      <c r="D20485" s="254">
        <v>3.37</v>
      </c>
      <c r="E20485"/>
      <c r="F20485"/>
      <c r="G20485"/>
      <c r="H20485"/>
      <c r="I20485" s="489"/>
    </row>
    <row r="20486" spans="1:9" x14ac:dyDescent="0.25">
      <c r="A20486">
        <v>39346</v>
      </c>
      <c r="B20486" t="s">
        <v>23989</v>
      </c>
      <c r="C20486" t="s">
        <v>2537</v>
      </c>
      <c r="D20486" s="254">
        <v>3.37</v>
      </c>
      <c r="E20486"/>
      <c r="F20486"/>
      <c r="G20486"/>
      <c r="H20486"/>
      <c r="I20486" s="489"/>
    </row>
    <row r="20487" spans="1:9" x14ac:dyDescent="0.25">
      <c r="A20487">
        <v>39350</v>
      </c>
      <c r="B20487" t="s">
        <v>23990</v>
      </c>
      <c r="C20487" t="s">
        <v>2537</v>
      </c>
      <c r="D20487" s="254">
        <v>3.62</v>
      </c>
      <c r="E20487"/>
      <c r="F20487"/>
      <c r="G20487"/>
      <c r="H20487"/>
      <c r="I20487" s="489"/>
    </row>
    <row r="20488" spans="1:9" x14ac:dyDescent="0.25">
      <c r="A20488">
        <v>39351</v>
      </c>
      <c r="B20488" t="s">
        <v>23991</v>
      </c>
      <c r="C20488" t="s">
        <v>2537</v>
      </c>
      <c r="D20488" s="254">
        <v>4.1900000000000004</v>
      </c>
      <c r="E20488"/>
      <c r="F20488"/>
      <c r="G20488"/>
      <c r="H20488"/>
      <c r="I20488" s="489"/>
    </row>
    <row r="20489" spans="1:9" x14ac:dyDescent="0.25">
      <c r="A20489">
        <v>38952</v>
      </c>
      <c r="B20489" t="s">
        <v>23992</v>
      </c>
      <c r="C20489" t="s">
        <v>2537</v>
      </c>
      <c r="D20489" s="254">
        <v>3.09</v>
      </c>
      <c r="E20489"/>
      <c r="F20489"/>
      <c r="G20489"/>
      <c r="H20489"/>
      <c r="I20489" s="489"/>
    </row>
    <row r="20490" spans="1:9" x14ac:dyDescent="0.25">
      <c r="A20490">
        <v>38953</v>
      </c>
      <c r="B20490" t="s">
        <v>23993</v>
      </c>
      <c r="C20490" t="s">
        <v>2537</v>
      </c>
      <c r="D20490" s="254">
        <v>4.87</v>
      </c>
      <c r="E20490"/>
      <c r="F20490"/>
      <c r="G20490"/>
      <c r="H20490"/>
      <c r="I20490" s="489"/>
    </row>
    <row r="20491" spans="1:9" x14ac:dyDescent="0.25">
      <c r="A20491">
        <v>38835</v>
      </c>
      <c r="B20491" t="s">
        <v>23994</v>
      </c>
      <c r="C20491" t="s">
        <v>2537</v>
      </c>
      <c r="D20491" s="254">
        <v>4.37</v>
      </c>
      <c r="E20491"/>
      <c r="F20491"/>
      <c r="G20491"/>
      <c r="H20491"/>
      <c r="I20491" s="489"/>
    </row>
    <row r="20492" spans="1:9" x14ac:dyDescent="0.25">
      <c r="A20492">
        <v>38837</v>
      </c>
      <c r="B20492" t="s">
        <v>23995</v>
      </c>
      <c r="C20492" t="s">
        <v>2537</v>
      </c>
      <c r="D20492" s="254">
        <v>11.37</v>
      </c>
      <c r="E20492"/>
      <c r="F20492"/>
      <c r="G20492"/>
      <c r="H20492"/>
      <c r="I20492" s="489"/>
    </row>
    <row r="20493" spans="1:9" x14ac:dyDescent="0.25">
      <c r="A20493">
        <v>38836</v>
      </c>
      <c r="B20493" t="s">
        <v>23996</v>
      </c>
      <c r="C20493" t="s">
        <v>2537</v>
      </c>
      <c r="D20493" s="254">
        <v>6.29</v>
      </c>
      <c r="E20493"/>
      <c r="F20493"/>
      <c r="G20493"/>
      <c r="H20493"/>
      <c r="I20493" s="489"/>
    </row>
    <row r="20494" spans="1:9" x14ac:dyDescent="0.25">
      <c r="A20494">
        <v>2666</v>
      </c>
      <c r="B20494" t="s">
        <v>23997</v>
      </c>
      <c r="C20494" t="s">
        <v>2537</v>
      </c>
      <c r="D20494" s="254">
        <v>6.97</v>
      </c>
      <c r="E20494"/>
      <c r="F20494"/>
      <c r="G20494"/>
      <c r="H20494"/>
      <c r="I20494" s="489"/>
    </row>
    <row r="20495" spans="1:9" x14ac:dyDescent="0.25">
      <c r="A20495">
        <v>2668</v>
      </c>
      <c r="B20495" t="s">
        <v>23998</v>
      </c>
      <c r="C20495" t="s">
        <v>2537</v>
      </c>
      <c r="D20495" s="254">
        <v>7.96</v>
      </c>
      <c r="E20495"/>
      <c r="F20495"/>
      <c r="G20495"/>
      <c r="H20495"/>
      <c r="I20495" s="489"/>
    </row>
    <row r="20496" spans="1:9" x14ac:dyDescent="0.25">
      <c r="A20496">
        <v>2664</v>
      </c>
      <c r="B20496" t="s">
        <v>23999</v>
      </c>
      <c r="C20496" t="s">
        <v>2537</v>
      </c>
      <c r="D20496" s="254">
        <v>11.74</v>
      </c>
      <c r="E20496"/>
      <c r="F20496"/>
      <c r="G20496"/>
      <c r="H20496"/>
      <c r="I20496" s="489"/>
    </row>
    <row r="20497" spans="1:9" x14ac:dyDescent="0.25">
      <c r="A20497">
        <v>2662</v>
      </c>
      <c r="B20497" t="s">
        <v>24000</v>
      </c>
      <c r="C20497" t="s">
        <v>2537</v>
      </c>
      <c r="D20497" s="254">
        <v>14.41</v>
      </c>
      <c r="E20497"/>
      <c r="F20497"/>
      <c r="G20497"/>
      <c r="H20497"/>
      <c r="I20497" s="489"/>
    </row>
    <row r="20498" spans="1:9" x14ac:dyDescent="0.25">
      <c r="A20498">
        <v>20964</v>
      </c>
      <c r="B20498" t="s">
        <v>24001</v>
      </c>
      <c r="C20498" t="s">
        <v>2537</v>
      </c>
      <c r="D20498" s="254">
        <v>42.93</v>
      </c>
      <c r="E20498"/>
      <c r="F20498"/>
      <c r="G20498"/>
      <c r="H20498"/>
      <c r="I20498" s="489"/>
    </row>
    <row r="20499" spans="1:9" x14ac:dyDescent="0.25">
      <c r="A20499">
        <v>10905</v>
      </c>
      <c r="B20499" t="s">
        <v>24002</v>
      </c>
      <c r="C20499" t="s">
        <v>2537</v>
      </c>
      <c r="D20499" s="254">
        <v>57.59</v>
      </c>
      <c r="E20499"/>
      <c r="F20499"/>
      <c r="G20499"/>
      <c r="H20499"/>
      <c r="I20499" s="489"/>
    </row>
    <row r="20500" spans="1:9" x14ac:dyDescent="0.25">
      <c r="A20500">
        <v>42703</v>
      </c>
      <c r="B20500" t="s">
        <v>24003</v>
      </c>
      <c r="C20500" t="s">
        <v>2537</v>
      </c>
      <c r="D20500" s="254">
        <v>118.34</v>
      </c>
      <c r="E20500"/>
      <c r="F20500"/>
      <c r="G20500"/>
      <c r="H20500"/>
      <c r="I20500" s="489"/>
    </row>
    <row r="20501" spans="1:9" x14ac:dyDescent="0.25">
      <c r="A20501">
        <v>42704</v>
      </c>
      <c r="B20501" t="s">
        <v>24004</v>
      </c>
      <c r="C20501" t="s">
        <v>2537</v>
      </c>
      <c r="D20501" s="254">
        <v>181.67</v>
      </c>
      <c r="E20501"/>
      <c r="F20501"/>
      <c r="G20501"/>
      <c r="H20501"/>
      <c r="I20501" s="489"/>
    </row>
    <row r="20502" spans="1:9" x14ac:dyDescent="0.25">
      <c r="A20502">
        <v>42705</v>
      </c>
      <c r="B20502" t="s">
        <v>24005</v>
      </c>
      <c r="C20502" t="s">
        <v>2537</v>
      </c>
      <c r="D20502" s="254">
        <v>231.78</v>
      </c>
      <c r="E20502"/>
      <c r="F20502"/>
      <c r="G20502"/>
      <c r="H20502"/>
      <c r="I20502" s="489"/>
    </row>
    <row r="20503" spans="1:9" x14ac:dyDescent="0.25">
      <c r="A20503">
        <v>42706</v>
      </c>
      <c r="B20503" t="s">
        <v>24006</v>
      </c>
      <c r="C20503" t="s">
        <v>2537</v>
      </c>
      <c r="D20503" s="254">
        <v>287.06</v>
      </c>
      <c r="E20503"/>
      <c r="F20503"/>
      <c r="G20503"/>
      <c r="H20503"/>
      <c r="I20503" s="489"/>
    </row>
    <row r="20504" spans="1:9" x14ac:dyDescent="0.25">
      <c r="A20504">
        <v>11289</v>
      </c>
      <c r="B20504" t="s">
        <v>24007</v>
      </c>
      <c r="C20504" t="s">
        <v>2537</v>
      </c>
      <c r="D20504" s="254">
        <v>103.31</v>
      </c>
      <c r="E20504"/>
      <c r="F20504"/>
      <c r="G20504"/>
      <c r="H20504"/>
      <c r="I20504" s="489"/>
    </row>
    <row r="20505" spans="1:9" x14ac:dyDescent="0.25">
      <c r="A20505">
        <v>11241</v>
      </c>
      <c r="B20505" t="s">
        <v>24008</v>
      </c>
      <c r="C20505" t="s">
        <v>2537</v>
      </c>
      <c r="D20505" s="254">
        <v>258.29000000000002</v>
      </c>
      <c r="E20505"/>
      <c r="F20505"/>
      <c r="G20505"/>
      <c r="H20505"/>
      <c r="I20505" s="489"/>
    </row>
    <row r="20506" spans="1:9" x14ac:dyDescent="0.25">
      <c r="A20506">
        <v>11301</v>
      </c>
      <c r="B20506" t="s">
        <v>24009</v>
      </c>
      <c r="C20506" t="s">
        <v>2537</v>
      </c>
      <c r="D20506" s="254">
        <v>654.96</v>
      </c>
      <c r="E20506"/>
      <c r="F20506"/>
      <c r="G20506"/>
      <c r="H20506"/>
      <c r="I20506" s="489"/>
    </row>
    <row r="20507" spans="1:9" x14ac:dyDescent="0.25">
      <c r="A20507">
        <v>21090</v>
      </c>
      <c r="B20507" t="s">
        <v>24010</v>
      </c>
      <c r="C20507" t="s">
        <v>2537</v>
      </c>
      <c r="D20507" s="254">
        <v>802.55</v>
      </c>
      <c r="E20507"/>
      <c r="F20507"/>
      <c r="G20507"/>
      <c r="H20507"/>
      <c r="I20507" s="489"/>
    </row>
    <row r="20508" spans="1:9" x14ac:dyDescent="0.25">
      <c r="A20508">
        <v>11315</v>
      </c>
      <c r="B20508" t="s">
        <v>24011</v>
      </c>
      <c r="C20508" t="s">
        <v>2537</v>
      </c>
      <c r="D20508" s="254">
        <v>156.82</v>
      </c>
      <c r="E20508"/>
      <c r="F20508"/>
      <c r="G20508"/>
      <c r="H20508"/>
      <c r="I20508" s="489"/>
    </row>
    <row r="20509" spans="1:9" x14ac:dyDescent="0.25">
      <c r="A20509">
        <v>21071</v>
      </c>
      <c r="B20509" t="s">
        <v>24012</v>
      </c>
      <c r="C20509" t="s">
        <v>2537</v>
      </c>
      <c r="D20509" s="254">
        <v>239.84</v>
      </c>
      <c r="E20509"/>
      <c r="F20509"/>
      <c r="G20509"/>
      <c r="H20509"/>
      <c r="I20509" s="489"/>
    </row>
    <row r="20510" spans="1:9" x14ac:dyDescent="0.25">
      <c r="A20510">
        <v>14112</v>
      </c>
      <c r="B20510" t="s">
        <v>24013</v>
      </c>
      <c r="C20510" t="s">
        <v>2537</v>
      </c>
      <c r="D20510" s="254">
        <v>334.86</v>
      </c>
      <c r="E20510"/>
      <c r="F20510"/>
      <c r="G20510"/>
      <c r="H20510"/>
      <c r="I20510" s="489"/>
    </row>
    <row r="20511" spans="1:9" x14ac:dyDescent="0.25">
      <c r="A20511">
        <v>11316</v>
      </c>
      <c r="B20511" t="s">
        <v>24014</v>
      </c>
      <c r="C20511" t="s">
        <v>2537</v>
      </c>
      <c r="D20511" s="254">
        <v>516.58000000000004</v>
      </c>
      <c r="E20511"/>
      <c r="F20511"/>
      <c r="G20511"/>
      <c r="H20511"/>
      <c r="I20511" s="489"/>
    </row>
    <row r="20512" spans="1:9" x14ac:dyDescent="0.25">
      <c r="A20512">
        <v>6243</v>
      </c>
      <c r="B20512" t="s">
        <v>24015</v>
      </c>
      <c r="C20512" t="s">
        <v>2537</v>
      </c>
      <c r="D20512" s="254">
        <v>595</v>
      </c>
      <c r="E20512"/>
      <c r="F20512"/>
      <c r="G20512"/>
      <c r="H20512"/>
      <c r="I20512" s="489"/>
    </row>
    <row r="20513" spans="1:9" x14ac:dyDescent="0.25">
      <c r="A20513">
        <v>6240</v>
      </c>
      <c r="B20513" t="s">
        <v>24016</v>
      </c>
      <c r="C20513" t="s">
        <v>2537</v>
      </c>
      <c r="D20513" s="254">
        <v>787.79</v>
      </c>
      <c r="E20513"/>
      <c r="F20513"/>
      <c r="G20513"/>
      <c r="H20513"/>
      <c r="I20513" s="489"/>
    </row>
    <row r="20514" spans="1:9" x14ac:dyDescent="0.25">
      <c r="A20514">
        <v>11296</v>
      </c>
      <c r="B20514" t="s">
        <v>24017</v>
      </c>
      <c r="C20514" t="s">
        <v>2537</v>
      </c>
      <c r="D20514" s="254">
        <v>2510.06</v>
      </c>
      <c r="E20514"/>
      <c r="F20514"/>
      <c r="G20514"/>
      <c r="H20514"/>
      <c r="I20514" s="489"/>
    </row>
    <row r="20515" spans="1:9" x14ac:dyDescent="0.25">
      <c r="A20515">
        <v>11299</v>
      </c>
      <c r="B20515" t="s">
        <v>24018</v>
      </c>
      <c r="C20515" t="s">
        <v>2537</v>
      </c>
      <c r="D20515" s="254">
        <v>849.6</v>
      </c>
      <c r="E20515"/>
      <c r="F20515"/>
      <c r="G20515"/>
      <c r="H20515"/>
      <c r="I20515" s="489"/>
    </row>
    <row r="20516" spans="1:9" x14ac:dyDescent="0.25">
      <c r="A20516">
        <v>11688</v>
      </c>
      <c r="B20516" t="s">
        <v>24019</v>
      </c>
      <c r="C20516" t="s">
        <v>2537</v>
      </c>
      <c r="D20516" s="254">
        <v>454.09</v>
      </c>
      <c r="E20516"/>
      <c r="F20516"/>
      <c r="G20516"/>
      <c r="H20516"/>
      <c r="I20516" s="489"/>
    </row>
    <row r="20517" spans="1:9" x14ac:dyDescent="0.25">
      <c r="A20517">
        <v>37736</v>
      </c>
      <c r="B20517" t="s">
        <v>24020</v>
      </c>
      <c r="C20517" t="s">
        <v>2537</v>
      </c>
      <c r="D20517" s="254">
        <v>93450</v>
      </c>
      <c r="E20517"/>
      <c r="F20517"/>
      <c r="G20517"/>
      <c r="H20517"/>
      <c r="I20517" s="489"/>
    </row>
    <row r="20518" spans="1:9" x14ac:dyDescent="0.25">
      <c r="A20518">
        <v>37739</v>
      </c>
      <c r="B20518" t="s">
        <v>24021</v>
      </c>
      <c r="C20518" t="s">
        <v>2537</v>
      </c>
      <c r="D20518" s="254">
        <v>115015.38</v>
      </c>
      <c r="E20518"/>
      <c r="F20518"/>
      <c r="G20518"/>
      <c r="H20518"/>
      <c r="I20518" s="489"/>
    </row>
    <row r="20519" spans="1:9" x14ac:dyDescent="0.25">
      <c r="A20519">
        <v>37740</v>
      </c>
      <c r="B20519" t="s">
        <v>24022</v>
      </c>
      <c r="C20519" t="s">
        <v>2537</v>
      </c>
      <c r="D20519" s="254">
        <v>65633.77</v>
      </c>
      <c r="E20519"/>
      <c r="F20519"/>
      <c r="G20519"/>
      <c r="H20519"/>
      <c r="I20519" s="489"/>
    </row>
    <row r="20520" spans="1:9" x14ac:dyDescent="0.25">
      <c r="A20520">
        <v>37738</v>
      </c>
      <c r="B20520" t="s">
        <v>24023</v>
      </c>
      <c r="C20520" t="s">
        <v>2537</v>
      </c>
      <c r="D20520" s="254">
        <v>77979.179999999993</v>
      </c>
      <c r="E20520"/>
      <c r="F20520"/>
      <c r="G20520"/>
      <c r="H20520"/>
      <c r="I20520" s="489"/>
    </row>
    <row r="20521" spans="1:9" x14ac:dyDescent="0.25">
      <c r="A20521">
        <v>37737</v>
      </c>
      <c r="B20521" t="s">
        <v>24024</v>
      </c>
      <c r="C20521" t="s">
        <v>2537</v>
      </c>
      <c r="D20521" s="254">
        <v>62039.54</v>
      </c>
      <c r="E20521"/>
      <c r="F20521"/>
      <c r="G20521"/>
      <c r="H20521"/>
      <c r="I20521" s="489"/>
    </row>
    <row r="20522" spans="1:9" x14ac:dyDescent="0.25">
      <c r="A20522">
        <v>25014</v>
      </c>
      <c r="B20522" t="s">
        <v>24025</v>
      </c>
      <c r="C20522" t="s">
        <v>2537</v>
      </c>
      <c r="D20522" s="254">
        <v>129939.25</v>
      </c>
      <c r="E20522"/>
      <c r="F20522"/>
      <c r="G20522"/>
      <c r="H20522"/>
      <c r="I20522" s="489"/>
    </row>
    <row r="20523" spans="1:9" x14ac:dyDescent="0.25">
      <c r="A20523">
        <v>25013</v>
      </c>
      <c r="B20523" t="s">
        <v>24026</v>
      </c>
      <c r="C20523" t="s">
        <v>2537</v>
      </c>
      <c r="D20523" s="254">
        <v>136190.09</v>
      </c>
      <c r="E20523"/>
      <c r="F20523"/>
      <c r="G20523"/>
      <c r="H20523"/>
      <c r="I20523" s="489"/>
    </row>
    <row r="20524" spans="1:9" x14ac:dyDescent="0.25">
      <c r="A20524">
        <v>14405</v>
      </c>
      <c r="B20524" t="s">
        <v>24027</v>
      </c>
      <c r="C20524" t="s">
        <v>2537</v>
      </c>
      <c r="D20524" s="254">
        <v>159865.12</v>
      </c>
      <c r="E20524"/>
      <c r="F20524"/>
      <c r="G20524"/>
      <c r="H20524"/>
      <c r="I20524" s="489"/>
    </row>
    <row r="20525" spans="1:9" x14ac:dyDescent="0.25">
      <c r="A20525">
        <v>20271</v>
      </c>
      <c r="B20525" t="s">
        <v>24028</v>
      </c>
      <c r="C20525" t="s">
        <v>2537</v>
      </c>
      <c r="D20525" s="254">
        <v>459.56</v>
      </c>
      <c r="E20525"/>
      <c r="F20525"/>
      <c r="G20525"/>
      <c r="H20525"/>
      <c r="I20525" s="489"/>
    </row>
    <row r="20526" spans="1:9" x14ac:dyDescent="0.25">
      <c r="A20526">
        <v>10423</v>
      </c>
      <c r="B20526" t="s">
        <v>24029</v>
      </c>
      <c r="C20526" t="s">
        <v>2537</v>
      </c>
      <c r="D20526" s="254">
        <v>337.42</v>
      </c>
      <c r="E20526"/>
      <c r="F20526"/>
      <c r="G20526"/>
      <c r="H20526"/>
      <c r="I20526" s="489"/>
    </row>
    <row r="20527" spans="1:9" x14ac:dyDescent="0.25">
      <c r="A20527">
        <v>36790</v>
      </c>
      <c r="B20527" t="s">
        <v>24030</v>
      </c>
      <c r="C20527" t="s">
        <v>2537</v>
      </c>
      <c r="D20527" s="254">
        <v>295.10000000000002</v>
      </c>
      <c r="E20527"/>
      <c r="F20527"/>
      <c r="G20527"/>
      <c r="H20527"/>
      <c r="I20527" s="489"/>
    </row>
    <row r="20528" spans="1:9" x14ac:dyDescent="0.25">
      <c r="A20528">
        <v>37589</v>
      </c>
      <c r="B20528" t="s">
        <v>24031</v>
      </c>
      <c r="C20528" t="s">
        <v>2537</v>
      </c>
      <c r="D20528" s="254">
        <v>361.57</v>
      </c>
      <c r="E20528"/>
      <c r="F20528"/>
      <c r="G20528"/>
      <c r="H20528"/>
      <c r="I20528" s="489"/>
    </row>
    <row r="20529" spans="1:9" x14ac:dyDescent="0.25">
      <c r="A20529">
        <v>11690</v>
      </c>
      <c r="B20529" t="s">
        <v>24032</v>
      </c>
      <c r="C20529" t="s">
        <v>2537</v>
      </c>
      <c r="D20529" s="254">
        <v>192.08</v>
      </c>
      <c r="E20529"/>
      <c r="F20529"/>
      <c r="G20529"/>
      <c r="H20529"/>
      <c r="I20529" s="489"/>
    </row>
    <row r="20530" spans="1:9" x14ac:dyDescent="0.25">
      <c r="A20530">
        <v>20234</v>
      </c>
      <c r="B20530" t="s">
        <v>24033</v>
      </c>
      <c r="C20530" t="s">
        <v>2537</v>
      </c>
      <c r="D20530" s="254">
        <v>243.08</v>
      </c>
      <c r="E20530"/>
      <c r="F20530"/>
      <c r="G20530"/>
      <c r="H20530"/>
      <c r="I20530" s="489"/>
    </row>
    <row r="20531" spans="1:9" x14ac:dyDescent="0.25">
      <c r="A20531">
        <v>4763</v>
      </c>
      <c r="B20531" t="s">
        <v>24034</v>
      </c>
      <c r="C20531" t="s">
        <v>2538</v>
      </c>
      <c r="D20531" s="254">
        <v>25.44</v>
      </c>
      <c r="E20531"/>
      <c r="F20531"/>
      <c r="G20531"/>
      <c r="H20531"/>
      <c r="I20531" s="489"/>
    </row>
    <row r="20532" spans="1:9" x14ac:dyDescent="0.25">
      <c r="A20532">
        <v>41070</v>
      </c>
      <c r="B20532" t="s">
        <v>24035</v>
      </c>
      <c r="C20532" t="s">
        <v>2544</v>
      </c>
      <c r="D20532" s="254">
        <v>4489.72</v>
      </c>
      <c r="E20532"/>
      <c r="F20532"/>
      <c r="G20532"/>
      <c r="H20532"/>
      <c r="I20532" s="489"/>
    </row>
    <row r="20533" spans="1:9" x14ac:dyDescent="0.25">
      <c r="A20533">
        <v>44480</v>
      </c>
      <c r="B20533" t="s">
        <v>24036</v>
      </c>
      <c r="C20533" t="s">
        <v>2540</v>
      </c>
      <c r="D20533" s="254">
        <v>13.81</v>
      </c>
      <c r="E20533"/>
      <c r="F20533"/>
      <c r="G20533"/>
      <c r="H20533"/>
      <c r="I20533" s="489"/>
    </row>
    <row r="20534" spans="1:9" x14ac:dyDescent="0.25">
      <c r="A20534">
        <v>11457</v>
      </c>
      <c r="B20534" t="s">
        <v>24037</v>
      </c>
      <c r="C20534" t="s">
        <v>2537</v>
      </c>
      <c r="D20534" s="254">
        <v>48.08</v>
      </c>
      <c r="E20534"/>
      <c r="F20534"/>
      <c r="G20534"/>
      <c r="H20534"/>
      <c r="I20534" s="489"/>
    </row>
    <row r="20535" spans="1:9" x14ac:dyDescent="0.25">
      <c r="A20535">
        <v>44073</v>
      </c>
      <c r="B20535" t="s">
        <v>24038</v>
      </c>
      <c r="C20535" t="s">
        <v>2541</v>
      </c>
      <c r="D20535" s="254">
        <v>0.72</v>
      </c>
      <c r="E20535"/>
      <c r="F20535"/>
      <c r="G20535"/>
      <c r="H20535"/>
      <c r="I20535" s="489"/>
    </row>
    <row r="20536" spans="1:9" x14ac:dyDescent="0.25">
      <c r="A20536">
        <v>21121</v>
      </c>
      <c r="B20536" t="s">
        <v>24039</v>
      </c>
      <c r="C20536" t="s">
        <v>2537</v>
      </c>
      <c r="D20536" s="254">
        <v>2.76</v>
      </c>
      <c r="E20536"/>
      <c r="F20536"/>
      <c r="G20536"/>
      <c r="H20536"/>
      <c r="I20536" s="489"/>
    </row>
    <row r="20537" spans="1:9" x14ac:dyDescent="0.25">
      <c r="A20537">
        <v>38010</v>
      </c>
      <c r="B20537" t="s">
        <v>24040</v>
      </c>
      <c r="C20537" t="s">
        <v>2537</v>
      </c>
      <c r="D20537" s="254">
        <v>4.5199999999999996</v>
      </c>
      <c r="E20537"/>
      <c r="F20537"/>
      <c r="G20537"/>
      <c r="H20537"/>
      <c r="I20537" s="489"/>
    </row>
    <row r="20538" spans="1:9" x14ac:dyDescent="0.25">
      <c r="A20538">
        <v>38011</v>
      </c>
      <c r="B20538" t="s">
        <v>24041</v>
      </c>
      <c r="C20538" t="s">
        <v>2537</v>
      </c>
      <c r="D20538" s="254">
        <v>8.35</v>
      </c>
      <c r="E20538"/>
      <c r="F20538"/>
      <c r="G20538"/>
      <c r="H20538"/>
      <c r="I20538" s="489"/>
    </row>
    <row r="20539" spans="1:9" x14ac:dyDescent="0.25">
      <c r="A20539">
        <v>38012</v>
      </c>
      <c r="B20539" t="s">
        <v>24042</v>
      </c>
      <c r="C20539" t="s">
        <v>2537</v>
      </c>
      <c r="D20539" s="254">
        <v>28.53</v>
      </c>
      <c r="E20539"/>
      <c r="F20539"/>
      <c r="G20539"/>
      <c r="H20539"/>
      <c r="I20539" s="489"/>
    </row>
    <row r="20540" spans="1:9" x14ac:dyDescent="0.25">
      <c r="A20540">
        <v>38013</v>
      </c>
      <c r="B20540" t="s">
        <v>24043</v>
      </c>
      <c r="C20540" t="s">
        <v>2537</v>
      </c>
      <c r="D20540" s="254">
        <v>37.03</v>
      </c>
      <c r="E20540"/>
      <c r="F20540"/>
      <c r="G20540"/>
      <c r="H20540"/>
      <c r="I20540" s="489"/>
    </row>
    <row r="20541" spans="1:9" x14ac:dyDescent="0.25">
      <c r="A20541">
        <v>38014</v>
      </c>
      <c r="B20541" t="s">
        <v>24044</v>
      </c>
      <c r="C20541" t="s">
        <v>2537</v>
      </c>
      <c r="D20541" s="254">
        <v>60.27</v>
      </c>
      <c r="E20541"/>
      <c r="F20541"/>
      <c r="G20541"/>
      <c r="H20541"/>
      <c r="I20541" s="489"/>
    </row>
    <row r="20542" spans="1:9" x14ac:dyDescent="0.25">
      <c r="A20542">
        <v>38015</v>
      </c>
      <c r="B20542" t="s">
        <v>24045</v>
      </c>
      <c r="C20542" t="s">
        <v>2537</v>
      </c>
      <c r="D20542" s="254">
        <v>145.54</v>
      </c>
      <c r="E20542"/>
      <c r="F20542"/>
      <c r="G20542"/>
      <c r="H20542"/>
      <c r="I20542" s="489"/>
    </row>
    <row r="20543" spans="1:9" x14ac:dyDescent="0.25">
      <c r="A20543">
        <v>38016</v>
      </c>
      <c r="B20543" t="s">
        <v>24046</v>
      </c>
      <c r="C20543" t="s">
        <v>2537</v>
      </c>
      <c r="D20543" s="254">
        <v>177.08</v>
      </c>
      <c r="E20543"/>
      <c r="F20543"/>
      <c r="G20543"/>
      <c r="H20543"/>
      <c r="I20543" s="489"/>
    </row>
    <row r="20544" spans="1:9" x14ac:dyDescent="0.25">
      <c r="A20544">
        <v>12741</v>
      </c>
      <c r="B20544" t="s">
        <v>24047</v>
      </c>
      <c r="C20544" t="s">
        <v>2537</v>
      </c>
      <c r="D20544" s="254">
        <v>1329.72</v>
      </c>
      <c r="E20544"/>
      <c r="F20544"/>
      <c r="G20544"/>
      <c r="H20544"/>
      <c r="I20544" s="489"/>
    </row>
    <row r="20545" spans="1:9" x14ac:dyDescent="0.25">
      <c r="A20545">
        <v>12733</v>
      </c>
      <c r="B20545" t="s">
        <v>24048</v>
      </c>
      <c r="C20545" t="s">
        <v>2537</v>
      </c>
      <c r="D20545" s="254">
        <v>6.69</v>
      </c>
      <c r="E20545"/>
      <c r="F20545"/>
      <c r="G20545"/>
      <c r="H20545"/>
      <c r="I20545" s="489"/>
    </row>
    <row r="20546" spans="1:9" x14ac:dyDescent="0.25">
      <c r="A20546">
        <v>12734</v>
      </c>
      <c r="B20546" t="s">
        <v>24049</v>
      </c>
      <c r="C20546" t="s">
        <v>2537</v>
      </c>
      <c r="D20546" s="254">
        <v>14.26</v>
      </c>
      <c r="E20546"/>
      <c r="F20546"/>
      <c r="G20546"/>
      <c r="H20546"/>
      <c r="I20546" s="489"/>
    </row>
    <row r="20547" spans="1:9" x14ac:dyDescent="0.25">
      <c r="A20547">
        <v>12735</v>
      </c>
      <c r="B20547" t="s">
        <v>24050</v>
      </c>
      <c r="C20547" t="s">
        <v>2537</v>
      </c>
      <c r="D20547" s="254">
        <v>23.46</v>
      </c>
      <c r="E20547"/>
      <c r="F20547"/>
      <c r="G20547"/>
      <c r="H20547"/>
      <c r="I20547" s="489"/>
    </row>
    <row r="20548" spans="1:9" x14ac:dyDescent="0.25">
      <c r="A20548">
        <v>12736</v>
      </c>
      <c r="B20548" t="s">
        <v>24051</v>
      </c>
      <c r="C20548" t="s">
        <v>2537</v>
      </c>
      <c r="D20548" s="254">
        <v>53.63</v>
      </c>
      <c r="E20548"/>
      <c r="F20548"/>
      <c r="G20548"/>
      <c r="H20548"/>
      <c r="I20548" s="489"/>
    </row>
    <row r="20549" spans="1:9" x14ac:dyDescent="0.25">
      <c r="A20549">
        <v>12737</v>
      </c>
      <c r="B20549" t="s">
        <v>24052</v>
      </c>
      <c r="C20549" t="s">
        <v>2537</v>
      </c>
      <c r="D20549" s="254">
        <v>69.09</v>
      </c>
      <c r="E20549"/>
      <c r="F20549"/>
      <c r="G20549"/>
      <c r="H20549"/>
      <c r="I20549" s="489"/>
    </row>
    <row r="20550" spans="1:9" x14ac:dyDescent="0.25">
      <c r="A20550">
        <v>12738</v>
      </c>
      <c r="B20550" t="s">
        <v>24053</v>
      </c>
      <c r="C20550" t="s">
        <v>2537</v>
      </c>
      <c r="D20550" s="254">
        <v>136.55000000000001</v>
      </c>
      <c r="E20550"/>
      <c r="F20550"/>
      <c r="G20550"/>
      <c r="H20550"/>
      <c r="I20550" s="489"/>
    </row>
    <row r="20551" spans="1:9" x14ac:dyDescent="0.25">
      <c r="A20551">
        <v>12739</v>
      </c>
      <c r="B20551" t="s">
        <v>24054</v>
      </c>
      <c r="C20551" t="s">
        <v>2537</v>
      </c>
      <c r="D20551" s="254">
        <v>388.71</v>
      </c>
      <c r="E20551"/>
      <c r="F20551"/>
      <c r="G20551"/>
      <c r="H20551"/>
      <c r="I20551" s="489"/>
    </row>
    <row r="20552" spans="1:9" x14ac:dyDescent="0.25">
      <c r="A20552">
        <v>12740</v>
      </c>
      <c r="B20552" t="s">
        <v>24055</v>
      </c>
      <c r="C20552" t="s">
        <v>2537</v>
      </c>
      <c r="D20552" s="254">
        <v>608.16</v>
      </c>
      <c r="E20552"/>
      <c r="F20552"/>
      <c r="G20552"/>
      <c r="H20552"/>
      <c r="I20552" s="489"/>
    </row>
    <row r="20553" spans="1:9" x14ac:dyDescent="0.25">
      <c r="A20553">
        <v>6297</v>
      </c>
      <c r="B20553" t="s">
        <v>24056</v>
      </c>
      <c r="C20553" t="s">
        <v>2537</v>
      </c>
      <c r="D20553" s="254">
        <v>43.91</v>
      </c>
      <c r="E20553"/>
      <c r="F20553"/>
      <c r="G20553"/>
      <c r="H20553"/>
      <c r="I20553" s="489"/>
    </row>
    <row r="20554" spans="1:9" x14ac:dyDescent="0.25">
      <c r="A20554">
        <v>6296</v>
      </c>
      <c r="B20554" t="s">
        <v>24057</v>
      </c>
      <c r="C20554" t="s">
        <v>2537</v>
      </c>
      <c r="D20554" s="254">
        <v>34.659999999999997</v>
      </c>
      <c r="E20554"/>
      <c r="F20554"/>
      <c r="G20554"/>
      <c r="H20554"/>
      <c r="I20554" s="489"/>
    </row>
    <row r="20555" spans="1:9" x14ac:dyDescent="0.25">
      <c r="A20555">
        <v>6294</v>
      </c>
      <c r="B20555" t="s">
        <v>24058</v>
      </c>
      <c r="C20555" t="s">
        <v>2537</v>
      </c>
      <c r="D20555" s="254">
        <v>9.8800000000000008</v>
      </c>
      <c r="E20555"/>
      <c r="F20555"/>
      <c r="G20555"/>
      <c r="H20555"/>
      <c r="I20555" s="489"/>
    </row>
    <row r="20556" spans="1:9" x14ac:dyDescent="0.25">
      <c r="A20556">
        <v>6323</v>
      </c>
      <c r="B20556" t="s">
        <v>24059</v>
      </c>
      <c r="C20556" t="s">
        <v>2537</v>
      </c>
      <c r="D20556" s="254">
        <v>22.64</v>
      </c>
      <c r="E20556"/>
      <c r="F20556"/>
      <c r="G20556"/>
      <c r="H20556"/>
      <c r="I20556" s="489"/>
    </row>
    <row r="20557" spans="1:9" x14ac:dyDescent="0.25">
      <c r="A20557">
        <v>6299</v>
      </c>
      <c r="B20557" t="s">
        <v>24060</v>
      </c>
      <c r="C20557" t="s">
        <v>2537</v>
      </c>
      <c r="D20557" s="254">
        <v>132.06</v>
      </c>
      <c r="E20557"/>
      <c r="F20557"/>
      <c r="G20557"/>
      <c r="H20557"/>
      <c r="I20557" s="489"/>
    </row>
    <row r="20558" spans="1:9" x14ac:dyDescent="0.25">
      <c r="A20558">
        <v>6298</v>
      </c>
      <c r="B20558" t="s">
        <v>24061</v>
      </c>
      <c r="C20558" t="s">
        <v>2537</v>
      </c>
      <c r="D20558" s="254">
        <v>69.55</v>
      </c>
      <c r="E20558"/>
      <c r="F20558"/>
      <c r="G20558"/>
      <c r="H20558"/>
      <c r="I20558" s="489"/>
    </row>
    <row r="20559" spans="1:9" x14ac:dyDescent="0.25">
      <c r="A20559">
        <v>6295</v>
      </c>
      <c r="B20559" t="s">
        <v>24062</v>
      </c>
      <c r="C20559" t="s">
        <v>2537</v>
      </c>
      <c r="D20559" s="254">
        <v>14.07</v>
      </c>
      <c r="E20559"/>
      <c r="F20559"/>
      <c r="G20559"/>
      <c r="H20559"/>
      <c r="I20559" s="489"/>
    </row>
    <row r="20560" spans="1:9" x14ac:dyDescent="0.25">
      <c r="A20560">
        <v>6322</v>
      </c>
      <c r="B20560" t="s">
        <v>24063</v>
      </c>
      <c r="C20560" t="s">
        <v>2537</v>
      </c>
      <c r="D20560" s="254">
        <v>176.87</v>
      </c>
      <c r="E20560"/>
      <c r="F20560"/>
      <c r="G20560"/>
      <c r="H20560"/>
      <c r="I20560" s="489"/>
    </row>
    <row r="20561" spans="1:9" x14ac:dyDescent="0.25">
      <c r="A20561">
        <v>6300</v>
      </c>
      <c r="B20561" t="s">
        <v>24064</v>
      </c>
      <c r="C20561" t="s">
        <v>2537</v>
      </c>
      <c r="D20561" s="254">
        <v>326.08999999999997</v>
      </c>
      <c r="E20561"/>
      <c r="F20561"/>
      <c r="G20561"/>
      <c r="H20561"/>
      <c r="I20561" s="489"/>
    </row>
    <row r="20562" spans="1:9" x14ac:dyDescent="0.25">
      <c r="A20562">
        <v>6321</v>
      </c>
      <c r="B20562" t="s">
        <v>24065</v>
      </c>
      <c r="C20562" t="s">
        <v>2537</v>
      </c>
      <c r="D20562" s="254">
        <v>465.8</v>
      </c>
      <c r="E20562"/>
      <c r="F20562"/>
      <c r="G20562"/>
      <c r="H20562"/>
      <c r="I20562" s="489"/>
    </row>
    <row r="20563" spans="1:9" x14ac:dyDescent="0.25">
      <c r="A20563">
        <v>6301</v>
      </c>
      <c r="B20563" t="s">
        <v>24066</v>
      </c>
      <c r="C20563" t="s">
        <v>2537</v>
      </c>
      <c r="D20563" s="254">
        <v>1091.78</v>
      </c>
      <c r="E20563"/>
      <c r="F20563"/>
      <c r="G20563"/>
      <c r="H20563"/>
      <c r="I20563" s="489"/>
    </row>
    <row r="20564" spans="1:9" x14ac:dyDescent="0.25">
      <c r="A20564">
        <v>7105</v>
      </c>
      <c r="B20564" t="s">
        <v>24067</v>
      </c>
      <c r="C20564" t="s">
        <v>2537</v>
      </c>
      <c r="D20564" s="254">
        <v>43.31</v>
      </c>
      <c r="E20564"/>
      <c r="F20564"/>
      <c r="G20564"/>
      <c r="H20564"/>
      <c r="I20564" s="489"/>
    </row>
    <row r="20565" spans="1:9" x14ac:dyDescent="0.25">
      <c r="A20565">
        <v>20183</v>
      </c>
      <c r="B20565" t="s">
        <v>24068</v>
      </c>
      <c r="C20565" t="s">
        <v>2537</v>
      </c>
      <c r="D20565" s="254">
        <v>57.02</v>
      </c>
      <c r="E20565"/>
      <c r="F20565"/>
      <c r="G20565"/>
      <c r="H20565"/>
      <c r="I20565" s="489"/>
    </row>
    <row r="20566" spans="1:9" x14ac:dyDescent="0.25">
      <c r="A20566">
        <v>38448</v>
      </c>
      <c r="B20566" t="s">
        <v>24069</v>
      </c>
      <c r="C20566" t="s">
        <v>2537</v>
      </c>
      <c r="D20566" s="254">
        <v>267.93</v>
      </c>
      <c r="E20566"/>
      <c r="F20566"/>
      <c r="G20566"/>
      <c r="H20566"/>
      <c r="I20566" s="489"/>
    </row>
    <row r="20567" spans="1:9" x14ac:dyDescent="0.25">
      <c r="A20567">
        <v>20182</v>
      </c>
      <c r="B20567" t="s">
        <v>24070</v>
      </c>
      <c r="C20567" t="s">
        <v>2537</v>
      </c>
      <c r="D20567" s="254">
        <v>32.549999999999997</v>
      </c>
      <c r="E20567"/>
      <c r="F20567"/>
      <c r="G20567"/>
      <c r="H20567"/>
      <c r="I20567" s="489"/>
    </row>
    <row r="20568" spans="1:9" x14ac:dyDescent="0.25">
      <c r="A20568">
        <v>7119</v>
      </c>
      <c r="B20568" t="s">
        <v>24071</v>
      </c>
      <c r="C20568" t="s">
        <v>2537</v>
      </c>
      <c r="D20568" s="254">
        <v>12.17</v>
      </c>
      <c r="E20568"/>
      <c r="F20568"/>
      <c r="G20568"/>
      <c r="H20568"/>
      <c r="I20568" s="489"/>
    </row>
    <row r="20569" spans="1:9" x14ac:dyDescent="0.25">
      <c r="A20569">
        <v>7120</v>
      </c>
      <c r="B20569" t="s">
        <v>24072</v>
      </c>
      <c r="C20569" t="s">
        <v>2537</v>
      </c>
      <c r="D20569" s="254">
        <v>8.35</v>
      </c>
      <c r="E20569"/>
      <c r="F20569"/>
      <c r="G20569"/>
      <c r="H20569"/>
      <c r="I20569" s="489"/>
    </row>
    <row r="20570" spans="1:9" x14ac:dyDescent="0.25">
      <c r="A20570">
        <v>6319</v>
      </c>
      <c r="B20570" t="s">
        <v>24073</v>
      </c>
      <c r="C20570" t="s">
        <v>2537</v>
      </c>
      <c r="D20570" s="254">
        <v>51.58</v>
      </c>
      <c r="E20570"/>
      <c r="F20570"/>
      <c r="G20570"/>
      <c r="H20570"/>
      <c r="I20570" s="489"/>
    </row>
    <row r="20571" spans="1:9" x14ac:dyDescent="0.25">
      <c r="A20571">
        <v>6304</v>
      </c>
      <c r="B20571" t="s">
        <v>24074</v>
      </c>
      <c r="C20571" t="s">
        <v>2537</v>
      </c>
      <c r="D20571" s="254">
        <v>51.58</v>
      </c>
      <c r="E20571"/>
      <c r="F20571"/>
      <c r="G20571"/>
      <c r="H20571"/>
      <c r="I20571" s="489"/>
    </row>
    <row r="20572" spans="1:9" x14ac:dyDescent="0.25">
      <c r="A20572">
        <v>21116</v>
      </c>
      <c r="B20572" t="s">
        <v>24075</v>
      </c>
      <c r="C20572" t="s">
        <v>2537</v>
      </c>
      <c r="D20572" s="254">
        <v>39.06</v>
      </c>
      <c r="E20572"/>
      <c r="F20572"/>
      <c r="G20572"/>
      <c r="H20572"/>
      <c r="I20572" s="489"/>
    </row>
    <row r="20573" spans="1:9" x14ac:dyDescent="0.25">
      <c r="A20573">
        <v>6320</v>
      </c>
      <c r="B20573" t="s">
        <v>24076</v>
      </c>
      <c r="C20573" t="s">
        <v>2537</v>
      </c>
      <c r="D20573" s="254">
        <v>26.56</v>
      </c>
      <c r="E20573"/>
      <c r="F20573"/>
      <c r="G20573"/>
      <c r="H20573"/>
      <c r="I20573" s="489"/>
    </row>
    <row r="20574" spans="1:9" x14ac:dyDescent="0.25">
      <c r="A20574">
        <v>6303</v>
      </c>
      <c r="B20574" t="s">
        <v>24077</v>
      </c>
      <c r="C20574" t="s">
        <v>2537</v>
      </c>
      <c r="D20574" s="254">
        <v>26.56</v>
      </c>
      <c r="E20574"/>
      <c r="F20574"/>
      <c r="G20574"/>
      <c r="H20574"/>
      <c r="I20574" s="489"/>
    </row>
    <row r="20575" spans="1:9" x14ac:dyDescent="0.25">
      <c r="A20575">
        <v>6308</v>
      </c>
      <c r="B20575" t="s">
        <v>24078</v>
      </c>
      <c r="C20575" t="s">
        <v>2537</v>
      </c>
      <c r="D20575" s="254">
        <v>142.72999999999999</v>
      </c>
      <c r="E20575"/>
      <c r="F20575"/>
      <c r="G20575"/>
      <c r="H20575"/>
      <c r="I20575" s="489"/>
    </row>
    <row r="20576" spans="1:9" x14ac:dyDescent="0.25">
      <c r="A20576">
        <v>6317</v>
      </c>
      <c r="B20576" t="s">
        <v>24079</v>
      </c>
      <c r="C20576" t="s">
        <v>2537</v>
      </c>
      <c r="D20576" s="254">
        <v>142.72999999999999</v>
      </c>
      <c r="E20576"/>
      <c r="F20576"/>
      <c r="G20576"/>
      <c r="H20576"/>
      <c r="I20576" s="489"/>
    </row>
    <row r="20577" spans="1:9" x14ac:dyDescent="0.25">
      <c r="A20577">
        <v>6307</v>
      </c>
      <c r="B20577" t="s">
        <v>24080</v>
      </c>
      <c r="C20577" t="s">
        <v>2537</v>
      </c>
      <c r="D20577" s="254">
        <v>142.72999999999999</v>
      </c>
      <c r="E20577"/>
      <c r="F20577"/>
      <c r="G20577"/>
      <c r="H20577"/>
      <c r="I20577" s="489"/>
    </row>
    <row r="20578" spans="1:9" x14ac:dyDescent="0.25">
      <c r="A20578">
        <v>6309</v>
      </c>
      <c r="B20578" t="s">
        <v>24081</v>
      </c>
      <c r="C20578" t="s">
        <v>2537</v>
      </c>
      <c r="D20578" s="254">
        <v>146.88</v>
      </c>
      <c r="E20578"/>
      <c r="F20578"/>
      <c r="G20578"/>
      <c r="H20578"/>
      <c r="I20578" s="489"/>
    </row>
    <row r="20579" spans="1:9" x14ac:dyDescent="0.25">
      <c r="A20579">
        <v>6318</v>
      </c>
      <c r="B20579" t="s">
        <v>24082</v>
      </c>
      <c r="C20579" t="s">
        <v>2537</v>
      </c>
      <c r="D20579" s="254">
        <v>76.989999999999995</v>
      </c>
      <c r="E20579"/>
      <c r="F20579"/>
      <c r="G20579"/>
      <c r="H20579"/>
      <c r="I20579" s="489"/>
    </row>
    <row r="20580" spans="1:9" x14ac:dyDescent="0.25">
      <c r="A20580">
        <v>6306</v>
      </c>
      <c r="B20580" t="s">
        <v>24083</v>
      </c>
      <c r="C20580" t="s">
        <v>2537</v>
      </c>
      <c r="D20580" s="254">
        <v>76.989999999999995</v>
      </c>
      <c r="E20580"/>
      <c r="F20580"/>
      <c r="G20580"/>
      <c r="H20580"/>
      <c r="I20580" s="489"/>
    </row>
    <row r="20581" spans="1:9" x14ac:dyDescent="0.25">
      <c r="A20581">
        <v>6305</v>
      </c>
      <c r="B20581" t="s">
        <v>24084</v>
      </c>
      <c r="C20581" t="s">
        <v>2537</v>
      </c>
      <c r="D20581" s="254">
        <v>76.989999999999995</v>
      </c>
      <c r="E20581"/>
      <c r="F20581"/>
      <c r="G20581"/>
      <c r="H20581"/>
      <c r="I20581" s="489"/>
    </row>
    <row r="20582" spans="1:9" x14ac:dyDescent="0.25">
      <c r="A20582">
        <v>6302</v>
      </c>
      <c r="B20582" t="s">
        <v>24085</v>
      </c>
      <c r="C20582" t="s">
        <v>2537</v>
      </c>
      <c r="D20582" s="254">
        <v>16.329999999999998</v>
      </c>
      <c r="E20582"/>
      <c r="F20582"/>
      <c r="G20582"/>
      <c r="H20582"/>
      <c r="I20582" s="489"/>
    </row>
    <row r="20583" spans="1:9" x14ac:dyDescent="0.25">
      <c r="A20583">
        <v>6312</v>
      </c>
      <c r="B20583" t="s">
        <v>24086</v>
      </c>
      <c r="C20583" t="s">
        <v>2537</v>
      </c>
      <c r="D20583" s="254">
        <v>205.31</v>
      </c>
      <c r="E20583"/>
      <c r="F20583"/>
      <c r="G20583"/>
      <c r="H20583"/>
      <c r="I20583" s="489"/>
    </row>
    <row r="20584" spans="1:9" x14ac:dyDescent="0.25">
      <c r="A20584">
        <v>6311</v>
      </c>
      <c r="B20584" t="s">
        <v>24087</v>
      </c>
      <c r="C20584" t="s">
        <v>2537</v>
      </c>
      <c r="D20584" s="254">
        <v>205.31</v>
      </c>
      <c r="E20584"/>
      <c r="F20584"/>
      <c r="G20584"/>
      <c r="H20584"/>
      <c r="I20584" s="489"/>
    </row>
    <row r="20585" spans="1:9" x14ac:dyDescent="0.25">
      <c r="A20585">
        <v>6310</v>
      </c>
      <c r="B20585" t="s">
        <v>24088</v>
      </c>
      <c r="C20585" t="s">
        <v>2537</v>
      </c>
      <c r="D20585" s="254">
        <v>205.31</v>
      </c>
      <c r="E20585"/>
      <c r="F20585"/>
      <c r="G20585"/>
      <c r="H20585"/>
      <c r="I20585" s="489"/>
    </row>
    <row r="20586" spans="1:9" x14ac:dyDescent="0.25">
      <c r="A20586">
        <v>6314</v>
      </c>
      <c r="B20586" t="s">
        <v>24089</v>
      </c>
      <c r="C20586" t="s">
        <v>2537</v>
      </c>
      <c r="D20586" s="254">
        <v>205.31</v>
      </c>
      <c r="E20586"/>
      <c r="F20586"/>
      <c r="G20586"/>
      <c r="H20586"/>
      <c r="I20586" s="489"/>
    </row>
    <row r="20587" spans="1:9" x14ac:dyDescent="0.25">
      <c r="A20587">
        <v>6313</v>
      </c>
      <c r="B20587" t="s">
        <v>24090</v>
      </c>
      <c r="C20587" t="s">
        <v>2537</v>
      </c>
      <c r="D20587" s="254">
        <v>205.31</v>
      </c>
      <c r="E20587"/>
      <c r="F20587"/>
      <c r="G20587"/>
      <c r="H20587"/>
      <c r="I20587" s="489"/>
    </row>
    <row r="20588" spans="1:9" x14ac:dyDescent="0.25">
      <c r="A20588">
        <v>6315</v>
      </c>
      <c r="B20588" t="s">
        <v>24091</v>
      </c>
      <c r="C20588" t="s">
        <v>2537</v>
      </c>
      <c r="D20588" s="254">
        <v>388.74</v>
      </c>
      <c r="E20588"/>
      <c r="F20588"/>
      <c r="G20588"/>
      <c r="H20588"/>
      <c r="I20588" s="489"/>
    </row>
    <row r="20589" spans="1:9" x14ac:dyDescent="0.25">
      <c r="A20589">
        <v>6316</v>
      </c>
      <c r="B20589" t="s">
        <v>24092</v>
      </c>
      <c r="C20589" t="s">
        <v>2537</v>
      </c>
      <c r="D20589" s="254">
        <v>388.74</v>
      </c>
      <c r="E20589"/>
      <c r="F20589"/>
      <c r="G20589"/>
      <c r="H20589"/>
      <c r="I20589" s="489"/>
    </row>
    <row r="20590" spans="1:9" x14ac:dyDescent="0.25">
      <c r="A20590">
        <v>38878</v>
      </c>
      <c r="B20590" t="s">
        <v>24093</v>
      </c>
      <c r="C20590" t="s">
        <v>2537</v>
      </c>
      <c r="D20590" s="254">
        <v>16</v>
      </c>
      <c r="E20590"/>
      <c r="F20590"/>
      <c r="G20590"/>
      <c r="H20590"/>
      <c r="I20590" s="489"/>
    </row>
    <row r="20591" spans="1:9" x14ac:dyDescent="0.25">
      <c r="A20591">
        <v>38879</v>
      </c>
      <c r="B20591" t="s">
        <v>24094</v>
      </c>
      <c r="C20591" t="s">
        <v>2537</v>
      </c>
      <c r="D20591" s="254">
        <v>30</v>
      </c>
      <c r="E20591"/>
      <c r="F20591"/>
      <c r="G20591"/>
      <c r="H20591"/>
      <c r="I20591" s="489"/>
    </row>
    <row r="20592" spans="1:9" x14ac:dyDescent="0.25">
      <c r="A20592">
        <v>38881</v>
      </c>
      <c r="B20592" t="s">
        <v>24095</v>
      </c>
      <c r="C20592" t="s">
        <v>2537</v>
      </c>
      <c r="D20592" s="254">
        <v>15.69</v>
      </c>
      <c r="E20592"/>
      <c r="F20592"/>
      <c r="G20592"/>
      <c r="H20592"/>
      <c r="I20592" s="489"/>
    </row>
    <row r="20593" spans="1:9" x14ac:dyDescent="0.25">
      <c r="A20593">
        <v>38880</v>
      </c>
      <c r="B20593" t="s">
        <v>24096</v>
      </c>
      <c r="C20593" t="s">
        <v>2537</v>
      </c>
      <c r="D20593" s="254">
        <v>16.45</v>
      </c>
      <c r="E20593"/>
      <c r="F20593"/>
      <c r="G20593"/>
      <c r="H20593"/>
      <c r="I20593" s="489"/>
    </row>
    <row r="20594" spans="1:9" x14ac:dyDescent="0.25">
      <c r="A20594">
        <v>38882</v>
      </c>
      <c r="B20594" t="s">
        <v>24097</v>
      </c>
      <c r="C20594" t="s">
        <v>2537</v>
      </c>
      <c r="D20594" s="254">
        <v>17.03</v>
      </c>
      <c r="E20594"/>
      <c r="F20594"/>
      <c r="G20594"/>
      <c r="H20594"/>
      <c r="I20594" s="489"/>
    </row>
    <row r="20595" spans="1:9" x14ac:dyDescent="0.25">
      <c r="A20595">
        <v>38883</v>
      </c>
      <c r="B20595" t="s">
        <v>24098</v>
      </c>
      <c r="C20595" t="s">
        <v>2537</v>
      </c>
      <c r="D20595" s="254">
        <v>25.19</v>
      </c>
      <c r="E20595"/>
      <c r="F20595"/>
      <c r="G20595"/>
      <c r="H20595"/>
      <c r="I20595" s="489"/>
    </row>
    <row r="20596" spans="1:9" x14ac:dyDescent="0.25">
      <c r="A20596">
        <v>38884</v>
      </c>
      <c r="B20596" t="s">
        <v>24099</v>
      </c>
      <c r="C20596" t="s">
        <v>2537</v>
      </c>
      <c r="D20596" s="254">
        <v>27.35</v>
      </c>
      <c r="E20596"/>
      <c r="F20596"/>
      <c r="G20596"/>
      <c r="H20596"/>
      <c r="I20596" s="489"/>
    </row>
    <row r="20597" spans="1:9" x14ac:dyDescent="0.25">
      <c r="A20597">
        <v>38885</v>
      </c>
      <c r="B20597" t="s">
        <v>24100</v>
      </c>
      <c r="C20597" t="s">
        <v>2537</v>
      </c>
      <c r="D20597" s="254">
        <v>26.46</v>
      </c>
      <c r="E20597"/>
      <c r="F20597"/>
      <c r="G20597"/>
      <c r="H20597"/>
      <c r="I20597" s="489"/>
    </row>
    <row r="20598" spans="1:9" x14ac:dyDescent="0.25">
      <c r="A20598">
        <v>38886</v>
      </c>
      <c r="B20598" t="s">
        <v>24101</v>
      </c>
      <c r="C20598" t="s">
        <v>2537</v>
      </c>
      <c r="D20598" s="254">
        <v>28.55</v>
      </c>
      <c r="E20598"/>
      <c r="F20598"/>
      <c r="G20598"/>
      <c r="H20598"/>
      <c r="I20598" s="489"/>
    </row>
    <row r="20599" spans="1:9" x14ac:dyDescent="0.25">
      <c r="A20599">
        <v>38887</v>
      </c>
      <c r="B20599" t="s">
        <v>24102</v>
      </c>
      <c r="C20599" t="s">
        <v>2537</v>
      </c>
      <c r="D20599" s="254">
        <v>25.64</v>
      </c>
      <c r="E20599"/>
      <c r="F20599"/>
      <c r="G20599"/>
      <c r="H20599"/>
      <c r="I20599" s="489"/>
    </row>
    <row r="20600" spans="1:9" x14ac:dyDescent="0.25">
      <c r="A20600">
        <v>38888</v>
      </c>
      <c r="B20600" t="s">
        <v>24103</v>
      </c>
      <c r="C20600" t="s">
        <v>2537</v>
      </c>
      <c r="D20600" s="254">
        <v>30.49</v>
      </c>
      <c r="E20600"/>
      <c r="F20600"/>
      <c r="G20600"/>
      <c r="H20600"/>
      <c r="I20600" s="489"/>
    </row>
    <row r="20601" spans="1:9" x14ac:dyDescent="0.25">
      <c r="A20601">
        <v>38890</v>
      </c>
      <c r="B20601" t="s">
        <v>24104</v>
      </c>
      <c r="C20601" t="s">
        <v>2537</v>
      </c>
      <c r="D20601" s="254">
        <v>45.31</v>
      </c>
      <c r="E20601"/>
      <c r="F20601"/>
      <c r="G20601"/>
      <c r="H20601"/>
      <c r="I20601" s="489"/>
    </row>
    <row r="20602" spans="1:9" x14ac:dyDescent="0.25">
      <c r="A20602">
        <v>38893</v>
      </c>
      <c r="B20602" t="s">
        <v>24105</v>
      </c>
      <c r="C20602" t="s">
        <v>2537</v>
      </c>
      <c r="D20602" s="254">
        <v>36.44</v>
      </c>
      <c r="E20602"/>
      <c r="F20602"/>
      <c r="G20602"/>
      <c r="H20602"/>
      <c r="I20602" s="489"/>
    </row>
    <row r="20603" spans="1:9" x14ac:dyDescent="0.25">
      <c r="A20603">
        <v>38894</v>
      </c>
      <c r="B20603" t="s">
        <v>24106</v>
      </c>
      <c r="C20603" t="s">
        <v>2537</v>
      </c>
      <c r="D20603" s="254">
        <v>46.28</v>
      </c>
      <c r="E20603"/>
      <c r="F20603"/>
      <c r="G20603"/>
      <c r="H20603"/>
      <c r="I20603" s="489"/>
    </row>
    <row r="20604" spans="1:9" x14ac:dyDescent="0.25">
      <c r="A20604">
        <v>38896</v>
      </c>
      <c r="B20604" t="s">
        <v>24107</v>
      </c>
      <c r="C20604" t="s">
        <v>2537</v>
      </c>
      <c r="D20604" s="254">
        <v>47.2</v>
      </c>
      <c r="E20604"/>
      <c r="F20604"/>
      <c r="G20604"/>
      <c r="H20604"/>
      <c r="I20604" s="489"/>
    </row>
    <row r="20605" spans="1:9" x14ac:dyDescent="0.25">
      <c r="A20605">
        <v>39324</v>
      </c>
      <c r="B20605" t="s">
        <v>24108</v>
      </c>
      <c r="C20605" t="s">
        <v>2537</v>
      </c>
      <c r="D20605" s="254">
        <v>6.13</v>
      </c>
      <c r="E20605"/>
      <c r="F20605"/>
      <c r="G20605"/>
      <c r="H20605"/>
      <c r="I20605" s="489"/>
    </row>
    <row r="20606" spans="1:9" x14ac:dyDescent="0.25">
      <c r="A20606">
        <v>39325</v>
      </c>
      <c r="B20606" t="s">
        <v>24109</v>
      </c>
      <c r="C20606" t="s">
        <v>2537</v>
      </c>
      <c r="D20606" s="254">
        <v>9.2799999999999994</v>
      </c>
      <c r="E20606"/>
      <c r="F20606"/>
      <c r="G20606"/>
      <c r="H20606"/>
      <c r="I20606" s="489"/>
    </row>
    <row r="20607" spans="1:9" x14ac:dyDescent="0.25">
      <c r="A20607">
        <v>39326</v>
      </c>
      <c r="B20607" t="s">
        <v>24110</v>
      </c>
      <c r="C20607" t="s">
        <v>2537</v>
      </c>
      <c r="D20607" s="254">
        <v>23.9</v>
      </c>
      <c r="E20607"/>
      <c r="F20607"/>
      <c r="G20607"/>
      <c r="H20607"/>
      <c r="I20607" s="489"/>
    </row>
    <row r="20608" spans="1:9" x14ac:dyDescent="0.25">
      <c r="A20608">
        <v>39327</v>
      </c>
      <c r="B20608" t="s">
        <v>24111</v>
      </c>
      <c r="C20608" t="s">
        <v>2537</v>
      </c>
      <c r="D20608" s="254">
        <v>36.21</v>
      </c>
      <c r="E20608"/>
      <c r="F20608"/>
      <c r="G20608"/>
      <c r="H20608"/>
      <c r="I20608" s="489"/>
    </row>
    <row r="20609" spans="1:9" x14ac:dyDescent="0.25">
      <c r="A20609">
        <v>20176</v>
      </c>
      <c r="B20609" t="s">
        <v>24112</v>
      </c>
      <c r="C20609" t="s">
        <v>2537</v>
      </c>
      <c r="D20609" s="254">
        <v>49.14</v>
      </c>
      <c r="E20609"/>
      <c r="F20609"/>
      <c r="G20609"/>
      <c r="H20609"/>
      <c r="I20609" s="489"/>
    </row>
    <row r="20610" spans="1:9" x14ac:dyDescent="0.25">
      <c r="A20610">
        <v>11378</v>
      </c>
      <c r="B20610" t="s">
        <v>24113</v>
      </c>
      <c r="C20610" t="s">
        <v>2537</v>
      </c>
      <c r="D20610" s="254">
        <v>108.96</v>
      </c>
      <c r="E20610"/>
      <c r="F20610"/>
      <c r="G20610"/>
      <c r="H20610"/>
      <c r="I20610" s="489"/>
    </row>
    <row r="20611" spans="1:9" x14ac:dyDescent="0.25">
      <c r="A20611">
        <v>11379</v>
      </c>
      <c r="B20611" t="s">
        <v>24114</v>
      </c>
      <c r="C20611" t="s">
        <v>2537</v>
      </c>
      <c r="D20611" s="254">
        <v>92.07</v>
      </c>
      <c r="E20611"/>
      <c r="F20611"/>
      <c r="G20611"/>
      <c r="H20611"/>
      <c r="I20611" s="489"/>
    </row>
    <row r="20612" spans="1:9" x14ac:dyDescent="0.25">
      <c r="A20612">
        <v>11493</v>
      </c>
      <c r="B20612" t="s">
        <v>24115</v>
      </c>
      <c r="C20612" t="s">
        <v>2537</v>
      </c>
      <c r="D20612" s="254">
        <v>53.11</v>
      </c>
      <c r="E20612"/>
      <c r="F20612"/>
      <c r="G20612"/>
      <c r="H20612"/>
      <c r="I20612" s="489"/>
    </row>
    <row r="20613" spans="1:9" x14ac:dyDescent="0.25">
      <c r="A20613">
        <v>42717</v>
      </c>
      <c r="B20613" t="s">
        <v>24116</v>
      </c>
      <c r="C20613" t="s">
        <v>2537</v>
      </c>
      <c r="D20613" s="254">
        <v>704.25</v>
      </c>
      <c r="E20613"/>
      <c r="F20613"/>
      <c r="G20613"/>
      <c r="H20613"/>
      <c r="I20613" s="489"/>
    </row>
    <row r="20614" spans="1:9" x14ac:dyDescent="0.25">
      <c r="A20614">
        <v>42718</v>
      </c>
      <c r="B20614" t="s">
        <v>24117</v>
      </c>
      <c r="C20614" t="s">
        <v>2537</v>
      </c>
      <c r="D20614" s="254">
        <v>781.87</v>
      </c>
      <c r="E20614"/>
      <c r="F20614"/>
      <c r="G20614"/>
      <c r="H20614"/>
      <c r="I20614" s="489"/>
    </row>
    <row r="20615" spans="1:9" x14ac:dyDescent="0.25">
      <c r="A20615">
        <v>7106</v>
      </c>
      <c r="B20615" t="s">
        <v>24118</v>
      </c>
      <c r="C20615" t="s">
        <v>2537</v>
      </c>
      <c r="D20615" s="254">
        <v>198</v>
      </c>
      <c r="E20615"/>
      <c r="F20615"/>
      <c r="G20615"/>
      <c r="H20615"/>
      <c r="I20615" s="489"/>
    </row>
    <row r="20616" spans="1:9" x14ac:dyDescent="0.25">
      <c r="A20616">
        <v>7104</v>
      </c>
      <c r="B20616" t="s">
        <v>24119</v>
      </c>
      <c r="C20616" t="s">
        <v>2537</v>
      </c>
      <c r="D20616" s="254">
        <v>4.13</v>
      </c>
      <c r="E20616"/>
      <c r="F20616"/>
      <c r="G20616"/>
      <c r="H20616"/>
      <c r="I20616" s="489"/>
    </row>
    <row r="20617" spans="1:9" x14ac:dyDescent="0.25">
      <c r="A20617">
        <v>7136</v>
      </c>
      <c r="B20617" t="s">
        <v>24120</v>
      </c>
      <c r="C20617" t="s">
        <v>2537</v>
      </c>
      <c r="D20617" s="254">
        <v>7.76</v>
      </c>
      <c r="E20617"/>
      <c r="F20617"/>
      <c r="G20617"/>
      <c r="H20617"/>
      <c r="I20617" s="489"/>
    </row>
    <row r="20618" spans="1:9" x14ac:dyDescent="0.25">
      <c r="A20618">
        <v>7128</v>
      </c>
      <c r="B20618" t="s">
        <v>24121</v>
      </c>
      <c r="C20618" t="s">
        <v>2537</v>
      </c>
      <c r="D20618" s="254">
        <v>12.72</v>
      </c>
      <c r="E20618"/>
      <c r="F20618"/>
      <c r="G20618"/>
      <c r="H20618"/>
      <c r="I20618" s="489"/>
    </row>
    <row r="20619" spans="1:9" x14ac:dyDescent="0.25">
      <c r="A20619">
        <v>7108</v>
      </c>
      <c r="B20619" t="s">
        <v>24122</v>
      </c>
      <c r="C20619" t="s">
        <v>2537</v>
      </c>
      <c r="D20619" s="254">
        <v>13.61</v>
      </c>
      <c r="E20619"/>
      <c r="F20619"/>
      <c r="G20619"/>
      <c r="H20619"/>
      <c r="I20619" s="489"/>
    </row>
    <row r="20620" spans="1:9" x14ac:dyDescent="0.25">
      <c r="A20620">
        <v>7129</v>
      </c>
      <c r="B20620" t="s">
        <v>24123</v>
      </c>
      <c r="C20620" t="s">
        <v>2537</v>
      </c>
      <c r="D20620" s="254">
        <v>11.31</v>
      </c>
      <c r="E20620"/>
      <c r="F20620"/>
      <c r="G20620"/>
      <c r="H20620"/>
      <c r="I20620" s="489"/>
    </row>
    <row r="20621" spans="1:9" x14ac:dyDescent="0.25">
      <c r="A20621">
        <v>7130</v>
      </c>
      <c r="B20621" t="s">
        <v>24124</v>
      </c>
      <c r="C20621" t="s">
        <v>2537</v>
      </c>
      <c r="D20621" s="254">
        <v>18.45</v>
      </c>
      <c r="E20621"/>
      <c r="F20621"/>
      <c r="G20621"/>
      <c r="H20621"/>
      <c r="I20621" s="489"/>
    </row>
    <row r="20622" spans="1:9" x14ac:dyDescent="0.25">
      <c r="A20622">
        <v>7131</v>
      </c>
      <c r="B20622" t="s">
        <v>24125</v>
      </c>
      <c r="C20622" t="s">
        <v>2537</v>
      </c>
      <c r="D20622" s="254">
        <v>22.63</v>
      </c>
      <c r="E20622"/>
      <c r="F20622"/>
      <c r="G20622"/>
      <c r="H20622"/>
      <c r="I20622" s="489"/>
    </row>
    <row r="20623" spans="1:9" x14ac:dyDescent="0.25">
      <c r="A20623">
        <v>7132</v>
      </c>
      <c r="B20623" t="s">
        <v>24126</v>
      </c>
      <c r="C20623" t="s">
        <v>2537</v>
      </c>
      <c r="D20623" s="254">
        <v>62.83</v>
      </c>
      <c r="E20623"/>
      <c r="F20623"/>
      <c r="G20623"/>
      <c r="H20623"/>
      <c r="I20623" s="489"/>
    </row>
    <row r="20624" spans="1:9" x14ac:dyDescent="0.25">
      <c r="A20624">
        <v>7133</v>
      </c>
      <c r="B20624" t="s">
        <v>24127</v>
      </c>
      <c r="C20624" t="s">
        <v>2537</v>
      </c>
      <c r="D20624" s="254">
        <v>97.59</v>
      </c>
      <c r="E20624"/>
      <c r="F20624"/>
      <c r="G20624"/>
      <c r="H20624"/>
      <c r="I20624" s="489"/>
    </row>
    <row r="20625" spans="1:9" x14ac:dyDescent="0.25">
      <c r="A20625">
        <v>37420</v>
      </c>
      <c r="B20625" t="s">
        <v>24128</v>
      </c>
      <c r="C20625" t="s">
        <v>2537</v>
      </c>
      <c r="D20625" s="254">
        <v>51.37</v>
      </c>
      <c r="E20625"/>
      <c r="F20625"/>
      <c r="G20625"/>
      <c r="H20625"/>
      <c r="I20625" s="489"/>
    </row>
    <row r="20626" spans="1:9" x14ac:dyDescent="0.25">
      <c r="A20626">
        <v>37421</v>
      </c>
      <c r="B20626" t="s">
        <v>24129</v>
      </c>
      <c r="C20626" t="s">
        <v>2537</v>
      </c>
      <c r="D20626" s="254">
        <v>70.209999999999994</v>
      </c>
      <c r="E20626"/>
      <c r="F20626"/>
      <c r="G20626"/>
      <c r="H20626"/>
      <c r="I20626" s="489"/>
    </row>
    <row r="20627" spans="1:9" x14ac:dyDescent="0.25">
      <c r="A20627">
        <v>37422</v>
      </c>
      <c r="B20627" t="s">
        <v>24130</v>
      </c>
      <c r="C20627" t="s">
        <v>2537</v>
      </c>
      <c r="D20627" s="254">
        <v>65.72</v>
      </c>
      <c r="E20627"/>
      <c r="F20627"/>
      <c r="G20627"/>
      <c r="H20627"/>
      <c r="I20627" s="489"/>
    </row>
    <row r="20628" spans="1:9" x14ac:dyDescent="0.25">
      <c r="A20628">
        <v>37443</v>
      </c>
      <c r="B20628" t="s">
        <v>24131</v>
      </c>
      <c r="C20628" t="s">
        <v>2537</v>
      </c>
      <c r="D20628" s="254">
        <v>210.18</v>
      </c>
      <c r="E20628"/>
      <c r="F20628"/>
      <c r="G20628"/>
      <c r="H20628"/>
      <c r="I20628" s="489"/>
    </row>
    <row r="20629" spans="1:9" x14ac:dyDescent="0.25">
      <c r="A20629">
        <v>37444</v>
      </c>
      <c r="B20629" t="s">
        <v>24132</v>
      </c>
      <c r="C20629" t="s">
        <v>2537</v>
      </c>
      <c r="D20629" s="254">
        <v>213.75</v>
      </c>
      <c r="E20629"/>
      <c r="F20629"/>
      <c r="G20629"/>
      <c r="H20629"/>
      <c r="I20629" s="489"/>
    </row>
    <row r="20630" spans="1:9" x14ac:dyDescent="0.25">
      <c r="A20630">
        <v>37445</v>
      </c>
      <c r="B20630" t="s">
        <v>24133</v>
      </c>
      <c r="C20630" t="s">
        <v>2537</v>
      </c>
      <c r="D20630" s="254">
        <v>323.98</v>
      </c>
      <c r="E20630"/>
      <c r="F20630"/>
      <c r="G20630"/>
      <c r="H20630"/>
      <c r="I20630" s="489"/>
    </row>
    <row r="20631" spans="1:9" x14ac:dyDescent="0.25">
      <c r="A20631">
        <v>37446</v>
      </c>
      <c r="B20631" t="s">
        <v>24134</v>
      </c>
      <c r="C20631" t="s">
        <v>2537</v>
      </c>
      <c r="D20631" s="254">
        <v>353.19</v>
      </c>
      <c r="E20631"/>
      <c r="F20631"/>
      <c r="G20631"/>
      <c r="H20631"/>
      <c r="I20631" s="489"/>
    </row>
    <row r="20632" spans="1:9" x14ac:dyDescent="0.25">
      <c r="A20632">
        <v>37447</v>
      </c>
      <c r="B20632" t="s">
        <v>24135</v>
      </c>
      <c r="C20632" t="s">
        <v>2537</v>
      </c>
      <c r="D20632" s="254">
        <v>358.72</v>
      </c>
      <c r="E20632"/>
      <c r="F20632"/>
      <c r="G20632"/>
      <c r="H20632"/>
      <c r="I20632" s="489"/>
    </row>
    <row r="20633" spans="1:9" x14ac:dyDescent="0.25">
      <c r="A20633">
        <v>37448</v>
      </c>
      <c r="B20633" t="s">
        <v>24136</v>
      </c>
      <c r="C20633" t="s">
        <v>2537</v>
      </c>
      <c r="D20633" s="254">
        <v>492.04</v>
      </c>
      <c r="E20633"/>
      <c r="F20633"/>
      <c r="G20633"/>
      <c r="H20633"/>
      <c r="I20633" s="489"/>
    </row>
    <row r="20634" spans="1:9" x14ac:dyDescent="0.25">
      <c r="A20634">
        <v>37440</v>
      </c>
      <c r="B20634" t="s">
        <v>24137</v>
      </c>
      <c r="C20634" t="s">
        <v>2537</v>
      </c>
      <c r="D20634" s="254">
        <v>166.83</v>
      </c>
      <c r="E20634"/>
      <c r="F20634"/>
      <c r="G20634"/>
      <c r="H20634"/>
      <c r="I20634" s="489"/>
    </row>
    <row r="20635" spans="1:9" x14ac:dyDescent="0.25">
      <c r="A20635">
        <v>37441</v>
      </c>
      <c r="B20635" t="s">
        <v>24138</v>
      </c>
      <c r="C20635" t="s">
        <v>2537</v>
      </c>
      <c r="D20635" s="254">
        <v>166.83</v>
      </c>
      <c r="E20635"/>
      <c r="F20635"/>
      <c r="G20635"/>
      <c r="H20635"/>
      <c r="I20635" s="489"/>
    </row>
    <row r="20636" spans="1:9" x14ac:dyDescent="0.25">
      <c r="A20636">
        <v>37442</v>
      </c>
      <c r="B20636" t="s">
        <v>24139</v>
      </c>
      <c r="C20636" t="s">
        <v>2537</v>
      </c>
      <c r="D20636" s="254">
        <v>200.93</v>
      </c>
      <c r="E20636"/>
      <c r="F20636"/>
      <c r="G20636"/>
      <c r="H20636"/>
      <c r="I20636" s="489"/>
    </row>
    <row r="20637" spans="1:9" x14ac:dyDescent="0.25">
      <c r="A20637">
        <v>38017</v>
      </c>
      <c r="B20637" t="s">
        <v>24140</v>
      </c>
      <c r="C20637" t="s">
        <v>2537</v>
      </c>
      <c r="D20637" s="254">
        <v>8.7200000000000006</v>
      </c>
      <c r="E20637"/>
      <c r="F20637"/>
      <c r="G20637"/>
      <c r="H20637"/>
      <c r="I20637" s="489"/>
    </row>
    <row r="20638" spans="1:9" x14ac:dyDescent="0.25">
      <c r="A20638">
        <v>38018</v>
      </c>
      <c r="B20638" t="s">
        <v>24141</v>
      </c>
      <c r="C20638" t="s">
        <v>2537</v>
      </c>
      <c r="D20638" s="254">
        <v>9.6199999999999992</v>
      </c>
      <c r="E20638"/>
      <c r="F20638"/>
      <c r="G20638"/>
      <c r="H20638"/>
      <c r="I20638" s="489"/>
    </row>
    <row r="20639" spans="1:9" x14ac:dyDescent="0.25">
      <c r="A20639">
        <v>39895</v>
      </c>
      <c r="B20639" t="s">
        <v>24142</v>
      </c>
      <c r="C20639" t="s">
        <v>2537</v>
      </c>
      <c r="D20639" s="254">
        <v>48.3</v>
      </c>
      <c r="E20639"/>
      <c r="F20639"/>
      <c r="G20639"/>
      <c r="H20639"/>
      <c r="I20639" s="489"/>
    </row>
    <row r="20640" spans="1:9" x14ac:dyDescent="0.25">
      <c r="A20640">
        <v>39896</v>
      </c>
      <c r="B20640" t="s">
        <v>24143</v>
      </c>
      <c r="C20640" t="s">
        <v>2537</v>
      </c>
      <c r="D20640" s="254">
        <v>70.8</v>
      </c>
      <c r="E20640"/>
      <c r="F20640"/>
      <c r="G20640"/>
      <c r="H20640"/>
      <c r="I20640" s="489"/>
    </row>
    <row r="20641" spans="1:9" x14ac:dyDescent="0.25">
      <c r="A20641">
        <v>38873</v>
      </c>
      <c r="B20641" t="s">
        <v>24144</v>
      </c>
      <c r="C20641" t="s">
        <v>2537</v>
      </c>
      <c r="D20641" s="254">
        <v>14.19</v>
      </c>
      <c r="E20641"/>
      <c r="F20641"/>
      <c r="G20641"/>
      <c r="H20641"/>
      <c r="I20641" s="489"/>
    </row>
    <row r="20642" spans="1:9" x14ac:dyDescent="0.25">
      <c r="A20642">
        <v>38874</v>
      </c>
      <c r="B20642" t="s">
        <v>24145</v>
      </c>
      <c r="C20642" t="s">
        <v>2537</v>
      </c>
      <c r="D20642" s="254">
        <v>17.260000000000002</v>
      </c>
      <c r="E20642"/>
      <c r="F20642"/>
      <c r="G20642"/>
      <c r="H20642"/>
      <c r="I20642" s="489"/>
    </row>
    <row r="20643" spans="1:9" x14ac:dyDescent="0.25">
      <c r="A20643">
        <v>38875</v>
      </c>
      <c r="B20643" t="s">
        <v>24146</v>
      </c>
      <c r="C20643" t="s">
        <v>2537</v>
      </c>
      <c r="D20643" s="254">
        <v>30.5</v>
      </c>
      <c r="E20643"/>
      <c r="F20643"/>
      <c r="G20643"/>
      <c r="H20643"/>
      <c r="I20643" s="489"/>
    </row>
    <row r="20644" spans="1:9" x14ac:dyDescent="0.25">
      <c r="A20644">
        <v>38876</v>
      </c>
      <c r="B20644" t="s">
        <v>24147</v>
      </c>
      <c r="C20644" t="s">
        <v>2537</v>
      </c>
      <c r="D20644" s="254">
        <v>41.04</v>
      </c>
      <c r="E20644"/>
      <c r="F20644"/>
      <c r="G20644"/>
      <c r="H20644"/>
      <c r="I20644" s="489"/>
    </row>
    <row r="20645" spans="1:9" x14ac:dyDescent="0.25">
      <c r="A20645">
        <v>39000</v>
      </c>
      <c r="B20645" t="s">
        <v>24148</v>
      </c>
      <c r="C20645" t="s">
        <v>2537</v>
      </c>
      <c r="D20645" s="254">
        <v>39.020000000000003</v>
      </c>
      <c r="E20645"/>
      <c r="F20645"/>
      <c r="G20645"/>
      <c r="H20645"/>
      <c r="I20645" s="489"/>
    </row>
    <row r="20646" spans="1:9" x14ac:dyDescent="0.25">
      <c r="A20646">
        <v>38674</v>
      </c>
      <c r="B20646" t="s">
        <v>24149</v>
      </c>
      <c r="C20646" t="s">
        <v>2537</v>
      </c>
      <c r="D20646" s="254">
        <v>30.33</v>
      </c>
      <c r="E20646"/>
      <c r="F20646"/>
      <c r="G20646"/>
      <c r="H20646"/>
      <c r="I20646" s="489"/>
    </row>
    <row r="20647" spans="1:9" x14ac:dyDescent="0.25">
      <c r="A20647">
        <v>38911</v>
      </c>
      <c r="B20647" t="s">
        <v>24150</v>
      </c>
      <c r="C20647" t="s">
        <v>2537</v>
      </c>
      <c r="D20647" s="254">
        <v>50.89</v>
      </c>
      <c r="E20647"/>
      <c r="F20647"/>
      <c r="G20647"/>
      <c r="H20647"/>
      <c r="I20647" s="489"/>
    </row>
    <row r="20648" spans="1:9" x14ac:dyDescent="0.25">
      <c r="A20648">
        <v>38912</v>
      </c>
      <c r="B20648" t="s">
        <v>24151</v>
      </c>
      <c r="C20648" t="s">
        <v>2537</v>
      </c>
      <c r="D20648" s="254">
        <v>64.680000000000007</v>
      </c>
      <c r="E20648"/>
      <c r="F20648"/>
      <c r="G20648"/>
      <c r="H20648"/>
      <c r="I20648" s="489"/>
    </row>
    <row r="20649" spans="1:9" x14ac:dyDescent="0.25">
      <c r="A20649">
        <v>38019</v>
      </c>
      <c r="B20649" t="s">
        <v>24152</v>
      </c>
      <c r="C20649" t="s">
        <v>2537</v>
      </c>
      <c r="D20649" s="254">
        <v>7.6</v>
      </c>
      <c r="E20649"/>
      <c r="F20649"/>
      <c r="G20649"/>
      <c r="H20649"/>
      <c r="I20649" s="489"/>
    </row>
    <row r="20650" spans="1:9" x14ac:dyDescent="0.25">
      <c r="A20650">
        <v>38020</v>
      </c>
      <c r="B20650" t="s">
        <v>24153</v>
      </c>
      <c r="C20650" t="s">
        <v>2537</v>
      </c>
      <c r="D20650" s="254">
        <v>9.6199999999999992</v>
      </c>
      <c r="E20650"/>
      <c r="F20650"/>
      <c r="G20650"/>
      <c r="H20650"/>
      <c r="I20650" s="489"/>
    </row>
    <row r="20651" spans="1:9" x14ac:dyDescent="0.25">
      <c r="A20651">
        <v>38454</v>
      </c>
      <c r="B20651" t="s">
        <v>24154</v>
      </c>
      <c r="C20651" t="s">
        <v>2537</v>
      </c>
      <c r="D20651" s="254">
        <v>7.12</v>
      </c>
      <c r="E20651"/>
      <c r="F20651"/>
      <c r="G20651"/>
      <c r="H20651"/>
      <c r="I20651" s="489"/>
    </row>
    <row r="20652" spans="1:9" x14ac:dyDescent="0.25">
      <c r="A20652">
        <v>38455</v>
      </c>
      <c r="B20652" t="s">
        <v>24155</v>
      </c>
      <c r="C20652" t="s">
        <v>2537</v>
      </c>
      <c r="D20652" s="254">
        <v>6.52</v>
      </c>
      <c r="E20652"/>
      <c r="F20652"/>
      <c r="G20652"/>
      <c r="H20652"/>
      <c r="I20652" s="489"/>
    </row>
    <row r="20653" spans="1:9" x14ac:dyDescent="0.25">
      <c r="A20653">
        <v>38462</v>
      </c>
      <c r="B20653" t="s">
        <v>24156</v>
      </c>
      <c r="C20653" t="s">
        <v>2537</v>
      </c>
      <c r="D20653" s="254">
        <v>183.99</v>
      </c>
      <c r="E20653"/>
      <c r="F20653"/>
      <c r="G20653"/>
      <c r="H20653"/>
      <c r="I20653" s="489"/>
    </row>
    <row r="20654" spans="1:9" x14ac:dyDescent="0.25">
      <c r="A20654">
        <v>36362</v>
      </c>
      <c r="B20654" t="s">
        <v>24157</v>
      </c>
      <c r="C20654" t="s">
        <v>2537</v>
      </c>
      <c r="D20654" s="254">
        <v>2.8</v>
      </c>
      <c r="E20654"/>
      <c r="F20654"/>
      <c r="G20654"/>
      <c r="H20654"/>
      <c r="I20654" s="489"/>
    </row>
    <row r="20655" spans="1:9" x14ac:dyDescent="0.25">
      <c r="A20655">
        <v>36298</v>
      </c>
      <c r="B20655" t="s">
        <v>24158</v>
      </c>
      <c r="C20655" t="s">
        <v>2537</v>
      </c>
      <c r="D20655" s="254">
        <v>4.1500000000000004</v>
      </c>
      <c r="E20655"/>
      <c r="F20655"/>
      <c r="G20655"/>
      <c r="H20655"/>
      <c r="I20655" s="489"/>
    </row>
    <row r="20656" spans="1:9" x14ac:dyDescent="0.25">
      <c r="A20656">
        <v>38456</v>
      </c>
      <c r="B20656" t="s">
        <v>24159</v>
      </c>
      <c r="C20656" t="s">
        <v>2537</v>
      </c>
      <c r="D20656" s="254">
        <v>6.77</v>
      </c>
      <c r="E20656"/>
      <c r="F20656"/>
      <c r="G20656"/>
      <c r="H20656"/>
      <c r="I20656" s="489"/>
    </row>
    <row r="20657" spans="1:9" x14ac:dyDescent="0.25">
      <c r="A20657">
        <v>38457</v>
      </c>
      <c r="B20657" t="s">
        <v>24160</v>
      </c>
      <c r="C20657" t="s">
        <v>2537</v>
      </c>
      <c r="D20657" s="254">
        <v>15.25</v>
      </c>
      <c r="E20657"/>
      <c r="F20657"/>
      <c r="G20657"/>
      <c r="H20657"/>
      <c r="I20657" s="489"/>
    </row>
    <row r="20658" spans="1:9" x14ac:dyDescent="0.25">
      <c r="A20658">
        <v>38458</v>
      </c>
      <c r="B20658" t="s">
        <v>24161</v>
      </c>
      <c r="C20658" t="s">
        <v>2537</v>
      </c>
      <c r="D20658" s="254">
        <v>20.45</v>
      </c>
      <c r="E20658"/>
      <c r="F20658"/>
      <c r="G20658"/>
      <c r="H20658"/>
      <c r="I20658" s="489"/>
    </row>
    <row r="20659" spans="1:9" x14ac:dyDescent="0.25">
      <c r="A20659">
        <v>38459</v>
      </c>
      <c r="B20659" t="s">
        <v>24162</v>
      </c>
      <c r="C20659" t="s">
        <v>2537</v>
      </c>
      <c r="D20659" s="254">
        <v>36.08</v>
      </c>
      <c r="E20659"/>
      <c r="F20659"/>
      <c r="G20659"/>
      <c r="H20659"/>
      <c r="I20659" s="489"/>
    </row>
    <row r="20660" spans="1:9" x14ac:dyDescent="0.25">
      <c r="A20660">
        <v>38460</v>
      </c>
      <c r="B20660" t="s">
        <v>24163</v>
      </c>
      <c r="C20660" t="s">
        <v>2537</v>
      </c>
      <c r="D20660" s="254">
        <v>75.37</v>
      </c>
      <c r="E20660"/>
      <c r="F20660"/>
      <c r="G20660"/>
      <c r="H20660"/>
      <c r="I20660" s="489"/>
    </row>
    <row r="20661" spans="1:9" x14ac:dyDescent="0.25">
      <c r="A20661">
        <v>38461</v>
      </c>
      <c r="B20661" t="s">
        <v>24164</v>
      </c>
      <c r="C20661" t="s">
        <v>2537</v>
      </c>
      <c r="D20661" s="254">
        <v>114.98</v>
      </c>
      <c r="E20661"/>
      <c r="F20661"/>
      <c r="G20661"/>
      <c r="H20661"/>
      <c r="I20661" s="489"/>
    </row>
    <row r="20662" spans="1:9" x14ac:dyDescent="0.25">
      <c r="A20662">
        <v>7094</v>
      </c>
      <c r="B20662" t="s">
        <v>24165</v>
      </c>
      <c r="C20662" t="s">
        <v>2537</v>
      </c>
      <c r="D20662" s="254">
        <v>14.26</v>
      </c>
      <c r="E20662"/>
      <c r="F20662"/>
      <c r="G20662"/>
      <c r="H20662"/>
      <c r="I20662" s="489"/>
    </row>
    <row r="20663" spans="1:9" x14ac:dyDescent="0.25">
      <c r="A20663">
        <v>7116</v>
      </c>
      <c r="B20663" t="s">
        <v>24166</v>
      </c>
      <c r="C20663" t="s">
        <v>2537</v>
      </c>
      <c r="D20663" s="254">
        <v>3.67</v>
      </c>
      <c r="E20663"/>
      <c r="F20663"/>
      <c r="G20663"/>
      <c r="H20663"/>
      <c r="I20663" s="489"/>
    </row>
    <row r="20664" spans="1:9" x14ac:dyDescent="0.25">
      <c r="A20664">
        <v>7118</v>
      </c>
      <c r="B20664" t="s">
        <v>24167</v>
      </c>
      <c r="C20664" t="s">
        <v>2537</v>
      </c>
      <c r="D20664" s="254">
        <v>31.48</v>
      </c>
      <c r="E20664"/>
      <c r="F20664"/>
      <c r="G20664"/>
      <c r="H20664"/>
      <c r="I20664" s="489"/>
    </row>
    <row r="20665" spans="1:9" x14ac:dyDescent="0.25">
      <c r="A20665">
        <v>7117</v>
      </c>
      <c r="B20665" t="s">
        <v>24168</v>
      </c>
      <c r="C20665" t="s">
        <v>2537</v>
      </c>
      <c r="D20665" s="254">
        <v>27.99</v>
      </c>
      <c r="E20665"/>
      <c r="F20665"/>
      <c r="G20665"/>
      <c r="H20665"/>
      <c r="I20665" s="489"/>
    </row>
    <row r="20666" spans="1:9" x14ac:dyDescent="0.25">
      <c r="A20666">
        <v>7098</v>
      </c>
      <c r="B20666" t="s">
        <v>24169</v>
      </c>
      <c r="C20666" t="s">
        <v>2537</v>
      </c>
      <c r="D20666" s="254">
        <v>3.9</v>
      </c>
      <c r="E20666"/>
      <c r="F20666"/>
      <c r="G20666"/>
      <c r="H20666"/>
      <c r="I20666" s="489"/>
    </row>
    <row r="20667" spans="1:9" x14ac:dyDescent="0.25">
      <c r="A20667">
        <v>7110</v>
      </c>
      <c r="B20667" t="s">
        <v>24170</v>
      </c>
      <c r="C20667" t="s">
        <v>2537</v>
      </c>
      <c r="D20667" s="254">
        <v>68.47</v>
      </c>
      <c r="E20667"/>
      <c r="F20667"/>
      <c r="G20667"/>
      <c r="H20667"/>
      <c r="I20667" s="489"/>
    </row>
    <row r="20668" spans="1:9" x14ac:dyDescent="0.25">
      <c r="A20668">
        <v>7123</v>
      </c>
      <c r="B20668" t="s">
        <v>24171</v>
      </c>
      <c r="C20668" t="s">
        <v>2537</v>
      </c>
      <c r="D20668" s="254">
        <v>5.0199999999999996</v>
      </c>
      <c r="E20668"/>
      <c r="F20668"/>
      <c r="G20668"/>
      <c r="H20668"/>
      <c r="I20668" s="489"/>
    </row>
    <row r="20669" spans="1:9" x14ac:dyDescent="0.25">
      <c r="A20669">
        <v>7121</v>
      </c>
      <c r="B20669" t="s">
        <v>24172</v>
      </c>
      <c r="C20669" t="s">
        <v>2537</v>
      </c>
      <c r="D20669" s="254">
        <v>12.37</v>
      </c>
      <c r="E20669"/>
      <c r="F20669"/>
      <c r="G20669"/>
      <c r="H20669"/>
      <c r="I20669" s="489"/>
    </row>
    <row r="20670" spans="1:9" x14ac:dyDescent="0.25">
      <c r="A20670">
        <v>7137</v>
      </c>
      <c r="B20670" t="s">
        <v>24173</v>
      </c>
      <c r="C20670" t="s">
        <v>2537</v>
      </c>
      <c r="D20670" s="254">
        <v>11.13</v>
      </c>
      <c r="E20670"/>
      <c r="F20670"/>
      <c r="G20670"/>
      <c r="H20670"/>
      <c r="I20670" s="489"/>
    </row>
    <row r="20671" spans="1:9" x14ac:dyDescent="0.25">
      <c r="A20671">
        <v>7122</v>
      </c>
      <c r="B20671" t="s">
        <v>24174</v>
      </c>
      <c r="C20671" t="s">
        <v>2537</v>
      </c>
      <c r="D20671" s="254">
        <v>13.92</v>
      </c>
      <c r="E20671"/>
      <c r="F20671"/>
      <c r="G20671"/>
      <c r="H20671"/>
      <c r="I20671" s="489"/>
    </row>
    <row r="20672" spans="1:9" x14ac:dyDescent="0.25">
      <c r="A20672">
        <v>7114</v>
      </c>
      <c r="B20672" t="s">
        <v>24175</v>
      </c>
      <c r="C20672" t="s">
        <v>2537</v>
      </c>
      <c r="D20672" s="254">
        <v>21.46</v>
      </c>
      <c r="E20672"/>
      <c r="F20672"/>
      <c r="G20672"/>
      <c r="H20672"/>
      <c r="I20672" s="489"/>
    </row>
    <row r="20673" spans="1:9" x14ac:dyDescent="0.25">
      <c r="A20673">
        <v>7109</v>
      </c>
      <c r="B20673" t="s">
        <v>24176</v>
      </c>
      <c r="C20673" t="s">
        <v>2537</v>
      </c>
      <c r="D20673" s="254">
        <v>3.76</v>
      </c>
      <c r="E20673"/>
      <c r="F20673"/>
      <c r="G20673"/>
      <c r="H20673"/>
      <c r="I20673" s="489"/>
    </row>
    <row r="20674" spans="1:9" x14ac:dyDescent="0.25">
      <c r="A20674">
        <v>7135</v>
      </c>
      <c r="B20674" t="s">
        <v>24177</v>
      </c>
      <c r="C20674" t="s">
        <v>2537</v>
      </c>
      <c r="D20674" s="254">
        <v>5.86</v>
      </c>
      <c r="E20674"/>
      <c r="F20674"/>
      <c r="G20674"/>
      <c r="H20674"/>
      <c r="I20674" s="489"/>
    </row>
    <row r="20675" spans="1:9" x14ac:dyDescent="0.25">
      <c r="A20675">
        <v>37947</v>
      </c>
      <c r="B20675" t="s">
        <v>24178</v>
      </c>
      <c r="C20675" t="s">
        <v>2537</v>
      </c>
      <c r="D20675" s="254">
        <v>5.94</v>
      </c>
      <c r="E20675"/>
      <c r="F20675"/>
      <c r="G20675"/>
      <c r="H20675"/>
      <c r="I20675" s="489"/>
    </row>
    <row r="20676" spans="1:9" x14ac:dyDescent="0.25">
      <c r="A20676">
        <v>7103</v>
      </c>
      <c r="B20676" t="s">
        <v>24179</v>
      </c>
      <c r="C20676" t="s">
        <v>2537</v>
      </c>
      <c r="D20676" s="254">
        <v>13.61</v>
      </c>
      <c r="E20676"/>
      <c r="F20676"/>
      <c r="G20676"/>
      <c r="H20676"/>
      <c r="I20676" s="489"/>
    </row>
    <row r="20677" spans="1:9" x14ac:dyDescent="0.25">
      <c r="A20677">
        <v>40419</v>
      </c>
      <c r="B20677" t="s">
        <v>24180</v>
      </c>
      <c r="C20677" t="s">
        <v>2537</v>
      </c>
      <c r="D20677" s="254">
        <v>43.74</v>
      </c>
      <c r="E20677"/>
      <c r="F20677"/>
      <c r="G20677"/>
      <c r="H20677"/>
      <c r="I20677" s="489"/>
    </row>
    <row r="20678" spans="1:9" x14ac:dyDescent="0.25">
      <c r="A20678">
        <v>40420</v>
      </c>
      <c r="B20678" t="s">
        <v>24181</v>
      </c>
      <c r="C20678" t="s">
        <v>2537</v>
      </c>
      <c r="D20678" s="254">
        <v>63.82</v>
      </c>
      <c r="E20678"/>
      <c r="F20678"/>
      <c r="G20678"/>
      <c r="H20678"/>
      <c r="I20678" s="489"/>
    </row>
    <row r="20679" spans="1:9" x14ac:dyDescent="0.25">
      <c r="A20679">
        <v>40421</v>
      </c>
      <c r="B20679" t="s">
        <v>24182</v>
      </c>
      <c r="C20679" t="s">
        <v>2537</v>
      </c>
      <c r="D20679" s="254">
        <v>67.94</v>
      </c>
      <c r="E20679"/>
      <c r="F20679"/>
      <c r="G20679"/>
      <c r="H20679"/>
      <c r="I20679" s="489"/>
    </row>
    <row r="20680" spans="1:9" x14ac:dyDescent="0.25">
      <c r="A20680">
        <v>7126</v>
      </c>
      <c r="B20680" t="s">
        <v>24183</v>
      </c>
      <c r="C20680" t="s">
        <v>2537</v>
      </c>
      <c r="D20680" s="254">
        <v>28.56</v>
      </c>
      <c r="E20680"/>
      <c r="F20680"/>
      <c r="G20680"/>
      <c r="H20680"/>
      <c r="I20680" s="489"/>
    </row>
    <row r="20681" spans="1:9" x14ac:dyDescent="0.25">
      <c r="A20681">
        <v>38905</v>
      </c>
      <c r="B20681" t="s">
        <v>24184</v>
      </c>
      <c r="C20681" t="s">
        <v>2537</v>
      </c>
      <c r="D20681" s="254">
        <v>15.95</v>
      </c>
      <c r="E20681"/>
      <c r="F20681"/>
      <c r="G20681"/>
      <c r="H20681"/>
      <c r="I20681" s="489"/>
    </row>
    <row r="20682" spans="1:9" x14ac:dyDescent="0.25">
      <c r="A20682">
        <v>38907</v>
      </c>
      <c r="B20682" t="s">
        <v>24185</v>
      </c>
      <c r="C20682" t="s">
        <v>2537</v>
      </c>
      <c r="D20682" s="254">
        <v>16.97</v>
      </c>
      <c r="E20682"/>
      <c r="F20682"/>
      <c r="G20682"/>
      <c r="H20682"/>
      <c r="I20682" s="489"/>
    </row>
    <row r="20683" spans="1:9" x14ac:dyDescent="0.25">
      <c r="A20683">
        <v>38908</v>
      </c>
      <c r="B20683" t="s">
        <v>24186</v>
      </c>
      <c r="C20683" t="s">
        <v>2537</v>
      </c>
      <c r="D20683" s="254">
        <v>19.09</v>
      </c>
      <c r="E20683"/>
      <c r="F20683"/>
      <c r="G20683"/>
      <c r="H20683"/>
      <c r="I20683" s="489"/>
    </row>
    <row r="20684" spans="1:9" x14ac:dyDescent="0.25">
      <c r="A20684">
        <v>38909</v>
      </c>
      <c r="B20684" t="s">
        <v>24187</v>
      </c>
      <c r="C20684" t="s">
        <v>2537</v>
      </c>
      <c r="D20684" s="254">
        <v>27.45</v>
      </c>
      <c r="E20684"/>
      <c r="F20684"/>
      <c r="G20684"/>
      <c r="H20684"/>
      <c r="I20684" s="489"/>
    </row>
    <row r="20685" spans="1:9" x14ac:dyDescent="0.25">
      <c r="A20685">
        <v>38910</v>
      </c>
      <c r="B20685" t="s">
        <v>24188</v>
      </c>
      <c r="C20685" t="s">
        <v>2537</v>
      </c>
      <c r="D20685" s="254">
        <v>29.65</v>
      </c>
      <c r="E20685"/>
      <c r="F20685"/>
      <c r="G20685"/>
      <c r="H20685"/>
      <c r="I20685" s="489"/>
    </row>
    <row r="20686" spans="1:9" x14ac:dyDescent="0.25">
      <c r="A20686">
        <v>38897</v>
      </c>
      <c r="B20686" t="s">
        <v>24189</v>
      </c>
      <c r="C20686" t="s">
        <v>2537</v>
      </c>
      <c r="D20686" s="254">
        <v>16.010000000000002</v>
      </c>
      <c r="E20686"/>
      <c r="F20686"/>
      <c r="G20686"/>
      <c r="H20686"/>
      <c r="I20686" s="489"/>
    </row>
    <row r="20687" spans="1:9" x14ac:dyDescent="0.25">
      <c r="A20687">
        <v>38899</v>
      </c>
      <c r="B20687" t="s">
        <v>24190</v>
      </c>
      <c r="C20687" t="s">
        <v>2537</v>
      </c>
      <c r="D20687" s="254">
        <v>18.010000000000002</v>
      </c>
      <c r="E20687"/>
      <c r="F20687"/>
      <c r="G20687"/>
      <c r="H20687"/>
      <c r="I20687" s="489"/>
    </row>
    <row r="20688" spans="1:9" x14ac:dyDescent="0.25">
      <c r="A20688">
        <v>38900</v>
      </c>
      <c r="B20688" t="s">
        <v>24191</v>
      </c>
      <c r="C20688" t="s">
        <v>2537</v>
      </c>
      <c r="D20688" s="254">
        <v>18.78</v>
      </c>
      <c r="E20688"/>
      <c r="F20688"/>
      <c r="G20688"/>
      <c r="H20688"/>
      <c r="I20688" s="489"/>
    </row>
    <row r="20689" spans="1:9" x14ac:dyDescent="0.25">
      <c r="A20689">
        <v>38901</v>
      </c>
      <c r="B20689" t="s">
        <v>24192</v>
      </c>
      <c r="C20689" t="s">
        <v>2537</v>
      </c>
      <c r="D20689" s="254">
        <v>30.72</v>
      </c>
      <c r="E20689"/>
      <c r="F20689"/>
      <c r="G20689"/>
      <c r="H20689"/>
      <c r="I20689" s="489"/>
    </row>
    <row r="20690" spans="1:9" x14ac:dyDescent="0.25">
      <c r="A20690">
        <v>38904</v>
      </c>
      <c r="B20690" t="s">
        <v>24193</v>
      </c>
      <c r="C20690" t="s">
        <v>2537</v>
      </c>
      <c r="D20690" s="254">
        <v>49.91</v>
      </c>
      <c r="E20690"/>
      <c r="F20690"/>
      <c r="G20690"/>
      <c r="H20690"/>
      <c r="I20690" s="489"/>
    </row>
    <row r="20691" spans="1:9" x14ac:dyDescent="0.25">
      <c r="A20691">
        <v>38903</v>
      </c>
      <c r="B20691" t="s">
        <v>24194</v>
      </c>
      <c r="C20691" t="s">
        <v>2537</v>
      </c>
      <c r="D20691" s="254">
        <v>49.6</v>
      </c>
      <c r="E20691"/>
      <c r="F20691"/>
      <c r="G20691"/>
      <c r="H20691"/>
      <c r="I20691" s="489"/>
    </row>
    <row r="20692" spans="1:9" x14ac:dyDescent="0.25">
      <c r="A20692">
        <v>7091</v>
      </c>
      <c r="B20692" t="s">
        <v>24195</v>
      </c>
      <c r="C20692" t="s">
        <v>2537</v>
      </c>
      <c r="D20692" s="254">
        <v>17.3</v>
      </c>
      <c r="E20692"/>
      <c r="F20692"/>
      <c r="G20692"/>
      <c r="H20692"/>
      <c r="I20692" s="489"/>
    </row>
    <row r="20693" spans="1:9" x14ac:dyDescent="0.25">
      <c r="A20693">
        <v>11655</v>
      </c>
      <c r="B20693" t="s">
        <v>24196</v>
      </c>
      <c r="C20693" t="s">
        <v>2537</v>
      </c>
      <c r="D20693" s="254">
        <v>16.52</v>
      </c>
      <c r="E20693"/>
      <c r="F20693"/>
      <c r="G20693"/>
      <c r="H20693"/>
      <c r="I20693" s="489"/>
    </row>
    <row r="20694" spans="1:9" x14ac:dyDescent="0.25">
      <c r="A20694">
        <v>11656</v>
      </c>
      <c r="B20694" t="s">
        <v>24197</v>
      </c>
      <c r="C20694" t="s">
        <v>2537</v>
      </c>
      <c r="D20694" s="254">
        <v>17.28</v>
      </c>
      <c r="E20694"/>
      <c r="F20694"/>
      <c r="G20694"/>
      <c r="H20694"/>
      <c r="I20694" s="489"/>
    </row>
    <row r="20695" spans="1:9" x14ac:dyDescent="0.25">
      <c r="A20695">
        <v>37948</v>
      </c>
      <c r="B20695" t="s">
        <v>24198</v>
      </c>
      <c r="C20695" t="s">
        <v>2537</v>
      </c>
      <c r="D20695" s="254">
        <v>3.5</v>
      </c>
      <c r="E20695"/>
      <c r="F20695"/>
      <c r="G20695"/>
      <c r="H20695"/>
      <c r="I20695" s="489"/>
    </row>
    <row r="20696" spans="1:9" x14ac:dyDescent="0.25">
      <c r="A20696">
        <v>7097</v>
      </c>
      <c r="B20696" t="s">
        <v>24199</v>
      </c>
      <c r="C20696" t="s">
        <v>2537</v>
      </c>
      <c r="D20696" s="254">
        <v>7.68</v>
      </c>
      <c r="E20696"/>
      <c r="F20696"/>
      <c r="G20696"/>
      <c r="H20696"/>
      <c r="I20696" s="489"/>
    </row>
    <row r="20697" spans="1:9" x14ac:dyDescent="0.25">
      <c r="A20697">
        <v>11657</v>
      </c>
      <c r="B20697" t="s">
        <v>24200</v>
      </c>
      <c r="C20697" t="s">
        <v>2537</v>
      </c>
      <c r="D20697" s="254">
        <v>15.06</v>
      </c>
      <c r="E20697"/>
      <c r="F20697"/>
      <c r="G20697"/>
      <c r="H20697"/>
      <c r="I20697" s="489"/>
    </row>
    <row r="20698" spans="1:9" x14ac:dyDescent="0.25">
      <c r="A20698">
        <v>11658</v>
      </c>
      <c r="B20698" t="s">
        <v>24201</v>
      </c>
      <c r="C20698" t="s">
        <v>2537</v>
      </c>
      <c r="D20698" s="254">
        <v>15.34</v>
      </c>
      <c r="E20698"/>
      <c r="F20698"/>
      <c r="G20698"/>
      <c r="H20698"/>
      <c r="I20698" s="489"/>
    </row>
    <row r="20699" spans="1:9" x14ac:dyDescent="0.25">
      <c r="A20699">
        <v>7146</v>
      </c>
      <c r="B20699" t="s">
        <v>24202</v>
      </c>
      <c r="C20699" t="s">
        <v>2537</v>
      </c>
      <c r="D20699" s="254">
        <v>212.03</v>
      </c>
      <c r="E20699"/>
      <c r="F20699"/>
      <c r="G20699"/>
      <c r="H20699"/>
      <c r="I20699" s="489"/>
    </row>
    <row r="20700" spans="1:9" x14ac:dyDescent="0.25">
      <c r="A20700">
        <v>7138</v>
      </c>
      <c r="B20700" t="s">
        <v>24203</v>
      </c>
      <c r="C20700" t="s">
        <v>2537</v>
      </c>
      <c r="D20700" s="254">
        <v>1.2</v>
      </c>
      <c r="E20700"/>
      <c r="F20700"/>
      <c r="G20700"/>
      <c r="H20700"/>
      <c r="I20700" s="489"/>
    </row>
    <row r="20701" spans="1:9" x14ac:dyDescent="0.25">
      <c r="A20701">
        <v>7139</v>
      </c>
      <c r="B20701" t="s">
        <v>24204</v>
      </c>
      <c r="C20701" t="s">
        <v>2537</v>
      </c>
      <c r="D20701" s="254">
        <v>1.57</v>
      </c>
      <c r="E20701"/>
      <c r="F20701"/>
      <c r="G20701"/>
      <c r="H20701"/>
      <c r="I20701" s="489"/>
    </row>
    <row r="20702" spans="1:9" x14ac:dyDescent="0.25">
      <c r="A20702">
        <v>7140</v>
      </c>
      <c r="B20702" t="s">
        <v>24205</v>
      </c>
      <c r="C20702" t="s">
        <v>2537</v>
      </c>
      <c r="D20702" s="254">
        <v>5.23</v>
      </c>
      <c r="E20702"/>
      <c r="F20702"/>
      <c r="G20702"/>
      <c r="H20702"/>
      <c r="I20702" s="489"/>
    </row>
    <row r="20703" spans="1:9" x14ac:dyDescent="0.25">
      <c r="A20703">
        <v>7141</v>
      </c>
      <c r="B20703" t="s">
        <v>24206</v>
      </c>
      <c r="C20703" t="s">
        <v>2537</v>
      </c>
      <c r="D20703" s="254">
        <v>11.44</v>
      </c>
      <c r="E20703"/>
      <c r="F20703"/>
      <c r="G20703"/>
      <c r="H20703"/>
      <c r="I20703" s="489"/>
    </row>
    <row r="20704" spans="1:9" x14ac:dyDescent="0.25">
      <c r="A20704">
        <v>7143</v>
      </c>
      <c r="B20704" t="s">
        <v>24207</v>
      </c>
      <c r="C20704" t="s">
        <v>2537</v>
      </c>
      <c r="D20704" s="254">
        <v>38.11</v>
      </c>
      <c r="E20704"/>
      <c r="F20704"/>
      <c r="G20704"/>
      <c r="H20704"/>
      <c r="I20704" s="489"/>
    </row>
    <row r="20705" spans="1:9" x14ac:dyDescent="0.25">
      <c r="A20705">
        <v>7144</v>
      </c>
      <c r="B20705" t="s">
        <v>24208</v>
      </c>
      <c r="C20705" t="s">
        <v>2537</v>
      </c>
      <c r="D20705" s="254">
        <v>76.23</v>
      </c>
      <c r="E20705"/>
      <c r="F20705"/>
      <c r="G20705"/>
      <c r="H20705"/>
      <c r="I20705" s="489"/>
    </row>
    <row r="20706" spans="1:9" x14ac:dyDescent="0.25">
      <c r="A20706">
        <v>7145</v>
      </c>
      <c r="B20706" t="s">
        <v>24209</v>
      </c>
      <c r="C20706" t="s">
        <v>2537</v>
      </c>
      <c r="D20706" s="254">
        <v>125.02</v>
      </c>
      <c r="E20706"/>
      <c r="F20706"/>
      <c r="G20706"/>
      <c r="H20706"/>
      <c r="I20706" s="489"/>
    </row>
    <row r="20707" spans="1:9" x14ac:dyDescent="0.25">
      <c r="A20707">
        <v>7142</v>
      </c>
      <c r="B20707" t="s">
        <v>24210</v>
      </c>
      <c r="C20707" t="s">
        <v>2537</v>
      </c>
      <c r="D20707" s="254">
        <v>12.79</v>
      </c>
      <c r="E20707"/>
      <c r="F20707"/>
      <c r="G20707"/>
      <c r="H20707"/>
      <c r="I20707" s="489"/>
    </row>
    <row r="20708" spans="1:9" x14ac:dyDescent="0.25">
      <c r="A20708">
        <v>3593</v>
      </c>
      <c r="B20708" t="s">
        <v>24211</v>
      </c>
      <c r="C20708" t="s">
        <v>2537</v>
      </c>
      <c r="D20708" s="254">
        <v>95.29</v>
      </c>
      <c r="E20708"/>
      <c r="F20708"/>
      <c r="G20708"/>
      <c r="H20708"/>
      <c r="I20708" s="489"/>
    </row>
    <row r="20709" spans="1:9" x14ac:dyDescent="0.25">
      <c r="A20709">
        <v>3588</v>
      </c>
      <c r="B20709" t="s">
        <v>24212</v>
      </c>
      <c r="C20709" t="s">
        <v>2537</v>
      </c>
      <c r="D20709" s="254">
        <v>73.45</v>
      </c>
      <c r="E20709"/>
      <c r="F20709"/>
      <c r="G20709"/>
      <c r="H20709"/>
      <c r="I20709" s="489"/>
    </row>
    <row r="20710" spans="1:9" x14ac:dyDescent="0.25">
      <c r="A20710">
        <v>3585</v>
      </c>
      <c r="B20710" t="s">
        <v>24213</v>
      </c>
      <c r="C20710" t="s">
        <v>2537</v>
      </c>
      <c r="D20710" s="254">
        <v>22.69</v>
      </c>
      <c r="E20710"/>
      <c r="F20710"/>
      <c r="G20710"/>
      <c r="H20710"/>
      <c r="I20710" s="489"/>
    </row>
    <row r="20711" spans="1:9" x14ac:dyDescent="0.25">
      <c r="A20711">
        <v>3587</v>
      </c>
      <c r="B20711" t="s">
        <v>24214</v>
      </c>
      <c r="C20711" t="s">
        <v>2537</v>
      </c>
      <c r="D20711" s="254">
        <v>45.58</v>
      </c>
      <c r="E20711"/>
      <c r="F20711"/>
      <c r="G20711"/>
      <c r="H20711"/>
      <c r="I20711" s="489"/>
    </row>
    <row r="20712" spans="1:9" x14ac:dyDescent="0.25">
      <c r="A20712">
        <v>3590</v>
      </c>
      <c r="B20712" t="s">
        <v>24215</v>
      </c>
      <c r="C20712" t="s">
        <v>2537</v>
      </c>
      <c r="D20712" s="254">
        <v>270.57</v>
      </c>
      <c r="E20712"/>
      <c r="F20712"/>
      <c r="G20712"/>
      <c r="H20712"/>
      <c r="I20712" s="489"/>
    </row>
    <row r="20713" spans="1:9" x14ac:dyDescent="0.25">
      <c r="A20713">
        <v>3589</v>
      </c>
      <c r="B20713" t="s">
        <v>24216</v>
      </c>
      <c r="C20713" t="s">
        <v>2537</v>
      </c>
      <c r="D20713" s="254">
        <v>145.22999999999999</v>
      </c>
      <c r="E20713"/>
      <c r="F20713"/>
      <c r="G20713"/>
      <c r="H20713"/>
      <c r="I20713" s="489"/>
    </row>
    <row r="20714" spans="1:9" x14ac:dyDescent="0.25">
      <c r="A20714">
        <v>3586</v>
      </c>
      <c r="B20714" t="s">
        <v>24217</v>
      </c>
      <c r="C20714" t="s">
        <v>2537</v>
      </c>
      <c r="D20714" s="254">
        <v>29.71</v>
      </c>
      <c r="E20714"/>
      <c r="F20714"/>
      <c r="G20714"/>
      <c r="H20714"/>
      <c r="I20714" s="489"/>
    </row>
    <row r="20715" spans="1:9" x14ac:dyDescent="0.25">
      <c r="A20715">
        <v>3592</v>
      </c>
      <c r="B20715" t="s">
        <v>24218</v>
      </c>
      <c r="C20715" t="s">
        <v>2537</v>
      </c>
      <c r="D20715" s="254">
        <v>427.69</v>
      </c>
      <c r="E20715"/>
      <c r="F20715"/>
      <c r="G20715"/>
      <c r="H20715"/>
      <c r="I20715" s="489"/>
    </row>
    <row r="20716" spans="1:9" x14ac:dyDescent="0.25">
      <c r="A20716">
        <v>3591</v>
      </c>
      <c r="B20716" t="s">
        <v>24219</v>
      </c>
      <c r="C20716" t="s">
        <v>2537</v>
      </c>
      <c r="D20716" s="254">
        <v>685.6</v>
      </c>
      <c r="E20716"/>
      <c r="F20716"/>
      <c r="G20716"/>
      <c r="H20716"/>
      <c r="I20716" s="489"/>
    </row>
    <row r="20717" spans="1:9" x14ac:dyDescent="0.25">
      <c r="A20717">
        <v>40396</v>
      </c>
      <c r="B20717" t="s">
        <v>24220</v>
      </c>
      <c r="C20717" t="s">
        <v>2537</v>
      </c>
      <c r="D20717" s="254">
        <v>143.47999999999999</v>
      </c>
      <c r="E20717"/>
      <c r="F20717"/>
      <c r="G20717"/>
      <c r="H20717"/>
      <c r="I20717" s="489"/>
    </row>
    <row r="20718" spans="1:9" x14ac:dyDescent="0.25">
      <c r="A20718">
        <v>40395</v>
      </c>
      <c r="B20718" t="s">
        <v>24221</v>
      </c>
      <c r="C20718" t="s">
        <v>2537</v>
      </c>
      <c r="D20718" s="254">
        <v>110.11</v>
      </c>
      <c r="E20718"/>
      <c r="F20718"/>
      <c r="G20718"/>
      <c r="H20718"/>
      <c r="I20718" s="489"/>
    </row>
    <row r="20719" spans="1:9" x14ac:dyDescent="0.25">
      <c r="A20719">
        <v>40392</v>
      </c>
      <c r="B20719" t="s">
        <v>24222</v>
      </c>
      <c r="C20719" t="s">
        <v>2537</v>
      </c>
      <c r="D20719" s="254">
        <v>35.43</v>
      </c>
      <c r="E20719"/>
      <c r="F20719"/>
      <c r="G20719"/>
      <c r="H20719"/>
      <c r="I20719" s="489"/>
    </row>
    <row r="20720" spans="1:9" x14ac:dyDescent="0.25">
      <c r="A20720">
        <v>40394</v>
      </c>
      <c r="B20720" t="s">
        <v>24223</v>
      </c>
      <c r="C20720" t="s">
        <v>2537</v>
      </c>
      <c r="D20720" s="254">
        <v>71.69</v>
      </c>
      <c r="E20720"/>
      <c r="F20720"/>
      <c r="G20720"/>
      <c r="H20720"/>
      <c r="I20720" s="489"/>
    </row>
    <row r="20721" spans="1:9" x14ac:dyDescent="0.25">
      <c r="A20721">
        <v>40398</v>
      </c>
      <c r="B20721" t="s">
        <v>24224</v>
      </c>
      <c r="C20721" t="s">
        <v>2537</v>
      </c>
      <c r="D20721" s="254">
        <v>460.32</v>
      </c>
      <c r="E20721"/>
      <c r="F20721"/>
      <c r="G20721"/>
      <c r="H20721"/>
      <c r="I20721" s="489"/>
    </row>
    <row r="20722" spans="1:9" x14ac:dyDescent="0.25">
      <c r="A20722">
        <v>40397</v>
      </c>
      <c r="B20722" t="s">
        <v>24225</v>
      </c>
      <c r="C20722" t="s">
        <v>2537</v>
      </c>
      <c r="D20722" s="254">
        <v>235.73</v>
      </c>
      <c r="E20722"/>
      <c r="F20722"/>
      <c r="G20722"/>
      <c r="H20722"/>
      <c r="I20722" s="489"/>
    </row>
    <row r="20723" spans="1:9" x14ac:dyDescent="0.25">
      <c r="A20723">
        <v>40393</v>
      </c>
      <c r="B20723" t="s">
        <v>24226</v>
      </c>
      <c r="C20723" t="s">
        <v>2537</v>
      </c>
      <c r="D20723" s="254">
        <v>45.64</v>
      </c>
      <c r="E20723"/>
      <c r="F20723"/>
      <c r="G20723"/>
      <c r="H20723"/>
      <c r="I20723" s="489"/>
    </row>
    <row r="20724" spans="1:9" x14ac:dyDescent="0.25">
      <c r="A20724">
        <v>40399</v>
      </c>
      <c r="B20724" t="s">
        <v>24227</v>
      </c>
      <c r="C20724" t="s">
        <v>2537</v>
      </c>
      <c r="D20724" s="254">
        <v>753.07</v>
      </c>
      <c r="E20724"/>
      <c r="F20724"/>
      <c r="G20724"/>
      <c r="H20724"/>
      <c r="I20724" s="489"/>
    </row>
    <row r="20725" spans="1:9" x14ac:dyDescent="0.25">
      <c r="A20725">
        <v>39322</v>
      </c>
      <c r="B20725" t="s">
        <v>24228</v>
      </c>
      <c r="C20725" t="s">
        <v>2537</v>
      </c>
      <c r="D20725" s="254">
        <v>19.350000000000001</v>
      </c>
      <c r="E20725"/>
      <c r="F20725"/>
      <c r="G20725"/>
      <c r="H20725"/>
      <c r="I20725" s="489"/>
    </row>
    <row r="20726" spans="1:9" x14ac:dyDescent="0.25">
      <c r="A20726">
        <v>39289</v>
      </c>
      <c r="B20726" t="s">
        <v>24229</v>
      </c>
      <c r="C20726" t="s">
        <v>2537</v>
      </c>
      <c r="D20726" s="254">
        <v>23.18</v>
      </c>
      <c r="E20726"/>
      <c r="F20726"/>
      <c r="G20726"/>
      <c r="H20726"/>
      <c r="I20726" s="489"/>
    </row>
    <row r="20727" spans="1:9" x14ac:dyDescent="0.25">
      <c r="A20727">
        <v>39290</v>
      </c>
      <c r="B20727" t="s">
        <v>24230</v>
      </c>
      <c r="C20727" t="s">
        <v>2537</v>
      </c>
      <c r="D20727" s="254">
        <v>39.340000000000003</v>
      </c>
      <c r="E20727"/>
      <c r="F20727"/>
      <c r="G20727"/>
      <c r="H20727"/>
      <c r="I20727" s="489"/>
    </row>
    <row r="20728" spans="1:9" x14ac:dyDescent="0.25">
      <c r="A20728">
        <v>39291</v>
      </c>
      <c r="B20728" t="s">
        <v>24231</v>
      </c>
      <c r="C20728" t="s">
        <v>2537</v>
      </c>
      <c r="D20728" s="254">
        <v>58.89</v>
      </c>
      <c r="E20728"/>
      <c r="F20728"/>
      <c r="G20728"/>
      <c r="H20728"/>
      <c r="I20728" s="489"/>
    </row>
    <row r="20729" spans="1:9" x14ac:dyDescent="0.25">
      <c r="A20729">
        <v>20174</v>
      </c>
      <c r="B20729" t="s">
        <v>24232</v>
      </c>
      <c r="C20729" t="s">
        <v>2537</v>
      </c>
      <c r="D20729" s="254">
        <v>42.14</v>
      </c>
      <c r="E20729"/>
      <c r="F20729"/>
      <c r="G20729"/>
      <c r="H20729"/>
      <c r="I20729" s="489"/>
    </row>
    <row r="20730" spans="1:9" x14ac:dyDescent="0.25">
      <c r="A20730">
        <v>41892</v>
      </c>
      <c r="B20730" t="s">
        <v>24233</v>
      </c>
      <c r="C20730" t="s">
        <v>2537</v>
      </c>
      <c r="D20730" s="254">
        <v>137.12</v>
      </c>
      <c r="E20730"/>
      <c r="F20730"/>
      <c r="G20730"/>
      <c r="H20730"/>
      <c r="I20730" s="489"/>
    </row>
    <row r="20731" spans="1:9" x14ac:dyDescent="0.25">
      <c r="A20731">
        <v>7048</v>
      </c>
      <c r="B20731" t="s">
        <v>24234</v>
      </c>
      <c r="C20731" t="s">
        <v>2537</v>
      </c>
      <c r="D20731" s="254">
        <v>29.59</v>
      </c>
      <c r="E20731"/>
      <c r="F20731"/>
      <c r="G20731"/>
      <c r="H20731"/>
      <c r="I20731" s="489"/>
    </row>
    <row r="20732" spans="1:9" x14ac:dyDescent="0.25">
      <c r="A20732">
        <v>7088</v>
      </c>
      <c r="B20732" t="s">
        <v>24235</v>
      </c>
      <c r="C20732" t="s">
        <v>2537</v>
      </c>
      <c r="D20732" s="254">
        <v>64.72</v>
      </c>
      <c r="E20732"/>
      <c r="F20732"/>
      <c r="G20732"/>
      <c r="H20732"/>
      <c r="I20732" s="489"/>
    </row>
    <row r="20733" spans="1:9" x14ac:dyDescent="0.25">
      <c r="A20733">
        <v>20179</v>
      </c>
      <c r="B20733" t="s">
        <v>24236</v>
      </c>
      <c r="C20733" t="s">
        <v>2537</v>
      </c>
      <c r="D20733" s="254">
        <v>56.74</v>
      </c>
      <c r="E20733"/>
      <c r="F20733"/>
      <c r="G20733"/>
      <c r="H20733"/>
      <c r="I20733" s="489"/>
    </row>
    <row r="20734" spans="1:9" x14ac:dyDescent="0.25">
      <c r="A20734">
        <v>20178</v>
      </c>
      <c r="B20734" t="s">
        <v>24237</v>
      </c>
      <c r="C20734" t="s">
        <v>2537</v>
      </c>
      <c r="D20734" s="254">
        <v>50.14</v>
      </c>
      <c r="E20734"/>
      <c r="F20734"/>
      <c r="G20734"/>
      <c r="H20734"/>
      <c r="I20734" s="489"/>
    </row>
    <row r="20735" spans="1:9" x14ac:dyDescent="0.25">
      <c r="A20735">
        <v>20180</v>
      </c>
      <c r="B20735" t="s">
        <v>24238</v>
      </c>
      <c r="C20735" t="s">
        <v>2537</v>
      </c>
      <c r="D20735" s="254">
        <v>92.13</v>
      </c>
      <c r="E20735"/>
      <c r="F20735"/>
      <c r="G20735"/>
      <c r="H20735"/>
      <c r="I20735" s="489"/>
    </row>
    <row r="20736" spans="1:9" x14ac:dyDescent="0.25">
      <c r="A20736">
        <v>20181</v>
      </c>
      <c r="B20736" t="s">
        <v>24239</v>
      </c>
      <c r="C20736" t="s">
        <v>2537</v>
      </c>
      <c r="D20736" s="254">
        <v>136.68</v>
      </c>
      <c r="E20736"/>
      <c r="F20736"/>
      <c r="G20736"/>
      <c r="H20736"/>
      <c r="I20736" s="489"/>
    </row>
    <row r="20737" spans="1:9" x14ac:dyDescent="0.25">
      <c r="A20737">
        <v>20177</v>
      </c>
      <c r="B20737" t="s">
        <v>24240</v>
      </c>
      <c r="C20737" t="s">
        <v>2537</v>
      </c>
      <c r="D20737" s="254">
        <v>32.86</v>
      </c>
      <c r="E20737"/>
      <c r="F20737"/>
      <c r="G20737"/>
      <c r="H20737"/>
      <c r="I20737" s="489"/>
    </row>
    <row r="20738" spans="1:9" x14ac:dyDescent="0.25">
      <c r="A20738">
        <v>7082</v>
      </c>
      <c r="B20738" t="s">
        <v>24241</v>
      </c>
      <c r="C20738" t="s">
        <v>2537</v>
      </c>
      <c r="D20738" s="254">
        <v>75.86</v>
      </c>
      <c r="E20738"/>
      <c r="F20738"/>
      <c r="G20738"/>
      <c r="H20738"/>
      <c r="I20738" s="489"/>
    </row>
    <row r="20739" spans="1:9" x14ac:dyDescent="0.25">
      <c r="A20739">
        <v>42707</v>
      </c>
      <c r="B20739" t="s">
        <v>24242</v>
      </c>
      <c r="C20739" t="s">
        <v>2537</v>
      </c>
      <c r="D20739" s="254">
        <v>206.02</v>
      </c>
      <c r="E20739"/>
      <c r="F20739"/>
      <c r="G20739"/>
      <c r="H20739"/>
      <c r="I20739" s="489"/>
    </row>
    <row r="20740" spans="1:9" x14ac:dyDescent="0.25">
      <c r="A20740">
        <v>7069</v>
      </c>
      <c r="B20740" t="s">
        <v>24243</v>
      </c>
      <c r="C20740" t="s">
        <v>2537</v>
      </c>
      <c r="D20740" s="254">
        <v>168.37</v>
      </c>
      <c r="E20740"/>
      <c r="F20740"/>
      <c r="G20740"/>
      <c r="H20740"/>
      <c r="I20740" s="489"/>
    </row>
    <row r="20741" spans="1:9" x14ac:dyDescent="0.25">
      <c r="A20741">
        <v>42708</v>
      </c>
      <c r="B20741" t="s">
        <v>24244</v>
      </c>
      <c r="C20741" t="s">
        <v>2537</v>
      </c>
      <c r="D20741" s="254">
        <v>540.75</v>
      </c>
      <c r="E20741"/>
      <c r="F20741"/>
      <c r="G20741"/>
      <c r="H20741"/>
      <c r="I20741" s="489"/>
    </row>
    <row r="20742" spans="1:9" x14ac:dyDescent="0.25">
      <c r="A20742">
        <v>7070</v>
      </c>
      <c r="B20742" t="s">
        <v>24245</v>
      </c>
      <c r="C20742" t="s">
        <v>2537</v>
      </c>
      <c r="D20742" s="254">
        <v>241.1</v>
      </c>
      <c r="E20742"/>
      <c r="F20742"/>
      <c r="G20742"/>
      <c r="H20742"/>
      <c r="I20742" s="489"/>
    </row>
    <row r="20743" spans="1:9" x14ac:dyDescent="0.25">
      <c r="A20743">
        <v>42709</v>
      </c>
      <c r="B20743" t="s">
        <v>24246</v>
      </c>
      <c r="C20743" t="s">
        <v>2537</v>
      </c>
      <c r="D20743" s="254">
        <v>808.72</v>
      </c>
      <c r="E20743"/>
      <c r="F20743"/>
      <c r="G20743"/>
      <c r="H20743"/>
      <c r="I20743" s="489"/>
    </row>
    <row r="20744" spans="1:9" x14ac:dyDescent="0.25">
      <c r="A20744">
        <v>42710</v>
      </c>
      <c r="B20744" t="s">
        <v>24247</v>
      </c>
      <c r="C20744" t="s">
        <v>2537</v>
      </c>
      <c r="D20744" s="254">
        <v>2324.69</v>
      </c>
      <c r="E20744"/>
      <c r="F20744"/>
      <c r="G20744"/>
      <c r="H20744"/>
      <c r="I20744" s="489"/>
    </row>
    <row r="20745" spans="1:9" x14ac:dyDescent="0.25">
      <c r="A20745">
        <v>42716</v>
      </c>
      <c r="B20745" t="s">
        <v>24248</v>
      </c>
      <c r="C20745" t="s">
        <v>2537</v>
      </c>
      <c r="D20745" s="254">
        <v>2893.47</v>
      </c>
      <c r="E20745"/>
      <c r="F20745"/>
      <c r="G20745"/>
      <c r="H20745"/>
      <c r="I20745" s="489"/>
    </row>
    <row r="20746" spans="1:9" x14ac:dyDescent="0.25">
      <c r="A20746">
        <v>20172</v>
      </c>
      <c r="B20746" t="s">
        <v>24249</v>
      </c>
      <c r="C20746" t="s">
        <v>2537</v>
      </c>
      <c r="D20746" s="254">
        <v>55.64</v>
      </c>
      <c r="E20746"/>
      <c r="F20746"/>
      <c r="G20746"/>
      <c r="H20746"/>
      <c r="I20746" s="489"/>
    </row>
    <row r="20747" spans="1:9" x14ac:dyDescent="0.25">
      <c r="A20747">
        <v>40945</v>
      </c>
      <c r="B20747" t="s">
        <v>24250</v>
      </c>
      <c r="C20747" t="s">
        <v>2538</v>
      </c>
      <c r="D20747" s="254">
        <v>20.09</v>
      </c>
      <c r="E20747"/>
      <c r="F20747"/>
      <c r="G20747"/>
      <c r="H20747"/>
      <c r="I20747" s="489"/>
    </row>
    <row r="20748" spans="1:9" x14ac:dyDescent="0.25">
      <c r="A20748">
        <v>40946</v>
      </c>
      <c r="B20748" t="s">
        <v>24251</v>
      </c>
      <c r="C20748" t="s">
        <v>2544</v>
      </c>
      <c r="D20748" s="254">
        <v>3547.44</v>
      </c>
      <c r="E20748"/>
      <c r="F20748"/>
      <c r="G20748"/>
      <c r="H20748"/>
      <c r="I20748" s="489"/>
    </row>
    <row r="20749" spans="1:9" x14ac:dyDescent="0.25">
      <c r="A20749">
        <v>7153</v>
      </c>
      <c r="B20749" t="s">
        <v>24252</v>
      </c>
      <c r="C20749" t="s">
        <v>2538</v>
      </c>
      <c r="D20749" s="254">
        <v>37.270000000000003</v>
      </c>
      <c r="E20749"/>
      <c r="F20749"/>
      <c r="G20749"/>
      <c r="H20749"/>
      <c r="I20749" s="489"/>
    </row>
    <row r="20750" spans="1:9" x14ac:dyDescent="0.25">
      <c r="A20750">
        <v>41089</v>
      </c>
      <c r="B20750" t="s">
        <v>24253</v>
      </c>
      <c r="C20750" t="s">
        <v>2544</v>
      </c>
      <c r="D20750" s="254">
        <v>6580.24</v>
      </c>
      <c r="E20750"/>
      <c r="F20750"/>
      <c r="G20750"/>
      <c r="H20750"/>
      <c r="I20750" s="489"/>
    </row>
    <row r="20751" spans="1:9" x14ac:dyDescent="0.25">
      <c r="A20751">
        <v>40943</v>
      </c>
      <c r="B20751" t="s">
        <v>24254</v>
      </c>
      <c r="C20751" t="s">
        <v>2538</v>
      </c>
      <c r="D20751" s="254">
        <v>37.4</v>
      </c>
      <c r="E20751"/>
      <c r="F20751"/>
      <c r="G20751"/>
      <c r="H20751"/>
      <c r="I20751" s="489"/>
    </row>
    <row r="20752" spans="1:9" x14ac:dyDescent="0.25">
      <c r="A20752">
        <v>40944</v>
      </c>
      <c r="B20752" t="s">
        <v>24255</v>
      </c>
      <c r="C20752" t="s">
        <v>2544</v>
      </c>
      <c r="D20752" s="254">
        <v>6599.52</v>
      </c>
      <c r="E20752"/>
      <c r="F20752"/>
      <c r="G20752"/>
      <c r="H20752"/>
      <c r="I20752" s="489"/>
    </row>
    <row r="20753" spans="1:9" x14ac:dyDescent="0.25">
      <c r="A20753">
        <v>6175</v>
      </c>
      <c r="B20753" t="s">
        <v>24256</v>
      </c>
      <c r="C20753" t="s">
        <v>2538</v>
      </c>
      <c r="D20753" s="254">
        <v>32.14</v>
      </c>
      <c r="E20753"/>
      <c r="F20753"/>
      <c r="G20753"/>
      <c r="H20753"/>
      <c r="I20753" s="489"/>
    </row>
    <row r="20754" spans="1:9" x14ac:dyDescent="0.25">
      <c r="A20754">
        <v>41092</v>
      </c>
      <c r="B20754" t="s">
        <v>24257</v>
      </c>
      <c r="C20754" t="s">
        <v>2544</v>
      </c>
      <c r="D20754" s="254">
        <v>5674.13</v>
      </c>
      <c r="E20754"/>
      <c r="F20754"/>
      <c r="G20754"/>
      <c r="H20754"/>
      <c r="I20754" s="489"/>
    </row>
    <row r="20755" spans="1:9" x14ac:dyDescent="0.25">
      <c r="A20755">
        <v>37712</v>
      </c>
      <c r="B20755" t="s">
        <v>24258</v>
      </c>
      <c r="C20755" t="s">
        <v>2539</v>
      </c>
      <c r="D20755" s="254">
        <v>91.64</v>
      </c>
      <c r="E20755"/>
      <c r="F20755"/>
      <c r="G20755"/>
      <c r="H20755"/>
      <c r="I20755" s="489"/>
    </row>
    <row r="20756" spans="1:9" x14ac:dyDescent="0.25">
      <c r="A20756">
        <v>34547</v>
      </c>
      <c r="B20756" t="s">
        <v>24259</v>
      </c>
      <c r="C20756" t="s">
        <v>2541</v>
      </c>
      <c r="D20756" s="254">
        <v>4.82</v>
      </c>
      <c r="E20756"/>
      <c r="F20756"/>
      <c r="G20756"/>
      <c r="H20756"/>
      <c r="I20756" s="489"/>
    </row>
    <row r="20757" spans="1:9" x14ac:dyDescent="0.25">
      <c r="A20757">
        <v>34548</v>
      </c>
      <c r="B20757" t="s">
        <v>24260</v>
      </c>
      <c r="C20757" t="s">
        <v>2541</v>
      </c>
      <c r="D20757" s="254">
        <v>7.91</v>
      </c>
      <c r="E20757"/>
      <c r="F20757"/>
      <c r="G20757"/>
      <c r="H20757"/>
      <c r="I20757" s="489"/>
    </row>
    <row r="20758" spans="1:9" x14ac:dyDescent="0.25">
      <c r="A20758">
        <v>34558</v>
      </c>
      <c r="B20758" t="s">
        <v>24261</v>
      </c>
      <c r="C20758" t="s">
        <v>2541</v>
      </c>
      <c r="D20758" s="254">
        <v>3.92</v>
      </c>
      <c r="E20758"/>
      <c r="F20758"/>
      <c r="G20758"/>
      <c r="H20758"/>
      <c r="I20758" s="489"/>
    </row>
    <row r="20759" spans="1:9" x14ac:dyDescent="0.25">
      <c r="A20759">
        <v>34550</v>
      </c>
      <c r="B20759" t="s">
        <v>24262</v>
      </c>
      <c r="C20759" t="s">
        <v>2541</v>
      </c>
      <c r="D20759" s="254">
        <v>2.08</v>
      </c>
      <c r="E20759"/>
      <c r="F20759"/>
      <c r="G20759"/>
      <c r="H20759"/>
      <c r="I20759" s="489"/>
    </row>
    <row r="20760" spans="1:9" x14ac:dyDescent="0.25">
      <c r="A20760">
        <v>34557</v>
      </c>
      <c r="B20760" t="s">
        <v>24263</v>
      </c>
      <c r="C20760" t="s">
        <v>2541</v>
      </c>
      <c r="D20760" s="254">
        <v>3.05</v>
      </c>
      <c r="E20760"/>
      <c r="F20760"/>
      <c r="G20760"/>
      <c r="H20760"/>
      <c r="I20760" s="489"/>
    </row>
    <row r="20761" spans="1:9" x14ac:dyDescent="0.25">
      <c r="A20761">
        <v>37411</v>
      </c>
      <c r="B20761" t="s">
        <v>24264</v>
      </c>
      <c r="C20761" t="s">
        <v>2539</v>
      </c>
      <c r="D20761" s="254">
        <v>22.31</v>
      </c>
      <c r="E20761"/>
      <c r="F20761"/>
      <c r="G20761"/>
      <c r="H20761"/>
      <c r="I20761" s="489"/>
    </row>
    <row r="20762" spans="1:9" x14ac:dyDescent="0.25">
      <c r="A20762">
        <v>39508</v>
      </c>
      <c r="B20762" t="s">
        <v>24265</v>
      </c>
      <c r="C20762" t="s">
        <v>2539</v>
      </c>
      <c r="D20762" s="254">
        <v>12.53</v>
      </c>
      <c r="E20762"/>
      <c r="F20762"/>
      <c r="G20762"/>
      <c r="H20762"/>
      <c r="I20762" s="489"/>
    </row>
    <row r="20763" spans="1:9" x14ac:dyDescent="0.25">
      <c r="A20763">
        <v>39507</v>
      </c>
      <c r="B20763" t="s">
        <v>24266</v>
      </c>
      <c r="C20763" t="s">
        <v>2539</v>
      </c>
      <c r="D20763" s="254">
        <v>18.7</v>
      </c>
      <c r="E20763"/>
      <c r="F20763"/>
      <c r="G20763"/>
      <c r="H20763"/>
      <c r="I20763" s="489"/>
    </row>
    <row r="20764" spans="1:9" x14ac:dyDescent="0.25">
      <c r="A20764">
        <v>7155</v>
      </c>
      <c r="B20764" t="s">
        <v>24267</v>
      </c>
      <c r="C20764" t="s">
        <v>2539</v>
      </c>
      <c r="D20764" s="254">
        <v>24</v>
      </c>
      <c r="E20764"/>
      <c r="F20764"/>
      <c r="G20764"/>
      <c r="H20764"/>
      <c r="I20764" s="489"/>
    </row>
    <row r="20765" spans="1:9" x14ac:dyDescent="0.25">
      <c r="A20765">
        <v>42406</v>
      </c>
      <c r="B20765" t="s">
        <v>24268</v>
      </c>
      <c r="C20765" t="s">
        <v>2539</v>
      </c>
      <c r="D20765" s="254">
        <v>27.52</v>
      </c>
      <c r="E20765"/>
      <c r="F20765"/>
      <c r="G20765"/>
      <c r="H20765"/>
      <c r="I20765" s="489"/>
    </row>
    <row r="20766" spans="1:9" x14ac:dyDescent="0.25">
      <c r="A20766">
        <v>7156</v>
      </c>
      <c r="B20766" t="s">
        <v>24269</v>
      </c>
      <c r="C20766" t="s">
        <v>2539</v>
      </c>
      <c r="D20766" s="254">
        <v>34.44</v>
      </c>
      <c r="E20766"/>
      <c r="F20766"/>
      <c r="G20766"/>
      <c r="H20766"/>
      <c r="I20766" s="489"/>
    </row>
    <row r="20767" spans="1:9" x14ac:dyDescent="0.25">
      <c r="A20767">
        <v>43127</v>
      </c>
      <c r="B20767" t="s">
        <v>24270</v>
      </c>
      <c r="C20767" t="s">
        <v>2539</v>
      </c>
      <c r="D20767" s="254">
        <v>49.29</v>
      </c>
      <c r="E20767"/>
      <c r="F20767"/>
      <c r="G20767"/>
      <c r="H20767"/>
      <c r="I20767" s="489"/>
    </row>
    <row r="20768" spans="1:9" x14ac:dyDescent="0.25">
      <c r="A20768">
        <v>10917</v>
      </c>
      <c r="B20768" t="s">
        <v>24271</v>
      </c>
      <c r="C20768" t="s">
        <v>2539</v>
      </c>
      <c r="D20768" s="254">
        <v>10.4</v>
      </c>
      <c r="E20768"/>
      <c r="F20768"/>
      <c r="G20768"/>
      <c r="H20768"/>
      <c r="I20768" s="489"/>
    </row>
    <row r="20769" spans="1:9" x14ac:dyDescent="0.25">
      <c r="A20769">
        <v>21141</v>
      </c>
      <c r="B20769" t="s">
        <v>24272</v>
      </c>
      <c r="C20769" t="s">
        <v>2539</v>
      </c>
      <c r="D20769" s="254">
        <v>16.100000000000001</v>
      </c>
      <c r="E20769"/>
      <c r="F20769"/>
      <c r="G20769"/>
      <c r="H20769"/>
      <c r="I20769" s="489"/>
    </row>
    <row r="20770" spans="1:9" x14ac:dyDescent="0.25">
      <c r="A20770">
        <v>39509</v>
      </c>
      <c r="B20770" t="s">
        <v>24273</v>
      </c>
      <c r="C20770" t="s">
        <v>2539</v>
      </c>
      <c r="D20770" s="254">
        <v>15.49</v>
      </c>
      <c r="E20770"/>
      <c r="F20770"/>
      <c r="G20770"/>
      <c r="H20770"/>
      <c r="I20770" s="489"/>
    </row>
    <row r="20771" spans="1:9" x14ac:dyDescent="0.25">
      <c r="A20771">
        <v>44529</v>
      </c>
      <c r="B20771" t="s">
        <v>24274</v>
      </c>
      <c r="C20771" t="s">
        <v>2539</v>
      </c>
      <c r="D20771" s="254">
        <v>13.75</v>
      </c>
      <c r="E20771"/>
      <c r="F20771"/>
      <c r="G20771"/>
      <c r="H20771"/>
      <c r="I20771" s="489"/>
    </row>
    <row r="20772" spans="1:9" x14ac:dyDescent="0.25">
      <c r="A20772">
        <v>7167</v>
      </c>
      <c r="B20772" t="s">
        <v>24275</v>
      </c>
      <c r="C20772" t="s">
        <v>2539</v>
      </c>
      <c r="D20772" s="254">
        <v>30.02</v>
      </c>
      <c r="E20772"/>
      <c r="F20772"/>
      <c r="G20772"/>
      <c r="H20772"/>
      <c r="I20772" s="489"/>
    </row>
    <row r="20773" spans="1:9" x14ac:dyDescent="0.25">
      <c r="A20773">
        <v>10928</v>
      </c>
      <c r="B20773" t="s">
        <v>24276</v>
      </c>
      <c r="C20773" t="s">
        <v>2539</v>
      </c>
      <c r="D20773" s="254">
        <v>17.25</v>
      </c>
      <c r="E20773"/>
      <c r="F20773"/>
      <c r="G20773"/>
      <c r="H20773"/>
      <c r="I20773" s="489"/>
    </row>
    <row r="20774" spans="1:9" x14ac:dyDescent="0.25">
      <c r="A20774">
        <v>10933</v>
      </c>
      <c r="B20774" t="s">
        <v>24277</v>
      </c>
      <c r="C20774" t="s">
        <v>2539</v>
      </c>
      <c r="D20774" s="254">
        <v>26.01</v>
      </c>
      <c r="E20774"/>
      <c r="F20774"/>
      <c r="G20774"/>
      <c r="H20774"/>
      <c r="I20774" s="489"/>
    </row>
    <row r="20775" spans="1:9" x14ac:dyDescent="0.25">
      <c r="A20775">
        <v>7158</v>
      </c>
      <c r="B20775" t="s">
        <v>24278</v>
      </c>
      <c r="C20775" t="s">
        <v>2539</v>
      </c>
      <c r="D20775" s="254">
        <v>44.12</v>
      </c>
      <c r="E20775"/>
      <c r="F20775"/>
      <c r="G20775"/>
      <c r="H20775"/>
      <c r="I20775" s="489"/>
    </row>
    <row r="20776" spans="1:9" x14ac:dyDescent="0.25">
      <c r="A20776">
        <v>10927</v>
      </c>
      <c r="B20776" t="s">
        <v>24279</v>
      </c>
      <c r="C20776" t="s">
        <v>2539</v>
      </c>
      <c r="D20776" s="254">
        <v>28.21</v>
      </c>
      <c r="E20776"/>
      <c r="F20776"/>
      <c r="G20776"/>
      <c r="H20776"/>
      <c r="I20776" s="489"/>
    </row>
    <row r="20777" spans="1:9" x14ac:dyDescent="0.25">
      <c r="A20777">
        <v>7162</v>
      </c>
      <c r="B20777" t="s">
        <v>24280</v>
      </c>
      <c r="C20777" t="s">
        <v>2539</v>
      </c>
      <c r="D20777" s="254">
        <v>69.040000000000006</v>
      </c>
      <c r="E20777"/>
      <c r="F20777"/>
      <c r="G20777"/>
      <c r="H20777"/>
      <c r="I20777" s="489"/>
    </row>
    <row r="20778" spans="1:9" x14ac:dyDescent="0.25">
      <c r="A20778">
        <v>10932</v>
      </c>
      <c r="B20778" t="s">
        <v>24281</v>
      </c>
      <c r="C20778" t="s">
        <v>2539</v>
      </c>
      <c r="D20778" s="254">
        <v>120.09</v>
      </c>
      <c r="E20778"/>
      <c r="F20778"/>
      <c r="G20778"/>
      <c r="H20778"/>
      <c r="I20778" s="489"/>
    </row>
    <row r="20779" spans="1:9" x14ac:dyDescent="0.25">
      <c r="A20779">
        <v>10937</v>
      </c>
      <c r="B20779" t="s">
        <v>24282</v>
      </c>
      <c r="C20779" t="s">
        <v>2539</v>
      </c>
      <c r="D20779" s="254">
        <v>30.87</v>
      </c>
      <c r="E20779"/>
      <c r="F20779"/>
      <c r="G20779"/>
      <c r="H20779"/>
      <c r="I20779" s="489"/>
    </row>
    <row r="20780" spans="1:9" x14ac:dyDescent="0.25">
      <c r="A20780">
        <v>10935</v>
      </c>
      <c r="B20780" t="s">
        <v>24283</v>
      </c>
      <c r="C20780" t="s">
        <v>2539</v>
      </c>
      <c r="D20780" s="254">
        <v>53.53</v>
      </c>
      <c r="E20780"/>
      <c r="F20780"/>
      <c r="G20780"/>
      <c r="H20780"/>
      <c r="I20780" s="489"/>
    </row>
    <row r="20781" spans="1:9" x14ac:dyDescent="0.25">
      <c r="A20781">
        <v>10931</v>
      </c>
      <c r="B20781" t="s">
        <v>24284</v>
      </c>
      <c r="C20781" t="s">
        <v>2539</v>
      </c>
      <c r="D20781" s="254">
        <v>15.06</v>
      </c>
      <c r="E20781"/>
      <c r="F20781"/>
      <c r="G20781"/>
      <c r="H20781"/>
      <c r="I20781" s="489"/>
    </row>
    <row r="20782" spans="1:9" x14ac:dyDescent="0.25">
      <c r="A20782">
        <v>7164</v>
      </c>
      <c r="B20782" t="s">
        <v>24285</v>
      </c>
      <c r="C20782" t="s">
        <v>2539</v>
      </c>
      <c r="D20782" s="254">
        <v>49.83</v>
      </c>
      <c r="E20782"/>
      <c r="F20782"/>
      <c r="G20782"/>
      <c r="H20782"/>
      <c r="I20782" s="489"/>
    </row>
    <row r="20783" spans="1:9" x14ac:dyDescent="0.25">
      <c r="A20783">
        <v>36887</v>
      </c>
      <c r="B20783" t="s">
        <v>24286</v>
      </c>
      <c r="C20783" t="s">
        <v>2539</v>
      </c>
      <c r="D20783" s="254">
        <v>14.45</v>
      </c>
      <c r="E20783"/>
      <c r="F20783"/>
      <c r="G20783"/>
      <c r="H20783"/>
      <c r="I20783" s="489"/>
    </row>
    <row r="20784" spans="1:9" x14ac:dyDescent="0.25">
      <c r="A20784">
        <v>34630</v>
      </c>
      <c r="B20784" t="s">
        <v>24287</v>
      </c>
      <c r="C20784" t="s">
        <v>2537</v>
      </c>
      <c r="D20784" s="254">
        <v>1489.44</v>
      </c>
      <c r="E20784"/>
      <c r="F20784"/>
      <c r="G20784"/>
      <c r="H20784"/>
      <c r="I20784" s="489"/>
    </row>
    <row r="20785" spans="1:9" x14ac:dyDescent="0.25">
      <c r="A20785">
        <v>7161</v>
      </c>
      <c r="B20785" t="s">
        <v>24288</v>
      </c>
      <c r="C20785" t="s">
        <v>2539</v>
      </c>
      <c r="D20785" s="254">
        <v>6.2</v>
      </c>
      <c r="E20785"/>
      <c r="F20785"/>
      <c r="G20785"/>
      <c r="H20785"/>
      <c r="I20785" s="489"/>
    </row>
    <row r="20786" spans="1:9" x14ac:dyDescent="0.25">
      <c r="A20786">
        <v>7170</v>
      </c>
      <c r="B20786" t="s">
        <v>24289</v>
      </c>
      <c r="C20786" t="s">
        <v>2539</v>
      </c>
      <c r="D20786" s="254">
        <v>3.49</v>
      </c>
      <c r="E20786"/>
      <c r="F20786"/>
      <c r="G20786"/>
      <c r="H20786"/>
      <c r="I20786" s="489"/>
    </row>
    <row r="20787" spans="1:9" x14ac:dyDescent="0.25">
      <c r="A20787">
        <v>37524</v>
      </c>
      <c r="B20787" t="s">
        <v>24290</v>
      </c>
      <c r="C20787" t="s">
        <v>2541</v>
      </c>
      <c r="D20787" s="254">
        <v>3.19</v>
      </c>
      <c r="E20787"/>
      <c r="F20787"/>
      <c r="G20787"/>
      <c r="H20787"/>
      <c r="I20787" s="489"/>
    </row>
    <row r="20788" spans="1:9" x14ac:dyDescent="0.25">
      <c r="A20788">
        <v>37525</v>
      </c>
      <c r="B20788" t="s">
        <v>24291</v>
      </c>
      <c r="C20788" t="s">
        <v>2541</v>
      </c>
      <c r="D20788" s="254">
        <v>4.3600000000000003</v>
      </c>
      <c r="E20788"/>
      <c r="F20788"/>
      <c r="G20788"/>
      <c r="H20788"/>
      <c r="I20788" s="489"/>
    </row>
    <row r="20789" spans="1:9" x14ac:dyDescent="0.25">
      <c r="A20789">
        <v>36789</v>
      </c>
      <c r="B20789" t="s">
        <v>24292</v>
      </c>
      <c r="C20789" t="s">
        <v>2537</v>
      </c>
      <c r="D20789" s="254">
        <v>2.11</v>
      </c>
      <c r="E20789"/>
      <c r="F20789"/>
      <c r="G20789"/>
      <c r="H20789"/>
      <c r="I20789" s="489"/>
    </row>
    <row r="20790" spans="1:9" x14ac:dyDescent="0.25">
      <c r="A20790">
        <v>7173</v>
      </c>
      <c r="B20790" t="s">
        <v>24293</v>
      </c>
      <c r="C20790" t="s">
        <v>2547</v>
      </c>
      <c r="D20790" s="254">
        <v>1363.42</v>
      </c>
      <c r="E20790"/>
      <c r="F20790"/>
      <c r="G20790"/>
      <c r="H20790"/>
      <c r="I20790" s="489"/>
    </row>
    <row r="20791" spans="1:9" x14ac:dyDescent="0.25">
      <c r="A20791">
        <v>7175</v>
      </c>
      <c r="B20791" t="s">
        <v>24294</v>
      </c>
      <c r="C20791" t="s">
        <v>2537</v>
      </c>
      <c r="D20791" s="254">
        <v>1.54</v>
      </c>
      <c r="E20791"/>
      <c r="F20791"/>
      <c r="G20791"/>
      <c r="H20791"/>
      <c r="I20791" s="489"/>
    </row>
    <row r="20792" spans="1:9" x14ac:dyDescent="0.25">
      <c r="A20792">
        <v>40741</v>
      </c>
      <c r="B20792" t="s">
        <v>24295</v>
      </c>
      <c r="C20792" t="s">
        <v>2537</v>
      </c>
      <c r="D20792" s="254">
        <v>3.19</v>
      </c>
      <c r="E20792"/>
      <c r="F20792"/>
      <c r="G20792"/>
      <c r="H20792"/>
      <c r="I20792" s="489"/>
    </row>
    <row r="20793" spans="1:9" x14ac:dyDescent="0.25">
      <c r="A20793">
        <v>7184</v>
      </c>
      <c r="B20793" t="s">
        <v>24296</v>
      </c>
      <c r="C20793" t="s">
        <v>2539</v>
      </c>
      <c r="D20793" s="254">
        <v>40.9</v>
      </c>
      <c r="E20793"/>
      <c r="F20793"/>
      <c r="G20793"/>
      <c r="H20793"/>
      <c r="I20793" s="489"/>
    </row>
    <row r="20794" spans="1:9" x14ac:dyDescent="0.25">
      <c r="A20794">
        <v>34458</v>
      </c>
      <c r="B20794" t="s">
        <v>24297</v>
      </c>
      <c r="C20794" t="s">
        <v>2537</v>
      </c>
      <c r="D20794" s="254">
        <v>147.82</v>
      </c>
      <c r="E20794"/>
      <c r="F20794"/>
      <c r="G20794"/>
      <c r="H20794"/>
      <c r="I20794" s="489"/>
    </row>
    <row r="20795" spans="1:9" x14ac:dyDescent="0.25">
      <c r="A20795">
        <v>34464</v>
      </c>
      <c r="B20795" t="s">
        <v>24298</v>
      </c>
      <c r="C20795" t="s">
        <v>2537</v>
      </c>
      <c r="D20795" s="254">
        <v>220.03</v>
      </c>
      <c r="E20795"/>
      <c r="F20795"/>
      <c r="G20795"/>
      <c r="H20795"/>
      <c r="I20795" s="489"/>
    </row>
    <row r="20796" spans="1:9" x14ac:dyDescent="0.25">
      <c r="A20796">
        <v>34468</v>
      </c>
      <c r="B20796" t="s">
        <v>24299</v>
      </c>
      <c r="C20796" t="s">
        <v>2537</v>
      </c>
      <c r="D20796" s="254">
        <v>277.39999999999998</v>
      </c>
      <c r="E20796"/>
      <c r="F20796"/>
      <c r="G20796"/>
      <c r="H20796"/>
      <c r="I20796" s="489"/>
    </row>
    <row r="20797" spans="1:9" x14ac:dyDescent="0.25">
      <c r="A20797">
        <v>34473</v>
      </c>
      <c r="B20797" t="s">
        <v>24300</v>
      </c>
      <c r="C20797" t="s">
        <v>2537</v>
      </c>
      <c r="D20797" s="254">
        <v>168.28</v>
      </c>
      <c r="E20797"/>
      <c r="F20797"/>
      <c r="G20797"/>
      <c r="H20797"/>
      <c r="I20797" s="489"/>
    </row>
    <row r="20798" spans="1:9" x14ac:dyDescent="0.25">
      <c r="A20798">
        <v>34480</v>
      </c>
      <c r="B20798" t="s">
        <v>24301</v>
      </c>
      <c r="C20798" t="s">
        <v>2537</v>
      </c>
      <c r="D20798" s="254">
        <v>310.98</v>
      </c>
      <c r="E20798"/>
      <c r="F20798"/>
      <c r="G20798"/>
      <c r="H20798"/>
      <c r="I20798" s="489"/>
    </row>
    <row r="20799" spans="1:9" x14ac:dyDescent="0.25">
      <c r="A20799">
        <v>34486</v>
      </c>
      <c r="B20799" t="s">
        <v>24302</v>
      </c>
      <c r="C20799" t="s">
        <v>2537</v>
      </c>
      <c r="D20799" s="254">
        <v>368.19</v>
      </c>
      <c r="E20799"/>
      <c r="F20799"/>
      <c r="G20799"/>
      <c r="H20799"/>
      <c r="I20799" s="489"/>
    </row>
    <row r="20800" spans="1:9" x14ac:dyDescent="0.25">
      <c r="A20800">
        <v>7190</v>
      </c>
      <c r="B20800" t="s">
        <v>24303</v>
      </c>
      <c r="C20800" t="s">
        <v>2537</v>
      </c>
      <c r="D20800" s="254">
        <v>12.29</v>
      </c>
      <c r="E20800"/>
      <c r="F20800"/>
      <c r="G20800"/>
      <c r="H20800"/>
      <c r="I20800" s="489"/>
    </row>
    <row r="20801" spans="1:9" x14ac:dyDescent="0.25">
      <c r="A20801">
        <v>34417</v>
      </c>
      <c r="B20801" t="s">
        <v>24304</v>
      </c>
      <c r="C20801" t="s">
        <v>2537</v>
      </c>
      <c r="D20801" s="254">
        <v>19.670000000000002</v>
      </c>
      <c r="E20801"/>
      <c r="F20801"/>
      <c r="G20801"/>
      <c r="H20801"/>
      <c r="I20801" s="489"/>
    </row>
    <row r="20802" spans="1:9" x14ac:dyDescent="0.25">
      <c r="A20802">
        <v>7213</v>
      </c>
      <c r="B20802" t="s">
        <v>24305</v>
      </c>
      <c r="C20802" t="s">
        <v>2539</v>
      </c>
      <c r="D20802" s="254">
        <v>18.04</v>
      </c>
      <c r="E20802"/>
      <c r="F20802"/>
      <c r="G20802"/>
      <c r="H20802"/>
      <c r="I20802" s="489"/>
    </row>
    <row r="20803" spans="1:9" x14ac:dyDescent="0.25">
      <c r="A20803">
        <v>7195</v>
      </c>
      <c r="B20803" t="s">
        <v>24306</v>
      </c>
      <c r="C20803" t="s">
        <v>2537</v>
      </c>
      <c r="D20803" s="254">
        <v>52.97</v>
      </c>
      <c r="E20803"/>
      <c r="F20803"/>
      <c r="G20803"/>
      <c r="H20803"/>
      <c r="I20803" s="489"/>
    </row>
    <row r="20804" spans="1:9" x14ac:dyDescent="0.25">
      <c r="A20804">
        <v>7186</v>
      </c>
      <c r="B20804" t="s">
        <v>24307</v>
      </c>
      <c r="C20804" t="s">
        <v>2537</v>
      </c>
      <c r="D20804" s="254">
        <v>57.7</v>
      </c>
      <c r="E20804"/>
      <c r="F20804"/>
      <c r="G20804"/>
      <c r="H20804"/>
      <c r="I20804" s="489"/>
    </row>
    <row r="20805" spans="1:9" x14ac:dyDescent="0.25">
      <c r="A20805">
        <v>7194</v>
      </c>
      <c r="B20805" t="s">
        <v>24308</v>
      </c>
      <c r="C20805" t="s">
        <v>2539</v>
      </c>
      <c r="D20805" s="254">
        <v>26.6</v>
      </c>
      <c r="E20805"/>
      <c r="F20805"/>
      <c r="G20805"/>
      <c r="H20805"/>
      <c r="I20805" s="489"/>
    </row>
    <row r="20806" spans="1:9" x14ac:dyDescent="0.25">
      <c r="A20806">
        <v>7197</v>
      </c>
      <c r="B20806" t="s">
        <v>24309</v>
      </c>
      <c r="C20806" t="s">
        <v>2537</v>
      </c>
      <c r="D20806" s="254">
        <v>112.28</v>
      </c>
      <c r="E20806"/>
      <c r="F20806"/>
      <c r="G20806"/>
      <c r="H20806"/>
      <c r="I20806" s="489"/>
    </row>
    <row r="20807" spans="1:9" x14ac:dyDescent="0.25">
      <c r="A20807">
        <v>7192</v>
      </c>
      <c r="B20807" t="s">
        <v>24310</v>
      </c>
      <c r="C20807" t="s">
        <v>2537</v>
      </c>
      <c r="D20807" s="254">
        <v>100.6</v>
      </c>
      <c r="E20807"/>
      <c r="F20807"/>
      <c r="G20807"/>
      <c r="H20807"/>
      <c r="I20807" s="489"/>
    </row>
    <row r="20808" spans="1:9" x14ac:dyDescent="0.25">
      <c r="A20808">
        <v>7193</v>
      </c>
      <c r="B20808" t="s">
        <v>24311</v>
      </c>
      <c r="C20808" t="s">
        <v>2537</v>
      </c>
      <c r="D20808" s="254">
        <v>113.26</v>
      </c>
      <c r="E20808"/>
      <c r="F20808"/>
      <c r="G20808"/>
      <c r="H20808"/>
      <c r="I20808" s="489"/>
    </row>
    <row r="20809" spans="1:9" x14ac:dyDescent="0.25">
      <c r="A20809">
        <v>7189</v>
      </c>
      <c r="B20809" t="s">
        <v>24312</v>
      </c>
      <c r="C20809" t="s">
        <v>2537</v>
      </c>
      <c r="D20809" s="254">
        <v>131.62</v>
      </c>
      <c r="E20809"/>
      <c r="F20809"/>
      <c r="G20809"/>
      <c r="H20809"/>
      <c r="I20809" s="489"/>
    </row>
    <row r="20810" spans="1:9" x14ac:dyDescent="0.25">
      <c r="A20810">
        <v>34402</v>
      </c>
      <c r="B20810" t="s">
        <v>24313</v>
      </c>
      <c r="C20810" t="s">
        <v>2537</v>
      </c>
      <c r="D20810" s="254">
        <v>185.82</v>
      </c>
      <c r="E20810"/>
      <c r="F20810"/>
      <c r="G20810"/>
      <c r="H20810"/>
      <c r="I20810" s="489"/>
    </row>
    <row r="20811" spans="1:9" x14ac:dyDescent="0.25">
      <c r="A20811">
        <v>7245</v>
      </c>
      <c r="B20811" t="s">
        <v>24314</v>
      </c>
      <c r="C20811" t="s">
        <v>2537</v>
      </c>
      <c r="D20811" s="254">
        <v>39.56</v>
      </c>
      <c r="E20811"/>
      <c r="F20811"/>
      <c r="G20811"/>
      <c r="H20811"/>
      <c r="I20811" s="489"/>
    </row>
    <row r="20812" spans="1:9" x14ac:dyDescent="0.25">
      <c r="A20812">
        <v>34425</v>
      </c>
      <c r="B20812" t="s">
        <v>24315</v>
      </c>
      <c r="C20812" t="s">
        <v>2537</v>
      </c>
      <c r="D20812" s="254">
        <v>119.37</v>
      </c>
      <c r="E20812"/>
      <c r="F20812"/>
      <c r="G20812"/>
      <c r="H20812"/>
      <c r="I20812" s="489"/>
    </row>
    <row r="20813" spans="1:9" x14ac:dyDescent="0.25">
      <c r="A20813">
        <v>7223</v>
      </c>
      <c r="B20813" t="s">
        <v>24316</v>
      </c>
      <c r="C20813" t="s">
        <v>2537</v>
      </c>
      <c r="D20813" s="254">
        <v>133.02000000000001</v>
      </c>
      <c r="E20813"/>
      <c r="F20813"/>
      <c r="G20813"/>
      <c r="H20813"/>
      <c r="I20813" s="489"/>
    </row>
    <row r="20814" spans="1:9" x14ac:dyDescent="0.25">
      <c r="A20814">
        <v>7234</v>
      </c>
      <c r="B20814" t="s">
        <v>24317</v>
      </c>
      <c r="C20814" t="s">
        <v>2537</v>
      </c>
      <c r="D20814" s="254">
        <v>200.73</v>
      </c>
      <c r="E20814"/>
      <c r="F20814"/>
      <c r="G20814"/>
      <c r="H20814"/>
      <c r="I20814" s="489"/>
    </row>
    <row r="20815" spans="1:9" x14ac:dyDescent="0.25">
      <c r="A20815">
        <v>7224</v>
      </c>
      <c r="B20815" t="s">
        <v>24318</v>
      </c>
      <c r="C20815" t="s">
        <v>2537</v>
      </c>
      <c r="D20815" s="254">
        <v>244.54</v>
      </c>
      <c r="E20815"/>
      <c r="F20815"/>
      <c r="G20815"/>
      <c r="H20815"/>
      <c r="I20815" s="489"/>
    </row>
    <row r="20816" spans="1:9" x14ac:dyDescent="0.25">
      <c r="A20816">
        <v>7225</v>
      </c>
      <c r="B20816" t="s">
        <v>24319</v>
      </c>
      <c r="C20816" t="s">
        <v>2537</v>
      </c>
      <c r="D20816" s="254">
        <v>262.20999999999998</v>
      </c>
      <c r="E20816"/>
      <c r="F20816"/>
      <c r="G20816"/>
      <c r="H20816"/>
      <c r="I20816" s="489"/>
    </row>
    <row r="20817" spans="1:9" x14ac:dyDescent="0.25">
      <c r="A20817">
        <v>7226</v>
      </c>
      <c r="B20817" t="s">
        <v>24320</v>
      </c>
      <c r="C20817" t="s">
        <v>2537</v>
      </c>
      <c r="D20817" s="254">
        <v>279.82</v>
      </c>
      <c r="E20817"/>
      <c r="F20817"/>
      <c r="G20817"/>
      <c r="H20817"/>
      <c r="I20817" s="489"/>
    </row>
    <row r="20818" spans="1:9" x14ac:dyDescent="0.25">
      <c r="A20818">
        <v>7227</v>
      </c>
      <c r="B20818" t="s">
        <v>24321</v>
      </c>
      <c r="C20818" t="s">
        <v>2537</v>
      </c>
      <c r="D20818" s="254">
        <v>318.51</v>
      </c>
      <c r="E20818"/>
      <c r="F20818"/>
      <c r="G20818"/>
      <c r="H20818"/>
      <c r="I20818" s="489"/>
    </row>
    <row r="20819" spans="1:9" x14ac:dyDescent="0.25">
      <c r="A20819">
        <v>7212</v>
      </c>
      <c r="B20819" t="s">
        <v>24322</v>
      </c>
      <c r="C20819" t="s">
        <v>2537</v>
      </c>
      <c r="D20819" s="254">
        <v>349.96</v>
      </c>
      <c r="E20819"/>
      <c r="F20819"/>
      <c r="G20819"/>
      <c r="H20819"/>
      <c r="I20819" s="489"/>
    </row>
    <row r="20820" spans="1:9" x14ac:dyDescent="0.25">
      <c r="A20820">
        <v>7229</v>
      </c>
      <c r="B20820" t="s">
        <v>24323</v>
      </c>
      <c r="C20820" t="s">
        <v>2537</v>
      </c>
      <c r="D20820" s="254">
        <v>221.83</v>
      </c>
      <c r="E20820"/>
      <c r="F20820"/>
      <c r="G20820"/>
      <c r="H20820"/>
      <c r="I20820" s="489"/>
    </row>
    <row r="20821" spans="1:9" x14ac:dyDescent="0.25">
      <c r="A20821">
        <v>7230</v>
      </c>
      <c r="B20821" t="s">
        <v>24324</v>
      </c>
      <c r="C20821" t="s">
        <v>2537</v>
      </c>
      <c r="D20821" s="254">
        <v>369.3</v>
      </c>
      <c r="E20821"/>
      <c r="F20821"/>
      <c r="G20821"/>
      <c r="H20821"/>
      <c r="I20821" s="489"/>
    </row>
    <row r="20822" spans="1:9" x14ac:dyDescent="0.25">
      <c r="A20822">
        <v>7231</v>
      </c>
      <c r="B20822" t="s">
        <v>24325</v>
      </c>
      <c r="C20822" t="s">
        <v>2537</v>
      </c>
      <c r="D20822" s="254">
        <v>523.89</v>
      </c>
      <c r="E20822"/>
      <c r="F20822"/>
      <c r="G20822"/>
      <c r="H20822"/>
      <c r="I20822" s="489"/>
    </row>
    <row r="20823" spans="1:9" x14ac:dyDescent="0.25">
      <c r="A20823">
        <v>7220</v>
      </c>
      <c r="B20823" t="s">
        <v>24326</v>
      </c>
      <c r="C20823" t="s">
        <v>2537</v>
      </c>
      <c r="D20823" s="254">
        <v>646.67999999999995</v>
      </c>
      <c r="E20823"/>
      <c r="F20823"/>
      <c r="G20823"/>
      <c r="H20823"/>
      <c r="I20823" s="489"/>
    </row>
    <row r="20824" spans="1:9" x14ac:dyDescent="0.25">
      <c r="A20824">
        <v>34447</v>
      </c>
      <c r="B20824" t="s">
        <v>24327</v>
      </c>
      <c r="C20824" t="s">
        <v>2537</v>
      </c>
      <c r="D20824" s="254">
        <v>723.09</v>
      </c>
      <c r="E20824"/>
      <c r="F20824"/>
      <c r="G20824"/>
      <c r="H20824"/>
      <c r="I20824" s="489"/>
    </row>
    <row r="20825" spans="1:9" x14ac:dyDescent="0.25">
      <c r="A20825">
        <v>7233</v>
      </c>
      <c r="B20825" t="s">
        <v>24328</v>
      </c>
      <c r="C20825" t="s">
        <v>2537</v>
      </c>
      <c r="D20825" s="254">
        <v>829.5</v>
      </c>
      <c r="E20825"/>
      <c r="F20825"/>
      <c r="G20825"/>
      <c r="H20825"/>
      <c r="I20825" s="489"/>
    </row>
    <row r="20826" spans="1:9" x14ac:dyDescent="0.25">
      <c r="A20826">
        <v>40740</v>
      </c>
      <c r="B20826" t="s">
        <v>24329</v>
      </c>
      <c r="C20826" t="s">
        <v>2539</v>
      </c>
      <c r="D20826" s="254">
        <v>203.18</v>
      </c>
      <c r="E20826"/>
      <c r="F20826"/>
      <c r="G20826"/>
      <c r="H20826"/>
      <c r="I20826" s="489"/>
    </row>
    <row r="20827" spans="1:9" x14ac:dyDescent="0.25">
      <c r="A20827">
        <v>25007</v>
      </c>
      <c r="B20827" t="s">
        <v>24330</v>
      </c>
      <c r="C20827" t="s">
        <v>2539</v>
      </c>
      <c r="D20827" s="254">
        <v>58.14</v>
      </c>
      <c r="E20827"/>
      <c r="F20827"/>
      <c r="G20827"/>
      <c r="H20827"/>
      <c r="I20827" s="489"/>
    </row>
    <row r="20828" spans="1:9" x14ac:dyDescent="0.25">
      <c r="A20828">
        <v>43071</v>
      </c>
      <c r="B20828" t="s">
        <v>24331</v>
      </c>
      <c r="C20828" t="s">
        <v>2539</v>
      </c>
      <c r="D20828" s="254">
        <v>228.78</v>
      </c>
      <c r="E20828"/>
      <c r="F20828"/>
      <c r="G20828"/>
      <c r="H20828"/>
      <c r="I20828" s="489"/>
    </row>
    <row r="20829" spans="1:9" x14ac:dyDescent="0.25">
      <c r="A20829">
        <v>39520</v>
      </c>
      <c r="B20829" t="s">
        <v>24332</v>
      </c>
      <c r="C20829" t="s">
        <v>2539</v>
      </c>
      <c r="D20829" s="254">
        <v>186.65</v>
      </c>
      <c r="E20829"/>
      <c r="F20829"/>
      <c r="G20829"/>
      <c r="H20829"/>
      <c r="I20829" s="489"/>
    </row>
    <row r="20830" spans="1:9" x14ac:dyDescent="0.25">
      <c r="A20830">
        <v>39521</v>
      </c>
      <c r="B20830" t="s">
        <v>24333</v>
      </c>
      <c r="C20830" t="s">
        <v>2539</v>
      </c>
      <c r="D20830" s="254">
        <v>192.75</v>
      </c>
      <c r="E20830"/>
      <c r="F20830"/>
      <c r="G20830"/>
      <c r="H20830"/>
      <c r="I20830" s="489"/>
    </row>
    <row r="20831" spans="1:9" x14ac:dyDescent="0.25">
      <c r="A20831">
        <v>39522</v>
      </c>
      <c r="B20831" t="s">
        <v>24334</v>
      </c>
      <c r="C20831" t="s">
        <v>2539</v>
      </c>
      <c r="D20831" s="254">
        <v>199.03</v>
      </c>
      <c r="E20831"/>
      <c r="F20831"/>
      <c r="G20831"/>
      <c r="H20831"/>
      <c r="I20831" s="489"/>
    </row>
    <row r="20832" spans="1:9" x14ac:dyDescent="0.25">
      <c r="A20832">
        <v>7243</v>
      </c>
      <c r="B20832" t="s">
        <v>24335</v>
      </c>
      <c r="C20832" t="s">
        <v>2539</v>
      </c>
      <c r="D20832" s="254">
        <v>60.75</v>
      </c>
      <c r="E20832"/>
      <c r="F20832"/>
      <c r="G20832"/>
      <c r="H20832"/>
      <c r="I20832" s="489"/>
    </row>
    <row r="20833" spans="1:9" x14ac:dyDescent="0.25">
      <c r="A20833">
        <v>11067</v>
      </c>
      <c r="B20833" t="s">
        <v>24336</v>
      </c>
      <c r="C20833" t="s">
        <v>2537</v>
      </c>
      <c r="D20833" s="254">
        <v>405.73</v>
      </c>
      <c r="E20833"/>
      <c r="F20833"/>
      <c r="G20833"/>
      <c r="H20833"/>
      <c r="I20833" s="489"/>
    </row>
    <row r="20834" spans="1:9" x14ac:dyDescent="0.25">
      <c r="A20834">
        <v>11068</v>
      </c>
      <c r="B20834" t="s">
        <v>24337</v>
      </c>
      <c r="C20834" t="s">
        <v>2537</v>
      </c>
      <c r="D20834" s="254">
        <v>512.57000000000005</v>
      </c>
      <c r="E20834"/>
      <c r="F20834"/>
      <c r="G20834"/>
      <c r="H20834"/>
      <c r="I20834" s="489"/>
    </row>
    <row r="20835" spans="1:9" x14ac:dyDescent="0.25">
      <c r="A20835">
        <v>7246</v>
      </c>
      <c r="B20835" t="s">
        <v>24338</v>
      </c>
      <c r="C20835" t="s">
        <v>2537</v>
      </c>
      <c r="D20835" s="254">
        <v>43.69</v>
      </c>
      <c r="E20835"/>
      <c r="F20835"/>
      <c r="G20835"/>
      <c r="H20835"/>
      <c r="I20835" s="489"/>
    </row>
    <row r="20836" spans="1:9" x14ac:dyDescent="0.25">
      <c r="A20836">
        <v>41097</v>
      </c>
      <c r="B20836" t="s">
        <v>24339</v>
      </c>
      <c r="C20836" t="s">
        <v>2544</v>
      </c>
      <c r="D20836" s="254">
        <v>4436.34</v>
      </c>
      <c r="E20836"/>
      <c r="F20836"/>
      <c r="G20836"/>
      <c r="H20836"/>
      <c r="I20836" s="489"/>
    </row>
    <row r="20837" spans="1:9" x14ac:dyDescent="0.25">
      <c r="A20837">
        <v>12869</v>
      </c>
      <c r="B20837" t="s">
        <v>24340</v>
      </c>
      <c r="C20837" t="s">
        <v>2538</v>
      </c>
      <c r="D20837" s="254">
        <v>25.12</v>
      </c>
      <c r="E20837"/>
      <c r="F20837"/>
      <c r="G20837"/>
      <c r="H20837"/>
      <c r="I20837" s="489"/>
    </row>
    <row r="20838" spans="1:9" x14ac:dyDescent="0.25">
      <c r="A20838">
        <v>1574</v>
      </c>
      <c r="B20838" t="s">
        <v>24341</v>
      </c>
      <c r="C20838" t="s">
        <v>2537</v>
      </c>
      <c r="D20838" s="254">
        <v>1.63</v>
      </c>
      <c r="E20838"/>
      <c r="F20838"/>
      <c r="G20838"/>
      <c r="H20838"/>
      <c r="I20838" s="489"/>
    </row>
    <row r="20839" spans="1:9" x14ac:dyDescent="0.25">
      <c r="A20839">
        <v>1581</v>
      </c>
      <c r="B20839" t="s">
        <v>24342</v>
      </c>
      <c r="C20839" t="s">
        <v>2537</v>
      </c>
      <c r="D20839" s="254">
        <v>11.31</v>
      </c>
      <c r="E20839"/>
      <c r="F20839"/>
      <c r="G20839"/>
      <c r="H20839"/>
      <c r="I20839" s="489"/>
    </row>
    <row r="20840" spans="1:9" x14ac:dyDescent="0.25">
      <c r="A20840">
        <v>1575</v>
      </c>
      <c r="B20840" t="s">
        <v>24343</v>
      </c>
      <c r="C20840" t="s">
        <v>2537</v>
      </c>
      <c r="D20840" s="254">
        <v>1.93</v>
      </c>
      <c r="E20840"/>
      <c r="F20840"/>
      <c r="G20840"/>
      <c r="H20840"/>
      <c r="I20840" s="489"/>
    </row>
    <row r="20841" spans="1:9" x14ac:dyDescent="0.25">
      <c r="A20841">
        <v>1570</v>
      </c>
      <c r="B20841" t="s">
        <v>24344</v>
      </c>
      <c r="C20841" t="s">
        <v>2537</v>
      </c>
      <c r="D20841" s="254">
        <v>0.97</v>
      </c>
      <c r="E20841"/>
      <c r="F20841"/>
      <c r="G20841"/>
      <c r="H20841"/>
      <c r="I20841" s="489"/>
    </row>
    <row r="20842" spans="1:9" x14ac:dyDescent="0.25">
      <c r="A20842">
        <v>1576</v>
      </c>
      <c r="B20842" t="s">
        <v>24345</v>
      </c>
      <c r="C20842" t="s">
        <v>2537</v>
      </c>
      <c r="D20842" s="254">
        <v>2.68</v>
      </c>
      <c r="E20842"/>
      <c r="F20842"/>
      <c r="G20842"/>
      <c r="H20842"/>
      <c r="I20842" s="489"/>
    </row>
    <row r="20843" spans="1:9" x14ac:dyDescent="0.25">
      <c r="A20843">
        <v>1577</v>
      </c>
      <c r="B20843" t="s">
        <v>24346</v>
      </c>
      <c r="C20843" t="s">
        <v>2537</v>
      </c>
      <c r="D20843" s="254">
        <v>3.02</v>
      </c>
      <c r="E20843"/>
      <c r="F20843"/>
      <c r="G20843"/>
      <c r="H20843"/>
      <c r="I20843" s="489"/>
    </row>
    <row r="20844" spans="1:9" x14ac:dyDescent="0.25">
      <c r="A20844">
        <v>1571</v>
      </c>
      <c r="B20844" t="s">
        <v>24347</v>
      </c>
      <c r="C20844" t="s">
        <v>2537</v>
      </c>
      <c r="D20844" s="254">
        <v>1.26</v>
      </c>
      <c r="E20844"/>
      <c r="F20844"/>
      <c r="G20844"/>
      <c r="H20844"/>
      <c r="I20844" s="489"/>
    </row>
    <row r="20845" spans="1:9" x14ac:dyDescent="0.25">
      <c r="A20845">
        <v>1578</v>
      </c>
      <c r="B20845" t="s">
        <v>24348</v>
      </c>
      <c r="C20845" t="s">
        <v>2537</v>
      </c>
      <c r="D20845" s="254">
        <v>5.24</v>
      </c>
      <c r="E20845"/>
      <c r="F20845"/>
      <c r="G20845"/>
      <c r="H20845"/>
      <c r="I20845" s="489"/>
    </row>
    <row r="20846" spans="1:9" x14ac:dyDescent="0.25">
      <c r="A20846">
        <v>1573</v>
      </c>
      <c r="B20846" t="s">
        <v>24349</v>
      </c>
      <c r="C20846" t="s">
        <v>2537</v>
      </c>
      <c r="D20846" s="254">
        <v>1.51</v>
      </c>
      <c r="E20846"/>
      <c r="F20846"/>
      <c r="G20846"/>
      <c r="H20846"/>
      <c r="I20846" s="489"/>
    </row>
    <row r="20847" spans="1:9" x14ac:dyDescent="0.25">
      <c r="A20847">
        <v>1579</v>
      </c>
      <c r="B20847" t="s">
        <v>24350</v>
      </c>
      <c r="C20847" t="s">
        <v>2537</v>
      </c>
      <c r="D20847" s="254">
        <v>6.53</v>
      </c>
      <c r="E20847"/>
      <c r="F20847"/>
      <c r="G20847"/>
      <c r="H20847"/>
      <c r="I20847" s="489"/>
    </row>
    <row r="20848" spans="1:9" x14ac:dyDescent="0.25">
      <c r="A20848">
        <v>1580</v>
      </c>
      <c r="B20848" t="s">
        <v>24351</v>
      </c>
      <c r="C20848" t="s">
        <v>2537</v>
      </c>
      <c r="D20848" s="254">
        <v>8.0399999999999991</v>
      </c>
      <c r="E20848"/>
      <c r="F20848"/>
      <c r="G20848"/>
      <c r="H20848"/>
      <c r="I20848" s="489"/>
    </row>
    <row r="20849" spans="1:9" x14ac:dyDescent="0.25">
      <c r="A20849">
        <v>39321</v>
      </c>
      <c r="B20849" t="s">
        <v>24352</v>
      </c>
      <c r="C20849" t="s">
        <v>2537</v>
      </c>
      <c r="D20849" s="254">
        <v>19.04</v>
      </c>
      <c r="E20849"/>
      <c r="F20849"/>
      <c r="G20849"/>
      <c r="H20849"/>
      <c r="I20849" s="489"/>
    </row>
    <row r="20850" spans="1:9" x14ac:dyDescent="0.25">
      <c r="A20850">
        <v>39319</v>
      </c>
      <c r="B20850" t="s">
        <v>24353</v>
      </c>
      <c r="C20850" t="s">
        <v>2537</v>
      </c>
      <c r="D20850" s="254">
        <v>7.44</v>
      </c>
      <c r="E20850"/>
      <c r="F20850"/>
      <c r="G20850"/>
      <c r="H20850"/>
      <c r="I20850" s="489"/>
    </row>
    <row r="20851" spans="1:9" x14ac:dyDescent="0.25">
      <c r="A20851">
        <v>39320</v>
      </c>
      <c r="B20851" t="s">
        <v>24354</v>
      </c>
      <c r="C20851" t="s">
        <v>2537</v>
      </c>
      <c r="D20851" s="254">
        <v>12.36</v>
      </c>
      <c r="E20851"/>
      <c r="F20851"/>
      <c r="G20851"/>
      <c r="H20851"/>
      <c r="I20851" s="489"/>
    </row>
    <row r="20852" spans="1:9" x14ac:dyDescent="0.25">
      <c r="A20852">
        <v>1591</v>
      </c>
      <c r="B20852" t="s">
        <v>24355</v>
      </c>
      <c r="C20852" t="s">
        <v>2537</v>
      </c>
      <c r="D20852" s="254">
        <v>24.95</v>
      </c>
      <c r="E20852"/>
      <c r="F20852"/>
      <c r="G20852"/>
      <c r="H20852"/>
      <c r="I20852" s="489"/>
    </row>
    <row r="20853" spans="1:9" x14ac:dyDescent="0.25">
      <c r="A20853">
        <v>1547</v>
      </c>
      <c r="B20853" t="s">
        <v>24356</v>
      </c>
      <c r="C20853" t="s">
        <v>2537</v>
      </c>
      <c r="D20853" s="254">
        <v>130.72</v>
      </c>
      <c r="E20853"/>
      <c r="F20853"/>
      <c r="G20853"/>
      <c r="H20853"/>
      <c r="I20853" s="489"/>
    </row>
    <row r="20854" spans="1:9" x14ac:dyDescent="0.25">
      <c r="A20854">
        <v>38196</v>
      </c>
      <c r="B20854" t="s">
        <v>24357</v>
      </c>
      <c r="C20854" t="s">
        <v>2537</v>
      </c>
      <c r="D20854" s="254">
        <v>25.46</v>
      </c>
      <c r="E20854"/>
      <c r="F20854"/>
      <c r="G20854"/>
      <c r="H20854"/>
      <c r="I20854" s="489"/>
    </row>
    <row r="20855" spans="1:9" x14ac:dyDescent="0.25">
      <c r="A20855">
        <v>1543</v>
      </c>
      <c r="B20855" t="s">
        <v>24358</v>
      </c>
      <c r="C20855" t="s">
        <v>2537</v>
      </c>
      <c r="D20855" s="254">
        <v>27.05</v>
      </c>
      <c r="E20855"/>
      <c r="F20855"/>
      <c r="G20855"/>
      <c r="H20855"/>
      <c r="I20855" s="489"/>
    </row>
    <row r="20856" spans="1:9" x14ac:dyDescent="0.25">
      <c r="A20856">
        <v>1585</v>
      </c>
      <c r="B20856" t="s">
        <v>24359</v>
      </c>
      <c r="C20856" t="s">
        <v>2537</v>
      </c>
      <c r="D20856" s="254">
        <v>5.24</v>
      </c>
      <c r="E20856"/>
      <c r="F20856"/>
      <c r="G20856"/>
      <c r="H20856"/>
      <c r="I20856" s="489"/>
    </row>
    <row r="20857" spans="1:9" x14ac:dyDescent="0.25">
      <c r="A20857">
        <v>1593</v>
      </c>
      <c r="B20857" t="s">
        <v>24360</v>
      </c>
      <c r="C20857" t="s">
        <v>2537</v>
      </c>
      <c r="D20857" s="254">
        <v>27.82</v>
      </c>
      <c r="E20857"/>
      <c r="F20857"/>
      <c r="G20857"/>
      <c r="H20857"/>
      <c r="I20857" s="489"/>
    </row>
    <row r="20858" spans="1:9" x14ac:dyDescent="0.25">
      <c r="A20858">
        <v>11838</v>
      </c>
      <c r="B20858" t="s">
        <v>24361</v>
      </c>
      <c r="C20858" t="s">
        <v>2537</v>
      </c>
      <c r="D20858" s="254">
        <v>36.71</v>
      </c>
      <c r="E20858"/>
      <c r="F20858"/>
      <c r="G20858"/>
      <c r="H20858"/>
      <c r="I20858" s="489"/>
    </row>
    <row r="20859" spans="1:9" x14ac:dyDescent="0.25">
      <c r="A20859">
        <v>1594</v>
      </c>
      <c r="B20859" t="s">
        <v>24362</v>
      </c>
      <c r="C20859" t="s">
        <v>2537</v>
      </c>
      <c r="D20859" s="254">
        <v>37.119999999999997</v>
      </c>
      <c r="E20859"/>
      <c r="F20859"/>
      <c r="G20859"/>
      <c r="H20859"/>
      <c r="I20859" s="489"/>
    </row>
    <row r="20860" spans="1:9" x14ac:dyDescent="0.25">
      <c r="A20860">
        <v>1586</v>
      </c>
      <c r="B20860" t="s">
        <v>24363</v>
      </c>
      <c r="C20860" t="s">
        <v>2537</v>
      </c>
      <c r="D20860" s="254">
        <v>6.63</v>
      </c>
      <c r="E20860"/>
      <c r="F20860"/>
      <c r="G20860"/>
      <c r="H20860"/>
      <c r="I20860" s="489"/>
    </row>
    <row r="20861" spans="1:9" x14ac:dyDescent="0.25">
      <c r="A20861">
        <v>11839</v>
      </c>
      <c r="B20861" t="s">
        <v>24364</v>
      </c>
      <c r="C20861" t="s">
        <v>2537</v>
      </c>
      <c r="D20861" s="254">
        <v>53.42</v>
      </c>
      <c r="E20861"/>
      <c r="F20861"/>
      <c r="G20861"/>
      <c r="H20861"/>
      <c r="I20861" s="489"/>
    </row>
    <row r="20862" spans="1:9" x14ac:dyDescent="0.25">
      <c r="A20862">
        <v>1587</v>
      </c>
      <c r="B20862" t="s">
        <v>24365</v>
      </c>
      <c r="C20862" t="s">
        <v>2537</v>
      </c>
      <c r="D20862" s="254">
        <v>6.75</v>
      </c>
      <c r="E20862"/>
      <c r="F20862"/>
      <c r="G20862"/>
      <c r="H20862"/>
      <c r="I20862" s="489"/>
    </row>
    <row r="20863" spans="1:9" x14ac:dyDescent="0.25">
      <c r="A20863">
        <v>1545</v>
      </c>
      <c r="B20863" t="s">
        <v>24366</v>
      </c>
      <c r="C20863" t="s">
        <v>2537</v>
      </c>
      <c r="D20863" s="254">
        <v>64.099999999999994</v>
      </c>
      <c r="E20863"/>
      <c r="F20863"/>
      <c r="G20863"/>
      <c r="H20863"/>
      <c r="I20863" s="489"/>
    </row>
    <row r="20864" spans="1:9" x14ac:dyDescent="0.25">
      <c r="A20864">
        <v>1588</v>
      </c>
      <c r="B20864" t="s">
        <v>24367</v>
      </c>
      <c r="C20864" t="s">
        <v>2537</v>
      </c>
      <c r="D20864" s="254">
        <v>9.26</v>
      </c>
      <c r="E20864"/>
      <c r="F20864"/>
      <c r="G20864"/>
      <c r="H20864"/>
      <c r="I20864" s="489"/>
    </row>
    <row r="20865" spans="1:9" x14ac:dyDescent="0.25">
      <c r="A20865">
        <v>1535</v>
      </c>
      <c r="B20865" t="s">
        <v>24368</v>
      </c>
      <c r="C20865" t="s">
        <v>2537</v>
      </c>
      <c r="D20865" s="254">
        <v>5.34</v>
      </c>
      <c r="E20865"/>
      <c r="F20865"/>
      <c r="G20865"/>
      <c r="H20865"/>
      <c r="I20865" s="489"/>
    </row>
    <row r="20866" spans="1:9" x14ac:dyDescent="0.25">
      <c r="A20866">
        <v>1589</v>
      </c>
      <c r="B20866" t="s">
        <v>24369</v>
      </c>
      <c r="C20866" t="s">
        <v>2537</v>
      </c>
      <c r="D20866" s="254">
        <v>9.56</v>
      </c>
      <c r="E20866"/>
      <c r="F20866"/>
      <c r="G20866"/>
      <c r="H20866"/>
      <c r="I20866" s="489"/>
    </row>
    <row r="20867" spans="1:9" x14ac:dyDescent="0.25">
      <c r="A20867">
        <v>1546</v>
      </c>
      <c r="B20867" t="s">
        <v>24370</v>
      </c>
      <c r="C20867" t="s">
        <v>2537</v>
      </c>
      <c r="D20867" s="254">
        <v>108.17</v>
      </c>
      <c r="E20867"/>
      <c r="F20867"/>
      <c r="G20867"/>
      <c r="H20867"/>
      <c r="I20867" s="489"/>
    </row>
    <row r="20868" spans="1:9" x14ac:dyDescent="0.25">
      <c r="A20868">
        <v>1590</v>
      </c>
      <c r="B20868" t="s">
        <v>24371</v>
      </c>
      <c r="C20868" t="s">
        <v>2537</v>
      </c>
      <c r="D20868" s="254">
        <v>16.82</v>
      </c>
      <c r="E20868"/>
      <c r="F20868"/>
      <c r="G20868"/>
      <c r="H20868"/>
      <c r="I20868" s="489"/>
    </row>
    <row r="20869" spans="1:9" x14ac:dyDescent="0.25">
      <c r="A20869">
        <v>1542</v>
      </c>
      <c r="B20869" t="s">
        <v>24372</v>
      </c>
      <c r="C20869" t="s">
        <v>2537</v>
      </c>
      <c r="D20869" s="254">
        <v>22.29</v>
      </c>
      <c r="E20869"/>
      <c r="F20869"/>
      <c r="G20869"/>
      <c r="H20869"/>
      <c r="I20869" s="489"/>
    </row>
    <row r="20870" spans="1:9" x14ac:dyDescent="0.25">
      <c r="A20870">
        <v>38415</v>
      </c>
      <c r="B20870" t="s">
        <v>24373</v>
      </c>
      <c r="C20870" t="s">
        <v>2537</v>
      </c>
      <c r="D20870" s="254">
        <v>929.03</v>
      </c>
      <c r="E20870"/>
      <c r="F20870"/>
      <c r="G20870"/>
      <c r="H20870"/>
      <c r="I20870" s="489"/>
    </row>
    <row r="20871" spans="1:9" x14ac:dyDescent="0.25">
      <c r="A20871">
        <v>38414</v>
      </c>
      <c r="B20871" t="s">
        <v>24374</v>
      </c>
      <c r="C20871" t="s">
        <v>2537</v>
      </c>
      <c r="D20871" s="254">
        <v>1303.9000000000001</v>
      </c>
      <c r="E20871"/>
      <c r="F20871"/>
      <c r="G20871"/>
      <c r="H20871"/>
      <c r="I20871" s="489"/>
    </row>
    <row r="20872" spans="1:9" x14ac:dyDescent="0.25">
      <c r="A20872">
        <v>38128</v>
      </c>
      <c r="B20872" t="s">
        <v>24375</v>
      </c>
      <c r="C20872" t="s">
        <v>2542</v>
      </c>
      <c r="D20872" s="254">
        <v>0.73</v>
      </c>
      <c r="E20872"/>
      <c r="F20872"/>
      <c r="G20872"/>
      <c r="H20872"/>
      <c r="I20872" s="489"/>
    </row>
    <row r="20873" spans="1:9" x14ac:dyDescent="0.25">
      <c r="A20873">
        <v>7253</v>
      </c>
      <c r="B20873" t="s">
        <v>24376</v>
      </c>
      <c r="C20873" t="s">
        <v>2540</v>
      </c>
      <c r="D20873" s="254">
        <v>156.41999999999999</v>
      </c>
      <c r="E20873"/>
      <c r="F20873"/>
      <c r="G20873"/>
      <c r="H20873"/>
      <c r="I20873" s="489"/>
    </row>
    <row r="20874" spans="1:9" x14ac:dyDescent="0.25">
      <c r="A20874">
        <v>4806</v>
      </c>
      <c r="B20874" t="s">
        <v>24377</v>
      </c>
      <c r="C20874" t="s">
        <v>2541</v>
      </c>
      <c r="D20874" s="254">
        <v>15.9</v>
      </c>
      <c r="E20874"/>
      <c r="F20874"/>
      <c r="G20874"/>
      <c r="H20874"/>
      <c r="I20874" s="489"/>
    </row>
    <row r="20875" spans="1:9" x14ac:dyDescent="0.25">
      <c r="A20875">
        <v>34401</v>
      </c>
      <c r="B20875" t="s">
        <v>24378</v>
      </c>
      <c r="C20875" t="s">
        <v>2537</v>
      </c>
      <c r="D20875" s="254">
        <v>2.79</v>
      </c>
      <c r="E20875"/>
      <c r="F20875"/>
      <c r="G20875"/>
      <c r="H20875"/>
      <c r="I20875" s="489"/>
    </row>
    <row r="20876" spans="1:9" x14ac:dyDescent="0.25">
      <c r="A20876">
        <v>7260</v>
      </c>
      <c r="B20876" t="s">
        <v>24379</v>
      </c>
      <c r="C20876" t="s">
        <v>2537</v>
      </c>
      <c r="D20876" s="254">
        <v>2.48</v>
      </c>
      <c r="E20876"/>
      <c r="F20876"/>
      <c r="G20876"/>
      <c r="H20876"/>
      <c r="I20876" s="489"/>
    </row>
    <row r="20877" spans="1:9" x14ac:dyDescent="0.25">
      <c r="A20877">
        <v>7256</v>
      </c>
      <c r="B20877" t="s">
        <v>24380</v>
      </c>
      <c r="C20877" t="s">
        <v>2537</v>
      </c>
      <c r="D20877" s="254">
        <v>2.4500000000000002</v>
      </c>
      <c r="E20877"/>
      <c r="F20877"/>
      <c r="G20877"/>
      <c r="H20877"/>
      <c r="I20877" s="489"/>
    </row>
    <row r="20878" spans="1:9" x14ac:dyDescent="0.25">
      <c r="A20878">
        <v>7258</v>
      </c>
      <c r="B20878" t="s">
        <v>24381</v>
      </c>
      <c r="C20878" t="s">
        <v>2537</v>
      </c>
      <c r="D20878" s="254">
        <v>1</v>
      </c>
      <c r="E20878"/>
      <c r="F20878"/>
      <c r="G20878"/>
      <c r="H20878"/>
      <c r="I20878" s="489"/>
    </row>
    <row r="20879" spans="1:9" x14ac:dyDescent="0.25">
      <c r="A20879">
        <v>34400</v>
      </c>
      <c r="B20879" t="s">
        <v>24382</v>
      </c>
      <c r="C20879" t="s">
        <v>2537</v>
      </c>
      <c r="D20879" s="254">
        <v>4.3</v>
      </c>
      <c r="E20879"/>
      <c r="F20879"/>
      <c r="G20879"/>
      <c r="H20879"/>
      <c r="I20879" s="489"/>
    </row>
    <row r="20880" spans="1:9" x14ac:dyDescent="0.25">
      <c r="A20880">
        <v>10617</v>
      </c>
      <c r="B20880" t="s">
        <v>24383</v>
      </c>
      <c r="C20880" t="s">
        <v>2537</v>
      </c>
      <c r="D20880" s="254">
        <v>8.2200000000000006</v>
      </c>
      <c r="E20880"/>
      <c r="F20880"/>
      <c r="G20880"/>
      <c r="H20880"/>
      <c r="I20880" s="489"/>
    </row>
    <row r="20881" spans="1:9" x14ac:dyDescent="0.25">
      <c r="A20881">
        <v>7274</v>
      </c>
      <c r="B20881" t="s">
        <v>24384</v>
      </c>
      <c r="C20881" t="s">
        <v>2537</v>
      </c>
      <c r="D20881" s="254">
        <v>66.95</v>
      </c>
      <c r="E20881"/>
      <c r="F20881"/>
      <c r="G20881"/>
      <c r="H20881"/>
      <c r="I20881" s="489"/>
    </row>
    <row r="20882" spans="1:9" x14ac:dyDescent="0.25">
      <c r="A20882">
        <v>11663</v>
      </c>
      <c r="B20882" t="s">
        <v>24385</v>
      </c>
      <c r="C20882" t="s">
        <v>2537</v>
      </c>
      <c r="D20882" s="254">
        <v>550.73</v>
      </c>
      <c r="E20882"/>
      <c r="F20882"/>
      <c r="G20882"/>
      <c r="H20882"/>
      <c r="I20882" s="489"/>
    </row>
    <row r="20883" spans="1:9" x14ac:dyDescent="0.25">
      <c r="A20883">
        <v>154</v>
      </c>
      <c r="B20883" t="s">
        <v>24386</v>
      </c>
      <c r="C20883" t="s">
        <v>2543</v>
      </c>
      <c r="D20883" s="254">
        <v>67.02</v>
      </c>
      <c r="E20883"/>
      <c r="F20883"/>
      <c r="G20883"/>
      <c r="H20883"/>
      <c r="I20883" s="489"/>
    </row>
    <row r="20884" spans="1:9" x14ac:dyDescent="0.25">
      <c r="A20884">
        <v>38121</v>
      </c>
      <c r="B20884" t="s">
        <v>24387</v>
      </c>
      <c r="C20884" t="s">
        <v>2543</v>
      </c>
      <c r="D20884" s="254">
        <v>13.13</v>
      </c>
      <c r="E20884"/>
      <c r="F20884"/>
      <c r="G20884"/>
      <c r="H20884"/>
      <c r="I20884" s="489"/>
    </row>
    <row r="20885" spans="1:9" x14ac:dyDescent="0.25">
      <c r="A20885">
        <v>43776</v>
      </c>
      <c r="B20885" t="s">
        <v>24388</v>
      </c>
      <c r="C20885" t="s">
        <v>2543</v>
      </c>
      <c r="D20885" s="254">
        <v>27.26</v>
      </c>
      <c r="E20885"/>
      <c r="F20885"/>
      <c r="G20885"/>
      <c r="H20885"/>
      <c r="I20885" s="489"/>
    </row>
    <row r="20886" spans="1:9" x14ac:dyDescent="0.25">
      <c r="A20886">
        <v>7343</v>
      </c>
      <c r="B20886" t="s">
        <v>24389</v>
      </c>
      <c r="C20886" t="s">
        <v>2543</v>
      </c>
      <c r="D20886" s="254">
        <v>11.61</v>
      </c>
      <c r="E20886"/>
      <c r="F20886"/>
      <c r="G20886"/>
      <c r="H20886"/>
      <c r="I20886" s="489"/>
    </row>
    <row r="20887" spans="1:9" x14ac:dyDescent="0.25">
      <c r="A20887">
        <v>7348</v>
      </c>
      <c r="B20887" t="s">
        <v>24390</v>
      </c>
      <c r="C20887" t="s">
        <v>2543</v>
      </c>
      <c r="D20887" s="254">
        <v>17.46</v>
      </c>
      <c r="E20887"/>
      <c r="F20887"/>
      <c r="G20887"/>
      <c r="H20887"/>
      <c r="I20887" s="489"/>
    </row>
    <row r="20888" spans="1:9" x14ac:dyDescent="0.25">
      <c r="A20888">
        <v>7313</v>
      </c>
      <c r="B20888" t="s">
        <v>24391</v>
      </c>
      <c r="C20888" t="s">
        <v>2543</v>
      </c>
      <c r="D20888" s="254">
        <v>19.16</v>
      </c>
      <c r="E20888"/>
      <c r="F20888"/>
      <c r="G20888"/>
      <c r="H20888"/>
      <c r="I20888" s="489"/>
    </row>
    <row r="20889" spans="1:9" x14ac:dyDescent="0.25">
      <c r="A20889">
        <v>7319</v>
      </c>
      <c r="B20889" t="s">
        <v>24392</v>
      </c>
      <c r="C20889" t="s">
        <v>2543</v>
      </c>
      <c r="D20889" s="254">
        <v>10.97</v>
      </c>
      <c r="E20889"/>
      <c r="F20889"/>
      <c r="G20889"/>
      <c r="H20889"/>
      <c r="I20889" s="489"/>
    </row>
    <row r="20890" spans="1:9" x14ac:dyDescent="0.25">
      <c r="A20890">
        <v>7314</v>
      </c>
      <c r="B20890" t="s">
        <v>24393</v>
      </c>
      <c r="C20890" t="s">
        <v>2543</v>
      </c>
      <c r="D20890" s="254">
        <v>51.99</v>
      </c>
      <c r="E20890"/>
      <c r="F20890"/>
      <c r="G20890"/>
      <c r="H20890"/>
      <c r="I20890" s="489"/>
    </row>
    <row r="20891" spans="1:9" x14ac:dyDescent="0.25">
      <c r="A20891">
        <v>7304</v>
      </c>
      <c r="B20891" t="s">
        <v>24394</v>
      </c>
      <c r="C20891" t="s">
        <v>2543</v>
      </c>
      <c r="D20891" s="254">
        <v>80.790000000000006</v>
      </c>
      <c r="E20891"/>
      <c r="F20891"/>
      <c r="G20891"/>
      <c r="H20891"/>
      <c r="I20891" s="489"/>
    </row>
    <row r="20892" spans="1:9" x14ac:dyDescent="0.25">
      <c r="A20892">
        <v>43649</v>
      </c>
      <c r="B20892" t="s">
        <v>24395</v>
      </c>
      <c r="C20892" t="s">
        <v>2543</v>
      </c>
      <c r="D20892" s="254">
        <v>41.78</v>
      </c>
      <c r="E20892"/>
      <c r="F20892"/>
      <c r="G20892"/>
      <c r="H20892"/>
      <c r="I20892" s="489"/>
    </row>
    <row r="20893" spans="1:9" x14ac:dyDescent="0.25">
      <c r="A20893">
        <v>43650</v>
      </c>
      <c r="B20893" t="s">
        <v>24396</v>
      </c>
      <c r="C20893" t="s">
        <v>2543</v>
      </c>
      <c r="D20893" s="254">
        <v>39.479999999999997</v>
      </c>
      <c r="E20893"/>
      <c r="F20893"/>
      <c r="G20893"/>
      <c r="H20893"/>
      <c r="I20893" s="489"/>
    </row>
    <row r="20894" spans="1:9" x14ac:dyDescent="0.25">
      <c r="A20894">
        <v>7311</v>
      </c>
      <c r="B20894" t="s">
        <v>24397</v>
      </c>
      <c r="C20894" t="s">
        <v>2543</v>
      </c>
      <c r="D20894" s="254">
        <v>40.450000000000003</v>
      </c>
      <c r="E20894"/>
      <c r="F20894"/>
      <c r="G20894"/>
      <c r="H20894"/>
      <c r="I20894" s="489"/>
    </row>
    <row r="20895" spans="1:9" x14ac:dyDescent="0.25">
      <c r="A20895">
        <v>7292</v>
      </c>
      <c r="B20895" t="s">
        <v>24398</v>
      </c>
      <c r="C20895" t="s">
        <v>2543</v>
      </c>
      <c r="D20895" s="254">
        <v>39.159999999999997</v>
      </c>
      <c r="E20895"/>
      <c r="F20895"/>
      <c r="G20895"/>
      <c r="H20895"/>
      <c r="I20895" s="489"/>
    </row>
    <row r="20896" spans="1:9" x14ac:dyDescent="0.25">
      <c r="A20896">
        <v>7293</v>
      </c>
      <c r="B20896" t="s">
        <v>24399</v>
      </c>
      <c r="C20896" t="s">
        <v>2543</v>
      </c>
      <c r="D20896" s="254">
        <v>43.32</v>
      </c>
      <c r="E20896"/>
      <c r="F20896"/>
      <c r="G20896"/>
      <c r="H20896"/>
      <c r="I20896" s="489"/>
    </row>
    <row r="20897" spans="1:9" x14ac:dyDescent="0.25">
      <c r="A20897">
        <v>7306</v>
      </c>
      <c r="B20897" t="s">
        <v>24400</v>
      </c>
      <c r="C20897" t="s">
        <v>2543</v>
      </c>
      <c r="D20897" s="254">
        <v>47.81</v>
      </c>
      <c r="E20897"/>
      <c r="F20897"/>
      <c r="G20897"/>
      <c r="H20897"/>
      <c r="I20897" s="489"/>
    </row>
    <row r="20898" spans="1:9" x14ac:dyDescent="0.25">
      <c r="A20898">
        <v>7288</v>
      </c>
      <c r="B20898" t="s">
        <v>24401</v>
      </c>
      <c r="C20898" t="s">
        <v>2543</v>
      </c>
      <c r="D20898" s="254">
        <v>39.700000000000003</v>
      </c>
      <c r="E20898"/>
      <c r="F20898"/>
      <c r="G20898"/>
      <c r="H20898"/>
      <c r="I20898" s="489"/>
    </row>
    <row r="20899" spans="1:9" x14ac:dyDescent="0.25">
      <c r="A20899">
        <v>43625</v>
      </c>
      <c r="B20899" t="s">
        <v>24402</v>
      </c>
      <c r="C20899" t="s">
        <v>2543</v>
      </c>
      <c r="D20899" s="254">
        <v>32.049999999999997</v>
      </c>
      <c r="E20899"/>
      <c r="F20899"/>
      <c r="G20899"/>
      <c r="H20899"/>
      <c r="I20899" s="489"/>
    </row>
    <row r="20900" spans="1:9" x14ac:dyDescent="0.25">
      <c r="A20900">
        <v>43647</v>
      </c>
      <c r="B20900" t="s">
        <v>24403</v>
      </c>
      <c r="C20900" t="s">
        <v>2543</v>
      </c>
      <c r="D20900" s="254">
        <v>29.12</v>
      </c>
      <c r="E20900"/>
      <c r="F20900"/>
      <c r="G20900"/>
      <c r="H20900"/>
      <c r="I20900" s="489"/>
    </row>
    <row r="20901" spans="1:9" x14ac:dyDescent="0.25">
      <c r="A20901">
        <v>43648</v>
      </c>
      <c r="B20901" t="s">
        <v>24404</v>
      </c>
      <c r="C20901" t="s">
        <v>2543</v>
      </c>
      <c r="D20901" s="254">
        <v>28.09</v>
      </c>
      <c r="E20901"/>
      <c r="F20901"/>
      <c r="G20901"/>
      <c r="H20901"/>
      <c r="I20901" s="489"/>
    </row>
    <row r="20902" spans="1:9" x14ac:dyDescent="0.25">
      <c r="A20902">
        <v>35693</v>
      </c>
      <c r="B20902" t="s">
        <v>24405</v>
      </c>
      <c r="C20902" t="s">
        <v>2543</v>
      </c>
      <c r="D20902" s="254">
        <v>10.86</v>
      </c>
      <c r="E20902"/>
      <c r="F20902"/>
      <c r="G20902"/>
      <c r="H20902"/>
      <c r="I20902" s="489"/>
    </row>
    <row r="20903" spans="1:9" x14ac:dyDescent="0.25">
      <c r="A20903">
        <v>7356</v>
      </c>
      <c r="B20903" t="s">
        <v>24406</v>
      </c>
      <c r="C20903" t="s">
        <v>2543</v>
      </c>
      <c r="D20903" s="254">
        <v>26.04</v>
      </c>
      <c r="E20903"/>
      <c r="F20903"/>
      <c r="G20903"/>
      <c r="H20903"/>
      <c r="I20903" s="489"/>
    </row>
    <row r="20904" spans="1:9" x14ac:dyDescent="0.25">
      <c r="A20904">
        <v>35692</v>
      </c>
      <c r="B20904" t="s">
        <v>24407</v>
      </c>
      <c r="C20904" t="s">
        <v>2543</v>
      </c>
      <c r="D20904" s="254">
        <v>17.04</v>
      </c>
      <c r="E20904"/>
      <c r="F20904"/>
      <c r="G20904"/>
      <c r="H20904"/>
      <c r="I20904" s="489"/>
    </row>
    <row r="20905" spans="1:9" x14ac:dyDescent="0.25">
      <c r="A20905">
        <v>43624</v>
      </c>
      <c r="B20905" t="s">
        <v>24408</v>
      </c>
      <c r="C20905" t="s">
        <v>2543</v>
      </c>
      <c r="D20905" s="254">
        <v>31.74</v>
      </c>
      <c r="E20905"/>
      <c r="F20905"/>
      <c r="G20905"/>
      <c r="H20905"/>
      <c r="I20905" s="489"/>
    </row>
    <row r="20906" spans="1:9" x14ac:dyDescent="0.25">
      <c r="A20906">
        <v>7342</v>
      </c>
      <c r="B20906" t="s">
        <v>24409</v>
      </c>
      <c r="C20906" t="s">
        <v>2542</v>
      </c>
      <c r="D20906" s="254">
        <v>2.1</v>
      </c>
      <c r="E20906"/>
      <c r="F20906"/>
      <c r="G20906"/>
      <c r="H20906"/>
      <c r="I20906" s="489"/>
    </row>
    <row r="20907" spans="1:9" x14ac:dyDescent="0.25">
      <c r="A20907">
        <v>7350</v>
      </c>
      <c r="B20907" t="s">
        <v>24410</v>
      </c>
      <c r="C20907" t="s">
        <v>2543</v>
      </c>
      <c r="D20907" s="254">
        <v>37.590000000000003</v>
      </c>
      <c r="E20907"/>
      <c r="F20907"/>
      <c r="G20907"/>
      <c r="H20907"/>
      <c r="I20907" s="489"/>
    </row>
    <row r="20908" spans="1:9" x14ac:dyDescent="0.25">
      <c r="A20908">
        <v>39574</v>
      </c>
      <c r="B20908" t="s">
        <v>24411</v>
      </c>
      <c r="C20908" t="s">
        <v>2537</v>
      </c>
      <c r="D20908" s="254">
        <v>6.4</v>
      </c>
      <c r="E20908"/>
      <c r="F20908"/>
      <c r="G20908"/>
      <c r="H20908"/>
      <c r="I20908" s="489"/>
    </row>
    <row r="20909" spans="1:9" x14ac:dyDescent="0.25">
      <c r="A20909">
        <v>11060</v>
      </c>
      <c r="B20909" t="s">
        <v>24412</v>
      </c>
      <c r="C20909" t="s">
        <v>2537</v>
      </c>
      <c r="D20909" s="254">
        <v>46.23</v>
      </c>
      <c r="E20909"/>
      <c r="F20909"/>
      <c r="G20909"/>
      <c r="H20909"/>
      <c r="I20909" s="489"/>
    </row>
    <row r="20910" spans="1:9" x14ac:dyDescent="0.25">
      <c r="A20910">
        <v>37401</v>
      </c>
      <c r="B20910" t="s">
        <v>24413</v>
      </c>
      <c r="C20910" t="s">
        <v>2537</v>
      </c>
      <c r="D20910" s="254">
        <v>49.61</v>
      </c>
      <c r="E20910"/>
      <c r="F20910"/>
      <c r="G20910"/>
      <c r="H20910"/>
      <c r="I20910" s="489"/>
    </row>
    <row r="20911" spans="1:9" x14ac:dyDescent="0.25">
      <c r="A20911">
        <v>7525</v>
      </c>
      <c r="B20911" t="s">
        <v>24414</v>
      </c>
      <c r="C20911" t="s">
        <v>2537</v>
      </c>
      <c r="D20911" s="254">
        <v>47.27</v>
      </c>
      <c r="E20911"/>
      <c r="F20911"/>
      <c r="G20911"/>
      <c r="H20911"/>
      <c r="I20911" s="489"/>
    </row>
    <row r="20912" spans="1:9" x14ac:dyDescent="0.25">
      <c r="A20912">
        <v>7524</v>
      </c>
      <c r="B20912" t="s">
        <v>24415</v>
      </c>
      <c r="C20912" t="s">
        <v>2537</v>
      </c>
      <c r="D20912" s="254">
        <v>44.54</v>
      </c>
      <c r="E20912"/>
      <c r="F20912"/>
      <c r="G20912"/>
      <c r="H20912"/>
      <c r="I20912" s="489"/>
    </row>
    <row r="20913" spans="1:9" x14ac:dyDescent="0.25">
      <c r="A20913">
        <v>38105</v>
      </c>
      <c r="B20913" t="s">
        <v>24416</v>
      </c>
      <c r="C20913" t="s">
        <v>2537</v>
      </c>
      <c r="D20913" s="254">
        <v>11.44</v>
      </c>
      <c r="E20913"/>
      <c r="F20913"/>
      <c r="G20913"/>
      <c r="H20913"/>
      <c r="I20913" s="489"/>
    </row>
    <row r="20914" spans="1:9" x14ac:dyDescent="0.25">
      <c r="A20914">
        <v>38084</v>
      </c>
      <c r="B20914" t="s">
        <v>24417</v>
      </c>
      <c r="C20914" t="s">
        <v>2537</v>
      </c>
      <c r="D20914" s="254">
        <v>16.25</v>
      </c>
      <c r="E20914"/>
      <c r="F20914"/>
      <c r="G20914"/>
      <c r="H20914"/>
      <c r="I20914" s="489"/>
    </row>
    <row r="20915" spans="1:9" x14ac:dyDescent="0.25">
      <c r="A20915">
        <v>38103</v>
      </c>
      <c r="B20915" t="s">
        <v>24418</v>
      </c>
      <c r="C20915" t="s">
        <v>2537</v>
      </c>
      <c r="D20915" s="254">
        <v>17.18</v>
      </c>
      <c r="E20915"/>
      <c r="F20915"/>
      <c r="G20915"/>
      <c r="H20915"/>
      <c r="I20915" s="489"/>
    </row>
    <row r="20916" spans="1:9" x14ac:dyDescent="0.25">
      <c r="A20916">
        <v>38082</v>
      </c>
      <c r="B20916" t="s">
        <v>24419</v>
      </c>
      <c r="C20916" t="s">
        <v>2537</v>
      </c>
      <c r="D20916" s="254">
        <v>21.16</v>
      </c>
      <c r="E20916"/>
      <c r="F20916"/>
      <c r="G20916"/>
      <c r="H20916"/>
      <c r="I20916" s="489"/>
    </row>
    <row r="20917" spans="1:9" x14ac:dyDescent="0.25">
      <c r="A20917">
        <v>38104</v>
      </c>
      <c r="B20917" t="s">
        <v>24420</v>
      </c>
      <c r="C20917" t="s">
        <v>2537</v>
      </c>
      <c r="D20917" s="254">
        <v>33.630000000000003</v>
      </c>
      <c r="E20917"/>
      <c r="F20917"/>
      <c r="G20917"/>
      <c r="H20917"/>
      <c r="I20917" s="489"/>
    </row>
    <row r="20918" spans="1:9" x14ac:dyDescent="0.25">
      <c r="A20918">
        <v>38083</v>
      </c>
      <c r="B20918" t="s">
        <v>24421</v>
      </c>
      <c r="C20918" t="s">
        <v>2537</v>
      </c>
      <c r="D20918" s="254">
        <v>37.340000000000003</v>
      </c>
      <c r="E20918"/>
      <c r="F20918"/>
      <c r="G20918"/>
      <c r="H20918"/>
      <c r="I20918" s="489"/>
    </row>
    <row r="20919" spans="1:9" x14ac:dyDescent="0.25">
      <c r="A20919">
        <v>38101</v>
      </c>
      <c r="B20919" t="s">
        <v>24422</v>
      </c>
      <c r="C20919" t="s">
        <v>2537</v>
      </c>
      <c r="D20919" s="254">
        <v>8.17</v>
      </c>
      <c r="E20919"/>
      <c r="F20919"/>
      <c r="G20919"/>
      <c r="H20919"/>
      <c r="I20919" s="489"/>
    </row>
    <row r="20920" spans="1:9" x14ac:dyDescent="0.25">
      <c r="A20920">
        <v>7528</v>
      </c>
      <c r="B20920" t="s">
        <v>24423</v>
      </c>
      <c r="C20920" t="s">
        <v>2537</v>
      </c>
      <c r="D20920" s="254">
        <v>9.6</v>
      </c>
      <c r="E20920"/>
      <c r="F20920"/>
      <c r="G20920"/>
      <c r="H20920"/>
      <c r="I20920" s="489"/>
    </row>
    <row r="20921" spans="1:9" x14ac:dyDescent="0.25">
      <c r="A20921">
        <v>12147</v>
      </c>
      <c r="B20921" t="s">
        <v>24424</v>
      </c>
      <c r="C20921" t="s">
        <v>2537</v>
      </c>
      <c r="D20921" s="254">
        <v>14.64</v>
      </c>
      <c r="E20921"/>
      <c r="F20921"/>
      <c r="G20921"/>
      <c r="H20921"/>
      <c r="I20921" s="489"/>
    </row>
    <row r="20922" spans="1:9" x14ac:dyDescent="0.25">
      <c r="A20922">
        <v>38075</v>
      </c>
      <c r="B20922" t="s">
        <v>24425</v>
      </c>
      <c r="C20922" t="s">
        <v>2537</v>
      </c>
      <c r="D20922" s="254">
        <v>16.63</v>
      </c>
      <c r="E20922"/>
      <c r="F20922"/>
      <c r="G20922"/>
      <c r="H20922"/>
      <c r="I20922" s="489"/>
    </row>
    <row r="20923" spans="1:9" x14ac:dyDescent="0.25">
      <c r="A20923">
        <v>38102</v>
      </c>
      <c r="B20923" t="s">
        <v>24426</v>
      </c>
      <c r="C20923" t="s">
        <v>2537</v>
      </c>
      <c r="D20923" s="254">
        <v>10.45</v>
      </c>
      <c r="E20923"/>
      <c r="F20923"/>
      <c r="G20923"/>
      <c r="H20923"/>
      <c r="I20923" s="489"/>
    </row>
    <row r="20924" spans="1:9" x14ac:dyDescent="0.25">
      <c r="A20924">
        <v>38076</v>
      </c>
      <c r="B20924" t="s">
        <v>24427</v>
      </c>
      <c r="C20924" t="s">
        <v>2537</v>
      </c>
      <c r="D20924" s="254">
        <v>18.64</v>
      </c>
      <c r="E20924"/>
      <c r="F20924"/>
      <c r="G20924"/>
      <c r="H20924"/>
      <c r="I20924" s="489"/>
    </row>
    <row r="20925" spans="1:9" x14ac:dyDescent="0.25">
      <c r="A20925">
        <v>7592</v>
      </c>
      <c r="B20925" t="s">
        <v>24428</v>
      </c>
      <c r="C20925" t="s">
        <v>2538</v>
      </c>
      <c r="D20925" s="254">
        <v>25.44</v>
      </c>
      <c r="E20925"/>
      <c r="F20925"/>
      <c r="G20925"/>
      <c r="H20925"/>
      <c r="I20925" s="489"/>
    </row>
    <row r="20926" spans="1:9" x14ac:dyDescent="0.25">
      <c r="A20926">
        <v>40820</v>
      </c>
      <c r="B20926" t="s">
        <v>24429</v>
      </c>
      <c r="C20926" t="s">
        <v>2544</v>
      </c>
      <c r="D20926" s="254">
        <v>4489.72</v>
      </c>
      <c r="E20926"/>
      <c r="F20926"/>
      <c r="G20926"/>
      <c r="H20926"/>
      <c r="I20926" s="489"/>
    </row>
    <row r="20927" spans="1:9" x14ac:dyDescent="0.25">
      <c r="A20927">
        <v>11826</v>
      </c>
      <c r="B20927" t="s">
        <v>24430</v>
      </c>
      <c r="C20927" t="s">
        <v>2537</v>
      </c>
      <c r="D20927" s="254">
        <v>55.16</v>
      </c>
      <c r="E20927"/>
      <c r="F20927"/>
      <c r="G20927"/>
      <c r="H20927"/>
      <c r="I20927" s="489"/>
    </row>
    <row r="20928" spans="1:9" x14ac:dyDescent="0.25">
      <c r="A20928">
        <v>7606</v>
      </c>
      <c r="B20928" t="s">
        <v>24431</v>
      </c>
      <c r="C20928" t="s">
        <v>2537</v>
      </c>
      <c r="D20928" s="254">
        <v>66.33</v>
      </c>
      <c r="E20928"/>
      <c r="F20928"/>
      <c r="G20928"/>
      <c r="H20928"/>
      <c r="I20928" s="489"/>
    </row>
    <row r="20929" spans="1:9" x14ac:dyDescent="0.25">
      <c r="A20929">
        <v>11763</v>
      </c>
      <c r="B20929" t="s">
        <v>24432</v>
      </c>
      <c r="C20929" t="s">
        <v>2537</v>
      </c>
      <c r="D20929" s="254">
        <v>144.85</v>
      </c>
      <c r="E20929"/>
      <c r="F20929"/>
      <c r="G20929"/>
      <c r="H20929"/>
      <c r="I20929" s="489"/>
    </row>
    <row r="20930" spans="1:9" x14ac:dyDescent="0.25">
      <c r="A20930">
        <v>11764</v>
      </c>
      <c r="B20930" t="s">
        <v>24433</v>
      </c>
      <c r="C20930" t="s">
        <v>2537</v>
      </c>
      <c r="D20930" s="254">
        <v>118.84</v>
      </c>
      <c r="E20930"/>
      <c r="F20930"/>
      <c r="G20930"/>
      <c r="H20930"/>
      <c r="I20930" s="489"/>
    </row>
    <row r="20931" spans="1:9" x14ac:dyDescent="0.25">
      <c r="A20931">
        <v>11829</v>
      </c>
      <c r="B20931" t="s">
        <v>24434</v>
      </c>
      <c r="C20931" t="s">
        <v>2537</v>
      </c>
      <c r="D20931" s="254">
        <v>28.72</v>
      </c>
      <c r="E20931"/>
      <c r="F20931"/>
      <c r="G20931"/>
      <c r="H20931"/>
      <c r="I20931" s="489"/>
    </row>
    <row r="20932" spans="1:9" x14ac:dyDescent="0.25">
      <c r="A20932">
        <v>11830</v>
      </c>
      <c r="B20932" t="s">
        <v>24435</v>
      </c>
      <c r="C20932" t="s">
        <v>2537</v>
      </c>
      <c r="D20932" s="254">
        <v>31.02</v>
      </c>
      <c r="E20932"/>
      <c r="F20932"/>
      <c r="G20932"/>
      <c r="H20932"/>
      <c r="I20932" s="489"/>
    </row>
    <row r="20933" spans="1:9" x14ac:dyDescent="0.25">
      <c r="A20933">
        <v>11825</v>
      </c>
      <c r="B20933" t="s">
        <v>24436</v>
      </c>
      <c r="C20933" t="s">
        <v>2537</v>
      </c>
      <c r="D20933" s="254">
        <v>69.78</v>
      </c>
      <c r="E20933"/>
      <c r="F20933"/>
      <c r="G20933"/>
      <c r="H20933"/>
      <c r="I20933" s="489"/>
    </row>
    <row r="20934" spans="1:9" x14ac:dyDescent="0.25">
      <c r="A20934">
        <v>11767</v>
      </c>
      <c r="B20934" t="s">
        <v>24437</v>
      </c>
      <c r="C20934" t="s">
        <v>2537</v>
      </c>
      <c r="D20934" s="254">
        <v>185.86</v>
      </c>
      <c r="E20934"/>
      <c r="F20934"/>
      <c r="G20934"/>
      <c r="H20934"/>
      <c r="I20934" s="489"/>
    </row>
    <row r="20935" spans="1:9" x14ac:dyDescent="0.25">
      <c r="A20935">
        <v>11766</v>
      </c>
      <c r="B20935" t="s">
        <v>24438</v>
      </c>
      <c r="C20935" t="s">
        <v>2537</v>
      </c>
      <c r="D20935" s="254">
        <v>43.32</v>
      </c>
      <c r="E20935"/>
      <c r="F20935"/>
      <c r="G20935"/>
      <c r="H20935"/>
      <c r="I20935" s="489"/>
    </row>
    <row r="20936" spans="1:9" x14ac:dyDescent="0.25">
      <c r="A20936">
        <v>11765</v>
      </c>
      <c r="B20936" t="s">
        <v>24439</v>
      </c>
      <c r="C20936" t="s">
        <v>2537</v>
      </c>
      <c r="D20936" s="254">
        <v>79.2</v>
      </c>
      <c r="E20936"/>
      <c r="F20936"/>
      <c r="G20936"/>
      <c r="H20936"/>
      <c r="I20936" s="489"/>
    </row>
    <row r="20937" spans="1:9" x14ac:dyDescent="0.25">
      <c r="A20937">
        <v>11824</v>
      </c>
      <c r="B20937" t="s">
        <v>24440</v>
      </c>
      <c r="C20937" t="s">
        <v>2537</v>
      </c>
      <c r="D20937" s="254">
        <v>50.96</v>
      </c>
      <c r="E20937"/>
      <c r="F20937"/>
      <c r="G20937"/>
      <c r="H20937"/>
      <c r="I20937" s="489"/>
    </row>
    <row r="20938" spans="1:9" x14ac:dyDescent="0.25">
      <c r="A20938">
        <v>44045</v>
      </c>
      <c r="B20938" t="s">
        <v>24441</v>
      </c>
      <c r="C20938" t="s">
        <v>2537</v>
      </c>
      <c r="D20938" s="254">
        <v>283.89</v>
      </c>
      <c r="E20938"/>
      <c r="F20938"/>
      <c r="G20938"/>
      <c r="H20938"/>
      <c r="I20938" s="489"/>
    </row>
    <row r="20939" spans="1:9" x14ac:dyDescent="0.25">
      <c r="A20939">
        <v>39702</v>
      </c>
      <c r="B20939" t="s">
        <v>24442</v>
      </c>
      <c r="C20939" t="s">
        <v>2537</v>
      </c>
      <c r="D20939" s="254">
        <v>1885.42</v>
      </c>
      <c r="E20939"/>
      <c r="F20939"/>
      <c r="G20939"/>
      <c r="H20939"/>
      <c r="I20939" s="489"/>
    </row>
    <row r="20940" spans="1:9" x14ac:dyDescent="0.25">
      <c r="A20940">
        <v>13415</v>
      </c>
      <c r="B20940" t="s">
        <v>24443</v>
      </c>
      <c r="C20940" t="s">
        <v>2537</v>
      </c>
      <c r="D20940" s="254">
        <v>61.9</v>
      </c>
      <c r="E20940"/>
      <c r="F20940"/>
      <c r="G20940"/>
      <c r="H20940"/>
      <c r="I20940" s="489"/>
    </row>
    <row r="20941" spans="1:9" x14ac:dyDescent="0.25">
      <c r="A20941">
        <v>7602</v>
      </c>
      <c r="B20941" t="s">
        <v>24444</v>
      </c>
      <c r="C20941" t="s">
        <v>2537</v>
      </c>
      <c r="D20941" s="254">
        <v>39.5</v>
      </c>
      <c r="E20941"/>
      <c r="F20941"/>
      <c r="G20941"/>
      <c r="H20941"/>
      <c r="I20941" s="489"/>
    </row>
    <row r="20942" spans="1:9" x14ac:dyDescent="0.25">
      <c r="A20942">
        <v>7603</v>
      </c>
      <c r="B20942" t="s">
        <v>24445</v>
      </c>
      <c r="C20942" t="s">
        <v>2537</v>
      </c>
      <c r="D20942" s="254">
        <v>33.51</v>
      </c>
      <c r="E20942"/>
      <c r="F20942"/>
      <c r="G20942"/>
      <c r="H20942"/>
      <c r="I20942" s="489"/>
    </row>
    <row r="20943" spans="1:9" x14ac:dyDescent="0.25">
      <c r="A20943">
        <v>11777</v>
      </c>
      <c r="B20943" t="s">
        <v>24446</v>
      </c>
      <c r="C20943" t="s">
        <v>2537</v>
      </c>
      <c r="D20943" s="254">
        <v>151.57</v>
      </c>
      <c r="E20943"/>
      <c r="F20943"/>
      <c r="G20943"/>
      <c r="H20943"/>
      <c r="I20943" s="489"/>
    </row>
    <row r="20944" spans="1:9" x14ac:dyDescent="0.25">
      <c r="A20944">
        <v>13417</v>
      </c>
      <c r="B20944" t="s">
        <v>24447</v>
      </c>
      <c r="C20944" t="s">
        <v>2537</v>
      </c>
      <c r="D20944" s="254">
        <v>80.62</v>
      </c>
      <c r="E20944"/>
      <c r="F20944"/>
      <c r="G20944"/>
      <c r="H20944"/>
      <c r="I20944" s="489"/>
    </row>
    <row r="20945" spans="1:9" x14ac:dyDescent="0.25">
      <c r="A20945">
        <v>36791</v>
      </c>
      <c r="B20945" t="s">
        <v>24448</v>
      </c>
      <c r="C20945" t="s">
        <v>2537</v>
      </c>
      <c r="D20945" s="254">
        <v>121</v>
      </c>
      <c r="E20945"/>
      <c r="F20945"/>
      <c r="G20945"/>
      <c r="H20945"/>
      <c r="I20945" s="489"/>
    </row>
    <row r="20946" spans="1:9" x14ac:dyDescent="0.25">
      <c r="A20946">
        <v>36795</v>
      </c>
      <c r="B20946" t="s">
        <v>24449</v>
      </c>
      <c r="C20946" t="s">
        <v>2537</v>
      </c>
      <c r="D20946" s="254">
        <v>1529.85</v>
      </c>
      <c r="E20946"/>
      <c r="F20946"/>
      <c r="G20946"/>
      <c r="H20946"/>
      <c r="I20946" s="489"/>
    </row>
    <row r="20947" spans="1:9" x14ac:dyDescent="0.25">
      <c r="A20947">
        <v>36796</v>
      </c>
      <c r="B20947" t="s">
        <v>24450</v>
      </c>
      <c r="C20947" t="s">
        <v>2537</v>
      </c>
      <c r="D20947" s="254">
        <v>127.13</v>
      </c>
      <c r="E20947"/>
      <c r="F20947"/>
      <c r="G20947"/>
      <c r="H20947"/>
      <c r="I20947" s="489"/>
    </row>
    <row r="20948" spans="1:9" x14ac:dyDescent="0.25">
      <c r="A20948">
        <v>36792</v>
      </c>
      <c r="B20948" t="s">
        <v>24451</v>
      </c>
      <c r="C20948" t="s">
        <v>2537</v>
      </c>
      <c r="D20948" s="254">
        <v>161.04</v>
      </c>
      <c r="E20948"/>
      <c r="F20948"/>
      <c r="G20948"/>
      <c r="H20948"/>
      <c r="I20948" s="489"/>
    </row>
    <row r="20949" spans="1:9" x14ac:dyDescent="0.25">
      <c r="A20949">
        <v>11773</v>
      </c>
      <c r="B20949" t="s">
        <v>24452</v>
      </c>
      <c r="C20949" t="s">
        <v>2537</v>
      </c>
      <c r="D20949" s="254">
        <v>107.2</v>
      </c>
      <c r="E20949"/>
      <c r="F20949"/>
      <c r="G20949"/>
      <c r="H20949"/>
      <c r="I20949" s="489"/>
    </row>
    <row r="20950" spans="1:9" x14ac:dyDescent="0.25">
      <c r="A20950">
        <v>11762</v>
      </c>
      <c r="B20950" t="s">
        <v>24453</v>
      </c>
      <c r="C20950" t="s">
        <v>2537</v>
      </c>
      <c r="D20950" s="254">
        <v>50.84</v>
      </c>
      <c r="E20950"/>
      <c r="F20950"/>
      <c r="G20950"/>
      <c r="H20950"/>
      <c r="I20950" s="489"/>
    </row>
    <row r="20951" spans="1:9" x14ac:dyDescent="0.25">
      <c r="A20951">
        <v>7604</v>
      </c>
      <c r="B20951" t="s">
        <v>24454</v>
      </c>
      <c r="C20951" t="s">
        <v>2537</v>
      </c>
      <c r="D20951" s="254">
        <v>43.05</v>
      </c>
      <c r="E20951"/>
      <c r="F20951"/>
      <c r="G20951"/>
      <c r="H20951"/>
      <c r="I20951" s="489"/>
    </row>
    <row r="20952" spans="1:9" x14ac:dyDescent="0.25">
      <c r="A20952">
        <v>13984</v>
      </c>
      <c r="B20952" t="s">
        <v>24455</v>
      </c>
      <c r="C20952" t="s">
        <v>2537</v>
      </c>
      <c r="D20952" s="254">
        <v>62.57</v>
      </c>
      <c r="E20952"/>
      <c r="F20952"/>
      <c r="G20952"/>
      <c r="H20952"/>
      <c r="I20952" s="489"/>
    </row>
    <row r="20953" spans="1:9" x14ac:dyDescent="0.25">
      <c r="A20953">
        <v>11772</v>
      </c>
      <c r="B20953" t="s">
        <v>24456</v>
      </c>
      <c r="C20953" t="s">
        <v>2537</v>
      </c>
      <c r="D20953" s="254">
        <v>107.54</v>
      </c>
      <c r="E20953"/>
      <c r="F20953"/>
      <c r="G20953"/>
      <c r="H20953"/>
      <c r="I20953" s="489"/>
    </row>
    <row r="20954" spans="1:9" x14ac:dyDescent="0.25">
      <c r="A20954">
        <v>13983</v>
      </c>
      <c r="B20954" t="s">
        <v>24457</v>
      </c>
      <c r="C20954" t="s">
        <v>2537</v>
      </c>
      <c r="D20954" s="254">
        <v>81.44</v>
      </c>
      <c r="E20954"/>
      <c r="F20954"/>
      <c r="G20954"/>
      <c r="H20954"/>
      <c r="I20954" s="489"/>
    </row>
    <row r="20955" spans="1:9" x14ac:dyDescent="0.25">
      <c r="A20955">
        <v>13416</v>
      </c>
      <c r="B20955" t="s">
        <v>24458</v>
      </c>
      <c r="C20955" t="s">
        <v>2537</v>
      </c>
      <c r="D20955" s="254">
        <v>72.33</v>
      </c>
      <c r="E20955"/>
      <c r="F20955"/>
      <c r="G20955"/>
      <c r="H20955"/>
      <c r="I20955" s="489"/>
    </row>
    <row r="20956" spans="1:9" x14ac:dyDescent="0.25">
      <c r="A20956">
        <v>40329</v>
      </c>
      <c r="B20956" t="s">
        <v>24459</v>
      </c>
      <c r="C20956" t="s">
        <v>2537</v>
      </c>
      <c r="D20956" s="254">
        <v>18</v>
      </c>
      <c r="E20956"/>
      <c r="F20956"/>
      <c r="G20956"/>
      <c r="H20956"/>
      <c r="I20956" s="489"/>
    </row>
    <row r="20957" spans="1:9" x14ac:dyDescent="0.25">
      <c r="A20957">
        <v>11823</v>
      </c>
      <c r="B20957" t="s">
        <v>24460</v>
      </c>
      <c r="C20957" t="s">
        <v>2537</v>
      </c>
      <c r="D20957" s="254">
        <v>7.58</v>
      </c>
      <c r="E20957"/>
      <c r="F20957"/>
      <c r="G20957"/>
      <c r="H20957"/>
      <c r="I20957" s="489"/>
    </row>
    <row r="20958" spans="1:9" x14ac:dyDescent="0.25">
      <c r="A20958">
        <v>11822</v>
      </c>
      <c r="B20958" t="s">
        <v>24461</v>
      </c>
      <c r="C20958" t="s">
        <v>2537</v>
      </c>
      <c r="D20958" s="254">
        <v>28.29</v>
      </c>
      <c r="E20958"/>
      <c r="F20958"/>
      <c r="G20958"/>
      <c r="H20958"/>
      <c r="I20958" s="489"/>
    </row>
    <row r="20959" spans="1:9" x14ac:dyDescent="0.25">
      <c r="A20959">
        <v>11831</v>
      </c>
      <c r="B20959" t="s">
        <v>24462</v>
      </c>
      <c r="C20959" t="s">
        <v>2537</v>
      </c>
      <c r="D20959" s="254">
        <v>17.03</v>
      </c>
      <c r="E20959"/>
      <c r="F20959"/>
      <c r="G20959"/>
      <c r="H20959"/>
      <c r="I20959" s="489"/>
    </row>
    <row r="20960" spans="1:9" x14ac:dyDescent="0.25">
      <c r="A20960">
        <v>7613</v>
      </c>
      <c r="B20960" t="s">
        <v>24463</v>
      </c>
      <c r="C20960" t="s">
        <v>2537</v>
      </c>
      <c r="D20960" s="254">
        <v>108435.72</v>
      </c>
      <c r="E20960"/>
      <c r="F20960"/>
      <c r="G20960"/>
      <c r="H20960"/>
      <c r="I20960" s="489"/>
    </row>
    <row r="20961" spans="1:9" x14ac:dyDescent="0.25">
      <c r="A20961">
        <v>7619</v>
      </c>
      <c r="B20961" t="s">
        <v>24464</v>
      </c>
      <c r="C20961" t="s">
        <v>2537</v>
      </c>
      <c r="D20961" s="254">
        <v>16761.84</v>
      </c>
      <c r="E20961"/>
      <c r="F20961"/>
      <c r="G20961"/>
      <c r="H20961"/>
      <c r="I20961" s="489"/>
    </row>
    <row r="20962" spans="1:9" x14ac:dyDescent="0.25">
      <c r="A20962">
        <v>12076</v>
      </c>
      <c r="B20962" t="s">
        <v>24465</v>
      </c>
      <c r="C20962" t="s">
        <v>2537</v>
      </c>
      <c r="D20962" s="254">
        <v>7688.91</v>
      </c>
      <c r="E20962"/>
      <c r="F20962"/>
      <c r="G20962"/>
      <c r="H20962"/>
      <c r="I20962" s="489"/>
    </row>
    <row r="20963" spans="1:9" x14ac:dyDescent="0.25">
      <c r="A20963">
        <v>7614</v>
      </c>
      <c r="B20963" t="s">
        <v>24466</v>
      </c>
      <c r="C20963" t="s">
        <v>2537</v>
      </c>
      <c r="D20963" s="254">
        <v>21140.68</v>
      </c>
      <c r="E20963"/>
      <c r="F20963"/>
      <c r="G20963"/>
      <c r="H20963"/>
      <c r="I20963" s="489"/>
    </row>
    <row r="20964" spans="1:9" x14ac:dyDescent="0.25">
      <c r="A20964">
        <v>7618</v>
      </c>
      <c r="B20964" t="s">
        <v>24467</v>
      </c>
      <c r="C20964" t="s">
        <v>2537</v>
      </c>
      <c r="D20964" s="254">
        <v>137113.19</v>
      </c>
      <c r="E20964"/>
      <c r="F20964"/>
      <c r="G20964"/>
      <c r="H20964"/>
      <c r="I20964" s="489"/>
    </row>
    <row r="20965" spans="1:9" x14ac:dyDescent="0.25">
      <c r="A20965">
        <v>7620</v>
      </c>
      <c r="B20965" t="s">
        <v>24468</v>
      </c>
      <c r="C20965" t="s">
        <v>2537</v>
      </c>
      <c r="D20965" s="254">
        <v>29657.25</v>
      </c>
      <c r="E20965"/>
      <c r="F20965"/>
      <c r="G20965"/>
      <c r="H20965"/>
      <c r="I20965" s="489"/>
    </row>
    <row r="20966" spans="1:9" x14ac:dyDescent="0.25">
      <c r="A20966">
        <v>7610</v>
      </c>
      <c r="B20966" t="s">
        <v>24469</v>
      </c>
      <c r="C20966" t="s">
        <v>2537</v>
      </c>
      <c r="D20966" s="254">
        <v>9391.4599999999991</v>
      </c>
      <c r="E20966"/>
      <c r="F20966"/>
      <c r="G20966"/>
      <c r="H20966"/>
      <c r="I20966" s="489"/>
    </row>
    <row r="20967" spans="1:9" x14ac:dyDescent="0.25">
      <c r="A20967">
        <v>7615</v>
      </c>
      <c r="B20967" t="s">
        <v>24470</v>
      </c>
      <c r="C20967" t="s">
        <v>2537</v>
      </c>
      <c r="D20967" s="254">
        <v>34600.129999999997</v>
      </c>
      <c r="E20967"/>
      <c r="F20967"/>
      <c r="G20967"/>
      <c r="H20967"/>
      <c r="I20967" s="489"/>
    </row>
    <row r="20968" spans="1:9" x14ac:dyDescent="0.25">
      <c r="A20968">
        <v>7617</v>
      </c>
      <c r="B20968" t="s">
        <v>24471</v>
      </c>
      <c r="C20968" t="s">
        <v>2537</v>
      </c>
      <c r="D20968" s="254">
        <v>10489.88</v>
      </c>
      <c r="E20968"/>
      <c r="F20968"/>
      <c r="G20968"/>
      <c r="H20968"/>
      <c r="I20968" s="489"/>
    </row>
    <row r="20969" spans="1:9" x14ac:dyDescent="0.25">
      <c r="A20969">
        <v>7616</v>
      </c>
      <c r="B20969" t="s">
        <v>24472</v>
      </c>
      <c r="C20969" t="s">
        <v>2537</v>
      </c>
      <c r="D20969" s="254">
        <v>56461.919999999998</v>
      </c>
      <c r="E20969"/>
      <c r="F20969"/>
      <c r="G20969"/>
      <c r="H20969"/>
      <c r="I20969" s="489"/>
    </row>
    <row r="20970" spans="1:9" x14ac:dyDescent="0.25">
      <c r="A20970">
        <v>7611</v>
      </c>
      <c r="B20970" t="s">
        <v>24473</v>
      </c>
      <c r="C20970" t="s">
        <v>2537</v>
      </c>
      <c r="D20970" s="254">
        <v>13565.45</v>
      </c>
      <c r="E20970"/>
      <c r="F20970"/>
      <c r="G20970"/>
      <c r="H20970"/>
      <c r="I20970" s="489"/>
    </row>
    <row r="20971" spans="1:9" x14ac:dyDescent="0.25">
      <c r="A20971">
        <v>7612</v>
      </c>
      <c r="B20971" t="s">
        <v>24474</v>
      </c>
      <c r="C20971" t="s">
        <v>2537</v>
      </c>
      <c r="D20971" s="254">
        <v>77447.179999999993</v>
      </c>
      <c r="E20971"/>
      <c r="F20971"/>
      <c r="G20971"/>
      <c r="H20971"/>
      <c r="I20971" s="489"/>
    </row>
    <row r="20972" spans="1:9" x14ac:dyDescent="0.25">
      <c r="A20972">
        <v>37371</v>
      </c>
      <c r="B20972" t="s">
        <v>24475</v>
      </c>
      <c r="C20972" t="s">
        <v>2538</v>
      </c>
      <c r="D20972" s="254">
        <v>0.64</v>
      </c>
      <c r="E20972"/>
      <c r="F20972"/>
      <c r="G20972"/>
      <c r="H20972"/>
      <c r="I20972" s="489"/>
    </row>
    <row r="20973" spans="1:9" x14ac:dyDescent="0.25">
      <c r="A20973">
        <v>40861</v>
      </c>
      <c r="B20973" t="s">
        <v>24476</v>
      </c>
      <c r="C20973" t="s">
        <v>2544</v>
      </c>
      <c r="D20973" s="254">
        <v>121.04</v>
      </c>
      <c r="E20973"/>
      <c r="F20973"/>
      <c r="G20973"/>
      <c r="H20973"/>
      <c r="I20973" s="489"/>
    </row>
    <row r="20974" spans="1:9" x14ac:dyDescent="0.25">
      <c r="A20974">
        <v>36510</v>
      </c>
      <c r="B20974" t="s">
        <v>24477</v>
      </c>
      <c r="C20974" t="s">
        <v>2537</v>
      </c>
      <c r="D20974" s="254">
        <v>1240287.3999999999</v>
      </c>
      <c r="E20974"/>
      <c r="F20974"/>
      <c r="G20974"/>
      <c r="H20974"/>
      <c r="I20974" s="489"/>
    </row>
    <row r="20975" spans="1:9" x14ac:dyDescent="0.25">
      <c r="A20975">
        <v>25020</v>
      </c>
      <c r="B20975" t="s">
        <v>24478</v>
      </c>
      <c r="C20975" t="s">
        <v>2537</v>
      </c>
      <c r="D20975" s="254">
        <v>5109547.75</v>
      </c>
      <c r="E20975"/>
      <c r="F20975"/>
      <c r="G20975"/>
      <c r="H20975"/>
      <c r="I20975" s="489"/>
    </row>
    <row r="20976" spans="1:9" x14ac:dyDescent="0.25">
      <c r="A20976">
        <v>7622</v>
      </c>
      <c r="B20976" t="s">
        <v>24479</v>
      </c>
      <c r="C20976" t="s">
        <v>2537</v>
      </c>
      <c r="D20976" s="254">
        <v>1203260.06</v>
      </c>
      <c r="E20976"/>
      <c r="F20976"/>
      <c r="G20976"/>
      <c r="H20976"/>
      <c r="I20976" s="489"/>
    </row>
    <row r="20977" spans="1:9" x14ac:dyDescent="0.25">
      <c r="A20977">
        <v>7624</v>
      </c>
      <c r="B20977" t="s">
        <v>24480</v>
      </c>
      <c r="C20977" t="s">
        <v>2537</v>
      </c>
      <c r="D20977" s="254">
        <v>1559900</v>
      </c>
      <c r="E20977"/>
      <c r="F20977"/>
      <c r="G20977"/>
      <c r="H20977"/>
      <c r="I20977" s="489"/>
    </row>
    <row r="20978" spans="1:9" x14ac:dyDescent="0.25">
      <c r="A20978">
        <v>7625</v>
      </c>
      <c r="B20978" t="s">
        <v>24481</v>
      </c>
      <c r="C20978" t="s">
        <v>2537</v>
      </c>
      <c r="D20978" s="254">
        <v>1550359.18</v>
      </c>
      <c r="E20978"/>
      <c r="F20978"/>
      <c r="G20978"/>
      <c r="H20978"/>
      <c r="I20978" s="489"/>
    </row>
    <row r="20979" spans="1:9" x14ac:dyDescent="0.25">
      <c r="A20979">
        <v>7623</v>
      </c>
      <c r="B20979" t="s">
        <v>24482</v>
      </c>
      <c r="C20979" t="s">
        <v>2537</v>
      </c>
      <c r="D20979" s="254">
        <v>5109547.75</v>
      </c>
      <c r="E20979"/>
      <c r="F20979"/>
      <c r="G20979"/>
      <c r="H20979"/>
      <c r="I20979" s="489"/>
    </row>
    <row r="20980" spans="1:9" x14ac:dyDescent="0.25">
      <c r="A20980">
        <v>36508</v>
      </c>
      <c r="B20980" t="s">
        <v>24483</v>
      </c>
      <c r="C20980" t="s">
        <v>2537</v>
      </c>
      <c r="D20980" s="254">
        <v>2297966.37</v>
      </c>
      <c r="E20980"/>
      <c r="F20980"/>
      <c r="G20980"/>
      <c r="H20980"/>
      <c r="I20980" s="489"/>
    </row>
    <row r="20981" spans="1:9" x14ac:dyDescent="0.25">
      <c r="A20981">
        <v>36509</v>
      </c>
      <c r="B20981" t="s">
        <v>24484</v>
      </c>
      <c r="C20981" t="s">
        <v>2537</v>
      </c>
      <c r="D20981" s="254">
        <v>1259368.73</v>
      </c>
      <c r="E20981"/>
      <c r="F20981"/>
      <c r="G20981"/>
      <c r="H20981"/>
      <c r="I20981" s="489"/>
    </row>
    <row r="20982" spans="1:9" x14ac:dyDescent="0.25">
      <c r="A20982">
        <v>13238</v>
      </c>
      <c r="B20982" t="s">
        <v>24485</v>
      </c>
      <c r="C20982" t="s">
        <v>2537</v>
      </c>
      <c r="D20982" s="254">
        <v>324532.40000000002</v>
      </c>
      <c r="E20982"/>
      <c r="F20982"/>
      <c r="G20982"/>
      <c r="H20982"/>
      <c r="I20982" s="489"/>
    </row>
    <row r="20983" spans="1:9" x14ac:dyDescent="0.25">
      <c r="A20983">
        <v>36511</v>
      </c>
      <c r="B20983" t="s">
        <v>24486</v>
      </c>
      <c r="C20983" t="s">
        <v>2537</v>
      </c>
      <c r="D20983" s="254">
        <v>376045.49</v>
      </c>
      <c r="E20983"/>
      <c r="F20983"/>
      <c r="G20983"/>
      <c r="H20983"/>
      <c r="I20983" s="489"/>
    </row>
    <row r="20984" spans="1:9" x14ac:dyDescent="0.25">
      <c r="A20984">
        <v>36515</v>
      </c>
      <c r="B20984" t="s">
        <v>24487</v>
      </c>
      <c r="C20984" t="s">
        <v>2537</v>
      </c>
      <c r="D20984" s="254">
        <v>110753.11</v>
      </c>
      <c r="E20984"/>
      <c r="F20984"/>
      <c r="G20984"/>
      <c r="H20984"/>
      <c r="I20984" s="489"/>
    </row>
    <row r="20985" spans="1:9" x14ac:dyDescent="0.25">
      <c r="A20985">
        <v>10598</v>
      </c>
      <c r="B20985" t="s">
        <v>24488</v>
      </c>
      <c r="C20985" t="s">
        <v>2537</v>
      </c>
      <c r="D20985" s="254">
        <v>179602.91</v>
      </c>
      <c r="E20985"/>
      <c r="F20985"/>
      <c r="G20985"/>
      <c r="H20985"/>
      <c r="I20985" s="489"/>
    </row>
    <row r="20986" spans="1:9" x14ac:dyDescent="0.25">
      <c r="A20986">
        <v>7640</v>
      </c>
      <c r="B20986" t="s">
        <v>24489</v>
      </c>
      <c r="C20986" t="s">
        <v>2537</v>
      </c>
      <c r="D20986" s="254">
        <v>275595</v>
      </c>
      <c r="E20986"/>
      <c r="F20986"/>
      <c r="G20986"/>
      <c r="H20986"/>
      <c r="I20986" s="489"/>
    </row>
    <row r="20987" spans="1:9" x14ac:dyDescent="0.25">
      <c r="A20987">
        <v>36513</v>
      </c>
      <c r="B20987" t="s">
        <v>24490</v>
      </c>
      <c r="C20987" t="s">
        <v>2537</v>
      </c>
      <c r="D20987" s="254">
        <v>265485.53999999998</v>
      </c>
      <c r="E20987"/>
      <c r="F20987"/>
      <c r="G20987"/>
      <c r="H20987"/>
      <c r="I20987" s="489"/>
    </row>
    <row r="20988" spans="1:9" x14ac:dyDescent="0.25">
      <c r="A20988">
        <v>36514</v>
      </c>
      <c r="B20988" t="s">
        <v>24491</v>
      </c>
      <c r="C20988" t="s">
        <v>2537</v>
      </c>
      <c r="D20988" s="254">
        <v>296200.21000000002</v>
      </c>
      <c r="E20988"/>
      <c r="F20988"/>
      <c r="G20988"/>
      <c r="H20988"/>
      <c r="I20988" s="489"/>
    </row>
    <row r="20989" spans="1:9" x14ac:dyDescent="0.25">
      <c r="A20989">
        <v>11572</v>
      </c>
      <c r="B20989" t="s">
        <v>24492</v>
      </c>
      <c r="C20989" t="s">
        <v>2537</v>
      </c>
      <c r="D20989" s="254">
        <v>32.68</v>
      </c>
      <c r="E20989"/>
      <c r="F20989"/>
      <c r="G20989"/>
      <c r="H20989"/>
      <c r="I20989" s="489"/>
    </row>
    <row r="20990" spans="1:9" x14ac:dyDescent="0.25">
      <c r="A20990">
        <v>36149</v>
      </c>
      <c r="B20990" t="s">
        <v>24493</v>
      </c>
      <c r="C20990" t="s">
        <v>2537</v>
      </c>
      <c r="D20990" s="254">
        <v>175.07</v>
      </c>
      <c r="E20990"/>
      <c r="F20990"/>
      <c r="G20990"/>
      <c r="H20990"/>
      <c r="I20990" s="489"/>
    </row>
    <row r="20991" spans="1:9" x14ac:dyDescent="0.25">
      <c r="A20991">
        <v>42407</v>
      </c>
      <c r="B20991" t="s">
        <v>24494</v>
      </c>
      <c r="C20991" t="s">
        <v>2541</v>
      </c>
      <c r="D20991" s="254">
        <v>7.86</v>
      </c>
      <c r="E20991"/>
      <c r="F20991"/>
      <c r="G20991"/>
      <c r="H20991"/>
      <c r="I20991" s="489"/>
    </row>
    <row r="20992" spans="1:9" x14ac:dyDescent="0.25">
      <c r="A20992">
        <v>11581</v>
      </c>
      <c r="B20992" t="s">
        <v>24495</v>
      </c>
      <c r="C20992" t="s">
        <v>2541</v>
      </c>
      <c r="D20992" s="254">
        <v>21.57</v>
      </c>
      <c r="E20992"/>
      <c r="F20992"/>
      <c r="G20992"/>
      <c r="H20992"/>
      <c r="I20992" s="489"/>
    </row>
    <row r="20993" spans="1:9" x14ac:dyDescent="0.25">
      <c r="A20993">
        <v>43605</v>
      </c>
      <c r="B20993" t="s">
        <v>24496</v>
      </c>
      <c r="C20993" t="s">
        <v>2541</v>
      </c>
      <c r="D20993" s="254">
        <v>44.14</v>
      </c>
      <c r="E20993"/>
      <c r="F20993"/>
      <c r="G20993"/>
      <c r="H20993"/>
      <c r="I20993" s="489"/>
    </row>
    <row r="20994" spans="1:9" x14ac:dyDescent="0.25">
      <c r="A20994">
        <v>11580</v>
      </c>
      <c r="B20994" t="s">
        <v>24497</v>
      </c>
      <c r="C20994" t="s">
        <v>2541</v>
      </c>
      <c r="D20994" s="254">
        <v>8.65</v>
      </c>
      <c r="E20994"/>
      <c r="F20994"/>
      <c r="G20994"/>
      <c r="H20994"/>
      <c r="I20994" s="489"/>
    </row>
    <row r="20995" spans="1:9" x14ac:dyDescent="0.25">
      <c r="A20995">
        <v>10743</v>
      </c>
      <c r="B20995" t="s">
        <v>24498</v>
      </c>
      <c r="C20995" t="s">
        <v>2537</v>
      </c>
      <c r="D20995" s="254">
        <v>656.3</v>
      </c>
      <c r="E20995"/>
      <c r="F20995"/>
      <c r="G20995"/>
      <c r="H20995"/>
      <c r="I20995" s="489"/>
    </row>
    <row r="20996" spans="1:9" x14ac:dyDescent="0.25">
      <c r="A20996">
        <v>39848</v>
      </c>
      <c r="B20996" t="s">
        <v>24499</v>
      </c>
      <c r="C20996" t="s">
        <v>2541</v>
      </c>
      <c r="D20996" s="254">
        <v>2</v>
      </c>
      <c r="E20996"/>
      <c r="F20996"/>
      <c r="G20996"/>
      <c r="H20996"/>
      <c r="I20996" s="489"/>
    </row>
    <row r="20997" spans="1:9" x14ac:dyDescent="0.25">
      <c r="A20997">
        <v>20999</v>
      </c>
      <c r="B20997" t="s">
        <v>24500</v>
      </c>
      <c r="C20997" t="s">
        <v>2541</v>
      </c>
      <c r="D20997" s="254">
        <v>17.86</v>
      </c>
      <c r="E20997"/>
      <c r="F20997"/>
      <c r="G20997"/>
      <c r="H20997"/>
      <c r="I20997" s="489"/>
    </row>
    <row r="20998" spans="1:9" x14ac:dyDescent="0.25">
      <c r="A20998">
        <v>21001</v>
      </c>
      <c r="B20998" t="s">
        <v>24501</v>
      </c>
      <c r="C20998" t="s">
        <v>2541</v>
      </c>
      <c r="D20998" s="254">
        <v>33.33</v>
      </c>
      <c r="E20998"/>
      <c r="F20998"/>
      <c r="G20998"/>
      <c r="H20998"/>
      <c r="I20998" s="489"/>
    </row>
    <row r="20999" spans="1:9" x14ac:dyDescent="0.25">
      <c r="A20999">
        <v>21003</v>
      </c>
      <c r="B20999" t="s">
        <v>24502</v>
      </c>
      <c r="C20999" t="s">
        <v>2541</v>
      </c>
      <c r="D20999" s="254">
        <v>54.77</v>
      </c>
      <c r="E20999"/>
      <c r="F20999"/>
      <c r="G20999"/>
      <c r="H20999"/>
      <c r="I20999" s="489"/>
    </row>
    <row r="21000" spans="1:9" x14ac:dyDescent="0.25">
      <c r="A21000">
        <v>21006</v>
      </c>
      <c r="B21000" t="s">
        <v>24503</v>
      </c>
      <c r="C21000" t="s">
        <v>2541</v>
      </c>
      <c r="D21000" s="254">
        <v>116.23</v>
      </c>
      <c r="E21000"/>
      <c r="F21000"/>
      <c r="G21000"/>
      <c r="H21000"/>
      <c r="I21000" s="489"/>
    </row>
    <row r="21001" spans="1:9" x14ac:dyDescent="0.25">
      <c r="A21001">
        <v>21019</v>
      </c>
      <c r="B21001" t="s">
        <v>24504</v>
      </c>
      <c r="C21001" t="s">
        <v>2541</v>
      </c>
      <c r="D21001" s="254">
        <v>40.4</v>
      </c>
      <c r="E21001"/>
      <c r="F21001"/>
      <c r="G21001"/>
      <c r="H21001"/>
      <c r="I21001" s="489"/>
    </row>
    <row r="21002" spans="1:9" x14ac:dyDescent="0.25">
      <c r="A21002">
        <v>21021</v>
      </c>
      <c r="B21002" t="s">
        <v>24505</v>
      </c>
      <c r="C21002" t="s">
        <v>2541</v>
      </c>
      <c r="D21002" s="254">
        <v>63.87</v>
      </c>
      <c r="E21002"/>
      <c r="F21002"/>
      <c r="G21002"/>
      <c r="H21002"/>
      <c r="I21002" s="489"/>
    </row>
    <row r="21003" spans="1:9" x14ac:dyDescent="0.25">
      <c r="A21003">
        <v>21024</v>
      </c>
      <c r="B21003" t="s">
        <v>24506</v>
      </c>
      <c r="C21003" t="s">
        <v>2541</v>
      </c>
      <c r="D21003" s="254">
        <v>136.85</v>
      </c>
      <c r="E21003"/>
      <c r="F21003"/>
      <c r="G21003"/>
      <c r="H21003"/>
      <c r="I21003" s="489"/>
    </row>
    <row r="21004" spans="1:9" x14ac:dyDescent="0.25">
      <c r="A21004">
        <v>40624</v>
      </c>
      <c r="B21004" t="s">
        <v>24507</v>
      </c>
      <c r="C21004" t="s">
        <v>2541</v>
      </c>
      <c r="D21004" s="254">
        <v>120.93</v>
      </c>
      <c r="E21004"/>
      <c r="F21004"/>
      <c r="G21004"/>
      <c r="H21004"/>
      <c r="I21004" s="489"/>
    </row>
    <row r="21005" spans="1:9" x14ac:dyDescent="0.25">
      <c r="A21005">
        <v>42575</v>
      </c>
      <c r="B21005" t="s">
        <v>24508</v>
      </c>
      <c r="C21005" t="s">
        <v>2541</v>
      </c>
      <c r="D21005" s="254">
        <v>110.97</v>
      </c>
      <c r="E21005"/>
      <c r="F21005"/>
      <c r="G21005"/>
      <c r="H21005"/>
      <c r="I21005" s="489"/>
    </row>
    <row r="21006" spans="1:9" x14ac:dyDescent="0.25">
      <c r="A21006">
        <v>13127</v>
      </c>
      <c r="B21006" t="s">
        <v>24509</v>
      </c>
      <c r="C21006" t="s">
        <v>2541</v>
      </c>
      <c r="D21006" s="254">
        <v>53.94</v>
      </c>
      <c r="E21006"/>
      <c r="F21006"/>
      <c r="G21006"/>
      <c r="H21006"/>
      <c r="I21006" s="489"/>
    </row>
    <row r="21007" spans="1:9" x14ac:dyDescent="0.25">
      <c r="A21007">
        <v>13137</v>
      </c>
      <c r="B21007" t="s">
        <v>24510</v>
      </c>
      <c r="C21007" t="s">
        <v>2541</v>
      </c>
      <c r="D21007" s="254">
        <v>71.58</v>
      </c>
      <c r="E21007"/>
      <c r="F21007"/>
      <c r="G21007"/>
      <c r="H21007"/>
      <c r="I21007" s="489"/>
    </row>
    <row r="21008" spans="1:9" x14ac:dyDescent="0.25">
      <c r="A21008">
        <v>42574</v>
      </c>
      <c r="B21008" t="s">
        <v>24511</v>
      </c>
      <c r="C21008" t="s">
        <v>2541</v>
      </c>
      <c r="D21008" s="254">
        <v>82.81</v>
      </c>
      <c r="E21008"/>
      <c r="F21008"/>
      <c r="G21008"/>
      <c r="H21008"/>
      <c r="I21008" s="489"/>
    </row>
    <row r="21009" spans="1:9" x14ac:dyDescent="0.25">
      <c r="A21009">
        <v>20989</v>
      </c>
      <c r="B21009" t="s">
        <v>24512</v>
      </c>
      <c r="C21009" t="s">
        <v>2541</v>
      </c>
      <c r="D21009" s="254">
        <v>2564.39</v>
      </c>
      <c r="E21009"/>
      <c r="F21009"/>
      <c r="G21009"/>
      <c r="H21009"/>
      <c r="I21009" s="489"/>
    </row>
    <row r="21010" spans="1:9" x14ac:dyDescent="0.25">
      <c r="A21010">
        <v>21147</v>
      </c>
      <c r="B21010" t="s">
        <v>24513</v>
      </c>
      <c r="C21010" t="s">
        <v>2541</v>
      </c>
      <c r="D21010" s="254">
        <v>240.44</v>
      </c>
      <c r="E21010"/>
      <c r="F21010"/>
      <c r="G21010"/>
      <c r="H21010"/>
      <c r="I21010" s="489"/>
    </row>
    <row r="21011" spans="1:9" x14ac:dyDescent="0.25">
      <c r="A21011">
        <v>21148</v>
      </c>
      <c r="B21011" t="s">
        <v>24514</v>
      </c>
      <c r="C21011" t="s">
        <v>2541</v>
      </c>
      <c r="D21011" s="254">
        <v>148.4</v>
      </c>
      <c r="E21011"/>
      <c r="F21011"/>
      <c r="G21011"/>
      <c r="H21011"/>
      <c r="I21011" s="489"/>
    </row>
    <row r="21012" spans="1:9" x14ac:dyDescent="0.25">
      <c r="A21012">
        <v>20984</v>
      </c>
      <c r="B21012" t="s">
        <v>24515</v>
      </c>
      <c r="C21012" t="s">
        <v>2541</v>
      </c>
      <c r="D21012" s="254">
        <v>4920.5600000000004</v>
      </c>
      <c r="E21012"/>
      <c r="F21012"/>
      <c r="G21012"/>
      <c r="H21012"/>
      <c r="I21012" s="489"/>
    </row>
    <row r="21013" spans="1:9" x14ac:dyDescent="0.25">
      <c r="A21013">
        <v>13042</v>
      </c>
      <c r="B21013" t="s">
        <v>24516</v>
      </c>
      <c r="C21013" t="s">
        <v>2541</v>
      </c>
      <c r="D21013" s="254">
        <v>2726.72</v>
      </c>
      <c r="E21013"/>
      <c r="F21013"/>
      <c r="G21013"/>
      <c r="H21013"/>
      <c r="I21013" s="489"/>
    </row>
    <row r="21014" spans="1:9" x14ac:dyDescent="0.25">
      <c r="A21014">
        <v>21150</v>
      </c>
      <c r="B21014" t="s">
        <v>24517</v>
      </c>
      <c r="C21014" t="s">
        <v>2541</v>
      </c>
      <c r="D21014" s="254">
        <v>73.58</v>
      </c>
      <c r="E21014"/>
      <c r="F21014"/>
      <c r="G21014"/>
      <c r="H21014"/>
      <c r="I21014" s="489"/>
    </row>
    <row r="21015" spans="1:9" x14ac:dyDescent="0.25">
      <c r="A21015">
        <v>13141</v>
      </c>
      <c r="B21015" t="s">
        <v>24518</v>
      </c>
      <c r="C21015" t="s">
        <v>2541</v>
      </c>
      <c r="D21015" s="254">
        <v>92.71</v>
      </c>
      <c r="E21015"/>
      <c r="F21015"/>
      <c r="G21015"/>
      <c r="H21015"/>
      <c r="I21015" s="489"/>
    </row>
    <row r="21016" spans="1:9" x14ac:dyDescent="0.25">
      <c r="A21016">
        <v>42576</v>
      </c>
      <c r="B21016" t="s">
        <v>24519</v>
      </c>
      <c r="C21016" t="s">
        <v>2541</v>
      </c>
      <c r="D21016" s="254">
        <v>302.70999999999998</v>
      </c>
      <c r="E21016"/>
      <c r="F21016"/>
      <c r="G21016"/>
      <c r="H21016"/>
      <c r="I21016" s="489"/>
    </row>
    <row r="21017" spans="1:9" x14ac:dyDescent="0.25">
      <c r="A21017">
        <v>21151</v>
      </c>
      <c r="B21017" t="s">
        <v>24520</v>
      </c>
      <c r="C21017" t="s">
        <v>2541</v>
      </c>
      <c r="D21017" s="254">
        <v>440.45</v>
      </c>
      <c r="E21017"/>
      <c r="F21017"/>
      <c r="G21017"/>
      <c r="H21017"/>
      <c r="I21017" s="489"/>
    </row>
    <row r="21018" spans="1:9" x14ac:dyDescent="0.25">
      <c r="A21018">
        <v>13142</v>
      </c>
      <c r="B21018" t="s">
        <v>24521</v>
      </c>
      <c r="C21018" t="s">
        <v>2541</v>
      </c>
      <c r="D21018" s="254">
        <v>629.66</v>
      </c>
      <c r="E21018"/>
      <c r="F21018"/>
      <c r="G21018"/>
      <c r="H21018"/>
      <c r="I21018" s="489"/>
    </row>
    <row r="21019" spans="1:9" x14ac:dyDescent="0.25">
      <c r="A21019">
        <v>42577</v>
      </c>
      <c r="B21019" t="s">
        <v>24522</v>
      </c>
      <c r="C21019" t="s">
        <v>2541</v>
      </c>
      <c r="D21019" s="254">
        <v>690.91</v>
      </c>
      <c r="E21019"/>
      <c r="F21019"/>
      <c r="G21019"/>
      <c r="H21019"/>
      <c r="I21019" s="489"/>
    </row>
    <row r="21020" spans="1:9" x14ac:dyDescent="0.25">
      <c r="A21020">
        <v>20994</v>
      </c>
      <c r="B21020" t="s">
        <v>24523</v>
      </c>
      <c r="C21020" t="s">
        <v>2541</v>
      </c>
      <c r="D21020" s="254">
        <v>1187.18</v>
      </c>
      <c r="E21020"/>
      <c r="F21020"/>
      <c r="G21020"/>
      <c r="H21020"/>
      <c r="I21020" s="489"/>
    </row>
    <row r="21021" spans="1:9" x14ac:dyDescent="0.25">
      <c r="A21021">
        <v>7672</v>
      </c>
      <c r="B21021" t="s">
        <v>24524</v>
      </c>
      <c r="C21021" t="s">
        <v>2541</v>
      </c>
      <c r="D21021" s="254">
        <v>777.73</v>
      </c>
      <c r="E21021"/>
      <c r="F21021"/>
      <c r="G21021"/>
      <c r="H21021"/>
      <c r="I21021" s="489"/>
    </row>
    <row r="21022" spans="1:9" x14ac:dyDescent="0.25">
      <c r="A21022">
        <v>20995</v>
      </c>
      <c r="B21022" t="s">
        <v>24525</v>
      </c>
      <c r="C21022" t="s">
        <v>2541</v>
      </c>
      <c r="D21022" s="254">
        <v>1560.18</v>
      </c>
      <c r="E21022"/>
      <c r="F21022"/>
      <c r="G21022"/>
      <c r="H21022"/>
      <c r="I21022" s="489"/>
    </row>
    <row r="21023" spans="1:9" x14ac:dyDescent="0.25">
      <c r="A21023">
        <v>7690</v>
      </c>
      <c r="B21023" t="s">
        <v>24526</v>
      </c>
      <c r="C21023" t="s">
        <v>2541</v>
      </c>
      <c r="D21023" s="254">
        <v>902.35</v>
      </c>
      <c r="E21023"/>
      <c r="F21023"/>
      <c r="G21023"/>
      <c r="H21023"/>
      <c r="I21023" s="489"/>
    </row>
    <row r="21024" spans="1:9" x14ac:dyDescent="0.25">
      <c r="A21024">
        <v>20980</v>
      </c>
      <c r="B21024" t="s">
        <v>24527</v>
      </c>
      <c r="C21024" t="s">
        <v>2541</v>
      </c>
      <c r="D21024" s="254">
        <v>984.38</v>
      </c>
      <c r="E21024"/>
      <c r="F21024"/>
      <c r="G21024"/>
      <c r="H21024"/>
      <c r="I21024" s="489"/>
    </row>
    <row r="21025" spans="1:9" x14ac:dyDescent="0.25">
      <c r="A21025">
        <v>7661</v>
      </c>
      <c r="B21025" t="s">
        <v>24528</v>
      </c>
      <c r="C21025" t="s">
        <v>2541</v>
      </c>
      <c r="D21025" s="254">
        <v>1171.01</v>
      </c>
      <c r="E21025"/>
      <c r="F21025"/>
      <c r="G21025"/>
      <c r="H21025"/>
      <c r="I21025" s="489"/>
    </row>
    <row r="21026" spans="1:9" x14ac:dyDescent="0.25">
      <c r="A21026">
        <v>21016</v>
      </c>
      <c r="B21026" t="s">
        <v>24529</v>
      </c>
      <c r="C21026" t="s">
        <v>2541</v>
      </c>
      <c r="D21026" s="254">
        <v>159.97</v>
      </c>
      <c r="E21026"/>
      <c r="F21026"/>
      <c r="G21026"/>
      <c r="H21026"/>
      <c r="I21026" s="489"/>
    </row>
    <row r="21027" spans="1:9" x14ac:dyDescent="0.25">
      <c r="A21027">
        <v>21008</v>
      </c>
      <c r="B21027" t="s">
        <v>24530</v>
      </c>
      <c r="C21027" t="s">
        <v>2541</v>
      </c>
      <c r="D21027" s="254">
        <v>18.690000000000001</v>
      </c>
      <c r="E21027"/>
      <c r="F21027"/>
      <c r="G21027"/>
      <c r="H21027"/>
      <c r="I21027" s="489"/>
    </row>
    <row r="21028" spans="1:9" x14ac:dyDescent="0.25">
      <c r="A21028">
        <v>21009</v>
      </c>
      <c r="B21028" t="s">
        <v>24531</v>
      </c>
      <c r="C21028" t="s">
        <v>2541</v>
      </c>
      <c r="D21028" s="254">
        <v>24.33</v>
      </c>
      <c r="E21028"/>
      <c r="F21028"/>
      <c r="G21028"/>
      <c r="H21028"/>
      <c r="I21028" s="489"/>
    </row>
    <row r="21029" spans="1:9" x14ac:dyDescent="0.25">
      <c r="A21029">
        <v>21010</v>
      </c>
      <c r="B21029" t="s">
        <v>24532</v>
      </c>
      <c r="C21029" t="s">
        <v>2541</v>
      </c>
      <c r="D21029" s="254">
        <v>32.67</v>
      </c>
      <c r="E21029"/>
      <c r="F21029"/>
      <c r="G21029"/>
      <c r="H21029"/>
      <c r="I21029" s="489"/>
    </row>
    <row r="21030" spans="1:9" x14ac:dyDescent="0.25">
      <c r="A21030">
        <v>21011</v>
      </c>
      <c r="B21030" t="s">
        <v>24533</v>
      </c>
      <c r="C21030" t="s">
        <v>2541</v>
      </c>
      <c r="D21030" s="254">
        <v>47.61</v>
      </c>
      <c r="E21030"/>
      <c r="F21030"/>
      <c r="G21030"/>
      <c r="H21030"/>
      <c r="I21030" s="489"/>
    </row>
    <row r="21031" spans="1:9" x14ac:dyDescent="0.25">
      <c r="A21031">
        <v>21012</v>
      </c>
      <c r="B21031" t="s">
        <v>24534</v>
      </c>
      <c r="C21031" t="s">
        <v>2541</v>
      </c>
      <c r="D21031" s="254">
        <v>52.62</v>
      </c>
      <c r="E21031"/>
      <c r="F21031"/>
      <c r="G21031"/>
      <c r="H21031"/>
      <c r="I21031" s="489"/>
    </row>
    <row r="21032" spans="1:9" x14ac:dyDescent="0.25">
      <c r="A21032">
        <v>21013</v>
      </c>
      <c r="B21032" t="s">
        <v>24535</v>
      </c>
      <c r="C21032" t="s">
        <v>2541</v>
      </c>
      <c r="D21032" s="254">
        <v>68.66</v>
      </c>
      <c r="E21032"/>
      <c r="F21032"/>
      <c r="G21032"/>
      <c r="H21032"/>
      <c r="I21032" s="489"/>
    </row>
    <row r="21033" spans="1:9" x14ac:dyDescent="0.25">
      <c r="A21033">
        <v>21014</v>
      </c>
      <c r="B21033" t="s">
        <v>24536</v>
      </c>
      <c r="C21033" t="s">
        <v>2541</v>
      </c>
      <c r="D21033" s="254">
        <v>96.08</v>
      </c>
      <c r="E21033"/>
      <c r="F21033"/>
      <c r="G21033"/>
      <c r="H21033"/>
      <c r="I21033" s="489"/>
    </row>
    <row r="21034" spans="1:9" x14ac:dyDescent="0.25">
      <c r="A21034">
        <v>21015</v>
      </c>
      <c r="B21034" t="s">
        <v>24537</v>
      </c>
      <c r="C21034" t="s">
        <v>2541</v>
      </c>
      <c r="D21034" s="254">
        <v>110.38</v>
      </c>
      <c r="E21034"/>
      <c r="F21034"/>
      <c r="G21034"/>
      <c r="H21034"/>
      <c r="I21034" s="489"/>
    </row>
    <row r="21035" spans="1:9" x14ac:dyDescent="0.25">
      <c r="A21035">
        <v>7697</v>
      </c>
      <c r="B21035" t="s">
        <v>24538</v>
      </c>
      <c r="C21035" t="s">
        <v>2541</v>
      </c>
      <c r="D21035" s="254">
        <v>52.67</v>
      </c>
      <c r="E21035"/>
      <c r="F21035"/>
      <c r="G21035"/>
      <c r="H21035"/>
      <c r="I21035" s="489"/>
    </row>
    <row r="21036" spans="1:9" x14ac:dyDescent="0.25">
      <c r="A21036">
        <v>7698</v>
      </c>
      <c r="B21036" t="s">
        <v>24539</v>
      </c>
      <c r="C21036" t="s">
        <v>2541</v>
      </c>
      <c r="D21036" s="254">
        <v>45.34</v>
      </c>
      <c r="E21036"/>
      <c r="F21036"/>
      <c r="G21036"/>
      <c r="H21036"/>
      <c r="I21036" s="489"/>
    </row>
    <row r="21037" spans="1:9" x14ac:dyDescent="0.25">
      <c r="A21037">
        <v>7691</v>
      </c>
      <c r="B21037" t="s">
        <v>24540</v>
      </c>
      <c r="C21037" t="s">
        <v>2541</v>
      </c>
      <c r="D21037" s="254">
        <v>19.16</v>
      </c>
      <c r="E21037"/>
      <c r="F21037"/>
      <c r="G21037"/>
      <c r="H21037"/>
      <c r="I21037" s="489"/>
    </row>
    <row r="21038" spans="1:9" x14ac:dyDescent="0.25">
      <c r="A21038">
        <v>40626</v>
      </c>
      <c r="B21038" t="s">
        <v>24541</v>
      </c>
      <c r="C21038" t="s">
        <v>2541</v>
      </c>
      <c r="D21038" s="254">
        <v>35.950000000000003</v>
      </c>
      <c r="E21038"/>
      <c r="F21038"/>
      <c r="G21038"/>
      <c r="H21038"/>
      <c r="I21038" s="489"/>
    </row>
    <row r="21039" spans="1:9" x14ac:dyDescent="0.25">
      <c r="A21039">
        <v>7701</v>
      </c>
      <c r="B21039" t="s">
        <v>24542</v>
      </c>
      <c r="C21039" t="s">
        <v>2541</v>
      </c>
      <c r="D21039" s="254">
        <v>94.26</v>
      </c>
      <c r="E21039"/>
      <c r="F21039"/>
      <c r="G21039"/>
      <c r="H21039"/>
      <c r="I21039" s="489"/>
    </row>
    <row r="21040" spans="1:9" x14ac:dyDescent="0.25">
      <c r="A21040">
        <v>7696</v>
      </c>
      <c r="B21040" t="s">
        <v>24543</v>
      </c>
      <c r="C21040" t="s">
        <v>2541</v>
      </c>
      <c r="D21040" s="254">
        <v>75.95</v>
      </c>
      <c r="E21040"/>
      <c r="F21040"/>
      <c r="G21040"/>
      <c r="H21040"/>
      <c r="I21040" s="489"/>
    </row>
    <row r="21041" spans="1:9" x14ac:dyDescent="0.25">
      <c r="A21041">
        <v>7700</v>
      </c>
      <c r="B21041" t="s">
        <v>24544</v>
      </c>
      <c r="C21041" t="s">
        <v>2541</v>
      </c>
      <c r="D21041" s="254">
        <v>24.23</v>
      </c>
      <c r="E21041"/>
      <c r="F21041"/>
      <c r="G21041"/>
      <c r="H21041"/>
      <c r="I21041" s="489"/>
    </row>
    <row r="21042" spans="1:9" x14ac:dyDescent="0.25">
      <c r="A21042">
        <v>7694</v>
      </c>
      <c r="B21042" t="s">
        <v>24545</v>
      </c>
      <c r="C21042" t="s">
        <v>2541</v>
      </c>
      <c r="D21042" s="254">
        <v>126.84</v>
      </c>
      <c r="E21042"/>
      <c r="F21042"/>
      <c r="G21042"/>
      <c r="H21042"/>
      <c r="I21042" s="489"/>
    </row>
    <row r="21043" spans="1:9" x14ac:dyDescent="0.25">
      <c r="A21043">
        <v>7693</v>
      </c>
      <c r="B21043" t="s">
        <v>24546</v>
      </c>
      <c r="C21043" t="s">
        <v>2541</v>
      </c>
      <c r="D21043" s="254">
        <v>174.69</v>
      </c>
      <c r="E21043"/>
      <c r="F21043"/>
      <c r="G21043"/>
      <c r="H21043"/>
      <c r="I21043" s="489"/>
    </row>
    <row r="21044" spans="1:9" x14ac:dyDescent="0.25">
      <c r="A21044">
        <v>7692</v>
      </c>
      <c r="B21044" t="s">
        <v>24547</v>
      </c>
      <c r="C21044" t="s">
        <v>2541</v>
      </c>
      <c r="D21044" s="254">
        <v>261.54000000000002</v>
      </c>
      <c r="E21044"/>
      <c r="F21044"/>
      <c r="G21044"/>
      <c r="H21044"/>
      <c r="I21044" s="489"/>
    </row>
    <row r="21045" spans="1:9" x14ac:dyDescent="0.25">
      <c r="A21045">
        <v>7695</v>
      </c>
      <c r="B21045" t="s">
        <v>24548</v>
      </c>
      <c r="C21045" t="s">
        <v>2541</v>
      </c>
      <c r="D21045" s="254">
        <v>283.64</v>
      </c>
      <c r="E21045"/>
      <c r="F21045"/>
      <c r="G21045"/>
      <c r="H21045"/>
      <c r="I21045" s="489"/>
    </row>
    <row r="21046" spans="1:9" x14ac:dyDescent="0.25">
      <c r="A21046">
        <v>13356</v>
      </c>
      <c r="B21046" t="s">
        <v>24549</v>
      </c>
      <c r="C21046" t="s">
        <v>2541</v>
      </c>
      <c r="D21046" s="254">
        <v>20.57</v>
      </c>
      <c r="E21046"/>
      <c r="F21046"/>
      <c r="G21046"/>
      <c r="H21046"/>
      <c r="I21046" s="489"/>
    </row>
    <row r="21047" spans="1:9" x14ac:dyDescent="0.25">
      <c r="A21047">
        <v>36365</v>
      </c>
      <c r="B21047" t="s">
        <v>24550</v>
      </c>
      <c r="C21047" t="s">
        <v>2541</v>
      </c>
      <c r="D21047" s="254">
        <v>40.96</v>
      </c>
      <c r="E21047"/>
      <c r="F21047"/>
      <c r="G21047"/>
      <c r="H21047"/>
      <c r="I21047" s="489"/>
    </row>
    <row r="21048" spans="1:9" x14ac:dyDescent="0.25">
      <c r="A21048">
        <v>41930</v>
      </c>
      <c r="B21048" t="s">
        <v>24551</v>
      </c>
      <c r="C21048" t="s">
        <v>2541</v>
      </c>
      <c r="D21048" s="254">
        <v>132.6</v>
      </c>
      <c r="E21048"/>
      <c r="F21048"/>
      <c r="G21048"/>
      <c r="H21048"/>
      <c r="I21048" s="489"/>
    </row>
    <row r="21049" spans="1:9" x14ac:dyDescent="0.25">
      <c r="A21049">
        <v>41931</v>
      </c>
      <c r="B21049" t="s">
        <v>24552</v>
      </c>
      <c r="C21049" t="s">
        <v>2541</v>
      </c>
      <c r="D21049" s="254">
        <v>226.1</v>
      </c>
      <c r="E21049"/>
      <c r="F21049"/>
      <c r="G21049"/>
      <c r="H21049"/>
      <c r="I21049" s="489"/>
    </row>
    <row r="21050" spans="1:9" x14ac:dyDescent="0.25">
      <c r="A21050">
        <v>41932</v>
      </c>
      <c r="B21050" t="s">
        <v>24553</v>
      </c>
      <c r="C21050" t="s">
        <v>2541</v>
      </c>
      <c r="D21050" s="254">
        <v>365.19</v>
      </c>
      <c r="E21050"/>
      <c r="F21050"/>
      <c r="G21050"/>
      <c r="H21050"/>
      <c r="I21050" s="489"/>
    </row>
    <row r="21051" spans="1:9" x14ac:dyDescent="0.25">
      <c r="A21051">
        <v>41933</v>
      </c>
      <c r="B21051" t="s">
        <v>24554</v>
      </c>
      <c r="C21051" t="s">
        <v>2541</v>
      </c>
      <c r="D21051" s="254">
        <v>452.29</v>
      </c>
      <c r="E21051"/>
      <c r="F21051"/>
      <c r="G21051"/>
      <c r="H21051"/>
      <c r="I21051" s="489"/>
    </row>
    <row r="21052" spans="1:9" x14ac:dyDescent="0.25">
      <c r="A21052">
        <v>41934</v>
      </c>
      <c r="B21052" t="s">
        <v>24555</v>
      </c>
      <c r="C21052" t="s">
        <v>2541</v>
      </c>
      <c r="D21052" s="254">
        <v>585.83000000000004</v>
      </c>
      <c r="E21052"/>
      <c r="F21052"/>
      <c r="G21052"/>
      <c r="H21052"/>
      <c r="I21052" s="489"/>
    </row>
    <row r="21053" spans="1:9" x14ac:dyDescent="0.25">
      <c r="A21053">
        <v>41936</v>
      </c>
      <c r="B21053" t="s">
        <v>24556</v>
      </c>
      <c r="C21053" t="s">
        <v>2541</v>
      </c>
      <c r="D21053" s="254">
        <v>88.33</v>
      </c>
      <c r="E21053"/>
      <c r="F21053"/>
      <c r="G21053"/>
      <c r="H21053"/>
      <c r="I21053" s="489"/>
    </row>
    <row r="21054" spans="1:9" x14ac:dyDescent="0.25">
      <c r="A21054">
        <v>44812</v>
      </c>
      <c r="B21054" t="s">
        <v>24557</v>
      </c>
      <c r="C21054" t="s">
        <v>2541</v>
      </c>
      <c r="D21054" s="254">
        <v>481.79</v>
      </c>
      <c r="E21054"/>
      <c r="F21054"/>
      <c r="G21054"/>
      <c r="H21054"/>
      <c r="I21054" s="489"/>
    </row>
    <row r="21055" spans="1:9" x14ac:dyDescent="0.25">
      <c r="A21055">
        <v>41785</v>
      </c>
      <c r="B21055" t="s">
        <v>24558</v>
      </c>
      <c r="C21055" t="s">
        <v>2541</v>
      </c>
      <c r="D21055" s="254">
        <v>1785.46</v>
      </c>
      <c r="E21055"/>
      <c r="F21055"/>
      <c r="G21055"/>
      <c r="H21055"/>
      <c r="I21055" s="489"/>
    </row>
    <row r="21056" spans="1:9" x14ac:dyDescent="0.25">
      <c r="A21056">
        <v>41781</v>
      </c>
      <c r="B21056" t="s">
        <v>24559</v>
      </c>
      <c r="C21056" t="s">
        <v>2541</v>
      </c>
      <c r="D21056" s="254">
        <v>322.39</v>
      </c>
      <c r="E21056"/>
      <c r="F21056"/>
      <c r="G21056"/>
      <c r="H21056"/>
      <c r="I21056" s="489"/>
    </row>
    <row r="21057" spans="1:9" x14ac:dyDescent="0.25">
      <c r="A21057">
        <v>41783</v>
      </c>
      <c r="B21057" t="s">
        <v>24560</v>
      </c>
      <c r="C21057" t="s">
        <v>2541</v>
      </c>
      <c r="D21057" s="254">
        <v>1159.03</v>
      </c>
      <c r="E21057"/>
      <c r="F21057"/>
      <c r="G21057"/>
      <c r="H21057"/>
      <c r="I21057" s="489"/>
    </row>
    <row r="21058" spans="1:9" x14ac:dyDescent="0.25">
      <c r="A21058">
        <v>41786</v>
      </c>
      <c r="B21058" t="s">
        <v>24561</v>
      </c>
      <c r="C21058" t="s">
        <v>2541</v>
      </c>
      <c r="D21058" s="254">
        <v>2467.62</v>
      </c>
      <c r="E21058"/>
      <c r="F21058"/>
      <c r="G21058"/>
      <c r="H21058"/>
      <c r="I21058" s="489"/>
    </row>
    <row r="21059" spans="1:9" x14ac:dyDescent="0.25">
      <c r="A21059">
        <v>41779</v>
      </c>
      <c r="B21059" t="s">
        <v>24562</v>
      </c>
      <c r="C21059" t="s">
        <v>2541</v>
      </c>
      <c r="D21059" s="254">
        <v>126.97</v>
      </c>
      <c r="E21059"/>
      <c r="F21059"/>
      <c r="G21059"/>
      <c r="H21059"/>
      <c r="I21059" s="489"/>
    </row>
    <row r="21060" spans="1:9" x14ac:dyDescent="0.25">
      <c r="A21060">
        <v>41780</v>
      </c>
      <c r="B21060" t="s">
        <v>24563</v>
      </c>
      <c r="C21060" t="s">
        <v>2541</v>
      </c>
      <c r="D21060" s="254">
        <v>198.92</v>
      </c>
      <c r="E21060"/>
      <c r="F21060"/>
      <c r="G21060"/>
      <c r="H21060"/>
      <c r="I21060" s="489"/>
    </row>
    <row r="21061" spans="1:9" x14ac:dyDescent="0.25">
      <c r="A21061">
        <v>41782</v>
      </c>
      <c r="B21061" t="s">
        <v>24564</v>
      </c>
      <c r="C21061" t="s">
        <v>2541</v>
      </c>
      <c r="D21061" s="254">
        <v>712.58</v>
      </c>
      <c r="E21061"/>
      <c r="F21061"/>
      <c r="G21061"/>
      <c r="H21061"/>
      <c r="I21061" s="489"/>
    </row>
    <row r="21062" spans="1:9" x14ac:dyDescent="0.25">
      <c r="A21062">
        <v>38130</v>
      </c>
      <c r="B21062" t="s">
        <v>24565</v>
      </c>
      <c r="C21062" t="s">
        <v>2541</v>
      </c>
      <c r="D21062" s="254">
        <v>52.82</v>
      </c>
      <c r="E21062"/>
      <c r="F21062"/>
      <c r="G21062"/>
      <c r="H21062"/>
      <c r="I21062" s="489"/>
    </row>
    <row r="21063" spans="1:9" x14ac:dyDescent="0.25">
      <c r="A21063">
        <v>21123</v>
      </c>
      <c r="B21063" t="s">
        <v>24566</v>
      </c>
      <c r="C21063" t="s">
        <v>2541</v>
      </c>
      <c r="D21063" s="254">
        <v>14.99</v>
      </c>
      <c r="E21063"/>
      <c r="F21063"/>
      <c r="G21063"/>
      <c r="H21063"/>
      <c r="I21063" s="489"/>
    </row>
    <row r="21064" spans="1:9" x14ac:dyDescent="0.25">
      <c r="A21064">
        <v>21124</v>
      </c>
      <c r="B21064" t="s">
        <v>24567</v>
      </c>
      <c r="C21064" t="s">
        <v>2541</v>
      </c>
      <c r="D21064" s="254">
        <v>26.58</v>
      </c>
      <c r="E21064"/>
      <c r="F21064"/>
      <c r="G21064"/>
      <c r="H21064"/>
      <c r="I21064" s="489"/>
    </row>
    <row r="21065" spans="1:9" x14ac:dyDescent="0.25">
      <c r="A21065">
        <v>21125</v>
      </c>
      <c r="B21065" t="s">
        <v>24568</v>
      </c>
      <c r="C21065" t="s">
        <v>2541</v>
      </c>
      <c r="D21065" s="254">
        <v>42.66</v>
      </c>
      <c r="E21065"/>
      <c r="F21065"/>
      <c r="G21065"/>
      <c r="H21065"/>
      <c r="I21065" s="489"/>
    </row>
    <row r="21066" spans="1:9" x14ac:dyDescent="0.25">
      <c r="A21066">
        <v>38028</v>
      </c>
      <c r="B21066" t="s">
        <v>24569</v>
      </c>
      <c r="C21066" t="s">
        <v>2541</v>
      </c>
      <c r="D21066" s="254">
        <v>72.39</v>
      </c>
      <c r="E21066"/>
      <c r="F21066"/>
      <c r="G21066"/>
      <c r="H21066"/>
      <c r="I21066" s="489"/>
    </row>
    <row r="21067" spans="1:9" x14ac:dyDescent="0.25">
      <c r="A21067">
        <v>38029</v>
      </c>
      <c r="B21067" t="s">
        <v>24570</v>
      </c>
      <c r="C21067" t="s">
        <v>2541</v>
      </c>
      <c r="D21067" s="254">
        <v>110.35</v>
      </c>
      <c r="E21067"/>
      <c r="F21067"/>
      <c r="G21067"/>
      <c r="H21067"/>
      <c r="I21067" s="489"/>
    </row>
    <row r="21068" spans="1:9" x14ac:dyDescent="0.25">
      <c r="A21068">
        <v>38030</v>
      </c>
      <c r="B21068" t="s">
        <v>24571</v>
      </c>
      <c r="C21068" t="s">
        <v>2541</v>
      </c>
      <c r="D21068" s="254">
        <v>169.5</v>
      </c>
      <c r="E21068"/>
      <c r="F21068"/>
      <c r="G21068"/>
      <c r="H21068"/>
      <c r="I21068" s="489"/>
    </row>
    <row r="21069" spans="1:9" x14ac:dyDescent="0.25">
      <c r="A21069">
        <v>38031</v>
      </c>
      <c r="B21069" t="s">
        <v>24572</v>
      </c>
      <c r="C21069" t="s">
        <v>2541</v>
      </c>
      <c r="D21069" s="254">
        <v>268.58999999999997</v>
      </c>
      <c r="E21069"/>
      <c r="F21069"/>
      <c r="G21069"/>
      <c r="H21069"/>
      <c r="I21069" s="489"/>
    </row>
    <row r="21070" spans="1:9" x14ac:dyDescent="0.25">
      <c r="A21070">
        <v>39735</v>
      </c>
      <c r="B21070" t="s">
        <v>24573</v>
      </c>
      <c r="C21070" t="s">
        <v>2541</v>
      </c>
      <c r="D21070" s="254">
        <v>105.51</v>
      </c>
      <c r="E21070"/>
      <c r="F21070"/>
      <c r="G21070"/>
      <c r="H21070"/>
      <c r="I21070" s="489"/>
    </row>
    <row r="21071" spans="1:9" x14ac:dyDescent="0.25">
      <c r="A21071">
        <v>39734</v>
      </c>
      <c r="B21071" t="s">
        <v>24574</v>
      </c>
      <c r="C21071" t="s">
        <v>2541</v>
      </c>
      <c r="D21071" s="254">
        <v>125.15</v>
      </c>
      <c r="E21071"/>
      <c r="F21071"/>
      <c r="G21071"/>
      <c r="H21071"/>
      <c r="I21071" s="489"/>
    </row>
    <row r="21072" spans="1:9" x14ac:dyDescent="0.25">
      <c r="A21072">
        <v>39736</v>
      </c>
      <c r="B21072" t="s">
        <v>24575</v>
      </c>
      <c r="C21072" t="s">
        <v>2541</v>
      </c>
      <c r="D21072" s="254">
        <v>142.83000000000001</v>
      </c>
      <c r="E21072"/>
      <c r="F21072"/>
      <c r="G21072"/>
      <c r="H21072"/>
      <c r="I21072" s="489"/>
    </row>
    <row r="21073" spans="1:9" x14ac:dyDescent="0.25">
      <c r="A21073">
        <v>39737</v>
      </c>
      <c r="B21073" t="s">
        <v>24576</v>
      </c>
      <c r="C21073" t="s">
        <v>2541</v>
      </c>
      <c r="D21073" s="254">
        <v>19.21</v>
      </c>
      <c r="E21073"/>
      <c r="F21073"/>
      <c r="G21073"/>
      <c r="H21073"/>
      <c r="I21073" s="489"/>
    </row>
    <row r="21074" spans="1:9" x14ac:dyDescent="0.25">
      <c r="A21074">
        <v>39738</v>
      </c>
      <c r="B21074" t="s">
        <v>24577</v>
      </c>
      <c r="C21074" t="s">
        <v>2541</v>
      </c>
      <c r="D21074" s="254">
        <v>6.95</v>
      </c>
      <c r="E21074"/>
      <c r="F21074"/>
      <c r="G21074"/>
      <c r="H21074"/>
      <c r="I21074" s="489"/>
    </row>
    <row r="21075" spans="1:9" x14ac:dyDescent="0.25">
      <c r="A21075">
        <v>39739</v>
      </c>
      <c r="B21075" t="s">
        <v>24578</v>
      </c>
      <c r="C21075" t="s">
        <v>2541</v>
      </c>
      <c r="D21075" s="254">
        <v>98.77</v>
      </c>
      <c r="E21075"/>
      <c r="F21075"/>
      <c r="G21075"/>
      <c r="H21075"/>
      <c r="I21075" s="489"/>
    </row>
    <row r="21076" spans="1:9" x14ac:dyDescent="0.25">
      <c r="A21076">
        <v>39733</v>
      </c>
      <c r="B21076" t="s">
        <v>24579</v>
      </c>
      <c r="C21076" t="s">
        <v>2541</v>
      </c>
      <c r="D21076" s="254">
        <v>170.93</v>
      </c>
      <c r="E21076"/>
      <c r="F21076"/>
      <c r="G21076"/>
      <c r="H21076"/>
      <c r="I21076" s="489"/>
    </row>
    <row r="21077" spans="1:9" x14ac:dyDescent="0.25">
      <c r="A21077">
        <v>39854</v>
      </c>
      <c r="B21077" t="s">
        <v>24580</v>
      </c>
      <c r="C21077" t="s">
        <v>2541</v>
      </c>
      <c r="D21077" s="254">
        <v>173.35</v>
      </c>
      <c r="E21077"/>
      <c r="F21077"/>
      <c r="G21077"/>
      <c r="H21077"/>
      <c r="I21077" s="489"/>
    </row>
    <row r="21078" spans="1:9" x14ac:dyDescent="0.25">
      <c r="A21078">
        <v>39740</v>
      </c>
      <c r="B21078" t="s">
        <v>24581</v>
      </c>
      <c r="C21078" t="s">
        <v>2541</v>
      </c>
      <c r="D21078" s="254">
        <v>94.85</v>
      </c>
      <c r="E21078"/>
      <c r="F21078"/>
      <c r="G21078"/>
      <c r="H21078"/>
      <c r="I21078" s="489"/>
    </row>
    <row r="21079" spans="1:9" x14ac:dyDescent="0.25">
      <c r="A21079">
        <v>39741</v>
      </c>
      <c r="B21079" t="s">
        <v>24582</v>
      </c>
      <c r="C21079" t="s">
        <v>2541</v>
      </c>
      <c r="D21079" s="254">
        <v>17.48</v>
      </c>
      <c r="E21079"/>
      <c r="F21079"/>
      <c r="G21079"/>
      <c r="H21079"/>
      <c r="I21079" s="489"/>
    </row>
    <row r="21080" spans="1:9" x14ac:dyDescent="0.25">
      <c r="A21080">
        <v>39853</v>
      </c>
      <c r="B21080" t="s">
        <v>24583</v>
      </c>
      <c r="C21080" t="s">
        <v>2541</v>
      </c>
      <c r="D21080" s="254">
        <v>22.96</v>
      </c>
      <c r="E21080"/>
      <c r="F21080"/>
      <c r="G21080"/>
      <c r="H21080"/>
      <c r="I21080" s="489"/>
    </row>
    <row r="21081" spans="1:9" x14ac:dyDescent="0.25">
      <c r="A21081">
        <v>39742</v>
      </c>
      <c r="B21081" t="s">
        <v>24584</v>
      </c>
      <c r="C21081" t="s">
        <v>2541</v>
      </c>
      <c r="D21081" s="254">
        <v>76.239999999999995</v>
      </c>
      <c r="E21081"/>
      <c r="F21081"/>
      <c r="G21081"/>
      <c r="H21081"/>
      <c r="I21081" s="489"/>
    </row>
    <row r="21082" spans="1:9" x14ac:dyDescent="0.25">
      <c r="A21082">
        <v>39749</v>
      </c>
      <c r="B21082" t="s">
        <v>24585</v>
      </c>
      <c r="C21082" t="s">
        <v>2541</v>
      </c>
      <c r="D21082" s="254">
        <v>93.34</v>
      </c>
      <c r="E21082"/>
      <c r="F21082"/>
      <c r="G21082"/>
      <c r="H21082"/>
      <c r="I21082" s="489"/>
    </row>
    <row r="21083" spans="1:9" x14ac:dyDescent="0.25">
      <c r="A21083">
        <v>39751</v>
      </c>
      <c r="B21083" t="s">
        <v>24586</v>
      </c>
      <c r="C21083" t="s">
        <v>2541</v>
      </c>
      <c r="D21083" s="254">
        <v>169.62</v>
      </c>
      <c r="E21083"/>
      <c r="F21083"/>
      <c r="G21083"/>
      <c r="H21083"/>
      <c r="I21083" s="489"/>
    </row>
    <row r="21084" spans="1:9" x14ac:dyDescent="0.25">
      <c r="A21084">
        <v>39750</v>
      </c>
      <c r="B21084" t="s">
        <v>24587</v>
      </c>
      <c r="C21084" t="s">
        <v>2541</v>
      </c>
      <c r="D21084" s="254">
        <v>140.97999999999999</v>
      </c>
      <c r="E21084"/>
      <c r="F21084"/>
      <c r="G21084"/>
      <c r="H21084"/>
      <c r="I21084" s="489"/>
    </row>
    <row r="21085" spans="1:9" x14ac:dyDescent="0.25">
      <c r="A21085">
        <v>39747</v>
      </c>
      <c r="B21085" t="s">
        <v>24588</v>
      </c>
      <c r="C21085" t="s">
        <v>2541</v>
      </c>
      <c r="D21085" s="254">
        <v>45.35</v>
      </c>
      <c r="E21085"/>
      <c r="F21085"/>
      <c r="G21085"/>
      <c r="H21085"/>
      <c r="I21085" s="489"/>
    </row>
    <row r="21086" spans="1:9" x14ac:dyDescent="0.25">
      <c r="A21086">
        <v>39753</v>
      </c>
      <c r="B21086" t="s">
        <v>24589</v>
      </c>
      <c r="C21086" t="s">
        <v>2541</v>
      </c>
      <c r="D21086" s="254">
        <v>312.22000000000003</v>
      </c>
      <c r="E21086"/>
      <c r="F21086"/>
      <c r="G21086"/>
      <c r="H21086"/>
      <c r="I21086" s="489"/>
    </row>
    <row r="21087" spans="1:9" x14ac:dyDescent="0.25">
      <c r="A21087">
        <v>39754</v>
      </c>
      <c r="B21087" t="s">
        <v>24590</v>
      </c>
      <c r="C21087" t="s">
        <v>2541</v>
      </c>
      <c r="D21087" s="254">
        <v>459.99</v>
      </c>
      <c r="E21087"/>
      <c r="F21087"/>
      <c r="G21087"/>
      <c r="H21087"/>
      <c r="I21087" s="489"/>
    </row>
    <row r="21088" spans="1:9" x14ac:dyDescent="0.25">
      <c r="A21088">
        <v>39748</v>
      </c>
      <c r="B21088" t="s">
        <v>24591</v>
      </c>
      <c r="C21088" t="s">
        <v>2541</v>
      </c>
      <c r="D21088" s="254">
        <v>73.38</v>
      </c>
      <c r="E21088"/>
      <c r="F21088"/>
      <c r="G21088"/>
      <c r="H21088"/>
      <c r="I21088" s="489"/>
    </row>
    <row r="21089" spans="1:9" x14ac:dyDescent="0.25">
      <c r="A21089">
        <v>39755</v>
      </c>
      <c r="B21089" t="s">
        <v>24592</v>
      </c>
      <c r="C21089" t="s">
        <v>2541</v>
      </c>
      <c r="D21089" s="254">
        <v>697.45</v>
      </c>
      <c r="E21089"/>
      <c r="F21089"/>
      <c r="G21089"/>
      <c r="H21089"/>
      <c r="I21089" s="489"/>
    </row>
    <row r="21090" spans="1:9" x14ac:dyDescent="0.25">
      <c r="A21090">
        <v>12742</v>
      </c>
      <c r="B21090" t="s">
        <v>24593</v>
      </c>
      <c r="C21090" t="s">
        <v>2541</v>
      </c>
      <c r="D21090" s="254">
        <v>552.26</v>
      </c>
      <c r="E21090"/>
      <c r="F21090"/>
      <c r="G21090"/>
      <c r="H21090"/>
      <c r="I21090" s="489"/>
    </row>
    <row r="21091" spans="1:9" x14ac:dyDescent="0.25">
      <c r="A21091">
        <v>12713</v>
      </c>
      <c r="B21091" t="s">
        <v>24594</v>
      </c>
      <c r="C21091" t="s">
        <v>2541</v>
      </c>
      <c r="D21091" s="254">
        <v>29.29</v>
      </c>
      <c r="E21091"/>
      <c r="F21091"/>
      <c r="G21091"/>
      <c r="H21091"/>
      <c r="I21091" s="489"/>
    </row>
    <row r="21092" spans="1:9" x14ac:dyDescent="0.25">
      <c r="A21092">
        <v>12743</v>
      </c>
      <c r="B21092" t="s">
        <v>24595</v>
      </c>
      <c r="C21092" t="s">
        <v>2541</v>
      </c>
      <c r="D21092" s="254">
        <v>50.38</v>
      </c>
      <c r="E21092"/>
      <c r="F21092"/>
      <c r="G21092"/>
      <c r="H21092"/>
      <c r="I21092" s="489"/>
    </row>
    <row r="21093" spans="1:9" x14ac:dyDescent="0.25">
      <c r="A21093">
        <v>12744</v>
      </c>
      <c r="B21093" t="s">
        <v>24596</v>
      </c>
      <c r="C21093" t="s">
        <v>2541</v>
      </c>
      <c r="D21093" s="254">
        <v>63.94</v>
      </c>
      <c r="E21093"/>
      <c r="F21093"/>
      <c r="G21093"/>
      <c r="H21093"/>
      <c r="I21093" s="489"/>
    </row>
    <row r="21094" spans="1:9" x14ac:dyDescent="0.25">
      <c r="A21094">
        <v>12745</v>
      </c>
      <c r="B21094" t="s">
        <v>24597</v>
      </c>
      <c r="C21094" t="s">
        <v>2541</v>
      </c>
      <c r="D21094" s="254">
        <v>92.86</v>
      </c>
      <c r="E21094"/>
      <c r="F21094"/>
      <c r="G21094"/>
      <c r="H21094"/>
      <c r="I21094" s="489"/>
    </row>
    <row r="21095" spans="1:9" x14ac:dyDescent="0.25">
      <c r="A21095">
        <v>12746</v>
      </c>
      <c r="B21095" t="s">
        <v>24598</v>
      </c>
      <c r="C21095" t="s">
        <v>2541</v>
      </c>
      <c r="D21095" s="254">
        <v>125.4</v>
      </c>
      <c r="E21095"/>
      <c r="F21095"/>
      <c r="G21095"/>
      <c r="H21095"/>
      <c r="I21095" s="489"/>
    </row>
    <row r="21096" spans="1:9" x14ac:dyDescent="0.25">
      <c r="A21096">
        <v>12747</v>
      </c>
      <c r="B21096" t="s">
        <v>24599</v>
      </c>
      <c r="C21096" t="s">
        <v>2541</v>
      </c>
      <c r="D21096" s="254">
        <v>181.86</v>
      </c>
      <c r="E21096"/>
      <c r="F21096"/>
      <c r="G21096"/>
      <c r="H21096"/>
      <c r="I21096" s="489"/>
    </row>
    <row r="21097" spans="1:9" x14ac:dyDescent="0.25">
      <c r="A21097">
        <v>12748</v>
      </c>
      <c r="B21097" t="s">
        <v>24600</v>
      </c>
      <c r="C21097" t="s">
        <v>2541</v>
      </c>
      <c r="D21097" s="254">
        <v>256.2</v>
      </c>
      <c r="E21097"/>
      <c r="F21097"/>
      <c r="G21097"/>
      <c r="H21097"/>
      <c r="I21097" s="489"/>
    </row>
    <row r="21098" spans="1:9" x14ac:dyDescent="0.25">
      <c r="A21098">
        <v>12749</v>
      </c>
      <c r="B21098" t="s">
        <v>24601</v>
      </c>
      <c r="C21098" t="s">
        <v>2541</v>
      </c>
      <c r="D21098" s="254">
        <v>374.53</v>
      </c>
      <c r="E21098"/>
      <c r="F21098"/>
      <c r="G21098"/>
      <c r="H21098"/>
      <c r="I21098" s="489"/>
    </row>
    <row r="21099" spans="1:9" x14ac:dyDescent="0.25">
      <c r="A21099">
        <v>39726</v>
      </c>
      <c r="B21099" t="s">
        <v>24602</v>
      </c>
      <c r="C21099" t="s">
        <v>2541</v>
      </c>
      <c r="D21099" s="254">
        <v>123.01</v>
      </c>
      <c r="E21099"/>
      <c r="F21099"/>
      <c r="G21099"/>
      <c r="H21099"/>
      <c r="I21099" s="489"/>
    </row>
    <row r="21100" spans="1:9" x14ac:dyDescent="0.25">
      <c r="A21100">
        <v>39728</v>
      </c>
      <c r="B21100" t="s">
        <v>24603</v>
      </c>
      <c r="C21100" t="s">
        <v>2541</v>
      </c>
      <c r="D21100" s="254">
        <v>216.2</v>
      </c>
      <c r="E21100"/>
      <c r="F21100"/>
      <c r="G21100"/>
      <c r="H21100"/>
      <c r="I21100" s="489"/>
    </row>
    <row r="21101" spans="1:9" x14ac:dyDescent="0.25">
      <c r="A21101">
        <v>39727</v>
      </c>
      <c r="B21101" t="s">
        <v>24604</v>
      </c>
      <c r="C21101" t="s">
        <v>2541</v>
      </c>
      <c r="D21101" s="254">
        <v>177.92</v>
      </c>
      <c r="E21101"/>
      <c r="F21101"/>
      <c r="G21101"/>
      <c r="H21101"/>
      <c r="I21101" s="489"/>
    </row>
    <row r="21102" spans="1:9" x14ac:dyDescent="0.25">
      <c r="A21102">
        <v>39724</v>
      </c>
      <c r="B21102" t="s">
        <v>24605</v>
      </c>
      <c r="C21102" t="s">
        <v>2541</v>
      </c>
      <c r="D21102" s="254">
        <v>54.47</v>
      </c>
      <c r="E21102"/>
      <c r="F21102"/>
      <c r="G21102"/>
      <c r="H21102"/>
      <c r="I21102" s="489"/>
    </row>
    <row r="21103" spans="1:9" x14ac:dyDescent="0.25">
      <c r="A21103">
        <v>39729</v>
      </c>
      <c r="B21103" t="s">
        <v>24606</v>
      </c>
      <c r="C21103" t="s">
        <v>2541</v>
      </c>
      <c r="D21103" s="254">
        <v>299.39999999999998</v>
      </c>
      <c r="E21103"/>
      <c r="F21103"/>
      <c r="G21103"/>
      <c r="H21103"/>
      <c r="I21103" s="489"/>
    </row>
    <row r="21104" spans="1:9" x14ac:dyDescent="0.25">
      <c r="A21104">
        <v>39730</v>
      </c>
      <c r="B21104" t="s">
        <v>24607</v>
      </c>
      <c r="C21104" t="s">
        <v>2541</v>
      </c>
      <c r="D21104" s="254">
        <v>388.46</v>
      </c>
      <c r="E21104"/>
      <c r="F21104"/>
      <c r="G21104"/>
      <c r="H21104"/>
      <c r="I21104" s="489"/>
    </row>
    <row r="21105" spans="1:9" x14ac:dyDescent="0.25">
      <c r="A21105">
        <v>39731</v>
      </c>
      <c r="B21105" t="s">
        <v>24608</v>
      </c>
      <c r="C21105" t="s">
        <v>2541</v>
      </c>
      <c r="D21105" s="254">
        <v>575.34</v>
      </c>
      <c r="E21105"/>
      <c r="F21105"/>
      <c r="G21105"/>
      <c r="H21105"/>
      <c r="I21105" s="489"/>
    </row>
    <row r="21106" spans="1:9" x14ac:dyDescent="0.25">
      <c r="A21106">
        <v>39725</v>
      </c>
      <c r="B21106" t="s">
        <v>24609</v>
      </c>
      <c r="C21106" t="s">
        <v>2541</v>
      </c>
      <c r="D21106" s="254">
        <v>88.79</v>
      </c>
      <c r="E21106"/>
      <c r="F21106"/>
      <c r="G21106"/>
      <c r="H21106"/>
      <c r="I21106" s="489"/>
    </row>
    <row r="21107" spans="1:9" x14ac:dyDescent="0.25">
      <c r="A21107">
        <v>39732</v>
      </c>
      <c r="B21107" t="s">
        <v>24610</v>
      </c>
      <c r="C21107" t="s">
        <v>2541</v>
      </c>
      <c r="D21107" s="254">
        <v>846.87</v>
      </c>
      <c r="E21107"/>
      <c r="F21107"/>
      <c r="G21107"/>
      <c r="H21107"/>
      <c r="I21107" s="489"/>
    </row>
    <row r="21108" spans="1:9" x14ac:dyDescent="0.25">
      <c r="A21108">
        <v>39660</v>
      </c>
      <c r="B21108" t="s">
        <v>24611</v>
      </c>
      <c r="C21108" t="s">
        <v>2541</v>
      </c>
      <c r="D21108" s="254">
        <v>38.590000000000003</v>
      </c>
      <c r="E21108"/>
      <c r="F21108"/>
      <c r="G21108"/>
      <c r="H21108"/>
      <c r="I21108" s="489"/>
    </row>
    <row r="21109" spans="1:9" x14ac:dyDescent="0.25">
      <c r="A21109">
        <v>39662</v>
      </c>
      <c r="B21109" t="s">
        <v>24612</v>
      </c>
      <c r="C21109" t="s">
        <v>2541</v>
      </c>
      <c r="D21109" s="254">
        <v>18.489999999999998</v>
      </c>
      <c r="E21109"/>
      <c r="F21109"/>
      <c r="G21109"/>
      <c r="H21109"/>
      <c r="I21109" s="489"/>
    </row>
    <row r="21110" spans="1:9" x14ac:dyDescent="0.25">
      <c r="A21110">
        <v>39661</v>
      </c>
      <c r="B21110" t="s">
        <v>24613</v>
      </c>
      <c r="C21110" t="s">
        <v>2541</v>
      </c>
      <c r="D21110" s="254">
        <v>12.61</v>
      </c>
      <c r="E21110"/>
      <c r="F21110"/>
      <c r="G21110"/>
      <c r="H21110"/>
      <c r="I21110" s="489"/>
    </row>
    <row r="21111" spans="1:9" x14ac:dyDescent="0.25">
      <c r="A21111">
        <v>39666</v>
      </c>
      <c r="B21111" t="s">
        <v>24614</v>
      </c>
      <c r="C21111" t="s">
        <v>2541</v>
      </c>
      <c r="D21111" s="254">
        <v>58.05</v>
      </c>
      <c r="E21111"/>
      <c r="F21111"/>
      <c r="G21111"/>
      <c r="H21111"/>
      <c r="I21111" s="489"/>
    </row>
    <row r="21112" spans="1:9" x14ac:dyDescent="0.25">
      <c r="A21112">
        <v>39664</v>
      </c>
      <c r="B21112" t="s">
        <v>24615</v>
      </c>
      <c r="C21112" t="s">
        <v>2541</v>
      </c>
      <c r="D21112" s="254">
        <v>28.45</v>
      </c>
      <c r="E21112"/>
      <c r="F21112"/>
      <c r="G21112"/>
      <c r="H21112"/>
      <c r="I21112" s="489"/>
    </row>
    <row r="21113" spans="1:9" x14ac:dyDescent="0.25">
      <c r="A21113">
        <v>39663</v>
      </c>
      <c r="B21113" t="s">
        <v>24616</v>
      </c>
      <c r="C21113" t="s">
        <v>2541</v>
      </c>
      <c r="D21113" s="254">
        <v>22.74</v>
      </c>
      <c r="E21113"/>
      <c r="F21113"/>
      <c r="G21113"/>
      <c r="H21113"/>
      <c r="I21113" s="489"/>
    </row>
    <row r="21114" spans="1:9" x14ac:dyDescent="0.25">
      <c r="A21114">
        <v>39665</v>
      </c>
      <c r="B21114" t="s">
        <v>24617</v>
      </c>
      <c r="C21114" t="s">
        <v>2541</v>
      </c>
      <c r="D21114" s="254">
        <v>48</v>
      </c>
      <c r="E21114"/>
      <c r="F21114"/>
      <c r="G21114"/>
      <c r="H21114"/>
      <c r="I21114" s="489"/>
    </row>
    <row r="21115" spans="1:9" x14ac:dyDescent="0.25">
      <c r="A21115">
        <v>39752</v>
      </c>
      <c r="B21115" t="s">
        <v>24618</v>
      </c>
      <c r="C21115" t="s">
        <v>2541</v>
      </c>
      <c r="D21115" s="254">
        <v>241.35</v>
      </c>
      <c r="E21115"/>
      <c r="F21115"/>
      <c r="G21115"/>
      <c r="H21115"/>
      <c r="I21115" s="489"/>
    </row>
    <row r="21116" spans="1:9" x14ac:dyDescent="0.25">
      <c r="A21116">
        <v>7725</v>
      </c>
      <c r="B21116" t="s">
        <v>24619</v>
      </c>
      <c r="C21116" t="s">
        <v>2541</v>
      </c>
      <c r="D21116" s="254">
        <v>210</v>
      </c>
      <c r="E21116"/>
      <c r="F21116"/>
      <c r="G21116"/>
      <c r="H21116"/>
      <c r="I21116" s="489"/>
    </row>
    <row r="21117" spans="1:9" x14ac:dyDescent="0.25">
      <c r="A21117">
        <v>7753</v>
      </c>
      <c r="B21117" t="s">
        <v>24620</v>
      </c>
      <c r="C21117" t="s">
        <v>2541</v>
      </c>
      <c r="D21117" s="254">
        <v>409.41</v>
      </c>
      <c r="E21117"/>
      <c r="F21117"/>
      <c r="G21117"/>
      <c r="H21117"/>
      <c r="I21117" s="489"/>
    </row>
    <row r="21118" spans="1:9" x14ac:dyDescent="0.25">
      <c r="A21118">
        <v>13256</v>
      </c>
      <c r="B21118" t="s">
        <v>24621</v>
      </c>
      <c r="C21118" t="s">
        <v>2541</v>
      </c>
      <c r="D21118" s="254">
        <v>573.52</v>
      </c>
      <c r="E21118"/>
      <c r="F21118"/>
      <c r="G21118"/>
      <c r="H21118"/>
      <c r="I21118" s="489"/>
    </row>
    <row r="21119" spans="1:9" x14ac:dyDescent="0.25">
      <c r="A21119">
        <v>7757</v>
      </c>
      <c r="B21119" t="s">
        <v>24622</v>
      </c>
      <c r="C21119" t="s">
        <v>2541</v>
      </c>
      <c r="D21119" s="254">
        <v>611.47</v>
      </c>
      <c r="E21119"/>
      <c r="F21119"/>
      <c r="G21119"/>
      <c r="H21119"/>
      <c r="I21119" s="489"/>
    </row>
    <row r="21120" spans="1:9" x14ac:dyDescent="0.25">
      <c r="A21120">
        <v>7758</v>
      </c>
      <c r="B21120" t="s">
        <v>24623</v>
      </c>
      <c r="C21120" t="s">
        <v>2541</v>
      </c>
      <c r="D21120" s="254">
        <v>885.88</v>
      </c>
      <c r="E21120"/>
      <c r="F21120"/>
      <c r="G21120"/>
      <c r="H21120"/>
      <c r="I21120" s="489"/>
    </row>
    <row r="21121" spans="1:9" x14ac:dyDescent="0.25">
      <c r="A21121">
        <v>7759</v>
      </c>
      <c r="B21121" t="s">
        <v>24624</v>
      </c>
      <c r="C21121" t="s">
        <v>2541</v>
      </c>
      <c r="D21121" s="254">
        <v>2454.77</v>
      </c>
      <c r="E21121"/>
      <c r="F21121"/>
      <c r="G21121"/>
      <c r="H21121"/>
      <c r="I21121" s="489"/>
    </row>
    <row r="21122" spans="1:9" x14ac:dyDescent="0.25">
      <c r="A21122">
        <v>40334</v>
      </c>
      <c r="B21122" t="s">
        <v>24625</v>
      </c>
      <c r="C21122" t="s">
        <v>2541</v>
      </c>
      <c r="D21122" s="254">
        <v>96.17</v>
      </c>
      <c r="E21122"/>
      <c r="F21122"/>
      <c r="G21122"/>
      <c r="H21122"/>
      <c r="I21122" s="489"/>
    </row>
    <row r="21123" spans="1:9" x14ac:dyDescent="0.25">
      <c r="A21123">
        <v>7745</v>
      </c>
      <c r="B21123" t="s">
        <v>24626</v>
      </c>
      <c r="C21123" t="s">
        <v>2541</v>
      </c>
      <c r="D21123" s="254">
        <v>108.52</v>
      </c>
      <c r="E21123"/>
      <c r="F21123"/>
      <c r="G21123"/>
      <c r="H21123"/>
      <c r="I21123" s="489"/>
    </row>
    <row r="21124" spans="1:9" x14ac:dyDescent="0.25">
      <c r="A21124">
        <v>7714</v>
      </c>
      <c r="B21124" t="s">
        <v>24627</v>
      </c>
      <c r="C21124" t="s">
        <v>2541</v>
      </c>
      <c r="D21124" s="254">
        <v>129.69999999999999</v>
      </c>
      <c r="E21124"/>
      <c r="F21124"/>
      <c r="G21124"/>
      <c r="H21124"/>
      <c r="I21124" s="489"/>
    </row>
    <row r="21125" spans="1:9" x14ac:dyDescent="0.25">
      <c r="A21125">
        <v>7742</v>
      </c>
      <c r="B21125" t="s">
        <v>24628</v>
      </c>
      <c r="C21125" t="s">
        <v>2541</v>
      </c>
      <c r="D21125" s="254">
        <v>286.23</v>
      </c>
      <c r="E21125"/>
      <c r="F21125"/>
      <c r="G21125"/>
      <c r="H21125"/>
      <c r="I21125" s="489"/>
    </row>
    <row r="21126" spans="1:9" x14ac:dyDescent="0.25">
      <c r="A21126">
        <v>7750</v>
      </c>
      <c r="B21126" t="s">
        <v>24629</v>
      </c>
      <c r="C21126" t="s">
        <v>2541</v>
      </c>
      <c r="D21126" s="254">
        <v>349.41</v>
      </c>
      <c r="E21126"/>
      <c r="F21126"/>
      <c r="G21126"/>
      <c r="H21126"/>
      <c r="I21126" s="489"/>
    </row>
    <row r="21127" spans="1:9" x14ac:dyDescent="0.25">
      <c r="A21127">
        <v>7756</v>
      </c>
      <c r="B21127" t="s">
        <v>24630</v>
      </c>
      <c r="C21127" t="s">
        <v>2541</v>
      </c>
      <c r="D21127" s="254">
        <v>401.47</v>
      </c>
      <c r="E21127"/>
      <c r="F21127"/>
      <c r="G21127"/>
      <c r="H21127"/>
      <c r="I21127" s="489"/>
    </row>
    <row r="21128" spans="1:9" x14ac:dyDescent="0.25">
      <c r="A21128">
        <v>7765</v>
      </c>
      <c r="B21128" t="s">
        <v>24631</v>
      </c>
      <c r="C21128" t="s">
        <v>2541</v>
      </c>
      <c r="D21128" s="254">
        <v>449.99</v>
      </c>
      <c r="E21128"/>
      <c r="F21128"/>
      <c r="G21128"/>
      <c r="H21128"/>
      <c r="I21128" s="489"/>
    </row>
    <row r="21129" spans="1:9" x14ac:dyDescent="0.25">
      <c r="A21129">
        <v>12569</v>
      </c>
      <c r="B21129" t="s">
        <v>24632</v>
      </c>
      <c r="C21129" t="s">
        <v>2541</v>
      </c>
      <c r="D21129" s="254">
        <v>621.16999999999996</v>
      </c>
      <c r="E21129"/>
      <c r="F21129"/>
      <c r="G21129"/>
      <c r="H21129"/>
      <c r="I21129" s="489"/>
    </row>
    <row r="21130" spans="1:9" x14ac:dyDescent="0.25">
      <c r="A21130">
        <v>7766</v>
      </c>
      <c r="B21130" t="s">
        <v>24633</v>
      </c>
      <c r="C21130" t="s">
        <v>2541</v>
      </c>
      <c r="D21130" s="254">
        <v>659.99</v>
      </c>
      <c r="E21130"/>
      <c r="F21130"/>
      <c r="G21130"/>
      <c r="H21130"/>
      <c r="I21130" s="489"/>
    </row>
    <row r="21131" spans="1:9" x14ac:dyDescent="0.25">
      <c r="A21131">
        <v>7767</v>
      </c>
      <c r="B21131" t="s">
        <v>24634</v>
      </c>
      <c r="C21131" t="s">
        <v>2541</v>
      </c>
      <c r="D21131" s="254">
        <v>947.64</v>
      </c>
      <c r="E21131"/>
      <c r="F21131"/>
      <c r="G21131"/>
      <c r="H21131"/>
      <c r="I21131" s="489"/>
    </row>
    <row r="21132" spans="1:9" x14ac:dyDescent="0.25">
      <c r="A21132">
        <v>7727</v>
      </c>
      <c r="B21132" t="s">
        <v>24635</v>
      </c>
      <c r="C21132" t="s">
        <v>2541</v>
      </c>
      <c r="D21132" s="254">
        <v>2752.94</v>
      </c>
      <c r="E21132"/>
      <c r="F21132"/>
      <c r="G21132"/>
      <c r="H21132"/>
      <c r="I21132" s="489"/>
    </row>
    <row r="21133" spans="1:9" x14ac:dyDescent="0.25">
      <c r="A21133">
        <v>7760</v>
      </c>
      <c r="B21133" t="s">
        <v>24636</v>
      </c>
      <c r="C21133" t="s">
        <v>2541</v>
      </c>
      <c r="D21133" s="254">
        <v>109.41</v>
      </c>
      <c r="E21133"/>
      <c r="F21133"/>
      <c r="G21133"/>
      <c r="H21133"/>
      <c r="I21133" s="489"/>
    </row>
    <row r="21134" spans="1:9" x14ac:dyDescent="0.25">
      <c r="A21134">
        <v>7761</v>
      </c>
      <c r="B21134" t="s">
        <v>24637</v>
      </c>
      <c r="C21134" t="s">
        <v>2541</v>
      </c>
      <c r="D21134" s="254">
        <v>114.7</v>
      </c>
      <c r="E21134"/>
      <c r="F21134"/>
      <c r="G21134"/>
      <c r="H21134"/>
      <c r="I21134" s="489"/>
    </row>
    <row r="21135" spans="1:9" x14ac:dyDescent="0.25">
      <c r="A21135">
        <v>7752</v>
      </c>
      <c r="B21135" t="s">
        <v>24638</v>
      </c>
      <c r="C21135" t="s">
        <v>2541</v>
      </c>
      <c r="D21135" s="254">
        <v>139.41</v>
      </c>
      <c r="E21135"/>
      <c r="F21135"/>
      <c r="G21135"/>
      <c r="H21135"/>
      <c r="I21135" s="489"/>
    </row>
    <row r="21136" spans="1:9" x14ac:dyDescent="0.25">
      <c r="A21136">
        <v>7762</v>
      </c>
      <c r="B21136" t="s">
        <v>24639</v>
      </c>
      <c r="C21136" t="s">
        <v>2541</v>
      </c>
      <c r="D21136" s="254">
        <v>182.2</v>
      </c>
      <c r="E21136"/>
      <c r="F21136"/>
      <c r="G21136"/>
      <c r="H21136"/>
      <c r="I21136" s="489"/>
    </row>
    <row r="21137" spans="1:9" x14ac:dyDescent="0.25">
      <c r="A21137">
        <v>7722</v>
      </c>
      <c r="B21137" t="s">
        <v>24640</v>
      </c>
      <c r="C21137" t="s">
        <v>2541</v>
      </c>
      <c r="D21137" s="254">
        <v>278.82</v>
      </c>
      <c r="E21137"/>
      <c r="F21137"/>
      <c r="G21137"/>
      <c r="H21137"/>
      <c r="I21137" s="489"/>
    </row>
    <row r="21138" spans="1:9" x14ac:dyDescent="0.25">
      <c r="A21138">
        <v>7763</v>
      </c>
      <c r="B21138" t="s">
        <v>24641</v>
      </c>
      <c r="C21138" t="s">
        <v>2541</v>
      </c>
      <c r="D21138" s="254">
        <v>339.7</v>
      </c>
      <c r="E21138"/>
      <c r="F21138"/>
      <c r="G21138"/>
      <c r="H21138"/>
      <c r="I21138" s="489"/>
    </row>
    <row r="21139" spans="1:9" x14ac:dyDescent="0.25">
      <c r="A21139">
        <v>7764</v>
      </c>
      <c r="B21139" t="s">
        <v>24642</v>
      </c>
      <c r="C21139" t="s">
        <v>2541</v>
      </c>
      <c r="D21139" s="254">
        <v>405.88</v>
      </c>
      <c r="E21139"/>
      <c r="F21139"/>
      <c r="G21139"/>
      <c r="H21139"/>
      <c r="I21139" s="489"/>
    </row>
    <row r="21140" spans="1:9" x14ac:dyDescent="0.25">
      <c r="A21140">
        <v>12572</v>
      </c>
      <c r="B21140" t="s">
        <v>24643</v>
      </c>
      <c r="C21140" t="s">
        <v>2541</v>
      </c>
      <c r="D21140" s="254">
        <v>573.52</v>
      </c>
      <c r="E21140"/>
      <c r="F21140"/>
      <c r="G21140"/>
      <c r="H21140"/>
      <c r="I21140" s="489"/>
    </row>
    <row r="21141" spans="1:9" x14ac:dyDescent="0.25">
      <c r="A21141">
        <v>12573</v>
      </c>
      <c r="B21141" t="s">
        <v>24644</v>
      </c>
      <c r="C21141" t="s">
        <v>2541</v>
      </c>
      <c r="D21141" s="254">
        <v>754.41</v>
      </c>
      <c r="E21141"/>
      <c r="F21141"/>
      <c r="G21141"/>
      <c r="H21141"/>
      <c r="I21141" s="489"/>
    </row>
    <row r="21142" spans="1:9" x14ac:dyDescent="0.25">
      <c r="A21142">
        <v>12574</v>
      </c>
      <c r="B21142" t="s">
        <v>24645</v>
      </c>
      <c r="C21142" t="s">
        <v>2541</v>
      </c>
      <c r="D21142" s="254">
        <v>912.17</v>
      </c>
      <c r="E21142"/>
      <c r="F21142"/>
      <c r="G21142"/>
      <c r="H21142"/>
      <c r="I21142" s="489"/>
    </row>
    <row r="21143" spans="1:9" x14ac:dyDescent="0.25">
      <c r="A21143">
        <v>12575</v>
      </c>
      <c r="B21143" t="s">
        <v>24646</v>
      </c>
      <c r="C21143" t="s">
        <v>2541</v>
      </c>
      <c r="D21143" s="254">
        <v>1385.29</v>
      </c>
      <c r="E21143"/>
      <c r="F21143"/>
      <c r="G21143"/>
      <c r="H21143"/>
      <c r="I21143" s="489"/>
    </row>
    <row r="21144" spans="1:9" x14ac:dyDescent="0.25">
      <c r="A21144">
        <v>12576</v>
      </c>
      <c r="B21144" t="s">
        <v>24647</v>
      </c>
      <c r="C21144" t="s">
        <v>2541</v>
      </c>
      <c r="D21144" s="254">
        <v>167.64</v>
      </c>
      <c r="E21144"/>
      <c r="F21144"/>
      <c r="G21144"/>
      <c r="H21144"/>
      <c r="I21144" s="489"/>
    </row>
    <row r="21145" spans="1:9" x14ac:dyDescent="0.25">
      <c r="A21145">
        <v>12577</v>
      </c>
      <c r="B21145" t="s">
        <v>24648</v>
      </c>
      <c r="C21145" t="s">
        <v>2541</v>
      </c>
      <c r="D21145" s="254">
        <v>225.88</v>
      </c>
      <c r="E21145"/>
      <c r="F21145"/>
      <c r="G21145"/>
      <c r="H21145"/>
      <c r="I21145" s="489"/>
    </row>
    <row r="21146" spans="1:9" x14ac:dyDescent="0.25">
      <c r="A21146">
        <v>12578</v>
      </c>
      <c r="B21146" t="s">
        <v>24649</v>
      </c>
      <c r="C21146" t="s">
        <v>2541</v>
      </c>
      <c r="D21146" s="254">
        <v>273.52</v>
      </c>
      <c r="E21146"/>
      <c r="F21146"/>
      <c r="G21146"/>
      <c r="H21146"/>
      <c r="I21146" s="489"/>
    </row>
    <row r="21147" spans="1:9" x14ac:dyDescent="0.25">
      <c r="A21147">
        <v>12579</v>
      </c>
      <c r="B21147" t="s">
        <v>24650</v>
      </c>
      <c r="C21147" t="s">
        <v>2541</v>
      </c>
      <c r="D21147" s="254">
        <v>471.17</v>
      </c>
      <c r="E21147"/>
      <c r="F21147"/>
      <c r="G21147"/>
      <c r="H21147"/>
      <c r="I21147" s="489"/>
    </row>
    <row r="21148" spans="1:9" x14ac:dyDescent="0.25">
      <c r="A21148">
        <v>12580</v>
      </c>
      <c r="B21148" t="s">
        <v>24651</v>
      </c>
      <c r="C21148" t="s">
        <v>2541</v>
      </c>
      <c r="D21148" s="254">
        <v>490.94</v>
      </c>
      <c r="E21148"/>
      <c r="F21148"/>
      <c r="G21148"/>
      <c r="H21148"/>
      <c r="I21148" s="489"/>
    </row>
    <row r="21149" spans="1:9" x14ac:dyDescent="0.25">
      <c r="A21149">
        <v>12581</v>
      </c>
      <c r="B21149" t="s">
        <v>24652</v>
      </c>
      <c r="C21149" t="s">
        <v>2541</v>
      </c>
      <c r="D21149" s="254">
        <v>525.88</v>
      </c>
      <c r="E21149"/>
      <c r="F21149"/>
      <c r="G21149"/>
      <c r="H21149"/>
      <c r="I21149" s="489"/>
    </row>
    <row r="21150" spans="1:9" x14ac:dyDescent="0.25">
      <c r="A21150">
        <v>7720</v>
      </c>
      <c r="B21150" t="s">
        <v>24653</v>
      </c>
      <c r="C21150" t="s">
        <v>2541</v>
      </c>
      <c r="D21150" s="254">
        <v>822.35</v>
      </c>
      <c r="E21150"/>
      <c r="F21150"/>
      <c r="G21150"/>
      <c r="H21150"/>
      <c r="I21150" s="489"/>
    </row>
    <row r="21151" spans="1:9" x14ac:dyDescent="0.25">
      <c r="A21151">
        <v>40335</v>
      </c>
      <c r="B21151" t="s">
        <v>24654</v>
      </c>
      <c r="C21151" t="s">
        <v>2541</v>
      </c>
      <c r="D21151" s="254">
        <v>172.05</v>
      </c>
      <c r="E21151"/>
      <c r="F21151"/>
      <c r="G21151"/>
      <c r="H21151"/>
      <c r="I21151" s="489"/>
    </row>
    <row r="21152" spans="1:9" x14ac:dyDescent="0.25">
      <c r="A21152">
        <v>7740</v>
      </c>
      <c r="B21152" t="s">
        <v>24655</v>
      </c>
      <c r="C21152" t="s">
        <v>2541</v>
      </c>
      <c r="D21152" s="254">
        <v>176.47</v>
      </c>
      <c r="E21152"/>
      <c r="F21152"/>
      <c r="G21152"/>
      <c r="H21152"/>
      <c r="I21152" s="489"/>
    </row>
    <row r="21153" spans="1:9" x14ac:dyDescent="0.25">
      <c r="A21153">
        <v>7741</v>
      </c>
      <c r="B21153" t="s">
        <v>24656</v>
      </c>
      <c r="C21153" t="s">
        <v>2541</v>
      </c>
      <c r="D21153" s="254">
        <v>326.47000000000003</v>
      </c>
      <c r="E21153"/>
      <c r="F21153"/>
      <c r="G21153"/>
      <c r="H21153"/>
      <c r="I21153" s="489"/>
    </row>
    <row r="21154" spans="1:9" x14ac:dyDescent="0.25">
      <c r="A21154">
        <v>7774</v>
      </c>
      <c r="B21154" t="s">
        <v>24657</v>
      </c>
      <c r="C21154" t="s">
        <v>2541</v>
      </c>
      <c r="D21154" s="254">
        <v>400.58</v>
      </c>
      <c r="E21154"/>
      <c r="F21154"/>
      <c r="G21154"/>
      <c r="H21154"/>
      <c r="I21154" s="489"/>
    </row>
    <row r="21155" spans="1:9" x14ac:dyDescent="0.25">
      <c r="A21155">
        <v>7744</v>
      </c>
      <c r="B21155" t="s">
        <v>24658</v>
      </c>
      <c r="C21155" t="s">
        <v>2541</v>
      </c>
      <c r="D21155" s="254">
        <v>523.23</v>
      </c>
      <c r="E21155"/>
      <c r="F21155"/>
      <c r="G21155"/>
      <c r="H21155"/>
      <c r="I21155" s="489"/>
    </row>
    <row r="21156" spans="1:9" x14ac:dyDescent="0.25">
      <c r="A21156">
        <v>7773</v>
      </c>
      <c r="B21156" t="s">
        <v>24659</v>
      </c>
      <c r="C21156" t="s">
        <v>2541</v>
      </c>
      <c r="D21156" s="254">
        <v>534.79</v>
      </c>
      <c r="E21156"/>
      <c r="F21156"/>
      <c r="G21156"/>
      <c r="H21156"/>
      <c r="I21156" s="489"/>
    </row>
    <row r="21157" spans="1:9" x14ac:dyDescent="0.25">
      <c r="A21157">
        <v>7754</v>
      </c>
      <c r="B21157" t="s">
        <v>24660</v>
      </c>
      <c r="C21157" t="s">
        <v>2541</v>
      </c>
      <c r="D21157" s="254">
        <v>810.88</v>
      </c>
      <c r="E21157"/>
      <c r="F21157"/>
      <c r="G21157"/>
      <c r="H21157"/>
      <c r="I21157" s="489"/>
    </row>
    <row r="21158" spans="1:9" x14ac:dyDescent="0.25">
      <c r="A21158">
        <v>7735</v>
      </c>
      <c r="B21158" t="s">
        <v>24661</v>
      </c>
      <c r="C21158" t="s">
        <v>2541</v>
      </c>
      <c r="D21158" s="254">
        <v>1050</v>
      </c>
      <c r="E21158"/>
      <c r="F21158"/>
      <c r="G21158"/>
      <c r="H21158"/>
      <c r="I21158" s="489"/>
    </row>
    <row r="21159" spans="1:9" x14ac:dyDescent="0.25">
      <c r="A21159">
        <v>7755</v>
      </c>
      <c r="B21159" t="s">
        <v>24662</v>
      </c>
      <c r="C21159" t="s">
        <v>2541</v>
      </c>
      <c r="D21159" s="254">
        <v>208.23</v>
      </c>
      <c r="E21159"/>
      <c r="F21159"/>
      <c r="G21159"/>
      <c r="H21159"/>
      <c r="I21159" s="489"/>
    </row>
    <row r="21160" spans="1:9" x14ac:dyDescent="0.25">
      <c r="A21160">
        <v>7776</v>
      </c>
      <c r="B21160" t="s">
        <v>24663</v>
      </c>
      <c r="C21160" t="s">
        <v>2541</v>
      </c>
      <c r="D21160" s="254">
        <v>434.11</v>
      </c>
      <c r="E21160"/>
      <c r="F21160"/>
      <c r="G21160"/>
      <c r="H21160"/>
      <c r="I21160" s="489"/>
    </row>
    <row r="21161" spans="1:9" x14ac:dyDescent="0.25">
      <c r="A21161">
        <v>7743</v>
      </c>
      <c r="B21161" t="s">
        <v>24664</v>
      </c>
      <c r="C21161" t="s">
        <v>2541</v>
      </c>
      <c r="D21161" s="254">
        <v>459.7</v>
      </c>
      <c r="E21161"/>
      <c r="F21161"/>
      <c r="G21161"/>
      <c r="H21161"/>
      <c r="I21161" s="489"/>
    </row>
    <row r="21162" spans="1:9" x14ac:dyDescent="0.25">
      <c r="A21162">
        <v>7733</v>
      </c>
      <c r="B21162" t="s">
        <v>24665</v>
      </c>
      <c r="C21162" t="s">
        <v>2541</v>
      </c>
      <c r="D21162" s="254">
        <v>600</v>
      </c>
      <c r="E21162"/>
      <c r="F21162"/>
      <c r="G21162"/>
      <c r="H21162"/>
      <c r="I21162" s="489"/>
    </row>
    <row r="21163" spans="1:9" x14ac:dyDescent="0.25">
      <c r="A21163">
        <v>7775</v>
      </c>
      <c r="B21163" t="s">
        <v>24666</v>
      </c>
      <c r="C21163" t="s">
        <v>2541</v>
      </c>
      <c r="D21163" s="254">
        <v>657.35</v>
      </c>
      <c r="E21163"/>
      <c r="F21163"/>
      <c r="G21163"/>
      <c r="H21163"/>
      <c r="I21163" s="489"/>
    </row>
    <row r="21164" spans="1:9" x14ac:dyDescent="0.25">
      <c r="A21164">
        <v>7734</v>
      </c>
      <c r="B21164" t="s">
        <v>24667</v>
      </c>
      <c r="C21164" t="s">
        <v>2541</v>
      </c>
      <c r="D21164" s="254">
        <v>930.88</v>
      </c>
      <c r="E21164"/>
      <c r="F21164"/>
      <c r="G21164"/>
      <c r="H21164"/>
      <c r="I21164" s="489"/>
    </row>
    <row r="21165" spans="1:9" x14ac:dyDescent="0.25">
      <c r="A21165">
        <v>37449</v>
      </c>
      <c r="B21165" t="s">
        <v>24668</v>
      </c>
      <c r="C21165" t="s">
        <v>2541</v>
      </c>
      <c r="D21165" s="254">
        <v>22.74</v>
      </c>
      <c r="E21165"/>
      <c r="F21165"/>
      <c r="G21165"/>
      <c r="H21165"/>
      <c r="I21165" s="489"/>
    </row>
    <row r="21166" spans="1:9" x14ac:dyDescent="0.25">
      <c r="A21166">
        <v>37450</v>
      </c>
      <c r="B21166" t="s">
        <v>24669</v>
      </c>
      <c r="C21166" t="s">
        <v>2541</v>
      </c>
      <c r="D21166" s="254">
        <v>31.84</v>
      </c>
      <c r="E21166"/>
      <c r="F21166"/>
      <c r="G21166"/>
      <c r="H21166"/>
      <c r="I21166" s="489"/>
    </row>
    <row r="21167" spans="1:9" x14ac:dyDescent="0.25">
      <c r="A21167">
        <v>37451</v>
      </c>
      <c r="B21167" t="s">
        <v>24670</v>
      </c>
      <c r="C21167" t="s">
        <v>2541</v>
      </c>
      <c r="D21167" s="254">
        <v>44.45</v>
      </c>
      <c r="E21167"/>
      <c r="F21167"/>
      <c r="G21167"/>
      <c r="H21167"/>
      <c r="I21167" s="489"/>
    </row>
    <row r="21168" spans="1:9" x14ac:dyDescent="0.25">
      <c r="A21168">
        <v>37452</v>
      </c>
      <c r="B21168" t="s">
        <v>24671</v>
      </c>
      <c r="C21168" t="s">
        <v>2541</v>
      </c>
      <c r="D21168" s="254">
        <v>64.61</v>
      </c>
      <c r="E21168"/>
      <c r="F21168"/>
      <c r="G21168"/>
      <c r="H21168"/>
      <c r="I21168" s="489"/>
    </row>
    <row r="21169" spans="1:9" x14ac:dyDescent="0.25">
      <c r="A21169">
        <v>37453</v>
      </c>
      <c r="B21169" t="s">
        <v>24672</v>
      </c>
      <c r="C21169" t="s">
        <v>2541</v>
      </c>
      <c r="D21169" s="254">
        <v>74.400000000000006</v>
      </c>
      <c r="E21169"/>
      <c r="F21169"/>
      <c r="G21169"/>
      <c r="H21169"/>
      <c r="I21169" s="489"/>
    </row>
    <row r="21170" spans="1:9" x14ac:dyDescent="0.25">
      <c r="A21170">
        <v>7778</v>
      </c>
      <c r="B21170" t="s">
        <v>24673</v>
      </c>
      <c r="C21170" t="s">
        <v>2541</v>
      </c>
      <c r="D21170" s="254">
        <v>27.91</v>
      </c>
      <c r="E21170"/>
      <c r="F21170"/>
      <c r="G21170"/>
      <c r="H21170"/>
      <c r="I21170" s="489"/>
    </row>
    <row r="21171" spans="1:9" x14ac:dyDescent="0.25">
      <c r="A21171">
        <v>7796</v>
      </c>
      <c r="B21171" t="s">
        <v>24674</v>
      </c>
      <c r="C21171" t="s">
        <v>2541</v>
      </c>
      <c r="D21171" s="254">
        <v>38.25</v>
      </c>
      <c r="E21171"/>
      <c r="F21171"/>
      <c r="G21171"/>
      <c r="H21171"/>
      <c r="I21171" s="489"/>
    </row>
    <row r="21172" spans="1:9" x14ac:dyDescent="0.25">
      <c r="A21172">
        <v>7781</v>
      </c>
      <c r="B21172" t="s">
        <v>24675</v>
      </c>
      <c r="C21172" t="s">
        <v>2541</v>
      </c>
      <c r="D21172" s="254">
        <v>45.2</v>
      </c>
      <c r="E21172"/>
      <c r="F21172"/>
      <c r="G21172"/>
      <c r="H21172"/>
      <c r="I21172" s="489"/>
    </row>
    <row r="21173" spans="1:9" x14ac:dyDescent="0.25">
      <c r="A21173">
        <v>7795</v>
      </c>
      <c r="B21173" t="s">
        <v>24676</v>
      </c>
      <c r="C21173" t="s">
        <v>2541</v>
      </c>
      <c r="D21173" s="254">
        <v>67.27</v>
      </c>
      <c r="E21173"/>
      <c r="F21173"/>
      <c r="G21173"/>
      <c r="H21173"/>
      <c r="I21173" s="489"/>
    </row>
    <row r="21174" spans="1:9" x14ac:dyDescent="0.25">
      <c r="A21174">
        <v>7791</v>
      </c>
      <c r="B21174" t="s">
        <v>24677</v>
      </c>
      <c r="C21174" t="s">
        <v>2541</v>
      </c>
      <c r="D21174" s="254">
        <v>80.53</v>
      </c>
      <c r="E21174"/>
      <c r="F21174"/>
      <c r="G21174"/>
      <c r="H21174"/>
      <c r="I21174" s="489"/>
    </row>
    <row r="21175" spans="1:9" x14ac:dyDescent="0.25">
      <c r="A21175">
        <v>7783</v>
      </c>
      <c r="B21175" t="s">
        <v>24678</v>
      </c>
      <c r="C21175" t="s">
        <v>2541</v>
      </c>
      <c r="D21175" s="254">
        <v>28.53</v>
      </c>
      <c r="E21175"/>
      <c r="F21175"/>
      <c r="G21175"/>
      <c r="H21175"/>
      <c r="I21175" s="489"/>
    </row>
    <row r="21176" spans="1:9" x14ac:dyDescent="0.25">
      <c r="A21176">
        <v>7790</v>
      </c>
      <c r="B21176" t="s">
        <v>24679</v>
      </c>
      <c r="C21176" t="s">
        <v>2541</v>
      </c>
      <c r="D21176" s="254">
        <v>44.96</v>
      </c>
      <c r="E21176"/>
      <c r="F21176"/>
      <c r="G21176"/>
      <c r="H21176"/>
      <c r="I21176" s="489"/>
    </row>
    <row r="21177" spans="1:9" x14ac:dyDescent="0.25">
      <c r="A21177">
        <v>7785</v>
      </c>
      <c r="B21177" t="s">
        <v>24680</v>
      </c>
      <c r="C21177" t="s">
        <v>2541</v>
      </c>
      <c r="D21177" s="254">
        <v>49.62</v>
      </c>
      <c r="E21177"/>
      <c r="F21177"/>
      <c r="G21177"/>
      <c r="H21177"/>
      <c r="I21177" s="489"/>
    </row>
    <row r="21178" spans="1:9" x14ac:dyDescent="0.25">
      <c r="A21178">
        <v>7792</v>
      </c>
      <c r="B21178" t="s">
        <v>24681</v>
      </c>
      <c r="C21178" t="s">
        <v>2541</v>
      </c>
      <c r="D21178" s="254">
        <v>70.37</v>
      </c>
      <c r="E21178"/>
      <c r="F21178"/>
      <c r="G21178"/>
      <c r="H21178"/>
      <c r="I21178" s="489"/>
    </row>
    <row r="21179" spans="1:9" x14ac:dyDescent="0.25">
      <c r="A21179">
        <v>7793</v>
      </c>
      <c r="B21179" t="s">
        <v>24682</v>
      </c>
      <c r="C21179" t="s">
        <v>2541</v>
      </c>
      <c r="D21179" s="254">
        <v>83.11</v>
      </c>
      <c r="E21179"/>
      <c r="F21179"/>
      <c r="G21179"/>
      <c r="H21179"/>
      <c r="I21179" s="489"/>
    </row>
    <row r="21180" spans="1:9" x14ac:dyDescent="0.25">
      <c r="A21180">
        <v>13159</v>
      </c>
      <c r="B21180" t="s">
        <v>24683</v>
      </c>
      <c r="C21180" t="s">
        <v>2541</v>
      </c>
      <c r="D21180" s="254">
        <v>72.36</v>
      </c>
      <c r="E21180"/>
      <c r="F21180"/>
      <c r="G21180"/>
      <c r="H21180"/>
      <c r="I21180" s="489"/>
    </row>
    <row r="21181" spans="1:9" x14ac:dyDescent="0.25">
      <c r="A21181">
        <v>13168</v>
      </c>
      <c r="B21181" t="s">
        <v>24684</v>
      </c>
      <c r="C21181" t="s">
        <v>2541</v>
      </c>
      <c r="D21181" s="254">
        <v>87.87</v>
      </c>
      <c r="E21181"/>
      <c r="F21181"/>
      <c r="G21181"/>
      <c r="H21181"/>
      <c r="I21181" s="489"/>
    </row>
    <row r="21182" spans="1:9" x14ac:dyDescent="0.25">
      <c r="A21182">
        <v>13173</v>
      </c>
      <c r="B21182" t="s">
        <v>24685</v>
      </c>
      <c r="C21182" t="s">
        <v>2541</v>
      </c>
      <c r="D21182" s="254">
        <v>118.88</v>
      </c>
      <c r="E21182"/>
      <c r="F21182"/>
      <c r="G21182"/>
      <c r="H21182"/>
      <c r="I21182" s="489"/>
    </row>
    <row r="21183" spans="1:9" x14ac:dyDescent="0.25">
      <c r="A21183">
        <v>12583</v>
      </c>
      <c r="B21183" t="s">
        <v>24686</v>
      </c>
      <c r="C21183" t="s">
        <v>2541</v>
      </c>
      <c r="D21183" s="254">
        <v>23.77</v>
      </c>
      <c r="E21183"/>
      <c r="F21183"/>
      <c r="G21183"/>
      <c r="H21183"/>
      <c r="I21183" s="489"/>
    </row>
    <row r="21184" spans="1:9" x14ac:dyDescent="0.25">
      <c r="A21184">
        <v>12584</v>
      </c>
      <c r="B21184" t="s">
        <v>24687</v>
      </c>
      <c r="C21184" t="s">
        <v>2541</v>
      </c>
      <c r="D21184" s="254">
        <v>31.01</v>
      </c>
      <c r="E21184"/>
      <c r="F21184"/>
      <c r="G21184"/>
      <c r="H21184"/>
      <c r="I21184" s="489"/>
    </row>
    <row r="21185" spans="1:9" x14ac:dyDescent="0.25">
      <c r="A21185">
        <v>12613</v>
      </c>
      <c r="B21185" t="s">
        <v>24688</v>
      </c>
      <c r="C21185" t="s">
        <v>2537</v>
      </c>
      <c r="D21185" s="254">
        <v>20.309999999999999</v>
      </c>
      <c r="E21185"/>
      <c r="F21185"/>
      <c r="G21185"/>
      <c r="H21185"/>
      <c r="I21185" s="489"/>
    </row>
    <row r="21186" spans="1:9" x14ac:dyDescent="0.25">
      <c r="A21186">
        <v>1031</v>
      </c>
      <c r="B21186" t="s">
        <v>24689</v>
      </c>
      <c r="C21186" t="s">
        <v>2537</v>
      </c>
      <c r="D21186" s="254">
        <v>12.73</v>
      </c>
      <c r="E21186"/>
      <c r="F21186"/>
      <c r="G21186"/>
      <c r="H21186"/>
      <c r="I21186" s="489"/>
    </row>
    <row r="21187" spans="1:9" x14ac:dyDescent="0.25">
      <c r="A21187">
        <v>39707</v>
      </c>
      <c r="B21187" t="s">
        <v>24690</v>
      </c>
      <c r="C21187" t="s">
        <v>2541</v>
      </c>
      <c r="D21187" s="254">
        <v>4.21</v>
      </c>
      <c r="E21187"/>
      <c r="F21187"/>
      <c r="G21187"/>
      <c r="H21187"/>
      <c r="I21187" s="489"/>
    </row>
    <row r="21188" spans="1:9" x14ac:dyDescent="0.25">
      <c r="A21188">
        <v>39708</v>
      </c>
      <c r="B21188" t="s">
        <v>24691</v>
      </c>
      <c r="C21188" t="s">
        <v>2541</v>
      </c>
      <c r="D21188" s="254">
        <v>4.08</v>
      </c>
      <c r="E21188"/>
      <c r="F21188"/>
      <c r="G21188"/>
      <c r="H21188"/>
      <c r="I21188" s="489"/>
    </row>
    <row r="21189" spans="1:9" x14ac:dyDescent="0.25">
      <c r="A21189">
        <v>39710</v>
      </c>
      <c r="B21189" t="s">
        <v>24692</v>
      </c>
      <c r="C21189" t="s">
        <v>2541</v>
      </c>
      <c r="D21189" s="254">
        <v>2.87</v>
      </c>
      <c r="E21189"/>
      <c r="F21189"/>
      <c r="G21189"/>
      <c r="H21189"/>
      <c r="I21189" s="489"/>
    </row>
    <row r="21190" spans="1:9" x14ac:dyDescent="0.25">
      <c r="A21190">
        <v>39709</v>
      </c>
      <c r="B21190" t="s">
        <v>24693</v>
      </c>
      <c r="C21190" t="s">
        <v>2541</v>
      </c>
      <c r="D21190" s="254">
        <v>3.99</v>
      </c>
      <c r="E21190"/>
      <c r="F21190"/>
      <c r="G21190"/>
      <c r="H21190"/>
      <c r="I21190" s="489"/>
    </row>
    <row r="21191" spans="1:9" x14ac:dyDescent="0.25">
      <c r="A21191">
        <v>39711</v>
      </c>
      <c r="B21191" t="s">
        <v>24694</v>
      </c>
      <c r="C21191" t="s">
        <v>2541</v>
      </c>
      <c r="D21191" s="254">
        <v>4.4800000000000004</v>
      </c>
      <c r="E21191"/>
      <c r="F21191"/>
      <c r="G21191"/>
      <c r="H21191"/>
      <c r="I21191" s="489"/>
    </row>
    <row r="21192" spans="1:9" x14ac:dyDescent="0.25">
      <c r="A21192">
        <v>39712</v>
      </c>
      <c r="B21192" t="s">
        <v>24695</v>
      </c>
      <c r="C21192" t="s">
        <v>2541</v>
      </c>
      <c r="D21192" s="254">
        <v>1.57</v>
      </c>
      <c r="E21192"/>
      <c r="F21192"/>
      <c r="G21192"/>
      <c r="H21192"/>
      <c r="I21192" s="489"/>
    </row>
    <row r="21193" spans="1:9" x14ac:dyDescent="0.25">
      <c r="A21193">
        <v>39713</v>
      </c>
      <c r="B21193" t="s">
        <v>24696</v>
      </c>
      <c r="C21193" t="s">
        <v>2541</v>
      </c>
      <c r="D21193" s="254">
        <v>1.24</v>
      </c>
      <c r="E21193"/>
      <c r="F21193"/>
      <c r="G21193"/>
      <c r="H21193"/>
      <c r="I21193" s="489"/>
    </row>
    <row r="21194" spans="1:9" x14ac:dyDescent="0.25">
      <c r="A21194">
        <v>39714</v>
      </c>
      <c r="B21194" t="s">
        <v>24697</v>
      </c>
      <c r="C21194" t="s">
        <v>2541</v>
      </c>
      <c r="D21194" s="254">
        <v>2.84</v>
      </c>
      <c r="E21194"/>
      <c r="F21194"/>
      <c r="G21194"/>
      <c r="H21194"/>
      <c r="I21194" s="489"/>
    </row>
    <row r="21195" spans="1:9" x14ac:dyDescent="0.25">
      <c r="A21195">
        <v>39715</v>
      </c>
      <c r="B21195" t="s">
        <v>24698</v>
      </c>
      <c r="C21195" t="s">
        <v>2541</v>
      </c>
      <c r="D21195" s="254">
        <v>2.02</v>
      </c>
      <c r="E21195"/>
      <c r="F21195"/>
      <c r="G21195"/>
      <c r="H21195"/>
      <c r="I21195" s="489"/>
    </row>
    <row r="21196" spans="1:9" x14ac:dyDescent="0.25">
      <c r="A21196">
        <v>39716</v>
      </c>
      <c r="B21196" t="s">
        <v>24699</v>
      </c>
      <c r="C21196" t="s">
        <v>2541</v>
      </c>
      <c r="D21196" s="254">
        <v>1.53</v>
      </c>
      <c r="E21196"/>
      <c r="F21196"/>
      <c r="G21196"/>
      <c r="H21196"/>
      <c r="I21196" s="489"/>
    </row>
    <row r="21197" spans="1:9" x14ac:dyDescent="0.25">
      <c r="A21197">
        <v>39718</v>
      </c>
      <c r="B21197" t="s">
        <v>24700</v>
      </c>
      <c r="C21197" t="s">
        <v>2541</v>
      </c>
      <c r="D21197" s="254">
        <v>2.61</v>
      </c>
      <c r="E21197"/>
      <c r="F21197"/>
      <c r="G21197"/>
      <c r="H21197"/>
      <c r="I21197" s="489"/>
    </row>
    <row r="21198" spans="1:9" x14ac:dyDescent="0.25">
      <c r="A21198">
        <v>9813</v>
      </c>
      <c r="B21198" t="s">
        <v>24701</v>
      </c>
      <c r="C21198" t="s">
        <v>2541</v>
      </c>
      <c r="D21198" s="254">
        <v>5.71</v>
      </c>
      <c r="E21198"/>
      <c r="F21198"/>
      <c r="G21198"/>
      <c r="H21198"/>
      <c r="I21198" s="489"/>
    </row>
    <row r="21199" spans="1:9" x14ac:dyDescent="0.25">
      <c r="A21199">
        <v>9815</v>
      </c>
      <c r="B21199" t="s">
        <v>24702</v>
      </c>
      <c r="C21199" t="s">
        <v>2541</v>
      </c>
      <c r="D21199" s="254">
        <v>11.27</v>
      </c>
      <c r="E21199"/>
      <c r="F21199"/>
      <c r="G21199"/>
      <c r="H21199"/>
      <c r="I21199" s="489"/>
    </row>
    <row r="21200" spans="1:9" x14ac:dyDescent="0.25">
      <c r="A21200">
        <v>44543</v>
      </c>
      <c r="B21200" t="s">
        <v>24703</v>
      </c>
      <c r="C21200" t="s">
        <v>2541</v>
      </c>
      <c r="D21200" s="254">
        <v>5611.02</v>
      </c>
      <c r="E21200"/>
      <c r="F21200"/>
      <c r="G21200"/>
      <c r="H21200"/>
      <c r="I21200" s="489"/>
    </row>
    <row r="21201" spans="1:9" x14ac:dyDescent="0.25">
      <c r="A21201">
        <v>44526</v>
      </c>
      <c r="B21201" t="s">
        <v>24704</v>
      </c>
      <c r="C21201" t="s">
        <v>2541</v>
      </c>
      <c r="D21201" s="254">
        <v>137.52000000000001</v>
      </c>
      <c r="E21201"/>
      <c r="F21201"/>
      <c r="G21201"/>
      <c r="H21201"/>
      <c r="I21201" s="489"/>
    </row>
    <row r="21202" spans="1:9" x14ac:dyDescent="0.25">
      <c r="A21202">
        <v>44518</v>
      </c>
      <c r="B21202" t="s">
        <v>24705</v>
      </c>
      <c r="C21202" t="s">
        <v>2541</v>
      </c>
      <c r="D21202" s="254">
        <v>4130.8900000000003</v>
      </c>
      <c r="E21202"/>
      <c r="F21202"/>
      <c r="G21202"/>
      <c r="H21202"/>
      <c r="I21202" s="489"/>
    </row>
    <row r="21203" spans="1:9" x14ac:dyDescent="0.25">
      <c r="A21203">
        <v>44544</v>
      </c>
      <c r="B21203" t="s">
        <v>24706</v>
      </c>
      <c r="C21203" t="s">
        <v>2541</v>
      </c>
      <c r="D21203" s="254">
        <v>2008.27</v>
      </c>
      <c r="E21203"/>
      <c r="F21203"/>
      <c r="G21203"/>
      <c r="H21203"/>
      <c r="I21203" s="489"/>
    </row>
    <row r="21204" spans="1:9" x14ac:dyDescent="0.25">
      <c r="A21204">
        <v>44545</v>
      </c>
      <c r="B21204" t="s">
        <v>24707</v>
      </c>
      <c r="C21204" t="s">
        <v>2541</v>
      </c>
      <c r="D21204" s="254">
        <v>295.18</v>
      </c>
      <c r="E21204"/>
      <c r="F21204"/>
      <c r="G21204"/>
      <c r="H21204"/>
      <c r="I21204" s="489"/>
    </row>
    <row r="21205" spans="1:9" x14ac:dyDescent="0.25">
      <c r="A21205">
        <v>44546</v>
      </c>
      <c r="B21205" t="s">
        <v>24708</v>
      </c>
      <c r="C21205" t="s">
        <v>2541</v>
      </c>
      <c r="D21205" s="254">
        <v>1318.31</v>
      </c>
      <c r="E21205"/>
      <c r="F21205"/>
      <c r="G21205"/>
      <c r="H21205"/>
      <c r="I21205" s="489"/>
    </row>
    <row r="21206" spans="1:9" x14ac:dyDescent="0.25">
      <c r="A21206">
        <v>44525</v>
      </c>
      <c r="B21206" t="s">
        <v>24709</v>
      </c>
      <c r="C21206" t="s">
        <v>2541</v>
      </c>
      <c r="D21206" s="254">
        <v>5089.16</v>
      </c>
      <c r="E21206"/>
      <c r="F21206"/>
      <c r="G21206"/>
      <c r="H21206"/>
      <c r="I21206" s="489"/>
    </row>
    <row r="21207" spans="1:9" x14ac:dyDescent="0.25">
      <c r="A21207">
        <v>44547</v>
      </c>
      <c r="B21207" t="s">
        <v>24710</v>
      </c>
      <c r="C21207" t="s">
        <v>2541</v>
      </c>
      <c r="D21207" s="254">
        <v>460.15</v>
      </c>
      <c r="E21207"/>
      <c r="F21207"/>
      <c r="G21207"/>
      <c r="H21207"/>
      <c r="I21207" s="489"/>
    </row>
    <row r="21208" spans="1:9" x14ac:dyDescent="0.25">
      <c r="A21208">
        <v>44519</v>
      </c>
      <c r="B21208" t="s">
        <v>24711</v>
      </c>
      <c r="C21208" t="s">
        <v>2541</v>
      </c>
      <c r="D21208" s="254">
        <v>1127.5</v>
      </c>
      <c r="E21208"/>
      <c r="F21208"/>
      <c r="G21208"/>
      <c r="H21208"/>
      <c r="I21208" s="489"/>
    </row>
    <row r="21209" spans="1:9" x14ac:dyDescent="0.25">
      <c r="A21209">
        <v>44520</v>
      </c>
      <c r="B21209" t="s">
        <v>24712</v>
      </c>
      <c r="C21209" t="s">
        <v>2541</v>
      </c>
      <c r="D21209" s="254">
        <v>1816</v>
      </c>
      <c r="E21209"/>
      <c r="F21209"/>
      <c r="G21209"/>
      <c r="H21209"/>
      <c r="I21209" s="489"/>
    </row>
    <row r="21210" spans="1:9" x14ac:dyDescent="0.25">
      <c r="A21210">
        <v>44521</v>
      </c>
      <c r="B21210" t="s">
        <v>24713</v>
      </c>
      <c r="C21210" t="s">
        <v>2541</v>
      </c>
      <c r="D21210" s="254">
        <v>29.29</v>
      </c>
      <c r="E21210"/>
      <c r="F21210"/>
      <c r="G21210"/>
      <c r="H21210"/>
      <c r="I21210" s="489"/>
    </row>
    <row r="21211" spans="1:9" x14ac:dyDescent="0.25">
      <c r="A21211">
        <v>44522</v>
      </c>
      <c r="B21211" t="s">
        <v>24714</v>
      </c>
      <c r="C21211" t="s">
        <v>2541</v>
      </c>
      <c r="D21211" s="254">
        <v>3188.22</v>
      </c>
      <c r="E21211"/>
      <c r="F21211"/>
      <c r="G21211"/>
      <c r="H21211"/>
      <c r="I21211" s="489"/>
    </row>
    <row r="21212" spans="1:9" x14ac:dyDescent="0.25">
      <c r="A21212">
        <v>44523</v>
      </c>
      <c r="B21212" t="s">
        <v>24715</v>
      </c>
      <c r="C21212" t="s">
        <v>2541</v>
      </c>
      <c r="D21212" s="254">
        <v>4741.78</v>
      </c>
      <c r="E21212"/>
      <c r="F21212"/>
      <c r="G21212"/>
      <c r="H21212"/>
      <c r="I21212" s="489"/>
    </row>
    <row r="21213" spans="1:9" x14ac:dyDescent="0.25">
      <c r="A21213">
        <v>44527</v>
      </c>
      <c r="B21213" t="s">
        <v>24716</v>
      </c>
      <c r="C21213" t="s">
        <v>2541</v>
      </c>
      <c r="D21213" s="254">
        <v>2377.88</v>
      </c>
      <c r="E21213"/>
      <c r="F21213"/>
      <c r="G21213"/>
      <c r="H21213"/>
      <c r="I21213" s="489"/>
    </row>
    <row r="21214" spans="1:9" x14ac:dyDescent="0.25">
      <c r="A21214">
        <v>44524</v>
      </c>
      <c r="B21214" t="s">
        <v>24717</v>
      </c>
      <c r="C21214" t="s">
        <v>2541</v>
      </c>
      <c r="D21214" s="254">
        <v>65.52</v>
      </c>
      <c r="E21214"/>
      <c r="F21214"/>
      <c r="G21214"/>
      <c r="H21214"/>
      <c r="I21214" s="489"/>
    </row>
    <row r="21215" spans="1:9" x14ac:dyDescent="0.25">
      <c r="A21215">
        <v>44542</v>
      </c>
      <c r="B21215" t="s">
        <v>24718</v>
      </c>
      <c r="C21215" t="s">
        <v>2541</v>
      </c>
      <c r="D21215" s="254">
        <v>3102.34</v>
      </c>
      <c r="E21215"/>
      <c r="F21215"/>
      <c r="G21215"/>
      <c r="H21215"/>
      <c r="I21215" s="489"/>
    </row>
    <row r="21216" spans="1:9" x14ac:dyDescent="0.25">
      <c r="A21216">
        <v>9876</v>
      </c>
      <c r="B21216" t="s">
        <v>24719</v>
      </c>
      <c r="C21216" t="s">
        <v>2541</v>
      </c>
      <c r="D21216" s="254">
        <v>24.29</v>
      </c>
      <c r="E21216"/>
      <c r="F21216"/>
      <c r="G21216"/>
      <c r="H21216"/>
      <c r="I21216" s="489"/>
    </row>
    <row r="21217" spans="1:9" x14ac:dyDescent="0.25">
      <c r="A21217">
        <v>9877</v>
      </c>
      <c r="B21217" t="s">
        <v>24720</v>
      </c>
      <c r="C21217" t="s">
        <v>2541</v>
      </c>
      <c r="D21217" s="254">
        <v>85.09</v>
      </c>
      <c r="E21217"/>
      <c r="F21217"/>
      <c r="G21217"/>
      <c r="H21217"/>
      <c r="I21217" s="489"/>
    </row>
    <row r="21218" spans="1:9" x14ac:dyDescent="0.25">
      <c r="A21218">
        <v>9878</v>
      </c>
      <c r="B21218" t="s">
        <v>24721</v>
      </c>
      <c r="C21218" t="s">
        <v>2541</v>
      </c>
      <c r="D21218" s="254">
        <v>110.83</v>
      </c>
      <c r="E21218"/>
      <c r="F21218"/>
      <c r="G21218"/>
      <c r="H21218"/>
      <c r="I21218" s="489"/>
    </row>
    <row r="21219" spans="1:9" x14ac:dyDescent="0.25">
      <c r="A21219">
        <v>9879</v>
      </c>
      <c r="B21219" t="s">
        <v>24722</v>
      </c>
      <c r="C21219" t="s">
        <v>2541</v>
      </c>
      <c r="D21219" s="254">
        <v>264.52999999999997</v>
      </c>
      <c r="E21219"/>
      <c r="F21219"/>
      <c r="G21219"/>
      <c r="H21219"/>
      <c r="I21219" s="489"/>
    </row>
    <row r="21220" spans="1:9" x14ac:dyDescent="0.25">
      <c r="A21220">
        <v>41986</v>
      </c>
      <c r="B21220" t="s">
        <v>24723</v>
      </c>
      <c r="C21220" t="s">
        <v>2541</v>
      </c>
      <c r="D21220" s="254">
        <v>4641.17</v>
      </c>
      <c r="E21220"/>
      <c r="F21220"/>
      <c r="G21220"/>
      <c r="H21220"/>
      <c r="I21220" s="489"/>
    </row>
    <row r="21221" spans="1:9" x14ac:dyDescent="0.25">
      <c r="A21221">
        <v>43422</v>
      </c>
      <c r="B21221" t="s">
        <v>24724</v>
      </c>
      <c r="C21221" t="s">
        <v>2541</v>
      </c>
      <c r="D21221" s="254">
        <v>5691.94</v>
      </c>
      <c r="E21221"/>
      <c r="F21221"/>
      <c r="G21221"/>
      <c r="H21221"/>
      <c r="I21221" s="489"/>
    </row>
    <row r="21222" spans="1:9" x14ac:dyDescent="0.25">
      <c r="A21222">
        <v>41987</v>
      </c>
      <c r="B21222" t="s">
        <v>24725</v>
      </c>
      <c r="C21222" t="s">
        <v>2541</v>
      </c>
      <c r="D21222" s="254">
        <v>6597.43</v>
      </c>
      <c r="E21222"/>
      <c r="F21222"/>
      <c r="G21222"/>
      <c r="H21222"/>
      <c r="I21222" s="489"/>
    </row>
    <row r="21223" spans="1:9" x14ac:dyDescent="0.25">
      <c r="A21223">
        <v>41988</v>
      </c>
      <c r="B21223" t="s">
        <v>24726</v>
      </c>
      <c r="C21223" t="s">
        <v>2541</v>
      </c>
      <c r="D21223" s="254">
        <v>8714.26</v>
      </c>
      <c r="E21223"/>
      <c r="F21223"/>
      <c r="G21223"/>
      <c r="H21223"/>
      <c r="I21223" s="489"/>
    </row>
    <row r="21224" spans="1:9" x14ac:dyDescent="0.25">
      <c r="A21224">
        <v>41697</v>
      </c>
      <c r="B21224" t="s">
        <v>24727</v>
      </c>
      <c r="C21224" t="s">
        <v>2541</v>
      </c>
      <c r="D21224" s="254">
        <v>1544.57</v>
      </c>
      <c r="E21224"/>
      <c r="F21224"/>
      <c r="G21224"/>
      <c r="H21224"/>
      <c r="I21224" s="489"/>
    </row>
    <row r="21225" spans="1:9" x14ac:dyDescent="0.25">
      <c r="A21225">
        <v>41985</v>
      </c>
      <c r="B21225" t="s">
        <v>24728</v>
      </c>
      <c r="C21225" t="s">
        <v>2541</v>
      </c>
      <c r="D21225" s="254">
        <v>2151.1799999999998</v>
      </c>
      <c r="E21225"/>
      <c r="F21225"/>
      <c r="G21225"/>
      <c r="H21225"/>
      <c r="I21225" s="489"/>
    </row>
    <row r="21226" spans="1:9" x14ac:dyDescent="0.25">
      <c r="A21226">
        <v>41699</v>
      </c>
      <c r="B21226" t="s">
        <v>24729</v>
      </c>
      <c r="C21226" t="s">
        <v>2541</v>
      </c>
      <c r="D21226" s="254">
        <v>3063.17</v>
      </c>
      <c r="E21226"/>
      <c r="F21226"/>
      <c r="G21226"/>
      <c r="H21226"/>
      <c r="I21226" s="489"/>
    </row>
    <row r="21227" spans="1:9" x14ac:dyDescent="0.25">
      <c r="A21227">
        <v>38053</v>
      </c>
      <c r="B21227" t="s">
        <v>24730</v>
      </c>
      <c r="C21227" t="s">
        <v>2541</v>
      </c>
      <c r="D21227" s="254">
        <v>23.48</v>
      </c>
      <c r="E21227"/>
      <c r="F21227"/>
      <c r="G21227"/>
      <c r="H21227"/>
      <c r="I21227" s="489"/>
    </row>
    <row r="21228" spans="1:9" x14ac:dyDescent="0.25">
      <c r="A21228">
        <v>38054</v>
      </c>
      <c r="B21228" t="s">
        <v>24731</v>
      </c>
      <c r="C21228" t="s">
        <v>2541</v>
      </c>
      <c r="D21228" s="254">
        <v>40.369999999999997</v>
      </c>
      <c r="E21228"/>
      <c r="F21228"/>
      <c r="G21228"/>
      <c r="H21228"/>
      <c r="I21228" s="489"/>
    </row>
    <row r="21229" spans="1:9" x14ac:dyDescent="0.25">
      <c r="A21229">
        <v>38052</v>
      </c>
      <c r="B21229" t="s">
        <v>24732</v>
      </c>
      <c r="C21229" t="s">
        <v>2541</v>
      </c>
      <c r="D21229" s="254">
        <v>11.37</v>
      </c>
      <c r="E21229"/>
      <c r="F21229"/>
      <c r="G21229"/>
      <c r="H21229"/>
      <c r="I21229" s="489"/>
    </row>
    <row r="21230" spans="1:9" x14ac:dyDescent="0.25">
      <c r="A21230">
        <v>38051</v>
      </c>
      <c r="B21230" t="s">
        <v>24733</v>
      </c>
      <c r="C21230" t="s">
        <v>2541</v>
      </c>
      <c r="D21230" s="254">
        <v>7.09</v>
      </c>
      <c r="E21230"/>
      <c r="F21230"/>
      <c r="G21230"/>
      <c r="H21230"/>
      <c r="I21230" s="489"/>
    </row>
    <row r="21231" spans="1:9" x14ac:dyDescent="0.25">
      <c r="A21231">
        <v>38787</v>
      </c>
      <c r="B21231" t="s">
        <v>24734</v>
      </c>
      <c r="C21231" t="s">
        <v>2541</v>
      </c>
      <c r="D21231" s="254">
        <v>6.25</v>
      </c>
      <c r="E21231"/>
      <c r="F21231"/>
      <c r="G21231"/>
      <c r="H21231"/>
      <c r="I21231" s="489"/>
    </row>
    <row r="21232" spans="1:9" x14ac:dyDescent="0.25">
      <c r="A21232">
        <v>38825</v>
      </c>
      <c r="B21232" t="s">
        <v>24735</v>
      </c>
      <c r="C21232" t="s">
        <v>2541</v>
      </c>
      <c r="D21232" s="254">
        <v>8.19</v>
      </c>
      <c r="E21232"/>
      <c r="F21232"/>
      <c r="G21232"/>
      <c r="H21232"/>
      <c r="I21232" s="489"/>
    </row>
    <row r="21233" spans="1:9" x14ac:dyDescent="0.25">
      <c r="A21233">
        <v>38826</v>
      </c>
      <c r="B21233" t="s">
        <v>24736</v>
      </c>
      <c r="C21233" t="s">
        <v>2541</v>
      </c>
      <c r="D21233" s="254">
        <v>12.13</v>
      </c>
      <c r="E21233"/>
      <c r="F21233"/>
      <c r="G21233"/>
      <c r="H21233"/>
      <c r="I21233" s="489"/>
    </row>
    <row r="21234" spans="1:9" x14ac:dyDescent="0.25">
      <c r="A21234">
        <v>38827</v>
      </c>
      <c r="B21234" t="s">
        <v>24737</v>
      </c>
      <c r="C21234" t="s">
        <v>2541</v>
      </c>
      <c r="D21234" s="254">
        <v>19.489999999999998</v>
      </c>
      <c r="E21234"/>
      <c r="F21234"/>
      <c r="G21234"/>
      <c r="H21234"/>
      <c r="I21234" s="489"/>
    </row>
    <row r="21235" spans="1:9" x14ac:dyDescent="0.25">
      <c r="A21235">
        <v>38830</v>
      </c>
      <c r="B21235" t="s">
        <v>24738</v>
      </c>
      <c r="C21235" t="s">
        <v>2541</v>
      </c>
      <c r="D21235" s="254">
        <v>27.3</v>
      </c>
      <c r="E21235"/>
      <c r="F21235"/>
      <c r="G21235"/>
      <c r="H21235"/>
      <c r="I21235" s="489"/>
    </row>
    <row r="21236" spans="1:9" x14ac:dyDescent="0.25">
      <c r="A21236">
        <v>38828</v>
      </c>
      <c r="B21236" t="s">
        <v>24739</v>
      </c>
      <c r="C21236" t="s">
        <v>2541</v>
      </c>
      <c r="D21236" s="254">
        <v>12.04</v>
      </c>
      <c r="E21236"/>
      <c r="F21236"/>
      <c r="G21236"/>
      <c r="H21236"/>
      <c r="I21236" s="489"/>
    </row>
    <row r="21237" spans="1:9" x14ac:dyDescent="0.25">
      <c r="A21237">
        <v>38829</v>
      </c>
      <c r="B21237" t="s">
        <v>24740</v>
      </c>
      <c r="C21237" t="s">
        <v>2541</v>
      </c>
      <c r="D21237" s="254">
        <v>19.72</v>
      </c>
      <c r="E21237"/>
      <c r="F21237"/>
      <c r="G21237"/>
      <c r="H21237"/>
      <c r="I21237" s="489"/>
    </row>
    <row r="21238" spans="1:9" x14ac:dyDescent="0.25">
      <c r="A21238">
        <v>38831</v>
      </c>
      <c r="B21238" t="s">
        <v>24741</v>
      </c>
      <c r="C21238" t="s">
        <v>2541</v>
      </c>
      <c r="D21238" s="254">
        <v>38.07</v>
      </c>
      <c r="E21238"/>
      <c r="F21238"/>
      <c r="G21238"/>
      <c r="H21238"/>
      <c r="I21238" s="489"/>
    </row>
    <row r="21239" spans="1:9" x14ac:dyDescent="0.25">
      <c r="A21239">
        <v>36274</v>
      </c>
      <c r="B21239" t="s">
        <v>24742</v>
      </c>
      <c r="C21239" t="s">
        <v>2541</v>
      </c>
      <c r="D21239" s="254">
        <v>8.69</v>
      </c>
      <c r="E21239"/>
      <c r="F21239"/>
      <c r="G21239"/>
      <c r="H21239"/>
      <c r="I21239" s="489"/>
    </row>
    <row r="21240" spans="1:9" x14ac:dyDescent="0.25">
      <c r="A21240">
        <v>36278</v>
      </c>
      <c r="B21240" t="s">
        <v>24743</v>
      </c>
      <c r="C21240" t="s">
        <v>2541</v>
      </c>
      <c r="D21240" s="254">
        <v>11.79</v>
      </c>
      <c r="E21240"/>
      <c r="F21240"/>
      <c r="G21240"/>
      <c r="H21240"/>
      <c r="I21240" s="489"/>
    </row>
    <row r="21241" spans="1:9" x14ac:dyDescent="0.25">
      <c r="A21241">
        <v>38977</v>
      </c>
      <c r="B21241" t="s">
        <v>24744</v>
      </c>
      <c r="C21241" t="s">
        <v>2541</v>
      </c>
      <c r="D21241" s="254">
        <v>179.39</v>
      </c>
      <c r="E21241"/>
      <c r="F21241"/>
      <c r="G21241"/>
      <c r="H21241"/>
      <c r="I21241" s="489"/>
    </row>
    <row r="21242" spans="1:9" x14ac:dyDescent="0.25">
      <c r="A21242">
        <v>38971</v>
      </c>
      <c r="B21242" t="s">
        <v>24745</v>
      </c>
      <c r="C21242" t="s">
        <v>2541</v>
      </c>
      <c r="D21242" s="254">
        <v>14.78</v>
      </c>
      <c r="E21242"/>
      <c r="F21242"/>
      <c r="G21242"/>
      <c r="H21242"/>
      <c r="I21242" s="489"/>
    </row>
    <row r="21243" spans="1:9" x14ac:dyDescent="0.25">
      <c r="A21243">
        <v>38972</v>
      </c>
      <c r="B21243" t="s">
        <v>24746</v>
      </c>
      <c r="C21243" t="s">
        <v>2541</v>
      </c>
      <c r="D21243" s="254">
        <v>22.51</v>
      </c>
      <c r="E21243"/>
      <c r="F21243"/>
      <c r="G21243"/>
      <c r="H21243"/>
      <c r="I21243" s="489"/>
    </row>
    <row r="21244" spans="1:9" x14ac:dyDescent="0.25">
      <c r="A21244">
        <v>38973</v>
      </c>
      <c r="B21244" t="s">
        <v>24747</v>
      </c>
      <c r="C21244" t="s">
        <v>2541</v>
      </c>
      <c r="D21244" s="254">
        <v>29.77</v>
      </c>
      <c r="E21244"/>
      <c r="F21244"/>
      <c r="G21244"/>
      <c r="H21244"/>
      <c r="I21244" s="489"/>
    </row>
    <row r="21245" spans="1:9" x14ac:dyDescent="0.25">
      <c r="A21245">
        <v>38974</v>
      </c>
      <c r="B21245" t="s">
        <v>24748</v>
      </c>
      <c r="C21245" t="s">
        <v>2541</v>
      </c>
      <c r="D21245" s="254">
        <v>43.42</v>
      </c>
      <c r="E21245"/>
      <c r="F21245"/>
      <c r="G21245"/>
      <c r="H21245"/>
      <c r="I21245" s="489"/>
    </row>
    <row r="21246" spans="1:9" x14ac:dyDescent="0.25">
      <c r="A21246">
        <v>38975</v>
      </c>
      <c r="B21246" t="s">
        <v>24749</v>
      </c>
      <c r="C21246" t="s">
        <v>2541</v>
      </c>
      <c r="D21246" s="254">
        <v>72.36</v>
      </c>
      <c r="E21246"/>
      <c r="F21246"/>
      <c r="G21246"/>
      <c r="H21246"/>
      <c r="I21246" s="489"/>
    </row>
    <row r="21247" spans="1:9" x14ac:dyDescent="0.25">
      <c r="A21247">
        <v>38976</v>
      </c>
      <c r="B21247" t="s">
        <v>24750</v>
      </c>
      <c r="C21247" t="s">
        <v>2541</v>
      </c>
      <c r="D21247" s="254">
        <v>101.48</v>
      </c>
      <c r="E21247"/>
      <c r="F21247"/>
      <c r="G21247"/>
      <c r="H21247"/>
      <c r="I21247" s="489"/>
    </row>
    <row r="21248" spans="1:9" x14ac:dyDescent="0.25">
      <c r="A21248">
        <v>38986</v>
      </c>
      <c r="B21248" t="s">
        <v>24751</v>
      </c>
      <c r="C21248" t="s">
        <v>2541</v>
      </c>
      <c r="D21248" s="254">
        <v>204.22</v>
      </c>
      <c r="E21248"/>
      <c r="F21248"/>
      <c r="G21248"/>
      <c r="H21248"/>
      <c r="I21248" s="489"/>
    </row>
    <row r="21249" spans="1:9" x14ac:dyDescent="0.25">
      <c r="A21249">
        <v>38978</v>
      </c>
      <c r="B21249" t="s">
        <v>24752</v>
      </c>
      <c r="C21249" t="s">
        <v>2541</v>
      </c>
      <c r="D21249" s="254">
        <v>8.69</v>
      </c>
      <c r="E21249"/>
      <c r="F21249"/>
      <c r="G21249"/>
      <c r="H21249"/>
      <c r="I21249" s="489"/>
    </row>
    <row r="21250" spans="1:9" x14ac:dyDescent="0.25">
      <c r="A21250">
        <v>38979</v>
      </c>
      <c r="B21250" t="s">
        <v>24753</v>
      </c>
      <c r="C21250" t="s">
        <v>2541</v>
      </c>
      <c r="D21250" s="254">
        <v>11.79</v>
      </c>
      <c r="E21250"/>
      <c r="F21250"/>
      <c r="G21250"/>
      <c r="H21250"/>
      <c r="I21250" s="489"/>
    </row>
    <row r="21251" spans="1:9" x14ac:dyDescent="0.25">
      <c r="A21251">
        <v>38980</v>
      </c>
      <c r="B21251" t="s">
        <v>24754</v>
      </c>
      <c r="C21251" t="s">
        <v>2541</v>
      </c>
      <c r="D21251" s="254">
        <v>19.71</v>
      </c>
      <c r="E21251"/>
      <c r="F21251"/>
      <c r="G21251"/>
      <c r="H21251"/>
      <c r="I21251" s="489"/>
    </row>
    <row r="21252" spans="1:9" x14ac:dyDescent="0.25">
      <c r="A21252">
        <v>38981</v>
      </c>
      <c r="B21252" t="s">
        <v>24755</v>
      </c>
      <c r="C21252" t="s">
        <v>2541</v>
      </c>
      <c r="D21252" s="254">
        <v>27.29</v>
      </c>
      <c r="E21252"/>
      <c r="F21252"/>
      <c r="G21252"/>
      <c r="H21252"/>
      <c r="I21252" s="489"/>
    </row>
    <row r="21253" spans="1:9" x14ac:dyDescent="0.25">
      <c r="A21253">
        <v>38982</v>
      </c>
      <c r="B21253" t="s">
        <v>24756</v>
      </c>
      <c r="C21253" t="s">
        <v>2541</v>
      </c>
      <c r="D21253" s="254">
        <v>39.71</v>
      </c>
      <c r="E21253"/>
      <c r="F21253"/>
      <c r="G21253"/>
      <c r="H21253"/>
      <c r="I21253" s="489"/>
    </row>
    <row r="21254" spans="1:9" x14ac:dyDescent="0.25">
      <c r="A21254">
        <v>38983</v>
      </c>
      <c r="B21254" t="s">
        <v>24757</v>
      </c>
      <c r="C21254" t="s">
        <v>2541</v>
      </c>
      <c r="D21254" s="254">
        <v>52.65</v>
      </c>
      <c r="E21254"/>
      <c r="F21254"/>
      <c r="G21254"/>
      <c r="H21254"/>
      <c r="I21254" s="489"/>
    </row>
    <row r="21255" spans="1:9" x14ac:dyDescent="0.25">
      <c r="A21255">
        <v>38984</v>
      </c>
      <c r="B21255" t="s">
        <v>24758</v>
      </c>
      <c r="C21255" t="s">
        <v>2541</v>
      </c>
      <c r="D21255" s="254">
        <v>101.55</v>
      </c>
      <c r="E21255"/>
      <c r="F21255"/>
      <c r="G21255"/>
      <c r="H21255"/>
      <c r="I21255" s="489"/>
    </row>
    <row r="21256" spans="1:9" x14ac:dyDescent="0.25">
      <c r="A21256">
        <v>38985</v>
      </c>
      <c r="B21256" t="s">
        <v>24759</v>
      </c>
      <c r="C21256" t="s">
        <v>2541</v>
      </c>
      <c r="D21256" s="254">
        <v>150.33000000000001</v>
      </c>
      <c r="E21256"/>
      <c r="F21256"/>
      <c r="G21256"/>
      <c r="H21256"/>
      <c r="I21256" s="489"/>
    </row>
    <row r="21257" spans="1:9" x14ac:dyDescent="0.25">
      <c r="A21257">
        <v>9836</v>
      </c>
      <c r="B21257" t="s">
        <v>24760</v>
      </c>
      <c r="C21257" t="s">
        <v>2541</v>
      </c>
      <c r="D21257" s="254">
        <v>15.84</v>
      </c>
      <c r="E21257"/>
      <c r="F21257"/>
      <c r="G21257"/>
      <c r="H21257"/>
      <c r="I21257" s="489"/>
    </row>
    <row r="21258" spans="1:9" x14ac:dyDescent="0.25">
      <c r="A21258">
        <v>20065</v>
      </c>
      <c r="B21258" t="s">
        <v>24761</v>
      </c>
      <c r="C21258" t="s">
        <v>2541</v>
      </c>
      <c r="D21258" s="254">
        <v>40.520000000000003</v>
      </c>
      <c r="E21258"/>
      <c r="F21258"/>
      <c r="G21258"/>
      <c r="H21258"/>
      <c r="I21258" s="489"/>
    </row>
    <row r="21259" spans="1:9" x14ac:dyDescent="0.25">
      <c r="A21259">
        <v>9835</v>
      </c>
      <c r="B21259" t="s">
        <v>24762</v>
      </c>
      <c r="C21259" t="s">
        <v>2541</v>
      </c>
      <c r="D21259" s="254">
        <v>5.71</v>
      </c>
      <c r="E21259"/>
      <c r="F21259"/>
      <c r="G21259"/>
      <c r="H21259"/>
      <c r="I21259" s="489"/>
    </row>
    <row r="21260" spans="1:9" x14ac:dyDescent="0.25">
      <c r="A21260">
        <v>38032</v>
      </c>
      <c r="B21260" t="s">
        <v>24763</v>
      </c>
      <c r="C21260" t="s">
        <v>2541</v>
      </c>
      <c r="D21260" s="254">
        <v>68.48</v>
      </c>
      <c r="E21260"/>
      <c r="F21260"/>
      <c r="G21260"/>
      <c r="H21260"/>
      <c r="I21260" s="489"/>
    </row>
    <row r="21261" spans="1:9" x14ac:dyDescent="0.25">
      <c r="A21261">
        <v>38033</v>
      </c>
      <c r="B21261" t="s">
        <v>24764</v>
      </c>
      <c r="C21261" t="s">
        <v>2541</v>
      </c>
      <c r="D21261" s="254">
        <v>112.07</v>
      </c>
      <c r="E21261"/>
      <c r="F21261"/>
      <c r="G21261"/>
      <c r="H21261"/>
      <c r="I21261" s="489"/>
    </row>
    <row r="21262" spans="1:9" x14ac:dyDescent="0.25">
      <c r="A21262">
        <v>38034</v>
      </c>
      <c r="B21262" t="s">
        <v>24765</v>
      </c>
      <c r="C21262" t="s">
        <v>2541</v>
      </c>
      <c r="D21262" s="254">
        <v>185.39</v>
      </c>
      <c r="E21262"/>
      <c r="F21262"/>
      <c r="G21262"/>
      <c r="H21262"/>
      <c r="I21262" s="489"/>
    </row>
    <row r="21263" spans="1:9" x14ac:dyDescent="0.25">
      <c r="A21263">
        <v>38035</v>
      </c>
      <c r="B21263" t="s">
        <v>24766</v>
      </c>
      <c r="C21263" t="s">
        <v>2541</v>
      </c>
      <c r="D21263" s="254">
        <v>258.33999999999997</v>
      </c>
      <c r="E21263"/>
      <c r="F21263"/>
      <c r="G21263"/>
      <c r="H21263"/>
      <c r="I21263" s="489"/>
    </row>
    <row r="21264" spans="1:9" x14ac:dyDescent="0.25">
      <c r="A21264">
        <v>38036</v>
      </c>
      <c r="B21264" t="s">
        <v>24767</v>
      </c>
      <c r="C21264" t="s">
        <v>2541</v>
      </c>
      <c r="D21264" s="254">
        <v>364.52</v>
      </c>
      <c r="E21264"/>
      <c r="F21264"/>
      <c r="G21264"/>
      <c r="H21264"/>
      <c r="I21264" s="489"/>
    </row>
    <row r="21265" spans="1:9" x14ac:dyDescent="0.25">
      <c r="A21265">
        <v>38037</v>
      </c>
      <c r="B21265" t="s">
        <v>24768</v>
      </c>
      <c r="C21265" t="s">
        <v>2541</v>
      </c>
      <c r="D21265" s="254">
        <v>422.67</v>
      </c>
      <c r="E21265"/>
      <c r="F21265"/>
      <c r="G21265"/>
      <c r="H21265"/>
      <c r="I21265" s="489"/>
    </row>
    <row r="21266" spans="1:9" x14ac:dyDescent="0.25">
      <c r="A21266">
        <v>9850</v>
      </c>
      <c r="B21266" t="s">
        <v>24769</v>
      </c>
      <c r="C21266" t="s">
        <v>2541</v>
      </c>
      <c r="D21266" s="254">
        <v>167.5</v>
      </c>
      <c r="E21266"/>
      <c r="F21266"/>
      <c r="G21266"/>
      <c r="H21266"/>
      <c r="I21266" s="489"/>
    </row>
    <row r="21267" spans="1:9" x14ac:dyDescent="0.25">
      <c r="A21267">
        <v>9853</v>
      </c>
      <c r="B21267" t="s">
        <v>24770</v>
      </c>
      <c r="C21267" t="s">
        <v>2541</v>
      </c>
      <c r="D21267" s="254">
        <v>297.86</v>
      </c>
      <c r="E21267"/>
      <c r="F21267"/>
      <c r="G21267"/>
      <c r="H21267"/>
      <c r="I21267" s="489"/>
    </row>
    <row r="21268" spans="1:9" x14ac:dyDescent="0.25">
      <c r="A21268">
        <v>9854</v>
      </c>
      <c r="B21268" t="s">
        <v>24771</v>
      </c>
      <c r="C21268" t="s">
        <v>2541</v>
      </c>
      <c r="D21268" s="254">
        <v>130.51</v>
      </c>
      <c r="E21268"/>
      <c r="F21268"/>
      <c r="G21268"/>
      <c r="H21268"/>
      <c r="I21268" s="489"/>
    </row>
    <row r="21269" spans="1:9" x14ac:dyDescent="0.25">
      <c r="A21269">
        <v>9851</v>
      </c>
      <c r="B21269" t="s">
        <v>24772</v>
      </c>
      <c r="C21269" t="s">
        <v>2541</v>
      </c>
      <c r="D21269" s="254">
        <v>226.31</v>
      </c>
      <c r="E21269"/>
      <c r="F21269"/>
      <c r="G21269"/>
      <c r="H21269"/>
      <c r="I21269" s="489"/>
    </row>
    <row r="21270" spans="1:9" x14ac:dyDescent="0.25">
      <c r="A21270">
        <v>9855</v>
      </c>
      <c r="B21270" t="s">
        <v>24773</v>
      </c>
      <c r="C21270" t="s">
        <v>2541</v>
      </c>
      <c r="D21270" s="254">
        <v>378.52</v>
      </c>
      <c r="E21270"/>
      <c r="F21270"/>
      <c r="G21270"/>
      <c r="H21270"/>
      <c r="I21270" s="489"/>
    </row>
    <row r="21271" spans="1:9" x14ac:dyDescent="0.25">
      <c r="A21271">
        <v>9825</v>
      </c>
      <c r="B21271" t="s">
        <v>24774</v>
      </c>
      <c r="C21271" t="s">
        <v>2541</v>
      </c>
      <c r="D21271" s="254">
        <v>55.57</v>
      </c>
      <c r="E21271"/>
      <c r="F21271"/>
      <c r="G21271"/>
      <c r="H21271"/>
      <c r="I21271" s="489"/>
    </row>
    <row r="21272" spans="1:9" x14ac:dyDescent="0.25">
      <c r="A21272">
        <v>9828</v>
      </c>
      <c r="B21272" t="s">
        <v>24775</v>
      </c>
      <c r="C21272" t="s">
        <v>2541</v>
      </c>
      <c r="D21272" s="254">
        <v>149.54</v>
      </c>
      <c r="E21272"/>
      <c r="F21272"/>
      <c r="G21272"/>
      <c r="H21272"/>
      <c r="I21272" s="489"/>
    </row>
    <row r="21273" spans="1:9" x14ac:dyDescent="0.25">
      <c r="A21273">
        <v>9829</v>
      </c>
      <c r="B21273" t="s">
        <v>24776</v>
      </c>
      <c r="C21273" t="s">
        <v>2541</v>
      </c>
      <c r="D21273" s="254">
        <v>253.43</v>
      </c>
      <c r="E21273"/>
      <c r="F21273"/>
      <c r="G21273"/>
      <c r="H21273"/>
      <c r="I21273" s="489"/>
    </row>
    <row r="21274" spans="1:9" x14ac:dyDescent="0.25">
      <c r="A21274">
        <v>9826</v>
      </c>
      <c r="B21274" t="s">
        <v>24777</v>
      </c>
      <c r="C21274" t="s">
        <v>2541</v>
      </c>
      <c r="D21274" s="254">
        <v>385.81</v>
      </c>
      <c r="E21274"/>
      <c r="F21274"/>
      <c r="G21274"/>
      <c r="H21274"/>
      <c r="I21274" s="489"/>
    </row>
    <row r="21275" spans="1:9" x14ac:dyDescent="0.25">
      <c r="A21275">
        <v>9827</v>
      </c>
      <c r="B21275" t="s">
        <v>24778</v>
      </c>
      <c r="C21275" t="s">
        <v>2541</v>
      </c>
      <c r="D21275" s="254">
        <v>547.86</v>
      </c>
      <c r="E21275"/>
      <c r="F21275"/>
      <c r="G21275"/>
      <c r="H21275"/>
      <c r="I21275" s="489"/>
    </row>
    <row r="21276" spans="1:9" x14ac:dyDescent="0.25">
      <c r="A21276">
        <v>36374</v>
      </c>
      <c r="B21276" t="s">
        <v>24779</v>
      </c>
      <c r="C21276" t="s">
        <v>2541</v>
      </c>
      <c r="D21276" s="254">
        <v>66.599999999999994</v>
      </c>
      <c r="E21276"/>
      <c r="F21276"/>
      <c r="G21276"/>
      <c r="H21276"/>
      <c r="I21276" s="489"/>
    </row>
    <row r="21277" spans="1:9" x14ac:dyDescent="0.25">
      <c r="A21277">
        <v>36084</v>
      </c>
      <c r="B21277" t="s">
        <v>24780</v>
      </c>
      <c r="C21277" t="s">
        <v>2541</v>
      </c>
      <c r="D21277" s="254">
        <v>19.73</v>
      </c>
      <c r="E21277"/>
      <c r="F21277"/>
      <c r="G21277"/>
      <c r="H21277"/>
      <c r="I21277" s="489"/>
    </row>
    <row r="21278" spans="1:9" x14ac:dyDescent="0.25">
      <c r="A21278">
        <v>36373</v>
      </c>
      <c r="B21278" t="s">
        <v>24781</v>
      </c>
      <c r="C21278" t="s">
        <v>2541</v>
      </c>
      <c r="D21278" s="254">
        <v>40.97</v>
      </c>
      <c r="E21278"/>
      <c r="F21278"/>
      <c r="G21278"/>
      <c r="H21278"/>
      <c r="I21278" s="489"/>
    </row>
    <row r="21279" spans="1:9" x14ac:dyDescent="0.25">
      <c r="A21279">
        <v>36377</v>
      </c>
      <c r="B21279" t="s">
        <v>24782</v>
      </c>
      <c r="C21279" t="s">
        <v>2541</v>
      </c>
      <c r="D21279" s="254">
        <v>79.89</v>
      </c>
      <c r="E21279"/>
      <c r="F21279"/>
      <c r="G21279"/>
      <c r="H21279"/>
      <c r="I21279" s="489"/>
    </row>
    <row r="21280" spans="1:9" x14ac:dyDescent="0.25">
      <c r="A21280">
        <v>36375</v>
      </c>
      <c r="B21280" t="s">
        <v>24783</v>
      </c>
      <c r="C21280" t="s">
        <v>2541</v>
      </c>
      <c r="D21280" s="254">
        <v>24.35</v>
      </c>
      <c r="E21280"/>
      <c r="F21280"/>
      <c r="G21280"/>
      <c r="H21280"/>
      <c r="I21280" s="489"/>
    </row>
    <row r="21281" spans="1:9" x14ac:dyDescent="0.25">
      <c r="A21281">
        <v>36376</v>
      </c>
      <c r="B21281" t="s">
        <v>24784</v>
      </c>
      <c r="C21281" t="s">
        <v>2541</v>
      </c>
      <c r="D21281" s="254">
        <v>47.81</v>
      </c>
      <c r="E21281"/>
      <c r="F21281"/>
      <c r="G21281"/>
      <c r="H21281"/>
      <c r="I21281" s="489"/>
    </row>
    <row r="21282" spans="1:9" x14ac:dyDescent="0.25">
      <c r="A21282">
        <v>36380</v>
      </c>
      <c r="B21282" t="s">
        <v>24785</v>
      </c>
      <c r="C21282" t="s">
        <v>2541</v>
      </c>
      <c r="D21282" s="254">
        <v>99.89</v>
      </c>
      <c r="E21282"/>
      <c r="F21282"/>
      <c r="G21282"/>
      <c r="H21282"/>
      <c r="I21282" s="489"/>
    </row>
    <row r="21283" spans="1:9" x14ac:dyDescent="0.25">
      <c r="A21283">
        <v>36378</v>
      </c>
      <c r="B21283" t="s">
        <v>24786</v>
      </c>
      <c r="C21283" t="s">
        <v>2541</v>
      </c>
      <c r="D21283" s="254">
        <v>29.93</v>
      </c>
      <c r="E21283"/>
      <c r="F21283"/>
      <c r="G21283"/>
      <c r="H21283"/>
      <c r="I21283" s="489"/>
    </row>
    <row r="21284" spans="1:9" x14ac:dyDescent="0.25">
      <c r="A21284">
        <v>36379</v>
      </c>
      <c r="B21284" t="s">
        <v>24787</v>
      </c>
      <c r="C21284" t="s">
        <v>2541</v>
      </c>
      <c r="D21284" s="254">
        <v>60.34</v>
      </c>
      <c r="E21284"/>
      <c r="F21284"/>
      <c r="G21284"/>
      <c r="H21284"/>
      <c r="I21284" s="489"/>
    </row>
    <row r="21285" spans="1:9" x14ac:dyDescent="0.25">
      <c r="A21285">
        <v>9859</v>
      </c>
      <c r="B21285" t="s">
        <v>24788</v>
      </c>
      <c r="C21285" t="s">
        <v>2541</v>
      </c>
      <c r="D21285" s="254">
        <v>12.67</v>
      </c>
      <c r="E21285"/>
      <c r="F21285"/>
      <c r="G21285"/>
      <c r="H21285"/>
      <c r="I21285" s="489"/>
    </row>
    <row r="21286" spans="1:9" x14ac:dyDescent="0.25">
      <c r="A21286">
        <v>9838</v>
      </c>
      <c r="B21286" t="s">
        <v>24789</v>
      </c>
      <c r="C21286" t="s">
        <v>2541</v>
      </c>
      <c r="D21286" s="254">
        <v>9.7200000000000006</v>
      </c>
      <c r="E21286"/>
      <c r="F21286"/>
      <c r="G21286"/>
      <c r="H21286"/>
      <c r="I21286" s="489"/>
    </row>
    <row r="21287" spans="1:9" x14ac:dyDescent="0.25">
      <c r="A21287">
        <v>9837</v>
      </c>
      <c r="B21287" t="s">
        <v>24790</v>
      </c>
      <c r="C21287" t="s">
        <v>2541</v>
      </c>
      <c r="D21287" s="254">
        <v>14.04</v>
      </c>
      <c r="E21287"/>
      <c r="F21287"/>
      <c r="G21287"/>
      <c r="H21287"/>
      <c r="I21287" s="489"/>
    </row>
    <row r="21288" spans="1:9" x14ac:dyDescent="0.25">
      <c r="A21288">
        <v>9833</v>
      </c>
      <c r="B21288" t="s">
        <v>24791</v>
      </c>
      <c r="C21288" t="s">
        <v>2541</v>
      </c>
      <c r="D21288" s="254">
        <v>13.19</v>
      </c>
      <c r="E21288"/>
      <c r="F21288"/>
      <c r="G21288"/>
      <c r="H21288"/>
      <c r="I21288" s="489"/>
    </row>
    <row r="21289" spans="1:9" x14ac:dyDescent="0.25">
      <c r="A21289">
        <v>9830</v>
      </c>
      <c r="B21289" t="s">
        <v>24792</v>
      </c>
      <c r="C21289" t="s">
        <v>2541</v>
      </c>
      <c r="D21289" s="254">
        <v>7.06</v>
      </c>
      <c r="E21289"/>
      <c r="F21289"/>
      <c r="G21289"/>
      <c r="H21289"/>
      <c r="I21289" s="489"/>
    </row>
    <row r="21290" spans="1:9" x14ac:dyDescent="0.25">
      <c r="A21290">
        <v>9834</v>
      </c>
      <c r="B21290" t="s">
        <v>24793</v>
      </c>
      <c r="C21290" t="s">
        <v>2541</v>
      </c>
      <c r="D21290" s="254">
        <v>36.72</v>
      </c>
      <c r="E21290"/>
      <c r="F21290"/>
      <c r="G21290"/>
      <c r="H21290"/>
      <c r="I21290" s="489"/>
    </row>
    <row r="21291" spans="1:9" x14ac:dyDescent="0.25">
      <c r="A21291">
        <v>9863</v>
      </c>
      <c r="B21291" t="s">
        <v>24794</v>
      </c>
      <c r="C21291" t="s">
        <v>2541</v>
      </c>
      <c r="D21291" s="254">
        <v>91.44</v>
      </c>
      <c r="E21291"/>
      <c r="F21291"/>
      <c r="G21291"/>
      <c r="H21291"/>
      <c r="I21291" s="489"/>
    </row>
    <row r="21292" spans="1:9" x14ac:dyDescent="0.25">
      <c r="A21292">
        <v>9860</v>
      </c>
      <c r="B21292" t="s">
        <v>24795</v>
      </c>
      <c r="C21292" t="s">
        <v>2541</v>
      </c>
      <c r="D21292" s="254">
        <v>58.71</v>
      </c>
      <c r="E21292"/>
      <c r="F21292"/>
      <c r="G21292"/>
      <c r="H21292"/>
      <c r="I21292" s="489"/>
    </row>
    <row r="21293" spans="1:9" x14ac:dyDescent="0.25">
      <c r="A21293">
        <v>9862</v>
      </c>
      <c r="B21293" t="s">
        <v>24796</v>
      </c>
      <c r="C21293" t="s">
        <v>2541</v>
      </c>
      <c r="D21293" s="254">
        <v>41.42</v>
      </c>
      <c r="E21293"/>
      <c r="F21293"/>
      <c r="G21293"/>
      <c r="H21293"/>
      <c r="I21293" s="489"/>
    </row>
    <row r="21294" spans="1:9" x14ac:dyDescent="0.25">
      <c r="A21294">
        <v>9861</v>
      </c>
      <c r="B21294" t="s">
        <v>24797</v>
      </c>
      <c r="C21294" t="s">
        <v>2541</v>
      </c>
      <c r="D21294" s="254">
        <v>33.29</v>
      </c>
      <c r="E21294"/>
      <c r="F21294"/>
      <c r="G21294"/>
      <c r="H21294"/>
      <c r="I21294" s="489"/>
    </row>
    <row r="21295" spans="1:9" x14ac:dyDescent="0.25">
      <c r="A21295">
        <v>9856</v>
      </c>
      <c r="B21295" t="s">
        <v>24798</v>
      </c>
      <c r="C21295" t="s">
        <v>2541</v>
      </c>
      <c r="D21295" s="254">
        <v>8.9499999999999993</v>
      </c>
      <c r="E21295"/>
      <c r="F21295"/>
      <c r="G21295"/>
      <c r="H21295"/>
      <c r="I21295" s="489"/>
    </row>
    <row r="21296" spans="1:9" x14ac:dyDescent="0.25">
      <c r="A21296">
        <v>9866</v>
      </c>
      <c r="B21296" t="s">
        <v>24799</v>
      </c>
      <c r="C21296" t="s">
        <v>2541</v>
      </c>
      <c r="D21296" s="254">
        <v>24.59</v>
      </c>
      <c r="E21296"/>
      <c r="F21296"/>
      <c r="G21296"/>
      <c r="H21296"/>
      <c r="I21296" s="489"/>
    </row>
    <row r="21297" spans="1:9" x14ac:dyDescent="0.25">
      <c r="A21297">
        <v>9857</v>
      </c>
      <c r="B21297" t="s">
        <v>24800</v>
      </c>
      <c r="C21297" t="s">
        <v>2541</v>
      </c>
      <c r="D21297" s="254">
        <v>118.26</v>
      </c>
      <c r="E21297"/>
      <c r="F21297"/>
      <c r="G21297"/>
      <c r="H21297"/>
      <c r="I21297" s="489"/>
    </row>
    <row r="21298" spans="1:9" x14ac:dyDescent="0.25">
      <c r="A21298">
        <v>9864</v>
      </c>
      <c r="B21298" t="s">
        <v>24801</v>
      </c>
      <c r="C21298" t="s">
        <v>2541</v>
      </c>
      <c r="D21298" s="254">
        <v>142.77000000000001</v>
      </c>
      <c r="E21298"/>
      <c r="F21298"/>
      <c r="G21298"/>
      <c r="H21298"/>
      <c r="I21298" s="489"/>
    </row>
    <row r="21299" spans="1:9" x14ac:dyDescent="0.25">
      <c r="A21299">
        <v>9865</v>
      </c>
      <c r="B21299" t="s">
        <v>24802</v>
      </c>
      <c r="C21299" t="s">
        <v>2541</v>
      </c>
      <c r="D21299" s="254">
        <v>205.33</v>
      </c>
      <c r="E21299"/>
      <c r="F21299"/>
      <c r="G21299"/>
      <c r="H21299"/>
      <c r="I21299" s="489"/>
    </row>
    <row r="21300" spans="1:9" x14ac:dyDescent="0.25">
      <c r="A21300">
        <v>9858</v>
      </c>
      <c r="B21300" t="s">
        <v>24803</v>
      </c>
      <c r="C21300" t="s">
        <v>2541</v>
      </c>
      <c r="D21300" s="254">
        <v>215.26</v>
      </c>
      <c r="E21300"/>
      <c r="F21300"/>
      <c r="G21300"/>
      <c r="H21300"/>
      <c r="I21300" s="489"/>
    </row>
    <row r="21301" spans="1:9" x14ac:dyDescent="0.25">
      <c r="A21301">
        <v>9841</v>
      </c>
      <c r="B21301" t="s">
        <v>24804</v>
      </c>
      <c r="C21301" t="s">
        <v>2541</v>
      </c>
      <c r="D21301" s="254">
        <v>39.090000000000003</v>
      </c>
      <c r="E21301"/>
      <c r="F21301"/>
      <c r="G21301"/>
      <c r="H21301"/>
      <c r="I21301" s="489"/>
    </row>
    <row r="21302" spans="1:9" x14ac:dyDescent="0.25">
      <c r="A21302">
        <v>9840</v>
      </c>
      <c r="B21302" t="s">
        <v>24805</v>
      </c>
      <c r="C21302" t="s">
        <v>2541</v>
      </c>
      <c r="D21302" s="254">
        <v>79.45</v>
      </c>
      <c r="E21302"/>
      <c r="F21302"/>
      <c r="G21302"/>
      <c r="H21302"/>
      <c r="I21302" s="489"/>
    </row>
    <row r="21303" spans="1:9" x14ac:dyDescent="0.25">
      <c r="A21303">
        <v>20067</v>
      </c>
      <c r="B21303" t="s">
        <v>24806</v>
      </c>
      <c r="C21303" t="s">
        <v>2541</v>
      </c>
      <c r="D21303" s="254">
        <v>13.65</v>
      </c>
      <c r="E21303"/>
      <c r="F21303"/>
      <c r="G21303"/>
      <c r="H21303"/>
      <c r="I21303" s="489"/>
    </row>
    <row r="21304" spans="1:9" x14ac:dyDescent="0.25">
      <c r="A21304">
        <v>20068</v>
      </c>
      <c r="B21304" t="s">
        <v>24807</v>
      </c>
      <c r="C21304" t="s">
        <v>2541</v>
      </c>
      <c r="D21304" s="254">
        <v>17.03</v>
      </c>
      <c r="E21304"/>
      <c r="F21304"/>
      <c r="G21304"/>
      <c r="H21304"/>
      <c r="I21304" s="489"/>
    </row>
    <row r="21305" spans="1:9" x14ac:dyDescent="0.25">
      <c r="A21305">
        <v>9839</v>
      </c>
      <c r="B21305" t="s">
        <v>24808</v>
      </c>
      <c r="C21305" t="s">
        <v>2541</v>
      </c>
      <c r="D21305" s="254">
        <v>22.31</v>
      </c>
      <c r="E21305"/>
      <c r="F21305"/>
      <c r="G21305"/>
      <c r="H21305"/>
      <c r="I21305" s="489"/>
    </row>
    <row r="21306" spans="1:9" x14ac:dyDescent="0.25">
      <c r="A21306">
        <v>9870</v>
      </c>
      <c r="B21306" t="s">
        <v>24809</v>
      </c>
      <c r="C21306" t="s">
        <v>2541</v>
      </c>
      <c r="D21306" s="254">
        <v>99.71</v>
      </c>
      <c r="E21306"/>
      <c r="F21306"/>
      <c r="G21306"/>
      <c r="H21306"/>
      <c r="I21306" s="489"/>
    </row>
    <row r="21307" spans="1:9" x14ac:dyDescent="0.25">
      <c r="A21307">
        <v>9867</v>
      </c>
      <c r="B21307" t="s">
        <v>24810</v>
      </c>
      <c r="C21307" t="s">
        <v>2541</v>
      </c>
      <c r="D21307" s="254">
        <v>3.66</v>
      </c>
      <c r="E21307"/>
      <c r="F21307"/>
      <c r="G21307"/>
      <c r="H21307"/>
      <c r="I21307" s="489"/>
    </row>
    <row r="21308" spans="1:9" x14ac:dyDescent="0.25">
      <c r="A21308">
        <v>9868</v>
      </c>
      <c r="B21308" t="s">
        <v>24811</v>
      </c>
      <c r="C21308" t="s">
        <v>2541</v>
      </c>
      <c r="D21308" s="254">
        <v>4.7</v>
      </c>
      <c r="E21308"/>
      <c r="F21308"/>
      <c r="G21308"/>
      <c r="H21308"/>
      <c r="I21308" s="489"/>
    </row>
    <row r="21309" spans="1:9" x14ac:dyDescent="0.25">
      <c r="A21309">
        <v>9869</v>
      </c>
      <c r="B21309" t="s">
        <v>24812</v>
      </c>
      <c r="C21309" t="s">
        <v>2541</v>
      </c>
      <c r="D21309" s="254">
        <v>10.55</v>
      </c>
      <c r="E21309"/>
      <c r="F21309"/>
      <c r="G21309"/>
      <c r="H21309"/>
      <c r="I21309" s="489"/>
    </row>
    <row r="21310" spans="1:9" x14ac:dyDescent="0.25">
      <c r="A21310">
        <v>9874</v>
      </c>
      <c r="B21310" t="s">
        <v>24813</v>
      </c>
      <c r="C21310" t="s">
        <v>2541</v>
      </c>
      <c r="D21310" s="254">
        <v>15.36</v>
      </c>
      <c r="E21310"/>
      <c r="F21310"/>
      <c r="G21310"/>
      <c r="H21310"/>
      <c r="I21310" s="489"/>
    </row>
    <row r="21311" spans="1:9" x14ac:dyDescent="0.25">
      <c r="A21311">
        <v>9875</v>
      </c>
      <c r="B21311" t="s">
        <v>24814</v>
      </c>
      <c r="C21311" t="s">
        <v>2541</v>
      </c>
      <c r="D21311" s="254">
        <v>17.600000000000001</v>
      </c>
      <c r="E21311"/>
      <c r="F21311"/>
      <c r="G21311"/>
      <c r="H21311"/>
      <c r="I21311" s="489"/>
    </row>
    <row r="21312" spans="1:9" x14ac:dyDescent="0.25">
      <c r="A21312">
        <v>9873</v>
      </c>
      <c r="B21312" t="s">
        <v>24815</v>
      </c>
      <c r="C21312" t="s">
        <v>2541</v>
      </c>
      <c r="D21312" s="254">
        <v>29.69</v>
      </c>
      <c r="E21312"/>
      <c r="F21312"/>
      <c r="G21312"/>
      <c r="H21312"/>
      <c r="I21312" s="489"/>
    </row>
    <row r="21313" spans="1:9" x14ac:dyDescent="0.25">
      <c r="A21313">
        <v>9871</v>
      </c>
      <c r="B21313" t="s">
        <v>24816</v>
      </c>
      <c r="C21313" t="s">
        <v>2541</v>
      </c>
      <c r="D21313" s="254">
        <v>49.74</v>
      </c>
      <c r="E21313"/>
      <c r="F21313"/>
      <c r="G21313"/>
      <c r="H21313"/>
      <c r="I21313" s="489"/>
    </row>
    <row r="21314" spans="1:9" x14ac:dyDescent="0.25">
      <c r="A21314">
        <v>9872</v>
      </c>
      <c r="B21314" t="s">
        <v>24817</v>
      </c>
      <c r="C21314" t="s">
        <v>2541</v>
      </c>
      <c r="D21314" s="254">
        <v>62.15</v>
      </c>
      <c r="E21314"/>
      <c r="F21314"/>
      <c r="G21314"/>
      <c r="H21314"/>
      <c r="I21314" s="489"/>
    </row>
    <row r="21315" spans="1:9" x14ac:dyDescent="0.25">
      <c r="A21315">
        <v>7667</v>
      </c>
      <c r="B21315" t="s">
        <v>24818</v>
      </c>
      <c r="C21315" t="s">
        <v>2541</v>
      </c>
      <c r="D21315" s="254">
        <v>4380.38</v>
      </c>
      <c r="E21315"/>
      <c r="F21315"/>
      <c r="G21315"/>
      <c r="H21315"/>
      <c r="I21315" s="489"/>
    </row>
    <row r="21316" spans="1:9" x14ac:dyDescent="0.25">
      <c r="A21316">
        <v>7660</v>
      </c>
      <c r="B21316" t="s">
        <v>24819</v>
      </c>
      <c r="C21316" t="s">
        <v>2541</v>
      </c>
      <c r="D21316" s="254">
        <v>5583.94</v>
      </c>
      <c r="E21316"/>
      <c r="F21316"/>
      <c r="G21316"/>
      <c r="H21316"/>
      <c r="I21316" s="489"/>
    </row>
    <row r="21317" spans="1:9" x14ac:dyDescent="0.25">
      <c r="A21317">
        <v>7676</v>
      </c>
      <c r="B21317" t="s">
        <v>24820</v>
      </c>
      <c r="C21317" t="s">
        <v>2541</v>
      </c>
      <c r="D21317" s="254">
        <v>5647.76</v>
      </c>
      <c r="E21317"/>
      <c r="F21317"/>
      <c r="G21317"/>
      <c r="H21317"/>
      <c r="I21317" s="489"/>
    </row>
    <row r="21318" spans="1:9" x14ac:dyDescent="0.25">
      <c r="A21318">
        <v>12426</v>
      </c>
      <c r="B21318" t="s">
        <v>24821</v>
      </c>
      <c r="C21318" t="s">
        <v>2537</v>
      </c>
      <c r="D21318" s="254">
        <v>47.61</v>
      </c>
      <c r="E21318"/>
      <c r="F21318"/>
      <c r="G21318"/>
      <c r="H21318"/>
      <c r="I21318" s="489"/>
    </row>
    <row r="21319" spans="1:9" x14ac:dyDescent="0.25">
      <c r="A21319">
        <v>12425</v>
      </c>
      <c r="B21319" t="s">
        <v>24822</v>
      </c>
      <c r="C21319" t="s">
        <v>2537</v>
      </c>
      <c r="D21319" s="254">
        <v>65.41</v>
      </c>
      <c r="E21319"/>
      <c r="F21319"/>
      <c r="G21319"/>
      <c r="H21319"/>
      <c r="I21319" s="489"/>
    </row>
    <row r="21320" spans="1:9" x14ac:dyDescent="0.25">
      <c r="A21320">
        <v>12427</v>
      </c>
      <c r="B21320" t="s">
        <v>24823</v>
      </c>
      <c r="C21320" t="s">
        <v>2537</v>
      </c>
      <c r="D21320" s="254">
        <v>271.51</v>
      </c>
      <c r="E21320"/>
      <c r="F21320"/>
      <c r="G21320"/>
      <c r="H21320"/>
      <c r="I21320" s="489"/>
    </row>
    <row r="21321" spans="1:9" x14ac:dyDescent="0.25">
      <c r="A21321">
        <v>12428</v>
      </c>
      <c r="B21321" t="s">
        <v>24824</v>
      </c>
      <c r="C21321" t="s">
        <v>2537</v>
      </c>
      <c r="D21321" s="254">
        <v>174.27</v>
      </c>
      <c r="E21321"/>
      <c r="F21321"/>
      <c r="G21321"/>
      <c r="H21321"/>
      <c r="I21321" s="489"/>
    </row>
    <row r="21322" spans="1:9" x14ac:dyDescent="0.25">
      <c r="A21322">
        <v>12430</v>
      </c>
      <c r="B21322" t="s">
        <v>24825</v>
      </c>
      <c r="C21322" t="s">
        <v>2537</v>
      </c>
      <c r="D21322" s="254">
        <v>58.37</v>
      </c>
      <c r="E21322"/>
      <c r="F21322"/>
      <c r="G21322"/>
      <c r="H21322"/>
      <c r="I21322" s="489"/>
    </row>
    <row r="21323" spans="1:9" x14ac:dyDescent="0.25">
      <c r="A21323">
        <v>12429</v>
      </c>
      <c r="B21323" t="s">
        <v>24826</v>
      </c>
      <c r="C21323" t="s">
        <v>2537</v>
      </c>
      <c r="D21323" s="254">
        <v>439.04</v>
      </c>
      <c r="E21323"/>
      <c r="F21323"/>
      <c r="G21323"/>
      <c r="H21323"/>
      <c r="I21323" s="489"/>
    </row>
    <row r="21324" spans="1:9" x14ac:dyDescent="0.25">
      <c r="A21324">
        <v>12431</v>
      </c>
      <c r="B21324" t="s">
        <v>24827</v>
      </c>
      <c r="C21324" t="s">
        <v>2537</v>
      </c>
      <c r="D21324" s="254">
        <v>747.17</v>
      </c>
      <c r="E21324"/>
      <c r="F21324"/>
      <c r="G21324"/>
      <c r="H21324"/>
      <c r="I21324" s="489"/>
    </row>
    <row r="21325" spans="1:9" x14ac:dyDescent="0.25">
      <c r="A21325">
        <v>12432</v>
      </c>
      <c r="B21325" t="s">
        <v>24828</v>
      </c>
      <c r="C21325" t="s">
        <v>2537</v>
      </c>
      <c r="D21325" s="254">
        <v>153.66999999999999</v>
      </c>
      <c r="E21325"/>
      <c r="F21325"/>
      <c r="G21325"/>
      <c r="H21325"/>
      <c r="I21325" s="489"/>
    </row>
    <row r="21326" spans="1:9" x14ac:dyDescent="0.25">
      <c r="A21326">
        <v>12434</v>
      </c>
      <c r="B21326" t="s">
        <v>24829</v>
      </c>
      <c r="C21326" t="s">
        <v>2537</v>
      </c>
      <c r="D21326" s="254">
        <v>50.07</v>
      </c>
      <c r="E21326"/>
      <c r="F21326"/>
      <c r="G21326"/>
      <c r="H21326"/>
      <c r="I21326" s="489"/>
    </row>
    <row r="21327" spans="1:9" x14ac:dyDescent="0.25">
      <c r="A21327">
        <v>12433</v>
      </c>
      <c r="B21327" t="s">
        <v>24830</v>
      </c>
      <c r="C21327" t="s">
        <v>2537</v>
      </c>
      <c r="D21327" s="254">
        <v>97.83</v>
      </c>
      <c r="E21327"/>
      <c r="F21327"/>
      <c r="G21327"/>
      <c r="H21327"/>
      <c r="I21327" s="489"/>
    </row>
    <row r="21328" spans="1:9" x14ac:dyDescent="0.25">
      <c r="A21328">
        <v>12435</v>
      </c>
      <c r="B21328" t="s">
        <v>24831</v>
      </c>
      <c r="C21328" t="s">
        <v>2537</v>
      </c>
      <c r="D21328" s="254">
        <v>302.75</v>
      </c>
      <c r="E21328"/>
      <c r="F21328"/>
      <c r="G21328"/>
      <c r="H21328"/>
      <c r="I21328" s="489"/>
    </row>
    <row r="21329" spans="1:9" x14ac:dyDescent="0.25">
      <c r="A21329">
        <v>12437</v>
      </c>
      <c r="B21329" t="s">
        <v>24832</v>
      </c>
      <c r="C21329" t="s">
        <v>2537</v>
      </c>
      <c r="D21329" s="254">
        <v>244.51</v>
      </c>
      <c r="E21329"/>
      <c r="F21329"/>
      <c r="G21329"/>
      <c r="H21329"/>
      <c r="I21329" s="489"/>
    </row>
    <row r="21330" spans="1:9" x14ac:dyDescent="0.25">
      <c r="A21330">
        <v>12439</v>
      </c>
      <c r="B21330" t="s">
        <v>24833</v>
      </c>
      <c r="C21330" t="s">
        <v>2537</v>
      </c>
      <c r="D21330" s="254">
        <v>78.47</v>
      </c>
      <c r="E21330"/>
      <c r="F21330"/>
      <c r="G21330"/>
      <c r="H21330"/>
      <c r="I21330" s="489"/>
    </row>
    <row r="21331" spans="1:9" x14ac:dyDescent="0.25">
      <c r="A21331">
        <v>12438</v>
      </c>
      <c r="B21331" t="s">
        <v>24834</v>
      </c>
      <c r="C21331" t="s">
        <v>2537</v>
      </c>
      <c r="D21331" s="254">
        <v>442.49</v>
      </c>
      <c r="E21331"/>
      <c r="F21331"/>
      <c r="G21331"/>
      <c r="H21331"/>
      <c r="I21331" s="489"/>
    </row>
    <row r="21332" spans="1:9" x14ac:dyDescent="0.25">
      <c r="A21332">
        <v>12436</v>
      </c>
      <c r="B21332" t="s">
        <v>24835</v>
      </c>
      <c r="C21332" t="s">
        <v>2537</v>
      </c>
      <c r="D21332" s="254">
        <v>558.95000000000005</v>
      </c>
      <c r="E21332"/>
      <c r="F21332"/>
      <c r="G21332"/>
      <c r="H21332"/>
      <c r="I21332" s="489"/>
    </row>
    <row r="21333" spans="1:9" x14ac:dyDescent="0.25">
      <c r="A21333">
        <v>36357</v>
      </c>
      <c r="B21333" t="s">
        <v>24836</v>
      </c>
      <c r="C21333" t="s">
        <v>2537</v>
      </c>
      <c r="D21333" s="254">
        <v>154.6</v>
      </c>
      <c r="E21333"/>
      <c r="F21333"/>
      <c r="G21333"/>
      <c r="H21333"/>
      <c r="I21333" s="489"/>
    </row>
    <row r="21334" spans="1:9" x14ac:dyDescent="0.25">
      <c r="A21334">
        <v>12424</v>
      </c>
      <c r="B21334" t="s">
        <v>24837</v>
      </c>
      <c r="C21334" t="s">
        <v>2537</v>
      </c>
      <c r="D21334" s="254">
        <v>100.72</v>
      </c>
      <c r="E21334"/>
      <c r="F21334"/>
      <c r="G21334"/>
      <c r="H21334"/>
      <c r="I21334" s="489"/>
    </row>
    <row r="21335" spans="1:9" x14ac:dyDescent="0.25">
      <c r="A21335">
        <v>12440</v>
      </c>
      <c r="B21335" t="s">
        <v>24838</v>
      </c>
      <c r="C21335" t="s">
        <v>2537</v>
      </c>
      <c r="D21335" s="254">
        <v>97.35</v>
      </c>
      <c r="E21335"/>
      <c r="F21335"/>
      <c r="G21335"/>
      <c r="H21335"/>
      <c r="I21335" s="489"/>
    </row>
    <row r="21336" spans="1:9" x14ac:dyDescent="0.25">
      <c r="A21336">
        <v>9884</v>
      </c>
      <c r="B21336" t="s">
        <v>24839</v>
      </c>
      <c r="C21336" t="s">
        <v>2537</v>
      </c>
      <c r="D21336" s="254">
        <v>72.62</v>
      </c>
      <c r="E21336"/>
      <c r="F21336"/>
      <c r="G21336"/>
      <c r="H21336"/>
      <c r="I21336" s="489"/>
    </row>
    <row r="21337" spans="1:9" x14ac:dyDescent="0.25">
      <c r="A21337">
        <v>9888</v>
      </c>
      <c r="B21337" t="s">
        <v>24840</v>
      </c>
      <c r="C21337" t="s">
        <v>2537</v>
      </c>
      <c r="D21337" s="254">
        <v>58.34</v>
      </c>
      <c r="E21337"/>
      <c r="F21337"/>
      <c r="G21337"/>
      <c r="H21337"/>
      <c r="I21337" s="489"/>
    </row>
    <row r="21338" spans="1:9" x14ac:dyDescent="0.25">
      <c r="A21338">
        <v>9883</v>
      </c>
      <c r="B21338" t="s">
        <v>24841</v>
      </c>
      <c r="C21338" t="s">
        <v>2537</v>
      </c>
      <c r="D21338" s="254">
        <v>25.46</v>
      </c>
      <c r="E21338"/>
      <c r="F21338"/>
      <c r="G21338"/>
      <c r="H21338"/>
      <c r="I21338" s="489"/>
    </row>
    <row r="21339" spans="1:9" x14ac:dyDescent="0.25">
      <c r="A21339">
        <v>9886</v>
      </c>
      <c r="B21339" t="s">
        <v>24842</v>
      </c>
      <c r="C21339" t="s">
        <v>2537</v>
      </c>
      <c r="D21339" s="254">
        <v>34.869999999999997</v>
      </c>
      <c r="E21339"/>
      <c r="F21339"/>
      <c r="G21339"/>
      <c r="H21339"/>
      <c r="I21339" s="489"/>
    </row>
    <row r="21340" spans="1:9" x14ac:dyDescent="0.25">
      <c r="A21340">
        <v>9889</v>
      </c>
      <c r="B21340" t="s">
        <v>24843</v>
      </c>
      <c r="C21340" t="s">
        <v>2537</v>
      </c>
      <c r="D21340" s="254">
        <v>176.67</v>
      </c>
      <c r="E21340"/>
      <c r="F21340"/>
      <c r="G21340"/>
      <c r="H21340"/>
      <c r="I21340" s="489"/>
    </row>
    <row r="21341" spans="1:9" x14ac:dyDescent="0.25">
      <c r="A21341">
        <v>9887</v>
      </c>
      <c r="B21341" t="s">
        <v>24844</v>
      </c>
      <c r="C21341" t="s">
        <v>2537</v>
      </c>
      <c r="D21341" s="254">
        <v>106.78</v>
      </c>
      <c r="E21341"/>
      <c r="F21341"/>
      <c r="G21341"/>
      <c r="H21341"/>
      <c r="I21341" s="489"/>
    </row>
    <row r="21342" spans="1:9" x14ac:dyDescent="0.25">
      <c r="A21342">
        <v>9885</v>
      </c>
      <c r="B21342" t="s">
        <v>24845</v>
      </c>
      <c r="C21342" t="s">
        <v>2537</v>
      </c>
      <c r="D21342" s="254">
        <v>33.71</v>
      </c>
      <c r="E21342"/>
      <c r="F21342"/>
      <c r="G21342"/>
      <c r="H21342"/>
      <c r="I21342" s="489"/>
    </row>
    <row r="21343" spans="1:9" x14ac:dyDescent="0.25">
      <c r="A21343">
        <v>9890</v>
      </c>
      <c r="B21343" t="s">
        <v>24846</v>
      </c>
      <c r="C21343" t="s">
        <v>2537</v>
      </c>
      <c r="D21343" s="254">
        <v>273.7</v>
      </c>
      <c r="E21343"/>
      <c r="F21343"/>
      <c r="G21343"/>
      <c r="H21343"/>
      <c r="I21343" s="489"/>
    </row>
    <row r="21344" spans="1:9" x14ac:dyDescent="0.25">
      <c r="A21344">
        <v>9891</v>
      </c>
      <c r="B21344" t="s">
        <v>24847</v>
      </c>
      <c r="C21344" t="s">
        <v>2537</v>
      </c>
      <c r="D21344" s="254">
        <v>384.23</v>
      </c>
      <c r="E21344"/>
      <c r="F21344"/>
      <c r="G21344"/>
      <c r="H21344"/>
      <c r="I21344" s="489"/>
    </row>
    <row r="21345" spans="1:9" x14ac:dyDescent="0.25">
      <c r="A21345">
        <v>39292</v>
      </c>
      <c r="B21345" t="s">
        <v>24848</v>
      </c>
      <c r="C21345" t="s">
        <v>2537</v>
      </c>
      <c r="D21345" s="254">
        <v>8.9600000000000009</v>
      </c>
      <c r="E21345"/>
      <c r="F21345"/>
      <c r="G21345"/>
      <c r="H21345"/>
      <c r="I21345" s="489"/>
    </row>
    <row r="21346" spans="1:9" x14ac:dyDescent="0.25">
      <c r="A21346">
        <v>39293</v>
      </c>
      <c r="B21346" t="s">
        <v>24849</v>
      </c>
      <c r="C21346" t="s">
        <v>2537</v>
      </c>
      <c r="D21346" s="254">
        <v>14.47</v>
      </c>
      <c r="E21346"/>
      <c r="F21346"/>
      <c r="G21346"/>
      <c r="H21346"/>
      <c r="I21346" s="489"/>
    </row>
    <row r="21347" spans="1:9" x14ac:dyDescent="0.25">
      <c r="A21347">
        <v>39294</v>
      </c>
      <c r="B21347" t="s">
        <v>24850</v>
      </c>
      <c r="C21347" t="s">
        <v>2537</v>
      </c>
      <c r="D21347" s="254">
        <v>14.47</v>
      </c>
      <c r="E21347"/>
      <c r="F21347"/>
      <c r="G21347"/>
      <c r="H21347"/>
      <c r="I21347" s="489"/>
    </row>
    <row r="21348" spans="1:9" x14ac:dyDescent="0.25">
      <c r="A21348">
        <v>39295</v>
      </c>
      <c r="B21348" t="s">
        <v>24851</v>
      </c>
      <c r="C21348" t="s">
        <v>2537</v>
      </c>
      <c r="D21348" s="254">
        <v>24.67</v>
      </c>
      <c r="E21348"/>
      <c r="F21348"/>
      <c r="G21348"/>
      <c r="H21348"/>
      <c r="I21348" s="489"/>
    </row>
    <row r="21349" spans="1:9" x14ac:dyDescent="0.25">
      <c r="A21349">
        <v>36313</v>
      </c>
      <c r="B21349" t="s">
        <v>24852</v>
      </c>
      <c r="C21349" t="s">
        <v>2537</v>
      </c>
      <c r="D21349" s="254">
        <v>36.65</v>
      </c>
      <c r="E21349"/>
      <c r="F21349"/>
      <c r="G21349"/>
      <c r="H21349"/>
      <c r="I21349" s="489"/>
    </row>
    <row r="21350" spans="1:9" x14ac:dyDescent="0.25">
      <c r="A21350">
        <v>36316</v>
      </c>
      <c r="B21350" t="s">
        <v>24853</v>
      </c>
      <c r="C21350" t="s">
        <v>2537</v>
      </c>
      <c r="D21350" s="254">
        <v>44.45</v>
      </c>
      <c r="E21350"/>
      <c r="F21350"/>
      <c r="G21350"/>
      <c r="H21350"/>
      <c r="I21350" s="489"/>
    </row>
    <row r="21351" spans="1:9" x14ac:dyDescent="0.25">
      <c r="A21351">
        <v>64</v>
      </c>
      <c r="B21351" t="s">
        <v>24854</v>
      </c>
      <c r="C21351" t="s">
        <v>2537</v>
      </c>
      <c r="D21351" s="254">
        <v>6.11</v>
      </c>
      <c r="E21351"/>
      <c r="F21351"/>
      <c r="G21351"/>
      <c r="H21351"/>
      <c r="I21351" s="489"/>
    </row>
    <row r="21352" spans="1:9" x14ac:dyDescent="0.25">
      <c r="A21352">
        <v>37423</v>
      </c>
      <c r="B21352" t="s">
        <v>24855</v>
      </c>
      <c r="C21352" t="s">
        <v>2537</v>
      </c>
      <c r="D21352" s="254">
        <v>15.09</v>
      </c>
      <c r="E21352"/>
      <c r="F21352"/>
      <c r="G21352"/>
      <c r="H21352"/>
      <c r="I21352" s="489"/>
    </row>
    <row r="21353" spans="1:9" x14ac:dyDescent="0.25">
      <c r="A21353">
        <v>39296</v>
      </c>
      <c r="B21353" t="s">
        <v>24856</v>
      </c>
      <c r="C21353" t="s">
        <v>2537</v>
      </c>
      <c r="D21353" s="254">
        <v>6.93</v>
      </c>
      <c r="E21353"/>
      <c r="F21353"/>
      <c r="G21353"/>
      <c r="H21353"/>
      <c r="I21353" s="489"/>
    </row>
    <row r="21354" spans="1:9" x14ac:dyDescent="0.25">
      <c r="A21354">
        <v>39297</v>
      </c>
      <c r="B21354" t="s">
        <v>24857</v>
      </c>
      <c r="C21354" t="s">
        <v>2537</v>
      </c>
      <c r="D21354" s="254">
        <v>9.9</v>
      </c>
      <c r="E21354"/>
      <c r="F21354"/>
      <c r="G21354"/>
      <c r="H21354"/>
      <c r="I21354" s="489"/>
    </row>
    <row r="21355" spans="1:9" x14ac:dyDescent="0.25">
      <c r="A21355">
        <v>39298</v>
      </c>
      <c r="B21355" t="s">
        <v>24858</v>
      </c>
      <c r="C21355" t="s">
        <v>2537</v>
      </c>
      <c r="D21355" s="254">
        <v>17.440000000000001</v>
      </c>
      <c r="E21355"/>
      <c r="F21355"/>
      <c r="G21355"/>
      <c r="H21355"/>
      <c r="I21355" s="489"/>
    </row>
    <row r="21356" spans="1:9" x14ac:dyDescent="0.25">
      <c r="A21356">
        <v>39299</v>
      </c>
      <c r="B21356" t="s">
        <v>24859</v>
      </c>
      <c r="C21356" t="s">
        <v>2537</v>
      </c>
      <c r="D21356" s="254">
        <v>29.68</v>
      </c>
      <c r="E21356"/>
      <c r="F21356"/>
      <c r="G21356"/>
      <c r="H21356"/>
      <c r="I21356" s="489"/>
    </row>
    <row r="21357" spans="1:9" x14ac:dyDescent="0.25">
      <c r="A21357">
        <v>9892</v>
      </c>
      <c r="B21357" t="s">
        <v>24860</v>
      </c>
      <c r="C21357" t="s">
        <v>2537</v>
      </c>
      <c r="D21357" s="254">
        <v>7.99</v>
      </c>
      <c r="E21357"/>
      <c r="F21357"/>
      <c r="G21357"/>
      <c r="H21357"/>
      <c r="I21357" s="489"/>
    </row>
    <row r="21358" spans="1:9" x14ac:dyDescent="0.25">
      <c r="A21358">
        <v>9893</v>
      </c>
      <c r="B21358" t="s">
        <v>24861</v>
      </c>
      <c r="C21358" t="s">
        <v>2537</v>
      </c>
      <c r="D21358" s="254">
        <v>108.46</v>
      </c>
      <c r="E21358"/>
      <c r="F21358"/>
      <c r="G21358"/>
      <c r="H21358"/>
      <c r="I21358" s="489"/>
    </row>
    <row r="21359" spans="1:9" x14ac:dyDescent="0.25">
      <c r="A21359">
        <v>9901</v>
      </c>
      <c r="B21359" t="s">
        <v>24862</v>
      </c>
      <c r="C21359" t="s">
        <v>2537</v>
      </c>
      <c r="D21359" s="254">
        <v>48.13</v>
      </c>
      <c r="E21359"/>
      <c r="F21359"/>
      <c r="G21359"/>
      <c r="H21359"/>
      <c r="I21359" s="489"/>
    </row>
    <row r="21360" spans="1:9" x14ac:dyDescent="0.25">
      <c r="A21360">
        <v>9896</v>
      </c>
      <c r="B21360" t="s">
        <v>24863</v>
      </c>
      <c r="C21360" t="s">
        <v>2537</v>
      </c>
      <c r="D21360" s="254">
        <v>43.38</v>
      </c>
      <c r="E21360"/>
      <c r="F21360"/>
      <c r="G21360"/>
      <c r="H21360"/>
      <c r="I21360" s="489"/>
    </row>
    <row r="21361" spans="1:9" x14ac:dyDescent="0.25">
      <c r="A21361">
        <v>9900</v>
      </c>
      <c r="B21361" t="s">
        <v>24864</v>
      </c>
      <c r="C21361" t="s">
        <v>2537</v>
      </c>
      <c r="D21361" s="254">
        <v>26.32</v>
      </c>
      <c r="E21361"/>
      <c r="F21361"/>
      <c r="G21361"/>
      <c r="H21361"/>
      <c r="I21361" s="489"/>
    </row>
    <row r="21362" spans="1:9" x14ac:dyDescent="0.25">
      <c r="A21362">
        <v>9898</v>
      </c>
      <c r="B21362" t="s">
        <v>24865</v>
      </c>
      <c r="C21362" t="s">
        <v>2537</v>
      </c>
      <c r="D21362" s="254">
        <v>223.01</v>
      </c>
      <c r="E21362"/>
      <c r="F21362"/>
      <c r="G21362"/>
      <c r="H21362"/>
      <c r="I21362" s="489"/>
    </row>
    <row r="21363" spans="1:9" x14ac:dyDescent="0.25">
      <c r="A21363">
        <v>9899</v>
      </c>
      <c r="B21363" t="s">
        <v>24866</v>
      </c>
      <c r="C21363" t="s">
        <v>2537</v>
      </c>
      <c r="D21363" s="254">
        <v>14.37</v>
      </c>
      <c r="E21363"/>
      <c r="F21363"/>
      <c r="G21363"/>
      <c r="H21363"/>
      <c r="I21363" s="489"/>
    </row>
    <row r="21364" spans="1:9" x14ac:dyDescent="0.25">
      <c r="A21364">
        <v>9902</v>
      </c>
      <c r="B21364" t="s">
        <v>24867</v>
      </c>
      <c r="C21364" t="s">
        <v>2537</v>
      </c>
      <c r="D21364" s="254">
        <v>282.41000000000003</v>
      </c>
      <c r="E21364"/>
      <c r="F21364"/>
      <c r="G21364"/>
      <c r="H21364"/>
      <c r="I21364" s="489"/>
    </row>
    <row r="21365" spans="1:9" x14ac:dyDescent="0.25">
      <c r="A21365">
        <v>9908</v>
      </c>
      <c r="B21365" t="s">
        <v>24868</v>
      </c>
      <c r="C21365" t="s">
        <v>2537</v>
      </c>
      <c r="D21365" s="254">
        <v>563.09</v>
      </c>
      <c r="E21365"/>
      <c r="F21365"/>
      <c r="G21365"/>
      <c r="H21365"/>
      <c r="I21365" s="489"/>
    </row>
    <row r="21366" spans="1:9" x14ac:dyDescent="0.25">
      <c r="A21366">
        <v>9905</v>
      </c>
      <c r="B21366" t="s">
        <v>24869</v>
      </c>
      <c r="C21366" t="s">
        <v>2537</v>
      </c>
      <c r="D21366" s="254">
        <v>9.41</v>
      </c>
      <c r="E21366"/>
      <c r="F21366"/>
      <c r="G21366"/>
      <c r="H21366"/>
      <c r="I21366" s="489"/>
    </row>
    <row r="21367" spans="1:9" x14ac:dyDescent="0.25">
      <c r="A21367">
        <v>9906</v>
      </c>
      <c r="B21367" t="s">
        <v>24870</v>
      </c>
      <c r="C21367" t="s">
        <v>2537</v>
      </c>
      <c r="D21367" s="254">
        <v>11.27</v>
      </c>
      <c r="E21367"/>
      <c r="F21367"/>
      <c r="G21367"/>
      <c r="H21367"/>
      <c r="I21367" s="489"/>
    </row>
    <row r="21368" spans="1:9" x14ac:dyDescent="0.25">
      <c r="A21368">
        <v>9895</v>
      </c>
      <c r="B21368" t="s">
        <v>24871</v>
      </c>
      <c r="C21368" t="s">
        <v>2537</v>
      </c>
      <c r="D21368" s="254">
        <v>18.489999999999998</v>
      </c>
      <c r="E21368"/>
      <c r="F21368"/>
      <c r="G21368"/>
      <c r="H21368"/>
      <c r="I21368" s="489"/>
    </row>
    <row r="21369" spans="1:9" x14ac:dyDescent="0.25">
      <c r="A21369">
        <v>9894</v>
      </c>
      <c r="B21369" t="s">
        <v>24872</v>
      </c>
      <c r="C21369" t="s">
        <v>2537</v>
      </c>
      <c r="D21369" s="254">
        <v>36.03</v>
      </c>
      <c r="E21369"/>
      <c r="F21369"/>
      <c r="G21369"/>
      <c r="H21369"/>
      <c r="I21369" s="489"/>
    </row>
    <row r="21370" spans="1:9" x14ac:dyDescent="0.25">
      <c r="A21370">
        <v>9897</v>
      </c>
      <c r="B21370" t="s">
        <v>24873</v>
      </c>
      <c r="C21370" t="s">
        <v>2537</v>
      </c>
      <c r="D21370" s="254">
        <v>39.01</v>
      </c>
      <c r="E21370"/>
      <c r="F21370"/>
      <c r="G21370"/>
      <c r="H21370"/>
      <c r="I21370" s="489"/>
    </row>
    <row r="21371" spans="1:9" x14ac:dyDescent="0.25">
      <c r="A21371">
        <v>9910</v>
      </c>
      <c r="B21371" t="s">
        <v>24874</v>
      </c>
      <c r="C21371" t="s">
        <v>2537</v>
      </c>
      <c r="D21371" s="254">
        <v>98.2</v>
      </c>
      <c r="E21371"/>
      <c r="F21371"/>
      <c r="G21371"/>
      <c r="H21371"/>
      <c r="I21371" s="489"/>
    </row>
    <row r="21372" spans="1:9" x14ac:dyDescent="0.25">
      <c r="A21372">
        <v>9909</v>
      </c>
      <c r="B21372" t="s">
        <v>24875</v>
      </c>
      <c r="C21372" t="s">
        <v>2537</v>
      </c>
      <c r="D21372" s="254">
        <v>198.16</v>
      </c>
      <c r="E21372"/>
      <c r="F21372"/>
      <c r="G21372"/>
      <c r="H21372"/>
      <c r="I21372" s="489"/>
    </row>
    <row r="21373" spans="1:9" x14ac:dyDescent="0.25">
      <c r="A21373">
        <v>9907</v>
      </c>
      <c r="B21373" t="s">
        <v>24876</v>
      </c>
      <c r="C21373" t="s">
        <v>2537</v>
      </c>
      <c r="D21373" s="254">
        <v>304.68</v>
      </c>
      <c r="E21373"/>
      <c r="F21373"/>
      <c r="G21373"/>
      <c r="H21373"/>
      <c r="I21373" s="489"/>
    </row>
    <row r="21374" spans="1:9" x14ac:dyDescent="0.25">
      <c r="A21374">
        <v>20973</v>
      </c>
      <c r="B21374" t="s">
        <v>24877</v>
      </c>
      <c r="C21374" t="s">
        <v>2537</v>
      </c>
      <c r="D21374" s="254">
        <v>67.33</v>
      </c>
      <c r="E21374"/>
      <c r="F21374"/>
      <c r="G21374"/>
      <c r="H21374"/>
      <c r="I21374" s="489"/>
    </row>
    <row r="21375" spans="1:9" x14ac:dyDescent="0.25">
      <c r="A21375">
        <v>20974</v>
      </c>
      <c r="B21375" t="s">
        <v>24878</v>
      </c>
      <c r="C21375" t="s">
        <v>2537</v>
      </c>
      <c r="D21375" s="254">
        <v>96.33</v>
      </c>
      <c r="E21375"/>
      <c r="F21375"/>
      <c r="G21375"/>
      <c r="H21375"/>
      <c r="I21375" s="489"/>
    </row>
    <row r="21376" spans="1:9" x14ac:dyDescent="0.25">
      <c r="A21376">
        <v>37989</v>
      </c>
      <c r="B21376" t="s">
        <v>24879</v>
      </c>
      <c r="C21376" t="s">
        <v>2537</v>
      </c>
      <c r="D21376" s="254">
        <v>9.91</v>
      </c>
      <c r="E21376"/>
      <c r="F21376"/>
      <c r="G21376"/>
      <c r="H21376"/>
      <c r="I21376" s="489"/>
    </row>
    <row r="21377" spans="1:9" x14ac:dyDescent="0.25">
      <c r="A21377">
        <v>37990</v>
      </c>
      <c r="B21377" t="s">
        <v>24880</v>
      </c>
      <c r="C21377" t="s">
        <v>2537</v>
      </c>
      <c r="D21377" s="254">
        <v>11.51</v>
      </c>
      <c r="E21377"/>
      <c r="F21377"/>
      <c r="G21377"/>
      <c r="H21377"/>
      <c r="I21377" s="489"/>
    </row>
    <row r="21378" spans="1:9" x14ac:dyDescent="0.25">
      <c r="A21378">
        <v>37991</v>
      </c>
      <c r="B21378" t="s">
        <v>24881</v>
      </c>
      <c r="C21378" t="s">
        <v>2537</v>
      </c>
      <c r="D21378" s="254">
        <v>18.22</v>
      </c>
      <c r="E21378"/>
      <c r="F21378"/>
      <c r="G21378"/>
      <c r="H21378"/>
      <c r="I21378" s="489"/>
    </row>
    <row r="21379" spans="1:9" x14ac:dyDescent="0.25">
      <c r="A21379">
        <v>37992</v>
      </c>
      <c r="B21379" t="s">
        <v>24882</v>
      </c>
      <c r="C21379" t="s">
        <v>2537</v>
      </c>
      <c r="D21379" s="254">
        <v>27.82</v>
      </c>
      <c r="E21379"/>
      <c r="F21379"/>
      <c r="G21379"/>
      <c r="H21379"/>
      <c r="I21379" s="489"/>
    </row>
    <row r="21380" spans="1:9" x14ac:dyDescent="0.25">
      <c r="A21380">
        <v>37993</v>
      </c>
      <c r="B21380" t="s">
        <v>24883</v>
      </c>
      <c r="C21380" t="s">
        <v>2537</v>
      </c>
      <c r="D21380" s="254">
        <v>41.3</v>
      </c>
      <c r="E21380"/>
      <c r="F21380"/>
      <c r="G21380"/>
      <c r="H21380"/>
      <c r="I21380" s="489"/>
    </row>
    <row r="21381" spans="1:9" x14ac:dyDescent="0.25">
      <c r="A21381">
        <v>37994</v>
      </c>
      <c r="B21381" t="s">
        <v>24884</v>
      </c>
      <c r="C21381" t="s">
        <v>2537</v>
      </c>
      <c r="D21381" s="254">
        <v>99.24</v>
      </c>
      <c r="E21381"/>
      <c r="F21381"/>
      <c r="G21381"/>
      <c r="H21381"/>
      <c r="I21381" s="489"/>
    </row>
    <row r="21382" spans="1:9" x14ac:dyDescent="0.25">
      <c r="A21382">
        <v>37995</v>
      </c>
      <c r="B21382" t="s">
        <v>24885</v>
      </c>
      <c r="C21382" t="s">
        <v>2537</v>
      </c>
      <c r="D21382" s="254">
        <v>144.04</v>
      </c>
      <c r="E21382"/>
      <c r="F21382"/>
      <c r="G21382"/>
      <c r="H21382"/>
      <c r="I21382" s="489"/>
    </row>
    <row r="21383" spans="1:9" x14ac:dyDescent="0.25">
      <c r="A21383">
        <v>37996</v>
      </c>
      <c r="B21383" t="s">
        <v>24886</v>
      </c>
      <c r="C21383" t="s">
        <v>2537</v>
      </c>
      <c r="D21383" s="254">
        <v>212.38</v>
      </c>
      <c r="E21383"/>
      <c r="F21383"/>
      <c r="G21383"/>
      <c r="H21383"/>
      <c r="I21383" s="489"/>
    </row>
    <row r="21384" spans="1:9" x14ac:dyDescent="0.25">
      <c r="A21384">
        <v>13883</v>
      </c>
      <c r="B21384" t="s">
        <v>24887</v>
      </c>
      <c r="C21384" t="s">
        <v>2537</v>
      </c>
      <c r="D21384" s="254">
        <v>136384.34</v>
      </c>
      <c r="E21384"/>
      <c r="F21384"/>
      <c r="G21384"/>
      <c r="H21384"/>
      <c r="I21384" s="489"/>
    </row>
    <row r="21385" spans="1:9" x14ac:dyDescent="0.25">
      <c r="A21385">
        <v>38604</v>
      </c>
      <c r="B21385" t="s">
        <v>24888</v>
      </c>
      <c r="C21385" t="s">
        <v>2537</v>
      </c>
      <c r="D21385" s="254">
        <v>169864.89</v>
      </c>
      <c r="E21385"/>
      <c r="F21385"/>
      <c r="G21385"/>
      <c r="H21385"/>
      <c r="I21385" s="489"/>
    </row>
    <row r="21386" spans="1:9" x14ac:dyDescent="0.25">
      <c r="A21386">
        <v>10601</v>
      </c>
      <c r="B21386" t="s">
        <v>24889</v>
      </c>
      <c r="C21386" t="s">
        <v>2537</v>
      </c>
      <c r="D21386" s="254">
        <v>3304210.92</v>
      </c>
      <c r="E21386"/>
      <c r="F21386"/>
      <c r="G21386"/>
      <c r="H21386"/>
      <c r="I21386" s="489"/>
    </row>
    <row r="21387" spans="1:9" x14ac:dyDescent="0.25">
      <c r="A21387">
        <v>44469</v>
      </c>
      <c r="B21387" t="s">
        <v>24890</v>
      </c>
      <c r="C21387" t="s">
        <v>2537</v>
      </c>
      <c r="D21387" s="254">
        <v>8699870.7599999998</v>
      </c>
      <c r="E21387"/>
      <c r="F21387"/>
      <c r="G21387"/>
      <c r="H21387"/>
      <c r="I21387" s="489"/>
    </row>
    <row r="21388" spans="1:9" x14ac:dyDescent="0.25">
      <c r="A21388">
        <v>13894</v>
      </c>
      <c r="B21388" t="s">
        <v>24891</v>
      </c>
      <c r="C21388" t="s">
        <v>2537</v>
      </c>
      <c r="D21388" s="254">
        <v>392649.25</v>
      </c>
      <c r="E21388"/>
      <c r="F21388"/>
      <c r="G21388"/>
      <c r="H21388"/>
      <c r="I21388" s="489"/>
    </row>
    <row r="21389" spans="1:9" x14ac:dyDescent="0.25">
      <c r="A21389">
        <v>13895</v>
      </c>
      <c r="B21389" t="s">
        <v>24892</v>
      </c>
      <c r="C21389" t="s">
        <v>2537</v>
      </c>
      <c r="D21389" s="254">
        <v>527982.35</v>
      </c>
      <c r="E21389"/>
      <c r="F21389"/>
      <c r="G21389"/>
      <c r="H21389"/>
      <c r="I21389" s="489"/>
    </row>
    <row r="21390" spans="1:9" x14ac:dyDescent="0.25">
      <c r="A21390">
        <v>13892</v>
      </c>
      <c r="B21390" t="s">
        <v>24893</v>
      </c>
      <c r="C21390" t="s">
        <v>2537</v>
      </c>
      <c r="D21390" s="254">
        <v>647029.46</v>
      </c>
      <c r="E21390"/>
      <c r="F21390"/>
      <c r="G21390"/>
      <c r="H21390"/>
      <c r="I21390" s="489"/>
    </row>
    <row r="21391" spans="1:9" x14ac:dyDescent="0.25">
      <c r="A21391">
        <v>9914</v>
      </c>
      <c r="B21391" t="s">
        <v>24894</v>
      </c>
      <c r="C21391" t="s">
        <v>2537</v>
      </c>
      <c r="D21391" s="254">
        <v>700000</v>
      </c>
      <c r="E21391"/>
      <c r="F21391"/>
      <c r="G21391"/>
      <c r="H21391"/>
      <c r="I21391" s="489"/>
    </row>
    <row r="21392" spans="1:9" x14ac:dyDescent="0.25">
      <c r="A21392">
        <v>36485</v>
      </c>
      <c r="B21392" t="s">
        <v>24895</v>
      </c>
      <c r="C21392" t="s">
        <v>2537</v>
      </c>
      <c r="D21392" s="254">
        <v>691147.12</v>
      </c>
      <c r="E21392"/>
      <c r="F21392"/>
      <c r="G21392"/>
      <c r="H21392"/>
      <c r="I21392" s="489"/>
    </row>
    <row r="21393" spans="1:9" x14ac:dyDescent="0.25">
      <c r="A21393">
        <v>9912</v>
      </c>
      <c r="B21393" t="s">
        <v>24896</v>
      </c>
      <c r="C21393" t="s">
        <v>2537</v>
      </c>
      <c r="D21393" s="254">
        <v>2690000</v>
      </c>
      <c r="E21393"/>
      <c r="F21393"/>
      <c r="G21393"/>
      <c r="H21393"/>
      <c r="I21393" s="489"/>
    </row>
    <row r="21394" spans="1:9" x14ac:dyDescent="0.25">
      <c r="A21394">
        <v>9921</v>
      </c>
      <c r="B21394" t="s">
        <v>24897</v>
      </c>
      <c r="C21394" t="s">
        <v>2537</v>
      </c>
      <c r="D21394" s="254">
        <v>1387629.23</v>
      </c>
      <c r="E21394"/>
      <c r="F21394"/>
      <c r="G21394"/>
      <c r="H21394"/>
      <c r="I21394" s="489"/>
    </row>
    <row r="21395" spans="1:9" x14ac:dyDescent="0.25">
      <c r="A21395">
        <v>21112</v>
      </c>
      <c r="B21395" t="s">
        <v>24898</v>
      </c>
      <c r="C21395" t="s">
        <v>2537</v>
      </c>
      <c r="D21395" s="254">
        <v>190.19</v>
      </c>
      <c r="E21395"/>
      <c r="F21395"/>
      <c r="G21395"/>
      <c r="H21395"/>
      <c r="I21395" s="489"/>
    </row>
    <row r="21396" spans="1:9" x14ac:dyDescent="0.25">
      <c r="A21396">
        <v>10228</v>
      </c>
      <c r="B21396" t="s">
        <v>24899</v>
      </c>
      <c r="C21396" t="s">
        <v>2537</v>
      </c>
      <c r="D21396" s="254">
        <v>220.95</v>
      </c>
      <c r="E21396"/>
      <c r="F21396"/>
      <c r="G21396"/>
      <c r="H21396"/>
      <c r="I21396" s="489"/>
    </row>
    <row r="21397" spans="1:9" x14ac:dyDescent="0.25">
      <c r="A21397">
        <v>11781</v>
      </c>
      <c r="B21397" t="s">
        <v>24900</v>
      </c>
      <c r="C21397" t="s">
        <v>2537</v>
      </c>
      <c r="D21397" s="254">
        <v>178.99</v>
      </c>
      <c r="E21397"/>
      <c r="F21397"/>
      <c r="G21397"/>
      <c r="H21397"/>
      <c r="I21397" s="489"/>
    </row>
    <row r="21398" spans="1:9" x14ac:dyDescent="0.25">
      <c r="A21398">
        <v>37588</v>
      </c>
      <c r="B21398" t="s">
        <v>24901</v>
      </c>
      <c r="C21398" t="s">
        <v>2537</v>
      </c>
      <c r="D21398" s="254">
        <v>68.650000000000006</v>
      </c>
      <c r="E21398"/>
      <c r="F21398"/>
      <c r="G21398"/>
      <c r="H21398"/>
      <c r="I21398" s="489"/>
    </row>
    <row r="21399" spans="1:9" x14ac:dyDescent="0.25">
      <c r="A21399">
        <v>11746</v>
      </c>
      <c r="B21399" t="s">
        <v>24902</v>
      </c>
      <c r="C21399" t="s">
        <v>2537</v>
      </c>
      <c r="D21399" s="254">
        <v>64.790000000000006</v>
      </c>
      <c r="E21399"/>
      <c r="F21399"/>
      <c r="G21399"/>
      <c r="H21399"/>
      <c r="I21399" s="489"/>
    </row>
    <row r="21400" spans="1:9" x14ac:dyDescent="0.25">
      <c r="A21400">
        <v>11751</v>
      </c>
      <c r="B21400" t="s">
        <v>24903</v>
      </c>
      <c r="C21400" t="s">
        <v>2537</v>
      </c>
      <c r="D21400" s="254">
        <v>116.37</v>
      </c>
      <c r="E21400"/>
      <c r="F21400"/>
      <c r="G21400"/>
      <c r="H21400"/>
      <c r="I21400" s="489"/>
    </row>
    <row r="21401" spans="1:9" x14ac:dyDescent="0.25">
      <c r="A21401">
        <v>11750</v>
      </c>
      <c r="B21401" t="s">
        <v>24904</v>
      </c>
      <c r="C21401" t="s">
        <v>2537</v>
      </c>
      <c r="D21401" s="254">
        <v>96.58</v>
      </c>
      <c r="E21401"/>
      <c r="F21401"/>
      <c r="G21401"/>
      <c r="H21401"/>
      <c r="I21401" s="489"/>
    </row>
    <row r="21402" spans="1:9" x14ac:dyDescent="0.25">
      <c r="A21402">
        <v>11748</v>
      </c>
      <c r="B21402" t="s">
        <v>24905</v>
      </c>
      <c r="C21402" t="s">
        <v>2537</v>
      </c>
      <c r="D21402" s="254">
        <v>41.58</v>
      </c>
      <c r="E21402"/>
      <c r="F21402"/>
      <c r="G21402"/>
      <c r="H21402"/>
      <c r="I21402" s="489"/>
    </row>
    <row r="21403" spans="1:9" x14ac:dyDescent="0.25">
      <c r="A21403">
        <v>11747</v>
      </c>
      <c r="B21403" t="s">
        <v>24906</v>
      </c>
      <c r="C21403" t="s">
        <v>2537</v>
      </c>
      <c r="D21403" s="254">
        <v>179.45</v>
      </c>
      <c r="E21403"/>
      <c r="F21403"/>
      <c r="G21403"/>
      <c r="H21403"/>
      <c r="I21403" s="489"/>
    </row>
    <row r="21404" spans="1:9" x14ac:dyDescent="0.25">
      <c r="A21404">
        <v>11749</v>
      </c>
      <c r="B21404" t="s">
        <v>24907</v>
      </c>
      <c r="C21404" t="s">
        <v>2537</v>
      </c>
      <c r="D21404" s="254">
        <v>47.99</v>
      </c>
      <c r="E21404"/>
      <c r="F21404"/>
      <c r="G21404"/>
      <c r="H21404"/>
      <c r="I21404" s="489"/>
    </row>
    <row r="21405" spans="1:9" x14ac:dyDescent="0.25">
      <c r="A21405">
        <v>10236</v>
      </c>
      <c r="B21405" t="s">
        <v>24908</v>
      </c>
      <c r="C21405" t="s">
        <v>2537</v>
      </c>
      <c r="D21405" s="254">
        <v>132.34</v>
      </c>
      <c r="E21405"/>
      <c r="F21405"/>
      <c r="G21405"/>
      <c r="H21405"/>
      <c r="I21405" s="489"/>
    </row>
    <row r="21406" spans="1:9" x14ac:dyDescent="0.25">
      <c r="A21406">
        <v>10233</v>
      </c>
      <c r="B21406" t="s">
        <v>24909</v>
      </c>
      <c r="C21406" t="s">
        <v>2537</v>
      </c>
      <c r="D21406" s="254">
        <v>124.01</v>
      </c>
      <c r="E21406"/>
      <c r="F21406"/>
      <c r="G21406"/>
      <c r="H21406"/>
      <c r="I21406" s="489"/>
    </row>
    <row r="21407" spans="1:9" x14ac:dyDescent="0.25">
      <c r="A21407">
        <v>10234</v>
      </c>
      <c r="B21407" t="s">
        <v>24910</v>
      </c>
      <c r="C21407" t="s">
        <v>2537</v>
      </c>
      <c r="D21407" s="254">
        <v>78.12</v>
      </c>
      <c r="E21407"/>
      <c r="F21407"/>
      <c r="G21407"/>
      <c r="H21407"/>
      <c r="I21407" s="489"/>
    </row>
    <row r="21408" spans="1:9" x14ac:dyDescent="0.25">
      <c r="A21408">
        <v>10231</v>
      </c>
      <c r="B21408" t="s">
        <v>24911</v>
      </c>
      <c r="C21408" t="s">
        <v>2537</v>
      </c>
      <c r="D21408" s="254">
        <v>358.24</v>
      </c>
      <c r="E21408"/>
      <c r="F21408"/>
      <c r="G21408"/>
      <c r="H21408"/>
      <c r="I21408" s="489"/>
    </row>
    <row r="21409" spans="1:9" x14ac:dyDescent="0.25">
      <c r="A21409">
        <v>10232</v>
      </c>
      <c r="B21409" t="s">
        <v>24912</v>
      </c>
      <c r="C21409" t="s">
        <v>2537</v>
      </c>
      <c r="D21409" s="254">
        <v>200.46</v>
      </c>
      <c r="E21409"/>
      <c r="F21409"/>
      <c r="G21409"/>
      <c r="H21409"/>
      <c r="I21409" s="489"/>
    </row>
    <row r="21410" spans="1:9" x14ac:dyDescent="0.25">
      <c r="A21410">
        <v>10229</v>
      </c>
      <c r="B21410" t="s">
        <v>24913</v>
      </c>
      <c r="C21410" t="s">
        <v>2537</v>
      </c>
      <c r="D21410" s="254">
        <v>70.650000000000006</v>
      </c>
      <c r="E21410"/>
      <c r="F21410"/>
      <c r="G21410"/>
      <c r="H21410"/>
      <c r="I21410" s="489"/>
    </row>
    <row r="21411" spans="1:9" x14ac:dyDescent="0.25">
      <c r="A21411">
        <v>10235</v>
      </c>
      <c r="B21411" t="s">
        <v>24914</v>
      </c>
      <c r="C21411" t="s">
        <v>2537</v>
      </c>
      <c r="D21411" s="254">
        <v>491.1</v>
      </c>
      <c r="E21411"/>
      <c r="F21411"/>
      <c r="G21411"/>
      <c r="H21411"/>
      <c r="I21411" s="489"/>
    </row>
    <row r="21412" spans="1:9" x14ac:dyDescent="0.25">
      <c r="A21412">
        <v>10230</v>
      </c>
      <c r="B21412" t="s">
        <v>24915</v>
      </c>
      <c r="C21412" t="s">
        <v>2537</v>
      </c>
      <c r="D21412" s="254">
        <v>864.29</v>
      </c>
      <c r="E21412"/>
      <c r="F21412"/>
      <c r="G21412"/>
      <c r="H21412"/>
      <c r="I21412" s="489"/>
    </row>
    <row r="21413" spans="1:9" x14ac:dyDescent="0.25">
      <c r="A21413">
        <v>10409</v>
      </c>
      <c r="B21413" t="s">
        <v>24916</v>
      </c>
      <c r="C21413" t="s">
        <v>2537</v>
      </c>
      <c r="D21413" s="254">
        <v>256.77</v>
      </c>
      <c r="E21413"/>
      <c r="F21413"/>
      <c r="G21413"/>
      <c r="H21413"/>
      <c r="I21413" s="489"/>
    </row>
    <row r="21414" spans="1:9" x14ac:dyDescent="0.25">
      <c r="A21414">
        <v>10411</v>
      </c>
      <c r="B21414" t="s">
        <v>24917</v>
      </c>
      <c r="C21414" t="s">
        <v>2537</v>
      </c>
      <c r="D21414" s="254">
        <v>229.76</v>
      </c>
      <c r="E21414"/>
      <c r="F21414"/>
      <c r="G21414"/>
      <c r="H21414"/>
      <c r="I21414" s="489"/>
    </row>
    <row r="21415" spans="1:9" x14ac:dyDescent="0.25">
      <c r="A21415">
        <v>10404</v>
      </c>
      <c r="B21415" t="s">
        <v>24918</v>
      </c>
      <c r="C21415" t="s">
        <v>2537</v>
      </c>
      <c r="D21415" s="254">
        <v>93.18</v>
      </c>
      <c r="E21415"/>
      <c r="F21415"/>
      <c r="G21415"/>
      <c r="H21415"/>
      <c r="I21415" s="489"/>
    </row>
    <row r="21416" spans="1:9" x14ac:dyDescent="0.25">
      <c r="A21416">
        <v>10410</v>
      </c>
      <c r="B21416" t="s">
        <v>24919</v>
      </c>
      <c r="C21416" t="s">
        <v>2537</v>
      </c>
      <c r="D21416" s="254">
        <v>153.47999999999999</v>
      </c>
      <c r="E21416"/>
      <c r="F21416"/>
      <c r="G21416"/>
      <c r="H21416"/>
      <c r="I21416" s="489"/>
    </row>
    <row r="21417" spans="1:9" x14ac:dyDescent="0.25">
      <c r="A21417">
        <v>10405</v>
      </c>
      <c r="B21417" t="s">
        <v>24920</v>
      </c>
      <c r="C21417" t="s">
        <v>2537</v>
      </c>
      <c r="D21417" s="254">
        <v>514.44000000000005</v>
      </c>
      <c r="E21417"/>
      <c r="F21417"/>
      <c r="G21417"/>
      <c r="H21417"/>
      <c r="I21417" s="489"/>
    </row>
    <row r="21418" spans="1:9" x14ac:dyDescent="0.25">
      <c r="A21418">
        <v>10408</v>
      </c>
      <c r="B21418" t="s">
        <v>24921</v>
      </c>
      <c r="C21418" t="s">
        <v>2537</v>
      </c>
      <c r="D21418" s="254">
        <v>359.74</v>
      </c>
      <c r="E21418"/>
      <c r="F21418"/>
      <c r="G21418"/>
      <c r="H21418"/>
      <c r="I21418" s="489"/>
    </row>
    <row r="21419" spans="1:9" x14ac:dyDescent="0.25">
      <c r="A21419">
        <v>10412</v>
      </c>
      <c r="B21419" t="s">
        <v>24922</v>
      </c>
      <c r="C21419" t="s">
        <v>2537</v>
      </c>
      <c r="D21419" s="254">
        <v>112.92</v>
      </c>
      <c r="E21419"/>
      <c r="F21419"/>
      <c r="G21419"/>
      <c r="H21419"/>
      <c r="I21419" s="489"/>
    </row>
    <row r="21420" spans="1:9" x14ac:dyDescent="0.25">
      <c r="A21420">
        <v>10406</v>
      </c>
      <c r="B21420" t="s">
        <v>24923</v>
      </c>
      <c r="C21420" t="s">
        <v>2537</v>
      </c>
      <c r="D21420" s="254">
        <v>710.55</v>
      </c>
      <c r="E21420"/>
      <c r="F21420"/>
      <c r="G21420"/>
      <c r="H21420"/>
      <c r="I21420" s="489"/>
    </row>
    <row r="21421" spans="1:9" x14ac:dyDescent="0.25">
      <c r="A21421">
        <v>10407</v>
      </c>
      <c r="B21421" t="s">
        <v>24924</v>
      </c>
      <c r="C21421" t="s">
        <v>2537</v>
      </c>
      <c r="D21421" s="254">
        <v>1102.07</v>
      </c>
      <c r="E21421"/>
      <c r="F21421"/>
      <c r="G21421"/>
      <c r="H21421"/>
      <c r="I21421" s="489"/>
    </row>
    <row r="21422" spans="1:9" x14ac:dyDescent="0.25">
      <c r="A21422">
        <v>10416</v>
      </c>
      <c r="B21422" t="s">
        <v>24925</v>
      </c>
      <c r="C21422" t="s">
        <v>2537</v>
      </c>
      <c r="D21422" s="254">
        <v>136.69999999999999</v>
      </c>
      <c r="E21422"/>
      <c r="F21422"/>
      <c r="G21422"/>
      <c r="H21422"/>
      <c r="I21422" s="489"/>
    </row>
    <row r="21423" spans="1:9" x14ac:dyDescent="0.25">
      <c r="A21423">
        <v>10419</v>
      </c>
      <c r="B21423" t="s">
        <v>24926</v>
      </c>
      <c r="C21423" t="s">
        <v>2537</v>
      </c>
      <c r="D21423" s="254">
        <v>118.65</v>
      </c>
      <c r="E21423"/>
      <c r="F21423"/>
      <c r="G21423"/>
      <c r="H21423"/>
      <c r="I21423" s="489"/>
    </row>
    <row r="21424" spans="1:9" x14ac:dyDescent="0.25">
      <c r="A21424">
        <v>21092</v>
      </c>
      <c r="B21424" t="s">
        <v>24927</v>
      </c>
      <c r="C21424" t="s">
        <v>2537</v>
      </c>
      <c r="D21424" s="254">
        <v>67.83</v>
      </c>
      <c r="E21424"/>
      <c r="F21424"/>
      <c r="G21424"/>
      <c r="H21424"/>
      <c r="I21424" s="489"/>
    </row>
    <row r="21425" spans="1:9" x14ac:dyDescent="0.25">
      <c r="A21425">
        <v>10418</v>
      </c>
      <c r="B21425" t="s">
        <v>24928</v>
      </c>
      <c r="C21425" t="s">
        <v>2537</v>
      </c>
      <c r="D21425" s="254">
        <v>79.09</v>
      </c>
      <c r="E21425"/>
      <c r="F21425"/>
      <c r="G21425"/>
      <c r="H21425"/>
      <c r="I21425" s="489"/>
    </row>
    <row r="21426" spans="1:9" x14ac:dyDescent="0.25">
      <c r="A21426">
        <v>12657</v>
      </c>
      <c r="B21426" t="s">
        <v>24929</v>
      </c>
      <c r="C21426" t="s">
        <v>2537</v>
      </c>
      <c r="D21426" s="254">
        <v>319.16000000000003</v>
      </c>
      <c r="E21426"/>
      <c r="F21426"/>
      <c r="G21426"/>
      <c r="H21426"/>
      <c r="I21426" s="489"/>
    </row>
    <row r="21427" spans="1:9" x14ac:dyDescent="0.25">
      <c r="A21427">
        <v>10417</v>
      </c>
      <c r="B21427" t="s">
        <v>24930</v>
      </c>
      <c r="C21427" t="s">
        <v>2537</v>
      </c>
      <c r="D21427" s="254">
        <v>199.17</v>
      </c>
      <c r="E21427"/>
      <c r="F21427"/>
      <c r="G21427"/>
      <c r="H21427"/>
      <c r="I21427" s="489"/>
    </row>
    <row r="21428" spans="1:9" x14ac:dyDescent="0.25">
      <c r="A21428">
        <v>10413</v>
      </c>
      <c r="B21428" t="s">
        <v>24931</v>
      </c>
      <c r="C21428" t="s">
        <v>2537</v>
      </c>
      <c r="D21428" s="254">
        <v>72.39</v>
      </c>
      <c r="E21428"/>
      <c r="F21428"/>
      <c r="G21428"/>
      <c r="H21428"/>
      <c r="I21428" s="489"/>
    </row>
    <row r="21429" spans="1:9" x14ac:dyDescent="0.25">
      <c r="A21429">
        <v>10414</v>
      </c>
      <c r="B21429" t="s">
        <v>24932</v>
      </c>
      <c r="C21429" t="s">
        <v>2537</v>
      </c>
      <c r="D21429" s="254">
        <v>435.84</v>
      </c>
      <c r="E21429"/>
      <c r="F21429"/>
      <c r="G21429"/>
      <c r="H21429"/>
      <c r="I21429" s="489"/>
    </row>
    <row r="21430" spans="1:9" x14ac:dyDescent="0.25">
      <c r="A21430">
        <v>10415</v>
      </c>
      <c r="B21430" t="s">
        <v>24933</v>
      </c>
      <c r="C21430" t="s">
        <v>2537</v>
      </c>
      <c r="D21430" s="254">
        <v>756.42</v>
      </c>
      <c r="E21430"/>
      <c r="F21430"/>
      <c r="G21430"/>
      <c r="H21430"/>
      <c r="I21430" s="489"/>
    </row>
    <row r="21431" spans="1:9" x14ac:dyDescent="0.25">
      <c r="A21431">
        <v>38643</v>
      </c>
      <c r="B21431" t="s">
        <v>24934</v>
      </c>
      <c r="C21431" t="s">
        <v>2537</v>
      </c>
      <c r="D21431" s="254">
        <v>54.55</v>
      </c>
      <c r="E21431"/>
      <c r="F21431"/>
      <c r="G21431"/>
      <c r="H21431"/>
      <c r="I21431" s="489"/>
    </row>
    <row r="21432" spans="1:9" x14ac:dyDescent="0.25">
      <c r="A21432">
        <v>6157</v>
      </c>
      <c r="B21432" t="s">
        <v>24935</v>
      </c>
      <c r="C21432" t="s">
        <v>2537</v>
      </c>
      <c r="D21432" s="254">
        <v>74.53</v>
      </c>
      <c r="E21432"/>
      <c r="F21432"/>
      <c r="G21432"/>
      <c r="H21432"/>
      <c r="I21432" s="489"/>
    </row>
    <row r="21433" spans="1:9" x14ac:dyDescent="0.25">
      <c r="A21433">
        <v>6158</v>
      </c>
      <c r="B21433" t="s">
        <v>24936</v>
      </c>
      <c r="C21433" t="s">
        <v>2537</v>
      </c>
      <c r="D21433" s="254">
        <v>7.6</v>
      </c>
      <c r="E21433"/>
      <c r="F21433"/>
      <c r="G21433"/>
      <c r="H21433"/>
      <c r="I21433" s="489"/>
    </row>
    <row r="21434" spans="1:9" x14ac:dyDescent="0.25">
      <c r="A21434">
        <v>6153</v>
      </c>
      <c r="B21434" t="s">
        <v>24937</v>
      </c>
      <c r="C21434" t="s">
        <v>2537</v>
      </c>
      <c r="D21434" s="254">
        <v>5.23</v>
      </c>
      <c r="E21434"/>
      <c r="F21434"/>
      <c r="G21434"/>
      <c r="H21434"/>
      <c r="I21434" s="489"/>
    </row>
    <row r="21435" spans="1:9" x14ac:dyDescent="0.25">
      <c r="A21435">
        <v>6156</v>
      </c>
      <c r="B21435" t="s">
        <v>24938</v>
      </c>
      <c r="C21435" t="s">
        <v>2537</v>
      </c>
      <c r="D21435" s="254">
        <v>6.52</v>
      </c>
      <c r="E21435"/>
      <c r="F21435"/>
      <c r="G21435"/>
      <c r="H21435"/>
      <c r="I21435" s="489"/>
    </row>
    <row r="21436" spans="1:9" x14ac:dyDescent="0.25">
      <c r="A21436">
        <v>6154</v>
      </c>
      <c r="B21436" t="s">
        <v>24939</v>
      </c>
      <c r="C21436" t="s">
        <v>2537</v>
      </c>
      <c r="D21436" s="254">
        <v>9.3000000000000007</v>
      </c>
      <c r="E21436"/>
      <c r="F21436"/>
      <c r="G21436"/>
      <c r="H21436"/>
      <c r="I21436" s="489"/>
    </row>
    <row r="21437" spans="1:9" x14ac:dyDescent="0.25">
      <c r="A21437">
        <v>6155</v>
      </c>
      <c r="B21437" t="s">
        <v>24940</v>
      </c>
      <c r="C21437" t="s">
        <v>2537</v>
      </c>
      <c r="D21437" s="254">
        <v>21.41</v>
      </c>
      <c r="E21437"/>
      <c r="F21437"/>
      <c r="G21437"/>
      <c r="H21437"/>
      <c r="I21437" s="489"/>
    </row>
    <row r="21438" spans="1:9" x14ac:dyDescent="0.25">
      <c r="A21438">
        <v>43595</v>
      </c>
      <c r="B21438" t="s">
        <v>24941</v>
      </c>
      <c r="C21438" t="s">
        <v>2537</v>
      </c>
      <c r="D21438" s="254">
        <v>19.55</v>
      </c>
      <c r="E21438"/>
      <c r="F21438"/>
      <c r="G21438"/>
      <c r="H21438"/>
      <c r="I21438" s="489"/>
    </row>
    <row r="21439" spans="1:9" x14ac:dyDescent="0.25">
      <c r="A21439">
        <v>43596</v>
      </c>
      <c r="B21439" t="s">
        <v>24942</v>
      </c>
      <c r="C21439" t="s">
        <v>2537</v>
      </c>
      <c r="D21439" s="254">
        <v>22.59</v>
      </c>
      <c r="E21439"/>
      <c r="F21439"/>
      <c r="G21439"/>
      <c r="H21439"/>
      <c r="I21439" s="489"/>
    </row>
    <row r="21440" spans="1:9" x14ac:dyDescent="0.25">
      <c r="A21440">
        <v>38108</v>
      </c>
      <c r="B21440" t="s">
        <v>24943</v>
      </c>
      <c r="C21440" t="s">
        <v>2537</v>
      </c>
      <c r="D21440" s="254">
        <v>49.99</v>
      </c>
      <c r="E21440"/>
      <c r="F21440"/>
      <c r="G21440"/>
      <c r="H21440"/>
      <c r="I21440" s="489"/>
    </row>
    <row r="21441" spans="1:9" x14ac:dyDescent="0.25">
      <c r="A21441">
        <v>38087</v>
      </c>
      <c r="B21441" t="s">
        <v>24944</v>
      </c>
      <c r="C21441" t="s">
        <v>2537</v>
      </c>
      <c r="D21441" s="254">
        <v>64.3</v>
      </c>
      <c r="E21441"/>
      <c r="F21441"/>
      <c r="G21441"/>
      <c r="H21441"/>
      <c r="I21441" s="489"/>
    </row>
    <row r="21442" spans="1:9" x14ac:dyDescent="0.25">
      <c r="A21442">
        <v>38109</v>
      </c>
      <c r="B21442" t="s">
        <v>24945</v>
      </c>
      <c r="C21442" t="s">
        <v>2537</v>
      </c>
      <c r="D21442" s="254">
        <v>79.900000000000006</v>
      </c>
      <c r="E21442"/>
      <c r="F21442"/>
      <c r="G21442"/>
      <c r="H21442"/>
      <c r="I21442" s="489"/>
    </row>
    <row r="21443" spans="1:9" x14ac:dyDescent="0.25">
      <c r="A21443">
        <v>38088</v>
      </c>
      <c r="B21443" t="s">
        <v>24946</v>
      </c>
      <c r="C21443" t="s">
        <v>2537</v>
      </c>
      <c r="D21443" s="254">
        <v>84.02</v>
      </c>
      <c r="E21443"/>
      <c r="F21443"/>
      <c r="G21443"/>
      <c r="H21443"/>
      <c r="I21443" s="489"/>
    </row>
    <row r="21444" spans="1:9" x14ac:dyDescent="0.25">
      <c r="A21444">
        <v>38110</v>
      </c>
      <c r="B21444" t="s">
        <v>24947</v>
      </c>
      <c r="C21444" t="s">
        <v>2537</v>
      </c>
      <c r="D21444" s="254">
        <v>30.74</v>
      </c>
      <c r="E21444"/>
      <c r="F21444"/>
      <c r="G21444"/>
      <c r="H21444"/>
      <c r="I21444" s="489"/>
    </row>
    <row r="21445" spans="1:9" x14ac:dyDescent="0.25">
      <c r="A21445">
        <v>38089</v>
      </c>
      <c r="B21445" t="s">
        <v>24948</v>
      </c>
      <c r="C21445" t="s">
        <v>2537</v>
      </c>
      <c r="D21445" s="254">
        <v>53.56</v>
      </c>
      <c r="E21445"/>
      <c r="F21445"/>
      <c r="G21445"/>
      <c r="H21445"/>
      <c r="I21445" s="489"/>
    </row>
    <row r="21446" spans="1:9" x14ac:dyDescent="0.25">
      <c r="A21446">
        <v>38111</v>
      </c>
      <c r="B21446" t="s">
        <v>24949</v>
      </c>
      <c r="C21446" t="s">
        <v>2537</v>
      </c>
      <c r="D21446" s="254">
        <v>34.369999999999997</v>
      </c>
      <c r="E21446"/>
      <c r="F21446"/>
      <c r="G21446"/>
      <c r="H21446"/>
      <c r="I21446" s="489"/>
    </row>
    <row r="21447" spans="1:9" x14ac:dyDescent="0.25">
      <c r="A21447">
        <v>38090</v>
      </c>
      <c r="B21447" t="s">
        <v>24950</v>
      </c>
      <c r="C21447" t="s">
        <v>2537</v>
      </c>
      <c r="D21447" s="254">
        <v>55.36</v>
      </c>
      <c r="E21447"/>
      <c r="F21447"/>
      <c r="G21447"/>
      <c r="H21447"/>
      <c r="I21447" s="489"/>
    </row>
    <row r="21448" spans="1:9" x14ac:dyDescent="0.25">
      <c r="A21448">
        <v>13726</v>
      </c>
      <c r="B21448" t="s">
        <v>24951</v>
      </c>
      <c r="C21448" t="s">
        <v>2537</v>
      </c>
      <c r="D21448" s="254">
        <v>83826.52</v>
      </c>
      <c r="E21448"/>
      <c r="F21448"/>
      <c r="G21448"/>
      <c r="H21448"/>
      <c r="I21448" s="489"/>
    </row>
    <row r="21449" spans="1:9" x14ac:dyDescent="0.25">
      <c r="A21449">
        <v>38400</v>
      </c>
      <c r="B21449" t="s">
        <v>24952</v>
      </c>
      <c r="C21449" t="s">
        <v>2537</v>
      </c>
      <c r="D21449" s="254">
        <v>17.7</v>
      </c>
      <c r="E21449"/>
      <c r="F21449"/>
      <c r="G21449"/>
      <c r="H21449"/>
      <c r="I21449" s="489"/>
    </row>
    <row r="21450" spans="1:9" x14ac:dyDescent="0.25">
      <c r="A21450">
        <v>12627</v>
      </c>
      <c r="B21450" t="s">
        <v>24953</v>
      </c>
      <c r="C21450" t="s">
        <v>2537</v>
      </c>
      <c r="D21450" s="254">
        <v>0.54</v>
      </c>
      <c r="E21450"/>
      <c r="F21450"/>
      <c r="G21450"/>
      <c r="H21450"/>
      <c r="I21450" s="489"/>
    </row>
    <row r="21451" spans="1:9" x14ac:dyDescent="0.25">
      <c r="A21451">
        <v>39996</v>
      </c>
      <c r="B21451" t="s">
        <v>24954</v>
      </c>
      <c r="C21451" t="s">
        <v>2541</v>
      </c>
      <c r="D21451" s="254">
        <v>4.8099999999999996</v>
      </c>
      <c r="E21451"/>
      <c r="F21451"/>
      <c r="G21451"/>
      <c r="H21451"/>
      <c r="I21451" s="489"/>
    </row>
    <row r="21452" spans="1:9" x14ac:dyDescent="0.25">
      <c r="A21452">
        <v>10478</v>
      </c>
      <c r="B21452" t="s">
        <v>24955</v>
      </c>
      <c r="C21452" t="s">
        <v>2543</v>
      </c>
      <c r="D21452" s="254">
        <v>36.119999999999997</v>
      </c>
      <c r="E21452"/>
      <c r="F21452"/>
      <c r="G21452"/>
      <c r="H21452"/>
      <c r="I21452" s="489"/>
    </row>
    <row r="21453" spans="1:9" x14ac:dyDescent="0.25">
      <c r="A21453">
        <v>10481</v>
      </c>
      <c r="B21453" t="s">
        <v>24956</v>
      </c>
      <c r="C21453" t="s">
        <v>2543</v>
      </c>
      <c r="D21453" s="254">
        <v>32.119999999999997</v>
      </c>
      <c r="E21453"/>
      <c r="F21453"/>
      <c r="G21453"/>
      <c r="H21453"/>
      <c r="I21453" s="489"/>
    </row>
    <row r="21454" spans="1:9" x14ac:dyDescent="0.25">
      <c r="A21454">
        <v>10475</v>
      </c>
      <c r="B21454" t="s">
        <v>24957</v>
      </c>
      <c r="C21454" t="s">
        <v>2543</v>
      </c>
      <c r="D21454" s="254">
        <v>31.08</v>
      </c>
      <c r="E21454"/>
      <c r="F21454"/>
      <c r="G21454"/>
      <c r="H21454"/>
      <c r="I21454" s="489"/>
    </row>
    <row r="21455" spans="1:9" x14ac:dyDescent="0.25">
      <c r="A21455">
        <v>4031</v>
      </c>
      <c r="B21455" t="s">
        <v>24958</v>
      </c>
      <c r="C21455" t="s">
        <v>2539</v>
      </c>
      <c r="D21455" s="254">
        <v>30.37</v>
      </c>
      <c r="E21455"/>
      <c r="F21455"/>
      <c r="G21455"/>
      <c r="H21455"/>
      <c r="I21455" s="489"/>
    </row>
    <row r="21456" spans="1:9" x14ac:dyDescent="0.25">
      <c r="A21456">
        <v>4030</v>
      </c>
      <c r="B21456" t="s">
        <v>24959</v>
      </c>
      <c r="C21456" t="s">
        <v>2539</v>
      </c>
      <c r="D21456" s="254">
        <v>6.46</v>
      </c>
      <c r="E21456"/>
      <c r="F21456"/>
      <c r="G21456"/>
      <c r="H21456"/>
      <c r="I21456" s="489"/>
    </row>
    <row r="21457" spans="1:9" x14ac:dyDescent="0.25">
      <c r="A21457">
        <v>39399</v>
      </c>
      <c r="B21457" t="s">
        <v>24960</v>
      </c>
      <c r="C21457" t="s">
        <v>2537</v>
      </c>
      <c r="D21457" s="254">
        <v>1690.69</v>
      </c>
      <c r="E21457"/>
      <c r="F21457"/>
      <c r="G21457"/>
      <c r="H21457"/>
      <c r="I21457" s="489"/>
    </row>
    <row r="21458" spans="1:9" x14ac:dyDescent="0.25">
      <c r="A21458">
        <v>39400</v>
      </c>
      <c r="B21458" t="s">
        <v>24961</v>
      </c>
      <c r="C21458" t="s">
        <v>2537</v>
      </c>
      <c r="D21458" s="254">
        <v>1837.7</v>
      </c>
      <c r="E21458"/>
      <c r="F21458"/>
      <c r="G21458"/>
      <c r="H21458"/>
      <c r="I21458" s="489"/>
    </row>
    <row r="21459" spans="1:9" x14ac:dyDescent="0.25">
      <c r="A21459">
        <v>39401</v>
      </c>
      <c r="B21459" t="s">
        <v>24962</v>
      </c>
      <c r="C21459" t="s">
        <v>2537</v>
      </c>
      <c r="D21459" s="254">
        <v>2061.46</v>
      </c>
      <c r="E21459"/>
      <c r="F21459"/>
      <c r="G21459"/>
      <c r="H21459"/>
      <c r="I21459" s="489"/>
    </row>
    <row r="21460" spans="1:9" x14ac:dyDescent="0.25">
      <c r="A21460">
        <v>11652</v>
      </c>
      <c r="B21460" t="s">
        <v>24963</v>
      </c>
      <c r="C21460" t="s">
        <v>2537</v>
      </c>
      <c r="D21460" s="254">
        <v>4435</v>
      </c>
      <c r="E21460"/>
      <c r="F21460"/>
      <c r="G21460"/>
      <c r="H21460"/>
      <c r="I21460" s="489"/>
    </row>
    <row r="21461" spans="1:9" x14ac:dyDescent="0.25">
      <c r="A21461">
        <v>13896</v>
      </c>
      <c r="B21461" t="s">
        <v>24964</v>
      </c>
      <c r="C21461" t="s">
        <v>2537</v>
      </c>
      <c r="D21461" s="254">
        <v>3978.58</v>
      </c>
      <c r="E21461"/>
      <c r="F21461"/>
      <c r="G21461"/>
      <c r="H21461"/>
      <c r="I21461" s="489"/>
    </row>
    <row r="21462" spans="1:9" x14ac:dyDescent="0.25">
      <c r="A21462">
        <v>13475</v>
      </c>
      <c r="B21462" t="s">
        <v>24965</v>
      </c>
      <c r="C21462" t="s">
        <v>2537</v>
      </c>
      <c r="D21462" s="254">
        <v>4846.3900000000003</v>
      </c>
      <c r="E21462"/>
      <c r="F21462"/>
      <c r="G21462"/>
      <c r="H21462"/>
      <c r="I21462" s="489"/>
    </row>
    <row r="21463" spans="1:9" x14ac:dyDescent="0.25">
      <c r="A21463">
        <v>44491</v>
      </c>
      <c r="B21463" t="s">
        <v>24966</v>
      </c>
      <c r="C21463" t="s">
        <v>2537</v>
      </c>
      <c r="D21463" s="254">
        <v>4655861.7</v>
      </c>
      <c r="E21463"/>
      <c r="F21463"/>
      <c r="G21463"/>
      <c r="H21463"/>
      <c r="I21463" s="489"/>
    </row>
    <row r="21464" spans="1:9" x14ac:dyDescent="0.25">
      <c r="A21464">
        <v>44470</v>
      </c>
      <c r="B21464" t="s">
        <v>24967</v>
      </c>
      <c r="C21464" t="s">
        <v>2537</v>
      </c>
      <c r="D21464" s="254">
        <v>1960063.74</v>
      </c>
      <c r="E21464"/>
      <c r="F21464"/>
      <c r="G21464"/>
      <c r="H21464"/>
      <c r="I21464" s="489"/>
    </row>
    <row r="21465" spans="1:9" x14ac:dyDescent="0.25">
      <c r="A21465">
        <v>13476</v>
      </c>
      <c r="B21465" t="s">
        <v>24968</v>
      </c>
      <c r="C21465" t="s">
        <v>2537</v>
      </c>
      <c r="D21465" s="254">
        <v>1974267.24</v>
      </c>
      <c r="E21465"/>
      <c r="F21465"/>
      <c r="G21465"/>
      <c r="H21465"/>
      <c r="I21465" s="489"/>
    </row>
    <row r="21466" spans="1:9" x14ac:dyDescent="0.25">
      <c r="A21466">
        <v>10488</v>
      </c>
      <c r="B21466" t="s">
        <v>24969</v>
      </c>
      <c r="C21466" t="s">
        <v>2537</v>
      </c>
      <c r="D21466" s="254">
        <v>2391846</v>
      </c>
      <c r="E21466"/>
      <c r="F21466"/>
      <c r="G21466"/>
      <c r="H21466"/>
      <c r="I21466" s="489"/>
    </row>
    <row r="21467" spans="1:9" x14ac:dyDescent="0.25">
      <c r="A21467">
        <v>13606</v>
      </c>
      <c r="B21467" t="s">
        <v>24970</v>
      </c>
      <c r="C21467" t="s">
        <v>2537</v>
      </c>
      <c r="D21467" s="254">
        <v>2119141.35</v>
      </c>
      <c r="E21467"/>
      <c r="F21467"/>
      <c r="G21467"/>
      <c r="H21467"/>
      <c r="I21467" s="489"/>
    </row>
    <row r="21468" spans="1:9" x14ac:dyDescent="0.25">
      <c r="A21468">
        <v>10489</v>
      </c>
      <c r="B21468" t="s">
        <v>24971</v>
      </c>
      <c r="C21468" t="s">
        <v>2538</v>
      </c>
      <c r="D21468" s="254">
        <v>20.18</v>
      </c>
      <c r="E21468"/>
      <c r="F21468"/>
      <c r="G21468"/>
      <c r="H21468"/>
      <c r="I21468" s="489"/>
    </row>
    <row r="21469" spans="1:9" x14ac:dyDescent="0.25">
      <c r="A21469">
        <v>41073</v>
      </c>
      <c r="B21469" t="s">
        <v>24972</v>
      </c>
      <c r="C21469" t="s">
        <v>2544</v>
      </c>
      <c r="D21469" s="254">
        <v>3564.19</v>
      </c>
      <c r="E21469"/>
      <c r="F21469"/>
      <c r="G21469"/>
      <c r="H21469"/>
      <c r="I21469" s="489"/>
    </row>
    <row r="21470" spans="1:9" x14ac:dyDescent="0.25">
      <c r="A21470">
        <v>34391</v>
      </c>
      <c r="B21470" t="s">
        <v>24973</v>
      </c>
      <c r="C21470" t="s">
        <v>2539</v>
      </c>
      <c r="D21470" s="254">
        <v>829.67</v>
      </c>
      <c r="E21470"/>
      <c r="F21470"/>
      <c r="G21470"/>
      <c r="H21470"/>
      <c r="I21470" s="489"/>
    </row>
    <row r="21471" spans="1:9" x14ac:dyDescent="0.25">
      <c r="A21471">
        <v>10496</v>
      </c>
      <c r="B21471" t="s">
        <v>24974</v>
      </c>
      <c r="C21471" t="s">
        <v>2539</v>
      </c>
      <c r="D21471" s="254">
        <v>722.22</v>
      </c>
      <c r="E21471"/>
      <c r="F21471"/>
      <c r="G21471"/>
      <c r="H21471"/>
      <c r="I21471" s="489"/>
    </row>
    <row r="21472" spans="1:9" x14ac:dyDescent="0.25">
      <c r="A21472">
        <v>10497</v>
      </c>
      <c r="B21472" t="s">
        <v>24975</v>
      </c>
      <c r="C21472" t="s">
        <v>2539</v>
      </c>
      <c r="D21472" s="254">
        <v>1877.77</v>
      </c>
      <c r="E21472"/>
      <c r="F21472"/>
      <c r="G21472"/>
      <c r="H21472"/>
      <c r="I21472" s="489"/>
    </row>
    <row r="21473" spans="1:9" x14ac:dyDescent="0.25">
      <c r="A21473">
        <v>10504</v>
      </c>
      <c r="B21473" t="s">
        <v>24976</v>
      </c>
      <c r="C21473" t="s">
        <v>2539</v>
      </c>
      <c r="D21473" s="254">
        <v>2195.5500000000002</v>
      </c>
      <c r="E21473"/>
      <c r="F21473"/>
      <c r="G21473"/>
      <c r="H21473"/>
      <c r="I21473" s="489"/>
    </row>
    <row r="21474" spans="1:9" x14ac:dyDescent="0.25">
      <c r="A21474">
        <v>34390</v>
      </c>
      <c r="B21474" t="s">
        <v>24977</v>
      </c>
      <c r="C21474" t="s">
        <v>2539</v>
      </c>
      <c r="D21474" s="254">
        <v>647.11</v>
      </c>
      <c r="E21474"/>
      <c r="F21474"/>
      <c r="G21474"/>
      <c r="H21474"/>
      <c r="I21474" s="489"/>
    </row>
    <row r="21475" spans="1:9" x14ac:dyDescent="0.25">
      <c r="A21475">
        <v>34389</v>
      </c>
      <c r="B21475" t="s">
        <v>24978</v>
      </c>
      <c r="C21475" t="s">
        <v>2539</v>
      </c>
      <c r="D21475" s="254">
        <v>202.22</v>
      </c>
      <c r="E21475"/>
      <c r="F21475"/>
      <c r="G21475"/>
      <c r="H21475"/>
      <c r="I21475" s="489"/>
    </row>
    <row r="21476" spans="1:9" x14ac:dyDescent="0.25">
      <c r="A21476">
        <v>34388</v>
      </c>
      <c r="B21476" t="s">
        <v>24979</v>
      </c>
      <c r="C21476" t="s">
        <v>2539</v>
      </c>
      <c r="D21476" s="254">
        <v>287.39999999999998</v>
      </c>
      <c r="E21476"/>
      <c r="F21476"/>
      <c r="G21476"/>
      <c r="H21476"/>
      <c r="I21476" s="489"/>
    </row>
    <row r="21477" spans="1:9" x14ac:dyDescent="0.25">
      <c r="A21477">
        <v>34387</v>
      </c>
      <c r="B21477" t="s">
        <v>24980</v>
      </c>
      <c r="C21477" t="s">
        <v>2539</v>
      </c>
      <c r="D21477" s="254">
        <v>466.55</v>
      </c>
      <c r="E21477"/>
      <c r="F21477"/>
      <c r="G21477"/>
      <c r="H21477"/>
      <c r="I21477" s="489"/>
    </row>
    <row r="21478" spans="1:9" x14ac:dyDescent="0.25">
      <c r="A21478">
        <v>11188</v>
      </c>
      <c r="B21478" t="s">
        <v>24981</v>
      </c>
      <c r="C21478" t="s">
        <v>2539</v>
      </c>
      <c r="D21478" s="254">
        <v>231.11</v>
      </c>
      <c r="E21478"/>
      <c r="F21478"/>
      <c r="G21478"/>
      <c r="H21478"/>
      <c r="I21478" s="489"/>
    </row>
    <row r="21479" spans="1:9" x14ac:dyDescent="0.25">
      <c r="A21479">
        <v>11189</v>
      </c>
      <c r="B21479" t="s">
        <v>24982</v>
      </c>
      <c r="C21479" t="s">
        <v>2539</v>
      </c>
      <c r="D21479" s="254">
        <v>346.66</v>
      </c>
      <c r="E21479"/>
      <c r="F21479"/>
      <c r="G21479"/>
      <c r="H21479"/>
      <c r="I21479" s="489"/>
    </row>
    <row r="21480" spans="1:9" x14ac:dyDescent="0.25">
      <c r="A21480">
        <v>21107</v>
      </c>
      <c r="B21480" t="s">
        <v>24983</v>
      </c>
      <c r="C21480" t="s">
        <v>2539</v>
      </c>
      <c r="D21480" s="254">
        <v>249.47</v>
      </c>
      <c r="E21480"/>
      <c r="F21480"/>
      <c r="G21480"/>
      <c r="H21480"/>
      <c r="I21480" s="489"/>
    </row>
    <row r="21481" spans="1:9" x14ac:dyDescent="0.25">
      <c r="A21481">
        <v>34386</v>
      </c>
      <c r="B21481" t="s">
        <v>24984</v>
      </c>
      <c r="C21481" t="s">
        <v>2539</v>
      </c>
      <c r="D21481" s="254">
        <v>433.33</v>
      </c>
      <c r="E21481"/>
      <c r="F21481"/>
      <c r="G21481"/>
      <c r="H21481"/>
      <c r="I21481" s="489"/>
    </row>
    <row r="21482" spans="1:9" x14ac:dyDescent="0.25">
      <c r="A21482">
        <v>10490</v>
      </c>
      <c r="B21482" t="s">
        <v>24985</v>
      </c>
      <c r="C21482" t="s">
        <v>2539</v>
      </c>
      <c r="D21482" s="254">
        <v>130</v>
      </c>
      <c r="E21482"/>
      <c r="F21482"/>
      <c r="G21482"/>
      <c r="H21482"/>
      <c r="I21482" s="489"/>
    </row>
    <row r="21483" spans="1:9" x14ac:dyDescent="0.25">
      <c r="A21483">
        <v>10492</v>
      </c>
      <c r="B21483" t="s">
        <v>24986</v>
      </c>
      <c r="C21483" t="s">
        <v>2539</v>
      </c>
      <c r="D21483" s="254">
        <v>173.33</v>
      </c>
      <c r="E21483"/>
      <c r="F21483"/>
      <c r="G21483"/>
      <c r="H21483"/>
      <c r="I21483" s="489"/>
    </row>
    <row r="21484" spans="1:9" x14ac:dyDescent="0.25">
      <c r="A21484">
        <v>10493</v>
      </c>
      <c r="B21484" t="s">
        <v>24987</v>
      </c>
      <c r="C21484" t="s">
        <v>2539</v>
      </c>
      <c r="D21484" s="254">
        <v>202.22</v>
      </c>
      <c r="E21484"/>
      <c r="F21484"/>
      <c r="G21484"/>
      <c r="H21484"/>
      <c r="I21484" s="489"/>
    </row>
    <row r="21485" spans="1:9" x14ac:dyDescent="0.25">
      <c r="A21485">
        <v>10491</v>
      </c>
      <c r="B21485" t="s">
        <v>24988</v>
      </c>
      <c r="C21485" t="s">
        <v>2539</v>
      </c>
      <c r="D21485" s="254">
        <v>245.55</v>
      </c>
      <c r="E21485"/>
      <c r="F21485"/>
      <c r="G21485"/>
      <c r="H21485"/>
      <c r="I21485" s="489"/>
    </row>
    <row r="21486" spans="1:9" x14ac:dyDescent="0.25">
      <c r="A21486">
        <v>34385</v>
      </c>
      <c r="B21486" t="s">
        <v>24989</v>
      </c>
      <c r="C21486" t="s">
        <v>2539</v>
      </c>
      <c r="D21486" s="254">
        <v>358.22</v>
      </c>
      <c r="E21486"/>
      <c r="F21486"/>
      <c r="G21486"/>
      <c r="H21486"/>
      <c r="I21486" s="489"/>
    </row>
    <row r="21487" spans="1:9" x14ac:dyDescent="0.25">
      <c r="A21487">
        <v>10499</v>
      </c>
      <c r="B21487" t="s">
        <v>24990</v>
      </c>
      <c r="C21487" t="s">
        <v>2539</v>
      </c>
      <c r="D21487" s="254">
        <v>144.44</v>
      </c>
      <c r="E21487"/>
      <c r="F21487"/>
      <c r="G21487"/>
      <c r="H21487"/>
      <c r="I21487" s="489"/>
    </row>
    <row r="21488" spans="1:9" x14ac:dyDescent="0.25">
      <c r="A21488">
        <v>34384</v>
      </c>
      <c r="B21488" t="s">
        <v>24991</v>
      </c>
      <c r="C21488" t="s">
        <v>2539</v>
      </c>
      <c r="D21488" s="254">
        <v>433.33</v>
      </c>
      <c r="E21488"/>
      <c r="F21488"/>
      <c r="G21488"/>
      <c r="H21488"/>
      <c r="I21488" s="489"/>
    </row>
    <row r="21489" spans="1:9" x14ac:dyDescent="0.25">
      <c r="A21489">
        <v>11185</v>
      </c>
      <c r="B21489" t="s">
        <v>24992</v>
      </c>
      <c r="C21489" t="s">
        <v>2539</v>
      </c>
      <c r="D21489" s="254">
        <v>447.77</v>
      </c>
      <c r="E21489"/>
      <c r="F21489"/>
      <c r="G21489"/>
      <c r="H21489"/>
      <c r="I21489" s="489"/>
    </row>
    <row r="21490" spans="1:9" x14ac:dyDescent="0.25">
      <c r="A21490">
        <v>10507</v>
      </c>
      <c r="B21490" t="s">
        <v>24993</v>
      </c>
      <c r="C21490" t="s">
        <v>2539</v>
      </c>
      <c r="D21490" s="254">
        <v>313.88</v>
      </c>
      <c r="E21490"/>
      <c r="F21490"/>
      <c r="G21490"/>
      <c r="H21490"/>
      <c r="I21490" s="489"/>
    </row>
    <row r="21491" spans="1:9" x14ac:dyDescent="0.25">
      <c r="A21491">
        <v>10505</v>
      </c>
      <c r="B21491" t="s">
        <v>24994</v>
      </c>
      <c r="C21491" t="s">
        <v>2539</v>
      </c>
      <c r="D21491" s="254">
        <v>185.21</v>
      </c>
      <c r="E21491"/>
      <c r="F21491"/>
      <c r="G21491"/>
      <c r="H21491"/>
      <c r="I21491" s="489"/>
    </row>
    <row r="21492" spans="1:9" x14ac:dyDescent="0.25">
      <c r="A21492">
        <v>10506</v>
      </c>
      <c r="B21492" t="s">
        <v>24995</v>
      </c>
      <c r="C21492" t="s">
        <v>2539</v>
      </c>
      <c r="D21492" s="254">
        <v>241.78</v>
      </c>
      <c r="E21492"/>
      <c r="F21492"/>
      <c r="G21492"/>
      <c r="H21492"/>
      <c r="I21492" s="489"/>
    </row>
    <row r="21493" spans="1:9" x14ac:dyDescent="0.25">
      <c r="A21493">
        <v>5031</v>
      </c>
      <c r="B21493" t="s">
        <v>24996</v>
      </c>
      <c r="C21493" t="s">
        <v>2539</v>
      </c>
      <c r="D21493" s="254">
        <v>339.5</v>
      </c>
      <c r="E21493"/>
      <c r="F21493"/>
      <c r="G21493"/>
      <c r="H21493"/>
      <c r="I21493" s="489"/>
    </row>
    <row r="21494" spans="1:9" x14ac:dyDescent="0.25">
      <c r="A21494">
        <v>10502</v>
      </c>
      <c r="B21494" t="s">
        <v>24997</v>
      </c>
      <c r="C21494" t="s">
        <v>2539</v>
      </c>
      <c r="D21494" s="254">
        <v>395.59</v>
      </c>
      <c r="E21494"/>
      <c r="F21494"/>
      <c r="G21494"/>
      <c r="H21494"/>
      <c r="I21494" s="489"/>
    </row>
    <row r="21495" spans="1:9" x14ac:dyDescent="0.25">
      <c r="A21495">
        <v>10501</v>
      </c>
      <c r="B21495" t="s">
        <v>24998</v>
      </c>
      <c r="C21495" t="s">
        <v>2539</v>
      </c>
      <c r="D21495" s="254">
        <v>223.5</v>
      </c>
      <c r="E21495"/>
      <c r="F21495"/>
      <c r="G21495"/>
      <c r="H21495"/>
      <c r="I21495" s="489"/>
    </row>
    <row r="21496" spans="1:9" x14ac:dyDescent="0.25">
      <c r="A21496">
        <v>10503</v>
      </c>
      <c r="B21496" t="s">
        <v>24999</v>
      </c>
      <c r="C21496" t="s">
        <v>2539</v>
      </c>
      <c r="D21496" s="254">
        <v>301.95</v>
      </c>
      <c r="E21496"/>
      <c r="F21496"/>
      <c r="G21496"/>
      <c r="H21496"/>
      <c r="I21496" s="489"/>
    </row>
    <row r="21497" spans="1:9" x14ac:dyDescent="0.25">
      <c r="A21497">
        <v>4500</v>
      </c>
      <c r="B21497" t="s">
        <v>25000</v>
      </c>
      <c r="C21497" t="s">
        <v>2541</v>
      </c>
      <c r="D21497" s="254">
        <v>15.65</v>
      </c>
      <c r="E21497"/>
      <c r="F21497"/>
      <c r="G21497"/>
      <c r="H21497"/>
      <c r="I21497" s="489"/>
    </row>
    <row r="21498" spans="1:9" x14ac:dyDescent="0.25">
      <c r="A21498">
        <v>4448</v>
      </c>
      <c r="B21498" t="s">
        <v>25001</v>
      </c>
      <c r="C21498" t="s">
        <v>2541</v>
      </c>
      <c r="D21498" s="254">
        <v>21.49</v>
      </c>
      <c r="E21498"/>
      <c r="F21498"/>
      <c r="G21498"/>
      <c r="H21498"/>
      <c r="I21498" s="489"/>
    </row>
    <row r="21499" spans="1:9" x14ac:dyDescent="0.25">
      <c r="A21499">
        <v>20213</v>
      </c>
      <c r="B21499" t="s">
        <v>25002</v>
      </c>
      <c r="C21499" t="s">
        <v>2541</v>
      </c>
      <c r="D21499" s="254">
        <v>36.72</v>
      </c>
      <c r="E21499"/>
      <c r="F21499"/>
      <c r="G21499"/>
      <c r="H21499"/>
      <c r="I21499" s="489"/>
    </row>
    <row r="21500" spans="1:9" x14ac:dyDescent="0.25">
      <c r="A21500">
        <v>20211</v>
      </c>
      <c r="B21500" t="s">
        <v>25003</v>
      </c>
      <c r="C21500" t="s">
        <v>2541</v>
      </c>
      <c r="D21500" s="254">
        <v>48.62</v>
      </c>
      <c r="E21500"/>
      <c r="F21500"/>
      <c r="G21500"/>
      <c r="H21500"/>
      <c r="I21500" s="489"/>
    </row>
    <row r="21501" spans="1:9" x14ac:dyDescent="0.25">
      <c r="A21501">
        <v>40270</v>
      </c>
      <c r="B21501" t="s">
        <v>25004</v>
      </c>
      <c r="C21501" t="s">
        <v>2541</v>
      </c>
      <c r="D21501" s="254">
        <v>113.18</v>
      </c>
      <c r="E21501"/>
      <c r="F21501"/>
      <c r="G21501"/>
      <c r="H21501"/>
      <c r="I21501" s="489"/>
    </row>
    <row r="21502" spans="1:9" x14ac:dyDescent="0.25">
      <c r="A21502">
        <v>4425</v>
      </c>
      <c r="B21502" t="s">
        <v>25005</v>
      </c>
      <c r="C21502" t="s">
        <v>2541</v>
      </c>
      <c r="D21502" s="254">
        <v>40.19</v>
      </c>
      <c r="E21502"/>
      <c r="F21502"/>
      <c r="G21502"/>
      <c r="H21502"/>
      <c r="I21502" s="489"/>
    </row>
    <row r="21503" spans="1:9" x14ac:dyDescent="0.25">
      <c r="A21503">
        <v>4472</v>
      </c>
      <c r="B21503" t="s">
        <v>25006</v>
      </c>
      <c r="C21503" t="s">
        <v>2541</v>
      </c>
      <c r="D21503" s="254">
        <v>50.2</v>
      </c>
      <c r="E21503"/>
      <c r="F21503"/>
      <c r="G21503"/>
      <c r="H21503"/>
      <c r="I21503" s="489"/>
    </row>
    <row r="21504" spans="1:9" x14ac:dyDescent="0.25">
      <c r="A21504">
        <v>35272</v>
      </c>
      <c r="B21504" t="s">
        <v>25007</v>
      </c>
      <c r="C21504" t="s">
        <v>2541</v>
      </c>
      <c r="D21504" s="254">
        <v>72.569999999999993</v>
      </c>
      <c r="E21504"/>
      <c r="F21504"/>
      <c r="G21504"/>
      <c r="H21504"/>
      <c r="I21504" s="489"/>
    </row>
    <row r="21505" spans="1:9" x14ac:dyDescent="0.25">
      <c r="A21505">
        <v>4481</v>
      </c>
      <c r="B21505" t="s">
        <v>25008</v>
      </c>
      <c r="C21505" t="s">
        <v>2541</v>
      </c>
      <c r="D21505" s="254">
        <v>77.680000000000007</v>
      </c>
      <c r="E21505"/>
      <c r="F21505"/>
      <c r="G21505"/>
      <c r="H21505"/>
      <c r="I21505" s="489"/>
    </row>
    <row r="21506" spans="1:9" x14ac:dyDescent="0.25">
      <c r="A21506">
        <v>34345</v>
      </c>
      <c r="B21506" t="s">
        <v>25009</v>
      </c>
      <c r="C21506" t="s">
        <v>2538</v>
      </c>
      <c r="D21506" s="254">
        <v>17.3</v>
      </c>
      <c r="E21506"/>
      <c r="F21506"/>
      <c r="G21506"/>
      <c r="H21506"/>
      <c r="I21506" s="489"/>
    </row>
    <row r="21507" spans="1:9" x14ac:dyDescent="0.25">
      <c r="A21507">
        <v>41096</v>
      </c>
      <c r="B21507" t="s">
        <v>25010</v>
      </c>
      <c r="C21507" t="s">
        <v>2544</v>
      </c>
      <c r="D21507" s="254">
        <v>3053.31</v>
      </c>
      <c r="E21507"/>
      <c r="F21507"/>
      <c r="G21507"/>
      <c r="H21507"/>
      <c r="I21507" s="489"/>
    </row>
    <row r="21508" spans="1:9" x14ac:dyDescent="0.25">
      <c r="A21508">
        <v>41776</v>
      </c>
      <c r="B21508" t="s">
        <v>25011</v>
      </c>
      <c r="C21508" t="s">
        <v>2538</v>
      </c>
      <c r="D21508" s="254">
        <v>23.72</v>
      </c>
      <c r="E21508"/>
      <c r="F21508"/>
      <c r="G21508"/>
      <c r="H21508"/>
      <c r="I21508" s="489"/>
    </row>
  </sheetData>
  <mergeCells count="1">
    <mergeCell ref="A79:A82"/>
  </mergeCells>
  <phoneticPr fontId="32" type="noConversion"/>
  <pageMargins left="0.7" right="0.7" top="0.75" bottom="0.75" header="0.3" footer="0.3"/>
  <pageSetup paperSize="9" orientation="portrait" horizontalDpi="4294967292" verticalDpi="4294967295"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05754-693B-48EE-B4F6-A8E9EB3BCFB3}">
  <sheetPr>
    <tabColor rgb="FFFF0000"/>
  </sheetPr>
  <dimension ref="B2:Z151"/>
  <sheetViews>
    <sheetView topLeftCell="A120" workbookViewId="0">
      <selection activeCell="H144" sqref="H144"/>
    </sheetView>
  </sheetViews>
  <sheetFormatPr defaultRowHeight="15" x14ac:dyDescent="0.25"/>
  <cols>
    <col min="1" max="1" width="9.140625" style="1332"/>
    <col min="2" max="2" width="8.28515625" style="1332" bestFit="1" customWidth="1"/>
    <col min="3" max="3" width="9.28515625" style="1332" bestFit="1" customWidth="1"/>
    <col min="4" max="4" width="12.140625" style="1332" bestFit="1" customWidth="1"/>
    <col min="5" max="5" width="10.85546875" style="1332" bestFit="1" customWidth="1"/>
    <col min="6" max="7" width="10.85546875" style="1332" customWidth="1"/>
    <col min="8" max="8" width="9.28515625" style="1332" bestFit="1" customWidth="1"/>
    <col min="9" max="13" width="9.140625" style="1332"/>
    <col min="14" max="14" width="3.28515625" style="1332" bestFit="1" customWidth="1"/>
    <col min="15" max="15" width="12.5703125" style="1332" bestFit="1" customWidth="1"/>
    <col min="16" max="16" width="15" style="1332" bestFit="1" customWidth="1"/>
    <col min="17" max="18" width="15" style="1332" customWidth="1"/>
    <col min="19" max="19" width="21.42578125" style="1332" bestFit="1" customWidth="1"/>
    <col min="20" max="20" width="29.7109375" style="1332" bestFit="1" customWidth="1"/>
    <col min="21" max="21" width="19.140625" style="1332" bestFit="1" customWidth="1"/>
    <col min="22" max="22" width="26.140625" style="1332" bestFit="1" customWidth="1"/>
    <col min="23" max="23" width="20.85546875" style="1332" bestFit="1" customWidth="1"/>
    <col min="24" max="24" width="12.5703125" style="1332" bestFit="1" customWidth="1"/>
    <col min="25" max="25" width="10" style="1332" bestFit="1" customWidth="1"/>
    <col min="26" max="16384" width="9.140625" style="1332"/>
  </cols>
  <sheetData>
    <row r="2" spans="2:26" x14ac:dyDescent="0.25">
      <c r="B2" s="1623" t="s">
        <v>6798</v>
      </c>
      <c r="C2" s="1623"/>
      <c r="D2" s="1623"/>
      <c r="E2" s="1623"/>
      <c r="F2" s="1623"/>
      <c r="G2" s="1623"/>
      <c r="H2" s="1623"/>
    </row>
    <row r="3" spans="2:26" x14ac:dyDescent="0.25">
      <c r="B3" s="1622" t="s">
        <v>6720</v>
      </c>
      <c r="C3" s="1622" t="s">
        <v>76</v>
      </c>
      <c r="D3" s="1622" t="s">
        <v>2799</v>
      </c>
      <c r="E3" s="1622"/>
      <c r="F3" s="1622" t="s">
        <v>6495</v>
      </c>
      <c r="G3" s="1622"/>
      <c r="H3" s="1332" t="s">
        <v>6778</v>
      </c>
      <c r="N3" s="1332" t="s">
        <v>6777</v>
      </c>
      <c r="O3" s="1332" t="s">
        <v>6789</v>
      </c>
      <c r="P3" s="1332" t="s">
        <v>6790</v>
      </c>
      <c r="Q3" s="1332" t="str">
        <f>F3</f>
        <v>Extensão (m)</v>
      </c>
      <c r="S3" s="1332" t="s">
        <v>6791</v>
      </c>
      <c r="T3" s="1332" t="s">
        <v>6792</v>
      </c>
      <c r="U3" s="1332" t="s">
        <v>6793</v>
      </c>
      <c r="V3" s="1332" t="s">
        <v>6794</v>
      </c>
      <c r="W3" s="1332" t="s">
        <v>6795</v>
      </c>
      <c r="X3" s="1332" t="s">
        <v>6796</v>
      </c>
      <c r="Y3" s="1332" t="s">
        <v>6797</v>
      </c>
      <c r="Z3" s="1332" t="s">
        <v>6805</v>
      </c>
    </row>
    <row r="4" spans="2:26" x14ac:dyDescent="0.25">
      <c r="B4" s="1622"/>
      <c r="C4" s="1622"/>
      <c r="D4" s="1332" t="s">
        <v>5103</v>
      </c>
      <c r="E4" s="1332" t="s">
        <v>6781</v>
      </c>
      <c r="F4" s="1332" t="s">
        <v>6782</v>
      </c>
      <c r="G4" s="1332" t="s">
        <v>6779</v>
      </c>
      <c r="Q4" s="1332" t="str">
        <f>F4</f>
        <v>Tangente</v>
      </c>
      <c r="R4" s="1332" t="str">
        <f>G4</f>
        <v>Curva</v>
      </c>
    </row>
    <row r="5" spans="2:26" x14ac:dyDescent="0.25">
      <c r="B5" s="1332">
        <v>1</v>
      </c>
      <c r="C5" s="1332" t="s">
        <v>6782</v>
      </c>
      <c r="D5" s="1327">
        <v>0</v>
      </c>
      <c r="E5" s="1327">
        <v>26.16</v>
      </c>
      <c r="F5" s="1334">
        <f>IF(C5=$F$4,E5-D5,"")</f>
        <v>26.16</v>
      </c>
      <c r="G5" s="1334" t="str">
        <f>IF(C5=$F$4,"",E5-D5)</f>
        <v/>
      </c>
      <c r="N5" s="1332">
        <v>1</v>
      </c>
      <c r="O5" s="1327">
        <v>0</v>
      </c>
      <c r="P5" s="1334">
        <v>854.93</v>
      </c>
      <c r="Q5" s="1334"/>
      <c r="R5" s="1334"/>
      <c r="U5" s="1351">
        <v>7.4999999999999997E-3</v>
      </c>
      <c r="X5" s="1334"/>
      <c r="Y5" s="1334"/>
    </row>
    <row r="6" spans="2:26" x14ac:dyDescent="0.25">
      <c r="B6" s="1332">
        <v>2</v>
      </c>
      <c r="C6" s="1332" t="s">
        <v>6779</v>
      </c>
      <c r="D6" s="1327">
        <v>26.16</v>
      </c>
      <c r="E6" s="1327">
        <v>45.07</v>
      </c>
      <c r="F6" s="1334" t="str">
        <f t="shared" ref="F6:F69" si="0">IF(C6=$F$4,E6-D6,"")</f>
        <v/>
      </c>
      <c r="G6" s="1334">
        <f>IF(C6=$F$4,"",E6-D6)</f>
        <v>18.91</v>
      </c>
      <c r="H6" s="1332">
        <v>50</v>
      </c>
      <c r="N6" s="1332">
        <v>2</v>
      </c>
      <c r="O6" s="1327">
        <v>10</v>
      </c>
      <c r="P6" s="1334">
        <v>855</v>
      </c>
      <c r="Q6" s="1334">
        <f t="shared" ref="Q6:Q28" si="1">O6-O5-T6/2-T5/2</f>
        <v>10</v>
      </c>
      <c r="R6" s="1334">
        <f>T6</f>
        <v>0</v>
      </c>
      <c r="S6" s="1351">
        <v>7.4999999999999997E-3</v>
      </c>
      <c r="U6" s="1351">
        <v>0.11</v>
      </c>
      <c r="V6" s="1351">
        <v>0.10249999999999999</v>
      </c>
      <c r="X6" s="1334"/>
      <c r="Y6" s="1334"/>
    </row>
    <row r="7" spans="2:26" x14ac:dyDescent="0.25">
      <c r="B7" s="1332">
        <v>3</v>
      </c>
      <c r="C7" s="1332" t="s">
        <v>6782</v>
      </c>
      <c r="D7" s="1327">
        <v>45.07</v>
      </c>
      <c r="E7" s="1327">
        <v>332.3</v>
      </c>
      <c r="F7" s="1334">
        <f t="shared" si="0"/>
        <v>287.23</v>
      </c>
      <c r="G7" s="1334" t="str">
        <f t="shared" ref="G7:G70" si="2">IF(C7=$F$4,"",E7-D7)</f>
        <v/>
      </c>
      <c r="N7" s="1332">
        <v>3</v>
      </c>
      <c r="O7" s="1327">
        <v>70</v>
      </c>
      <c r="P7" s="1334">
        <v>861.6</v>
      </c>
      <c r="Q7" s="1334">
        <f t="shared" si="1"/>
        <v>30</v>
      </c>
      <c r="R7" s="1334">
        <f t="shared" ref="R7:R28" si="3">T7</f>
        <v>60</v>
      </c>
      <c r="S7" s="1351">
        <v>0.11</v>
      </c>
      <c r="T7" s="1332">
        <v>60</v>
      </c>
      <c r="U7" s="1351">
        <v>0.08</v>
      </c>
      <c r="V7" s="1351">
        <v>0.03</v>
      </c>
      <c r="W7" s="1332" t="s">
        <v>6799</v>
      </c>
      <c r="X7" s="1334">
        <v>2001.84</v>
      </c>
      <c r="Y7" s="1334">
        <v>20.018000000000001</v>
      </c>
    </row>
    <row r="8" spans="2:26" x14ac:dyDescent="0.25">
      <c r="B8" s="1622">
        <v>4</v>
      </c>
      <c r="C8" s="1332" t="s">
        <v>6780</v>
      </c>
      <c r="D8" s="1327">
        <v>332.3</v>
      </c>
      <c r="E8" s="1327">
        <v>392.3</v>
      </c>
      <c r="F8" s="1334" t="str">
        <f t="shared" si="0"/>
        <v/>
      </c>
      <c r="G8" s="1334">
        <f t="shared" si="2"/>
        <v>60</v>
      </c>
      <c r="N8" s="1332">
        <v>4</v>
      </c>
      <c r="O8" s="1327">
        <v>260</v>
      </c>
      <c r="P8" s="1334">
        <v>876.83</v>
      </c>
      <c r="Q8" s="1334">
        <f t="shared" si="1"/>
        <v>60</v>
      </c>
      <c r="R8" s="1334">
        <f t="shared" si="3"/>
        <v>200</v>
      </c>
      <c r="S8" s="1351">
        <v>0.08</v>
      </c>
      <c r="T8" s="1332">
        <v>200</v>
      </c>
      <c r="U8" s="1351">
        <v>-0.08</v>
      </c>
      <c r="V8" s="1351">
        <v>0.16</v>
      </c>
      <c r="W8" s="1332" t="s">
        <v>6799</v>
      </c>
      <c r="X8" s="1334">
        <v>1250</v>
      </c>
      <c r="Y8" s="1334">
        <v>12.5</v>
      </c>
    </row>
    <row r="9" spans="2:26" x14ac:dyDescent="0.25">
      <c r="B9" s="1622"/>
      <c r="C9" s="1332" t="s">
        <v>6779</v>
      </c>
      <c r="D9" s="1327">
        <v>392.3</v>
      </c>
      <c r="E9" s="1327">
        <v>423.84</v>
      </c>
      <c r="F9" s="1334" t="str">
        <f t="shared" si="0"/>
        <v/>
      </c>
      <c r="G9" s="1334">
        <f t="shared" si="2"/>
        <v>31.54</v>
      </c>
      <c r="H9" s="1332">
        <v>200</v>
      </c>
      <c r="N9" s="1332">
        <v>5</v>
      </c>
      <c r="O9" s="1327">
        <v>820</v>
      </c>
      <c r="P9" s="1334">
        <v>832.05</v>
      </c>
      <c r="Q9" s="1334">
        <f t="shared" si="1"/>
        <v>390</v>
      </c>
      <c r="R9" s="1334">
        <f t="shared" si="3"/>
        <v>140</v>
      </c>
      <c r="S9" s="1351">
        <v>-0.08</v>
      </c>
      <c r="T9" s="1332">
        <v>140</v>
      </c>
      <c r="U9" s="1351">
        <v>-2.0400000000000001E-2</v>
      </c>
      <c r="V9" s="1351">
        <v>5.96E-2</v>
      </c>
      <c r="W9" s="1332" t="s">
        <v>6800</v>
      </c>
      <c r="X9" s="1334">
        <v>2347.41</v>
      </c>
      <c r="Y9" s="1334">
        <v>23.474</v>
      </c>
    </row>
    <row r="10" spans="2:26" x14ac:dyDescent="0.25">
      <c r="B10" s="1622"/>
      <c r="C10" s="1332" t="s">
        <v>6780</v>
      </c>
      <c r="D10" s="1327">
        <v>423.84</v>
      </c>
      <c r="E10" s="1327">
        <v>483.84</v>
      </c>
      <c r="F10" s="1334" t="str">
        <f t="shared" si="0"/>
        <v/>
      </c>
      <c r="G10" s="1334">
        <f t="shared" si="2"/>
        <v>60</v>
      </c>
      <c r="N10" s="1332">
        <v>6</v>
      </c>
      <c r="O10" s="1327">
        <v>970</v>
      </c>
      <c r="P10" s="1334">
        <v>829</v>
      </c>
      <c r="Q10" s="1334">
        <f t="shared" si="1"/>
        <v>0</v>
      </c>
      <c r="R10" s="1334">
        <f t="shared" si="3"/>
        <v>160</v>
      </c>
      <c r="S10" s="1351">
        <v>-2.0400000000000001E-2</v>
      </c>
      <c r="T10" s="1332">
        <v>160</v>
      </c>
      <c r="U10" s="1351">
        <v>-5.2900000000000003E-2</v>
      </c>
      <c r="V10" s="1351">
        <v>3.2599999999999997E-2</v>
      </c>
      <c r="W10" s="1332" t="s">
        <v>6799</v>
      </c>
      <c r="X10" s="1334">
        <v>4910.79</v>
      </c>
      <c r="Y10" s="1334">
        <v>49.107999999999997</v>
      </c>
    </row>
    <row r="11" spans="2:26" x14ac:dyDescent="0.25">
      <c r="B11" s="1332">
        <v>5</v>
      </c>
      <c r="C11" s="1332" t="s">
        <v>6782</v>
      </c>
      <c r="D11" s="1327">
        <v>483.84</v>
      </c>
      <c r="E11" s="1327">
        <v>599.19000000000005</v>
      </c>
      <c r="F11" s="1334">
        <f t="shared" si="0"/>
        <v>115.35</v>
      </c>
      <c r="G11" s="1334" t="str">
        <f t="shared" si="2"/>
        <v/>
      </c>
      <c r="N11" s="1332">
        <v>7</v>
      </c>
      <c r="O11" s="1327">
        <v>1140</v>
      </c>
      <c r="P11" s="1334">
        <v>820</v>
      </c>
      <c r="Q11" s="1334">
        <f t="shared" si="1"/>
        <v>0</v>
      </c>
      <c r="R11" s="1334">
        <f t="shared" si="3"/>
        <v>180</v>
      </c>
      <c r="S11" s="1351">
        <v>-5.2900000000000003E-2</v>
      </c>
      <c r="T11" s="1332">
        <v>180</v>
      </c>
      <c r="U11" s="1351">
        <v>-2.86E-2</v>
      </c>
      <c r="V11" s="1351">
        <v>2.4400000000000002E-2</v>
      </c>
      <c r="W11" s="1332" t="s">
        <v>6800</v>
      </c>
      <c r="X11" s="1334">
        <v>7386.21</v>
      </c>
      <c r="Y11" s="1334">
        <v>73.861999999999995</v>
      </c>
    </row>
    <row r="12" spans="2:26" x14ac:dyDescent="0.25">
      <c r="B12" s="1622">
        <v>6</v>
      </c>
      <c r="C12" s="1332" t="s">
        <v>6780</v>
      </c>
      <c r="D12" s="1327">
        <v>599.19000000000005</v>
      </c>
      <c r="E12" s="1327">
        <v>649.19000000000005</v>
      </c>
      <c r="F12" s="1334" t="str">
        <f t="shared" si="0"/>
        <v/>
      </c>
      <c r="G12" s="1334">
        <f t="shared" si="2"/>
        <v>50</v>
      </c>
      <c r="N12" s="1332">
        <v>8</v>
      </c>
      <c r="O12" s="1327">
        <v>1490</v>
      </c>
      <c r="P12" s="1334">
        <v>810</v>
      </c>
      <c r="Q12" s="1334">
        <f t="shared" si="1"/>
        <v>160</v>
      </c>
      <c r="R12" s="1334">
        <f t="shared" si="3"/>
        <v>200</v>
      </c>
      <c r="S12" s="1351">
        <v>-2.86E-2</v>
      </c>
      <c r="T12" s="1332">
        <v>200</v>
      </c>
      <c r="U12" s="1351">
        <v>-7.8100000000000003E-2</v>
      </c>
      <c r="V12" s="1351">
        <v>4.9500000000000002E-2</v>
      </c>
      <c r="W12" s="1332" t="s">
        <v>6799</v>
      </c>
      <c r="X12" s="1334">
        <v>4040.54</v>
      </c>
      <c r="Y12" s="1334">
        <v>40.405000000000001</v>
      </c>
    </row>
    <row r="13" spans="2:26" x14ac:dyDescent="0.25">
      <c r="B13" s="1622"/>
      <c r="C13" s="1332" t="s">
        <v>6779</v>
      </c>
      <c r="D13" s="1327">
        <v>649.19000000000005</v>
      </c>
      <c r="E13" s="1327">
        <v>674.21</v>
      </c>
      <c r="F13" s="1334" t="str">
        <f t="shared" si="0"/>
        <v/>
      </c>
      <c r="G13" s="1334">
        <f t="shared" si="2"/>
        <v>25.02</v>
      </c>
      <c r="H13" s="1332">
        <v>160</v>
      </c>
      <c r="N13" s="1332">
        <v>9</v>
      </c>
      <c r="O13" s="1327">
        <v>1690</v>
      </c>
      <c r="P13" s="1334">
        <v>794.39</v>
      </c>
      <c r="Q13" s="1334">
        <f t="shared" si="1"/>
        <v>0</v>
      </c>
      <c r="R13" s="1334">
        <f t="shared" si="3"/>
        <v>200</v>
      </c>
      <c r="S13" s="1351">
        <v>-7.8100000000000003E-2</v>
      </c>
      <c r="T13" s="1332">
        <v>200</v>
      </c>
      <c r="U13" s="1351">
        <v>9.4999999999999998E-3</v>
      </c>
      <c r="V13" s="1351">
        <v>8.7499999999999994E-2</v>
      </c>
      <c r="W13" s="1332" t="s">
        <v>6800</v>
      </c>
      <c r="X13" s="1334">
        <v>2285.02</v>
      </c>
      <c r="Y13" s="1334">
        <v>22.85</v>
      </c>
    </row>
    <row r="14" spans="2:26" x14ac:dyDescent="0.25">
      <c r="B14" s="1622"/>
      <c r="C14" s="1332" t="s">
        <v>6780</v>
      </c>
      <c r="D14" s="1327">
        <v>674.21</v>
      </c>
      <c r="E14" s="1327">
        <v>724.21</v>
      </c>
      <c r="F14" s="1334" t="str">
        <f t="shared" si="0"/>
        <v/>
      </c>
      <c r="G14" s="1334">
        <f t="shared" si="2"/>
        <v>50</v>
      </c>
      <c r="N14" s="1332">
        <v>10</v>
      </c>
      <c r="O14" s="1327">
        <v>2070</v>
      </c>
      <c r="P14" s="1334">
        <v>797.98</v>
      </c>
      <c r="Q14" s="1334">
        <f t="shared" si="1"/>
        <v>80</v>
      </c>
      <c r="R14" s="1334">
        <f t="shared" si="3"/>
        <v>400</v>
      </c>
      <c r="S14" s="1351">
        <v>9.4999999999999998E-3</v>
      </c>
      <c r="T14" s="1332">
        <v>400</v>
      </c>
      <c r="U14" s="1351">
        <v>-4.8899999999999999E-2</v>
      </c>
      <c r="V14" s="1351">
        <v>5.8400000000000001E-2</v>
      </c>
      <c r="W14" s="1332" t="s">
        <v>6799</v>
      </c>
      <c r="X14" s="1334">
        <v>6851.9</v>
      </c>
      <c r="Y14" s="1334">
        <v>68.519000000000005</v>
      </c>
    </row>
    <row r="15" spans="2:26" x14ac:dyDescent="0.25">
      <c r="B15" s="1332">
        <v>7</v>
      </c>
      <c r="C15" s="1332" t="s">
        <v>6782</v>
      </c>
      <c r="D15" s="1327">
        <v>724.21</v>
      </c>
      <c r="E15" s="1327">
        <v>853.81</v>
      </c>
      <c r="F15" s="1334">
        <f t="shared" si="0"/>
        <v>129.6</v>
      </c>
      <c r="G15" s="1334" t="str">
        <f t="shared" si="2"/>
        <v/>
      </c>
      <c r="N15" s="1332">
        <v>11</v>
      </c>
      <c r="O15" s="1327">
        <v>2680</v>
      </c>
      <c r="P15" s="1334">
        <v>768.14</v>
      </c>
      <c r="Q15" s="1334">
        <f t="shared" si="1"/>
        <v>370</v>
      </c>
      <c r="R15" s="1334">
        <f t="shared" si="3"/>
        <v>80</v>
      </c>
      <c r="S15" s="1351">
        <v>-4.8899999999999999E-2</v>
      </c>
      <c r="T15" s="1332">
        <v>80</v>
      </c>
      <c r="U15" s="1351">
        <v>5.0000000000000001E-4</v>
      </c>
      <c r="V15" s="1351">
        <v>4.9399999999999999E-2</v>
      </c>
      <c r="W15" s="1332" t="s">
        <v>6800</v>
      </c>
      <c r="X15" s="1334">
        <v>1619.09</v>
      </c>
      <c r="Y15" s="1334">
        <v>16.190999999999999</v>
      </c>
    </row>
    <row r="16" spans="2:26" x14ac:dyDescent="0.25">
      <c r="B16" s="1622">
        <v>8</v>
      </c>
      <c r="C16" s="1332" t="s">
        <v>6780</v>
      </c>
      <c r="D16" s="1327">
        <v>853.81</v>
      </c>
      <c r="E16" s="1327">
        <v>903.81</v>
      </c>
      <c r="F16" s="1334" t="str">
        <f t="shared" si="0"/>
        <v/>
      </c>
      <c r="G16" s="1334">
        <f t="shared" si="2"/>
        <v>50</v>
      </c>
      <c r="N16" s="1332">
        <v>12</v>
      </c>
      <c r="O16" s="1327">
        <v>2790</v>
      </c>
      <c r="P16" s="1334">
        <v>768.19</v>
      </c>
      <c r="Q16" s="1334">
        <f t="shared" si="1"/>
        <v>20</v>
      </c>
      <c r="R16" s="1334">
        <f t="shared" si="3"/>
        <v>100</v>
      </c>
      <c r="S16" s="1351">
        <v>5.0000000000000001E-4</v>
      </c>
      <c r="T16" s="1332">
        <v>100</v>
      </c>
      <c r="U16" s="1351">
        <v>2.5399999999999999E-2</v>
      </c>
      <c r="V16" s="1351">
        <v>2.4899999999999999E-2</v>
      </c>
      <c r="W16" s="1332" t="s">
        <v>6800</v>
      </c>
      <c r="X16" s="1334">
        <v>4015.69</v>
      </c>
      <c r="Y16" s="1334">
        <v>40.156999999999996</v>
      </c>
    </row>
    <row r="17" spans="2:25" x14ac:dyDescent="0.25">
      <c r="B17" s="1622"/>
      <c r="C17" s="1332" t="s">
        <v>6779</v>
      </c>
      <c r="D17" s="1327">
        <v>903.81</v>
      </c>
      <c r="E17" s="1327">
        <v>952.65</v>
      </c>
      <c r="F17" s="1334" t="str">
        <f t="shared" si="0"/>
        <v/>
      </c>
      <c r="G17" s="1334">
        <f t="shared" si="2"/>
        <v>48.84</v>
      </c>
      <c r="H17" s="1332">
        <v>160</v>
      </c>
      <c r="N17" s="1332">
        <v>13</v>
      </c>
      <c r="O17" s="1327">
        <v>2970</v>
      </c>
      <c r="P17" s="1334">
        <v>772.76</v>
      </c>
      <c r="Q17" s="1334">
        <f t="shared" si="1"/>
        <v>50</v>
      </c>
      <c r="R17" s="1334">
        <f t="shared" si="3"/>
        <v>160</v>
      </c>
      <c r="S17" s="1351">
        <v>2.5399999999999999E-2</v>
      </c>
      <c r="T17" s="1332">
        <v>160</v>
      </c>
      <c r="U17" s="1351">
        <v>1.17E-2</v>
      </c>
      <c r="V17" s="1351">
        <v>1.37E-2</v>
      </c>
      <c r="W17" s="1332" t="s">
        <v>6799</v>
      </c>
      <c r="X17" s="1334">
        <v>11666.45</v>
      </c>
      <c r="Y17" s="1334">
        <v>116.66500000000001</v>
      </c>
    </row>
    <row r="18" spans="2:25" x14ac:dyDescent="0.25">
      <c r="B18" s="1622"/>
      <c r="C18" s="1332" t="s">
        <v>6780</v>
      </c>
      <c r="D18" s="1327">
        <v>952.65</v>
      </c>
      <c r="E18" s="1327">
        <v>1002.65</v>
      </c>
      <c r="F18" s="1334" t="str">
        <f t="shared" si="0"/>
        <v/>
      </c>
      <c r="G18" s="1334">
        <f t="shared" si="2"/>
        <v>50</v>
      </c>
      <c r="N18" s="1332">
        <v>14</v>
      </c>
      <c r="O18" s="1327">
        <v>3220</v>
      </c>
      <c r="P18" s="1334">
        <v>775.68</v>
      </c>
      <c r="Q18" s="1334">
        <f t="shared" si="1"/>
        <v>70</v>
      </c>
      <c r="R18" s="1334">
        <f t="shared" si="3"/>
        <v>200</v>
      </c>
      <c r="S18" s="1351">
        <v>1.17E-2</v>
      </c>
      <c r="T18" s="1332">
        <v>200</v>
      </c>
      <c r="U18" s="1351">
        <v>5.33E-2</v>
      </c>
      <c r="V18" s="1351">
        <v>4.1599999999999998E-2</v>
      </c>
      <c r="W18" s="1332" t="s">
        <v>6800</v>
      </c>
      <c r="X18" s="1334">
        <v>4802.37</v>
      </c>
      <c r="Y18" s="1334">
        <v>48.024000000000001</v>
      </c>
    </row>
    <row r="19" spans="2:25" x14ac:dyDescent="0.25">
      <c r="B19" s="1332">
        <v>9</v>
      </c>
      <c r="C19" s="1332" t="s">
        <v>6782</v>
      </c>
      <c r="D19" s="1327">
        <v>1002.65</v>
      </c>
      <c r="E19" s="1327">
        <v>1179.48</v>
      </c>
      <c r="F19" s="1334">
        <f t="shared" si="0"/>
        <v>176.83</v>
      </c>
      <c r="G19" s="1334" t="str">
        <f t="shared" si="2"/>
        <v/>
      </c>
      <c r="N19" s="1332">
        <v>15</v>
      </c>
      <c r="O19" s="1327">
        <v>4670</v>
      </c>
      <c r="P19" s="1334">
        <v>853</v>
      </c>
      <c r="Q19" s="1334">
        <f t="shared" si="1"/>
        <v>1200</v>
      </c>
      <c r="R19" s="1334">
        <f t="shared" si="3"/>
        <v>300</v>
      </c>
      <c r="S19" s="1351">
        <v>5.33E-2</v>
      </c>
      <c r="T19" s="1332">
        <v>300</v>
      </c>
      <c r="U19" s="1351">
        <v>-6.5100000000000005E-2</v>
      </c>
      <c r="V19" s="1351">
        <v>0.11840000000000001</v>
      </c>
      <c r="W19" s="1332" t="s">
        <v>6799</v>
      </c>
      <c r="X19" s="1334">
        <v>2532.94</v>
      </c>
      <c r="Y19" s="1334">
        <v>25.329000000000001</v>
      </c>
    </row>
    <row r="20" spans="2:25" x14ac:dyDescent="0.25">
      <c r="B20" s="1622">
        <v>10</v>
      </c>
      <c r="C20" s="1332" t="s">
        <v>6780</v>
      </c>
      <c r="D20" s="1327">
        <v>1179.48</v>
      </c>
      <c r="E20" s="1327">
        <v>1239.48</v>
      </c>
      <c r="F20" s="1334" t="str">
        <f t="shared" si="0"/>
        <v/>
      </c>
      <c r="G20" s="1334">
        <f t="shared" si="2"/>
        <v>60</v>
      </c>
      <c r="N20" s="1332">
        <v>16</v>
      </c>
      <c r="O20" s="1327">
        <v>5100</v>
      </c>
      <c r="P20" s="1334">
        <v>825</v>
      </c>
      <c r="Q20" s="1334">
        <f t="shared" si="1"/>
        <v>190</v>
      </c>
      <c r="R20" s="1334">
        <f t="shared" si="3"/>
        <v>180</v>
      </c>
      <c r="S20" s="1351">
        <v>-6.5100000000000005E-2</v>
      </c>
      <c r="T20" s="1332">
        <v>180</v>
      </c>
      <c r="U20" s="1351">
        <v>-1.67E-2</v>
      </c>
      <c r="V20" s="1351">
        <v>4.8399999999999999E-2</v>
      </c>
      <c r="W20" s="1332" t="s">
        <v>6800</v>
      </c>
      <c r="X20" s="1334">
        <v>3715.2</v>
      </c>
      <c r="Y20" s="1334">
        <v>37.152000000000001</v>
      </c>
    </row>
    <row r="21" spans="2:25" x14ac:dyDescent="0.25">
      <c r="B21" s="1622"/>
      <c r="C21" s="1332" t="s">
        <v>6779</v>
      </c>
      <c r="D21" s="1327">
        <v>1239.48</v>
      </c>
      <c r="E21" s="1327">
        <v>1301.1199999999999</v>
      </c>
      <c r="F21" s="1334" t="str">
        <f t="shared" si="0"/>
        <v/>
      </c>
      <c r="G21" s="1334">
        <f t="shared" si="2"/>
        <v>61.64</v>
      </c>
      <c r="H21" s="1332">
        <v>1500</v>
      </c>
      <c r="N21" s="1332">
        <v>17</v>
      </c>
      <c r="O21" s="1327">
        <v>5340</v>
      </c>
      <c r="P21" s="1334">
        <v>821</v>
      </c>
      <c r="Q21" s="1334">
        <f t="shared" si="1"/>
        <v>70</v>
      </c>
      <c r="R21" s="1334">
        <f t="shared" si="3"/>
        <v>160</v>
      </c>
      <c r="S21" s="1351">
        <v>-1.67E-2</v>
      </c>
      <c r="T21" s="1332">
        <v>160</v>
      </c>
      <c r="U21" s="1351">
        <v>-0.06</v>
      </c>
      <c r="V21" s="1351">
        <v>4.3299999999999998E-2</v>
      </c>
      <c r="W21" s="1332" t="s">
        <v>6799</v>
      </c>
      <c r="X21" s="1334">
        <v>3694.35</v>
      </c>
      <c r="Y21" s="1334">
        <v>36.942999999999998</v>
      </c>
    </row>
    <row r="22" spans="2:25" ht="15.75" thickBot="1" x14ac:dyDescent="0.3">
      <c r="B22" s="1622"/>
      <c r="C22" s="1332" t="s">
        <v>6780</v>
      </c>
      <c r="D22" s="1327">
        <v>1301.1199999999999</v>
      </c>
      <c r="E22" s="1327">
        <v>1361.12</v>
      </c>
      <c r="F22" s="1334" t="str">
        <f t="shared" si="0"/>
        <v/>
      </c>
      <c r="G22" s="1334">
        <f t="shared" si="2"/>
        <v>60</v>
      </c>
      <c r="N22" s="1332">
        <v>18</v>
      </c>
      <c r="O22" s="1335">
        <v>6770</v>
      </c>
      <c r="P22" s="1334">
        <v>735.23</v>
      </c>
      <c r="Q22" s="1334">
        <f t="shared" si="1"/>
        <v>1290</v>
      </c>
      <c r="R22" s="1334">
        <f t="shared" si="3"/>
        <v>120</v>
      </c>
      <c r="S22" s="1351">
        <v>-0.06</v>
      </c>
      <c r="T22" s="1332">
        <v>120</v>
      </c>
      <c r="U22" s="1351">
        <v>1.61E-2</v>
      </c>
      <c r="V22" s="1351">
        <v>7.5999999999999998E-2</v>
      </c>
      <c r="W22" s="1332" t="s">
        <v>6800</v>
      </c>
      <c r="X22" s="1334">
        <v>1578.36</v>
      </c>
      <c r="Y22" s="1334">
        <v>15.784000000000001</v>
      </c>
    </row>
    <row r="23" spans="2:25" x14ac:dyDescent="0.25">
      <c r="B23" s="1332">
        <v>11</v>
      </c>
      <c r="C23" s="1332" t="s">
        <v>6782</v>
      </c>
      <c r="D23" s="1327">
        <v>1361.12</v>
      </c>
      <c r="E23" s="1327">
        <v>1666.93</v>
      </c>
      <c r="F23" s="1334">
        <f t="shared" si="0"/>
        <v>305.81</v>
      </c>
      <c r="G23" s="1334" t="str">
        <f t="shared" si="2"/>
        <v/>
      </c>
      <c r="N23" s="1336">
        <v>19</v>
      </c>
      <c r="O23" s="1338">
        <v>6870</v>
      </c>
      <c r="P23" s="1339">
        <v>736.84</v>
      </c>
      <c r="Q23" s="1339">
        <f t="shared" si="1"/>
        <v>0</v>
      </c>
      <c r="R23" s="1339">
        <f t="shared" si="3"/>
        <v>80</v>
      </c>
      <c r="S23" s="1352">
        <v>1.61E-2</v>
      </c>
      <c r="T23" s="1337">
        <v>80</v>
      </c>
      <c r="U23" s="1352">
        <v>4.19E-2</v>
      </c>
      <c r="V23" s="1352">
        <v>2.58E-2</v>
      </c>
      <c r="W23" s="1337" t="s">
        <v>6800</v>
      </c>
      <c r="X23" s="1339">
        <v>3097.22</v>
      </c>
      <c r="Y23" s="1353">
        <v>30.972000000000001</v>
      </c>
    </row>
    <row r="24" spans="2:25" x14ac:dyDescent="0.25">
      <c r="B24" s="1622">
        <v>12</v>
      </c>
      <c r="C24" s="1332" t="s">
        <v>6780</v>
      </c>
      <c r="D24" s="1327">
        <v>1666.93</v>
      </c>
      <c r="E24" s="1327">
        <v>1706.93</v>
      </c>
      <c r="F24" s="1334" t="str">
        <f t="shared" si="0"/>
        <v/>
      </c>
      <c r="G24" s="1334">
        <f t="shared" si="2"/>
        <v>40</v>
      </c>
      <c r="N24" s="1341">
        <v>20</v>
      </c>
      <c r="O24" s="1333">
        <v>7110</v>
      </c>
      <c r="P24" s="1343">
        <v>746.89</v>
      </c>
      <c r="Q24" s="1343">
        <f t="shared" si="1"/>
        <v>75</v>
      </c>
      <c r="R24" s="1343">
        <f t="shared" si="3"/>
        <v>250</v>
      </c>
      <c r="S24" s="1354">
        <v>4.19E-2</v>
      </c>
      <c r="T24" s="1342">
        <v>250</v>
      </c>
      <c r="U24" s="1354">
        <v>5.8000000000000003E-2</v>
      </c>
      <c r="V24" s="1354">
        <v>1.61E-2</v>
      </c>
      <c r="W24" s="1342" t="s">
        <v>6800</v>
      </c>
      <c r="X24" s="1343">
        <v>15515.81</v>
      </c>
      <c r="Y24" s="1355">
        <v>155.15799999999999</v>
      </c>
    </row>
    <row r="25" spans="2:25" x14ac:dyDescent="0.25">
      <c r="B25" s="1622"/>
      <c r="C25" s="1332" t="s">
        <v>6779</v>
      </c>
      <c r="D25" s="1327">
        <v>1706.93</v>
      </c>
      <c r="E25" s="1327">
        <v>1735.17</v>
      </c>
      <c r="F25" s="1334" t="str">
        <f t="shared" si="0"/>
        <v/>
      </c>
      <c r="G25" s="1334">
        <f t="shared" si="2"/>
        <v>28.24</v>
      </c>
      <c r="H25" s="1332">
        <v>160</v>
      </c>
      <c r="N25" s="1341">
        <v>21</v>
      </c>
      <c r="O25" s="1333">
        <v>7310</v>
      </c>
      <c r="P25" s="1343">
        <v>758.49</v>
      </c>
      <c r="Q25" s="1343">
        <f t="shared" si="1"/>
        <v>25</v>
      </c>
      <c r="R25" s="1343">
        <f t="shared" si="3"/>
        <v>100</v>
      </c>
      <c r="S25" s="1354">
        <v>5.8000000000000003E-2</v>
      </c>
      <c r="T25" s="1342">
        <v>100</v>
      </c>
      <c r="U25" s="1354">
        <v>2.7E-2</v>
      </c>
      <c r="V25" s="1354">
        <v>3.1E-2</v>
      </c>
      <c r="W25" s="1342" t="s">
        <v>6799</v>
      </c>
      <c r="X25" s="1343">
        <v>3227.11</v>
      </c>
      <c r="Y25" s="1355">
        <v>32.271000000000001</v>
      </c>
    </row>
    <row r="26" spans="2:25" x14ac:dyDescent="0.25">
      <c r="B26" s="1622"/>
      <c r="C26" s="1332" t="s">
        <v>6780</v>
      </c>
      <c r="D26" s="1327">
        <v>1735.17</v>
      </c>
      <c r="E26" s="1327">
        <v>1775.17</v>
      </c>
      <c r="F26" s="1334" t="str">
        <f t="shared" si="0"/>
        <v/>
      </c>
      <c r="G26" s="1334">
        <f t="shared" si="2"/>
        <v>40</v>
      </c>
      <c r="N26" s="1341">
        <v>22</v>
      </c>
      <c r="O26" s="1333">
        <v>7410</v>
      </c>
      <c r="P26" s="1343">
        <v>761.19</v>
      </c>
      <c r="Q26" s="1343">
        <f t="shared" si="1"/>
        <v>20</v>
      </c>
      <c r="R26" s="1343">
        <f t="shared" si="3"/>
        <v>60</v>
      </c>
      <c r="S26" s="1354">
        <v>2.7E-2</v>
      </c>
      <c r="T26" s="1342">
        <v>60</v>
      </c>
      <c r="U26" s="1354">
        <v>3.8800000000000001E-2</v>
      </c>
      <c r="V26" s="1354">
        <v>1.18E-2</v>
      </c>
      <c r="W26" s="1342" t="s">
        <v>6800</v>
      </c>
      <c r="X26" s="1343">
        <v>5091.82</v>
      </c>
      <c r="Y26" s="1355">
        <v>50.917999999999999</v>
      </c>
    </row>
    <row r="27" spans="2:25" x14ac:dyDescent="0.25">
      <c r="B27" s="1332">
        <v>13</v>
      </c>
      <c r="C27" s="1332" t="s">
        <v>6782</v>
      </c>
      <c r="D27" s="1327">
        <v>1775.17</v>
      </c>
      <c r="E27" s="1327">
        <v>1838.2</v>
      </c>
      <c r="F27" s="1334">
        <f t="shared" si="0"/>
        <v>63.03</v>
      </c>
      <c r="G27" s="1334" t="str">
        <f t="shared" si="2"/>
        <v/>
      </c>
      <c r="N27" s="1341">
        <v>23</v>
      </c>
      <c r="O27" s="1333">
        <v>7520</v>
      </c>
      <c r="P27" s="1343">
        <v>765.46</v>
      </c>
      <c r="Q27" s="1343">
        <f t="shared" si="1"/>
        <v>50</v>
      </c>
      <c r="R27" s="1343">
        <f t="shared" si="3"/>
        <v>60</v>
      </c>
      <c r="S27" s="1354">
        <v>3.8800000000000001E-2</v>
      </c>
      <c r="T27" s="1342">
        <v>60</v>
      </c>
      <c r="U27" s="1354">
        <v>-4.8800000000000003E-2</v>
      </c>
      <c r="V27" s="1354">
        <v>8.7599999999999997E-2</v>
      </c>
      <c r="W27" s="1342" t="s">
        <v>6799</v>
      </c>
      <c r="X27" s="1343">
        <v>684.87</v>
      </c>
      <c r="Y27" s="1355">
        <v>6.8490000000000002</v>
      </c>
    </row>
    <row r="28" spans="2:25" ht="15.75" thickBot="1" x14ac:dyDescent="0.3">
      <c r="B28" s="1622">
        <v>14</v>
      </c>
      <c r="C28" s="1332" t="s">
        <v>6780</v>
      </c>
      <c r="D28" s="1327">
        <v>1838.2</v>
      </c>
      <c r="E28" s="1327">
        <v>1868.2</v>
      </c>
      <c r="F28" s="1334" t="str">
        <f t="shared" si="0"/>
        <v/>
      </c>
      <c r="G28" s="1334">
        <f t="shared" si="2"/>
        <v>30</v>
      </c>
      <c r="N28" s="1345">
        <v>24</v>
      </c>
      <c r="O28" s="1347">
        <v>7560</v>
      </c>
      <c r="P28" s="1348">
        <v>763.5</v>
      </c>
      <c r="Q28" s="1348">
        <f t="shared" si="1"/>
        <v>10</v>
      </c>
      <c r="R28" s="1348">
        <f t="shared" si="3"/>
        <v>0</v>
      </c>
      <c r="S28" s="1356">
        <v>-4.8800000000000003E-2</v>
      </c>
      <c r="T28" s="1346"/>
      <c r="U28" s="1346"/>
      <c r="V28" s="1346"/>
      <c r="W28" s="1346"/>
      <c r="X28" s="1348"/>
      <c r="Y28" s="1357"/>
    </row>
    <row r="29" spans="2:25" x14ac:dyDescent="0.25">
      <c r="B29" s="1622"/>
      <c r="C29" s="1332" t="s">
        <v>6779</v>
      </c>
      <c r="D29" s="1327">
        <v>1868.2</v>
      </c>
      <c r="E29" s="1327">
        <v>1908.36</v>
      </c>
      <c r="F29" s="1334" t="str">
        <f t="shared" si="0"/>
        <v/>
      </c>
      <c r="G29" s="1334">
        <f t="shared" si="2"/>
        <v>40.159999999999997</v>
      </c>
      <c r="H29" s="1332">
        <v>160</v>
      </c>
      <c r="P29" s="1332" t="s">
        <v>96</v>
      </c>
      <c r="Q29" s="1334">
        <f>SUM(Q5:Q28)</f>
        <v>4170</v>
      </c>
      <c r="R29" s="1334">
        <f>SUM(R5:R28)</f>
        <v>3390</v>
      </c>
    </row>
    <row r="30" spans="2:25" x14ac:dyDescent="0.25">
      <c r="B30" s="1622"/>
      <c r="C30" s="1332" t="s">
        <v>6780</v>
      </c>
      <c r="D30" s="1327">
        <v>1908.36</v>
      </c>
      <c r="E30" s="1327">
        <v>1938.36</v>
      </c>
      <c r="F30" s="1334" t="str">
        <f t="shared" si="0"/>
        <v/>
      </c>
      <c r="G30" s="1334">
        <f t="shared" si="2"/>
        <v>30</v>
      </c>
      <c r="P30" s="1332" t="s">
        <v>6783</v>
      </c>
      <c r="Q30" s="1334">
        <f>SUM(Q5:Q22)</f>
        <v>3990</v>
      </c>
      <c r="R30" s="1334">
        <f>SUM(R5:R22)</f>
        <v>2840</v>
      </c>
    </row>
    <row r="31" spans="2:25" x14ac:dyDescent="0.25">
      <c r="B31" s="1332">
        <v>15</v>
      </c>
      <c r="C31" s="1332" t="s">
        <v>6782</v>
      </c>
      <c r="D31" s="1327">
        <v>1938.36</v>
      </c>
      <c r="E31" s="1327">
        <v>1951.44</v>
      </c>
      <c r="F31" s="1334">
        <f t="shared" si="0"/>
        <v>13.08</v>
      </c>
      <c r="G31" s="1334" t="str">
        <f t="shared" si="2"/>
        <v/>
      </c>
      <c r="P31" s="1332" t="s">
        <v>6784</v>
      </c>
      <c r="Q31" s="1334">
        <f>SUM(Q23:Q28)</f>
        <v>180</v>
      </c>
      <c r="R31" s="1334">
        <f>SUM(R23:R28)</f>
        <v>550</v>
      </c>
      <c r="S31" s="1334"/>
    </row>
    <row r="32" spans="2:25" x14ac:dyDescent="0.25">
      <c r="B32" s="1622">
        <v>16</v>
      </c>
      <c r="C32" s="1332" t="s">
        <v>6780</v>
      </c>
      <c r="D32" s="1327">
        <v>1951.44</v>
      </c>
      <c r="E32" s="1327">
        <v>2001.44</v>
      </c>
      <c r="F32" s="1334" t="str">
        <f t="shared" si="0"/>
        <v/>
      </c>
      <c r="G32" s="1334">
        <f t="shared" si="2"/>
        <v>50</v>
      </c>
      <c r="S32" s="1334"/>
    </row>
    <row r="33" spans="2:21" x14ac:dyDescent="0.25">
      <c r="B33" s="1622"/>
      <c r="C33" s="1332" t="s">
        <v>6779</v>
      </c>
      <c r="D33" s="1327">
        <v>2001.44</v>
      </c>
      <c r="E33" s="1327">
        <v>2057.02</v>
      </c>
      <c r="F33" s="1334" t="str">
        <f t="shared" si="0"/>
        <v/>
      </c>
      <c r="G33" s="1334">
        <f t="shared" si="2"/>
        <v>55.58</v>
      </c>
      <c r="H33" s="1332">
        <v>200</v>
      </c>
      <c r="Q33" s="1332" t="str">
        <f>P30</f>
        <v>Rural</v>
      </c>
      <c r="R33" s="1332" t="str">
        <f>P31</f>
        <v>Urbana</v>
      </c>
      <c r="S33" s="1334"/>
    </row>
    <row r="34" spans="2:21" x14ac:dyDescent="0.25">
      <c r="B34" s="1622"/>
      <c r="C34" s="1332" t="s">
        <v>6780</v>
      </c>
      <c r="D34" s="1327">
        <v>2057.02</v>
      </c>
      <c r="E34" s="1327">
        <v>2107.02</v>
      </c>
      <c r="F34" s="1334" t="str">
        <f t="shared" si="0"/>
        <v/>
      </c>
      <c r="G34" s="1334">
        <f t="shared" si="2"/>
        <v>50</v>
      </c>
      <c r="P34" s="1332" t="s">
        <v>6803</v>
      </c>
      <c r="Q34" s="1359" cm="1">
        <f t="array" ref="Q34">MIN(ABS(S6:S22))</f>
        <v>5.0000000000000001E-4</v>
      </c>
      <c r="R34" s="1359" cm="1">
        <f t="array" ref="R34">MIN(ABS(S23:S28))</f>
        <v>1.61E-2</v>
      </c>
      <c r="S34" s="1358"/>
      <c r="T34"/>
      <c r="U34"/>
    </row>
    <row r="35" spans="2:21" x14ac:dyDescent="0.25">
      <c r="B35" s="1332">
        <v>17</v>
      </c>
      <c r="C35" s="1332" t="s">
        <v>6782</v>
      </c>
      <c r="D35" s="1327">
        <v>2107.02</v>
      </c>
      <c r="E35" s="1327">
        <v>2229.87</v>
      </c>
      <c r="F35" s="1334">
        <f t="shared" si="0"/>
        <v>122.85</v>
      </c>
      <c r="G35" s="1334" t="str">
        <f t="shared" si="2"/>
        <v/>
      </c>
      <c r="P35" s="1332" t="s">
        <v>6802</v>
      </c>
      <c r="Q35" s="1359" cm="1">
        <f t="array" ref="Q35">MAX(ABS(S6:S22))</f>
        <v>0.11</v>
      </c>
      <c r="R35" s="1359" cm="1">
        <f t="array" ref="R35">MAX(ABS(S23:S28))</f>
        <v>5.8000000000000003E-2</v>
      </c>
      <c r="S35" s="1358"/>
      <c r="T35"/>
      <c r="U35"/>
    </row>
    <row r="36" spans="2:21" x14ac:dyDescent="0.25">
      <c r="B36" s="1622">
        <v>18</v>
      </c>
      <c r="C36" s="1332" t="s">
        <v>6780</v>
      </c>
      <c r="D36" s="1327">
        <v>2229.87</v>
      </c>
      <c r="E36" s="1327">
        <v>2269.87</v>
      </c>
      <c r="F36" s="1334" t="str">
        <f t="shared" si="0"/>
        <v/>
      </c>
      <c r="G36" s="1334">
        <f t="shared" si="2"/>
        <v>40</v>
      </c>
      <c r="P36" s="1332" t="s">
        <v>6801</v>
      </c>
      <c r="Q36" s="1334" cm="1">
        <f t="array" ref="Q36">MIN(ABS(Y7:Y22))</f>
        <v>12.5</v>
      </c>
      <c r="R36" s="1334" cm="1">
        <f t="array" ref="R36">MIN(ABS(Y23:Y27))</f>
        <v>6.85</v>
      </c>
      <c r="S36"/>
      <c r="T36"/>
      <c r="U36" s="1358"/>
    </row>
    <row r="37" spans="2:21" x14ac:dyDescent="0.25">
      <c r="B37" s="1622"/>
      <c r="C37" s="1332" t="s">
        <v>6779</v>
      </c>
      <c r="D37" s="1327">
        <v>2269.87</v>
      </c>
      <c r="E37" s="1327">
        <v>2335.9</v>
      </c>
      <c r="F37" s="1334" t="str">
        <f t="shared" si="0"/>
        <v/>
      </c>
      <c r="G37" s="1334">
        <f t="shared" si="2"/>
        <v>66.03</v>
      </c>
      <c r="H37" s="1332">
        <v>160</v>
      </c>
      <c r="P37" s="1332" t="s">
        <v>6804</v>
      </c>
      <c r="Q37" s="1334" cm="1">
        <f t="array" ref="Q37">MAX(ABS(Y7:Y22))</f>
        <v>116.67</v>
      </c>
      <c r="R37" s="1334" cm="1">
        <f t="array" ref="R37">MAX(ABS(Y23:Y27))</f>
        <v>155.16</v>
      </c>
      <c r="S37"/>
      <c r="T37"/>
      <c r="U37"/>
    </row>
    <row r="38" spans="2:21" x14ac:dyDescent="0.25">
      <c r="B38" s="1622"/>
      <c r="C38" s="1332" t="s">
        <v>6780</v>
      </c>
      <c r="D38" s="1327">
        <v>2335.9</v>
      </c>
      <c r="E38" s="1327">
        <v>2375.9</v>
      </c>
      <c r="F38" s="1334" t="str">
        <f t="shared" si="0"/>
        <v/>
      </c>
      <c r="G38" s="1334">
        <f t="shared" si="2"/>
        <v>40</v>
      </c>
      <c r="Q38" s="1334"/>
      <c r="R38" s="1334"/>
    </row>
    <row r="39" spans="2:21" x14ac:dyDescent="0.25">
      <c r="B39" s="1332">
        <v>19</v>
      </c>
      <c r="C39" s="1332" t="s">
        <v>6782</v>
      </c>
      <c r="D39" s="1327">
        <v>2375.9</v>
      </c>
      <c r="E39" s="1327">
        <v>2490.0300000000002</v>
      </c>
      <c r="F39" s="1334">
        <f t="shared" si="0"/>
        <v>114.13</v>
      </c>
      <c r="G39" s="1334" t="str">
        <f t="shared" si="2"/>
        <v/>
      </c>
      <c r="Q39" s="1334"/>
      <c r="R39" s="1334"/>
    </row>
    <row r="40" spans="2:21" x14ac:dyDescent="0.25">
      <c r="B40" s="1622">
        <v>20</v>
      </c>
      <c r="C40" s="1332" t="s">
        <v>6780</v>
      </c>
      <c r="D40" s="1327">
        <v>2490.0300000000002</v>
      </c>
      <c r="E40" s="1327">
        <v>2530.0300000000002</v>
      </c>
      <c r="F40" s="1334" t="str">
        <f t="shared" si="0"/>
        <v/>
      </c>
      <c r="G40" s="1334">
        <f t="shared" si="2"/>
        <v>40</v>
      </c>
      <c r="Q40" s="1334"/>
      <c r="R40" s="1334"/>
    </row>
    <row r="41" spans="2:21" x14ac:dyDescent="0.25">
      <c r="B41" s="1622"/>
      <c r="C41" s="1332" t="s">
        <v>6779</v>
      </c>
      <c r="D41" s="1327">
        <v>2530.0300000000002</v>
      </c>
      <c r="E41" s="1327">
        <v>2568.46</v>
      </c>
      <c r="F41" s="1334" t="str">
        <f t="shared" si="0"/>
        <v/>
      </c>
      <c r="G41" s="1334">
        <f t="shared" si="2"/>
        <v>38.43</v>
      </c>
      <c r="H41" s="1332">
        <v>160</v>
      </c>
      <c r="Q41" s="1334"/>
      <c r="R41" s="1334"/>
    </row>
    <row r="42" spans="2:21" x14ac:dyDescent="0.25">
      <c r="B42" s="1622"/>
      <c r="C42" s="1332" t="s">
        <v>6780</v>
      </c>
      <c r="D42" s="1327">
        <v>2568.46</v>
      </c>
      <c r="E42" s="1327">
        <v>2608.46</v>
      </c>
      <c r="F42" s="1334" t="str">
        <f t="shared" si="0"/>
        <v/>
      </c>
      <c r="G42" s="1334">
        <f t="shared" si="2"/>
        <v>40</v>
      </c>
    </row>
    <row r="43" spans="2:21" x14ac:dyDescent="0.25">
      <c r="B43" s="1332">
        <v>21</v>
      </c>
      <c r="C43" s="1332" t="s">
        <v>6782</v>
      </c>
      <c r="D43" s="1327">
        <v>2608.46</v>
      </c>
      <c r="E43" s="1327">
        <v>2612.86</v>
      </c>
      <c r="F43" s="1334">
        <f t="shared" si="0"/>
        <v>4.4000000000000004</v>
      </c>
      <c r="G43" s="1334" t="str">
        <f t="shared" si="2"/>
        <v/>
      </c>
    </row>
    <row r="44" spans="2:21" x14ac:dyDescent="0.25">
      <c r="B44" s="1622">
        <v>22</v>
      </c>
      <c r="C44" s="1332" t="s">
        <v>6780</v>
      </c>
      <c r="D44" s="1327">
        <v>2612.86</v>
      </c>
      <c r="E44" s="1327">
        <v>2632.86</v>
      </c>
      <c r="F44" s="1334" t="str">
        <f t="shared" si="0"/>
        <v/>
      </c>
      <c r="G44" s="1334">
        <f t="shared" si="2"/>
        <v>20</v>
      </c>
    </row>
    <row r="45" spans="2:21" x14ac:dyDescent="0.25">
      <c r="B45" s="1622"/>
      <c r="C45" s="1332" t="s">
        <v>6779</v>
      </c>
      <c r="D45" s="1327">
        <v>2632.86</v>
      </c>
      <c r="E45" s="1327">
        <v>2698.56</v>
      </c>
      <c r="F45" s="1334" t="str">
        <f t="shared" si="0"/>
        <v/>
      </c>
      <c r="G45" s="1334">
        <f t="shared" si="2"/>
        <v>65.7</v>
      </c>
      <c r="H45" s="1332">
        <v>60</v>
      </c>
    </row>
    <row r="46" spans="2:21" x14ac:dyDescent="0.25">
      <c r="B46" s="1622"/>
      <c r="C46" s="1332" t="s">
        <v>6780</v>
      </c>
      <c r="D46" s="1327">
        <v>2698.56</v>
      </c>
      <c r="E46" s="1327">
        <v>2718.56</v>
      </c>
      <c r="F46" s="1334" t="str">
        <f t="shared" si="0"/>
        <v/>
      </c>
      <c r="G46" s="1334">
        <f t="shared" si="2"/>
        <v>20</v>
      </c>
    </row>
    <row r="47" spans="2:21" x14ac:dyDescent="0.25">
      <c r="B47" s="1332">
        <v>23</v>
      </c>
      <c r="C47" s="1332" t="s">
        <v>6782</v>
      </c>
      <c r="D47" s="1327">
        <v>2718.56</v>
      </c>
      <c r="E47" s="1327">
        <v>2734.16</v>
      </c>
      <c r="F47" s="1334">
        <f t="shared" si="0"/>
        <v>15.6</v>
      </c>
      <c r="G47" s="1334" t="str">
        <f t="shared" si="2"/>
        <v/>
      </c>
    </row>
    <row r="48" spans="2:21" x14ac:dyDescent="0.25">
      <c r="B48" s="1622">
        <v>24</v>
      </c>
      <c r="C48" s="1332" t="s">
        <v>6780</v>
      </c>
      <c r="D48" s="1327">
        <v>2734.16</v>
      </c>
      <c r="E48" s="1327">
        <v>2764.16</v>
      </c>
      <c r="F48" s="1334" t="str">
        <f t="shared" si="0"/>
        <v/>
      </c>
      <c r="G48" s="1334">
        <f t="shared" si="2"/>
        <v>30</v>
      </c>
    </row>
    <row r="49" spans="2:8" x14ac:dyDescent="0.25">
      <c r="B49" s="1622"/>
      <c r="C49" s="1332" t="s">
        <v>6779</v>
      </c>
      <c r="D49" s="1327">
        <v>2764.16</v>
      </c>
      <c r="E49" s="1327">
        <v>2789.78</v>
      </c>
      <c r="F49" s="1334" t="str">
        <f t="shared" si="0"/>
        <v/>
      </c>
      <c r="G49" s="1334">
        <f t="shared" si="2"/>
        <v>25.62</v>
      </c>
      <c r="H49" s="1332">
        <v>300</v>
      </c>
    </row>
    <row r="50" spans="2:8" x14ac:dyDescent="0.25">
      <c r="B50" s="1622"/>
      <c r="C50" s="1332" t="s">
        <v>6780</v>
      </c>
      <c r="D50" s="1327">
        <v>2789.78</v>
      </c>
      <c r="E50" s="1327">
        <v>2819.78</v>
      </c>
      <c r="F50" s="1334" t="str">
        <f t="shared" si="0"/>
        <v/>
      </c>
      <c r="G50" s="1334">
        <f t="shared" si="2"/>
        <v>30</v>
      </c>
    </row>
    <row r="51" spans="2:8" x14ac:dyDescent="0.25">
      <c r="B51" s="1332">
        <v>25</v>
      </c>
      <c r="C51" s="1332" t="s">
        <v>6782</v>
      </c>
      <c r="D51" s="1327">
        <v>2819.78</v>
      </c>
      <c r="E51" s="1327">
        <v>2896.82</v>
      </c>
      <c r="F51" s="1334">
        <f t="shared" si="0"/>
        <v>77.040000000000006</v>
      </c>
      <c r="G51" s="1334" t="str">
        <f t="shared" si="2"/>
        <v/>
      </c>
    </row>
    <row r="52" spans="2:8" x14ac:dyDescent="0.25">
      <c r="B52" s="1622">
        <v>26</v>
      </c>
      <c r="C52" s="1332" t="s">
        <v>6780</v>
      </c>
      <c r="D52" s="1327">
        <v>2896.82</v>
      </c>
      <c r="E52" s="1327">
        <v>2956.82</v>
      </c>
      <c r="F52" s="1334" t="str">
        <f t="shared" si="0"/>
        <v/>
      </c>
      <c r="G52" s="1334">
        <f t="shared" si="2"/>
        <v>60</v>
      </c>
    </row>
    <row r="53" spans="2:8" x14ac:dyDescent="0.25">
      <c r="B53" s="1622"/>
      <c r="C53" s="1332" t="s">
        <v>6779</v>
      </c>
      <c r="D53" s="1327">
        <v>2956.82</v>
      </c>
      <c r="E53" s="1327">
        <v>3020.31</v>
      </c>
      <c r="F53" s="1334" t="str">
        <f t="shared" si="0"/>
        <v/>
      </c>
      <c r="G53" s="1334">
        <f t="shared" si="2"/>
        <v>63.49</v>
      </c>
      <c r="H53" s="1332">
        <v>120</v>
      </c>
    </row>
    <row r="54" spans="2:8" x14ac:dyDescent="0.25">
      <c r="B54" s="1622"/>
      <c r="C54" s="1332" t="s">
        <v>6780</v>
      </c>
      <c r="D54" s="1327">
        <v>3020.31</v>
      </c>
      <c r="E54" s="1327">
        <v>3080.31</v>
      </c>
      <c r="F54" s="1334" t="str">
        <f t="shared" si="0"/>
        <v/>
      </c>
      <c r="G54" s="1334">
        <f t="shared" si="2"/>
        <v>60</v>
      </c>
    </row>
    <row r="55" spans="2:8" x14ac:dyDescent="0.25">
      <c r="B55" s="1332">
        <v>27</v>
      </c>
      <c r="C55" s="1332" t="s">
        <v>6782</v>
      </c>
      <c r="D55" s="1327">
        <v>3080.31</v>
      </c>
      <c r="E55" s="1327">
        <v>3113.3</v>
      </c>
      <c r="F55" s="1334">
        <f t="shared" si="0"/>
        <v>32.99</v>
      </c>
      <c r="G55" s="1334" t="str">
        <f t="shared" si="2"/>
        <v/>
      </c>
    </row>
    <row r="56" spans="2:8" x14ac:dyDescent="0.25">
      <c r="B56" s="1622">
        <v>28</v>
      </c>
      <c r="C56" s="1332" t="s">
        <v>6780</v>
      </c>
      <c r="D56" s="1327">
        <v>3113.3</v>
      </c>
      <c r="E56" s="1327">
        <v>3143.3</v>
      </c>
      <c r="F56" s="1334" t="str">
        <f t="shared" si="0"/>
        <v/>
      </c>
      <c r="G56" s="1334">
        <f t="shared" si="2"/>
        <v>30</v>
      </c>
    </row>
    <row r="57" spans="2:8" x14ac:dyDescent="0.25">
      <c r="B57" s="1622"/>
      <c r="C57" s="1332" t="s">
        <v>6779</v>
      </c>
      <c r="D57" s="1327">
        <v>3143.3</v>
      </c>
      <c r="E57" s="1327">
        <v>3171.38</v>
      </c>
      <c r="F57" s="1334" t="str">
        <f t="shared" si="0"/>
        <v/>
      </c>
      <c r="G57" s="1334">
        <f t="shared" si="2"/>
        <v>28.08</v>
      </c>
      <c r="H57" s="1332">
        <v>120</v>
      </c>
    </row>
    <row r="58" spans="2:8" x14ac:dyDescent="0.25">
      <c r="B58" s="1622"/>
      <c r="C58" s="1332" t="s">
        <v>6780</v>
      </c>
      <c r="D58" s="1327">
        <v>3171.38</v>
      </c>
      <c r="E58" s="1327">
        <v>3201.38</v>
      </c>
      <c r="F58" s="1334" t="str">
        <f t="shared" si="0"/>
        <v/>
      </c>
      <c r="G58" s="1334">
        <f t="shared" si="2"/>
        <v>30</v>
      </c>
    </row>
    <row r="59" spans="2:8" x14ac:dyDescent="0.25">
      <c r="B59" s="1332">
        <v>29</v>
      </c>
      <c r="C59" s="1332" t="s">
        <v>6782</v>
      </c>
      <c r="D59" s="1327">
        <v>3201.38</v>
      </c>
      <c r="E59" s="1327">
        <v>3212.26</v>
      </c>
      <c r="F59" s="1334">
        <f t="shared" si="0"/>
        <v>10.88</v>
      </c>
      <c r="G59" s="1334" t="str">
        <f t="shared" si="2"/>
        <v/>
      </c>
    </row>
    <row r="60" spans="2:8" x14ac:dyDescent="0.25">
      <c r="B60" s="1622">
        <v>30</v>
      </c>
      <c r="C60" s="1332" t="s">
        <v>6780</v>
      </c>
      <c r="D60" s="1327">
        <v>3212.26</v>
      </c>
      <c r="E60" s="1327">
        <v>3242.26</v>
      </c>
      <c r="F60" s="1334" t="str">
        <f t="shared" si="0"/>
        <v/>
      </c>
      <c r="G60" s="1334">
        <f t="shared" si="2"/>
        <v>30</v>
      </c>
    </row>
    <row r="61" spans="2:8" x14ac:dyDescent="0.25">
      <c r="B61" s="1622"/>
      <c r="C61" s="1332" t="s">
        <v>6779</v>
      </c>
      <c r="D61" s="1327">
        <v>3242.26</v>
      </c>
      <c r="E61" s="1327">
        <v>3334.49</v>
      </c>
      <c r="F61" s="1334" t="str">
        <f t="shared" si="0"/>
        <v/>
      </c>
      <c r="G61" s="1334">
        <f t="shared" si="2"/>
        <v>92.23</v>
      </c>
      <c r="H61" s="1332">
        <v>120</v>
      </c>
    </row>
    <row r="62" spans="2:8" x14ac:dyDescent="0.25">
      <c r="B62" s="1622"/>
      <c r="C62" s="1332" t="s">
        <v>6780</v>
      </c>
      <c r="D62" s="1327">
        <v>3334.49</v>
      </c>
      <c r="E62" s="1327">
        <v>3364.49</v>
      </c>
      <c r="F62" s="1334" t="str">
        <f t="shared" si="0"/>
        <v/>
      </c>
      <c r="G62" s="1334">
        <f t="shared" si="2"/>
        <v>30</v>
      </c>
    </row>
    <row r="63" spans="2:8" x14ac:dyDescent="0.25">
      <c r="B63" s="1332">
        <v>31</v>
      </c>
      <c r="C63" s="1332" t="s">
        <v>6782</v>
      </c>
      <c r="D63" s="1327">
        <v>3364.49</v>
      </c>
      <c r="E63" s="1327">
        <v>3688.4</v>
      </c>
      <c r="F63" s="1334">
        <f t="shared" si="0"/>
        <v>323.91000000000003</v>
      </c>
      <c r="G63" s="1334" t="str">
        <f t="shared" si="2"/>
        <v/>
      </c>
    </row>
    <row r="64" spans="2:8" x14ac:dyDescent="0.25">
      <c r="B64" s="1622">
        <v>32</v>
      </c>
      <c r="C64" s="1332" t="s">
        <v>6780</v>
      </c>
      <c r="D64" s="1327">
        <v>3688.4</v>
      </c>
      <c r="E64" s="1327">
        <v>3738.4</v>
      </c>
      <c r="F64" s="1334" t="str">
        <f t="shared" si="0"/>
        <v/>
      </c>
      <c r="G64" s="1334">
        <f t="shared" si="2"/>
        <v>50</v>
      </c>
    </row>
    <row r="65" spans="2:8" x14ac:dyDescent="0.25">
      <c r="B65" s="1622"/>
      <c r="C65" s="1332" t="s">
        <v>6779</v>
      </c>
      <c r="D65" s="1327">
        <v>3738.4</v>
      </c>
      <c r="E65" s="1327">
        <v>3796.48</v>
      </c>
      <c r="F65" s="1334" t="str">
        <f t="shared" si="0"/>
        <v/>
      </c>
      <c r="G65" s="1334">
        <f t="shared" si="2"/>
        <v>58.08</v>
      </c>
      <c r="H65" s="1332">
        <v>250</v>
      </c>
    </row>
    <row r="66" spans="2:8" x14ac:dyDescent="0.25">
      <c r="B66" s="1622"/>
      <c r="C66" s="1332" t="s">
        <v>6780</v>
      </c>
      <c r="D66" s="1327">
        <v>3796.48</v>
      </c>
      <c r="E66" s="1327">
        <v>3846.48</v>
      </c>
      <c r="F66" s="1334" t="str">
        <f t="shared" si="0"/>
        <v/>
      </c>
      <c r="G66" s="1334">
        <f t="shared" si="2"/>
        <v>50</v>
      </c>
    </row>
    <row r="67" spans="2:8" x14ac:dyDescent="0.25">
      <c r="B67" s="1332">
        <v>33</v>
      </c>
      <c r="C67" s="1332" t="s">
        <v>6782</v>
      </c>
      <c r="D67" s="1327">
        <v>3846.48</v>
      </c>
      <c r="E67" s="1327">
        <v>3995.8</v>
      </c>
      <c r="F67" s="1334">
        <f t="shared" si="0"/>
        <v>149.32</v>
      </c>
      <c r="G67" s="1334" t="str">
        <f t="shared" si="2"/>
        <v/>
      </c>
    </row>
    <row r="68" spans="2:8" x14ac:dyDescent="0.25">
      <c r="B68" s="1622">
        <v>34</v>
      </c>
      <c r="C68" s="1332" t="s">
        <v>6780</v>
      </c>
      <c r="D68" s="1327">
        <v>3995.8</v>
      </c>
      <c r="E68" s="1327">
        <v>4025.8</v>
      </c>
      <c r="F68" s="1334" t="str">
        <f t="shared" si="0"/>
        <v/>
      </c>
      <c r="G68" s="1334">
        <f t="shared" si="2"/>
        <v>30</v>
      </c>
    </row>
    <row r="69" spans="2:8" x14ac:dyDescent="0.25">
      <c r="B69" s="1622"/>
      <c r="C69" s="1332" t="s">
        <v>6779</v>
      </c>
      <c r="D69" s="1327">
        <v>4025.8</v>
      </c>
      <c r="E69" s="1327">
        <v>4080.72</v>
      </c>
      <c r="F69" s="1334" t="str">
        <f t="shared" si="0"/>
        <v/>
      </c>
      <c r="G69" s="1334">
        <f t="shared" si="2"/>
        <v>54.92</v>
      </c>
      <c r="H69" s="1332">
        <v>140</v>
      </c>
    </row>
    <row r="70" spans="2:8" x14ac:dyDescent="0.25">
      <c r="B70" s="1622"/>
      <c r="C70" s="1332" t="s">
        <v>6780</v>
      </c>
      <c r="D70" s="1327">
        <v>4080.72</v>
      </c>
      <c r="E70" s="1327">
        <v>4110.72</v>
      </c>
      <c r="F70" s="1334" t="str">
        <f t="shared" ref="F70:F101" si="4">IF(C70=$F$4,E70-D70,"")</f>
        <v/>
      </c>
      <c r="G70" s="1334">
        <f t="shared" si="2"/>
        <v>30</v>
      </c>
    </row>
    <row r="71" spans="2:8" x14ac:dyDescent="0.25">
      <c r="B71" s="1332">
        <v>35</v>
      </c>
      <c r="C71" s="1332" t="s">
        <v>6782</v>
      </c>
      <c r="D71" s="1327">
        <v>4110.72</v>
      </c>
      <c r="E71" s="1327">
        <v>4112.72</v>
      </c>
      <c r="F71" s="1334">
        <f t="shared" si="4"/>
        <v>2</v>
      </c>
      <c r="G71" s="1334" t="str">
        <f t="shared" ref="G71:G102" si="5">IF(C71=$F$4,"",E71-D71)</f>
        <v/>
      </c>
    </row>
    <row r="72" spans="2:8" x14ac:dyDescent="0.25">
      <c r="B72" s="1622">
        <v>36</v>
      </c>
      <c r="C72" s="1332" t="s">
        <v>6780</v>
      </c>
      <c r="D72" s="1327">
        <v>4112.72</v>
      </c>
      <c r="E72" s="1327">
        <v>4142.72</v>
      </c>
      <c r="F72" s="1334" t="str">
        <f t="shared" si="4"/>
        <v/>
      </c>
      <c r="G72" s="1334">
        <f t="shared" si="5"/>
        <v>30</v>
      </c>
    </row>
    <row r="73" spans="2:8" x14ac:dyDescent="0.25">
      <c r="B73" s="1622"/>
      <c r="C73" s="1332" t="s">
        <v>6779</v>
      </c>
      <c r="D73" s="1327">
        <v>4142.72</v>
      </c>
      <c r="E73" s="1327">
        <v>4209</v>
      </c>
      <c r="F73" s="1334" t="str">
        <f t="shared" si="4"/>
        <v/>
      </c>
      <c r="G73" s="1334">
        <f t="shared" si="5"/>
        <v>66.28</v>
      </c>
      <c r="H73" s="1332">
        <v>100</v>
      </c>
    </row>
    <row r="74" spans="2:8" x14ac:dyDescent="0.25">
      <c r="B74" s="1622"/>
      <c r="C74" s="1332" t="s">
        <v>6780</v>
      </c>
      <c r="D74" s="1327">
        <v>4209</v>
      </c>
      <c r="E74" s="1327">
        <v>4239</v>
      </c>
      <c r="F74" s="1334" t="str">
        <f t="shared" si="4"/>
        <v/>
      </c>
      <c r="G74" s="1334">
        <f t="shared" si="5"/>
        <v>30</v>
      </c>
    </row>
    <row r="75" spans="2:8" x14ac:dyDescent="0.25">
      <c r="B75" s="1332">
        <v>37</v>
      </c>
      <c r="C75" s="1332" t="s">
        <v>6782</v>
      </c>
      <c r="D75" s="1327">
        <v>4239</v>
      </c>
      <c r="E75" s="1327">
        <v>4247.79</v>
      </c>
      <c r="F75" s="1334">
        <f t="shared" si="4"/>
        <v>8.7899999999999991</v>
      </c>
      <c r="G75" s="1334" t="str">
        <f t="shared" si="5"/>
        <v/>
      </c>
    </row>
    <row r="76" spans="2:8" x14ac:dyDescent="0.25">
      <c r="B76" s="1622">
        <v>38</v>
      </c>
      <c r="C76" s="1332" t="s">
        <v>6780</v>
      </c>
      <c r="D76" s="1327">
        <v>4247.79</v>
      </c>
      <c r="E76" s="1327">
        <v>4277.79</v>
      </c>
      <c r="F76" s="1334" t="str">
        <f t="shared" si="4"/>
        <v/>
      </c>
      <c r="G76" s="1334">
        <f t="shared" si="5"/>
        <v>30</v>
      </c>
    </row>
    <row r="77" spans="2:8" x14ac:dyDescent="0.25">
      <c r="B77" s="1622"/>
      <c r="C77" s="1332" t="s">
        <v>6779</v>
      </c>
      <c r="D77" s="1327">
        <v>4277.79</v>
      </c>
      <c r="E77" s="1327">
        <v>4388.09</v>
      </c>
      <c r="F77" s="1334" t="str">
        <f t="shared" si="4"/>
        <v/>
      </c>
      <c r="G77" s="1334">
        <f t="shared" si="5"/>
        <v>110.3</v>
      </c>
      <c r="H77" s="1332">
        <v>120</v>
      </c>
    </row>
    <row r="78" spans="2:8" x14ac:dyDescent="0.25">
      <c r="B78" s="1622"/>
      <c r="C78" s="1332" t="s">
        <v>6780</v>
      </c>
      <c r="D78" s="1327">
        <v>4388.09</v>
      </c>
      <c r="E78" s="1327">
        <v>4418.09</v>
      </c>
      <c r="F78" s="1334" t="str">
        <f t="shared" si="4"/>
        <v/>
      </c>
      <c r="G78" s="1334">
        <f t="shared" si="5"/>
        <v>30</v>
      </c>
    </row>
    <row r="79" spans="2:8" x14ac:dyDescent="0.25">
      <c r="B79" s="1332">
        <v>39</v>
      </c>
      <c r="C79" s="1332" t="s">
        <v>6782</v>
      </c>
      <c r="D79" s="1327">
        <v>4418.09</v>
      </c>
      <c r="E79" s="1327">
        <v>4504.32</v>
      </c>
      <c r="F79" s="1334">
        <f t="shared" si="4"/>
        <v>86.23</v>
      </c>
      <c r="G79" s="1334" t="str">
        <f t="shared" si="5"/>
        <v/>
      </c>
    </row>
    <row r="80" spans="2:8" x14ac:dyDescent="0.25">
      <c r="B80" s="1622">
        <v>40</v>
      </c>
      <c r="C80" s="1332" t="s">
        <v>6780</v>
      </c>
      <c r="D80" s="1327">
        <v>4504.32</v>
      </c>
      <c r="E80" s="1327">
        <v>4534.32</v>
      </c>
      <c r="F80" s="1334" t="str">
        <f t="shared" si="4"/>
        <v/>
      </c>
      <c r="G80" s="1334">
        <f t="shared" si="5"/>
        <v>30</v>
      </c>
    </row>
    <row r="81" spans="2:8" x14ac:dyDescent="0.25">
      <c r="B81" s="1622"/>
      <c r="C81" s="1332" t="s">
        <v>6779</v>
      </c>
      <c r="D81" s="1327">
        <v>4534.32</v>
      </c>
      <c r="E81" s="1327">
        <v>4582.2</v>
      </c>
      <c r="F81" s="1334" t="str">
        <f t="shared" si="4"/>
        <v/>
      </c>
      <c r="G81" s="1334">
        <f t="shared" si="5"/>
        <v>47.88</v>
      </c>
      <c r="H81" s="1332">
        <v>120</v>
      </c>
    </row>
    <row r="82" spans="2:8" x14ac:dyDescent="0.25">
      <c r="B82" s="1622"/>
      <c r="C82" s="1332" t="s">
        <v>6780</v>
      </c>
      <c r="D82" s="1327">
        <v>4582.2</v>
      </c>
      <c r="E82" s="1327">
        <v>4612.2</v>
      </c>
      <c r="F82" s="1334" t="str">
        <f t="shared" si="4"/>
        <v/>
      </c>
      <c r="G82" s="1334">
        <f t="shared" si="5"/>
        <v>30</v>
      </c>
    </row>
    <row r="83" spans="2:8" x14ac:dyDescent="0.25">
      <c r="B83" s="1332">
        <v>41</v>
      </c>
      <c r="C83" s="1332" t="s">
        <v>6782</v>
      </c>
      <c r="D83" s="1327">
        <v>4612.2</v>
      </c>
      <c r="E83" s="1327">
        <v>4614.79</v>
      </c>
      <c r="F83" s="1334">
        <f t="shared" si="4"/>
        <v>2.59</v>
      </c>
      <c r="G83" s="1334" t="str">
        <f t="shared" si="5"/>
        <v/>
      </c>
    </row>
    <row r="84" spans="2:8" x14ac:dyDescent="0.25">
      <c r="B84" s="1622">
        <v>42</v>
      </c>
      <c r="C84" s="1332" t="s">
        <v>6780</v>
      </c>
      <c r="D84" s="1327">
        <v>4614.79</v>
      </c>
      <c r="E84" s="1327">
        <v>4654.79</v>
      </c>
      <c r="F84" s="1334" t="str">
        <f t="shared" si="4"/>
        <v/>
      </c>
      <c r="G84" s="1334">
        <f t="shared" si="5"/>
        <v>40</v>
      </c>
    </row>
    <row r="85" spans="2:8" x14ac:dyDescent="0.25">
      <c r="B85" s="1622"/>
      <c r="C85" s="1332" t="s">
        <v>6779</v>
      </c>
      <c r="D85" s="1327">
        <v>4654.79</v>
      </c>
      <c r="E85" s="1327">
        <v>4771.6099999999997</v>
      </c>
      <c r="F85" s="1334" t="str">
        <f t="shared" si="4"/>
        <v/>
      </c>
      <c r="G85" s="1334">
        <f t="shared" si="5"/>
        <v>116.82</v>
      </c>
      <c r="H85" s="1332">
        <v>90</v>
      </c>
    </row>
    <row r="86" spans="2:8" x14ac:dyDescent="0.25">
      <c r="B86" s="1622"/>
      <c r="C86" s="1332" t="s">
        <v>6780</v>
      </c>
      <c r="D86" s="1327">
        <v>4771.6099999999997</v>
      </c>
      <c r="E86" s="1327">
        <v>4811.6099999999997</v>
      </c>
      <c r="F86" s="1334" t="str">
        <f t="shared" si="4"/>
        <v/>
      </c>
      <c r="G86" s="1334">
        <f t="shared" si="5"/>
        <v>40</v>
      </c>
    </row>
    <row r="87" spans="2:8" x14ac:dyDescent="0.25">
      <c r="B87" s="1332">
        <v>43</v>
      </c>
      <c r="C87" s="1332" t="s">
        <v>6782</v>
      </c>
      <c r="D87" s="1327">
        <v>4811.6099999999997</v>
      </c>
      <c r="E87" s="1327">
        <v>4876.5200000000004</v>
      </c>
      <c r="F87" s="1334">
        <f t="shared" si="4"/>
        <v>64.91</v>
      </c>
      <c r="G87" s="1334" t="str">
        <f t="shared" si="5"/>
        <v/>
      </c>
    </row>
    <row r="88" spans="2:8" x14ac:dyDescent="0.25">
      <c r="B88" s="1622">
        <v>44</v>
      </c>
      <c r="C88" s="1332" t="s">
        <v>6780</v>
      </c>
      <c r="D88" s="1327">
        <v>4876.5200000000004</v>
      </c>
      <c r="E88" s="1327">
        <v>4936.5200000000004</v>
      </c>
      <c r="F88" s="1334" t="str">
        <f t="shared" si="4"/>
        <v/>
      </c>
      <c r="G88" s="1334">
        <f t="shared" si="5"/>
        <v>60</v>
      </c>
    </row>
    <row r="89" spans="2:8" x14ac:dyDescent="0.25">
      <c r="B89" s="1622"/>
      <c r="C89" s="1332" t="s">
        <v>6779</v>
      </c>
      <c r="D89" s="1327">
        <v>4936.5200000000004</v>
      </c>
      <c r="E89" s="1327">
        <v>4976.83</v>
      </c>
      <c r="F89" s="1334" t="str">
        <f t="shared" si="4"/>
        <v/>
      </c>
      <c r="G89" s="1334">
        <f t="shared" si="5"/>
        <v>40.31</v>
      </c>
      <c r="H89" s="1332">
        <v>400</v>
      </c>
    </row>
    <row r="90" spans="2:8" x14ac:dyDescent="0.25">
      <c r="B90" s="1622"/>
      <c r="C90" s="1332" t="s">
        <v>6780</v>
      </c>
      <c r="D90" s="1327">
        <v>4976.83</v>
      </c>
      <c r="E90" s="1327">
        <v>5036.83</v>
      </c>
      <c r="F90" s="1334" t="str">
        <f t="shared" si="4"/>
        <v/>
      </c>
      <c r="G90" s="1334">
        <f t="shared" si="5"/>
        <v>60</v>
      </c>
    </row>
    <row r="91" spans="2:8" x14ac:dyDescent="0.25">
      <c r="B91" s="1332">
        <v>45</v>
      </c>
      <c r="C91" s="1332" t="s">
        <v>6782</v>
      </c>
      <c r="D91" s="1327">
        <v>5036.83</v>
      </c>
      <c r="E91" s="1327">
        <v>5134.3999999999996</v>
      </c>
      <c r="F91" s="1334">
        <f t="shared" si="4"/>
        <v>97.57</v>
      </c>
      <c r="G91" s="1334" t="str">
        <f t="shared" si="5"/>
        <v/>
      </c>
    </row>
    <row r="92" spans="2:8" x14ac:dyDescent="0.25">
      <c r="B92" s="1622">
        <v>46</v>
      </c>
      <c r="C92" s="1332" t="s">
        <v>6780</v>
      </c>
      <c r="D92" s="1327">
        <v>5134.3999999999996</v>
      </c>
      <c r="E92" s="1327">
        <v>5164.3999999999996</v>
      </c>
      <c r="F92" s="1334" t="str">
        <f t="shared" si="4"/>
        <v/>
      </c>
      <c r="G92" s="1334">
        <f t="shared" si="5"/>
        <v>30</v>
      </c>
    </row>
    <row r="93" spans="2:8" x14ac:dyDescent="0.25">
      <c r="B93" s="1622"/>
      <c r="C93" s="1332" t="s">
        <v>6779</v>
      </c>
      <c r="D93" s="1327">
        <v>5164.3999999999996</v>
      </c>
      <c r="E93" s="1327">
        <v>5315.91</v>
      </c>
      <c r="F93" s="1334" t="str">
        <f t="shared" si="4"/>
        <v/>
      </c>
      <c r="G93" s="1334">
        <f t="shared" si="5"/>
        <v>151.51</v>
      </c>
      <c r="H93" s="1332">
        <v>110</v>
      </c>
    </row>
    <row r="94" spans="2:8" x14ac:dyDescent="0.25">
      <c r="B94" s="1622"/>
      <c r="C94" s="1332" t="s">
        <v>6780</v>
      </c>
      <c r="D94" s="1327">
        <v>5315.91</v>
      </c>
      <c r="E94" s="1327">
        <v>5345.91</v>
      </c>
      <c r="F94" s="1334" t="str">
        <f t="shared" si="4"/>
        <v/>
      </c>
      <c r="G94" s="1334">
        <f t="shared" si="5"/>
        <v>30</v>
      </c>
    </row>
    <row r="95" spans="2:8" x14ac:dyDescent="0.25">
      <c r="B95" s="1332">
        <v>47</v>
      </c>
      <c r="C95" s="1332" t="s">
        <v>6782</v>
      </c>
      <c r="D95" s="1327">
        <v>5345.91</v>
      </c>
      <c r="E95" s="1327">
        <v>5349.55</v>
      </c>
      <c r="F95" s="1334">
        <f t="shared" si="4"/>
        <v>3.64</v>
      </c>
      <c r="G95" s="1334" t="str">
        <f t="shared" si="5"/>
        <v/>
      </c>
    </row>
    <row r="96" spans="2:8" x14ac:dyDescent="0.25">
      <c r="B96" s="1622">
        <v>48</v>
      </c>
      <c r="C96" s="1332" t="s">
        <v>6780</v>
      </c>
      <c r="D96" s="1327">
        <v>5349.55</v>
      </c>
      <c r="E96" s="1327">
        <v>5379.55</v>
      </c>
      <c r="F96" s="1334" t="str">
        <f t="shared" si="4"/>
        <v/>
      </c>
      <c r="G96" s="1334">
        <f t="shared" si="5"/>
        <v>30</v>
      </c>
    </row>
    <row r="97" spans="2:8" x14ac:dyDescent="0.25">
      <c r="B97" s="1622"/>
      <c r="C97" s="1332" t="s">
        <v>6779</v>
      </c>
      <c r="D97" s="1327">
        <v>5379.55</v>
      </c>
      <c r="E97" s="1327">
        <v>5415.03</v>
      </c>
      <c r="F97" s="1334" t="str">
        <f t="shared" si="4"/>
        <v/>
      </c>
      <c r="G97" s="1334">
        <f t="shared" si="5"/>
        <v>35.479999999999997</v>
      </c>
      <c r="H97" s="1332">
        <v>80</v>
      </c>
    </row>
    <row r="98" spans="2:8" x14ac:dyDescent="0.25">
      <c r="B98" s="1622"/>
      <c r="C98" s="1332" t="s">
        <v>6780</v>
      </c>
      <c r="D98" s="1327">
        <v>5415.03</v>
      </c>
      <c r="E98" s="1327">
        <v>5445.03</v>
      </c>
      <c r="F98" s="1334" t="str">
        <f t="shared" si="4"/>
        <v/>
      </c>
      <c r="G98" s="1334">
        <f t="shared" si="5"/>
        <v>30</v>
      </c>
    </row>
    <row r="99" spans="2:8" x14ac:dyDescent="0.25">
      <c r="B99" s="1332">
        <v>49</v>
      </c>
      <c r="C99" s="1332" t="s">
        <v>6782</v>
      </c>
      <c r="D99" s="1327">
        <v>5445.03</v>
      </c>
      <c r="E99" s="1327">
        <v>5445.59</v>
      </c>
      <c r="F99" s="1334">
        <f t="shared" si="4"/>
        <v>0.56000000000000005</v>
      </c>
      <c r="G99" s="1334" t="str">
        <f t="shared" si="5"/>
        <v/>
      </c>
    </row>
    <row r="100" spans="2:8" x14ac:dyDescent="0.25">
      <c r="B100" s="1622">
        <v>50</v>
      </c>
      <c r="C100" s="1332" t="s">
        <v>6780</v>
      </c>
      <c r="D100" s="1327">
        <v>5445.59</v>
      </c>
      <c r="E100" s="1327">
        <v>5475.59</v>
      </c>
      <c r="F100" s="1334" t="str">
        <f t="shared" si="4"/>
        <v/>
      </c>
      <c r="G100" s="1334">
        <f t="shared" si="5"/>
        <v>30</v>
      </c>
    </row>
    <row r="101" spans="2:8" x14ac:dyDescent="0.25">
      <c r="B101" s="1622"/>
      <c r="C101" s="1332" t="s">
        <v>6779</v>
      </c>
      <c r="D101" s="1327">
        <v>5475.59</v>
      </c>
      <c r="E101" s="1327">
        <v>5509.9</v>
      </c>
      <c r="F101" s="1334" t="str">
        <f t="shared" si="4"/>
        <v/>
      </c>
      <c r="G101" s="1334">
        <f t="shared" si="5"/>
        <v>34.31</v>
      </c>
      <c r="H101" s="1332">
        <v>80</v>
      </c>
    </row>
    <row r="102" spans="2:8" x14ac:dyDescent="0.25">
      <c r="B102" s="1622"/>
      <c r="C102" s="1332" t="s">
        <v>6780</v>
      </c>
      <c r="D102" s="1327">
        <v>5509.9</v>
      </c>
      <c r="E102" s="1327">
        <v>5539.9</v>
      </c>
      <c r="F102" s="1334" t="str">
        <f t="shared" ref="F102:F133" si="6">IF(C102=$F$4,E102-D102,"")</f>
        <v/>
      </c>
      <c r="G102" s="1334">
        <f t="shared" si="5"/>
        <v>30</v>
      </c>
    </row>
    <row r="103" spans="2:8" x14ac:dyDescent="0.25">
      <c r="B103" s="1332">
        <v>51</v>
      </c>
      <c r="C103" s="1332" t="s">
        <v>6782</v>
      </c>
      <c r="D103" s="1327">
        <v>5539.9</v>
      </c>
      <c r="E103" s="1327">
        <v>5560.72</v>
      </c>
      <c r="F103" s="1334">
        <f t="shared" si="6"/>
        <v>20.82</v>
      </c>
      <c r="G103" s="1334" t="str">
        <f t="shared" ref="G103:G135" si="7">IF(C103=$F$4,"",E103-D103)</f>
        <v/>
      </c>
    </row>
    <row r="104" spans="2:8" x14ac:dyDescent="0.25">
      <c r="B104" s="1622">
        <v>52</v>
      </c>
      <c r="C104" s="1332" t="s">
        <v>6780</v>
      </c>
      <c r="D104" s="1327">
        <v>5560.72</v>
      </c>
      <c r="E104" s="1327">
        <v>5590.72</v>
      </c>
      <c r="F104" s="1334" t="str">
        <f t="shared" si="6"/>
        <v/>
      </c>
      <c r="G104" s="1334">
        <f t="shared" si="7"/>
        <v>30</v>
      </c>
    </row>
    <row r="105" spans="2:8" x14ac:dyDescent="0.25">
      <c r="B105" s="1622"/>
      <c r="C105" s="1332" t="s">
        <v>6779</v>
      </c>
      <c r="D105" s="1327">
        <v>5590.72</v>
      </c>
      <c r="E105" s="1327">
        <v>5626.68</v>
      </c>
      <c r="F105" s="1334" t="str">
        <f t="shared" si="6"/>
        <v/>
      </c>
      <c r="G105" s="1334">
        <f t="shared" si="7"/>
        <v>35.96</v>
      </c>
      <c r="H105" s="1332">
        <v>500</v>
      </c>
    </row>
    <row r="106" spans="2:8" x14ac:dyDescent="0.25">
      <c r="B106" s="1622"/>
      <c r="C106" s="1332" t="s">
        <v>6780</v>
      </c>
      <c r="D106" s="1327">
        <v>5626.68</v>
      </c>
      <c r="E106" s="1327">
        <v>5656.68</v>
      </c>
      <c r="F106" s="1334" t="str">
        <f t="shared" si="6"/>
        <v/>
      </c>
      <c r="G106" s="1334">
        <f t="shared" si="7"/>
        <v>30</v>
      </c>
    </row>
    <row r="107" spans="2:8" x14ac:dyDescent="0.25">
      <c r="B107" s="1332">
        <v>53</v>
      </c>
      <c r="C107" s="1332" t="s">
        <v>6782</v>
      </c>
      <c r="D107" s="1327">
        <v>5656.68</v>
      </c>
      <c r="E107" s="1327">
        <v>5716.09</v>
      </c>
      <c r="F107" s="1334">
        <f t="shared" si="6"/>
        <v>59.41</v>
      </c>
      <c r="G107" s="1334" t="str">
        <f t="shared" si="7"/>
        <v/>
      </c>
    </row>
    <row r="108" spans="2:8" x14ac:dyDescent="0.25">
      <c r="B108" s="1622">
        <v>54</v>
      </c>
      <c r="C108" s="1332" t="s">
        <v>6780</v>
      </c>
      <c r="D108" s="1327">
        <v>5716.09</v>
      </c>
      <c r="E108" s="1327">
        <v>5746.09</v>
      </c>
      <c r="F108" s="1334" t="str">
        <f t="shared" si="6"/>
        <v/>
      </c>
      <c r="G108" s="1334">
        <f t="shared" si="7"/>
        <v>30</v>
      </c>
    </row>
    <row r="109" spans="2:8" x14ac:dyDescent="0.25">
      <c r="B109" s="1622"/>
      <c r="C109" s="1332" t="s">
        <v>6779</v>
      </c>
      <c r="D109" s="1327">
        <v>5746.09</v>
      </c>
      <c r="E109" s="1327">
        <v>5802.36</v>
      </c>
      <c r="F109" s="1334" t="str">
        <f t="shared" si="6"/>
        <v/>
      </c>
      <c r="G109" s="1334">
        <f t="shared" si="7"/>
        <v>56.27</v>
      </c>
      <c r="H109" s="1332">
        <v>160</v>
      </c>
    </row>
    <row r="110" spans="2:8" x14ac:dyDescent="0.25">
      <c r="B110" s="1622"/>
      <c r="C110" s="1332" t="s">
        <v>6780</v>
      </c>
      <c r="D110" s="1327">
        <v>5802.36</v>
      </c>
      <c r="E110" s="1327">
        <v>5832.36</v>
      </c>
      <c r="F110" s="1334" t="str">
        <f t="shared" si="6"/>
        <v/>
      </c>
      <c r="G110" s="1334">
        <f t="shared" si="7"/>
        <v>30</v>
      </c>
    </row>
    <row r="111" spans="2:8" x14ac:dyDescent="0.25">
      <c r="B111" s="1332">
        <v>55</v>
      </c>
      <c r="C111" s="1332" t="s">
        <v>6782</v>
      </c>
      <c r="D111" s="1327">
        <v>5832.36</v>
      </c>
      <c r="E111" s="1327">
        <v>5895.46</v>
      </c>
      <c r="F111" s="1334">
        <f t="shared" si="6"/>
        <v>63.1</v>
      </c>
      <c r="G111" s="1334" t="str">
        <f t="shared" si="7"/>
        <v/>
      </c>
    </row>
    <row r="112" spans="2:8" x14ac:dyDescent="0.25">
      <c r="B112" s="1622">
        <v>56</v>
      </c>
      <c r="C112" s="1332" t="s">
        <v>6780</v>
      </c>
      <c r="D112" s="1327">
        <v>5895.46</v>
      </c>
      <c r="E112" s="1327">
        <v>5925.46</v>
      </c>
      <c r="F112" s="1334" t="str">
        <f t="shared" si="6"/>
        <v/>
      </c>
      <c r="G112" s="1334">
        <f t="shared" si="7"/>
        <v>30</v>
      </c>
    </row>
    <row r="113" spans="2:8" x14ac:dyDescent="0.25">
      <c r="B113" s="1622"/>
      <c r="C113" s="1332" t="s">
        <v>6779</v>
      </c>
      <c r="D113" s="1327">
        <v>5925.46</v>
      </c>
      <c r="E113" s="1327">
        <v>5978.22</v>
      </c>
      <c r="F113" s="1334" t="str">
        <f t="shared" si="6"/>
        <v/>
      </c>
      <c r="G113" s="1334">
        <f t="shared" si="7"/>
        <v>52.76</v>
      </c>
      <c r="H113" s="1332">
        <v>120</v>
      </c>
    </row>
    <row r="114" spans="2:8" x14ac:dyDescent="0.25">
      <c r="B114" s="1622"/>
      <c r="C114" s="1332" t="s">
        <v>6780</v>
      </c>
      <c r="D114" s="1327">
        <v>5978.22</v>
      </c>
      <c r="E114" s="1327">
        <v>6008.22</v>
      </c>
      <c r="F114" s="1334" t="str">
        <f t="shared" si="6"/>
        <v/>
      </c>
      <c r="G114" s="1334">
        <f t="shared" si="7"/>
        <v>30</v>
      </c>
    </row>
    <row r="115" spans="2:8" x14ac:dyDescent="0.25">
      <c r="B115" s="1332">
        <v>57</v>
      </c>
      <c r="C115" s="1332" t="s">
        <v>6782</v>
      </c>
      <c r="D115" s="1327">
        <v>6008.22</v>
      </c>
      <c r="E115" s="1327">
        <v>6118.74</v>
      </c>
      <c r="F115" s="1334">
        <f t="shared" si="6"/>
        <v>110.52</v>
      </c>
      <c r="G115" s="1334" t="str">
        <f t="shared" si="7"/>
        <v/>
      </c>
    </row>
    <row r="116" spans="2:8" x14ac:dyDescent="0.25">
      <c r="B116" s="1622">
        <v>58</v>
      </c>
      <c r="C116" s="1332" t="s">
        <v>6780</v>
      </c>
      <c r="D116" s="1327">
        <v>6118.74</v>
      </c>
      <c r="E116" s="1327">
        <v>6158.74</v>
      </c>
      <c r="F116" s="1334" t="str">
        <f t="shared" si="6"/>
        <v/>
      </c>
      <c r="G116" s="1334">
        <f t="shared" si="7"/>
        <v>40</v>
      </c>
    </row>
    <row r="117" spans="2:8" x14ac:dyDescent="0.25">
      <c r="B117" s="1622"/>
      <c r="C117" s="1332" t="s">
        <v>6779</v>
      </c>
      <c r="D117" s="1327">
        <v>6158.74</v>
      </c>
      <c r="E117" s="1327">
        <v>6272.78</v>
      </c>
      <c r="F117" s="1334" t="str">
        <f t="shared" si="6"/>
        <v/>
      </c>
      <c r="G117" s="1334">
        <f t="shared" si="7"/>
        <v>114.04</v>
      </c>
      <c r="H117" s="1332">
        <v>120</v>
      </c>
    </row>
    <row r="118" spans="2:8" x14ac:dyDescent="0.25">
      <c r="B118" s="1622"/>
      <c r="C118" s="1332" t="s">
        <v>6780</v>
      </c>
      <c r="D118" s="1327">
        <v>6272.78</v>
      </c>
      <c r="E118" s="1327">
        <v>6312.78</v>
      </c>
      <c r="F118" s="1334" t="str">
        <f t="shared" si="6"/>
        <v/>
      </c>
      <c r="G118" s="1334">
        <f t="shared" si="7"/>
        <v>40</v>
      </c>
    </row>
    <row r="119" spans="2:8" x14ac:dyDescent="0.25">
      <c r="B119" s="1332">
        <v>59</v>
      </c>
      <c r="C119" s="1332" t="s">
        <v>6782</v>
      </c>
      <c r="D119" s="1327">
        <v>6312.78</v>
      </c>
      <c r="E119" s="1327">
        <v>6357.77</v>
      </c>
      <c r="F119" s="1334">
        <f t="shared" si="6"/>
        <v>44.99</v>
      </c>
      <c r="G119" s="1334" t="str">
        <f t="shared" si="7"/>
        <v/>
      </c>
    </row>
    <row r="120" spans="2:8" x14ac:dyDescent="0.25">
      <c r="B120" s="1622">
        <v>60</v>
      </c>
      <c r="C120" s="1332" t="s">
        <v>6780</v>
      </c>
      <c r="D120" s="1327">
        <v>6357.77</v>
      </c>
      <c r="E120" s="1327">
        <v>6387.77</v>
      </c>
      <c r="F120" s="1334" t="str">
        <f t="shared" si="6"/>
        <v/>
      </c>
      <c r="G120" s="1334">
        <f t="shared" si="7"/>
        <v>30</v>
      </c>
    </row>
    <row r="121" spans="2:8" x14ac:dyDescent="0.25">
      <c r="B121" s="1622"/>
      <c r="C121" s="1332" t="s">
        <v>6779</v>
      </c>
      <c r="D121" s="1327">
        <v>6387.77</v>
      </c>
      <c r="E121" s="1327">
        <v>6440.9</v>
      </c>
      <c r="F121" s="1334" t="str">
        <f t="shared" si="6"/>
        <v/>
      </c>
      <c r="G121" s="1334">
        <f t="shared" si="7"/>
        <v>53.13</v>
      </c>
      <c r="H121" s="1332">
        <v>200</v>
      </c>
    </row>
    <row r="122" spans="2:8" x14ac:dyDescent="0.25">
      <c r="B122" s="1622"/>
      <c r="C122" s="1332" t="s">
        <v>6780</v>
      </c>
      <c r="D122" s="1327">
        <v>6440.9</v>
      </c>
      <c r="E122" s="1327">
        <v>6470.9</v>
      </c>
      <c r="F122" s="1334" t="str">
        <f t="shared" si="6"/>
        <v/>
      </c>
      <c r="G122" s="1334">
        <f t="shared" si="7"/>
        <v>30</v>
      </c>
    </row>
    <row r="123" spans="2:8" x14ac:dyDescent="0.25">
      <c r="B123" s="1332">
        <v>61</v>
      </c>
      <c r="C123" s="1332" t="s">
        <v>6782</v>
      </c>
      <c r="D123" s="1327">
        <v>6470.9</v>
      </c>
      <c r="E123" s="1327">
        <v>6476.24</v>
      </c>
      <c r="F123" s="1334">
        <f t="shared" si="6"/>
        <v>5.34</v>
      </c>
      <c r="G123" s="1334" t="str">
        <f t="shared" si="7"/>
        <v/>
      </c>
    </row>
    <row r="124" spans="2:8" x14ac:dyDescent="0.25">
      <c r="B124" s="1622">
        <v>62</v>
      </c>
      <c r="C124" s="1332" t="s">
        <v>6780</v>
      </c>
      <c r="D124" s="1327">
        <v>6476.24</v>
      </c>
      <c r="E124" s="1327">
        <v>6506.24</v>
      </c>
      <c r="F124" s="1334" t="str">
        <f t="shared" si="6"/>
        <v/>
      </c>
      <c r="G124" s="1334">
        <f t="shared" si="7"/>
        <v>30</v>
      </c>
    </row>
    <row r="125" spans="2:8" x14ac:dyDescent="0.25">
      <c r="B125" s="1622"/>
      <c r="C125" s="1332" t="s">
        <v>6779</v>
      </c>
      <c r="D125" s="1327">
        <v>6506.24</v>
      </c>
      <c r="E125" s="1327">
        <v>6615.18</v>
      </c>
      <c r="F125" s="1334" t="str">
        <f t="shared" si="6"/>
        <v/>
      </c>
      <c r="G125" s="1334">
        <f t="shared" si="7"/>
        <v>108.94</v>
      </c>
      <c r="H125" s="1332">
        <v>120</v>
      </c>
    </row>
    <row r="126" spans="2:8" x14ac:dyDescent="0.25">
      <c r="B126" s="1622"/>
      <c r="C126" s="1332" t="s">
        <v>6780</v>
      </c>
      <c r="D126" s="1327">
        <v>6615.18</v>
      </c>
      <c r="E126" s="1327">
        <v>6645.18</v>
      </c>
      <c r="F126" s="1334" t="str">
        <f t="shared" si="6"/>
        <v/>
      </c>
      <c r="G126" s="1334">
        <f t="shared" si="7"/>
        <v>30</v>
      </c>
    </row>
    <row r="127" spans="2:8" x14ac:dyDescent="0.25">
      <c r="B127" s="1332">
        <v>63</v>
      </c>
      <c r="C127" s="1332" t="s">
        <v>6782</v>
      </c>
      <c r="D127" s="1327">
        <v>6645.18</v>
      </c>
      <c r="E127" s="1327">
        <v>6652.59</v>
      </c>
      <c r="F127" s="1334">
        <f t="shared" si="6"/>
        <v>7.41</v>
      </c>
      <c r="G127" s="1334" t="str">
        <f t="shared" si="7"/>
        <v/>
      </c>
    </row>
    <row r="128" spans="2:8" x14ac:dyDescent="0.25">
      <c r="B128" s="1622">
        <v>64</v>
      </c>
      <c r="C128" s="1332" t="s">
        <v>6780</v>
      </c>
      <c r="D128" s="1327">
        <v>6652.59</v>
      </c>
      <c r="E128" s="1327">
        <v>6682.59</v>
      </c>
      <c r="F128" s="1334" t="str">
        <f t="shared" si="6"/>
        <v/>
      </c>
      <c r="G128" s="1334">
        <f t="shared" si="7"/>
        <v>30</v>
      </c>
    </row>
    <row r="129" spans="2:8" x14ac:dyDescent="0.25">
      <c r="B129" s="1622"/>
      <c r="C129" s="1332" t="s">
        <v>6779</v>
      </c>
      <c r="D129" s="1327">
        <v>6682.59</v>
      </c>
      <c r="E129" s="1327">
        <v>6707.39</v>
      </c>
      <c r="F129" s="1334" t="str">
        <f t="shared" si="6"/>
        <v/>
      </c>
      <c r="G129" s="1334">
        <f t="shared" si="7"/>
        <v>24.8</v>
      </c>
      <c r="H129" s="1332">
        <v>160</v>
      </c>
    </row>
    <row r="130" spans="2:8" x14ac:dyDescent="0.25">
      <c r="B130" s="1622"/>
      <c r="C130" s="1332" t="s">
        <v>6780</v>
      </c>
      <c r="D130" s="1327">
        <v>6707.39</v>
      </c>
      <c r="E130" s="1327">
        <v>6737.39</v>
      </c>
      <c r="F130" s="1334" t="str">
        <f t="shared" si="6"/>
        <v/>
      </c>
      <c r="G130" s="1334">
        <f t="shared" si="7"/>
        <v>30</v>
      </c>
    </row>
    <row r="131" spans="2:8" x14ac:dyDescent="0.25">
      <c r="B131" s="1332">
        <v>65</v>
      </c>
      <c r="C131" s="1332" t="s">
        <v>6782</v>
      </c>
      <c r="D131" s="1327">
        <v>6737.39</v>
      </c>
      <c r="E131" s="1327">
        <v>6772.05</v>
      </c>
      <c r="F131" s="1334">
        <f t="shared" si="6"/>
        <v>34.659999999999997</v>
      </c>
      <c r="G131" s="1334" t="str">
        <f t="shared" si="7"/>
        <v/>
      </c>
    </row>
    <row r="132" spans="2:8" x14ac:dyDescent="0.25">
      <c r="B132" s="1332">
        <v>66</v>
      </c>
      <c r="C132" s="1332" t="s">
        <v>6779</v>
      </c>
      <c r="D132" s="1327">
        <v>6772.05</v>
      </c>
      <c r="E132" s="1327">
        <v>6837.87</v>
      </c>
      <c r="F132" s="1334" t="str">
        <f t="shared" si="6"/>
        <v/>
      </c>
      <c r="G132" s="1334">
        <f t="shared" si="7"/>
        <v>65.819999999999993</v>
      </c>
      <c r="H132" s="1332">
        <v>60</v>
      </c>
    </row>
    <row r="133" spans="2:8" ht="15.75" thickBot="1" x14ac:dyDescent="0.3">
      <c r="C133" s="1332" t="str">
        <f>C134</f>
        <v>Tangente</v>
      </c>
      <c r="D133" s="1335">
        <f>E132</f>
        <v>6837.87</v>
      </c>
      <c r="E133" s="1335">
        <v>6860</v>
      </c>
      <c r="F133" s="1334">
        <f t="shared" si="6"/>
        <v>22.13</v>
      </c>
      <c r="G133" s="1334" t="str">
        <f t="shared" si="7"/>
        <v/>
      </c>
    </row>
    <row r="134" spans="2:8" x14ac:dyDescent="0.25">
      <c r="B134" s="1336">
        <v>67</v>
      </c>
      <c r="C134" s="1337" t="s">
        <v>6782</v>
      </c>
      <c r="D134" s="1338">
        <f>E133</f>
        <v>6860</v>
      </c>
      <c r="E134" s="1338">
        <v>6966.82</v>
      </c>
      <c r="F134" s="1339">
        <f t="shared" ref="F134" si="8">IF(C134=$F$4,E134-D134,"")</f>
        <v>106.82</v>
      </c>
      <c r="G134" s="1339" t="str">
        <f t="shared" si="7"/>
        <v/>
      </c>
      <c r="H134" s="1340"/>
    </row>
    <row r="135" spans="2:8" x14ac:dyDescent="0.25">
      <c r="B135" s="1341">
        <v>68</v>
      </c>
      <c r="C135" s="1342" t="s">
        <v>6779</v>
      </c>
      <c r="D135" s="1333">
        <v>6966.82</v>
      </c>
      <c r="E135" s="1333">
        <v>6998.21</v>
      </c>
      <c r="F135" s="1343" t="str">
        <f t="shared" ref="F135:F142" si="9">IF(C135=$F$4,E135-D135,"")</f>
        <v/>
      </c>
      <c r="G135" s="1343">
        <f t="shared" si="7"/>
        <v>31.39</v>
      </c>
      <c r="H135" s="1344">
        <v>50</v>
      </c>
    </row>
    <row r="136" spans="2:8" x14ac:dyDescent="0.25">
      <c r="B136" s="1341">
        <v>69</v>
      </c>
      <c r="C136" s="1342" t="s">
        <v>6782</v>
      </c>
      <c r="D136" s="1333">
        <v>6998.21</v>
      </c>
      <c r="E136" s="1333">
        <v>7173.14</v>
      </c>
      <c r="F136" s="1343">
        <f t="shared" si="9"/>
        <v>174.93</v>
      </c>
      <c r="G136" s="1343" t="str">
        <f t="shared" ref="G136:G142" si="10">IF(C136=$F$4,"",E136-D136)</f>
        <v/>
      </c>
      <c r="H136" s="1344"/>
    </row>
    <row r="137" spans="2:8" x14ac:dyDescent="0.25">
      <c r="B137" s="1341">
        <v>70</v>
      </c>
      <c r="C137" s="1342" t="s">
        <v>6779</v>
      </c>
      <c r="D137" s="1333">
        <v>7173.14</v>
      </c>
      <c r="E137" s="1333">
        <v>7218.07</v>
      </c>
      <c r="F137" s="1343" t="str">
        <f t="shared" si="9"/>
        <v/>
      </c>
      <c r="G137" s="1343">
        <f t="shared" si="10"/>
        <v>44.93</v>
      </c>
      <c r="H137" s="1344">
        <v>1000</v>
      </c>
    </row>
    <row r="138" spans="2:8" x14ac:dyDescent="0.25">
      <c r="B138" s="1341">
        <v>71</v>
      </c>
      <c r="C138" s="1342" t="s">
        <v>6782</v>
      </c>
      <c r="D138" s="1333">
        <v>7218.07</v>
      </c>
      <c r="E138" s="1333">
        <v>7268.19</v>
      </c>
      <c r="F138" s="1343">
        <f t="shared" si="9"/>
        <v>50.12</v>
      </c>
      <c r="G138" s="1343" t="str">
        <f t="shared" si="10"/>
        <v/>
      </c>
      <c r="H138" s="1344"/>
    </row>
    <row r="139" spans="2:8" x14ac:dyDescent="0.25">
      <c r="B139" s="1341">
        <v>72</v>
      </c>
      <c r="C139" s="1342" t="s">
        <v>6779</v>
      </c>
      <c r="D139" s="1333">
        <v>7268.19</v>
      </c>
      <c r="E139" s="1333">
        <v>7298.9</v>
      </c>
      <c r="F139" s="1343" t="str">
        <f t="shared" si="9"/>
        <v/>
      </c>
      <c r="G139" s="1343">
        <f t="shared" si="10"/>
        <v>30.71</v>
      </c>
      <c r="H139" s="1344">
        <v>100</v>
      </c>
    </row>
    <row r="140" spans="2:8" x14ac:dyDescent="0.25">
      <c r="B140" s="1341">
        <v>73</v>
      </c>
      <c r="C140" s="1342" t="s">
        <v>6782</v>
      </c>
      <c r="D140" s="1333">
        <v>7298.9</v>
      </c>
      <c r="E140" s="1333">
        <v>7485.14</v>
      </c>
      <c r="F140" s="1343">
        <f t="shared" si="9"/>
        <v>186.24</v>
      </c>
      <c r="G140" s="1343" t="str">
        <f t="shared" si="10"/>
        <v/>
      </c>
      <c r="H140" s="1344"/>
    </row>
    <row r="141" spans="2:8" x14ac:dyDescent="0.25">
      <c r="B141" s="1341">
        <v>74</v>
      </c>
      <c r="C141" s="1342" t="s">
        <v>6779</v>
      </c>
      <c r="D141" s="1333">
        <v>7485.14</v>
      </c>
      <c r="E141" s="1333">
        <v>7532.07</v>
      </c>
      <c r="F141" s="1343" t="str">
        <f t="shared" si="9"/>
        <v/>
      </c>
      <c r="G141" s="1343">
        <f t="shared" si="10"/>
        <v>46.93</v>
      </c>
      <c r="H141" s="1344">
        <v>70</v>
      </c>
    </row>
    <row r="142" spans="2:8" ht="15.75" thickBot="1" x14ac:dyDescent="0.3">
      <c r="B142" s="1345">
        <v>75</v>
      </c>
      <c r="C142" s="1346" t="s">
        <v>6782</v>
      </c>
      <c r="D142" s="1347">
        <v>7532.07</v>
      </c>
      <c r="E142" s="1347">
        <v>7602.24</v>
      </c>
      <c r="F142" s="1348">
        <f t="shared" si="9"/>
        <v>70.17</v>
      </c>
      <c r="G142" s="1348" t="str">
        <f t="shared" si="10"/>
        <v/>
      </c>
      <c r="H142" s="1349"/>
    </row>
    <row r="143" spans="2:8" x14ac:dyDescent="0.25">
      <c r="C143" s="1332" t="s">
        <v>96</v>
      </c>
      <c r="F143" s="1334">
        <f>SUM(F5:F142)</f>
        <v>3191.16</v>
      </c>
      <c r="G143" s="1334">
        <f>SUM(G5:G142)</f>
        <v>4411.08</v>
      </c>
      <c r="H143" s="1332">
        <f>COUNT(H5:H133)</f>
        <v>33</v>
      </c>
    </row>
    <row r="144" spans="2:8" x14ac:dyDescent="0.25">
      <c r="C144" s="1332" t="s">
        <v>6783</v>
      </c>
      <c r="F144" s="1334">
        <f>SUM(F5:F133)</f>
        <v>2602.88</v>
      </c>
      <c r="G144" s="1334">
        <f>SUM(G5:G133)</f>
        <v>4257.12</v>
      </c>
    </row>
    <row r="145" spans="3:7" x14ac:dyDescent="0.25">
      <c r="C145" s="1332" t="s">
        <v>6784</v>
      </c>
      <c r="F145" s="1334">
        <f>SUM(F134:F142)</f>
        <v>588.28</v>
      </c>
      <c r="G145" s="1334">
        <f>SUM(G134:G142)</f>
        <v>153.96</v>
      </c>
    </row>
    <row r="147" spans="3:7" x14ac:dyDescent="0.25">
      <c r="E147" s="1332" t="str">
        <f>C144</f>
        <v>Rural</v>
      </c>
      <c r="F147" s="1332" t="str">
        <f>C145</f>
        <v>Urbana</v>
      </c>
    </row>
    <row r="148" spans="3:7" x14ac:dyDescent="0.25">
      <c r="C148" s="1350" t="s">
        <v>6785</v>
      </c>
      <c r="E148" s="1343">
        <f>MIN(H5:H133)</f>
        <v>50</v>
      </c>
      <c r="F148" s="1343">
        <f>MIN(H134:H142)</f>
        <v>50</v>
      </c>
    </row>
    <row r="149" spans="3:7" x14ac:dyDescent="0.25">
      <c r="C149" s="1350" t="s">
        <v>6786</v>
      </c>
      <c r="E149" s="1343">
        <f>MAX(H5:H133)</f>
        <v>1500</v>
      </c>
      <c r="F149" s="1343">
        <f>MAX(H134:H142)</f>
        <v>1000</v>
      </c>
    </row>
    <row r="150" spans="3:7" x14ac:dyDescent="0.25">
      <c r="C150" s="1350" t="s">
        <v>6787</v>
      </c>
      <c r="D150" s="1343"/>
      <c r="E150" s="1343">
        <f>MIN(F5:F133)</f>
        <v>0.56000000000000005</v>
      </c>
      <c r="F150" s="1334">
        <f>MIN(F134:F142)</f>
        <v>50.12</v>
      </c>
    </row>
    <row r="151" spans="3:7" x14ac:dyDescent="0.25">
      <c r="C151" s="1350" t="s">
        <v>6788</v>
      </c>
      <c r="D151" s="1343"/>
      <c r="E151" s="1343">
        <f>MAX(F5:F133)</f>
        <v>323.91000000000003</v>
      </c>
      <c r="F151" s="1334">
        <f>MAX(F134:F142)</f>
        <v>186.24</v>
      </c>
    </row>
  </sheetData>
  <mergeCells count="36">
    <mergeCell ref="D3:E3"/>
    <mergeCell ref="B8:B10"/>
    <mergeCell ref="B12:B14"/>
    <mergeCell ref="B16:B18"/>
    <mergeCell ref="B2:H2"/>
    <mergeCell ref="B92:B94"/>
    <mergeCell ref="B96:B98"/>
    <mergeCell ref="B100:B102"/>
    <mergeCell ref="B104:B106"/>
    <mergeCell ref="B68:B70"/>
    <mergeCell ref="B72:B74"/>
    <mergeCell ref="B76:B78"/>
    <mergeCell ref="B80:B82"/>
    <mergeCell ref="B84:B86"/>
    <mergeCell ref="B88:B90"/>
    <mergeCell ref="B44:B46"/>
    <mergeCell ref="B48:B50"/>
    <mergeCell ref="B52:B54"/>
    <mergeCell ref="B56:B58"/>
    <mergeCell ref="B60:B62"/>
    <mergeCell ref="B116:B118"/>
    <mergeCell ref="B120:B122"/>
    <mergeCell ref="B124:B126"/>
    <mergeCell ref="B128:B130"/>
    <mergeCell ref="F3:G3"/>
    <mergeCell ref="B108:B110"/>
    <mergeCell ref="B112:B114"/>
    <mergeCell ref="B64:B66"/>
    <mergeCell ref="B20:B22"/>
    <mergeCell ref="B24:B26"/>
    <mergeCell ref="B28:B30"/>
    <mergeCell ref="B32:B34"/>
    <mergeCell ref="B36:B38"/>
    <mergeCell ref="B40:B42"/>
    <mergeCell ref="B3:B4"/>
    <mergeCell ref="C3:C4"/>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H184"/>
  <sheetViews>
    <sheetView view="pageBreakPreview" zoomScale="85" zoomScaleNormal="85" zoomScaleSheetLayoutView="85" workbookViewId="0">
      <selection activeCell="T16" sqref="T16"/>
    </sheetView>
  </sheetViews>
  <sheetFormatPr defaultRowHeight="15" x14ac:dyDescent="0.25"/>
  <cols>
    <col min="2" max="2" width="19.85546875" customWidth="1"/>
    <col min="4" max="4" width="13.7109375" bestFit="1" customWidth="1"/>
    <col min="5" max="5" width="3.5703125" bestFit="1" customWidth="1"/>
    <col min="6" max="6" width="7" bestFit="1" customWidth="1"/>
    <col min="7" max="7" width="9.28515625" bestFit="1" customWidth="1"/>
    <col min="8" max="8" width="16.42578125" bestFit="1" customWidth="1"/>
    <col min="9" max="9" width="18.85546875" bestFit="1" customWidth="1"/>
    <col min="10" max="10" width="8.28515625" bestFit="1" customWidth="1"/>
    <col min="11" max="11" width="22.85546875" bestFit="1" customWidth="1"/>
    <col min="12" max="12" width="7" bestFit="1" customWidth="1"/>
    <col min="13" max="13" width="3.5703125" bestFit="1" customWidth="1"/>
    <col min="15" max="15" width="14.140625" bestFit="1" customWidth="1"/>
    <col min="16" max="16" width="7" style="468" bestFit="1" customWidth="1"/>
    <col min="17" max="17" width="14.5703125" style="126" bestFit="1" customWidth="1"/>
    <col min="18" max="18" width="33" style="126" bestFit="1" customWidth="1"/>
    <col min="19" max="19" width="12" style="126" bestFit="1" customWidth="1"/>
    <col min="20" max="20" width="7.7109375" style="126" bestFit="1" customWidth="1"/>
    <col min="21" max="21" width="9.5703125" bestFit="1" customWidth="1"/>
    <col min="22" max="22" width="9" bestFit="1" customWidth="1"/>
    <col min="23" max="23" width="19" bestFit="1" customWidth="1"/>
    <col min="24" max="24" width="14.85546875" bestFit="1" customWidth="1"/>
    <col min="25" max="25" width="10.140625" bestFit="1" customWidth="1"/>
    <col min="26" max="26" width="12.42578125" bestFit="1" customWidth="1"/>
    <col min="27" max="27" width="7" bestFit="1" customWidth="1"/>
    <col min="28" max="29" width="2" bestFit="1" customWidth="1"/>
    <col min="30" max="30" width="21.140625" bestFit="1" customWidth="1"/>
    <col min="31" max="31" width="15" bestFit="1" customWidth="1"/>
    <col min="32" max="32" width="11.7109375" bestFit="1" customWidth="1"/>
    <col min="33" max="33" width="13.85546875" bestFit="1" customWidth="1"/>
    <col min="34" max="34" width="7" bestFit="1" customWidth="1"/>
    <col min="245" max="245" width="17" customWidth="1"/>
    <col min="248" max="248" width="5.5703125" customWidth="1"/>
    <col min="251" max="251" width="16.42578125" bestFit="1" customWidth="1"/>
    <col min="252" max="252" width="14.28515625" bestFit="1" customWidth="1"/>
    <col min="254" max="254" width="19.42578125" bestFit="1" customWidth="1"/>
    <col min="258" max="258" width="19.85546875" customWidth="1"/>
    <col min="260" max="260" width="13.7109375" bestFit="1" customWidth="1"/>
    <col min="261" max="261" width="3.5703125" bestFit="1" customWidth="1"/>
    <col min="262" max="262" width="7" bestFit="1" customWidth="1"/>
    <col min="263" max="263" width="9.28515625" bestFit="1" customWidth="1"/>
    <col min="264" max="264" width="16.42578125" bestFit="1" customWidth="1"/>
    <col min="265" max="265" width="18.85546875" bestFit="1" customWidth="1"/>
    <col min="266" max="266" width="8.28515625" bestFit="1" customWidth="1"/>
    <col min="267" max="267" width="22.85546875" bestFit="1" customWidth="1"/>
    <col min="268" max="268" width="7" bestFit="1" customWidth="1"/>
    <col min="269" max="269" width="3.5703125" bestFit="1" customWidth="1"/>
    <col min="271" max="271" width="14.140625" bestFit="1" customWidth="1"/>
    <col min="272" max="272" width="7" bestFit="1" customWidth="1"/>
    <col min="273" max="273" width="14.5703125" bestFit="1" customWidth="1"/>
    <col min="274" max="274" width="33" bestFit="1" customWidth="1"/>
    <col min="275" max="275" width="12" bestFit="1" customWidth="1"/>
    <col min="276" max="276" width="7.140625" bestFit="1" customWidth="1"/>
    <col min="277" max="277" width="9.5703125" bestFit="1" customWidth="1"/>
    <col min="278" max="278" width="9" bestFit="1" customWidth="1"/>
    <col min="279" max="279" width="19" bestFit="1" customWidth="1"/>
    <col min="280" max="280" width="14.85546875" bestFit="1" customWidth="1"/>
    <col min="281" max="281" width="10.140625" bestFit="1" customWidth="1"/>
    <col min="282" max="282" width="12.42578125" bestFit="1" customWidth="1"/>
    <col min="283" max="283" width="7" bestFit="1" customWidth="1"/>
    <col min="284" max="285" width="2" bestFit="1" customWidth="1"/>
    <col min="286" max="286" width="21.140625" bestFit="1" customWidth="1"/>
    <col min="287" max="287" width="15" bestFit="1" customWidth="1"/>
    <col min="288" max="288" width="11.7109375" bestFit="1" customWidth="1"/>
    <col min="289" max="289" width="13.85546875" bestFit="1" customWidth="1"/>
    <col min="290" max="290" width="7" bestFit="1" customWidth="1"/>
    <col min="501" max="501" width="17" customWidth="1"/>
    <col min="504" max="504" width="5.5703125" customWidth="1"/>
    <col min="507" max="507" width="16.42578125" bestFit="1" customWidth="1"/>
    <col min="508" max="508" width="14.28515625" bestFit="1" customWidth="1"/>
    <col min="510" max="510" width="19.42578125" bestFit="1" customWidth="1"/>
    <col min="514" max="514" width="19.85546875" customWidth="1"/>
    <col min="516" max="516" width="13.7109375" bestFit="1" customWidth="1"/>
    <col min="517" max="517" width="3.5703125" bestFit="1" customWidth="1"/>
    <col min="518" max="518" width="7" bestFit="1" customWidth="1"/>
    <col min="519" max="519" width="9.28515625" bestFit="1" customWidth="1"/>
    <col min="520" max="520" width="16.42578125" bestFit="1" customWidth="1"/>
    <col min="521" max="521" width="18.85546875" bestFit="1" customWidth="1"/>
    <col min="522" max="522" width="8.28515625" bestFit="1" customWidth="1"/>
    <col min="523" max="523" width="22.85546875" bestFit="1" customWidth="1"/>
    <col min="524" max="524" width="7" bestFit="1" customWidth="1"/>
    <col min="525" max="525" width="3.5703125" bestFit="1" customWidth="1"/>
    <col min="527" max="527" width="14.140625" bestFit="1" customWidth="1"/>
    <col min="528" max="528" width="7" bestFit="1" customWidth="1"/>
    <col min="529" max="529" width="14.5703125" bestFit="1" customWidth="1"/>
    <col min="530" max="530" width="33" bestFit="1" customWidth="1"/>
    <col min="531" max="531" width="12" bestFit="1" customWidth="1"/>
    <col min="532" max="532" width="7.140625" bestFit="1" customWidth="1"/>
    <col min="533" max="533" width="9.5703125" bestFit="1" customWidth="1"/>
    <col min="534" max="534" width="9" bestFit="1" customWidth="1"/>
    <col min="535" max="535" width="19" bestFit="1" customWidth="1"/>
    <col min="536" max="536" width="14.85546875" bestFit="1" customWidth="1"/>
    <col min="537" max="537" width="10.140625" bestFit="1" customWidth="1"/>
    <col min="538" max="538" width="12.42578125" bestFit="1" customWidth="1"/>
    <col min="539" max="539" width="7" bestFit="1" customWidth="1"/>
    <col min="540" max="541" width="2" bestFit="1" customWidth="1"/>
    <col min="542" max="542" width="21.140625" bestFit="1" customWidth="1"/>
    <col min="543" max="543" width="15" bestFit="1" customWidth="1"/>
    <col min="544" max="544" width="11.7109375" bestFit="1" customWidth="1"/>
    <col min="545" max="545" width="13.85546875" bestFit="1" customWidth="1"/>
    <col min="546" max="546" width="7" bestFit="1" customWidth="1"/>
    <col min="757" max="757" width="17" customWidth="1"/>
    <col min="760" max="760" width="5.5703125" customWidth="1"/>
    <col min="763" max="763" width="16.42578125" bestFit="1" customWidth="1"/>
    <col min="764" max="764" width="14.28515625" bestFit="1" customWidth="1"/>
    <col min="766" max="766" width="19.42578125" bestFit="1" customWidth="1"/>
    <col min="770" max="770" width="19.85546875" customWidth="1"/>
    <col min="772" max="772" width="13.7109375" bestFit="1" customWidth="1"/>
    <col min="773" max="773" width="3.5703125" bestFit="1" customWidth="1"/>
    <col min="774" max="774" width="7" bestFit="1" customWidth="1"/>
    <col min="775" max="775" width="9.28515625" bestFit="1" customWidth="1"/>
    <col min="776" max="776" width="16.42578125" bestFit="1" customWidth="1"/>
    <col min="777" max="777" width="18.85546875" bestFit="1" customWidth="1"/>
    <col min="778" max="778" width="8.28515625" bestFit="1" customWidth="1"/>
    <col min="779" max="779" width="22.85546875" bestFit="1" customWidth="1"/>
    <col min="780" max="780" width="7" bestFit="1" customWidth="1"/>
    <col min="781" max="781" width="3.5703125" bestFit="1" customWidth="1"/>
    <col min="783" max="783" width="14.140625" bestFit="1" customWidth="1"/>
    <col min="784" max="784" width="7" bestFit="1" customWidth="1"/>
    <col min="785" max="785" width="14.5703125" bestFit="1" customWidth="1"/>
    <col min="786" max="786" width="33" bestFit="1" customWidth="1"/>
    <col min="787" max="787" width="12" bestFit="1" customWidth="1"/>
    <col min="788" max="788" width="7.140625" bestFit="1" customWidth="1"/>
    <col min="789" max="789" width="9.5703125" bestFit="1" customWidth="1"/>
    <col min="790" max="790" width="9" bestFit="1" customWidth="1"/>
    <col min="791" max="791" width="19" bestFit="1" customWidth="1"/>
    <col min="792" max="792" width="14.85546875" bestFit="1" customWidth="1"/>
    <col min="793" max="793" width="10.140625" bestFit="1" customWidth="1"/>
    <col min="794" max="794" width="12.42578125" bestFit="1" customWidth="1"/>
    <col min="795" max="795" width="7" bestFit="1" customWidth="1"/>
    <col min="796" max="797" width="2" bestFit="1" customWidth="1"/>
    <col min="798" max="798" width="21.140625" bestFit="1" customWidth="1"/>
    <col min="799" max="799" width="15" bestFit="1" customWidth="1"/>
    <col min="800" max="800" width="11.7109375" bestFit="1" customWidth="1"/>
    <col min="801" max="801" width="13.85546875" bestFit="1" customWidth="1"/>
    <col min="802" max="802" width="7" bestFit="1" customWidth="1"/>
    <col min="1013" max="1013" width="17" customWidth="1"/>
    <col min="1016" max="1016" width="5.5703125" customWidth="1"/>
    <col min="1019" max="1019" width="16.42578125" bestFit="1" customWidth="1"/>
    <col min="1020" max="1020" width="14.28515625" bestFit="1" customWidth="1"/>
    <col min="1022" max="1022" width="19.42578125" bestFit="1" customWidth="1"/>
    <col min="1026" max="1026" width="19.85546875" customWidth="1"/>
    <col min="1028" max="1028" width="13.7109375" bestFit="1" customWidth="1"/>
    <col min="1029" max="1029" width="3.5703125" bestFit="1" customWidth="1"/>
    <col min="1030" max="1030" width="7" bestFit="1" customWidth="1"/>
    <col min="1031" max="1031" width="9.28515625" bestFit="1" customWidth="1"/>
    <col min="1032" max="1032" width="16.42578125" bestFit="1" customWidth="1"/>
    <col min="1033" max="1033" width="18.85546875" bestFit="1" customWidth="1"/>
    <col min="1034" max="1034" width="8.28515625" bestFit="1" customWidth="1"/>
    <col min="1035" max="1035" width="22.85546875" bestFit="1" customWidth="1"/>
    <col min="1036" max="1036" width="7" bestFit="1" customWidth="1"/>
    <col min="1037" max="1037" width="3.5703125" bestFit="1" customWidth="1"/>
    <col min="1039" max="1039" width="14.140625" bestFit="1" customWidth="1"/>
    <col min="1040" max="1040" width="7" bestFit="1" customWidth="1"/>
    <col min="1041" max="1041" width="14.5703125" bestFit="1" customWidth="1"/>
    <col min="1042" max="1042" width="33" bestFit="1" customWidth="1"/>
    <col min="1043" max="1043" width="12" bestFit="1" customWidth="1"/>
    <col min="1044" max="1044" width="7.140625" bestFit="1" customWidth="1"/>
    <col min="1045" max="1045" width="9.5703125" bestFit="1" customWidth="1"/>
    <col min="1046" max="1046" width="9" bestFit="1" customWidth="1"/>
    <col min="1047" max="1047" width="19" bestFit="1" customWidth="1"/>
    <col min="1048" max="1048" width="14.85546875" bestFit="1" customWidth="1"/>
    <col min="1049" max="1049" width="10.140625" bestFit="1" customWidth="1"/>
    <col min="1050" max="1050" width="12.42578125" bestFit="1" customWidth="1"/>
    <col min="1051" max="1051" width="7" bestFit="1" customWidth="1"/>
    <col min="1052" max="1053" width="2" bestFit="1" customWidth="1"/>
    <col min="1054" max="1054" width="21.140625" bestFit="1" customWidth="1"/>
    <col min="1055" max="1055" width="15" bestFit="1" customWidth="1"/>
    <col min="1056" max="1056" width="11.7109375" bestFit="1" customWidth="1"/>
    <col min="1057" max="1057" width="13.85546875" bestFit="1" customWidth="1"/>
    <col min="1058" max="1058" width="7" bestFit="1" customWidth="1"/>
    <col min="1269" max="1269" width="17" customWidth="1"/>
    <col min="1272" max="1272" width="5.5703125" customWidth="1"/>
    <col min="1275" max="1275" width="16.42578125" bestFit="1" customWidth="1"/>
    <col min="1276" max="1276" width="14.28515625" bestFit="1" customWidth="1"/>
    <col min="1278" max="1278" width="19.42578125" bestFit="1" customWidth="1"/>
    <col min="1282" max="1282" width="19.85546875" customWidth="1"/>
    <col min="1284" max="1284" width="13.7109375" bestFit="1" customWidth="1"/>
    <col min="1285" max="1285" width="3.5703125" bestFit="1" customWidth="1"/>
    <col min="1286" max="1286" width="7" bestFit="1" customWidth="1"/>
    <col min="1287" max="1287" width="9.28515625" bestFit="1" customWidth="1"/>
    <col min="1288" max="1288" width="16.42578125" bestFit="1" customWidth="1"/>
    <col min="1289" max="1289" width="18.85546875" bestFit="1" customWidth="1"/>
    <col min="1290" max="1290" width="8.28515625" bestFit="1" customWidth="1"/>
    <col min="1291" max="1291" width="22.85546875" bestFit="1" customWidth="1"/>
    <col min="1292" max="1292" width="7" bestFit="1" customWidth="1"/>
    <col min="1293" max="1293" width="3.5703125" bestFit="1" customWidth="1"/>
    <col min="1295" max="1295" width="14.140625" bestFit="1" customWidth="1"/>
    <col min="1296" max="1296" width="7" bestFit="1" customWidth="1"/>
    <col min="1297" max="1297" width="14.5703125" bestFit="1" customWidth="1"/>
    <col min="1298" max="1298" width="33" bestFit="1" customWidth="1"/>
    <col min="1299" max="1299" width="12" bestFit="1" customWidth="1"/>
    <col min="1300" max="1300" width="7.140625" bestFit="1" customWidth="1"/>
    <col min="1301" max="1301" width="9.5703125" bestFit="1" customWidth="1"/>
    <col min="1302" max="1302" width="9" bestFit="1" customWidth="1"/>
    <col min="1303" max="1303" width="19" bestFit="1" customWidth="1"/>
    <col min="1304" max="1304" width="14.85546875" bestFit="1" customWidth="1"/>
    <col min="1305" max="1305" width="10.140625" bestFit="1" customWidth="1"/>
    <col min="1306" max="1306" width="12.42578125" bestFit="1" customWidth="1"/>
    <col min="1307" max="1307" width="7" bestFit="1" customWidth="1"/>
    <col min="1308" max="1309" width="2" bestFit="1" customWidth="1"/>
    <col min="1310" max="1310" width="21.140625" bestFit="1" customWidth="1"/>
    <col min="1311" max="1311" width="15" bestFit="1" customWidth="1"/>
    <col min="1312" max="1312" width="11.7109375" bestFit="1" customWidth="1"/>
    <col min="1313" max="1313" width="13.85546875" bestFit="1" customWidth="1"/>
    <col min="1314" max="1314" width="7" bestFit="1" customWidth="1"/>
    <col min="1525" max="1525" width="17" customWidth="1"/>
    <col min="1528" max="1528" width="5.5703125" customWidth="1"/>
    <col min="1531" max="1531" width="16.42578125" bestFit="1" customWidth="1"/>
    <col min="1532" max="1532" width="14.28515625" bestFit="1" customWidth="1"/>
    <col min="1534" max="1534" width="19.42578125" bestFit="1" customWidth="1"/>
    <col min="1538" max="1538" width="19.85546875" customWidth="1"/>
    <col min="1540" max="1540" width="13.7109375" bestFit="1" customWidth="1"/>
    <col min="1541" max="1541" width="3.5703125" bestFit="1" customWidth="1"/>
    <col min="1542" max="1542" width="7" bestFit="1" customWidth="1"/>
    <col min="1543" max="1543" width="9.28515625" bestFit="1" customWidth="1"/>
    <col min="1544" max="1544" width="16.42578125" bestFit="1" customWidth="1"/>
    <col min="1545" max="1545" width="18.85546875" bestFit="1" customWidth="1"/>
    <col min="1546" max="1546" width="8.28515625" bestFit="1" customWidth="1"/>
    <col min="1547" max="1547" width="22.85546875" bestFit="1" customWidth="1"/>
    <col min="1548" max="1548" width="7" bestFit="1" customWidth="1"/>
    <col min="1549" max="1549" width="3.5703125" bestFit="1" customWidth="1"/>
    <col min="1551" max="1551" width="14.140625" bestFit="1" customWidth="1"/>
    <col min="1552" max="1552" width="7" bestFit="1" customWidth="1"/>
    <col min="1553" max="1553" width="14.5703125" bestFit="1" customWidth="1"/>
    <col min="1554" max="1554" width="33" bestFit="1" customWidth="1"/>
    <col min="1555" max="1555" width="12" bestFit="1" customWidth="1"/>
    <col min="1556" max="1556" width="7.140625" bestFit="1" customWidth="1"/>
    <col min="1557" max="1557" width="9.5703125" bestFit="1" customWidth="1"/>
    <col min="1558" max="1558" width="9" bestFit="1" customWidth="1"/>
    <col min="1559" max="1559" width="19" bestFit="1" customWidth="1"/>
    <col min="1560" max="1560" width="14.85546875" bestFit="1" customWidth="1"/>
    <col min="1561" max="1561" width="10.140625" bestFit="1" customWidth="1"/>
    <col min="1562" max="1562" width="12.42578125" bestFit="1" customWidth="1"/>
    <col min="1563" max="1563" width="7" bestFit="1" customWidth="1"/>
    <col min="1564" max="1565" width="2" bestFit="1" customWidth="1"/>
    <col min="1566" max="1566" width="21.140625" bestFit="1" customWidth="1"/>
    <col min="1567" max="1567" width="15" bestFit="1" customWidth="1"/>
    <col min="1568" max="1568" width="11.7109375" bestFit="1" customWidth="1"/>
    <col min="1569" max="1569" width="13.85546875" bestFit="1" customWidth="1"/>
    <col min="1570" max="1570" width="7" bestFit="1" customWidth="1"/>
    <col min="1781" max="1781" width="17" customWidth="1"/>
    <col min="1784" max="1784" width="5.5703125" customWidth="1"/>
    <col min="1787" max="1787" width="16.42578125" bestFit="1" customWidth="1"/>
    <col min="1788" max="1788" width="14.28515625" bestFit="1" customWidth="1"/>
    <col min="1790" max="1790" width="19.42578125" bestFit="1" customWidth="1"/>
    <col min="1794" max="1794" width="19.85546875" customWidth="1"/>
    <col min="1796" max="1796" width="13.7109375" bestFit="1" customWidth="1"/>
    <col min="1797" max="1797" width="3.5703125" bestFit="1" customWidth="1"/>
    <col min="1798" max="1798" width="7" bestFit="1" customWidth="1"/>
    <col min="1799" max="1799" width="9.28515625" bestFit="1" customWidth="1"/>
    <col min="1800" max="1800" width="16.42578125" bestFit="1" customWidth="1"/>
    <col min="1801" max="1801" width="18.85546875" bestFit="1" customWidth="1"/>
    <col min="1802" max="1802" width="8.28515625" bestFit="1" customWidth="1"/>
    <col min="1803" max="1803" width="22.85546875" bestFit="1" customWidth="1"/>
    <col min="1804" max="1804" width="7" bestFit="1" customWidth="1"/>
    <col min="1805" max="1805" width="3.5703125" bestFit="1" customWidth="1"/>
    <col min="1807" max="1807" width="14.140625" bestFit="1" customWidth="1"/>
    <col min="1808" max="1808" width="7" bestFit="1" customWidth="1"/>
    <col min="1809" max="1809" width="14.5703125" bestFit="1" customWidth="1"/>
    <col min="1810" max="1810" width="33" bestFit="1" customWidth="1"/>
    <col min="1811" max="1811" width="12" bestFit="1" customWidth="1"/>
    <col min="1812" max="1812" width="7.140625" bestFit="1" customWidth="1"/>
    <col min="1813" max="1813" width="9.5703125" bestFit="1" customWidth="1"/>
    <col min="1814" max="1814" width="9" bestFit="1" customWidth="1"/>
    <col min="1815" max="1815" width="19" bestFit="1" customWidth="1"/>
    <col min="1816" max="1816" width="14.85546875" bestFit="1" customWidth="1"/>
    <col min="1817" max="1817" width="10.140625" bestFit="1" customWidth="1"/>
    <col min="1818" max="1818" width="12.42578125" bestFit="1" customWidth="1"/>
    <col min="1819" max="1819" width="7" bestFit="1" customWidth="1"/>
    <col min="1820" max="1821" width="2" bestFit="1" customWidth="1"/>
    <col min="1822" max="1822" width="21.140625" bestFit="1" customWidth="1"/>
    <col min="1823" max="1823" width="15" bestFit="1" customWidth="1"/>
    <col min="1824" max="1824" width="11.7109375" bestFit="1" customWidth="1"/>
    <col min="1825" max="1825" width="13.85546875" bestFit="1" customWidth="1"/>
    <col min="1826" max="1826" width="7" bestFit="1" customWidth="1"/>
    <col min="2037" max="2037" width="17" customWidth="1"/>
    <col min="2040" max="2040" width="5.5703125" customWidth="1"/>
    <col min="2043" max="2043" width="16.42578125" bestFit="1" customWidth="1"/>
    <col min="2044" max="2044" width="14.28515625" bestFit="1" customWidth="1"/>
    <col min="2046" max="2046" width="19.42578125" bestFit="1" customWidth="1"/>
    <col min="2050" max="2050" width="19.85546875" customWidth="1"/>
    <col min="2052" max="2052" width="13.7109375" bestFit="1" customWidth="1"/>
    <col min="2053" max="2053" width="3.5703125" bestFit="1" customWidth="1"/>
    <col min="2054" max="2054" width="7" bestFit="1" customWidth="1"/>
    <col min="2055" max="2055" width="9.28515625" bestFit="1" customWidth="1"/>
    <col min="2056" max="2056" width="16.42578125" bestFit="1" customWidth="1"/>
    <col min="2057" max="2057" width="18.85546875" bestFit="1" customWidth="1"/>
    <col min="2058" max="2058" width="8.28515625" bestFit="1" customWidth="1"/>
    <col min="2059" max="2059" width="22.85546875" bestFit="1" customWidth="1"/>
    <col min="2060" max="2060" width="7" bestFit="1" customWidth="1"/>
    <col min="2061" max="2061" width="3.5703125" bestFit="1" customWidth="1"/>
    <col min="2063" max="2063" width="14.140625" bestFit="1" customWidth="1"/>
    <col min="2064" max="2064" width="7" bestFit="1" customWidth="1"/>
    <col min="2065" max="2065" width="14.5703125" bestFit="1" customWidth="1"/>
    <col min="2066" max="2066" width="33" bestFit="1" customWidth="1"/>
    <col min="2067" max="2067" width="12" bestFit="1" customWidth="1"/>
    <col min="2068" max="2068" width="7.140625" bestFit="1" customWidth="1"/>
    <col min="2069" max="2069" width="9.5703125" bestFit="1" customWidth="1"/>
    <col min="2070" max="2070" width="9" bestFit="1" customWidth="1"/>
    <col min="2071" max="2071" width="19" bestFit="1" customWidth="1"/>
    <col min="2072" max="2072" width="14.85546875" bestFit="1" customWidth="1"/>
    <col min="2073" max="2073" width="10.140625" bestFit="1" customWidth="1"/>
    <col min="2074" max="2074" width="12.42578125" bestFit="1" customWidth="1"/>
    <col min="2075" max="2075" width="7" bestFit="1" customWidth="1"/>
    <col min="2076" max="2077" width="2" bestFit="1" customWidth="1"/>
    <col min="2078" max="2078" width="21.140625" bestFit="1" customWidth="1"/>
    <col min="2079" max="2079" width="15" bestFit="1" customWidth="1"/>
    <col min="2080" max="2080" width="11.7109375" bestFit="1" customWidth="1"/>
    <col min="2081" max="2081" width="13.85546875" bestFit="1" customWidth="1"/>
    <col min="2082" max="2082" width="7" bestFit="1" customWidth="1"/>
    <col min="2293" max="2293" width="17" customWidth="1"/>
    <col min="2296" max="2296" width="5.5703125" customWidth="1"/>
    <col min="2299" max="2299" width="16.42578125" bestFit="1" customWidth="1"/>
    <col min="2300" max="2300" width="14.28515625" bestFit="1" customWidth="1"/>
    <col min="2302" max="2302" width="19.42578125" bestFit="1" customWidth="1"/>
    <col min="2306" max="2306" width="19.85546875" customWidth="1"/>
    <col min="2308" max="2308" width="13.7109375" bestFit="1" customWidth="1"/>
    <col min="2309" max="2309" width="3.5703125" bestFit="1" customWidth="1"/>
    <col min="2310" max="2310" width="7" bestFit="1" customWidth="1"/>
    <col min="2311" max="2311" width="9.28515625" bestFit="1" customWidth="1"/>
    <col min="2312" max="2312" width="16.42578125" bestFit="1" customWidth="1"/>
    <col min="2313" max="2313" width="18.85546875" bestFit="1" customWidth="1"/>
    <col min="2314" max="2314" width="8.28515625" bestFit="1" customWidth="1"/>
    <col min="2315" max="2315" width="22.85546875" bestFit="1" customWidth="1"/>
    <col min="2316" max="2316" width="7" bestFit="1" customWidth="1"/>
    <col min="2317" max="2317" width="3.5703125" bestFit="1" customWidth="1"/>
    <col min="2319" max="2319" width="14.140625" bestFit="1" customWidth="1"/>
    <col min="2320" max="2320" width="7" bestFit="1" customWidth="1"/>
    <col min="2321" max="2321" width="14.5703125" bestFit="1" customWidth="1"/>
    <col min="2322" max="2322" width="33" bestFit="1" customWidth="1"/>
    <col min="2323" max="2323" width="12" bestFit="1" customWidth="1"/>
    <col min="2324" max="2324" width="7.140625" bestFit="1" customWidth="1"/>
    <col min="2325" max="2325" width="9.5703125" bestFit="1" customWidth="1"/>
    <col min="2326" max="2326" width="9" bestFit="1" customWidth="1"/>
    <col min="2327" max="2327" width="19" bestFit="1" customWidth="1"/>
    <col min="2328" max="2328" width="14.85546875" bestFit="1" customWidth="1"/>
    <col min="2329" max="2329" width="10.140625" bestFit="1" customWidth="1"/>
    <col min="2330" max="2330" width="12.42578125" bestFit="1" customWidth="1"/>
    <col min="2331" max="2331" width="7" bestFit="1" customWidth="1"/>
    <col min="2332" max="2333" width="2" bestFit="1" customWidth="1"/>
    <col min="2334" max="2334" width="21.140625" bestFit="1" customWidth="1"/>
    <col min="2335" max="2335" width="15" bestFit="1" customWidth="1"/>
    <col min="2336" max="2336" width="11.7109375" bestFit="1" customWidth="1"/>
    <col min="2337" max="2337" width="13.85546875" bestFit="1" customWidth="1"/>
    <col min="2338" max="2338" width="7" bestFit="1" customWidth="1"/>
    <col min="2549" max="2549" width="17" customWidth="1"/>
    <col min="2552" max="2552" width="5.5703125" customWidth="1"/>
    <col min="2555" max="2555" width="16.42578125" bestFit="1" customWidth="1"/>
    <col min="2556" max="2556" width="14.28515625" bestFit="1" customWidth="1"/>
    <col min="2558" max="2558" width="19.42578125" bestFit="1" customWidth="1"/>
    <col min="2562" max="2562" width="19.85546875" customWidth="1"/>
    <col min="2564" max="2564" width="13.7109375" bestFit="1" customWidth="1"/>
    <col min="2565" max="2565" width="3.5703125" bestFit="1" customWidth="1"/>
    <col min="2566" max="2566" width="7" bestFit="1" customWidth="1"/>
    <col min="2567" max="2567" width="9.28515625" bestFit="1" customWidth="1"/>
    <col min="2568" max="2568" width="16.42578125" bestFit="1" customWidth="1"/>
    <col min="2569" max="2569" width="18.85546875" bestFit="1" customWidth="1"/>
    <col min="2570" max="2570" width="8.28515625" bestFit="1" customWidth="1"/>
    <col min="2571" max="2571" width="22.85546875" bestFit="1" customWidth="1"/>
    <col min="2572" max="2572" width="7" bestFit="1" customWidth="1"/>
    <col min="2573" max="2573" width="3.5703125" bestFit="1" customWidth="1"/>
    <col min="2575" max="2575" width="14.140625" bestFit="1" customWidth="1"/>
    <col min="2576" max="2576" width="7" bestFit="1" customWidth="1"/>
    <col min="2577" max="2577" width="14.5703125" bestFit="1" customWidth="1"/>
    <col min="2578" max="2578" width="33" bestFit="1" customWidth="1"/>
    <col min="2579" max="2579" width="12" bestFit="1" customWidth="1"/>
    <col min="2580" max="2580" width="7.140625" bestFit="1" customWidth="1"/>
    <col min="2581" max="2581" width="9.5703125" bestFit="1" customWidth="1"/>
    <col min="2582" max="2582" width="9" bestFit="1" customWidth="1"/>
    <col min="2583" max="2583" width="19" bestFit="1" customWidth="1"/>
    <col min="2584" max="2584" width="14.85546875" bestFit="1" customWidth="1"/>
    <col min="2585" max="2585" width="10.140625" bestFit="1" customWidth="1"/>
    <col min="2586" max="2586" width="12.42578125" bestFit="1" customWidth="1"/>
    <col min="2587" max="2587" width="7" bestFit="1" customWidth="1"/>
    <col min="2588" max="2589" width="2" bestFit="1" customWidth="1"/>
    <col min="2590" max="2590" width="21.140625" bestFit="1" customWidth="1"/>
    <col min="2591" max="2591" width="15" bestFit="1" customWidth="1"/>
    <col min="2592" max="2592" width="11.7109375" bestFit="1" customWidth="1"/>
    <col min="2593" max="2593" width="13.85546875" bestFit="1" customWidth="1"/>
    <col min="2594" max="2594" width="7" bestFit="1" customWidth="1"/>
    <col min="2805" max="2805" width="17" customWidth="1"/>
    <col min="2808" max="2808" width="5.5703125" customWidth="1"/>
    <col min="2811" max="2811" width="16.42578125" bestFit="1" customWidth="1"/>
    <col min="2812" max="2812" width="14.28515625" bestFit="1" customWidth="1"/>
    <col min="2814" max="2814" width="19.42578125" bestFit="1" customWidth="1"/>
    <col min="2818" max="2818" width="19.85546875" customWidth="1"/>
    <col min="2820" max="2820" width="13.7109375" bestFit="1" customWidth="1"/>
    <col min="2821" max="2821" width="3.5703125" bestFit="1" customWidth="1"/>
    <col min="2822" max="2822" width="7" bestFit="1" customWidth="1"/>
    <col min="2823" max="2823" width="9.28515625" bestFit="1" customWidth="1"/>
    <col min="2824" max="2824" width="16.42578125" bestFit="1" customWidth="1"/>
    <col min="2825" max="2825" width="18.85546875" bestFit="1" customWidth="1"/>
    <col min="2826" max="2826" width="8.28515625" bestFit="1" customWidth="1"/>
    <col min="2827" max="2827" width="22.85546875" bestFit="1" customWidth="1"/>
    <col min="2828" max="2828" width="7" bestFit="1" customWidth="1"/>
    <col min="2829" max="2829" width="3.5703125" bestFit="1" customWidth="1"/>
    <col min="2831" max="2831" width="14.140625" bestFit="1" customWidth="1"/>
    <col min="2832" max="2832" width="7" bestFit="1" customWidth="1"/>
    <col min="2833" max="2833" width="14.5703125" bestFit="1" customWidth="1"/>
    <col min="2834" max="2834" width="33" bestFit="1" customWidth="1"/>
    <col min="2835" max="2835" width="12" bestFit="1" customWidth="1"/>
    <col min="2836" max="2836" width="7.140625" bestFit="1" customWidth="1"/>
    <col min="2837" max="2837" width="9.5703125" bestFit="1" customWidth="1"/>
    <col min="2838" max="2838" width="9" bestFit="1" customWidth="1"/>
    <col min="2839" max="2839" width="19" bestFit="1" customWidth="1"/>
    <col min="2840" max="2840" width="14.85546875" bestFit="1" customWidth="1"/>
    <col min="2841" max="2841" width="10.140625" bestFit="1" customWidth="1"/>
    <col min="2842" max="2842" width="12.42578125" bestFit="1" customWidth="1"/>
    <col min="2843" max="2843" width="7" bestFit="1" customWidth="1"/>
    <col min="2844" max="2845" width="2" bestFit="1" customWidth="1"/>
    <col min="2846" max="2846" width="21.140625" bestFit="1" customWidth="1"/>
    <col min="2847" max="2847" width="15" bestFit="1" customWidth="1"/>
    <col min="2848" max="2848" width="11.7109375" bestFit="1" customWidth="1"/>
    <col min="2849" max="2849" width="13.85546875" bestFit="1" customWidth="1"/>
    <col min="2850" max="2850" width="7" bestFit="1" customWidth="1"/>
    <col min="3061" max="3061" width="17" customWidth="1"/>
    <col min="3064" max="3064" width="5.5703125" customWidth="1"/>
    <col min="3067" max="3067" width="16.42578125" bestFit="1" customWidth="1"/>
    <col min="3068" max="3068" width="14.28515625" bestFit="1" customWidth="1"/>
    <col min="3070" max="3070" width="19.42578125" bestFit="1" customWidth="1"/>
    <col min="3074" max="3074" width="19.85546875" customWidth="1"/>
    <col min="3076" max="3076" width="13.7109375" bestFit="1" customWidth="1"/>
    <col min="3077" max="3077" width="3.5703125" bestFit="1" customWidth="1"/>
    <col min="3078" max="3078" width="7" bestFit="1" customWidth="1"/>
    <col min="3079" max="3079" width="9.28515625" bestFit="1" customWidth="1"/>
    <col min="3080" max="3080" width="16.42578125" bestFit="1" customWidth="1"/>
    <col min="3081" max="3081" width="18.85546875" bestFit="1" customWidth="1"/>
    <col min="3082" max="3082" width="8.28515625" bestFit="1" customWidth="1"/>
    <col min="3083" max="3083" width="22.85546875" bestFit="1" customWidth="1"/>
    <col min="3084" max="3084" width="7" bestFit="1" customWidth="1"/>
    <col min="3085" max="3085" width="3.5703125" bestFit="1" customWidth="1"/>
    <col min="3087" max="3087" width="14.140625" bestFit="1" customWidth="1"/>
    <col min="3088" max="3088" width="7" bestFit="1" customWidth="1"/>
    <col min="3089" max="3089" width="14.5703125" bestFit="1" customWidth="1"/>
    <col min="3090" max="3090" width="33" bestFit="1" customWidth="1"/>
    <col min="3091" max="3091" width="12" bestFit="1" customWidth="1"/>
    <col min="3092" max="3092" width="7.140625" bestFit="1" customWidth="1"/>
    <col min="3093" max="3093" width="9.5703125" bestFit="1" customWidth="1"/>
    <col min="3094" max="3094" width="9" bestFit="1" customWidth="1"/>
    <col min="3095" max="3095" width="19" bestFit="1" customWidth="1"/>
    <col min="3096" max="3096" width="14.85546875" bestFit="1" customWidth="1"/>
    <col min="3097" max="3097" width="10.140625" bestFit="1" customWidth="1"/>
    <col min="3098" max="3098" width="12.42578125" bestFit="1" customWidth="1"/>
    <col min="3099" max="3099" width="7" bestFit="1" customWidth="1"/>
    <col min="3100" max="3101" width="2" bestFit="1" customWidth="1"/>
    <col min="3102" max="3102" width="21.140625" bestFit="1" customWidth="1"/>
    <col min="3103" max="3103" width="15" bestFit="1" customWidth="1"/>
    <col min="3104" max="3104" width="11.7109375" bestFit="1" customWidth="1"/>
    <col min="3105" max="3105" width="13.85546875" bestFit="1" customWidth="1"/>
    <col min="3106" max="3106" width="7" bestFit="1" customWidth="1"/>
    <col min="3317" max="3317" width="17" customWidth="1"/>
    <col min="3320" max="3320" width="5.5703125" customWidth="1"/>
    <col min="3323" max="3323" width="16.42578125" bestFit="1" customWidth="1"/>
    <col min="3324" max="3324" width="14.28515625" bestFit="1" customWidth="1"/>
    <col min="3326" max="3326" width="19.42578125" bestFit="1" customWidth="1"/>
    <col min="3330" max="3330" width="19.85546875" customWidth="1"/>
    <col min="3332" max="3332" width="13.7109375" bestFit="1" customWidth="1"/>
    <col min="3333" max="3333" width="3.5703125" bestFit="1" customWidth="1"/>
    <col min="3334" max="3334" width="7" bestFit="1" customWidth="1"/>
    <col min="3335" max="3335" width="9.28515625" bestFit="1" customWidth="1"/>
    <col min="3336" max="3336" width="16.42578125" bestFit="1" customWidth="1"/>
    <col min="3337" max="3337" width="18.85546875" bestFit="1" customWidth="1"/>
    <col min="3338" max="3338" width="8.28515625" bestFit="1" customWidth="1"/>
    <col min="3339" max="3339" width="22.85546875" bestFit="1" customWidth="1"/>
    <col min="3340" max="3340" width="7" bestFit="1" customWidth="1"/>
    <col min="3341" max="3341" width="3.5703125" bestFit="1" customWidth="1"/>
    <col min="3343" max="3343" width="14.140625" bestFit="1" customWidth="1"/>
    <col min="3344" max="3344" width="7" bestFit="1" customWidth="1"/>
    <col min="3345" max="3345" width="14.5703125" bestFit="1" customWidth="1"/>
    <col min="3346" max="3346" width="33" bestFit="1" customWidth="1"/>
    <col min="3347" max="3347" width="12" bestFit="1" customWidth="1"/>
    <col min="3348" max="3348" width="7.140625" bestFit="1" customWidth="1"/>
    <col min="3349" max="3349" width="9.5703125" bestFit="1" customWidth="1"/>
    <col min="3350" max="3350" width="9" bestFit="1" customWidth="1"/>
    <col min="3351" max="3351" width="19" bestFit="1" customWidth="1"/>
    <col min="3352" max="3352" width="14.85546875" bestFit="1" customWidth="1"/>
    <col min="3353" max="3353" width="10.140625" bestFit="1" customWidth="1"/>
    <col min="3354" max="3354" width="12.42578125" bestFit="1" customWidth="1"/>
    <col min="3355" max="3355" width="7" bestFit="1" customWidth="1"/>
    <col min="3356" max="3357" width="2" bestFit="1" customWidth="1"/>
    <col min="3358" max="3358" width="21.140625" bestFit="1" customWidth="1"/>
    <col min="3359" max="3359" width="15" bestFit="1" customWidth="1"/>
    <col min="3360" max="3360" width="11.7109375" bestFit="1" customWidth="1"/>
    <col min="3361" max="3361" width="13.85546875" bestFit="1" customWidth="1"/>
    <col min="3362" max="3362" width="7" bestFit="1" customWidth="1"/>
    <col min="3573" max="3573" width="17" customWidth="1"/>
    <col min="3576" max="3576" width="5.5703125" customWidth="1"/>
    <col min="3579" max="3579" width="16.42578125" bestFit="1" customWidth="1"/>
    <col min="3580" max="3580" width="14.28515625" bestFit="1" customWidth="1"/>
    <col min="3582" max="3582" width="19.42578125" bestFit="1" customWidth="1"/>
    <col min="3586" max="3586" width="19.85546875" customWidth="1"/>
    <col min="3588" max="3588" width="13.7109375" bestFit="1" customWidth="1"/>
    <col min="3589" max="3589" width="3.5703125" bestFit="1" customWidth="1"/>
    <col min="3590" max="3590" width="7" bestFit="1" customWidth="1"/>
    <col min="3591" max="3591" width="9.28515625" bestFit="1" customWidth="1"/>
    <col min="3592" max="3592" width="16.42578125" bestFit="1" customWidth="1"/>
    <col min="3593" max="3593" width="18.85546875" bestFit="1" customWidth="1"/>
    <col min="3594" max="3594" width="8.28515625" bestFit="1" customWidth="1"/>
    <col min="3595" max="3595" width="22.85546875" bestFit="1" customWidth="1"/>
    <col min="3596" max="3596" width="7" bestFit="1" customWidth="1"/>
    <col min="3597" max="3597" width="3.5703125" bestFit="1" customWidth="1"/>
    <col min="3599" max="3599" width="14.140625" bestFit="1" customWidth="1"/>
    <col min="3600" max="3600" width="7" bestFit="1" customWidth="1"/>
    <col min="3601" max="3601" width="14.5703125" bestFit="1" customWidth="1"/>
    <col min="3602" max="3602" width="33" bestFit="1" customWidth="1"/>
    <col min="3603" max="3603" width="12" bestFit="1" customWidth="1"/>
    <col min="3604" max="3604" width="7.140625" bestFit="1" customWidth="1"/>
    <col min="3605" max="3605" width="9.5703125" bestFit="1" customWidth="1"/>
    <col min="3606" max="3606" width="9" bestFit="1" customWidth="1"/>
    <col min="3607" max="3607" width="19" bestFit="1" customWidth="1"/>
    <col min="3608" max="3608" width="14.85546875" bestFit="1" customWidth="1"/>
    <col min="3609" max="3609" width="10.140625" bestFit="1" customWidth="1"/>
    <col min="3610" max="3610" width="12.42578125" bestFit="1" customWidth="1"/>
    <col min="3611" max="3611" width="7" bestFit="1" customWidth="1"/>
    <col min="3612" max="3613" width="2" bestFit="1" customWidth="1"/>
    <col min="3614" max="3614" width="21.140625" bestFit="1" customWidth="1"/>
    <col min="3615" max="3615" width="15" bestFit="1" customWidth="1"/>
    <col min="3616" max="3616" width="11.7109375" bestFit="1" customWidth="1"/>
    <col min="3617" max="3617" width="13.85546875" bestFit="1" customWidth="1"/>
    <col min="3618" max="3618" width="7" bestFit="1" customWidth="1"/>
    <col min="3829" max="3829" width="17" customWidth="1"/>
    <col min="3832" max="3832" width="5.5703125" customWidth="1"/>
    <col min="3835" max="3835" width="16.42578125" bestFit="1" customWidth="1"/>
    <col min="3836" max="3836" width="14.28515625" bestFit="1" customWidth="1"/>
    <col min="3838" max="3838" width="19.42578125" bestFit="1" customWidth="1"/>
    <col min="3842" max="3842" width="19.85546875" customWidth="1"/>
    <col min="3844" max="3844" width="13.7109375" bestFit="1" customWidth="1"/>
    <col min="3845" max="3845" width="3.5703125" bestFit="1" customWidth="1"/>
    <col min="3846" max="3846" width="7" bestFit="1" customWidth="1"/>
    <col min="3847" max="3847" width="9.28515625" bestFit="1" customWidth="1"/>
    <col min="3848" max="3848" width="16.42578125" bestFit="1" customWidth="1"/>
    <col min="3849" max="3849" width="18.85546875" bestFit="1" customWidth="1"/>
    <col min="3850" max="3850" width="8.28515625" bestFit="1" customWidth="1"/>
    <col min="3851" max="3851" width="22.85546875" bestFit="1" customWidth="1"/>
    <col min="3852" max="3852" width="7" bestFit="1" customWidth="1"/>
    <col min="3853" max="3853" width="3.5703125" bestFit="1" customWidth="1"/>
    <col min="3855" max="3855" width="14.140625" bestFit="1" customWidth="1"/>
    <col min="3856" max="3856" width="7" bestFit="1" customWidth="1"/>
    <col min="3857" max="3857" width="14.5703125" bestFit="1" customWidth="1"/>
    <col min="3858" max="3858" width="33" bestFit="1" customWidth="1"/>
    <col min="3859" max="3859" width="12" bestFit="1" customWidth="1"/>
    <col min="3860" max="3860" width="7.140625" bestFit="1" customWidth="1"/>
    <col min="3861" max="3861" width="9.5703125" bestFit="1" customWidth="1"/>
    <col min="3862" max="3862" width="9" bestFit="1" customWidth="1"/>
    <col min="3863" max="3863" width="19" bestFit="1" customWidth="1"/>
    <col min="3864" max="3864" width="14.85546875" bestFit="1" customWidth="1"/>
    <col min="3865" max="3865" width="10.140625" bestFit="1" customWidth="1"/>
    <col min="3866" max="3866" width="12.42578125" bestFit="1" customWidth="1"/>
    <col min="3867" max="3867" width="7" bestFit="1" customWidth="1"/>
    <col min="3868" max="3869" width="2" bestFit="1" customWidth="1"/>
    <col min="3870" max="3870" width="21.140625" bestFit="1" customWidth="1"/>
    <col min="3871" max="3871" width="15" bestFit="1" customWidth="1"/>
    <col min="3872" max="3872" width="11.7109375" bestFit="1" customWidth="1"/>
    <col min="3873" max="3873" width="13.85546875" bestFit="1" customWidth="1"/>
    <col min="3874" max="3874" width="7" bestFit="1" customWidth="1"/>
    <col min="4085" max="4085" width="17" customWidth="1"/>
    <col min="4088" max="4088" width="5.5703125" customWidth="1"/>
    <col min="4091" max="4091" width="16.42578125" bestFit="1" customWidth="1"/>
    <col min="4092" max="4092" width="14.28515625" bestFit="1" customWidth="1"/>
    <col min="4094" max="4094" width="19.42578125" bestFit="1" customWidth="1"/>
    <col min="4098" max="4098" width="19.85546875" customWidth="1"/>
    <col min="4100" max="4100" width="13.7109375" bestFit="1" customWidth="1"/>
    <col min="4101" max="4101" width="3.5703125" bestFit="1" customWidth="1"/>
    <col min="4102" max="4102" width="7" bestFit="1" customWidth="1"/>
    <col min="4103" max="4103" width="9.28515625" bestFit="1" customWidth="1"/>
    <col min="4104" max="4104" width="16.42578125" bestFit="1" customWidth="1"/>
    <col min="4105" max="4105" width="18.85546875" bestFit="1" customWidth="1"/>
    <col min="4106" max="4106" width="8.28515625" bestFit="1" customWidth="1"/>
    <col min="4107" max="4107" width="22.85546875" bestFit="1" customWidth="1"/>
    <col min="4108" max="4108" width="7" bestFit="1" customWidth="1"/>
    <col min="4109" max="4109" width="3.5703125" bestFit="1" customWidth="1"/>
    <col min="4111" max="4111" width="14.140625" bestFit="1" customWidth="1"/>
    <col min="4112" max="4112" width="7" bestFit="1" customWidth="1"/>
    <col min="4113" max="4113" width="14.5703125" bestFit="1" customWidth="1"/>
    <col min="4114" max="4114" width="33" bestFit="1" customWidth="1"/>
    <col min="4115" max="4115" width="12" bestFit="1" customWidth="1"/>
    <col min="4116" max="4116" width="7.140625" bestFit="1" customWidth="1"/>
    <col min="4117" max="4117" width="9.5703125" bestFit="1" customWidth="1"/>
    <col min="4118" max="4118" width="9" bestFit="1" customWidth="1"/>
    <col min="4119" max="4119" width="19" bestFit="1" customWidth="1"/>
    <col min="4120" max="4120" width="14.85546875" bestFit="1" customWidth="1"/>
    <col min="4121" max="4121" width="10.140625" bestFit="1" customWidth="1"/>
    <col min="4122" max="4122" width="12.42578125" bestFit="1" customWidth="1"/>
    <col min="4123" max="4123" width="7" bestFit="1" customWidth="1"/>
    <col min="4124" max="4125" width="2" bestFit="1" customWidth="1"/>
    <col min="4126" max="4126" width="21.140625" bestFit="1" customWidth="1"/>
    <col min="4127" max="4127" width="15" bestFit="1" customWidth="1"/>
    <col min="4128" max="4128" width="11.7109375" bestFit="1" customWidth="1"/>
    <col min="4129" max="4129" width="13.85546875" bestFit="1" customWidth="1"/>
    <col min="4130" max="4130" width="7" bestFit="1" customWidth="1"/>
    <col min="4341" max="4341" width="17" customWidth="1"/>
    <col min="4344" max="4344" width="5.5703125" customWidth="1"/>
    <col min="4347" max="4347" width="16.42578125" bestFit="1" customWidth="1"/>
    <col min="4348" max="4348" width="14.28515625" bestFit="1" customWidth="1"/>
    <col min="4350" max="4350" width="19.42578125" bestFit="1" customWidth="1"/>
    <col min="4354" max="4354" width="19.85546875" customWidth="1"/>
    <col min="4356" max="4356" width="13.7109375" bestFit="1" customWidth="1"/>
    <col min="4357" max="4357" width="3.5703125" bestFit="1" customWidth="1"/>
    <col min="4358" max="4358" width="7" bestFit="1" customWidth="1"/>
    <col min="4359" max="4359" width="9.28515625" bestFit="1" customWidth="1"/>
    <col min="4360" max="4360" width="16.42578125" bestFit="1" customWidth="1"/>
    <col min="4361" max="4361" width="18.85546875" bestFit="1" customWidth="1"/>
    <col min="4362" max="4362" width="8.28515625" bestFit="1" customWidth="1"/>
    <col min="4363" max="4363" width="22.85546875" bestFit="1" customWidth="1"/>
    <col min="4364" max="4364" width="7" bestFit="1" customWidth="1"/>
    <col min="4365" max="4365" width="3.5703125" bestFit="1" customWidth="1"/>
    <col min="4367" max="4367" width="14.140625" bestFit="1" customWidth="1"/>
    <col min="4368" max="4368" width="7" bestFit="1" customWidth="1"/>
    <col min="4369" max="4369" width="14.5703125" bestFit="1" customWidth="1"/>
    <col min="4370" max="4370" width="33" bestFit="1" customWidth="1"/>
    <col min="4371" max="4371" width="12" bestFit="1" customWidth="1"/>
    <col min="4372" max="4372" width="7.140625" bestFit="1" customWidth="1"/>
    <col min="4373" max="4373" width="9.5703125" bestFit="1" customWidth="1"/>
    <col min="4374" max="4374" width="9" bestFit="1" customWidth="1"/>
    <col min="4375" max="4375" width="19" bestFit="1" customWidth="1"/>
    <col min="4376" max="4376" width="14.85546875" bestFit="1" customWidth="1"/>
    <col min="4377" max="4377" width="10.140625" bestFit="1" customWidth="1"/>
    <col min="4378" max="4378" width="12.42578125" bestFit="1" customWidth="1"/>
    <col min="4379" max="4379" width="7" bestFit="1" customWidth="1"/>
    <col min="4380" max="4381" width="2" bestFit="1" customWidth="1"/>
    <col min="4382" max="4382" width="21.140625" bestFit="1" customWidth="1"/>
    <col min="4383" max="4383" width="15" bestFit="1" customWidth="1"/>
    <col min="4384" max="4384" width="11.7109375" bestFit="1" customWidth="1"/>
    <col min="4385" max="4385" width="13.85546875" bestFit="1" customWidth="1"/>
    <col min="4386" max="4386" width="7" bestFit="1" customWidth="1"/>
    <col min="4597" max="4597" width="17" customWidth="1"/>
    <col min="4600" max="4600" width="5.5703125" customWidth="1"/>
    <col min="4603" max="4603" width="16.42578125" bestFit="1" customWidth="1"/>
    <col min="4604" max="4604" width="14.28515625" bestFit="1" customWidth="1"/>
    <col min="4606" max="4606" width="19.42578125" bestFit="1" customWidth="1"/>
    <col min="4610" max="4610" width="19.85546875" customWidth="1"/>
    <col min="4612" max="4612" width="13.7109375" bestFit="1" customWidth="1"/>
    <col min="4613" max="4613" width="3.5703125" bestFit="1" customWidth="1"/>
    <col min="4614" max="4614" width="7" bestFit="1" customWidth="1"/>
    <col min="4615" max="4615" width="9.28515625" bestFit="1" customWidth="1"/>
    <col min="4616" max="4616" width="16.42578125" bestFit="1" customWidth="1"/>
    <col min="4617" max="4617" width="18.85546875" bestFit="1" customWidth="1"/>
    <col min="4618" max="4618" width="8.28515625" bestFit="1" customWidth="1"/>
    <col min="4619" max="4619" width="22.85546875" bestFit="1" customWidth="1"/>
    <col min="4620" max="4620" width="7" bestFit="1" customWidth="1"/>
    <col min="4621" max="4621" width="3.5703125" bestFit="1" customWidth="1"/>
    <col min="4623" max="4623" width="14.140625" bestFit="1" customWidth="1"/>
    <col min="4624" max="4624" width="7" bestFit="1" customWidth="1"/>
    <col min="4625" max="4625" width="14.5703125" bestFit="1" customWidth="1"/>
    <col min="4626" max="4626" width="33" bestFit="1" customWidth="1"/>
    <col min="4627" max="4627" width="12" bestFit="1" customWidth="1"/>
    <col min="4628" max="4628" width="7.140625" bestFit="1" customWidth="1"/>
    <col min="4629" max="4629" width="9.5703125" bestFit="1" customWidth="1"/>
    <col min="4630" max="4630" width="9" bestFit="1" customWidth="1"/>
    <col min="4631" max="4631" width="19" bestFit="1" customWidth="1"/>
    <col min="4632" max="4632" width="14.85546875" bestFit="1" customWidth="1"/>
    <col min="4633" max="4633" width="10.140625" bestFit="1" customWidth="1"/>
    <col min="4634" max="4634" width="12.42578125" bestFit="1" customWidth="1"/>
    <col min="4635" max="4635" width="7" bestFit="1" customWidth="1"/>
    <col min="4636" max="4637" width="2" bestFit="1" customWidth="1"/>
    <col min="4638" max="4638" width="21.140625" bestFit="1" customWidth="1"/>
    <col min="4639" max="4639" width="15" bestFit="1" customWidth="1"/>
    <col min="4640" max="4640" width="11.7109375" bestFit="1" customWidth="1"/>
    <col min="4641" max="4641" width="13.85546875" bestFit="1" customWidth="1"/>
    <col min="4642" max="4642" width="7" bestFit="1" customWidth="1"/>
    <col min="4853" max="4853" width="17" customWidth="1"/>
    <col min="4856" max="4856" width="5.5703125" customWidth="1"/>
    <col min="4859" max="4859" width="16.42578125" bestFit="1" customWidth="1"/>
    <col min="4860" max="4860" width="14.28515625" bestFit="1" customWidth="1"/>
    <col min="4862" max="4862" width="19.42578125" bestFit="1" customWidth="1"/>
    <col min="4866" max="4866" width="19.85546875" customWidth="1"/>
    <col min="4868" max="4868" width="13.7109375" bestFit="1" customWidth="1"/>
    <col min="4869" max="4869" width="3.5703125" bestFit="1" customWidth="1"/>
    <col min="4870" max="4870" width="7" bestFit="1" customWidth="1"/>
    <col min="4871" max="4871" width="9.28515625" bestFit="1" customWidth="1"/>
    <col min="4872" max="4872" width="16.42578125" bestFit="1" customWidth="1"/>
    <col min="4873" max="4873" width="18.85546875" bestFit="1" customWidth="1"/>
    <col min="4874" max="4874" width="8.28515625" bestFit="1" customWidth="1"/>
    <col min="4875" max="4875" width="22.85546875" bestFit="1" customWidth="1"/>
    <col min="4876" max="4876" width="7" bestFit="1" customWidth="1"/>
    <col min="4877" max="4877" width="3.5703125" bestFit="1" customWidth="1"/>
    <col min="4879" max="4879" width="14.140625" bestFit="1" customWidth="1"/>
    <col min="4880" max="4880" width="7" bestFit="1" customWidth="1"/>
    <col min="4881" max="4881" width="14.5703125" bestFit="1" customWidth="1"/>
    <col min="4882" max="4882" width="33" bestFit="1" customWidth="1"/>
    <col min="4883" max="4883" width="12" bestFit="1" customWidth="1"/>
    <col min="4884" max="4884" width="7.140625" bestFit="1" customWidth="1"/>
    <col min="4885" max="4885" width="9.5703125" bestFit="1" customWidth="1"/>
    <col min="4886" max="4886" width="9" bestFit="1" customWidth="1"/>
    <col min="4887" max="4887" width="19" bestFit="1" customWidth="1"/>
    <col min="4888" max="4888" width="14.85546875" bestFit="1" customWidth="1"/>
    <col min="4889" max="4889" width="10.140625" bestFit="1" customWidth="1"/>
    <col min="4890" max="4890" width="12.42578125" bestFit="1" customWidth="1"/>
    <col min="4891" max="4891" width="7" bestFit="1" customWidth="1"/>
    <col min="4892" max="4893" width="2" bestFit="1" customWidth="1"/>
    <col min="4894" max="4894" width="21.140625" bestFit="1" customWidth="1"/>
    <col min="4895" max="4895" width="15" bestFit="1" customWidth="1"/>
    <col min="4896" max="4896" width="11.7109375" bestFit="1" customWidth="1"/>
    <col min="4897" max="4897" width="13.85546875" bestFit="1" customWidth="1"/>
    <col min="4898" max="4898" width="7" bestFit="1" customWidth="1"/>
    <col min="5109" max="5109" width="17" customWidth="1"/>
    <col min="5112" max="5112" width="5.5703125" customWidth="1"/>
    <col min="5115" max="5115" width="16.42578125" bestFit="1" customWidth="1"/>
    <col min="5116" max="5116" width="14.28515625" bestFit="1" customWidth="1"/>
    <col min="5118" max="5118" width="19.42578125" bestFit="1" customWidth="1"/>
    <col min="5122" max="5122" width="19.85546875" customWidth="1"/>
    <col min="5124" max="5124" width="13.7109375" bestFit="1" customWidth="1"/>
    <col min="5125" max="5125" width="3.5703125" bestFit="1" customWidth="1"/>
    <col min="5126" max="5126" width="7" bestFit="1" customWidth="1"/>
    <col min="5127" max="5127" width="9.28515625" bestFit="1" customWidth="1"/>
    <col min="5128" max="5128" width="16.42578125" bestFit="1" customWidth="1"/>
    <col min="5129" max="5129" width="18.85546875" bestFit="1" customWidth="1"/>
    <col min="5130" max="5130" width="8.28515625" bestFit="1" customWidth="1"/>
    <col min="5131" max="5131" width="22.85546875" bestFit="1" customWidth="1"/>
    <col min="5132" max="5132" width="7" bestFit="1" customWidth="1"/>
    <col min="5133" max="5133" width="3.5703125" bestFit="1" customWidth="1"/>
    <col min="5135" max="5135" width="14.140625" bestFit="1" customWidth="1"/>
    <col min="5136" max="5136" width="7" bestFit="1" customWidth="1"/>
    <col min="5137" max="5137" width="14.5703125" bestFit="1" customWidth="1"/>
    <col min="5138" max="5138" width="33" bestFit="1" customWidth="1"/>
    <col min="5139" max="5139" width="12" bestFit="1" customWidth="1"/>
    <col min="5140" max="5140" width="7.140625" bestFit="1" customWidth="1"/>
    <col min="5141" max="5141" width="9.5703125" bestFit="1" customWidth="1"/>
    <col min="5142" max="5142" width="9" bestFit="1" customWidth="1"/>
    <col min="5143" max="5143" width="19" bestFit="1" customWidth="1"/>
    <col min="5144" max="5144" width="14.85546875" bestFit="1" customWidth="1"/>
    <col min="5145" max="5145" width="10.140625" bestFit="1" customWidth="1"/>
    <col min="5146" max="5146" width="12.42578125" bestFit="1" customWidth="1"/>
    <col min="5147" max="5147" width="7" bestFit="1" customWidth="1"/>
    <col min="5148" max="5149" width="2" bestFit="1" customWidth="1"/>
    <col min="5150" max="5150" width="21.140625" bestFit="1" customWidth="1"/>
    <col min="5151" max="5151" width="15" bestFit="1" customWidth="1"/>
    <col min="5152" max="5152" width="11.7109375" bestFit="1" customWidth="1"/>
    <col min="5153" max="5153" width="13.85546875" bestFit="1" customWidth="1"/>
    <col min="5154" max="5154" width="7" bestFit="1" customWidth="1"/>
    <col min="5365" max="5365" width="17" customWidth="1"/>
    <col min="5368" max="5368" width="5.5703125" customWidth="1"/>
    <col min="5371" max="5371" width="16.42578125" bestFit="1" customWidth="1"/>
    <col min="5372" max="5372" width="14.28515625" bestFit="1" customWidth="1"/>
    <col min="5374" max="5374" width="19.42578125" bestFit="1" customWidth="1"/>
    <col min="5378" max="5378" width="19.85546875" customWidth="1"/>
    <col min="5380" max="5380" width="13.7109375" bestFit="1" customWidth="1"/>
    <col min="5381" max="5381" width="3.5703125" bestFit="1" customWidth="1"/>
    <col min="5382" max="5382" width="7" bestFit="1" customWidth="1"/>
    <col min="5383" max="5383" width="9.28515625" bestFit="1" customWidth="1"/>
    <col min="5384" max="5384" width="16.42578125" bestFit="1" customWidth="1"/>
    <col min="5385" max="5385" width="18.85546875" bestFit="1" customWidth="1"/>
    <col min="5386" max="5386" width="8.28515625" bestFit="1" customWidth="1"/>
    <col min="5387" max="5387" width="22.85546875" bestFit="1" customWidth="1"/>
    <col min="5388" max="5388" width="7" bestFit="1" customWidth="1"/>
    <col min="5389" max="5389" width="3.5703125" bestFit="1" customWidth="1"/>
    <col min="5391" max="5391" width="14.140625" bestFit="1" customWidth="1"/>
    <col min="5392" max="5392" width="7" bestFit="1" customWidth="1"/>
    <col min="5393" max="5393" width="14.5703125" bestFit="1" customWidth="1"/>
    <col min="5394" max="5394" width="33" bestFit="1" customWidth="1"/>
    <col min="5395" max="5395" width="12" bestFit="1" customWidth="1"/>
    <col min="5396" max="5396" width="7.140625" bestFit="1" customWidth="1"/>
    <col min="5397" max="5397" width="9.5703125" bestFit="1" customWidth="1"/>
    <col min="5398" max="5398" width="9" bestFit="1" customWidth="1"/>
    <col min="5399" max="5399" width="19" bestFit="1" customWidth="1"/>
    <col min="5400" max="5400" width="14.85546875" bestFit="1" customWidth="1"/>
    <col min="5401" max="5401" width="10.140625" bestFit="1" customWidth="1"/>
    <col min="5402" max="5402" width="12.42578125" bestFit="1" customWidth="1"/>
    <col min="5403" max="5403" width="7" bestFit="1" customWidth="1"/>
    <col min="5404" max="5405" width="2" bestFit="1" customWidth="1"/>
    <col min="5406" max="5406" width="21.140625" bestFit="1" customWidth="1"/>
    <col min="5407" max="5407" width="15" bestFit="1" customWidth="1"/>
    <col min="5408" max="5408" width="11.7109375" bestFit="1" customWidth="1"/>
    <col min="5409" max="5409" width="13.85546875" bestFit="1" customWidth="1"/>
    <col min="5410" max="5410" width="7" bestFit="1" customWidth="1"/>
    <col min="5621" max="5621" width="17" customWidth="1"/>
    <col min="5624" max="5624" width="5.5703125" customWidth="1"/>
    <col min="5627" max="5627" width="16.42578125" bestFit="1" customWidth="1"/>
    <col min="5628" max="5628" width="14.28515625" bestFit="1" customWidth="1"/>
    <col min="5630" max="5630" width="19.42578125" bestFit="1" customWidth="1"/>
    <col min="5634" max="5634" width="19.85546875" customWidth="1"/>
    <col min="5636" max="5636" width="13.7109375" bestFit="1" customWidth="1"/>
    <col min="5637" max="5637" width="3.5703125" bestFit="1" customWidth="1"/>
    <col min="5638" max="5638" width="7" bestFit="1" customWidth="1"/>
    <col min="5639" max="5639" width="9.28515625" bestFit="1" customWidth="1"/>
    <col min="5640" max="5640" width="16.42578125" bestFit="1" customWidth="1"/>
    <col min="5641" max="5641" width="18.85546875" bestFit="1" customWidth="1"/>
    <col min="5642" max="5642" width="8.28515625" bestFit="1" customWidth="1"/>
    <col min="5643" max="5643" width="22.85546875" bestFit="1" customWidth="1"/>
    <col min="5644" max="5644" width="7" bestFit="1" customWidth="1"/>
    <col min="5645" max="5645" width="3.5703125" bestFit="1" customWidth="1"/>
    <col min="5647" max="5647" width="14.140625" bestFit="1" customWidth="1"/>
    <col min="5648" max="5648" width="7" bestFit="1" customWidth="1"/>
    <col min="5649" max="5649" width="14.5703125" bestFit="1" customWidth="1"/>
    <col min="5650" max="5650" width="33" bestFit="1" customWidth="1"/>
    <col min="5651" max="5651" width="12" bestFit="1" customWidth="1"/>
    <col min="5652" max="5652" width="7.140625" bestFit="1" customWidth="1"/>
    <col min="5653" max="5653" width="9.5703125" bestFit="1" customWidth="1"/>
    <col min="5654" max="5654" width="9" bestFit="1" customWidth="1"/>
    <col min="5655" max="5655" width="19" bestFit="1" customWidth="1"/>
    <col min="5656" max="5656" width="14.85546875" bestFit="1" customWidth="1"/>
    <col min="5657" max="5657" width="10.140625" bestFit="1" customWidth="1"/>
    <col min="5658" max="5658" width="12.42578125" bestFit="1" customWidth="1"/>
    <col min="5659" max="5659" width="7" bestFit="1" customWidth="1"/>
    <col min="5660" max="5661" width="2" bestFit="1" customWidth="1"/>
    <col min="5662" max="5662" width="21.140625" bestFit="1" customWidth="1"/>
    <col min="5663" max="5663" width="15" bestFit="1" customWidth="1"/>
    <col min="5664" max="5664" width="11.7109375" bestFit="1" customWidth="1"/>
    <col min="5665" max="5665" width="13.85546875" bestFit="1" customWidth="1"/>
    <col min="5666" max="5666" width="7" bestFit="1" customWidth="1"/>
    <col min="5877" max="5877" width="17" customWidth="1"/>
    <col min="5880" max="5880" width="5.5703125" customWidth="1"/>
    <col min="5883" max="5883" width="16.42578125" bestFit="1" customWidth="1"/>
    <col min="5884" max="5884" width="14.28515625" bestFit="1" customWidth="1"/>
    <col min="5886" max="5886" width="19.42578125" bestFit="1" customWidth="1"/>
    <col min="5890" max="5890" width="19.85546875" customWidth="1"/>
    <col min="5892" max="5892" width="13.7109375" bestFit="1" customWidth="1"/>
    <col min="5893" max="5893" width="3.5703125" bestFit="1" customWidth="1"/>
    <col min="5894" max="5894" width="7" bestFit="1" customWidth="1"/>
    <col min="5895" max="5895" width="9.28515625" bestFit="1" customWidth="1"/>
    <col min="5896" max="5896" width="16.42578125" bestFit="1" customWidth="1"/>
    <col min="5897" max="5897" width="18.85546875" bestFit="1" customWidth="1"/>
    <col min="5898" max="5898" width="8.28515625" bestFit="1" customWidth="1"/>
    <col min="5899" max="5899" width="22.85546875" bestFit="1" customWidth="1"/>
    <col min="5900" max="5900" width="7" bestFit="1" customWidth="1"/>
    <col min="5901" max="5901" width="3.5703125" bestFit="1" customWidth="1"/>
    <col min="5903" max="5903" width="14.140625" bestFit="1" customWidth="1"/>
    <col min="5904" max="5904" width="7" bestFit="1" customWidth="1"/>
    <col min="5905" max="5905" width="14.5703125" bestFit="1" customWidth="1"/>
    <col min="5906" max="5906" width="33" bestFit="1" customWidth="1"/>
    <col min="5907" max="5907" width="12" bestFit="1" customWidth="1"/>
    <col min="5908" max="5908" width="7.140625" bestFit="1" customWidth="1"/>
    <col min="5909" max="5909" width="9.5703125" bestFit="1" customWidth="1"/>
    <col min="5910" max="5910" width="9" bestFit="1" customWidth="1"/>
    <col min="5911" max="5911" width="19" bestFit="1" customWidth="1"/>
    <col min="5912" max="5912" width="14.85546875" bestFit="1" customWidth="1"/>
    <col min="5913" max="5913" width="10.140625" bestFit="1" customWidth="1"/>
    <col min="5914" max="5914" width="12.42578125" bestFit="1" customWidth="1"/>
    <col min="5915" max="5915" width="7" bestFit="1" customWidth="1"/>
    <col min="5916" max="5917" width="2" bestFit="1" customWidth="1"/>
    <col min="5918" max="5918" width="21.140625" bestFit="1" customWidth="1"/>
    <col min="5919" max="5919" width="15" bestFit="1" customWidth="1"/>
    <col min="5920" max="5920" width="11.7109375" bestFit="1" customWidth="1"/>
    <col min="5921" max="5921" width="13.85546875" bestFit="1" customWidth="1"/>
    <col min="5922" max="5922" width="7" bestFit="1" customWidth="1"/>
    <col min="6133" max="6133" width="17" customWidth="1"/>
    <col min="6136" max="6136" width="5.5703125" customWidth="1"/>
    <col min="6139" max="6139" width="16.42578125" bestFit="1" customWidth="1"/>
    <col min="6140" max="6140" width="14.28515625" bestFit="1" customWidth="1"/>
    <col min="6142" max="6142" width="19.42578125" bestFit="1" customWidth="1"/>
    <col min="6146" max="6146" width="19.85546875" customWidth="1"/>
    <col min="6148" max="6148" width="13.7109375" bestFit="1" customWidth="1"/>
    <col min="6149" max="6149" width="3.5703125" bestFit="1" customWidth="1"/>
    <col min="6150" max="6150" width="7" bestFit="1" customWidth="1"/>
    <col min="6151" max="6151" width="9.28515625" bestFit="1" customWidth="1"/>
    <col min="6152" max="6152" width="16.42578125" bestFit="1" customWidth="1"/>
    <col min="6153" max="6153" width="18.85546875" bestFit="1" customWidth="1"/>
    <col min="6154" max="6154" width="8.28515625" bestFit="1" customWidth="1"/>
    <col min="6155" max="6155" width="22.85546875" bestFit="1" customWidth="1"/>
    <col min="6156" max="6156" width="7" bestFit="1" customWidth="1"/>
    <col min="6157" max="6157" width="3.5703125" bestFit="1" customWidth="1"/>
    <col min="6159" max="6159" width="14.140625" bestFit="1" customWidth="1"/>
    <col min="6160" max="6160" width="7" bestFit="1" customWidth="1"/>
    <col min="6161" max="6161" width="14.5703125" bestFit="1" customWidth="1"/>
    <col min="6162" max="6162" width="33" bestFit="1" customWidth="1"/>
    <col min="6163" max="6163" width="12" bestFit="1" customWidth="1"/>
    <col min="6164" max="6164" width="7.140625" bestFit="1" customWidth="1"/>
    <col min="6165" max="6165" width="9.5703125" bestFit="1" customWidth="1"/>
    <col min="6166" max="6166" width="9" bestFit="1" customWidth="1"/>
    <col min="6167" max="6167" width="19" bestFit="1" customWidth="1"/>
    <col min="6168" max="6168" width="14.85546875" bestFit="1" customWidth="1"/>
    <col min="6169" max="6169" width="10.140625" bestFit="1" customWidth="1"/>
    <col min="6170" max="6170" width="12.42578125" bestFit="1" customWidth="1"/>
    <col min="6171" max="6171" width="7" bestFit="1" customWidth="1"/>
    <col min="6172" max="6173" width="2" bestFit="1" customWidth="1"/>
    <col min="6174" max="6174" width="21.140625" bestFit="1" customWidth="1"/>
    <col min="6175" max="6175" width="15" bestFit="1" customWidth="1"/>
    <col min="6176" max="6176" width="11.7109375" bestFit="1" customWidth="1"/>
    <col min="6177" max="6177" width="13.85546875" bestFit="1" customWidth="1"/>
    <col min="6178" max="6178" width="7" bestFit="1" customWidth="1"/>
    <col min="6389" max="6389" width="17" customWidth="1"/>
    <col min="6392" max="6392" width="5.5703125" customWidth="1"/>
    <col min="6395" max="6395" width="16.42578125" bestFit="1" customWidth="1"/>
    <col min="6396" max="6396" width="14.28515625" bestFit="1" customWidth="1"/>
    <col min="6398" max="6398" width="19.42578125" bestFit="1" customWidth="1"/>
    <col min="6402" max="6402" width="19.85546875" customWidth="1"/>
    <col min="6404" max="6404" width="13.7109375" bestFit="1" customWidth="1"/>
    <col min="6405" max="6405" width="3.5703125" bestFit="1" customWidth="1"/>
    <col min="6406" max="6406" width="7" bestFit="1" customWidth="1"/>
    <col min="6407" max="6407" width="9.28515625" bestFit="1" customWidth="1"/>
    <col min="6408" max="6408" width="16.42578125" bestFit="1" customWidth="1"/>
    <col min="6409" max="6409" width="18.85546875" bestFit="1" customWidth="1"/>
    <col min="6410" max="6410" width="8.28515625" bestFit="1" customWidth="1"/>
    <col min="6411" max="6411" width="22.85546875" bestFit="1" customWidth="1"/>
    <col min="6412" max="6412" width="7" bestFit="1" customWidth="1"/>
    <col min="6413" max="6413" width="3.5703125" bestFit="1" customWidth="1"/>
    <col min="6415" max="6415" width="14.140625" bestFit="1" customWidth="1"/>
    <col min="6416" max="6416" width="7" bestFit="1" customWidth="1"/>
    <col min="6417" max="6417" width="14.5703125" bestFit="1" customWidth="1"/>
    <col min="6418" max="6418" width="33" bestFit="1" customWidth="1"/>
    <col min="6419" max="6419" width="12" bestFit="1" customWidth="1"/>
    <col min="6420" max="6420" width="7.140625" bestFit="1" customWidth="1"/>
    <col min="6421" max="6421" width="9.5703125" bestFit="1" customWidth="1"/>
    <col min="6422" max="6422" width="9" bestFit="1" customWidth="1"/>
    <col min="6423" max="6423" width="19" bestFit="1" customWidth="1"/>
    <col min="6424" max="6424" width="14.85546875" bestFit="1" customWidth="1"/>
    <col min="6425" max="6425" width="10.140625" bestFit="1" customWidth="1"/>
    <col min="6426" max="6426" width="12.42578125" bestFit="1" customWidth="1"/>
    <col min="6427" max="6427" width="7" bestFit="1" customWidth="1"/>
    <col min="6428" max="6429" width="2" bestFit="1" customWidth="1"/>
    <col min="6430" max="6430" width="21.140625" bestFit="1" customWidth="1"/>
    <col min="6431" max="6431" width="15" bestFit="1" customWidth="1"/>
    <col min="6432" max="6432" width="11.7109375" bestFit="1" customWidth="1"/>
    <col min="6433" max="6433" width="13.85546875" bestFit="1" customWidth="1"/>
    <col min="6434" max="6434" width="7" bestFit="1" customWidth="1"/>
    <col min="6645" max="6645" width="17" customWidth="1"/>
    <col min="6648" max="6648" width="5.5703125" customWidth="1"/>
    <col min="6651" max="6651" width="16.42578125" bestFit="1" customWidth="1"/>
    <col min="6652" max="6652" width="14.28515625" bestFit="1" customWidth="1"/>
    <col min="6654" max="6654" width="19.42578125" bestFit="1" customWidth="1"/>
    <col min="6658" max="6658" width="19.85546875" customWidth="1"/>
    <col min="6660" max="6660" width="13.7109375" bestFit="1" customWidth="1"/>
    <col min="6661" max="6661" width="3.5703125" bestFit="1" customWidth="1"/>
    <col min="6662" max="6662" width="7" bestFit="1" customWidth="1"/>
    <col min="6663" max="6663" width="9.28515625" bestFit="1" customWidth="1"/>
    <col min="6664" max="6664" width="16.42578125" bestFit="1" customWidth="1"/>
    <col min="6665" max="6665" width="18.85546875" bestFit="1" customWidth="1"/>
    <col min="6666" max="6666" width="8.28515625" bestFit="1" customWidth="1"/>
    <col min="6667" max="6667" width="22.85546875" bestFit="1" customWidth="1"/>
    <col min="6668" max="6668" width="7" bestFit="1" customWidth="1"/>
    <col min="6669" max="6669" width="3.5703125" bestFit="1" customWidth="1"/>
    <col min="6671" max="6671" width="14.140625" bestFit="1" customWidth="1"/>
    <col min="6672" max="6672" width="7" bestFit="1" customWidth="1"/>
    <col min="6673" max="6673" width="14.5703125" bestFit="1" customWidth="1"/>
    <col min="6674" max="6674" width="33" bestFit="1" customWidth="1"/>
    <col min="6675" max="6675" width="12" bestFit="1" customWidth="1"/>
    <col min="6676" max="6676" width="7.140625" bestFit="1" customWidth="1"/>
    <col min="6677" max="6677" width="9.5703125" bestFit="1" customWidth="1"/>
    <col min="6678" max="6678" width="9" bestFit="1" customWidth="1"/>
    <col min="6679" max="6679" width="19" bestFit="1" customWidth="1"/>
    <col min="6680" max="6680" width="14.85546875" bestFit="1" customWidth="1"/>
    <col min="6681" max="6681" width="10.140625" bestFit="1" customWidth="1"/>
    <col min="6682" max="6682" width="12.42578125" bestFit="1" customWidth="1"/>
    <col min="6683" max="6683" width="7" bestFit="1" customWidth="1"/>
    <col min="6684" max="6685" width="2" bestFit="1" customWidth="1"/>
    <col min="6686" max="6686" width="21.140625" bestFit="1" customWidth="1"/>
    <col min="6687" max="6687" width="15" bestFit="1" customWidth="1"/>
    <col min="6688" max="6688" width="11.7109375" bestFit="1" customWidth="1"/>
    <col min="6689" max="6689" width="13.85546875" bestFit="1" customWidth="1"/>
    <col min="6690" max="6690" width="7" bestFit="1" customWidth="1"/>
    <col min="6901" max="6901" width="17" customWidth="1"/>
    <col min="6904" max="6904" width="5.5703125" customWidth="1"/>
    <col min="6907" max="6907" width="16.42578125" bestFit="1" customWidth="1"/>
    <col min="6908" max="6908" width="14.28515625" bestFit="1" customWidth="1"/>
    <col min="6910" max="6910" width="19.42578125" bestFit="1" customWidth="1"/>
    <col min="6914" max="6914" width="19.85546875" customWidth="1"/>
    <col min="6916" max="6916" width="13.7109375" bestFit="1" customWidth="1"/>
    <col min="6917" max="6917" width="3.5703125" bestFit="1" customWidth="1"/>
    <col min="6918" max="6918" width="7" bestFit="1" customWidth="1"/>
    <col min="6919" max="6919" width="9.28515625" bestFit="1" customWidth="1"/>
    <col min="6920" max="6920" width="16.42578125" bestFit="1" customWidth="1"/>
    <col min="6921" max="6921" width="18.85546875" bestFit="1" customWidth="1"/>
    <col min="6922" max="6922" width="8.28515625" bestFit="1" customWidth="1"/>
    <col min="6923" max="6923" width="22.85546875" bestFit="1" customWidth="1"/>
    <col min="6924" max="6924" width="7" bestFit="1" customWidth="1"/>
    <col min="6925" max="6925" width="3.5703125" bestFit="1" customWidth="1"/>
    <col min="6927" max="6927" width="14.140625" bestFit="1" customWidth="1"/>
    <col min="6928" max="6928" width="7" bestFit="1" customWidth="1"/>
    <col min="6929" max="6929" width="14.5703125" bestFit="1" customWidth="1"/>
    <col min="6930" max="6930" width="33" bestFit="1" customWidth="1"/>
    <col min="6931" max="6931" width="12" bestFit="1" customWidth="1"/>
    <col min="6932" max="6932" width="7.140625" bestFit="1" customWidth="1"/>
    <col min="6933" max="6933" width="9.5703125" bestFit="1" customWidth="1"/>
    <col min="6934" max="6934" width="9" bestFit="1" customWidth="1"/>
    <col min="6935" max="6935" width="19" bestFit="1" customWidth="1"/>
    <col min="6936" max="6936" width="14.85546875" bestFit="1" customWidth="1"/>
    <col min="6937" max="6937" width="10.140625" bestFit="1" customWidth="1"/>
    <col min="6938" max="6938" width="12.42578125" bestFit="1" customWidth="1"/>
    <col min="6939" max="6939" width="7" bestFit="1" customWidth="1"/>
    <col min="6940" max="6941" width="2" bestFit="1" customWidth="1"/>
    <col min="6942" max="6942" width="21.140625" bestFit="1" customWidth="1"/>
    <col min="6943" max="6943" width="15" bestFit="1" customWidth="1"/>
    <col min="6944" max="6944" width="11.7109375" bestFit="1" customWidth="1"/>
    <col min="6945" max="6945" width="13.85546875" bestFit="1" customWidth="1"/>
    <col min="6946" max="6946" width="7" bestFit="1" customWidth="1"/>
    <col min="7157" max="7157" width="17" customWidth="1"/>
    <col min="7160" max="7160" width="5.5703125" customWidth="1"/>
    <col min="7163" max="7163" width="16.42578125" bestFit="1" customWidth="1"/>
    <col min="7164" max="7164" width="14.28515625" bestFit="1" customWidth="1"/>
    <col min="7166" max="7166" width="19.42578125" bestFit="1" customWidth="1"/>
    <col min="7170" max="7170" width="19.85546875" customWidth="1"/>
    <col min="7172" max="7172" width="13.7109375" bestFit="1" customWidth="1"/>
    <col min="7173" max="7173" width="3.5703125" bestFit="1" customWidth="1"/>
    <col min="7174" max="7174" width="7" bestFit="1" customWidth="1"/>
    <col min="7175" max="7175" width="9.28515625" bestFit="1" customWidth="1"/>
    <col min="7176" max="7176" width="16.42578125" bestFit="1" customWidth="1"/>
    <col min="7177" max="7177" width="18.85546875" bestFit="1" customWidth="1"/>
    <col min="7178" max="7178" width="8.28515625" bestFit="1" customWidth="1"/>
    <col min="7179" max="7179" width="22.85546875" bestFit="1" customWidth="1"/>
    <col min="7180" max="7180" width="7" bestFit="1" customWidth="1"/>
    <col min="7181" max="7181" width="3.5703125" bestFit="1" customWidth="1"/>
    <col min="7183" max="7183" width="14.140625" bestFit="1" customWidth="1"/>
    <col min="7184" max="7184" width="7" bestFit="1" customWidth="1"/>
    <col min="7185" max="7185" width="14.5703125" bestFit="1" customWidth="1"/>
    <col min="7186" max="7186" width="33" bestFit="1" customWidth="1"/>
    <col min="7187" max="7187" width="12" bestFit="1" customWidth="1"/>
    <col min="7188" max="7188" width="7.140625" bestFit="1" customWidth="1"/>
    <col min="7189" max="7189" width="9.5703125" bestFit="1" customWidth="1"/>
    <col min="7190" max="7190" width="9" bestFit="1" customWidth="1"/>
    <col min="7191" max="7191" width="19" bestFit="1" customWidth="1"/>
    <col min="7192" max="7192" width="14.85546875" bestFit="1" customWidth="1"/>
    <col min="7193" max="7193" width="10.140625" bestFit="1" customWidth="1"/>
    <col min="7194" max="7194" width="12.42578125" bestFit="1" customWidth="1"/>
    <col min="7195" max="7195" width="7" bestFit="1" customWidth="1"/>
    <col min="7196" max="7197" width="2" bestFit="1" customWidth="1"/>
    <col min="7198" max="7198" width="21.140625" bestFit="1" customWidth="1"/>
    <col min="7199" max="7199" width="15" bestFit="1" customWidth="1"/>
    <col min="7200" max="7200" width="11.7109375" bestFit="1" customWidth="1"/>
    <col min="7201" max="7201" width="13.85546875" bestFit="1" customWidth="1"/>
    <col min="7202" max="7202" width="7" bestFit="1" customWidth="1"/>
    <col min="7413" max="7413" width="17" customWidth="1"/>
    <col min="7416" max="7416" width="5.5703125" customWidth="1"/>
    <col min="7419" max="7419" width="16.42578125" bestFit="1" customWidth="1"/>
    <col min="7420" max="7420" width="14.28515625" bestFit="1" customWidth="1"/>
    <col min="7422" max="7422" width="19.42578125" bestFit="1" customWidth="1"/>
    <col min="7426" max="7426" width="19.85546875" customWidth="1"/>
    <col min="7428" max="7428" width="13.7109375" bestFit="1" customWidth="1"/>
    <col min="7429" max="7429" width="3.5703125" bestFit="1" customWidth="1"/>
    <col min="7430" max="7430" width="7" bestFit="1" customWidth="1"/>
    <col min="7431" max="7431" width="9.28515625" bestFit="1" customWidth="1"/>
    <col min="7432" max="7432" width="16.42578125" bestFit="1" customWidth="1"/>
    <col min="7433" max="7433" width="18.85546875" bestFit="1" customWidth="1"/>
    <col min="7434" max="7434" width="8.28515625" bestFit="1" customWidth="1"/>
    <col min="7435" max="7435" width="22.85546875" bestFit="1" customWidth="1"/>
    <col min="7436" max="7436" width="7" bestFit="1" customWidth="1"/>
    <col min="7437" max="7437" width="3.5703125" bestFit="1" customWidth="1"/>
    <col min="7439" max="7439" width="14.140625" bestFit="1" customWidth="1"/>
    <col min="7440" max="7440" width="7" bestFit="1" customWidth="1"/>
    <col min="7441" max="7441" width="14.5703125" bestFit="1" customWidth="1"/>
    <col min="7442" max="7442" width="33" bestFit="1" customWidth="1"/>
    <col min="7443" max="7443" width="12" bestFit="1" customWidth="1"/>
    <col min="7444" max="7444" width="7.140625" bestFit="1" customWidth="1"/>
    <col min="7445" max="7445" width="9.5703125" bestFit="1" customWidth="1"/>
    <col min="7446" max="7446" width="9" bestFit="1" customWidth="1"/>
    <col min="7447" max="7447" width="19" bestFit="1" customWidth="1"/>
    <col min="7448" max="7448" width="14.85546875" bestFit="1" customWidth="1"/>
    <col min="7449" max="7449" width="10.140625" bestFit="1" customWidth="1"/>
    <col min="7450" max="7450" width="12.42578125" bestFit="1" customWidth="1"/>
    <col min="7451" max="7451" width="7" bestFit="1" customWidth="1"/>
    <col min="7452" max="7453" width="2" bestFit="1" customWidth="1"/>
    <col min="7454" max="7454" width="21.140625" bestFit="1" customWidth="1"/>
    <col min="7455" max="7455" width="15" bestFit="1" customWidth="1"/>
    <col min="7456" max="7456" width="11.7109375" bestFit="1" customWidth="1"/>
    <col min="7457" max="7457" width="13.85546875" bestFit="1" customWidth="1"/>
    <col min="7458" max="7458" width="7" bestFit="1" customWidth="1"/>
    <col min="7669" max="7669" width="17" customWidth="1"/>
    <col min="7672" max="7672" width="5.5703125" customWidth="1"/>
    <col min="7675" max="7675" width="16.42578125" bestFit="1" customWidth="1"/>
    <col min="7676" max="7676" width="14.28515625" bestFit="1" customWidth="1"/>
    <col min="7678" max="7678" width="19.42578125" bestFit="1" customWidth="1"/>
    <col min="7682" max="7682" width="19.85546875" customWidth="1"/>
    <col min="7684" max="7684" width="13.7109375" bestFit="1" customWidth="1"/>
    <col min="7685" max="7685" width="3.5703125" bestFit="1" customWidth="1"/>
    <col min="7686" max="7686" width="7" bestFit="1" customWidth="1"/>
    <col min="7687" max="7687" width="9.28515625" bestFit="1" customWidth="1"/>
    <col min="7688" max="7688" width="16.42578125" bestFit="1" customWidth="1"/>
    <col min="7689" max="7689" width="18.85546875" bestFit="1" customWidth="1"/>
    <col min="7690" max="7690" width="8.28515625" bestFit="1" customWidth="1"/>
    <col min="7691" max="7691" width="22.85546875" bestFit="1" customWidth="1"/>
    <col min="7692" max="7692" width="7" bestFit="1" customWidth="1"/>
    <col min="7693" max="7693" width="3.5703125" bestFit="1" customWidth="1"/>
    <col min="7695" max="7695" width="14.140625" bestFit="1" customWidth="1"/>
    <col min="7696" max="7696" width="7" bestFit="1" customWidth="1"/>
    <col min="7697" max="7697" width="14.5703125" bestFit="1" customWidth="1"/>
    <col min="7698" max="7698" width="33" bestFit="1" customWidth="1"/>
    <col min="7699" max="7699" width="12" bestFit="1" customWidth="1"/>
    <col min="7700" max="7700" width="7.140625" bestFit="1" customWidth="1"/>
    <col min="7701" max="7701" width="9.5703125" bestFit="1" customWidth="1"/>
    <col min="7702" max="7702" width="9" bestFit="1" customWidth="1"/>
    <col min="7703" max="7703" width="19" bestFit="1" customWidth="1"/>
    <col min="7704" max="7704" width="14.85546875" bestFit="1" customWidth="1"/>
    <col min="7705" max="7705" width="10.140625" bestFit="1" customWidth="1"/>
    <col min="7706" max="7706" width="12.42578125" bestFit="1" customWidth="1"/>
    <col min="7707" max="7707" width="7" bestFit="1" customWidth="1"/>
    <col min="7708" max="7709" width="2" bestFit="1" customWidth="1"/>
    <col min="7710" max="7710" width="21.140625" bestFit="1" customWidth="1"/>
    <col min="7711" max="7711" width="15" bestFit="1" customWidth="1"/>
    <col min="7712" max="7712" width="11.7109375" bestFit="1" customWidth="1"/>
    <col min="7713" max="7713" width="13.85546875" bestFit="1" customWidth="1"/>
    <col min="7714" max="7714" width="7" bestFit="1" customWidth="1"/>
    <col min="7925" max="7925" width="17" customWidth="1"/>
    <col min="7928" max="7928" width="5.5703125" customWidth="1"/>
    <col min="7931" max="7931" width="16.42578125" bestFit="1" customWidth="1"/>
    <col min="7932" max="7932" width="14.28515625" bestFit="1" customWidth="1"/>
    <col min="7934" max="7934" width="19.42578125" bestFit="1" customWidth="1"/>
    <col min="7938" max="7938" width="19.85546875" customWidth="1"/>
    <col min="7940" max="7940" width="13.7109375" bestFit="1" customWidth="1"/>
    <col min="7941" max="7941" width="3.5703125" bestFit="1" customWidth="1"/>
    <col min="7942" max="7942" width="7" bestFit="1" customWidth="1"/>
    <col min="7943" max="7943" width="9.28515625" bestFit="1" customWidth="1"/>
    <col min="7944" max="7944" width="16.42578125" bestFit="1" customWidth="1"/>
    <col min="7945" max="7945" width="18.85546875" bestFit="1" customWidth="1"/>
    <col min="7946" max="7946" width="8.28515625" bestFit="1" customWidth="1"/>
    <col min="7947" max="7947" width="22.85546875" bestFit="1" customWidth="1"/>
    <col min="7948" max="7948" width="7" bestFit="1" customWidth="1"/>
    <col min="7949" max="7949" width="3.5703125" bestFit="1" customWidth="1"/>
    <col min="7951" max="7951" width="14.140625" bestFit="1" customWidth="1"/>
    <col min="7952" max="7952" width="7" bestFit="1" customWidth="1"/>
    <col min="7953" max="7953" width="14.5703125" bestFit="1" customWidth="1"/>
    <col min="7954" max="7954" width="33" bestFit="1" customWidth="1"/>
    <col min="7955" max="7955" width="12" bestFit="1" customWidth="1"/>
    <col min="7956" max="7956" width="7.140625" bestFit="1" customWidth="1"/>
    <col min="7957" max="7957" width="9.5703125" bestFit="1" customWidth="1"/>
    <col min="7958" max="7958" width="9" bestFit="1" customWidth="1"/>
    <col min="7959" max="7959" width="19" bestFit="1" customWidth="1"/>
    <col min="7960" max="7960" width="14.85546875" bestFit="1" customWidth="1"/>
    <col min="7961" max="7961" width="10.140625" bestFit="1" customWidth="1"/>
    <col min="7962" max="7962" width="12.42578125" bestFit="1" customWidth="1"/>
    <col min="7963" max="7963" width="7" bestFit="1" customWidth="1"/>
    <col min="7964" max="7965" width="2" bestFit="1" customWidth="1"/>
    <col min="7966" max="7966" width="21.140625" bestFit="1" customWidth="1"/>
    <col min="7967" max="7967" width="15" bestFit="1" customWidth="1"/>
    <col min="7968" max="7968" width="11.7109375" bestFit="1" customWidth="1"/>
    <col min="7969" max="7969" width="13.85546875" bestFit="1" customWidth="1"/>
    <col min="7970" max="7970" width="7" bestFit="1" customWidth="1"/>
    <col min="8181" max="8181" width="17" customWidth="1"/>
    <col min="8184" max="8184" width="5.5703125" customWidth="1"/>
    <col min="8187" max="8187" width="16.42578125" bestFit="1" customWidth="1"/>
    <col min="8188" max="8188" width="14.28515625" bestFit="1" customWidth="1"/>
    <col min="8190" max="8190" width="19.42578125" bestFit="1" customWidth="1"/>
    <col min="8194" max="8194" width="19.85546875" customWidth="1"/>
    <col min="8196" max="8196" width="13.7109375" bestFit="1" customWidth="1"/>
    <col min="8197" max="8197" width="3.5703125" bestFit="1" customWidth="1"/>
    <col min="8198" max="8198" width="7" bestFit="1" customWidth="1"/>
    <col min="8199" max="8199" width="9.28515625" bestFit="1" customWidth="1"/>
    <col min="8200" max="8200" width="16.42578125" bestFit="1" customWidth="1"/>
    <col min="8201" max="8201" width="18.85546875" bestFit="1" customWidth="1"/>
    <col min="8202" max="8202" width="8.28515625" bestFit="1" customWidth="1"/>
    <col min="8203" max="8203" width="22.85546875" bestFit="1" customWidth="1"/>
    <col min="8204" max="8204" width="7" bestFit="1" customWidth="1"/>
    <col min="8205" max="8205" width="3.5703125" bestFit="1" customWidth="1"/>
    <col min="8207" max="8207" width="14.140625" bestFit="1" customWidth="1"/>
    <col min="8208" max="8208" width="7" bestFit="1" customWidth="1"/>
    <col min="8209" max="8209" width="14.5703125" bestFit="1" customWidth="1"/>
    <col min="8210" max="8210" width="33" bestFit="1" customWidth="1"/>
    <col min="8211" max="8211" width="12" bestFit="1" customWidth="1"/>
    <col min="8212" max="8212" width="7.140625" bestFit="1" customWidth="1"/>
    <col min="8213" max="8213" width="9.5703125" bestFit="1" customWidth="1"/>
    <col min="8214" max="8214" width="9" bestFit="1" customWidth="1"/>
    <col min="8215" max="8215" width="19" bestFit="1" customWidth="1"/>
    <col min="8216" max="8216" width="14.85546875" bestFit="1" customWidth="1"/>
    <col min="8217" max="8217" width="10.140625" bestFit="1" customWidth="1"/>
    <col min="8218" max="8218" width="12.42578125" bestFit="1" customWidth="1"/>
    <col min="8219" max="8219" width="7" bestFit="1" customWidth="1"/>
    <col min="8220" max="8221" width="2" bestFit="1" customWidth="1"/>
    <col min="8222" max="8222" width="21.140625" bestFit="1" customWidth="1"/>
    <col min="8223" max="8223" width="15" bestFit="1" customWidth="1"/>
    <col min="8224" max="8224" width="11.7109375" bestFit="1" customWidth="1"/>
    <col min="8225" max="8225" width="13.85546875" bestFit="1" customWidth="1"/>
    <col min="8226" max="8226" width="7" bestFit="1" customWidth="1"/>
    <col min="8437" max="8437" width="17" customWidth="1"/>
    <col min="8440" max="8440" width="5.5703125" customWidth="1"/>
    <col min="8443" max="8443" width="16.42578125" bestFit="1" customWidth="1"/>
    <col min="8444" max="8444" width="14.28515625" bestFit="1" customWidth="1"/>
    <col min="8446" max="8446" width="19.42578125" bestFit="1" customWidth="1"/>
    <col min="8450" max="8450" width="19.85546875" customWidth="1"/>
    <col min="8452" max="8452" width="13.7109375" bestFit="1" customWidth="1"/>
    <col min="8453" max="8453" width="3.5703125" bestFit="1" customWidth="1"/>
    <col min="8454" max="8454" width="7" bestFit="1" customWidth="1"/>
    <col min="8455" max="8455" width="9.28515625" bestFit="1" customWidth="1"/>
    <col min="8456" max="8456" width="16.42578125" bestFit="1" customWidth="1"/>
    <col min="8457" max="8457" width="18.85546875" bestFit="1" customWidth="1"/>
    <col min="8458" max="8458" width="8.28515625" bestFit="1" customWidth="1"/>
    <col min="8459" max="8459" width="22.85546875" bestFit="1" customWidth="1"/>
    <col min="8460" max="8460" width="7" bestFit="1" customWidth="1"/>
    <col min="8461" max="8461" width="3.5703125" bestFit="1" customWidth="1"/>
    <col min="8463" max="8463" width="14.140625" bestFit="1" customWidth="1"/>
    <col min="8464" max="8464" width="7" bestFit="1" customWidth="1"/>
    <col min="8465" max="8465" width="14.5703125" bestFit="1" customWidth="1"/>
    <col min="8466" max="8466" width="33" bestFit="1" customWidth="1"/>
    <col min="8467" max="8467" width="12" bestFit="1" customWidth="1"/>
    <col min="8468" max="8468" width="7.140625" bestFit="1" customWidth="1"/>
    <col min="8469" max="8469" width="9.5703125" bestFit="1" customWidth="1"/>
    <col min="8470" max="8470" width="9" bestFit="1" customWidth="1"/>
    <col min="8471" max="8471" width="19" bestFit="1" customWidth="1"/>
    <col min="8472" max="8472" width="14.85546875" bestFit="1" customWidth="1"/>
    <col min="8473" max="8473" width="10.140625" bestFit="1" customWidth="1"/>
    <col min="8474" max="8474" width="12.42578125" bestFit="1" customWidth="1"/>
    <col min="8475" max="8475" width="7" bestFit="1" customWidth="1"/>
    <col min="8476" max="8477" width="2" bestFit="1" customWidth="1"/>
    <col min="8478" max="8478" width="21.140625" bestFit="1" customWidth="1"/>
    <col min="8479" max="8479" width="15" bestFit="1" customWidth="1"/>
    <col min="8480" max="8480" width="11.7109375" bestFit="1" customWidth="1"/>
    <col min="8481" max="8481" width="13.85546875" bestFit="1" customWidth="1"/>
    <col min="8482" max="8482" width="7" bestFit="1" customWidth="1"/>
    <col min="8693" max="8693" width="17" customWidth="1"/>
    <col min="8696" max="8696" width="5.5703125" customWidth="1"/>
    <col min="8699" max="8699" width="16.42578125" bestFit="1" customWidth="1"/>
    <col min="8700" max="8700" width="14.28515625" bestFit="1" customWidth="1"/>
    <col min="8702" max="8702" width="19.42578125" bestFit="1" customWidth="1"/>
    <col min="8706" max="8706" width="19.85546875" customWidth="1"/>
    <col min="8708" max="8708" width="13.7109375" bestFit="1" customWidth="1"/>
    <col min="8709" max="8709" width="3.5703125" bestFit="1" customWidth="1"/>
    <col min="8710" max="8710" width="7" bestFit="1" customWidth="1"/>
    <col min="8711" max="8711" width="9.28515625" bestFit="1" customWidth="1"/>
    <col min="8712" max="8712" width="16.42578125" bestFit="1" customWidth="1"/>
    <col min="8713" max="8713" width="18.85546875" bestFit="1" customWidth="1"/>
    <col min="8714" max="8714" width="8.28515625" bestFit="1" customWidth="1"/>
    <col min="8715" max="8715" width="22.85546875" bestFit="1" customWidth="1"/>
    <col min="8716" max="8716" width="7" bestFit="1" customWidth="1"/>
    <col min="8717" max="8717" width="3.5703125" bestFit="1" customWidth="1"/>
    <col min="8719" max="8719" width="14.140625" bestFit="1" customWidth="1"/>
    <col min="8720" max="8720" width="7" bestFit="1" customWidth="1"/>
    <col min="8721" max="8721" width="14.5703125" bestFit="1" customWidth="1"/>
    <col min="8722" max="8722" width="33" bestFit="1" customWidth="1"/>
    <col min="8723" max="8723" width="12" bestFit="1" customWidth="1"/>
    <col min="8724" max="8724" width="7.140625" bestFit="1" customWidth="1"/>
    <col min="8725" max="8725" width="9.5703125" bestFit="1" customWidth="1"/>
    <col min="8726" max="8726" width="9" bestFit="1" customWidth="1"/>
    <col min="8727" max="8727" width="19" bestFit="1" customWidth="1"/>
    <col min="8728" max="8728" width="14.85546875" bestFit="1" customWidth="1"/>
    <col min="8729" max="8729" width="10.140625" bestFit="1" customWidth="1"/>
    <col min="8730" max="8730" width="12.42578125" bestFit="1" customWidth="1"/>
    <col min="8731" max="8731" width="7" bestFit="1" customWidth="1"/>
    <col min="8732" max="8733" width="2" bestFit="1" customWidth="1"/>
    <col min="8734" max="8734" width="21.140625" bestFit="1" customWidth="1"/>
    <col min="8735" max="8735" width="15" bestFit="1" customWidth="1"/>
    <col min="8736" max="8736" width="11.7109375" bestFit="1" customWidth="1"/>
    <col min="8737" max="8737" width="13.85546875" bestFit="1" customWidth="1"/>
    <col min="8738" max="8738" width="7" bestFit="1" customWidth="1"/>
    <col min="8949" max="8949" width="17" customWidth="1"/>
    <col min="8952" max="8952" width="5.5703125" customWidth="1"/>
    <col min="8955" max="8955" width="16.42578125" bestFit="1" customWidth="1"/>
    <col min="8956" max="8956" width="14.28515625" bestFit="1" customWidth="1"/>
    <col min="8958" max="8958" width="19.42578125" bestFit="1" customWidth="1"/>
    <col min="8962" max="8962" width="19.85546875" customWidth="1"/>
    <col min="8964" max="8964" width="13.7109375" bestFit="1" customWidth="1"/>
    <col min="8965" max="8965" width="3.5703125" bestFit="1" customWidth="1"/>
    <col min="8966" max="8966" width="7" bestFit="1" customWidth="1"/>
    <col min="8967" max="8967" width="9.28515625" bestFit="1" customWidth="1"/>
    <col min="8968" max="8968" width="16.42578125" bestFit="1" customWidth="1"/>
    <col min="8969" max="8969" width="18.85546875" bestFit="1" customWidth="1"/>
    <col min="8970" max="8970" width="8.28515625" bestFit="1" customWidth="1"/>
    <col min="8971" max="8971" width="22.85546875" bestFit="1" customWidth="1"/>
    <col min="8972" max="8972" width="7" bestFit="1" customWidth="1"/>
    <col min="8973" max="8973" width="3.5703125" bestFit="1" customWidth="1"/>
    <col min="8975" max="8975" width="14.140625" bestFit="1" customWidth="1"/>
    <col min="8976" max="8976" width="7" bestFit="1" customWidth="1"/>
    <col min="8977" max="8977" width="14.5703125" bestFit="1" customWidth="1"/>
    <col min="8978" max="8978" width="33" bestFit="1" customWidth="1"/>
    <col min="8979" max="8979" width="12" bestFit="1" customWidth="1"/>
    <col min="8980" max="8980" width="7.140625" bestFit="1" customWidth="1"/>
    <col min="8981" max="8981" width="9.5703125" bestFit="1" customWidth="1"/>
    <col min="8982" max="8982" width="9" bestFit="1" customWidth="1"/>
    <col min="8983" max="8983" width="19" bestFit="1" customWidth="1"/>
    <col min="8984" max="8984" width="14.85546875" bestFit="1" customWidth="1"/>
    <col min="8985" max="8985" width="10.140625" bestFit="1" customWidth="1"/>
    <col min="8986" max="8986" width="12.42578125" bestFit="1" customWidth="1"/>
    <col min="8987" max="8987" width="7" bestFit="1" customWidth="1"/>
    <col min="8988" max="8989" width="2" bestFit="1" customWidth="1"/>
    <col min="8990" max="8990" width="21.140625" bestFit="1" customWidth="1"/>
    <col min="8991" max="8991" width="15" bestFit="1" customWidth="1"/>
    <col min="8992" max="8992" width="11.7109375" bestFit="1" customWidth="1"/>
    <col min="8993" max="8993" width="13.85546875" bestFit="1" customWidth="1"/>
    <col min="8994" max="8994" width="7" bestFit="1" customWidth="1"/>
    <col min="9205" max="9205" width="17" customWidth="1"/>
    <col min="9208" max="9208" width="5.5703125" customWidth="1"/>
    <col min="9211" max="9211" width="16.42578125" bestFit="1" customWidth="1"/>
    <col min="9212" max="9212" width="14.28515625" bestFit="1" customWidth="1"/>
    <col min="9214" max="9214" width="19.42578125" bestFit="1" customWidth="1"/>
    <col min="9218" max="9218" width="19.85546875" customWidth="1"/>
    <col min="9220" max="9220" width="13.7109375" bestFit="1" customWidth="1"/>
    <col min="9221" max="9221" width="3.5703125" bestFit="1" customWidth="1"/>
    <col min="9222" max="9222" width="7" bestFit="1" customWidth="1"/>
    <col min="9223" max="9223" width="9.28515625" bestFit="1" customWidth="1"/>
    <col min="9224" max="9224" width="16.42578125" bestFit="1" customWidth="1"/>
    <col min="9225" max="9225" width="18.85546875" bestFit="1" customWidth="1"/>
    <col min="9226" max="9226" width="8.28515625" bestFit="1" customWidth="1"/>
    <col min="9227" max="9227" width="22.85546875" bestFit="1" customWidth="1"/>
    <col min="9228" max="9228" width="7" bestFit="1" customWidth="1"/>
    <col min="9229" max="9229" width="3.5703125" bestFit="1" customWidth="1"/>
    <col min="9231" max="9231" width="14.140625" bestFit="1" customWidth="1"/>
    <col min="9232" max="9232" width="7" bestFit="1" customWidth="1"/>
    <col min="9233" max="9233" width="14.5703125" bestFit="1" customWidth="1"/>
    <col min="9234" max="9234" width="33" bestFit="1" customWidth="1"/>
    <col min="9235" max="9235" width="12" bestFit="1" customWidth="1"/>
    <col min="9236" max="9236" width="7.140625" bestFit="1" customWidth="1"/>
    <col min="9237" max="9237" width="9.5703125" bestFit="1" customWidth="1"/>
    <col min="9238" max="9238" width="9" bestFit="1" customWidth="1"/>
    <col min="9239" max="9239" width="19" bestFit="1" customWidth="1"/>
    <col min="9240" max="9240" width="14.85546875" bestFit="1" customWidth="1"/>
    <col min="9241" max="9241" width="10.140625" bestFit="1" customWidth="1"/>
    <col min="9242" max="9242" width="12.42578125" bestFit="1" customWidth="1"/>
    <col min="9243" max="9243" width="7" bestFit="1" customWidth="1"/>
    <col min="9244" max="9245" width="2" bestFit="1" customWidth="1"/>
    <col min="9246" max="9246" width="21.140625" bestFit="1" customWidth="1"/>
    <col min="9247" max="9247" width="15" bestFit="1" customWidth="1"/>
    <col min="9248" max="9248" width="11.7109375" bestFit="1" customWidth="1"/>
    <col min="9249" max="9249" width="13.85546875" bestFit="1" customWidth="1"/>
    <col min="9250" max="9250" width="7" bestFit="1" customWidth="1"/>
    <col min="9461" max="9461" width="17" customWidth="1"/>
    <col min="9464" max="9464" width="5.5703125" customWidth="1"/>
    <col min="9467" max="9467" width="16.42578125" bestFit="1" customWidth="1"/>
    <col min="9468" max="9468" width="14.28515625" bestFit="1" customWidth="1"/>
    <col min="9470" max="9470" width="19.42578125" bestFit="1" customWidth="1"/>
    <col min="9474" max="9474" width="19.85546875" customWidth="1"/>
    <col min="9476" max="9476" width="13.7109375" bestFit="1" customWidth="1"/>
    <col min="9477" max="9477" width="3.5703125" bestFit="1" customWidth="1"/>
    <col min="9478" max="9478" width="7" bestFit="1" customWidth="1"/>
    <col min="9479" max="9479" width="9.28515625" bestFit="1" customWidth="1"/>
    <col min="9480" max="9480" width="16.42578125" bestFit="1" customWidth="1"/>
    <col min="9481" max="9481" width="18.85546875" bestFit="1" customWidth="1"/>
    <col min="9482" max="9482" width="8.28515625" bestFit="1" customWidth="1"/>
    <col min="9483" max="9483" width="22.85546875" bestFit="1" customWidth="1"/>
    <col min="9484" max="9484" width="7" bestFit="1" customWidth="1"/>
    <col min="9485" max="9485" width="3.5703125" bestFit="1" customWidth="1"/>
    <col min="9487" max="9487" width="14.140625" bestFit="1" customWidth="1"/>
    <col min="9488" max="9488" width="7" bestFit="1" customWidth="1"/>
    <col min="9489" max="9489" width="14.5703125" bestFit="1" customWidth="1"/>
    <col min="9490" max="9490" width="33" bestFit="1" customWidth="1"/>
    <col min="9491" max="9491" width="12" bestFit="1" customWidth="1"/>
    <col min="9492" max="9492" width="7.140625" bestFit="1" customWidth="1"/>
    <col min="9493" max="9493" width="9.5703125" bestFit="1" customWidth="1"/>
    <col min="9494" max="9494" width="9" bestFit="1" customWidth="1"/>
    <col min="9495" max="9495" width="19" bestFit="1" customWidth="1"/>
    <col min="9496" max="9496" width="14.85546875" bestFit="1" customWidth="1"/>
    <col min="9497" max="9497" width="10.140625" bestFit="1" customWidth="1"/>
    <col min="9498" max="9498" width="12.42578125" bestFit="1" customWidth="1"/>
    <col min="9499" max="9499" width="7" bestFit="1" customWidth="1"/>
    <col min="9500" max="9501" width="2" bestFit="1" customWidth="1"/>
    <col min="9502" max="9502" width="21.140625" bestFit="1" customWidth="1"/>
    <col min="9503" max="9503" width="15" bestFit="1" customWidth="1"/>
    <col min="9504" max="9504" width="11.7109375" bestFit="1" customWidth="1"/>
    <col min="9505" max="9505" width="13.85546875" bestFit="1" customWidth="1"/>
    <col min="9506" max="9506" width="7" bestFit="1" customWidth="1"/>
    <col min="9717" max="9717" width="17" customWidth="1"/>
    <col min="9720" max="9720" width="5.5703125" customWidth="1"/>
    <col min="9723" max="9723" width="16.42578125" bestFit="1" customWidth="1"/>
    <col min="9724" max="9724" width="14.28515625" bestFit="1" customWidth="1"/>
    <col min="9726" max="9726" width="19.42578125" bestFit="1" customWidth="1"/>
    <col min="9730" max="9730" width="19.85546875" customWidth="1"/>
    <col min="9732" max="9732" width="13.7109375" bestFit="1" customWidth="1"/>
    <col min="9733" max="9733" width="3.5703125" bestFit="1" customWidth="1"/>
    <col min="9734" max="9734" width="7" bestFit="1" customWidth="1"/>
    <col min="9735" max="9735" width="9.28515625" bestFit="1" customWidth="1"/>
    <col min="9736" max="9736" width="16.42578125" bestFit="1" customWidth="1"/>
    <col min="9737" max="9737" width="18.85546875" bestFit="1" customWidth="1"/>
    <col min="9738" max="9738" width="8.28515625" bestFit="1" customWidth="1"/>
    <col min="9739" max="9739" width="22.85546875" bestFit="1" customWidth="1"/>
    <col min="9740" max="9740" width="7" bestFit="1" customWidth="1"/>
    <col min="9741" max="9741" width="3.5703125" bestFit="1" customWidth="1"/>
    <col min="9743" max="9743" width="14.140625" bestFit="1" customWidth="1"/>
    <col min="9744" max="9744" width="7" bestFit="1" customWidth="1"/>
    <col min="9745" max="9745" width="14.5703125" bestFit="1" customWidth="1"/>
    <col min="9746" max="9746" width="33" bestFit="1" customWidth="1"/>
    <col min="9747" max="9747" width="12" bestFit="1" customWidth="1"/>
    <col min="9748" max="9748" width="7.140625" bestFit="1" customWidth="1"/>
    <col min="9749" max="9749" width="9.5703125" bestFit="1" customWidth="1"/>
    <col min="9750" max="9750" width="9" bestFit="1" customWidth="1"/>
    <col min="9751" max="9751" width="19" bestFit="1" customWidth="1"/>
    <col min="9752" max="9752" width="14.85546875" bestFit="1" customWidth="1"/>
    <col min="9753" max="9753" width="10.140625" bestFit="1" customWidth="1"/>
    <col min="9754" max="9754" width="12.42578125" bestFit="1" customWidth="1"/>
    <col min="9755" max="9755" width="7" bestFit="1" customWidth="1"/>
    <col min="9756" max="9757" width="2" bestFit="1" customWidth="1"/>
    <col min="9758" max="9758" width="21.140625" bestFit="1" customWidth="1"/>
    <col min="9759" max="9759" width="15" bestFit="1" customWidth="1"/>
    <col min="9760" max="9760" width="11.7109375" bestFit="1" customWidth="1"/>
    <col min="9761" max="9761" width="13.85546875" bestFit="1" customWidth="1"/>
    <col min="9762" max="9762" width="7" bestFit="1" customWidth="1"/>
    <col min="9973" max="9973" width="17" customWidth="1"/>
    <col min="9976" max="9976" width="5.5703125" customWidth="1"/>
    <col min="9979" max="9979" width="16.42578125" bestFit="1" customWidth="1"/>
    <col min="9980" max="9980" width="14.28515625" bestFit="1" customWidth="1"/>
    <col min="9982" max="9982" width="19.42578125" bestFit="1" customWidth="1"/>
    <col min="9986" max="9986" width="19.85546875" customWidth="1"/>
    <col min="9988" max="9988" width="13.7109375" bestFit="1" customWidth="1"/>
    <col min="9989" max="9989" width="3.5703125" bestFit="1" customWidth="1"/>
    <col min="9990" max="9990" width="7" bestFit="1" customWidth="1"/>
    <col min="9991" max="9991" width="9.28515625" bestFit="1" customWidth="1"/>
    <col min="9992" max="9992" width="16.42578125" bestFit="1" customWidth="1"/>
    <col min="9993" max="9993" width="18.85546875" bestFit="1" customWidth="1"/>
    <col min="9994" max="9994" width="8.28515625" bestFit="1" customWidth="1"/>
    <col min="9995" max="9995" width="22.85546875" bestFit="1" customWidth="1"/>
    <col min="9996" max="9996" width="7" bestFit="1" customWidth="1"/>
    <col min="9997" max="9997" width="3.5703125" bestFit="1" customWidth="1"/>
    <col min="9999" max="9999" width="14.140625" bestFit="1" customWidth="1"/>
    <col min="10000" max="10000" width="7" bestFit="1" customWidth="1"/>
    <col min="10001" max="10001" width="14.5703125" bestFit="1" customWidth="1"/>
    <col min="10002" max="10002" width="33" bestFit="1" customWidth="1"/>
    <col min="10003" max="10003" width="12" bestFit="1" customWidth="1"/>
    <col min="10004" max="10004" width="7.140625" bestFit="1" customWidth="1"/>
    <col min="10005" max="10005" width="9.5703125" bestFit="1" customWidth="1"/>
    <col min="10006" max="10006" width="9" bestFit="1" customWidth="1"/>
    <col min="10007" max="10007" width="19" bestFit="1" customWidth="1"/>
    <col min="10008" max="10008" width="14.85546875" bestFit="1" customWidth="1"/>
    <col min="10009" max="10009" width="10.140625" bestFit="1" customWidth="1"/>
    <col min="10010" max="10010" width="12.42578125" bestFit="1" customWidth="1"/>
    <col min="10011" max="10011" width="7" bestFit="1" customWidth="1"/>
    <col min="10012" max="10013" width="2" bestFit="1" customWidth="1"/>
    <col min="10014" max="10014" width="21.140625" bestFit="1" customWidth="1"/>
    <col min="10015" max="10015" width="15" bestFit="1" customWidth="1"/>
    <col min="10016" max="10016" width="11.7109375" bestFit="1" customWidth="1"/>
    <col min="10017" max="10017" width="13.85546875" bestFit="1" customWidth="1"/>
    <col min="10018" max="10018" width="7" bestFit="1" customWidth="1"/>
    <col min="10229" max="10229" width="17" customWidth="1"/>
    <col min="10232" max="10232" width="5.5703125" customWidth="1"/>
    <col min="10235" max="10235" width="16.42578125" bestFit="1" customWidth="1"/>
    <col min="10236" max="10236" width="14.28515625" bestFit="1" customWidth="1"/>
    <col min="10238" max="10238" width="19.42578125" bestFit="1" customWidth="1"/>
    <col min="10242" max="10242" width="19.85546875" customWidth="1"/>
    <col min="10244" max="10244" width="13.7109375" bestFit="1" customWidth="1"/>
    <col min="10245" max="10245" width="3.5703125" bestFit="1" customWidth="1"/>
    <col min="10246" max="10246" width="7" bestFit="1" customWidth="1"/>
    <col min="10247" max="10247" width="9.28515625" bestFit="1" customWidth="1"/>
    <col min="10248" max="10248" width="16.42578125" bestFit="1" customWidth="1"/>
    <col min="10249" max="10249" width="18.85546875" bestFit="1" customWidth="1"/>
    <col min="10250" max="10250" width="8.28515625" bestFit="1" customWidth="1"/>
    <col min="10251" max="10251" width="22.85546875" bestFit="1" customWidth="1"/>
    <col min="10252" max="10252" width="7" bestFit="1" customWidth="1"/>
    <col min="10253" max="10253" width="3.5703125" bestFit="1" customWidth="1"/>
    <col min="10255" max="10255" width="14.140625" bestFit="1" customWidth="1"/>
    <col min="10256" max="10256" width="7" bestFit="1" customWidth="1"/>
    <col min="10257" max="10257" width="14.5703125" bestFit="1" customWidth="1"/>
    <col min="10258" max="10258" width="33" bestFit="1" customWidth="1"/>
    <col min="10259" max="10259" width="12" bestFit="1" customWidth="1"/>
    <col min="10260" max="10260" width="7.140625" bestFit="1" customWidth="1"/>
    <col min="10261" max="10261" width="9.5703125" bestFit="1" customWidth="1"/>
    <col min="10262" max="10262" width="9" bestFit="1" customWidth="1"/>
    <col min="10263" max="10263" width="19" bestFit="1" customWidth="1"/>
    <col min="10264" max="10264" width="14.85546875" bestFit="1" customWidth="1"/>
    <col min="10265" max="10265" width="10.140625" bestFit="1" customWidth="1"/>
    <col min="10266" max="10266" width="12.42578125" bestFit="1" customWidth="1"/>
    <col min="10267" max="10267" width="7" bestFit="1" customWidth="1"/>
    <col min="10268" max="10269" width="2" bestFit="1" customWidth="1"/>
    <col min="10270" max="10270" width="21.140625" bestFit="1" customWidth="1"/>
    <col min="10271" max="10271" width="15" bestFit="1" customWidth="1"/>
    <col min="10272" max="10272" width="11.7109375" bestFit="1" customWidth="1"/>
    <col min="10273" max="10273" width="13.85546875" bestFit="1" customWidth="1"/>
    <col min="10274" max="10274" width="7" bestFit="1" customWidth="1"/>
    <col min="10485" max="10485" width="17" customWidth="1"/>
    <col min="10488" max="10488" width="5.5703125" customWidth="1"/>
    <col min="10491" max="10491" width="16.42578125" bestFit="1" customWidth="1"/>
    <col min="10492" max="10492" width="14.28515625" bestFit="1" customWidth="1"/>
    <col min="10494" max="10494" width="19.42578125" bestFit="1" customWidth="1"/>
    <col min="10498" max="10498" width="19.85546875" customWidth="1"/>
    <col min="10500" max="10500" width="13.7109375" bestFit="1" customWidth="1"/>
    <col min="10501" max="10501" width="3.5703125" bestFit="1" customWidth="1"/>
    <col min="10502" max="10502" width="7" bestFit="1" customWidth="1"/>
    <col min="10503" max="10503" width="9.28515625" bestFit="1" customWidth="1"/>
    <col min="10504" max="10504" width="16.42578125" bestFit="1" customWidth="1"/>
    <col min="10505" max="10505" width="18.85546875" bestFit="1" customWidth="1"/>
    <col min="10506" max="10506" width="8.28515625" bestFit="1" customWidth="1"/>
    <col min="10507" max="10507" width="22.85546875" bestFit="1" customWidth="1"/>
    <col min="10508" max="10508" width="7" bestFit="1" customWidth="1"/>
    <col min="10509" max="10509" width="3.5703125" bestFit="1" customWidth="1"/>
    <col min="10511" max="10511" width="14.140625" bestFit="1" customWidth="1"/>
    <col min="10512" max="10512" width="7" bestFit="1" customWidth="1"/>
    <col min="10513" max="10513" width="14.5703125" bestFit="1" customWidth="1"/>
    <col min="10514" max="10514" width="33" bestFit="1" customWidth="1"/>
    <col min="10515" max="10515" width="12" bestFit="1" customWidth="1"/>
    <col min="10516" max="10516" width="7.140625" bestFit="1" customWidth="1"/>
    <col min="10517" max="10517" width="9.5703125" bestFit="1" customWidth="1"/>
    <col min="10518" max="10518" width="9" bestFit="1" customWidth="1"/>
    <col min="10519" max="10519" width="19" bestFit="1" customWidth="1"/>
    <col min="10520" max="10520" width="14.85546875" bestFit="1" customWidth="1"/>
    <col min="10521" max="10521" width="10.140625" bestFit="1" customWidth="1"/>
    <col min="10522" max="10522" width="12.42578125" bestFit="1" customWidth="1"/>
    <col min="10523" max="10523" width="7" bestFit="1" customWidth="1"/>
    <col min="10524" max="10525" width="2" bestFit="1" customWidth="1"/>
    <col min="10526" max="10526" width="21.140625" bestFit="1" customWidth="1"/>
    <col min="10527" max="10527" width="15" bestFit="1" customWidth="1"/>
    <col min="10528" max="10528" width="11.7109375" bestFit="1" customWidth="1"/>
    <col min="10529" max="10529" width="13.85546875" bestFit="1" customWidth="1"/>
    <col min="10530" max="10530" width="7" bestFit="1" customWidth="1"/>
    <col min="10741" max="10741" width="17" customWidth="1"/>
    <col min="10744" max="10744" width="5.5703125" customWidth="1"/>
    <col min="10747" max="10747" width="16.42578125" bestFit="1" customWidth="1"/>
    <col min="10748" max="10748" width="14.28515625" bestFit="1" customWidth="1"/>
    <col min="10750" max="10750" width="19.42578125" bestFit="1" customWidth="1"/>
    <col min="10754" max="10754" width="19.85546875" customWidth="1"/>
    <col min="10756" max="10756" width="13.7109375" bestFit="1" customWidth="1"/>
    <col min="10757" max="10757" width="3.5703125" bestFit="1" customWidth="1"/>
    <col min="10758" max="10758" width="7" bestFit="1" customWidth="1"/>
    <col min="10759" max="10759" width="9.28515625" bestFit="1" customWidth="1"/>
    <col min="10760" max="10760" width="16.42578125" bestFit="1" customWidth="1"/>
    <col min="10761" max="10761" width="18.85546875" bestFit="1" customWidth="1"/>
    <col min="10762" max="10762" width="8.28515625" bestFit="1" customWidth="1"/>
    <col min="10763" max="10763" width="22.85546875" bestFit="1" customWidth="1"/>
    <col min="10764" max="10764" width="7" bestFit="1" customWidth="1"/>
    <col min="10765" max="10765" width="3.5703125" bestFit="1" customWidth="1"/>
    <col min="10767" max="10767" width="14.140625" bestFit="1" customWidth="1"/>
    <col min="10768" max="10768" width="7" bestFit="1" customWidth="1"/>
    <col min="10769" max="10769" width="14.5703125" bestFit="1" customWidth="1"/>
    <col min="10770" max="10770" width="33" bestFit="1" customWidth="1"/>
    <col min="10771" max="10771" width="12" bestFit="1" customWidth="1"/>
    <col min="10772" max="10772" width="7.140625" bestFit="1" customWidth="1"/>
    <col min="10773" max="10773" width="9.5703125" bestFit="1" customWidth="1"/>
    <col min="10774" max="10774" width="9" bestFit="1" customWidth="1"/>
    <col min="10775" max="10775" width="19" bestFit="1" customWidth="1"/>
    <col min="10776" max="10776" width="14.85546875" bestFit="1" customWidth="1"/>
    <col min="10777" max="10777" width="10.140625" bestFit="1" customWidth="1"/>
    <col min="10778" max="10778" width="12.42578125" bestFit="1" customWidth="1"/>
    <col min="10779" max="10779" width="7" bestFit="1" customWidth="1"/>
    <col min="10780" max="10781" width="2" bestFit="1" customWidth="1"/>
    <col min="10782" max="10782" width="21.140625" bestFit="1" customWidth="1"/>
    <col min="10783" max="10783" width="15" bestFit="1" customWidth="1"/>
    <col min="10784" max="10784" width="11.7109375" bestFit="1" customWidth="1"/>
    <col min="10785" max="10785" width="13.85546875" bestFit="1" customWidth="1"/>
    <col min="10786" max="10786" width="7" bestFit="1" customWidth="1"/>
    <col min="10997" max="10997" width="17" customWidth="1"/>
    <col min="11000" max="11000" width="5.5703125" customWidth="1"/>
    <col min="11003" max="11003" width="16.42578125" bestFit="1" customWidth="1"/>
    <col min="11004" max="11004" width="14.28515625" bestFit="1" customWidth="1"/>
    <col min="11006" max="11006" width="19.42578125" bestFit="1" customWidth="1"/>
    <col min="11010" max="11010" width="19.85546875" customWidth="1"/>
    <col min="11012" max="11012" width="13.7109375" bestFit="1" customWidth="1"/>
    <col min="11013" max="11013" width="3.5703125" bestFit="1" customWidth="1"/>
    <col min="11014" max="11014" width="7" bestFit="1" customWidth="1"/>
    <col min="11015" max="11015" width="9.28515625" bestFit="1" customWidth="1"/>
    <col min="11016" max="11016" width="16.42578125" bestFit="1" customWidth="1"/>
    <col min="11017" max="11017" width="18.85546875" bestFit="1" customWidth="1"/>
    <col min="11018" max="11018" width="8.28515625" bestFit="1" customWidth="1"/>
    <col min="11019" max="11019" width="22.85546875" bestFit="1" customWidth="1"/>
    <col min="11020" max="11020" width="7" bestFit="1" customWidth="1"/>
    <col min="11021" max="11021" width="3.5703125" bestFit="1" customWidth="1"/>
    <col min="11023" max="11023" width="14.140625" bestFit="1" customWidth="1"/>
    <col min="11024" max="11024" width="7" bestFit="1" customWidth="1"/>
    <col min="11025" max="11025" width="14.5703125" bestFit="1" customWidth="1"/>
    <col min="11026" max="11026" width="33" bestFit="1" customWidth="1"/>
    <col min="11027" max="11027" width="12" bestFit="1" customWidth="1"/>
    <col min="11028" max="11028" width="7.140625" bestFit="1" customWidth="1"/>
    <col min="11029" max="11029" width="9.5703125" bestFit="1" customWidth="1"/>
    <col min="11030" max="11030" width="9" bestFit="1" customWidth="1"/>
    <col min="11031" max="11031" width="19" bestFit="1" customWidth="1"/>
    <col min="11032" max="11032" width="14.85546875" bestFit="1" customWidth="1"/>
    <col min="11033" max="11033" width="10.140625" bestFit="1" customWidth="1"/>
    <col min="11034" max="11034" width="12.42578125" bestFit="1" customWidth="1"/>
    <col min="11035" max="11035" width="7" bestFit="1" customWidth="1"/>
    <col min="11036" max="11037" width="2" bestFit="1" customWidth="1"/>
    <col min="11038" max="11038" width="21.140625" bestFit="1" customWidth="1"/>
    <col min="11039" max="11039" width="15" bestFit="1" customWidth="1"/>
    <col min="11040" max="11040" width="11.7109375" bestFit="1" customWidth="1"/>
    <col min="11041" max="11041" width="13.85546875" bestFit="1" customWidth="1"/>
    <col min="11042" max="11042" width="7" bestFit="1" customWidth="1"/>
    <col min="11253" max="11253" width="17" customWidth="1"/>
    <col min="11256" max="11256" width="5.5703125" customWidth="1"/>
    <col min="11259" max="11259" width="16.42578125" bestFit="1" customWidth="1"/>
    <col min="11260" max="11260" width="14.28515625" bestFit="1" customWidth="1"/>
    <col min="11262" max="11262" width="19.42578125" bestFit="1" customWidth="1"/>
    <col min="11266" max="11266" width="19.85546875" customWidth="1"/>
    <col min="11268" max="11268" width="13.7109375" bestFit="1" customWidth="1"/>
    <col min="11269" max="11269" width="3.5703125" bestFit="1" customWidth="1"/>
    <col min="11270" max="11270" width="7" bestFit="1" customWidth="1"/>
    <col min="11271" max="11271" width="9.28515625" bestFit="1" customWidth="1"/>
    <col min="11272" max="11272" width="16.42578125" bestFit="1" customWidth="1"/>
    <col min="11273" max="11273" width="18.85546875" bestFit="1" customWidth="1"/>
    <col min="11274" max="11274" width="8.28515625" bestFit="1" customWidth="1"/>
    <col min="11275" max="11275" width="22.85546875" bestFit="1" customWidth="1"/>
    <col min="11276" max="11276" width="7" bestFit="1" customWidth="1"/>
    <col min="11277" max="11277" width="3.5703125" bestFit="1" customWidth="1"/>
    <col min="11279" max="11279" width="14.140625" bestFit="1" customWidth="1"/>
    <col min="11280" max="11280" width="7" bestFit="1" customWidth="1"/>
    <col min="11281" max="11281" width="14.5703125" bestFit="1" customWidth="1"/>
    <col min="11282" max="11282" width="33" bestFit="1" customWidth="1"/>
    <col min="11283" max="11283" width="12" bestFit="1" customWidth="1"/>
    <col min="11284" max="11284" width="7.140625" bestFit="1" customWidth="1"/>
    <col min="11285" max="11285" width="9.5703125" bestFit="1" customWidth="1"/>
    <col min="11286" max="11286" width="9" bestFit="1" customWidth="1"/>
    <col min="11287" max="11287" width="19" bestFit="1" customWidth="1"/>
    <col min="11288" max="11288" width="14.85546875" bestFit="1" customWidth="1"/>
    <col min="11289" max="11289" width="10.140625" bestFit="1" customWidth="1"/>
    <col min="11290" max="11290" width="12.42578125" bestFit="1" customWidth="1"/>
    <col min="11291" max="11291" width="7" bestFit="1" customWidth="1"/>
    <col min="11292" max="11293" width="2" bestFit="1" customWidth="1"/>
    <col min="11294" max="11294" width="21.140625" bestFit="1" customWidth="1"/>
    <col min="11295" max="11295" width="15" bestFit="1" customWidth="1"/>
    <col min="11296" max="11296" width="11.7109375" bestFit="1" customWidth="1"/>
    <col min="11297" max="11297" width="13.85546875" bestFit="1" customWidth="1"/>
    <col min="11298" max="11298" width="7" bestFit="1" customWidth="1"/>
    <col min="11509" max="11509" width="17" customWidth="1"/>
    <col min="11512" max="11512" width="5.5703125" customWidth="1"/>
    <col min="11515" max="11515" width="16.42578125" bestFit="1" customWidth="1"/>
    <col min="11516" max="11516" width="14.28515625" bestFit="1" customWidth="1"/>
    <col min="11518" max="11518" width="19.42578125" bestFit="1" customWidth="1"/>
    <col min="11522" max="11522" width="19.85546875" customWidth="1"/>
    <col min="11524" max="11524" width="13.7109375" bestFit="1" customWidth="1"/>
    <col min="11525" max="11525" width="3.5703125" bestFit="1" customWidth="1"/>
    <col min="11526" max="11526" width="7" bestFit="1" customWidth="1"/>
    <col min="11527" max="11527" width="9.28515625" bestFit="1" customWidth="1"/>
    <col min="11528" max="11528" width="16.42578125" bestFit="1" customWidth="1"/>
    <col min="11529" max="11529" width="18.85546875" bestFit="1" customWidth="1"/>
    <col min="11530" max="11530" width="8.28515625" bestFit="1" customWidth="1"/>
    <col min="11531" max="11531" width="22.85546875" bestFit="1" customWidth="1"/>
    <col min="11532" max="11532" width="7" bestFit="1" customWidth="1"/>
    <col min="11533" max="11533" width="3.5703125" bestFit="1" customWidth="1"/>
    <col min="11535" max="11535" width="14.140625" bestFit="1" customWidth="1"/>
    <col min="11536" max="11536" width="7" bestFit="1" customWidth="1"/>
    <col min="11537" max="11537" width="14.5703125" bestFit="1" customWidth="1"/>
    <col min="11538" max="11538" width="33" bestFit="1" customWidth="1"/>
    <col min="11539" max="11539" width="12" bestFit="1" customWidth="1"/>
    <col min="11540" max="11540" width="7.140625" bestFit="1" customWidth="1"/>
    <col min="11541" max="11541" width="9.5703125" bestFit="1" customWidth="1"/>
    <col min="11542" max="11542" width="9" bestFit="1" customWidth="1"/>
    <col min="11543" max="11543" width="19" bestFit="1" customWidth="1"/>
    <col min="11544" max="11544" width="14.85546875" bestFit="1" customWidth="1"/>
    <col min="11545" max="11545" width="10.140625" bestFit="1" customWidth="1"/>
    <col min="11546" max="11546" width="12.42578125" bestFit="1" customWidth="1"/>
    <col min="11547" max="11547" width="7" bestFit="1" customWidth="1"/>
    <col min="11548" max="11549" width="2" bestFit="1" customWidth="1"/>
    <col min="11550" max="11550" width="21.140625" bestFit="1" customWidth="1"/>
    <col min="11551" max="11551" width="15" bestFit="1" customWidth="1"/>
    <col min="11552" max="11552" width="11.7109375" bestFit="1" customWidth="1"/>
    <col min="11553" max="11553" width="13.85546875" bestFit="1" customWidth="1"/>
    <col min="11554" max="11554" width="7" bestFit="1" customWidth="1"/>
    <col min="11765" max="11765" width="17" customWidth="1"/>
    <col min="11768" max="11768" width="5.5703125" customWidth="1"/>
    <col min="11771" max="11771" width="16.42578125" bestFit="1" customWidth="1"/>
    <col min="11772" max="11772" width="14.28515625" bestFit="1" customWidth="1"/>
    <col min="11774" max="11774" width="19.42578125" bestFit="1" customWidth="1"/>
    <col min="11778" max="11778" width="19.85546875" customWidth="1"/>
    <col min="11780" max="11780" width="13.7109375" bestFit="1" customWidth="1"/>
    <col min="11781" max="11781" width="3.5703125" bestFit="1" customWidth="1"/>
    <col min="11782" max="11782" width="7" bestFit="1" customWidth="1"/>
    <col min="11783" max="11783" width="9.28515625" bestFit="1" customWidth="1"/>
    <col min="11784" max="11784" width="16.42578125" bestFit="1" customWidth="1"/>
    <col min="11785" max="11785" width="18.85546875" bestFit="1" customWidth="1"/>
    <col min="11786" max="11786" width="8.28515625" bestFit="1" customWidth="1"/>
    <col min="11787" max="11787" width="22.85546875" bestFit="1" customWidth="1"/>
    <col min="11788" max="11788" width="7" bestFit="1" customWidth="1"/>
    <col min="11789" max="11789" width="3.5703125" bestFit="1" customWidth="1"/>
    <col min="11791" max="11791" width="14.140625" bestFit="1" customWidth="1"/>
    <col min="11792" max="11792" width="7" bestFit="1" customWidth="1"/>
    <col min="11793" max="11793" width="14.5703125" bestFit="1" customWidth="1"/>
    <col min="11794" max="11794" width="33" bestFit="1" customWidth="1"/>
    <col min="11795" max="11795" width="12" bestFit="1" customWidth="1"/>
    <col min="11796" max="11796" width="7.140625" bestFit="1" customWidth="1"/>
    <col min="11797" max="11797" width="9.5703125" bestFit="1" customWidth="1"/>
    <col min="11798" max="11798" width="9" bestFit="1" customWidth="1"/>
    <col min="11799" max="11799" width="19" bestFit="1" customWidth="1"/>
    <col min="11800" max="11800" width="14.85546875" bestFit="1" customWidth="1"/>
    <col min="11801" max="11801" width="10.140625" bestFit="1" customWidth="1"/>
    <col min="11802" max="11802" width="12.42578125" bestFit="1" customWidth="1"/>
    <col min="11803" max="11803" width="7" bestFit="1" customWidth="1"/>
    <col min="11804" max="11805" width="2" bestFit="1" customWidth="1"/>
    <col min="11806" max="11806" width="21.140625" bestFit="1" customWidth="1"/>
    <col min="11807" max="11807" width="15" bestFit="1" customWidth="1"/>
    <col min="11808" max="11808" width="11.7109375" bestFit="1" customWidth="1"/>
    <col min="11809" max="11809" width="13.85546875" bestFit="1" customWidth="1"/>
    <col min="11810" max="11810" width="7" bestFit="1" customWidth="1"/>
    <col min="12021" max="12021" width="17" customWidth="1"/>
    <col min="12024" max="12024" width="5.5703125" customWidth="1"/>
    <col min="12027" max="12027" width="16.42578125" bestFit="1" customWidth="1"/>
    <col min="12028" max="12028" width="14.28515625" bestFit="1" customWidth="1"/>
    <col min="12030" max="12030" width="19.42578125" bestFit="1" customWidth="1"/>
    <col min="12034" max="12034" width="19.85546875" customWidth="1"/>
    <col min="12036" max="12036" width="13.7109375" bestFit="1" customWidth="1"/>
    <col min="12037" max="12037" width="3.5703125" bestFit="1" customWidth="1"/>
    <col min="12038" max="12038" width="7" bestFit="1" customWidth="1"/>
    <col min="12039" max="12039" width="9.28515625" bestFit="1" customWidth="1"/>
    <col min="12040" max="12040" width="16.42578125" bestFit="1" customWidth="1"/>
    <col min="12041" max="12041" width="18.85546875" bestFit="1" customWidth="1"/>
    <col min="12042" max="12042" width="8.28515625" bestFit="1" customWidth="1"/>
    <col min="12043" max="12043" width="22.85546875" bestFit="1" customWidth="1"/>
    <col min="12044" max="12044" width="7" bestFit="1" customWidth="1"/>
    <col min="12045" max="12045" width="3.5703125" bestFit="1" customWidth="1"/>
    <col min="12047" max="12047" width="14.140625" bestFit="1" customWidth="1"/>
    <col min="12048" max="12048" width="7" bestFit="1" customWidth="1"/>
    <col min="12049" max="12049" width="14.5703125" bestFit="1" customWidth="1"/>
    <col min="12050" max="12050" width="33" bestFit="1" customWidth="1"/>
    <col min="12051" max="12051" width="12" bestFit="1" customWidth="1"/>
    <col min="12052" max="12052" width="7.140625" bestFit="1" customWidth="1"/>
    <col min="12053" max="12053" width="9.5703125" bestFit="1" customWidth="1"/>
    <col min="12054" max="12054" width="9" bestFit="1" customWidth="1"/>
    <col min="12055" max="12055" width="19" bestFit="1" customWidth="1"/>
    <col min="12056" max="12056" width="14.85546875" bestFit="1" customWidth="1"/>
    <col min="12057" max="12057" width="10.140625" bestFit="1" customWidth="1"/>
    <col min="12058" max="12058" width="12.42578125" bestFit="1" customWidth="1"/>
    <col min="12059" max="12059" width="7" bestFit="1" customWidth="1"/>
    <col min="12060" max="12061" width="2" bestFit="1" customWidth="1"/>
    <col min="12062" max="12062" width="21.140625" bestFit="1" customWidth="1"/>
    <col min="12063" max="12063" width="15" bestFit="1" customWidth="1"/>
    <col min="12064" max="12064" width="11.7109375" bestFit="1" customWidth="1"/>
    <col min="12065" max="12065" width="13.85546875" bestFit="1" customWidth="1"/>
    <col min="12066" max="12066" width="7" bestFit="1" customWidth="1"/>
    <col min="12277" max="12277" width="17" customWidth="1"/>
    <col min="12280" max="12280" width="5.5703125" customWidth="1"/>
    <col min="12283" max="12283" width="16.42578125" bestFit="1" customWidth="1"/>
    <col min="12284" max="12284" width="14.28515625" bestFit="1" customWidth="1"/>
    <col min="12286" max="12286" width="19.42578125" bestFit="1" customWidth="1"/>
    <col min="12290" max="12290" width="19.85546875" customWidth="1"/>
    <col min="12292" max="12292" width="13.7109375" bestFit="1" customWidth="1"/>
    <col min="12293" max="12293" width="3.5703125" bestFit="1" customWidth="1"/>
    <col min="12294" max="12294" width="7" bestFit="1" customWidth="1"/>
    <col min="12295" max="12295" width="9.28515625" bestFit="1" customWidth="1"/>
    <col min="12296" max="12296" width="16.42578125" bestFit="1" customWidth="1"/>
    <col min="12297" max="12297" width="18.85546875" bestFit="1" customWidth="1"/>
    <col min="12298" max="12298" width="8.28515625" bestFit="1" customWidth="1"/>
    <col min="12299" max="12299" width="22.85546875" bestFit="1" customWidth="1"/>
    <col min="12300" max="12300" width="7" bestFit="1" customWidth="1"/>
    <col min="12301" max="12301" width="3.5703125" bestFit="1" customWidth="1"/>
    <col min="12303" max="12303" width="14.140625" bestFit="1" customWidth="1"/>
    <col min="12304" max="12304" width="7" bestFit="1" customWidth="1"/>
    <col min="12305" max="12305" width="14.5703125" bestFit="1" customWidth="1"/>
    <col min="12306" max="12306" width="33" bestFit="1" customWidth="1"/>
    <col min="12307" max="12307" width="12" bestFit="1" customWidth="1"/>
    <col min="12308" max="12308" width="7.140625" bestFit="1" customWidth="1"/>
    <col min="12309" max="12309" width="9.5703125" bestFit="1" customWidth="1"/>
    <col min="12310" max="12310" width="9" bestFit="1" customWidth="1"/>
    <col min="12311" max="12311" width="19" bestFit="1" customWidth="1"/>
    <col min="12312" max="12312" width="14.85546875" bestFit="1" customWidth="1"/>
    <col min="12313" max="12313" width="10.140625" bestFit="1" customWidth="1"/>
    <col min="12314" max="12314" width="12.42578125" bestFit="1" customWidth="1"/>
    <col min="12315" max="12315" width="7" bestFit="1" customWidth="1"/>
    <col min="12316" max="12317" width="2" bestFit="1" customWidth="1"/>
    <col min="12318" max="12318" width="21.140625" bestFit="1" customWidth="1"/>
    <col min="12319" max="12319" width="15" bestFit="1" customWidth="1"/>
    <col min="12320" max="12320" width="11.7109375" bestFit="1" customWidth="1"/>
    <col min="12321" max="12321" width="13.85546875" bestFit="1" customWidth="1"/>
    <col min="12322" max="12322" width="7" bestFit="1" customWidth="1"/>
    <col min="12533" max="12533" width="17" customWidth="1"/>
    <col min="12536" max="12536" width="5.5703125" customWidth="1"/>
    <col min="12539" max="12539" width="16.42578125" bestFit="1" customWidth="1"/>
    <col min="12540" max="12540" width="14.28515625" bestFit="1" customWidth="1"/>
    <col min="12542" max="12542" width="19.42578125" bestFit="1" customWidth="1"/>
    <col min="12546" max="12546" width="19.85546875" customWidth="1"/>
    <col min="12548" max="12548" width="13.7109375" bestFit="1" customWidth="1"/>
    <col min="12549" max="12549" width="3.5703125" bestFit="1" customWidth="1"/>
    <col min="12550" max="12550" width="7" bestFit="1" customWidth="1"/>
    <col min="12551" max="12551" width="9.28515625" bestFit="1" customWidth="1"/>
    <col min="12552" max="12552" width="16.42578125" bestFit="1" customWidth="1"/>
    <col min="12553" max="12553" width="18.85546875" bestFit="1" customWidth="1"/>
    <col min="12554" max="12554" width="8.28515625" bestFit="1" customWidth="1"/>
    <col min="12555" max="12555" width="22.85546875" bestFit="1" customWidth="1"/>
    <col min="12556" max="12556" width="7" bestFit="1" customWidth="1"/>
    <col min="12557" max="12557" width="3.5703125" bestFit="1" customWidth="1"/>
    <col min="12559" max="12559" width="14.140625" bestFit="1" customWidth="1"/>
    <col min="12560" max="12560" width="7" bestFit="1" customWidth="1"/>
    <col min="12561" max="12561" width="14.5703125" bestFit="1" customWidth="1"/>
    <col min="12562" max="12562" width="33" bestFit="1" customWidth="1"/>
    <col min="12563" max="12563" width="12" bestFit="1" customWidth="1"/>
    <col min="12564" max="12564" width="7.140625" bestFit="1" customWidth="1"/>
    <col min="12565" max="12565" width="9.5703125" bestFit="1" customWidth="1"/>
    <col min="12566" max="12566" width="9" bestFit="1" customWidth="1"/>
    <col min="12567" max="12567" width="19" bestFit="1" customWidth="1"/>
    <col min="12568" max="12568" width="14.85546875" bestFit="1" customWidth="1"/>
    <col min="12569" max="12569" width="10.140625" bestFit="1" customWidth="1"/>
    <col min="12570" max="12570" width="12.42578125" bestFit="1" customWidth="1"/>
    <col min="12571" max="12571" width="7" bestFit="1" customWidth="1"/>
    <col min="12572" max="12573" width="2" bestFit="1" customWidth="1"/>
    <col min="12574" max="12574" width="21.140625" bestFit="1" customWidth="1"/>
    <col min="12575" max="12575" width="15" bestFit="1" customWidth="1"/>
    <col min="12576" max="12576" width="11.7109375" bestFit="1" customWidth="1"/>
    <col min="12577" max="12577" width="13.85546875" bestFit="1" customWidth="1"/>
    <col min="12578" max="12578" width="7" bestFit="1" customWidth="1"/>
    <col min="12789" max="12789" width="17" customWidth="1"/>
    <col min="12792" max="12792" width="5.5703125" customWidth="1"/>
    <col min="12795" max="12795" width="16.42578125" bestFit="1" customWidth="1"/>
    <col min="12796" max="12796" width="14.28515625" bestFit="1" customWidth="1"/>
    <col min="12798" max="12798" width="19.42578125" bestFit="1" customWidth="1"/>
    <col min="12802" max="12802" width="19.85546875" customWidth="1"/>
    <col min="12804" max="12804" width="13.7109375" bestFit="1" customWidth="1"/>
    <col min="12805" max="12805" width="3.5703125" bestFit="1" customWidth="1"/>
    <col min="12806" max="12806" width="7" bestFit="1" customWidth="1"/>
    <col min="12807" max="12807" width="9.28515625" bestFit="1" customWidth="1"/>
    <col min="12808" max="12808" width="16.42578125" bestFit="1" customWidth="1"/>
    <col min="12809" max="12809" width="18.85546875" bestFit="1" customWidth="1"/>
    <col min="12810" max="12810" width="8.28515625" bestFit="1" customWidth="1"/>
    <col min="12811" max="12811" width="22.85546875" bestFit="1" customWidth="1"/>
    <col min="12812" max="12812" width="7" bestFit="1" customWidth="1"/>
    <col min="12813" max="12813" width="3.5703125" bestFit="1" customWidth="1"/>
    <col min="12815" max="12815" width="14.140625" bestFit="1" customWidth="1"/>
    <col min="12816" max="12816" width="7" bestFit="1" customWidth="1"/>
    <col min="12817" max="12817" width="14.5703125" bestFit="1" customWidth="1"/>
    <col min="12818" max="12818" width="33" bestFit="1" customWidth="1"/>
    <col min="12819" max="12819" width="12" bestFit="1" customWidth="1"/>
    <col min="12820" max="12820" width="7.140625" bestFit="1" customWidth="1"/>
    <col min="12821" max="12821" width="9.5703125" bestFit="1" customWidth="1"/>
    <col min="12822" max="12822" width="9" bestFit="1" customWidth="1"/>
    <col min="12823" max="12823" width="19" bestFit="1" customWidth="1"/>
    <col min="12824" max="12824" width="14.85546875" bestFit="1" customWidth="1"/>
    <col min="12825" max="12825" width="10.140625" bestFit="1" customWidth="1"/>
    <col min="12826" max="12826" width="12.42578125" bestFit="1" customWidth="1"/>
    <col min="12827" max="12827" width="7" bestFit="1" customWidth="1"/>
    <col min="12828" max="12829" width="2" bestFit="1" customWidth="1"/>
    <col min="12830" max="12830" width="21.140625" bestFit="1" customWidth="1"/>
    <col min="12831" max="12831" width="15" bestFit="1" customWidth="1"/>
    <col min="12832" max="12832" width="11.7109375" bestFit="1" customWidth="1"/>
    <col min="12833" max="12833" width="13.85546875" bestFit="1" customWidth="1"/>
    <col min="12834" max="12834" width="7" bestFit="1" customWidth="1"/>
    <col min="13045" max="13045" width="17" customWidth="1"/>
    <col min="13048" max="13048" width="5.5703125" customWidth="1"/>
    <col min="13051" max="13051" width="16.42578125" bestFit="1" customWidth="1"/>
    <col min="13052" max="13052" width="14.28515625" bestFit="1" customWidth="1"/>
    <col min="13054" max="13054" width="19.42578125" bestFit="1" customWidth="1"/>
    <col min="13058" max="13058" width="19.85546875" customWidth="1"/>
    <col min="13060" max="13060" width="13.7109375" bestFit="1" customWidth="1"/>
    <col min="13061" max="13061" width="3.5703125" bestFit="1" customWidth="1"/>
    <col min="13062" max="13062" width="7" bestFit="1" customWidth="1"/>
    <col min="13063" max="13063" width="9.28515625" bestFit="1" customWidth="1"/>
    <col min="13064" max="13064" width="16.42578125" bestFit="1" customWidth="1"/>
    <col min="13065" max="13065" width="18.85546875" bestFit="1" customWidth="1"/>
    <col min="13066" max="13066" width="8.28515625" bestFit="1" customWidth="1"/>
    <col min="13067" max="13067" width="22.85546875" bestFit="1" customWidth="1"/>
    <col min="13068" max="13068" width="7" bestFit="1" customWidth="1"/>
    <col min="13069" max="13069" width="3.5703125" bestFit="1" customWidth="1"/>
    <col min="13071" max="13071" width="14.140625" bestFit="1" customWidth="1"/>
    <col min="13072" max="13072" width="7" bestFit="1" customWidth="1"/>
    <col min="13073" max="13073" width="14.5703125" bestFit="1" customWidth="1"/>
    <col min="13074" max="13074" width="33" bestFit="1" customWidth="1"/>
    <col min="13075" max="13075" width="12" bestFit="1" customWidth="1"/>
    <col min="13076" max="13076" width="7.140625" bestFit="1" customWidth="1"/>
    <col min="13077" max="13077" width="9.5703125" bestFit="1" customWidth="1"/>
    <col min="13078" max="13078" width="9" bestFit="1" customWidth="1"/>
    <col min="13079" max="13079" width="19" bestFit="1" customWidth="1"/>
    <col min="13080" max="13080" width="14.85546875" bestFit="1" customWidth="1"/>
    <col min="13081" max="13081" width="10.140625" bestFit="1" customWidth="1"/>
    <col min="13082" max="13082" width="12.42578125" bestFit="1" customWidth="1"/>
    <col min="13083" max="13083" width="7" bestFit="1" customWidth="1"/>
    <col min="13084" max="13085" width="2" bestFit="1" customWidth="1"/>
    <col min="13086" max="13086" width="21.140625" bestFit="1" customWidth="1"/>
    <col min="13087" max="13087" width="15" bestFit="1" customWidth="1"/>
    <col min="13088" max="13088" width="11.7109375" bestFit="1" customWidth="1"/>
    <col min="13089" max="13089" width="13.85546875" bestFit="1" customWidth="1"/>
    <col min="13090" max="13090" width="7" bestFit="1" customWidth="1"/>
    <col min="13301" max="13301" width="17" customWidth="1"/>
    <col min="13304" max="13304" width="5.5703125" customWidth="1"/>
    <col min="13307" max="13307" width="16.42578125" bestFit="1" customWidth="1"/>
    <col min="13308" max="13308" width="14.28515625" bestFit="1" customWidth="1"/>
    <col min="13310" max="13310" width="19.42578125" bestFit="1" customWidth="1"/>
    <col min="13314" max="13314" width="19.85546875" customWidth="1"/>
    <col min="13316" max="13316" width="13.7109375" bestFit="1" customWidth="1"/>
    <col min="13317" max="13317" width="3.5703125" bestFit="1" customWidth="1"/>
    <col min="13318" max="13318" width="7" bestFit="1" customWidth="1"/>
    <col min="13319" max="13319" width="9.28515625" bestFit="1" customWidth="1"/>
    <col min="13320" max="13320" width="16.42578125" bestFit="1" customWidth="1"/>
    <col min="13321" max="13321" width="18.85546875" bestFit="1" customWidth="1"/>
    <col min="13322" max="13322" width="8.28515625" bestFit="1" customWidth="1"/>
    <col min="13323" max="13323" width="22.85546875" bestFit="1" customWidth="1"/>
    <col min="13324" max="13324" width="7" bestFit="1" customWidth="1"/>
    <col min="13325" max="13325" width="3.5703125" bestFit="1" customWidth="1"/>
    <col min="13327" max="13327" width="14.140625" bestFit="1" customWidth="1"/>
    <col min="13328" max="13328" width="7" bestFit="1" customWidth="1"/>
    <col min="13329" max="13329" width="14.5703125" bestFit="1" customWidth="1"/>
    <col min="13330" max="13330" width="33" bestFit="1" customWidth="1"/>
    <col min="13331" max="13331" width="12" bestFit="1" customWidth="1"/>
    <col min="13332" max="13332" width="7.140625" bestFit="1" customWidth="1"/>
    <col min="13333" max="13333" width="9.5703125" bestFit="1" customWidth="1"/>
    <col min="13334" max="13334" width="9" bestFit="1" customWidth="1"/>
    <col min="13335" max="13335" width="19" bestFit="1" customWidth="1"/>
    <col min="13336" max="13336" width="14.85546875" bestFit="1" customWidth="1"/>
    <col min="13337" max="13337" width="10.140625" bestFit="1" customWidth="1"/>
    <col min="13338" max="13338" width="12.42578125" bestFit="1" customWidth="1"/>
    <col min="13339" max="13339" width="7" bestFit="1" customWidth="1"/>
    <col min="13340" max="13341" width="2" bestFit="1" customWidth="1"/>
    <col min="13342" max="13342" width="21.140625" bestFit="1" customWidth="1"/>
    <col min="13343" max="13343" width="15" bestFit="1" customWidth="1"/>
    <col min="13344" max="13344" width="11.7109375" bestFit="1" customWidth="1"/>
    <col min="13345" max="13345" width="13.85546875" bestFit="1" customWidth="1"/>
    <col min="13346" max="13346" width="7" bestFit="1" customWidth="1"/>
    <col min="13557" max="13557" width="17" customWidth="1"/>
    <col min="13560" max="13560" width="5.5703125" customWidth="1"/>
    <col min="13563" max="13563" width="16.42578125" bestFit="1" customWidth="1"/>
    <col min="13564" max="13564" width="14.28515625" bestFit="1" customWidth="1"/>
    <col min="13566" max="13566" width="19.42578125" bestFit="1" customWidth="1"/>
    <col min="13570" max="13570" width="19.85546875" customWidth="1"/>
    <col min="13572" max="13572" width="13.7109375" bestFit="1" customWidth="1"/>
    <col min="13573" max="13573" width="3.5703125" bestFit="1" customWidth="1"/>
    <col min="13574" max="13574" width="7" bestFit="1" customWidth="1"/>
    <col min="13575" max="13575" width="9.28515625" bestFit="1" customWidth="1"/>
    <col min="13576" max="13576" width="16.42578125" bestFit="1" customWidth="1"/>
    <col min="13577" max="13577" width="18.85546875" bestFit="1" customWidth="1"/>
    <col min="13578" max="13578" width="8.28515625" bestFit="1" customWidth="1"/>
    <col min="13579" max="13579" width="22.85546875" bestFit="1" customWidth="1"/>
    <col min="13580" max="13580" width="7" bestFit="1" customWidth="1"/>
    <col min="13581" max="13581" width="3.5703125" bestFit="1" customWidth="1"/>
    <col min="13583" max="13583" width="14.140625" bestFit="1" customWidth="1"/>
    <col min="13584" max="13584" width="7" bestFit="1" customWidth="1"/>
    <col min="13585" max="13585" width="14.5703125" bestFit="1" customWidth="1"/>
    <col min="13586" max="13586" width="33" bestFit="1" customWidth="1"/>
    <col min="13587" max="13587" width="12" bestFit="1" customWidth="1"/>
    <col min="13588" max="13588" width="7.140625" bestFit="1" customWidth="1"/>
    <col min="13589" max="13589" width="9.5703125" bestFit="1" customWidth="1"/>
    <col min="13590" max="13590" width="9" bestFit="1" customWidth="1"/>
    <col min="13591" max="13591" width="19" bestFit="1" customWidth="1"/>
    <col min="13592" max="13592" width="14.85546875" bestFit="1" customWidth="1"/>
    <col min="13593" max="13593" width="10.140625" bestFit="1" customWidth="1"/>
    <col min="13594" max="13594" width="12.42578125" bestFit="1" customWidth="1"/>
    <col min="13595" max="13595" width="7" bestFit="1" customWidth="1"/>
    <col min="13596" max="13597" width="2" bestFit="1" customWidth="1"/>
    <col min="13598" max="13598" width="21.140625" bestFit="1" customWidth="1"/>
    <col min="13599" max="13599" width="15" bestFit="1" customWidth="1"/>
    <col min="13600" max="13600" width="11.7109375" bestFit="1" customWidth="1"/>
    <col min="13601" max="13601" width="13.85546875" bestFit="1" customWidth="1"/>
    <col min="13602" max="13602" width="7" bestFit="1" customWidth="1"/>
    <col min="13813" max="13813" width="17" customWidth="1"/>
    <col min="13816" max="13816" width="5.5703125" customWidth="1"/>
    <col min="13819" max="13819" width="16.42578125" bestFit="1" customWidth="1"/>
    <col min="13820" max="13820" width="14.28515625" bestFit="1" customWidth="1"/>
    <col min="13822" max="13822" width="19.42578125" bestFit="1" customWidth="1"/>
    <col min="13826" max="13826" width="19.85546875" customWidth="1"/>
    <col min="13828" max="13828" width="13.7109375" bestFit="1" customWidth="1"/>
    <col min="13829" max="13829" width="3.5703125" bestFit="1" customWidth="1"/>
    <col min="13830" max="13830" width="7" bestFit="1" customWidth="1"/>
    <col min="13831" max="13831" width="9.28515625" bestFit="1" customWidth="1"/>
    <col min="13832" max="13832" width="16.42578125" bestFit="1" customWidth="1"/>
    <col min="13833" max="13833" width="18.85546875" bestFit="1" customWidth="1"/>
    <col min="13834" max="13834" width="8.28515625" bestFit="1" customWidth="1"/>
    <col min="13835" max="13835" width="22.85546875" bestFit="1" customWidth="1"/>
    <col min="13836" max="13836" width="7" bestFit="1" customWidth="1"/>
    <col min="13837" max="13837" width="3.5703125" bestFit="1" customWidth="1"/>
    <col min="13839" max="13839" width="14.140625" bestFit="1" customWidth="1"/>
    <col min="13840" max="13840" width="7" bestFit="1" customWidth="1"/>
    <col min="13841" max="13841" width="14.5703125" bestFit="1" customWidth="1"/>
    <col min="13842" max="13842" width="33" bestFit="1" customWidth="1"/>
    <col min="13843" max="13843" width="12" bestFit="1" customWidth="1"/>
    <col min="13844" max="13844" width="7.140625" bestFit="1" customWidth="1"/>
    <col min="13845" max="13845" width="9.5703125" bestFit="1" customWidth="1"/>
    <col min="13846" max="13846" width="9" bestFit="1" customWidth="1"/>
    <col min="13847" max="13847" width="19" bestFit="1" customWidth="1"/>
    <col min="13848" max="13848" width="14.85546875" bestFit="1" customWidth="1"/>
    <col min="13849" max="13849" width="10.140625" bestFit="1" customWidth="1"/>
    <col min="13850" max="13850" width="12.42578125" bestFit="1" customWidth="1"/>
    <col min="13851" max="13851" width="7" bestFit="1" customWidth="1"/>
    <col min="13852" max="13853" width="2" bestFit="1" customWidth="1"/>
    <col min="13854" max="13854" width="21.140625" bestFit="1" customWidth="1"/>
    <col min="13855" max="13855" width="15" bestFit="1" customWidth="1"/>
    <col min="13856" max="13856" width="11.7109375" bestFit="1" customWidth="1"/>
    <col min="13857" max="13857" width="13.85546875" bestFit="1" customWidth="1"/>
    <col min="13858" max="13858" width="7" bestFit="1" customWidth="1"/>
    <col min="14069" max="14069" width="17" customWidth="1"/>
    <col min="14072" max="14072" width="5.5703125" customWidth="1"/>
    <col min="14075" max="14075" width="16.42578125" bestFit="1" customWidth="1"/>
    <col min="14076" max="14076" width="14.28515625" bestFit="1" customWidth="1"/>
    <col min="14078" max="14078" width="19.42578125" bestFit="1" customWidth="1"/>
    <col min="14082" max="14082" width="19.85546875" customWidth="1"/>
    <col min="14084" max="14084" width="13.7109375" bestFit="1" customWidth="1"/>
    <col min="14085" max="14085" width="3.5703125" bestFit="1" customWidth="1"/>
    <col min="14086" max="14086" width="7" bestFit="1" customWidth="1"/>
    <col min="14087" max="14087" width="9.28515625" bestFit="1" customWidth="1"/>
    <col min="14088" max="14088" width="16.42578125" bestFit="1" customWidth="1"/>
    <col min="14089" max="14089" width="18.85546875" bestFit="1" customWidth="1"/>
    <col min="14090" max="14090" width="8.28515625" bestFit="1" customWidth="1"/>
    <col min="14091" max="14091" width="22.85546875" bestFit="1" customWidth="1"/>
    <col min="14092" max="14092" width="7" bestFit="1" customWidth="1"/>
    <col min="14093" max="14093" width="3.5703125" bestFit="1" customWidth="1"/>
    <col min="14095" max="14095" width="14.140625" bestFit="1" customWidth="1"/>
    <col min="14096" max="14096" width="7" bestFit="1" customWidth="1"/>
    <col min="14097" max="14097" width="14.5703125" bestFit="1" customWidth="1"/>
    <col min="14098" max="14098" width="33" bestFit="1" customWidth="1"/>
    <col min="14099" max="14099" width="12" bestFit="1" customWidth="1"/>
    <col min="14100" max="14100" width="7.140625" bestFit="1" customWidth="1"/>
    <col min="14101" max="14101" width="9.5703125" bestFit="1" customWidth="1"/>
    <col min="14102" max="14102" width="9" bestFit="1" customWidth="1"/>
    <col min="14103" max="14103" width="19" bestFit="1" customWidth="1"/>
    <col min="14104" max="14104" width="14.85546875" bestFit="1" customWidth="1"/>
    <col min="14105" max="14105" width="10.140625" bestFit="1" customWidth="1"/>
    <col min="14106" max="14106" width="12.42578125" bestFit="1" customWidth="1"/>
    <col min="14107" max="14107" width="7" bestFit="1" customWidth="1"/>
    <col min="14108" max="14109" width="2" bestFit="1" customWidth="1"/>
    <col min="14110" max="14110" width="21.140625" bestFit="1" customWidth="1"/>
    <col min="14111" max="14111" width="15" bestFit="1" customWidth="1"/>
    <col min="14112" max="14112" width="11.7109375" bestFit="1" customWidth="1"/>
    <col min="14113" max="14113" width="13.85546875" bestFit="1" customWidth="1"/>
    <col min="14114" max="14114" width="7" bestFit="1" customWidth="1"/>
    <col min="14325" max="14325" width="17" customWidth="1"/>
    <col min="14328" max="14328" width="5.5703125" customWidth="1"/>
    <col min="14331" max="14331" width="16.42578125" bestFit="1" customWidth="1"/>
    <col min="14332" max="14332" width="14.28515625" bestFit="1" customWidth="1"/>
    <col min="14334" max="14334" width="19.42578125" bestFit="1" customWidth="1"/>
    <col min="14338" max="14338" width="19.85546875" customWidth="1"/>
    <col min="14340" max="14340" width="13.7109375" bestFit="1" customWidth="1"/>
    <col min="14341" max="14341" width="3.5703125" bestFit="1" customWidth="1"/>
    <col min="14342" max="14342" width="7" bestFit="1" customWidth="1"/>
    <col min="14343" max="14343" width="9.28515625" bestFit="1" customWidth="1"/>
    <col min="14344" max="14344" width="16.42578125" bestFit="1" customWidth="1"/>
    <col min="14345" max="14345" width="18.85546875" bestFit="1" customWidth="1"/>
    <col min="14346" max="14346" width="8.28515625" bestFit="1" customWidth="1"/>
    <col min="14347" max="14347" width="22.85546875" bestFit="1" customWidth="1"/>
    <col min="14348" max="14348" width="7" bestFit="1" customWidth="1"/>
    <col min="14349" max="14349" width="3.5703125" bestFit="1" customWidth="1"/>
    <col min="14351" max="14351" width="14.140625" bestFit="1" customWidth="1"/>
    <col min="14352" max="14352" width="7" bestFit="1" customWidth="1"/>
    <col min="14353" max="14353" width="14.5703125" bestFit="1" customWidth="1"/>
    <col min="14354" max="14354" width="33" bestFit="1" customWidth="1"/>
    <col min="14355" max="14355" width="12" bestFit="1" customWidth="1"/>
    <col min="14356" max="14356" width="7.140625" bestFit="1" customWidth="1"/>
    <col min="14357" max="14357" width="9.5703125" bestFit="1" customWidth="1"/>
    <col min="14358" max="14358" width="9" bestFit="1" customWidth="1"/>
    <col min="14359" max="14359" width="19" bestFit="1" customWidth="1"/>
    <col min="14360" max="14360" width="14.85546875" bestFit="1" customWidth="1"/>
    <col min="14361" max="14361" width="10.140625" bestFit="1" customWidth="1"/>
    <col min="14362" max="14362" width="12.42578125" bestFit="1" customWidth="1"/>
    <col min="14363" max="14363" width="7" bestFit="1" customWidth="1"/>
    <col min="14364" max="14365" width="2" bestFit="1" customWidth="1"/>
    <col min="14366" max="14366" width="21.140625" bestFit="1" customWidth="1"/>
    <col min="14367" max="14367" width="15" bestFit="1" customWidth="1"/>
    <col min="14368" max="14368" width="11.7109375" bestFit="1" customWidth="1"/>
    <col min="14369" max="14369" width="13.85546875" bestFit="1" customWidth="1"/>
    <col min="14370" max="14370" width="7" bestFit="1" customWidth="1"/>
    <col min="14581" max="14581" width="17" customWidth="1"/>
    <col min="14584" max="14584" width="5.5703125" customWidth="1"/>
    <col min="14587" max="14587" width="16.42578125" bestFit="1" customWidth="1"/>
    <col min="14588" max="14588" width="14.28515625" bestFit="1" customWidth="1"/>
    <col min="14590" max="14590" width="19.42578125" bestFit="1" customWidth="1"/>
    <col min="14594" max="14594" width="19.85546875" customWidth="1"/>
    <col min="14596" max="14596" width="13.7109375" bestFit="1" customWidth="1"/>
    <col min="14597" max="14597" width="3.5703125" bestFit="1" customWidth="1"/>
    <col min="14598" max="14598" width="7" bestFit="1" customWidth="1"/>
    <col min="14599" max="14599" width="9.28515625" bestFit="1" customWidth="1"/>
    <col min="14600" max="14600" width="16.42578125" bestFit="1" customWidth="1"/>
    <col min="14601" max="14601" width="18.85546875" bestFit="1" customWidth="1"/>
    <col min="14602" max="14602" width="8.28515625" bestFit="1" customWidth="1"/>
    <col min="14603" max="14603" width="22.85546875" bestFit="1" customWidth="1"/>
    <col min="14604" max="14604" width="7" bestFit="1" customWidth="1"/>
    <col min="14605" max="14605" width="3.5703125" bestFit="1" customWidth="1"/>
    <col min="14607" max="14607" width="14.140625" bestFit="1" customWidth="1"/>
    <col min="14608" max="14608" width="7" bestFit="1" customWidth="1"/>
    <col min="14609" max="14609" width="14.5703125" bestFit="1" customWidth="1"/>
    <col min="14610" max="14610" width="33" bestFit="1" customWidth="1"/>
    <col min="14611" max="14611" width="12" bestFit="1" customWidth="1"/>
    <col min="14612" max="14612" width="7.140625" bestFit="1" customWidth="1"/>
    <col min="14613" max="14613" width="9.5703125" bestFit="1" customWidth="1"/>
    <col min="14614" max="14614" width="9" bestFit="1" customWidth="1"/>
    <col min="14615" max="14615" width="19" bestFit="1" customWidth="1"/>
    <col min="14616" max="14616" width="14.85546875" bestFit="1" customWidth="1"/>
    <col min="14617" max="14617" width="10.140625" bestFit="1" customWidth="1"/>
    <col min="14618" max="14618" width="12.42578125" bestFit="1" customWidth="1"/>
    <col min="14619" max="14619" width="7" bestFit="1" customWidth="1"/>
    <col min="14620" max="14621" width="2" bestFit="1" customWidth="1"/>
    <col min="14622" max="14622" width="21.140625" bestFit="1" customWidth="1"/>
    <col min="14623" max="14623" width="15" bestFit="1" customWidth="1"/>
    <col min="14624" max="14624" width="11.7109375" bestFit="1" customWidth="1"/>
    <col min="14625" max="14625" width="13.85546875" bestFit="1" customWidth="1"/>
    <col min="14626" max="14626" width="7" bestFit="1" customWidth="1"/>
    <col min="14837" max="14837" width="17" customWidth="1"/>
    <col min="14840" max="14840" width="5.5703125" customWidth="1"/>
    <col min="14843" max="14843" width="16.42578125" bestFit="1" customWidth="1"/>
    <col min="14844" max="14844" width="14.28515625" bestFit="1" customWidth="1"/>
    <col min="14846" max="14846" width="19.42578125" bestFit="1" customWidth="1"/>
    <col min="14850" max="14850" width="19.85546875" customWidth="1"/>
    <col min="14852" max="14852" width="13.7109375" bestFit="1" customWidth="1"/>
    <col min="14853" max="14853" width="3.5703125" bestFit="1" customWidth="1"/>
    <col min="14854" max="14854" width="7" bestFit="1" customWidth="1"/>
    <col min="14855" max="14855" width="9.28515625" bestFit="1" customWidth="1"/>
    <col min="14856" max="14856" width="16.42578125" bestFit="1" customWidth="1"/>
    <col min="14857" max="14857" width="18.85546875" bestFit="1" customWidth="1"/>
    <col min="14858" max="14858" width="8.28515625" bestFit="1" customWidth="1"/>
    <col min="14859" max="14859" width="22.85546875" bestFit="1" customWidth="1"/>
    <col min="14860" max="14860" width="7" bestFit="1" customWidth="1"/>
    <col min="14861" max="14861" width="3.5703125" bestFit="1" customWidth="1"/>
    <col min="14863" max="14863" width="14.140625" bestFit="1" customWidth="1"/>
    <col min="14864" max="14864" width="7" bestFit="1" customWidth="1"/>
    <col min="14865" max="14865" width="14.5703125" bestFit="1" customWidth="1"/>
    <col min="14866" max="14866" width="33" bestFit="1" customWidth="1"/>
    <col min="14867" max="14867" width="12" bestFit="1" customWidth="1"/>
    <col min="14868" max="14868" width="7.140625" bestFit="1" customWidth="1"/>
    <col min="14869" max="14869" width="9.5703125" bestFit="1" customWidth="1"/>
    <col min="14870" max="14870" width="9" bestFit="1" customWidth="1"/>
    <col min="14871" max="14871" width="19" bestFit="1" customWidth="1"/>
    <col min="14872" max="14872" width="14.85546875" bestFit="1" customWidth="1"/>
    <col min="14873" max="14873" width="10.140625" bestFit="1" customWidth="1"/>
    <col min="14874" max="14874" width="12.42578125" bestFit="1" customWidth="1"/>
    <col min="14875" max="14875" width="7" bestFit="1" customWidth="1"/>
    <col min="14876" max="14877" width="2" bestFit="1" customWidth="1"/>
    <col min="14878" max="14878" width="21.140625" bestFit="1" customWidth="1"/>
    <col min="14879" max="14879" width="15" bestFit="1" customWidth="1"/>
    <col min="14880" max="14880" width="11.7109375" bestFit="1" customWidth="1"/>
    <col min="14881" max="14881" width="13.85546875" bestFit="1" customWidth="1"/>
    <col min="14882" max="14882" width="7" bestFit="1" customWidth="1"/>
    <col min="15093" max="15093" width="17" customWidth="1"/>
    <col min="15096" max="15096" width="5.5703125" customWidth="1"/>
    <col min="15099" max="15099" width="16.42578125" bestFit="1" customWidth="1"/>
    <col min="15100" max="15100" width="14.28515625" bestFit="1" customWidth="1"/>
    <col min="15102" max="15102" width="19.42578125" bestFit="1" customWidth="1"/>
    <col min="15106" max="15106" width="19.85546875" customWidth="1"/>
    <col min="15108" max="15108" width="13.7109375" bestFit="1" customWidth="1"/>
    <col min="15109" max="15109" width="3.5703125" bestFit="1" customWidth="1"/>
    <col min="15110" max="15110" width="7" bestFit="1" customWidth="1"/>
    <col min="15111" max="15111" width="9.28515625" bestFit="1" customWidth="1"/>
    <col min="15112" max="15112" width="16.42578125" bestFit="1" customWidth="1"/>
    <col min="15113" max="15113" width="18.85546875" bestFit="1" customWidth="1"/>
    <col min="15114" max="15114" width="8.28515625" bestFit="1" customWidth="1"/>
    <col min="15115" max="15115" width="22.85546875" bestFit="1" customWidth="1"/>
    <col min="15116" max="15116" width="7" bestFit="1" customWidth="1"/>
    <col min="15117" max="15117" width="3.5703125" bestFit="1" customWidth="1"/>
    <col min="15119" max="15119" width="14.140625" bestFit="1" customWidth="1"/>
    <col min="15120" max="15120" width="7" bestFit="1" customWidth="1"/>
    <col min="15121" max="15121" width="14.5703125" bestFit="1" customWidth="1"/>
    <col min="15122" max="15122" width="33" bestFit="1" customWidth="1"/>
    <col min="15123" max="15123" width="12" bestFit="1" customWidth="1"/>
    <col min="15124" max="15124" width="7.140625" bestFit="1" customWidth="1"/>
    <col min="15125" max="15125" width="9.5703125" bestFit="1" customWidth="1"/>
    <col min="15126" max="15126" width="9" bestFit="1" customWidth="1"/>
    <col min="15127" max="15127" width="19" bestFit="1" customWidth="1"/>
    <col min="15128" max="15128" width="14.85546875" bestFit="1" customWidth="1"/>
    <col min="15129" max="15129" width="10.140625" bestFit="1" customWidth="1"/>
    <col min="15130" max="15130" width="12.42578125" bestFit="1" customWidth="1"/>
    <col min="15131" max="15131" width="7" bestFit="1" customWidth="1"/>
    <col min="15132" max="15133" width="2" bestFit="1" customWidth="1"/>
    <col min="15134" max="15134" width="21.140625" bestFit="1" customWidth="1"/>
    <col min="15135" max="15135" width="15" bestFit="1" customWidth="1"/>
    <col min="15136" max="15136" width="11.7109375" bestFit="1" customWidth="1"/>
    <col min="15137" max="15137" width="13.85546875" bestFit="1" customWidth="1"/>
    <col min="15138" max="15138" width="7" bestFit="1" customWidth="1"/>
    <col min="15349" max="15349" width="17" customWidth="1"/>
    <col min="15352" max="15352" width="5.5703125" customWidth="1"/>
    <col min="15355" max="15355" width="16.42578125" bestFit="1" customWidth="1"/>
    <col min="15356" max="15356" width="14.28515625" bestFit="1" customWidth="1"/>
    <col min="15358" max="15358" width="19.42578125" bestFit="1" customWidth="1"/>
    <col min="15362" max="15362" width="19.85546875" customWidth="1"/>
    <col min="15364" max="15364" width="13.7109375" bestFit="1" customWidth="1"/>
    <col min="15365" max="15365" width="3.5703125" bestFit="1" customWidth="1"/>
    <col min="15366" max="15366" width="7" bestFit="1" customWidth="1"/>
    <col min="15367" max="15367" width="9.28515625" bestFit="1" customWidth="1"/>
    <col min="15368" max="15368" width="16.42578125" bestFit="1" customWidth="1"/>
    <col min="15369" max="15369" width="18.85546875" bestFit="1" customWidth="1"/>
    <col min="15370" max="15370" width="8.28515625" bestFit="1" customWidth="1"/>
    <col min="15371" max="15371" width="22.85546875" bestFit="1" customWidth="1"/>
    <col min="15372" max="15372" width="7" bestFit="1" customWidth="1"/>
    <col min="15373" max="15373" width="3.5703125" bestFit="1" customWidth="1"/>
    <col min="15375" max="15375" width="14.140625" bestFit="1" customWidth="1"/>
    <col min="15376" max="15376" width="7" bestFit="1" customWidth="1"/>
    <col min="15377" max="15377" width="14.5703125" bestFit="1" customWidth="1"/>
    <col min="15378" max="15378" width="33" bestFit="1" customWidth="1"/>
    <col min="15379" max="15379" width="12" bestFit="1" customWidth="1"/>
    <col min="15380" max="15380" width="7.140625" bestFit="1" customWidth="1"/>
    <col min="15381" max="15381" width="9.5703125" bestFit="1" customWidth="1"/>
    <col min="15382" max="15382" width="9" bestFit="1" customWidth="1"/>
    <col min="15383" max="15383" width="19" bestFit="1" customWidth="1"/>
    <col min="15384" max="15384" width="14.85546875" bestFit="1" customWidth="1"/>
    <col min="15385" max="15385" width="10.140625" bestFit="1" customWidth="1"/>
    <col min="15386" max="15386" width="12.42578125" bestFit="1" customWidth="1"/>
    <col min="15387" max="15387" width="7" bestFit="1" customWidth="1"/>
    <col min="15388" max="15389" width="2" bestFit="1" customWidth="1"/>
    <col min="15390" max="15390" width="21.140625" bestFit="1" customWidth="1"/>
    <col min="15391" max="15391" width="15" bestFit="1" customWidth="1"/>
    <col min="15392" max="15392" width="11.7109375" bestFit="1" customWidth="1"/>
    <col min="15393" max="15393" width="13.85546875" bestFit="1" customWidth="1"/>
    <col min="15394" max="15394" width="7" bestFit="1" customWidth="1"/>
    <col min="15605" max="15605" width="17" customWidth="1"/>
    <col min="15608" max="15608" width="5.5703125" customWidth="1"/>
    <col min="15611" max="15611" width="16.42578125" bestFit="1" customWidth="1"/>
    <col min="15612" max="15612" width="14.28515625" bestFit="1" customWidth="1"/>
    <col min="15614" max="15614" width="19.42578125" bestFit="1" customWidth="1"/>
    <col min="15618" max="15618" width="19.85546875" customWidth="1"/>
    <col min="15620" max="15620" width="13.7109375" bestFit="1" customWidth="1"/>
    <col min="15621" max="15621" width="3.5703125" bestFit="1" customWidth="1"/>
    <col min="15622" max="15622" width="7" bestFit="1" customWidth="1"/>
    <col min="15623" max="15623" width="9.28515625" bestFit="1" customWidth="1"/>
    <col min="15624" max="15624" width="16.42578125" bestFit="1" customWidth="1"/>
    <col min="15625" max="15625" width="18.85546875" bestFit="1" customWidth="1"/>
    <col min="15626" max="15626" width="8.28515625" bestFit="1" customWidth="1"/>
    <col min="15627" max="15627" width="22.85546875" bestFit="1" customWidth="1"/>
    <col min="15628" max="15628" width="7" bestFit="1" customWidth="1"/>
    <col min="15629" max="15629" width="3.5703125" bestFit="1" customWidth="1"/>
    <col min="15631" max="15631" width="14.140625" bestFit="1" customWidth="1"/>
    <col min="15632" max="15632" width="7" bestFit="1" customWidth="1"/>
    <col min="15633" max="15633" width="14.5703125" bestFit="1" customWidth="1"/>
    <col min="15634" max="15634" width="33" bestFit="1" customWidth="1"/>
    <col min="15635" max="15635" width="12" bestFit="1" customWidth="1"/>
    <col min="15636" max="15636" width="7.140625" bestFit="1" customWidth="1"/>
    <col min="15637" max="15637" width="9.5703125" bestFit="1" customWidth="1"/>
    <col min="15638" max="15638" width="9" bestFit="1" customWidth="1"/>
    <col min="15639" max="15639" width="19" bestFit="1" customWidth="1"/>
    <col min="15640" max="15640" width="14.85546875" bestFit="1" customWidth="1"/>
    <col min="15641" max="15641" width="10.140625" bestFit="1" customWidth="1"/>
    <col min="15642" max="15642" width="12.42578125" bestFit="1" customWidth="1"/>
    <col min="15643" max="15643" width="7" bestFit="1" customWidth="1"/>
    <col min="15644" max="15645" width="2" bestFit="1" customWidth="1"/>
    <col min="15646" max="15646" width="21.140625" bestFit="1" customWidth="1"/>
    <col min="15647" max="15647" width="15" bestFit="1" customWidth="1"/>
    <col min="15648" max="15648" width="11.7109375" bestFit="1" customWidth="1"/>
    <col min="15649" max="15649" width="13.85546875" bestFit="1" customWidth="1"/>
    <col min="15650" max="15650" width="7" bestFit="1" customWidth="1"/>
    <col min="15861" max="15861" width="17" customWidth="1"/>
    <col min="15864" max="15864" width="5.5703125" customWidth="1"/>
    <col min="15867" max="15867" width="16.42578125" bestFit="1" customWidth="1"/>
    <col min="15868" max="15868" width="14.28515625" bestFit="1" customWidth="1"/>
    <col min="15870" max="15870" width="19.42578125" bestFit="1" customWidth="1"/>
    <col min="15874" max="15874" width="19.85546875" customWidth="1"/>
    <col min="15876" max="15876" width="13.7109375" bestFit="1" customWidth="1"/>
    <col min="15877" max="15877" width="3.5703125" bestFit="1" customWidth="1"/>
    <col min="15878" max="15878" width="7" bestFit="1" customWidth="1"/>
    <col min="15879" max="15879" width="9.28515625" bestFit="1" customWidth="1"/>
    <col min="15880" max="15880" width="16.42578125" bestFit="1" customWidth="1"/>
    <col min="15881" max="15881" width="18.85546875" bestFit="1" customWidth="1"/>
    <col min="15882" max="15882" width="8.28515625" bestFit="1" customWidth="1"/>
    <col min="15883" max="15883" width="22.85546875" bestFit="1" customWidth="1"/>
    <col min="15884" max="15884" width="7" bestFit="1" customWidth="1"/>
    <col min="15885" max="15885" width="3.5703125" bestFit="1" customWidth="1"/>
    <col min="15887" max="15887" width="14.140625" bestFit="1" customWidth="1"/>
    <col min="15888" max="15888" width="7" bestFit="1" customWidth="1"/>
    <col min="15889" max="15889" width="14.5703125" bestFit="1" customWidth="1"/>
    <col min="15890" max="15890" width="33" bestFit="1" customWidth="1"/>
    <col min="15891" max="15891" width="12" bestFit="1" customWidth="1"/>
    <col min="15892" max="15892" width="7.140625" bestFit="1" customWidth="1"/>
    <col min="15893" max="15893" width="9.5703125" bestFit="1" customWidth="1"/>
    <col min="15894" max="15894" width="9" bestFit="1" customWidth="1"/>
    <col min="15895" max="15895" width="19" bestFit="1" customWidth="1"/>
    <col min="15896" max="15896" width="14.85546875" bestFit="1" customWidth="1"/>
    <col min="15897" max="15897" width="10.140625" bestFit="1" customWidth="1"/>
    <col min="15898" max="15898" width="12.42578125" bestFit="1" customWidth="1"/>
    <col min="15899" max="15899" width="7" bestFit="1" customWidth="1"/>
    <col min="15900" max="15901" width="2" bestFit="1" customWidth="1"/>
    <col min="15902" max="15902" width="21.140625" bestFit="1" customWidth="1"/>
    <col min="15903" max="15903" width="15" bestFit="1" customWidth="1"/>
    <col min="15904" max="15904" width="11.7109375" bestFit="1" customWidth="1"/>
    <col min="15905" max="15905" width="13.85546875" bestFit="1" customWidth="1"/>
    <col min="15906" max="15906" width="7" bestFit="1" customWidth="1"/>
    <col min="16117" max="16117" width="17" customWidth="1"/>
    <col min="16120" max="16120" width="5.5703125" customWidth="1"/>
    <col min="16123" max="16123" width="16.42578125" bestFit="1" customWidth="1"/>
    <col min="16124" max="16124" width="14.28515625" bestFit="1" customWidth="1"/>
    <col min="16126" max="16126" width="19.42578125" bestFit="1" customWidth="1"/>
    <col min="16130" max="16130" width="19.85546875" customWidth="1"/>
    <col min="16132" max="16132" width="13.7109375" bestFit="1" customWidth="1"/>
    <col min="16133" max="16133" width="3.5703125" bestFit="1" customWidth="1"/>
    <col min="16134" max="16134" width="7" bestFit="1" customWidth="1"/>
    <col min="16135" max="16135" width="9.28515625" bestFit="1" customWidth="1"/>
    <col min="16136" max="16136" width="16.42578125" bestFit="1" customWidth="1"/>
    <col min="16137" max="16137" width="18.85546875" bestFit="1" customWidth="1"/>
    <col min="16138" max="16138" width="8.28515625" bestFit="1" customWidth="1"/>
    <col min="16139" max="16139" width="22.85546875" bestFit="1" customWidth="1"/>
    <col min="16140" max="16140" width="7" bestFit="1" customWidth="1"/>
    <col min="16141" max="16141" width="3.5703125" bestFit="1" customWidth="1"/>
    <col min="16143" max="16143" width="14.140625" bestFit="1" customWidth="1"/>
    <col min="16144" max="16144" width="7" bestFit="1" customWidth="1"/>
    <col min="16145" max="16145" width="14.5703125" bestFit="1" customWidth="1"/>
    <col min="16146" max="16146" width="33" bestFit="1" customWidth="1"/>
    <col min="16147" max="16147" width="12" bestFit="1" customWidth="1"/>
    <col min="16148" max="16148" width="7.140625" bestFit="1" customWidth="1"/>
    <col min="16149" max="16149" width="9.5703125" bestFit="1" customWidth="1"/>
    <col min="16150" max="16150" width="9" bestFit="1" customWidth="1"/>
    <col min="16151" max="16151" width="19" bestFit="1" customWidth="1"/>
    <col min="16152" max="16152" width="14.85546875" bestFit="1" customWidth="1"/>
    <col min="16153" max="16153" width="10.140625" bestFit="1" customWidth="1"/>
    <col min="16154" max="16154" width="12.42578125" bestFit="1" customWidth="1"/>
    <col min="16155" max="16155" width="7" bestFit="1" customWidth="1"/>
    <col min="16156" max="16157" width="2" bestFit="1" customWidth="1"/>
    <col min="16158" max="16158" width="21.140625" bestFit="1" customWidth="1"/>
    <col min="16159" max="16159" width="15" bestFit="1" customWidth="1"/>
    <col min="16160" max="16160" width="11.7109375" bestFit="1" customWidth="1"/>
    <col min="16161" max="16161" width="13.85546875" bestFit="1" customWidth="1"/>
    <col min="16162" max="16162" width="7" bestFit="1" customWidth="1"/>
    <col min="16373" max="16373" width="17" customWidth="1"/>
    <col min="16376" max="16376" width="5.5703125" customWidth="1"/>
    <col min="16379" max="16379" width="16.42578125" bestFit="1" customWidth="1"/>
    <col min="16380" max="16380" width="14.28515625" bestFit="1" customWidth="1"/>
    <col min="16382" max="16382" width="19.42578125" bestFit="1" customWidth="1"/>
  </cols>
  <sheetData>
    <row r="1" spans="1:34" x14ac:dyDescent="0.25">
      <c r="B1" s="1626" t="s">
        <v>3057</v>
      </c>
      <c r="C1" s="1626"/>
      <c r="D1" s="1626"/>
      <c r="E1" s="1626"/>
      <c r="F1" s="1626"/>
      <c r="G1" s="1626"/>
      <c r="H1" s="1626"/>
      <c r="I1" s="1626"/>
      <c r="J1" s="1626"/>
      <c r="K1" s="1626"/>
      <c r="L1" s="1626"/>
      <c r="M1" s="1626"/>
      <c r="U1" s="126"/>
      <c r="V1" s="126"/>
      <c r="X1" s="126"/>
      <c r="Y1" s="126"/>
      <c r="Z1" s="126"/>
      <c r="AD1" s="1627" t="s">
        <v>3058</v>
      </c>
      <c r="AE1" s="1627"/>
      <c r="AF1" s="1627"/>
      <c r="AG1" s="1627"/>
    </row>
    <row r="2" spans="1:34" x14ac:dyDescent="0.25">
      <c r="B2" s="469"/>
      <c r="C2" s="469"/>
      <c r="D2" s="469"/>
      <c r="E2" s="469"/>
      <c r="F2" s="469"/>
      <c r="G2" s="469"/>
      <c r="H2" s="469"/>
      <c r="I2" s="469"/>
      <c r="J2" s="469"/>
      <c r="U2" s="468"/>
      <c r="V2" s="468"/>
      <c r="Y2" s="126"/>
      <c r="AD2" s="470" t="s">
        <v>3059</v>
      </c>
      <c r="AE2" s="471" t="s">
        <v>3060</v>
      </c>
      <c r="AF2" s="471" t="s">
        <v>3061</v>
      </c>
      <c r="AG2" s="471" t="s">
        <v>3062</v>
      </c>
    </row>
    <row r="3" spans="1:34" x14ac:dyDescent="0.25">
      <c r="B3" s="127" t="s">
        <v>3063</v>
      </c>
      <c r="C3" s="127"/>
      <c r="D3" s="469"/>
      <c r="E3" s="469"/>
      <c r="F3" s="469"/>
      <c r="G3" s="469"/>
      <c r="H3" s="469"/>
      <c r="I3" s="469"/>
      <c r="J3" s="469"/>
      <c r="U3" s="468"/>
      <c r="V3" s="468">
        <v>1</v>
      </c>
      <c r="W3" s="472" t="s">
        <v>3064</v>
      </c>
      <c r="X3" s="473" t="s">
        <v>3065</v>
      </c>
      <c r="Y3" s="473">
        <v>4</v>
      </c>
      <c r="Z3" s="473">
        <v>20</v>
      </c>
      <c r="AA3" s="473" t="str">
        <f>CONCATENATE(AB3,"x10E",AC3)</f>
        <v>1x10E5</v>
      </c>
      <c r="AB3" s="474">
        <v>1</v>
      </c>
      <c r="AC3" s="474">
        <v>5</v>
      </c>
      <c r="AD3" s="255">
        <f>60/AE3</f>
        <v>35.93</v>
      </c>
      <c r="AE3" s="475">
        <f>AG3/AF3</f>
        <v>1.67</v>
      </c>
      <c r="AF3" s="475">
        <v>12</v>
      </c>
      <c r="AG3" s="475">
        <f>Z3</f>
        <v>20</v>
      </c>
      <c r="AH3" s="474"/>
    </row>
    <row r="4" spans="1:34" x14ac:dyDescent="0.25">
      <c r="B4" s="127"/>
      <c r="C4" s="127" t="s">
        <v>3066</v>
      </c>
      <c r="D4" s="469"/>
      <c r="E4" s="469"/>
      <c r="F4" s="469"/>
      <c r="G4" s="469"/>
      <c r="H4" s="469"/>
      <c r="I4" s="469"/>
      <c r="J4" s="469"/>
      <c r="U4" s="468"/>
      <c r="V4" s="468">
        <v>2</v>
      </c>
      <c r="W4" s="472" t="s">
        <v>3067</v>
      </c>
      <c r="X4" s="473" t="s">
        <v>3068</v>
      </c>
      <c r="Y4" s="473">
        <f>Z3+1</f>
        <v>21</v>
      </c>
      <c r="Z4" s="473">
        <v>100</v>
      </c>
      <c r="AA4" s="473" t="str">
        <f>CONCATENATE(AB4,"x10E",AC4)</f>
        <v>5x10E5</v>
      </c>
      <c r="AB4" s="474">
        <v>5</v>
      </c>
      <c r="AC4" s="474">
        <v>5</v>
      </c>
      <c r="AD4" s="255">
        <f>60/AE4</f>
        <v>7.2</v>
      </c>
      <c r="AE4" s="475">
        <f>AG4/AF4</f>
        <v>8.33</v>
      </c>
      <c r="AF4" s="475">
        <f>AF3</f>
        <v>12</v>
      </c>
      <c r="AG4" s="475">
        <f>Z4</f>
        <v>100</v>
      </c>
      <c r="AH4" s="474"/>
    </row>
    <row r="5" spans="1:34" x14ac:dyDescent="0.25">
      <c r="B5" s="127"/>
      <c r="C5" s="127" t="s">
        <v>3069</v>
      </c>
      <c r="D5" s="469"/>
      <c r="E5" s="469"/>
      <c r="F5" s="469"/>
      <c r="G5" s="469"/>
      <c r="H5" s="469"/>
      <c r="I5" s="469"/>
      <c r="J5" s="469"/>
      <c r="U5" s="468"/>
      <c r="V5" s="468">
        <v>3</v>
      </c>
      <c r="W5" s="472" t="s">
        <v>3070</v>
      </c>
      <c r="X5" s="473" t="s">
        <v>3071</v>
      </c>
      <c r="Y5" s="473">
        <f>Z4+1</f>
        <v>101</v>
      </c>
      <c r="Z5" s="473">
        <v>300</v>
      </c>
      <c r="AA5" s="473" t="str">
        <f>CONCATENATE(AB5,"x10E",AC5)</f>
        <v>2x10E6</v>
      </c>
      <c r="AB5" s="474">
        <v>2</v>
      </c>
      <c r="AC5" s="474">
        <v>6</v>
      </c>
      <c r="AD5" s="255">
        <f>60/AE5</f>
        <v>2.4</v>
      </c>
      <c r="AE5" s="475">
        <f>AG5/AF5</f>
        <v>25</v>
      </c>
      <c r="AF5" s="475">
        <f>AF4</f>
        <v>12</v>
      </c>
      <c r="AG5" s="475">
        <f>Z5</f>
        <v>300</v>
      </c>
      <c r="AH5" s="476">
        <f>AD5*60-TRUNC(AD5,0)*60</f>
        <v>24</v>
      </c>
    </row>
    <row r="6" spans="1:34" x14ac:dyDescent="0.25">
      <c r="B6" s="127" t="s">
        <v>3072</v>
      </c>
      <c r="C6" s="127"/>
      <c r="D6" s="469"/>
      <c r="E6" s="469"/>
      <c r="F6" s="469"/>
      <c r="G6" s="469"/>
      <c r="H6" s="469"/>
      <c r="I6" s="469"/>
      <c r="J6" s="469"/>
      <c r="U6" s="468"/>
      <c r="V6" s="468">
        <v>4</v>
      </c>
      <c r="W6" s="472" t="s">
        <v>3073</v>
      </c>
      <c r="X6" s="473" t="s">
        <v>3074</v>
      </c>
      <c r="Y6" s="473">
        <f>Z5+1</f>
        <v>301</v>
      </c>
      <c r="Z6" s="473">
        <v>1000</v>
      </c>
      <c r="AA6" s="473" t="str">
        <f>CONCATENATE(AB6,"x10E",AC6)</f>
        <v>2x10E7</v>
      </c>
      <c r="AB6" s="474">
        <v>2</v>
      </c>
      <c r="AC6" s="474">
        <v>7</v>
      </c>
      <c r="AD6" s="255">
        <f>60/AE6</f>
        <v>0.72</v>
      </c>
      <c r="AE6" s="475">
        <f>AG6/AF6</f>
        <v>83.33</v>
      </c>
      <c r="AF6" s="475">
        <f>AF5</f>
        <v>12</v>
      </c>
      <c r="AG6" s="475">
        <f>Z6</f>
        <v>1000</v>
      </c>
      <c r="AH6" s="476">
        <f>AD6*60-TRUNC(AD6,0)*60</f>
        <v>43.2</v>
      </c>
    </row>
    <row r="7" spans="1:34" x14ac:dyDescent="0.25">
      <c r="B7" s="127" t="s">
        <v>3075</v>
      </c>
      <c r="C7" s="469"/>
      <c r="D7" s="469"/>
      <c r="E7" s="469"/>
      <c r="F7" s="469"/>
      <c r="G7" s="469"/>
      <c r="H7" s="469"/>
      <c r="I7" s="469"/>
      <c r="J7" s="469"/>
      <c r="U7" s="468"/>
      <c r="V7" s="468">
        <v>5</v>
      </c>
      <c r="W7" s="472" t="s">
        <v>3076</v>
      </c>
      <c r="X7" s="473" t="s">
        <v>3077</v>
      </c>
      <c r="Y7" s="473">
        <f>Z6+1</f>
        <v>1001</v>
      </c>
      <c r="Z7" s="473">
        <v>2000</v>
      </c>
      <c r="AA7" s="473" t="str">
        <f>CONCATENATE(AB7,"x10E",AC7)</f>
        <v>5x10E7</v>
      </c>
      <c r="AB7" s="474">
        <v>5</v>
      </c>
      <c r="AC7" s="474">
        <v>7</v>
      </c>
      <c r="AD7" s="255">
        <f>60/AE7</f>
        <v>0.36</v>
      </c>
      <c r="AE7" s="475">
        <f>AG7/AF7</f>
        <v>166.67</v>
      </c>
      <c r="AF7" s="475">
        <f>AF6</f>
        <v>12</v>
      </c>
      <c r="AG7" s="475">
        <f>Z7</f>
        <v>2000</v>
      </c>
      <c r="AH7" s="476">
        <f>AD7*60-TRUNC(AD7,0)*60</f>
        <v>21.6</v>
      </c>
    </row>
    <row r="8" spans="1:34" x14ac:dyDescent="0.25">
      <c r="B8" s="469"/>
      <c r="C8" s="469"/>
      <c r="D8" s="469"/>
      <c r="E8" s="469"/>
      <c r="F8" s="469"/>
      <c r="G8" s="469"/>
      <c r="H8" s="469"/>
      <c r="I8" s="469"/>
      <c r="J8" s="469"/>
      <c r="U8" s="468"/>
      <c r="V8" s="468"/>
      <c r="W8" s="474"/>
      <c r="X8" s="474"/>
      <c r="Y8" s="473"/>
      <c r="Z8" s="473"/>
      <c r="AA8" s="474"/>
      <c r="AB8" s="474"/>
      <c r="AC8" s="474"/>
      <c r="AD8" s="474"/>
      <c r="AE8" s="474"/>
      <c r="AF8" s="474" t="s">
        <v>3078</v>
      </c>
      <c r="AG8" s="474"/>
      <c r="AH8" s="474"/>
    </row>
    <row r="9" spans="1:34" x14ac:dyDescent="0.25">
      <c r="B9" s="477" t="str">
        <f>oR!G6</f>
        <v>IMPLANTAÇÃO E PAVIMENTAÇÃO DA ESTRADA DE LINHA TAQUARAL - SEGMENTO 01</v>
      </c>
      <c r="C9" s="478"/>
      <c r="D9" s="478"/>
      <c r="E9" s="478"/>
      <c r="F9" s="478"/>
      <c r="G9" s="478"/>
      <c r="H9" s="478"/>
      <c r="I9" s="478"/>
      <c r="J9" s="478"/>
      <c r="K9" s="479"/>
      <c r="L9" s="479"/>
      <c r="M9" s="479"/>
      <c r="Q9" s="126" t="s">
        <v>3079</v>
      </c>
      <c r="R9" s="126" t="s">
        <v>51</v>
      </c>
      <c r="T9" s="126" t="s">
        <v>3080</v>
      </c>
      <c r="U9" s="468"/>
      <c r="V9" s="468"/>
      <c r="AD9" s="255">
        <f>60/AE9</f>
        <v>60</v>
      </c>
      <c r="AE9" s="475">
        <f>AG9/AF9</f>
        <v>1</v>
      </c>
      <c r="AF9" s="480">
        <f>AF3</f>
        <v>12</v>
      </c>
      <c r="AG9" s="475">
        <f>AVERAGE(Y3:Z3)</f>
        <v>12</v>
      </c>
    </row>
    <row r="10" spans="1:34" x14ac:dyDescent="0.25">
      <c r="A10" s="126">
        <v>2</v>
      </c>
      <c r="B10" t="s">
        <v>3081</v>
      </c>
      <c r="D10" s="469">
        <f>VLOOKUP($A$10,$V$3:$AG$7,4,0)</f>
        <v>21</v>
      </c>
      <c r="E10" s="126" t="s">
        <v>3082</v>
      </c>
      <c r="F10" s="469">
        <f>VLOOKUP($A$10,$V$3:$AG$7,5,0)</f>
        <v>100</v>
      </c>
      <c r="H10" s="481" t="s">
        <v>3083</v>
      </c>
      <c r="I10" s="469" t="str">
        <f>VLOOKUP($A$10,$V$3:$AG$7,2,0)</f>
        <v>Coletora secundária</v>
      </c>
      <c r="J10" t="s">
        <v>3084</v>
      </c>
      <c r="K10" s="482" t="str">
        <f>VLOOKUP($A$10,$V$3:$AG$7,3,0)</f>
        <v>MÉDIO</v>
      </c>
      <c r="Q10" s="1144"/>
      <c r="R10" s="1144"/>
      <c r="S10" s="1144"/>
      <c r="T10" s="483"/>
      <c r="U10" s="468"/>
      <c r="V10" s="483"/>
      <c r="AD10" s="255">
        <f>60/AE10</f>
        <v>11.9</v>
      </c>
      <c r="AE10" s="475">
        <f>AG10/AF10</f>
        <v>5.04</v>
      </c>
      <c r="AF10" s="480">
        <f>AF4</f>
        <v>12</v>
      </c>
      <c r="AG10" s="475">
        <f>AVERAGE(Y4:Z4)</f>
        <v>60.5</v>
      </c>
    </row>
    <row r="11" spans="1:34" x14ac:dyDescent="0.25">
      <c r="B11" s="469"/>
      <c r="C11" s="469"/>
      <c r="D11" s="469"/>
      <c r="E11" s="469"/>
      <c r="F11" s="469"/>
      <c r="G11" s="469"/>
      <c r="Q11" s="1144"/>
      <c r="R11" s="1144"/>
      <c r="S11" s="1144"/>
      <c r="T11" s="483"/>
      <c r="U11" s="468"/>
      <c r="V11" s="483"/>
      <c r="AD11" s="255">
        <f>60/AE11</f>
        <v>3.59</v>
      </c>
      <c r="AE11" s="475">
        <f>AG11/AF11</f>
        <v>16.71</v>
      </c>
      <c r="AF11" s="480">
        <f>AF5</f>
        <v>12</v>
      </c>
      <c r="AG11" s="475">
        <f>AVERAGE(Y5:Z5)</f>
        <v>200.5</v>
      </c>
    </row>
    <row r="12" spans="1:34" x14ac:dyDescent="0.25">
      <c r="B12" t="s">
        <v>3085</v>
      </c>
      <c r="C12" s="484" t="str">
        <f>CONCATENATE(N12,"x10E",O12)</f>
        <v>5x10E5</v>
      </c>
      <c r="H12" s="468">
        <f>N12*10^O12</f>
        <v>500000</v>
      </c>
      <c r="N12" s="469">
        <f>VLOOKUP($A$10,$V$3:$AC$7,7)</f>
        <v>5</v>
      </c>
      <c r="O12" s="1433">
        <f>VLOOKUP($A$10,$V$3:$AC$7,8)</f>
        <v>5</v>
      </c>
      <c r="P12" s="1433"/>
      <c r="Q12" s="1144"/>
      <c r="R12" s="1144"/>
      <c r="S12" s="1144"/>
      <c r="T12" s="483"/>
      <c r="U12" s="468"/>
      <c r="V12" s="483"/>
      <c r="AD12" s="255">
        <f>60/AE12</f>
        <v>1.1100000000000001</v>
      </c>
      <c r="AE12" s="475">
        <f>AG12/AF12</f>
        <v>54.21</v>
      </c>
      <c r="AF12" s="480">
        <f>AF6</f>
        <v>12</v>
      </c>
      <c r="AG12" s="475">
        <f>AVERAGE(Y6:Z6)</f>
        <v>650.5</v>
      </c>
    </row>
    <row r="13" spans="1:34" x14ac:dyDescent="0.25">
      <c r="Q13" s="1144"/>
      <c r="R13" s="1144"/>
      <c r="S13" s="1144"/>
      <c r="T13" s="483"/>
      <c r="U13" s="468"/>
      <c r="V13" s="483"/>
      <c r="AD13" s="255">
        <f>60/AE13</f>
        <v>0.48</v>
      </c>
      <c r="AE13" s="475">
        <f>AG13/AF13</f>
        <v>125.04</v>
      </c>
      <c r="AF13" s="480">
        <f>AF7</f>
        <v>12</v>
      </c>
      <c r="AG13" s="475">
        <f>AVERAGE(Y7:Z7)</f>
        <v>1500.5</v>
      </c>
    </row>
    <row r="14" spans="1:34" x14ac:dyDescent="0.25">
      <c r="B14" t="s">
        <v>3086</v>
      </c>
      <c r="C14" s="485">
        <f>J14-(1.29*F14/(H14^0.5))-0.68*F14</f>
        <v>9.0399999999999991</v>
      </c>
      <c r="D14" t="s">
        <v>3087</v>
      </c>
      <c r="F14" s="485">
        <f>T18</f>
        <v>1.1100000000000001</v>
      </c>
      <c r="G14" t="s">
        <v>3088</v>
      </c>
      <c r="H14" s="486">
        <f>T17</f>
        <v>6</v>
      </c>
      <c r="I14" t="s">
        <v>3089</v>
      </c>
      <c r="J14" s="485">
        <f>T16</f>
        <v>10.38</v>
      </c>
      <c r="Q14" s="1144"/>
      <c r="R14" s="1144"/>
      <c r="S14" s="1144"/>
      <c r="T14" s="483"/>
      <c r="U14" s="468"/>
      <c r="V14" s="483"/>
    </row>
    <row r="15" spans="1:34" x14ac:dyDescent="0.25">
      <c r="Q15" s="566"/>
      <c r="R15" s="566"/>
      <c r="S15" s="566"/>
      <c r="T15" s="483"/>
      <c r="U15" s="468"/>
      <c r="V15" s="483"/>
    </row>
    <row r="16" spans="1:34" x14ac:dyDescent="0.25">
      <c r="C16" s="468"/>
      <c r="Q16" s="487" t="s">
        <v>2769</v>
      </c>
      <c r="R16" s="566"/>
      <c r="S16" s="566"/>
      <c r="T16" s="483">
        <v>10.38</v>
      </c>
      <c r="U16" s="468"/>
      <c r="V16" s="483"/>
    </row>
    <row r="17" spans="2:33" x14ac:dyDescent="0.25">
      <c r="C17" s="468"/>
      <c r="Q17" s="487" t="s">
        <v>3090</v>
      </c>
      <c r="R17" s="566"/>
      <c r="S17" s="566"/>
      <c r="T17" s="483">
        <v>6</v>
      </c>
      <c r="U17" s="468"/>
      <c r="V17" s="483"/>
    </row>
    <row r="18" spans="2:33" x14ac:dyDescent="0.25">
      <c r="C18" s="468"/>
      <c r="Q18" s="487" t="s">
        <v>3087</v>
      </c>
      <c r="R18" s="566"/>
      <c r="S18" s="566"/>
      <c r="T18" s="483">
        <v>1.1100000000000001</v>
      </c>
      <c r="U18" s="468"/>
      <c r="V18" s="483"/>
    </row>
    <row r="19" spans="2:33" ht="18" x14ac:dyDescent="0.35">
      <c r="B19" t="s">
        <v>3091</v>
      </c>
      <c r="C19" s="468">
        <f>77.67*(H12^0.0482)*(C14^(-0.598))</f>
        <v>39.19</v>
      </c>
      <c r="D19" t="s">
        <v>3092</v>
      </c>
      <c r="H19" t="s">
        <v>3093</v>
      </c>
      <c r="I19" s="488">
        <f>ROUNDUP(C19,0)</f>
        <v>40</v>
      </c>
      <c r="J19" t="s">
        <v>3092</v>
      </c>
      <c r="T19" s="483"/>
      <c r="U19" s="468"/>
      <c r="V19" s="483"/>
    </row>
    <row r="20" spans="2:33" x14ac:dyDescent="0.25">
      <c r="T20" s="483"/>
      <c r="U20" s="468"/>
      <c r="V20" s="468"/>
    </row>
    <row r="21" spans="2:33" ht="18" x14ac:dyDescent="0.35">
      <c r="B21" t="s">
        <v>3094</v>
      </c>
      <c r="C21" s="468">
        <v>20</v>
      </c>
      <c r="T21" s="483"/>
      <c r="U21" s="468"/>
      <c r="V21" s="468"/>
    </row>
    <row r="22" spans="2:33" ht="18" x14ac:dyDescent="0.35">
      <c r="B22" t="s">
        <v>3095</v>
      </c>
      <c r="C22" s="468">
        <f>77.67*(H12^0.0482)*(C21^(-0.598))</f>
        <v>24.37</v>
      </c>
      <c r="D22" t="s">
        <v>3092</v>
      </c>
      <c r="H22" t="s">
        <v>3093</v>
      </c>
      <c r="I22" s="488">
        <f>ROUNDUP(C22,0)</f>
        <v>25</v>
      </c>
      <c r="J22" t="s">
        <v>3092</v>
      </c>
      <c r="U22" s="483"/>
      <c r="V22" s="468"/>
    </row>
    <row r="23" spans="2:33" x14ac:dyDescent="0.25">
      <c r="U23" s="483"/>
      <c r="V23" s="483"/>
    </row>
    <row r="24" spans="2:33" ht="18" x14ac:dyDescent="0.35">
      <c r="B24" t="s">
        <v>3096</v>
      </c>
      <c r="U24" s="483"/>
      <c r="V24" s="483"/>
    </row>
    <row r="25" spans="2:33" ht="18" x14ac:dyDescent="0.35">
      <c r="B25" t="s">
        <v>3097</v>
      </c>
      <c r="V25" s="483"/>
    </row>
    <row r="26" spans="2:33" x14ac:dyDescent="0.25">
      <c r="W26" s="468">
        <f>Z26*10^AA26</f>
        <v>0</v>
      </c>
      <c r="X26" s="468">
        <f>AB26*10^AC26</f>
        <v>1000000</v>
      </c>
      <c r="AB26">
        <v>1</v>
      </c>
      <c r="AC26">
        <v>6</v>
      </c>
      <c r="AD26">
        <v>5</v>
      </c>
      <c r="AE26" s="484"/>
      <c r="AF26" s="484" t="str">
        <f>CONCATENATE(AB26,"x10E",AC26)</f>
        <v>1x10E6</v>
      </c>
      <c r="AG26">
        <f>IF(AND($H$12&gt;W26,$H$12&lt;X26),AD26,0)</f>
        <v>5</v>
      </c>
    </row>
    <row r="27" spans="2:33" ht="18" x14ac:dyDescent="0.35">
      <c r="B27" t="s">
        <v>3098</v>
      </c>
      <c r="C27" s="468">
        <v>2</v>
      </c>
      <c r="E27" t="s">
        <v>2567</v>
      </c>
      <c r="F27" s="468">
        <v>5</v>
      </c>
      <c r="G27" t="s">
        <v>3092</v>
      </c>
      <c r="O27" s="255">
        <f>F27</f>
        <v>5</v>
      </c>
      <c r="P27" s="468">
        <f>E37</f>
        <v>5</v>
      </c>
      <c r="W27" s="468">
        <f>Z27*10^AA27</f>
        <v>1000000</v>
      </c>
      <c r="X27" s="468">
        <f>AB27*10^AC27</f>
        <v>5000000</v>
      </c>
      <c r="Z27">
        <f>AB26</f>
        <v>1</v>
      </c>
      <c r="AA27">
        <f>AC26</f>
        <v>6</v>
      </c>
      <c r="AB27">
        <v>5</v>
      </c>
      <c r="AC27">
        <v>6</v>
      </c>
      <c r="AD27">
        <v>5</v>
      </c>
      <c r="AE27" s="484" t="str">
        <f>CONCATENATE(Z27,"x10E",AA27)</f>
        <v>1x10E6</v>
      </c>
      <c r="AF27" s="484" t="str">
        <f>CONCATENATE(AB27,"x10E",AC27)</f>
        <v>5x10E6</v>
      </c>
      <c r="AG27" s="489">
        <f>IF(AND($H$12&gt;W27,$H$12&lt;=X27),AD27,0)</f>
        <v>0</v>
      </c>
    </row>
    <row r="28" spans="2:33" ht="18" x14ac:dyDescent="0.35">
      <c r="B28" t="s">
        <v>3099</v>
      </c>
      <c r="C28" s="468">
        <v>1</v>
      </c>
      <c r="E28" t="s">
        <v>3100</v>
      </c>
      <c r="F28" s="468">
        <f>(I22-C27*F27)/C28</f>
        <v>15</v>
      </c>
      <c r="G28" t="s">
        <v>3092</v>
      </c>
      <c r="H28" t="s">
        <v>3093</v>
      </c>
      <c r="I28" s="480">
        <f>ROUNDUP(F28,0)</f>
        <v>15</v>
      </c>
      <c r="J28" t="s">
        <v>3092</v>
      </c>
      <c r="K28" t="str">
        <f>IF(I28&lt;N28,"Espessura construtiva =&gt;","")</f>
        <v/>
      </c>
      <c r="L28" s="468" t="str">
        <f>IF(I28&lt;N28,N28,"")</f>
        <v/>
      </c>
      <c r="M28" t="str">
        <f>IF(I28&lt;N28,"cm","")</f>
        <v/>
      </c>
      <c r="N28" s="480">
        <v>13</v>
      </c>
      <c r="O28" s="255">
        <f>F28</f>
        <v>15</v>
      </c>
      <c r="P28" s="468">
        <f>E38</f>
        <v>15</v>
      </c>
      <c r="W28" s="468">
        <f>Z28*10^AA28</f>
        <v>5000000</v>
      </c>
      <c r="X28" s="468">
        <f>AB28*10^AC28</f>
        <v>10000000</v>
      </c>
      <c r="Z28">
        <f t="shared" ref="Z28:AA30" si="0">AB27</f>
        <v>5</v>
      </c>
      <c r="AA28">
        <f t="shared" si="0"/>
        <v>6</v>
      </c>
      <c r="AB28">
        <v>1</v>
      </c>
      <c r="AC28">
        <v>7</v>
      </c>
      <c r="AD28">
        <v>7.5</v>
      </c>
      <c r="AE28" s="484" t="str">
        <f>CONCATENATE(Z28,"x10E",AA28)</f>
        <v>5x10E6</v>
      </c>
      <c r="AF28" s="484" t="str">
        <f>CONCATENATE(AB28,"x10E",AC28)</f>
        <v>1x10E7</v>
      </c>
      <c r="AG28">
        <f>IF(AND($H$12&gt;W28,$H$12&lt;X28),AD28,0)</f>
        <v>0</v>
      </c>
    </row>
    <row r="29" spans="2:33" ht="18" x14ac:dyDescent="0.35">
      <c r="B29" t="s">
        <v>3101</v>
      </c>
      <c r="C29" s="468">
        <v>1</v>
      </c>
      <c r="E29" t="s">
        <v>3102</v>
      </c>
      <c r="F29" s="468">
        <f>(I19-C27*F27-C28*F28)/C29</f>
        <v>15</v>
      </c>
      <c r="G29" t="s">
        <v>3092</v>
      </c>
      <c r="H29" t="s">
        <v>3093</v>
      </c>
      <c r="I29" s="480">
        <f>ROUNDUP(F29,0)</f>
        <v>15</v>
      </c>
      <c r="J29" t="s">
        <v>3092</v>
      </c>
      <c r="K29" t="str">
        <f>IF(I29&lt;N29,"Espessura construtiva =&gt;","")</f>
        <v/>
      </c>
      <c r="L29" s="468" t="str">
        <f>IF(I29&lt;N29,N29,"")</f>
        <v/>
      </c>
      <c r="M29" t="str">
        <f>IF(I29&lt;N29,"cm","")</f>
        <v/>
      </c>
      <c r="N29" s="480">
        <v>15</v>
      </c>
      <c r="O29" s="255">
        <f>F29</f>
        <v>15</v>
      </c>
      <c r="P29" s="468">
        <f>E39</f>
        <v>15</v>
      </c>
      <c r="W29" s="468">
        <f>Z29*10^AA29</f>
        <v>10000000</v>
      </c>
      <c r="X29" s="468">
        <f>AB29*10^AC29</f>
        <v>50000000</v>
      </c>
      <c r="Z29">
        <f t="shared" si="0"/>
        <v>1</v>
      </c>
      <c r="AA29">
        <f t="shared" si="0"/>
        <v>7</v>
      </c>
      <c r="AB29">
        <v>5</v>
      </c>
      <c r="AC29">
        <v>7</v>
      </c>
      <c r="AD29">
        <v>10</v>
      </c>
      <c r="AE29" s="484" t="str">
        <f>CONCATENATE(Z29,"x10E",AA29)</f>
        <v>1x10E7</v>
      </c>
      <c r="AF29" s="484" t="str">
        <f>CONCATENATE(AB29,"x10E",AC29)</f>
        <v>5x10E7</v>
      </c>
      <c r="AG29">
        <f>IF(AND($H$12&gt;W29,$H$12&lt;X29),AD29,0)</f>
        <v>0</v>
      </c>
    </row>
    <row r="30" spans="2:33" x14ac:dyDescent="0.25">
      <c r="O30" s="255">
        <f>SUM(O27:O29)</f>
        <v>35</v>
      </c>
      <c r="P30" s="255">
        <f>SUM(P27:P29)</f>
        <v>35</v>
      </c>
      <c r="R30" s="126">
        <v>365</v>
      </c>
      <c r="W30" s="468">
        <f>Z30*10^AA30</f>
        <v>50000000</v>
      </c>
      <c r="X30" s="468">
        <f>AB30*10^AC30</f>
        <v>0</v>
      </c>
      <c r="Z30">
        <f t="shared" si="0"/>
        <v>5</v>
      </c>
      <c r="AA30">
        <f t="shared" si="0"/>
        <v>7</v>
      </c>
      <c r="AD30">
        <v>12.5</v>
      </c>
      <c r="AE30" s="484" t="str">
        <f>CONCATENATE(Z30,"x10E",AA30)</f>
        <v>5x10E7</v>
      </c>
      <c r="AF30" s="484"/>
      <c r="AG30">
        <f>IF(AND($H$12&gt;W30,$H$12&lt;X30),AD30,0)</f>
        <v>0</v>
      </c>
    </row>
    <row r="31" spans="2:33" x14ac:dyDescent="0.25">
      <c r="R31" s="126">
        <v>420</v>
      </c>
      <c r="AG31">
        <f>SUM(AG26:AG30)</f>
        <v>5</v>
      </c>
    </row>
    <row r="32" spans="2:33" x14ac:dyDescent="0.25">
      <c r="R32" s="126">
        <f>R31-R30</f>
        <v>55</v>
      </c>
    </row>
    <row r="34" spans="2:15" x14ac:dyDescent="0.25">
      <c r="B34" s="256" t="s">
        <v>3103</v>
      </c>
      <c r="O34" s="480"/>
    </row>
    <row r="35" spans="2:15" x14ac:dyDescent="0.25">
      <c r="O35" s="480"/>
    </row>
    <row r="36" spans="2:15" x14ac:dyDescent="0.25">
      <c r="B36" s="490" t="s">
        <v>3104</v>
      </c>
      <c r="C36" s="491" t="s">
        <v>3105</v>
      </c>
      <c r="D36" s="492"/>
      <c r="E36" s="492" t="s">
        <v>3106</v>
      </c>
      <c r="F36" s="492"/>
    </row>
    <row r="37" spans="2:15" x14ac:dyDescent="0.25">
      <c r="B37" s="466" t="s">
        <v>3107</v>
      </c>
      <c r="C37" s="493" t="s">
        <v>108</v>
      </c>
      <c r="D37" s="494"/>
      <c r="E37" s="495">
        <f>F27</f>
        <v>5</v>
      </c>
      <c r="F37" s="495"/>
      <c r="H37" s="496"/>
    </row>
    <row r="38" spans="2:15" x14ac:dyDescent="0.25">
      <c r="B38" s="490" t="s">
        <v>3108</v>
      </c>
      <c r="C38" s="491" t="s">
        <v>3109</v>
      </c>
      <c r="D38" s="492"/>
      <c r="E38" s="497">
        <f t="shared" ref="E38:E39" si="1">F28</f>
        <v>15</v>
      </c>
      <c r="F38" s="497"/>
    </row>
    <row r="39" spans="2:15" x14ac:dyDescent="0.25">
      <c r="B39" s="490" t="s">
        <v>3110</v>
      </c>
      <c r="C39" s="491" t="s">
        <v>3111</v>
      </c>
      <c r="D39" s="492"/>
      <c r="E39" s="497">
        <f t="shared" si="1"/>
        <v>15</v>
      </c>
      <c r="F39" s="497"/>
      <c r="G39" s="498"/>
    </row>
    <row r="40" spans="2:15" x14ac:dyDescent="0.25">
      <c r="B40" s="499" t="s">
        <v>3112</v>
      </c>
      <c r="C40" s="500" t="s">
        <v>3113</v>
      </c>
      <c r="D40" s="501"/>
      <c r="E40" s="502"/>
      <c r="F40" s="502"/>
    </row>
    <row r="42" spans="2:15" x14ac:dyDescent="0.25">
      <c r="B42" s="503" t="s">
        <v>3114</v>
      </c>
      <c r="C42" s="504"/>
      <c r="D42" s="504"/>
      <c r="E42" s="504"/>
      <c r="F42" s="504"/>
      <c r="G42" s="504"/>
      <c r="H42" s="504"/>
      <c r="I42" s="504"/>
      <c r="J42" s="504"/>
      <c r="K42" s="474"/>
      <c r="L42" s="474"/>
      <c r="M42" s="474"/>
    </row>
    <row r="44" spans="2:15" ht="17.25" x14ac:dyDescent="0.25">
      <c r="B44" t="s">
        <v>3115</v>
      </c>
      <c r="F44" s="505" t="s">
        <v>3116</v>
      </c>
      <c r="G44" s="255">
        <f>10^(3.01-0.176*LOG(H12))</f>
        <v>101.62</v>
      </c>
      <c r="H44" t="s">
        <v>3117</v>
      </c>
      <c r="I44" s="257" t="s">
        <v>3118</v>
      </c>
      <c r="J44" s="505" t="s">
        <v>3116</v>
      </c>
      <c r="K44" s="256">
        <f>_xlfn.FLOOR.PRECISE(G44,5)</f>
        <v>100</v>
      </c>
      <c r="L44" t="s">
        <v>3117</v>
      </c>
    </row>
    <row r="50" spans="2:10" x14ac:dyDescent="0.25">
      <c r="B50" s="490" t="s">
        <v>3104</v>
      </c>
      <c r="C50" s="490" t="str">
        <f>E36</f>
        <v>Espessura (cm)</v>
      </c>
      <c r="D50" s="490" t="s">
        <v>3119</v>
      </c>
    </row>
    <row r="51" spans="2:10" x14ac:dyDescent="0.25">
      <c r="B51" s="466" t="s">
        <v>3107</v>
      </c>
      <c r="C51" s="506">
        <f>E37</f>
        <v>5</v>
      </c>
      <c r="D51" s="466">
        <v>2</v>
      </c>
    </row>
    <row r="52" spans="2:10" x14ac:dyDescent="0.25">
      <c r="B52" s="490" t="s">
        <v>3108</v>
      </c>
      <c r="C52" s="507">
        <f>E38</f>
        <v>15</v>
      </c>
      <c r="D52" s="490">
        <v>1.1000000000000001</v>
      </c>
    </row>
    <row r="53" spans="2:10" x14ac:dyDescent="0.25">
      <c r="B53" s="490" t="s">
        <v>3110</v>
      </c>
      <c r="C53" s="507">
        <f>E39</f>
        <v>15</v>
      </c>
      <c r="D53" s="490">
        <v>1</v>
      </c>
    </row>
    <row r="54" spans="2:10" x14ac:dyDescent="0.25">
      <c r="B54" s="499" t="s">
        <v>3112</v>
      </c>
      <c r="C54" s="499"/>
      <c r="D54" s="499"/>
    </row>
    <row r="56" spans="2:10" ht="18" x14ac:dyDescent="0.35">
      <c r="B56" s="508" t="s">
        <v>3120</v>
      </c>
      <c r="D56" s="505" t="s">
        <v>3121</v>
      </c>
      <c r="F56" s="468">
        <f>C51*D51/D51</f>
        <v>5</v>
      </c>
      <c r="G56" t="s">
        <v>3092</v>
      </c>
      <c r="H56" t="s">
        <v>3122</v>
      </c>
    </row>
    <row r="57" spans="2:10" x14ac:dyDescent="0.25">
      <c r="B57" s="508"/>
      <c r="D57" s="505"/>
      <c r="F57" s="468"/>
    </row>
    <row r="58" spans="2:10" ht="18" x14ac:dyDescent="0.35">
      <c r="B58" s="508" t="s">
        <v>3123</v>
      </c>
      <c r="D58" s="505" t="s">
        <v>3124</v>
      </c>
      <c r="F58" s="468">
        <f>C52*D52/D51</f>
        <v>8.25</v>
      </c>
      <c r="G58" t="s">
        <v>3092</v>
      </c>
      <c r="H58" t="s">
        <v>3125</v>
      </c>
    </row>
    <row r="59" spans="2:10" x14ac:dyDescent="0.25">
      <c r="F59" s="468"/>
    </row>
    <row r="60" spans="2:10" ht="18" x14ac:dyDescent="0.35">
      <c r="B60" s="508" t="s">
        <v>3126</v>
      </c>
      <c r="D60" s="505" t="s">
        <v>3127</v>
      </c>
      <c r="F60" s="468">
        <f>C53*D53/D51</f>
        <v>7.5</v>
      </c>
      <c r="G60" t="s">
        <v>3092</v>
      </c>
      <c r="H60" t="s">
        <v>3128</v>
      </c>
    </row>
    <row r="62" spans="2:10" x14ac:dyDescent="0.25">
      <c r="B62" t="s">
        <v>3129</v>
      </c>
      <c r="G62" s="255"/>
      <c r="I62" s="505"/>
      <c r="J62" s="256"/>
    </row>
    <row r="64" spans="2:10" x14ac:dyDescent="0.25">
      <c r="F64" s="505" t="s">
        <v>3130</v>
      </c>
      <c r="G64">
        <v>17.36</v>
      </c>
    </row>
    <row r="65" spans="2:20" x14ac:dyDescent="0.25">
      <c r="F65" s="505"/>
      <c r="Q65"/>
      <c r="R65"/>
      <c r="S65"/>
      <c r="T65"/>
    </row>
    <row r="66" spans="2:20" ht="17.25" x14ac:dyDescent="0.25">
      <c r="F66" s="505" t="s">
        <v>3131</v>
      </c>
      <c r="G66" s="255">
        <f>10^(0.434*F56/G64+LOG(G44))</f>
        <v>135.51</v>
      </c>
      <c r="H66" t="s">
        <v>3117</v>
      </c>
      <c r="I66" s="257" t="s">
        <v>3118</v>
      </c>
      <c r="J66" s="505" t="s">
        <v>3131</v>
      </c>
      <c r="K66" s="256">
        <f>_xlfn.FLOOR.PRECISE(G66,5)</f>
        <v>135</v>
      </c>
      <c r="L66" t="s">
        <v>3117</v>
      </c>
      <c r="P66"/>
      <c r="Q66"/>
      <c r="R66"/>
      <c r="S66"/>
      <c r="T66"/>
    </row>
    <row r="67" spans="2:20" ht="15" customHeight="1" x14ac:dyDescent="0.25">
      <c r="P67"/>
      <c r="Q67"/>
      <c r="R67"/>
      <c r="S67"/>
      <c r="T67"/>
    </row>
    <row r="68" spans="2:20" x14ac:dyDescent="0.25">
      <c r="P68"/>
      <c r="Q68"/>
      <c r="R68"/>
      <c r="S68"/>
      <c r="T68"/>
    </row>
    <row r="69" spans="2:20" x14ac:dyDescent="0.25">
      <c r="B69" t="s">
        <v>3132</v>
      </c>
      <c r="G69" s="255"/>
      <c r="J69" s="505"/>
      <c r="K69" s="256"/>
      <c r="P69"/>
      <c r="Q69"/>
      <c r="R69"/>
      <c r="S69"/>
      <c r="T69"/>
    </row>
    <row r="70" spans="2:20" x14ac:dyDescent="0.25">
      <c r="P70"/>
      <c r="Q70"/>
      <c r="R70"/>
      <c r="S70"/>
      <c r="T70"/>
    </row>
    <row r="71" spans="2:20" x14ac:dyDescent="0.25">
      <c r="F71" s="505" t="str">
        <f>F64</f>
        <v>R:</v>
      </c>
      <c r="G71">
        <f>G64</f>
        <v>17.36</v>
      </c>
      <c r="P71"/>
      <c r="Q71"/>
      <c r="R71"/>
      <c r="S71"/>
      <c r="T71"/>
    </row>
    <row r="72" spans="2:20" x14ac:dyDescent="0.25">
      <c r="F72" s="505"/>
      <c r="P72"/>
      <c r="Q72"/>
      <c r="R72"/>
      <c r="S72"/>
      <c r="T72"/>
    </row>
    <row r="73" spans="2:20" ht="17.25" x14ac:dyDescent="0.25">
      <c r="F73" s="505" t="s">
        <v>3133</v>
      </c>
      <c r="G73" s="255">
        <f>10^(0.434*F58/G71+LOG(G66))</f>
        <v>217.88</v>
      </c>
      <c r="H73" t="s">
        <v>3117</v>
      </c>
      <c r="I73" s="257" t="s">
        <v>3118</v>
      </c>
      <c r="J73" s="505" t="s">
        <v>3133</v>
      </c>
      <c r="K73" s="256">
        <f>_xlfn.FLOOR.PRECISE(G73,5)</f>
        <v>215</v>
      </c>
      <c r="L73" t="s">
        <v>3117</v>
      </c>
      <c r="P73"/>
      <c r="Q73"/>
      <c r="R73"/>
      <c r="S73"/>
      <c r="T73"/>
    </row>
    <row r="74" spans="2:20" x14ac:dyDescent="0.25">
      <c r="P74"/>
      <c r="Q74"/>
      <c r="R74"/>
      <c r="S74"/>
      <c r="T74"/>
    </row>
    <row r="75" spans="2:20" x14ac:dyDescent="0.25">
      <c r="P75"/>
      <c r="Q75"/>
      <c r="R75"/>
      <c r="S75"/>
      <c r="T75"/>
    </row>
    <row r="76" spans="2:20" x14ac:dyDescent="0.25">
      <c r="B76" t="s">
        <v>3134</v>
      </c>
      <c r="G76" s="255"/>
      <c r="J76" s="505"/>
      <c r="K76" s="256"/>
      <c r="P76"/>
      <c r="Q76"/>
      <c r="R76"/>
      <c r="S76"/>
      <c r="T76"/>
    </row>
    <row r="77" spans="2:20" x14ac:dyDescent="0.25">
      <c r="P77"/>
      <c r="Q77"/>
      <c r="R77"/>
      <c r="S77"/>
      <c r="T77"/>
    </row>
    <row r="78" spans="2:20" x14ac:dyDescent="0.25">
      <c r="F78" s="505" t="str">
        <f>F71</f>
        <v>R:</v>
      </c>
      <c r="G78">
        <f>G71</f>
        <v>17.36</v>
      </c>
      <c r="P78"/>
      <c r="Q78"/>
      <c r="R78"/>
      <c r="S78"/>
      <c r="T78"/>
    </row>
    <row r="79" spans="2:20" x14ac:dyDescent="0.25">
      <c r="F79" s="505"/>
      <c r="P79"/>
      <c r="Q79"/>
      <c r="R79"/>
      <c r="S79"/>
      <c r="T79"/>
    </row>
    <row r="80" spans="2:20" ht="17.25" x14ac:dyDescent="0.25">
      <c r="F80" s="505" t="s">
        <v>3135</v>
      </c>
      <c r="G80" s="255">
        <f>10^(0.434*F60/G78+LOG(G73))</f>
        <v>335.52</v>
      </c>
      <c r="H80" t="s">
        <v>3117</v>
      </c>
      <c r="I80" s="257" t="s">
        <v>3118</v>
      </c>
      <c r="J80" s="505" t="s">
        <v>3135</v>
      </c>
      <c r="K80" s="256">
        <f>_xlfn.FLOOR.PRECISE(G80,5)</f>
        <v>335</v>
      </c>
      <c r="L80" t="s">
        <v>3117</v>
      </c>
      <c r="P80"/>
    </row>
    <row r="83" spans="2:20" x14ac:dyDescent="0.25">
      <c r="B83" s="509" t="str">
        <f>B50</f>
        <v>Camada</v>
      </c>
      <c r="C83" s="1624" t="s">
        <v>3136</v>
      </c>
      <c r="D83" s="1625"/>
    </row>
    <row r="84" spans="2:20" ht="17.25" x14ac:dyDescent="0.25">
      <c r="B84" s="509" t="str">
        <f>B51</f>
        <v>Revestimento</v>
      </c>
      <c r="C84" s="510">
        <f>K44</f>
        <v>100</v>
      </c>
      <c r="D84" s="511" t="s">
        <v>3117</v>
      </c>
    </row>
    <row r="85" spans="2:20" ht="17.25" x14ac:dyDescent="0.25">
      <c r="B85" s="509" t="str">
        <f>B52</f>
        <v>Base</v>
      </c>
      <c r="C85" s="510">
        <f>K66</f>
        <v>135</v>
      </c>
      <c r="D85" s="511" t="s">
        <v>3117</v>
      </c>
    </row>
    <row r="86" spans="2:20" ht="17.25" x14ac:dyDescent="0.25">
      <c r="B86" s="509" t="str">
        <f>B53</f>
        <v>Sub-base</v>
      </c>
      <c r="C86" s="510">
        <f>K73</f>
        <v>215</v>
      </c>
      <c r="D86" s="511" t="s">
        <v>3117</v>
      </c>
    </row>
    <row r="87" spans="2:20" ht="17.25" x14ac:dyDescent="0.25">
      <c r="B87" s="509" t="str">
        <f>B54</f>
        <v>Sub-leito</v>
      </c>
      <c r="C87" s="510">
        <f>K80</f>
        <v>335</v>
      </c>
      <c r="D87" s="511" t="s">
        <v>3117</v>
      </c>
    </row>
    <row r="88" spans="2:20" x14ac:dyDescent="0.25">
      <c r="B88" s="467"/>
      <c r="C88" s="512"/>
      <c r="D88" s="246"/>
    </row>
    <row r="89" spans="2:20" x14ac:dyDescent="0.25">
      <c r="B89" s="477" t="s">
        <v>6686</v>
      </c>
      <c r="C89" s="478"/>
      <c r="D89" s="478"/>
      <c r="E89" s="478"/>
      <c r="F89" s="478"/>
      <c r="G89" s="478"/>
      <c r="H89" s="478"/>
      <c r="I89" s="478"/>
      <c r="J89" s="478"/>
      <c r="K89" s="479"/>
      <c r="L89" s="479"/>
      <c r="M89" s="479"/>
      <c r="Q89" s="1144"/>
      <c r="R89" s="1144"/>
      <c r="S89" s="1144"/>
      <c r="T89"/>
    </row>
    <row r="90" spans="2:20" x14ac:dyDescent="0.25">
      <c r="B90" t="s">
        <v>3081</v>
      </c>
      <c r="D90" s="1143">
        <f>D10</f>
        <v>21</v>
      </c>
      <c r="E90" s="1144" t="s">
        <v>3082</v>
      </c>
      <c r="F90" s="1143">
        <f>F10</f>
        <v>100</v>
      </c>
      <c r="H90" s="505" t="s">
        <v>3083</v>
      </c>
      <c r="I90" s="256" t="str">
        <f>I10</f>
        <v>Coletora secundária</v>
      </c>
      <c r="J90" t="s">
        <v>3084</v>
      </c>
      <c r="K90" s="256" t="str">
        <f>K10</f>
        <v>MÉDIO</v>
      </c>
      <c r="Q90" s="1144"/>
      <c r="R90" s="1144"/>
      <c r="S90" s="1144"/>
      <c r="T90"/>
    </row>
    <row r="91" spans="2:20" x14ac:dyDescent="0.25">
      <c r="B91" s="1143"/>
      <c r="C91" s="1143"/>
      <c r="D91" s="1143"/>
      <c r="E91" s="1143"/>
      <c r="F91" s="1143"/>
      <c r="G91" s="1143"/>
      <c r="Q91" s="1144"/>
      <c r="R91" s="1144"/>
      <c r="S91" s="1144"/>
      <c r="T91"/>
    </row>
    <row r="92" spans="2:20" x14ac:dyDescent="0.25">
      <c r="B92" t="s">
        <v>3085</v>
      </c>
      <c r="C92" s="484" t="str">
        <f>C12</f>
        <v>5x10E5</v>
      </c>
      <c r="H92" s="468">
        <f>H12</f>
        <v>500000</v>
      </c>
      <c r="Q92" s="1144"/>
      <c r="R92" s="1144"/>
      <c r="S92" s="1144"/>
      <c r="T92"/>
    </row>
    <row r="93" spans="2:20" x14ac:dyDescent="0.25">
      <c r="Q93" s="1144"/>
      <c r="R93" s="1144"/>
      <c r="S93" s="1144"/>
      <c r="T93"/>
    </row>
    <row r="94" spans="2:20" x14ac:dyDescent="0.25">
      <c r="B94" t="s">
        <v>3086</v>
      </c>
      <c r="C94" s="485">
        <f>C14</f>
        <v>9.0399999999999991</v>
      </c>
      <c r="D94" t="s">
        <v>3087</v>
      </c>
      <c r="F94" s="485">
        <f>F14</f>
        <v>1.1100000000000001</v>
      </c>
      <c r="G94" t="s">
        <v>3088</v>
      </c>
      <c r="H94" s="486">
        <f>H14</f>
        <v>6</v>
      </c>
      <c r="I94" t="s">
        <v>3089</v>
      </c>
      <c r="J94" s="485">
        <f>J14</f>
        <v>10.38</v>
      </c>
      <c r="P94" s="468">
        <f>E37</f>
        <v>5</v>
      </c>
      <c r="Q94" s="1163">
        <v>5</v>
      </c>
      <c r="R94" s="1163">
        <v>6</v>
      </c>
      <c r="S94" s="1144" t="str">
        <f>C148</f>
        <v/>
      </c>
      <c r="T94"/>
    </row>
    <row r="95" spans="2:20" x14ac:dyDescent="0.25">
      <c r="P95" s="468">
        <f t="shared" ref="P95:P96" si="2">E38</f>
        <v>15</v>
      </c>
      <c r="Q95" s="1163">
        <v>17</v>
      </c>
      <c r="R95" s="1163">
        <v>15</v>
      </c>
      <c r="S95" s="1144">
        <f t="shared" ref="S95:S96" si="3">C149</f>
        <v>15</v>
      </c>
      <c r="T95"/>
    </row>
    <row r="96" spans="2:20" x14ac:dyDescent="0.25">
      <c r="C96" s="468"/>
      <c r="P96" s="468">
        <f t="shared" si="2"/>
        <v>15</v>
      </c>
      <c r="Q96" s="1163">
        <v>25</v>
      </c>
      <c r="R96" s="1163">
        <v>20</v>
      </c>
      <c r="S96" s="1144">
        <f t="shared" si="3"/>
        <v>19.68</v>
      </c>
      <c r="T96"/>
    </row>
    <row r="97" spans="2:20" x14ac:dyDescent="0.25">
      <c r="C97" s="468"/>
      <c r="P97" s="1144">
        <f>P94*2+P95+P96</f>
        <v>40</v>
      </c>
      <c r="Q97" s="1144">
        <f>Q94*2+Q95+Q96</f>
        <v>52</v>
      </c>
      <c r="R97" s="1144"/>
      <c r="S97" s="1144"/>
      <c r="T97"/>
    </row>
    <row r="98" spans="2:20" x14ac:dyDescent="0.25">
      <c r="C98" s="468"/>
      <c r="Q98" s="1144"/>
      <c r="R98" s="1144"/>
      <c r="S98" s="1144"/>
      <c r="T98"/>
    </row>
    <row r="99" spans="2:20" ht="18" x14ac:dyDescent="0.35">
      <c r="B99" t="s">
        <v>3091</v>
      </c>
      <c r="C99" s="254">
        <f>77.67*(H92^0.0482)*(C94^(-0.598))</f>
        <v>39.19</v>
      </c>
      <c r="D99" t="s">
        <v>3092</v>
      </c>
      <c r="H99" t="s">
        <v>3093</v>
      </c>
      <c r="I99" s="488">
        <f>ROUNDUP(C99,0)</f>
        <v>40</v>
      </c>
      <c r="J99" t="s">
        <v>3092</v>
      </c>
      <c r="Q99" s="1144"/>
      <c r="R99" s="1144"/>
      <c r="S99" s="1144"/>
      <c r="T99"/>
    </row>
    <row r="100" spans="2:20" x14ac:dyDescent="0.25">
      <c r="B100" s="1164"/>
      <c r="Q100" s="1144"/>
      <c r="R100" s="1144"/>
      <c r="S100" s="1144"/>
      <c r="T100"/>
    </row>
    <row r="101" spans="2:20" x14ac:dyDescent="0.25">
      <c r="B101" s="1164"/>
      <c r="Q101" s="1144"/>
      <c r="R101" s="1144"/>
      <c r="S101" s="1144"/>
      <c r="T101"/>
    </row>
    <row r="102" spans="2:20" x14ac:dyDescent="0.25">
      <c r="B102" s="1164"/>
      <c r="Q102" s="1144"/>
      <c r="R102" s="1144"/>
      <c r="S102" s="1144"/>
      <c r="T102"/>
    </row>
    <row r="103" spans="2:20" x14ac:dyDescent="0.25">
      <c r="B103" s="1164"/>
      <c r="Q103" s="1144"/>
      <c r="R103" s="1144"/>
      <c r="S103" s="1144"/>
      <c r="T103"/>
    </row>
    <row r="104" spans="2:20" ht="17.25" x14ac:dyDescent="0.25">
      <c r="B104" t="s">
        <v>6687</v>
      </c>
      <c r="C104" s="505" t="s">
        <v>6688</v>
      </c>
      <c r="D104" s="255">
        <f>10^(3.148-0.188*LOG(H92))</f>
        <v>119.29</v>
      </c>
      <c r="E104" t="s">
        <v>6689</v>
      </c>
      <c r="G104" t="s">
        <v>6690</v>
      </c>
      <c r="I104" s="505" t="s">
        <v>6691</v>
      </c>
      <c r="J104" s="256">
        <f>_xlfn.FLOOR.PRECISE(D104,5)</f>
        <v>115</v>
      </c>
      <c r="K104" t="s">
        <v>6689</v>
      </c>
      <c r="Q104" s="1144"/>
      <c r="R104" s="1144"/>
      <c r="S104" s="1144"/>
      <c r="T104"/>
    </row>
    <row r="105" spans="2:20" x14ac:dyDescent="0.25">
      <c r="C105" s="505"/>
      <c r="D105" s="255"/>
      <c r="I105" s="505"/>
      <c r="J105" s="256"/>
      <c r="Q105" s="1144"/>
      <c r="R105" s="1144"/>
      <c r="S105" s="1144"/>
      <c r="T105"/>
    </row>
    <row r="106" spans="2:20" x14ac:dyDescent="0.25">
      <c r="B106" t="s">
        <v>6692</v>
      </c>
      <c r="D106" s="256" t="s">
        <v>6693</v>
      </c>
      <c r="G106" s="505" t="s">
        <v>6694</v>
      </c>
      <c r="H106" s="482">
        <v>1</v>
      </c>
      <c r="I106" s="505" t="s">
        <v>6695</v>
      </c>
      <c r="J106" s="482">
        <v>0</v>
      </c>
      <c r="Q106" s="1144"/>
      <c r="R106" s="1144"/>
      <c r="S106" s="1144"/>
      <c r="T106"/>
    </row>
    <row r="107" spans="2:20" x14ac:dyDescent="0.25">
      <c r="Q107" s="1144"/>
      <c r="R107" s="1144"/>
      <c r="S107" s="1144"/>
      <c r="T107"/>
    </row>
    <row r="108" spans="2:20" x14ac:dyDescent="0.25">
      <c r="Q108" s="1144"/>
      <c r="R108" s="1144"/>
      <c r="S108" s="1144"/>
      <c r="T108"/>
    </row>
    <row r="109" spans="2:20" x14ac:dyDescent="0.25">
      <c r="Q109" s="1144"/>
      <c r="R109" s="1144"/>
      <c r="S109" s="1144"/>
      <c r="T109"/>
    </row>
    <row r="110" spans="2:20" ht="18" x14ac:dyDescent="0.35">
      <c r="B110" t="s">
        <v>6696</v>
      </c>
      <c r="C110" s="505" t="s">
        <v>6697</v>
      </c>
      <c r="D110" s="254">
        <f>-5.737+(807.961)/J104+0.972*H106+4.101*J106</f>
        <v>2.2599999999999998</v>
      </c>
      <c r="E110" t="s">
        <v>3092</v>
      </c>
      <c r="H110" t="s">
        <v>3093</v>
      </c>
      <c r="I110" s="1165">
        <f>FLOOR(ROUNDUP(D110,2),0.5)+0.5</f>
        <v>2.5</v>
      </c>
      <c r="J110" t="s">
        <v>3092</v>
      </c>
      <c r="K110" t="s">
        <v>6698</v>
      </c>
      <c r="L110" t="s">
        <v>6699</v>
      </c>
      <c r="M110" s="482">
        <v>2</v>
      </c>
      <c r="Q110" s="1144"/>
      <c r="R110" s="1144"/>
      <c r="S110" s="1144"/>
      <c r="T110"/>
    </row>
    <row r="111" spans="2:20" x14ac:dyDescent="0.25">
      <c r="Q111" s="1144"/>
      <c r="R111" s="1144"/>
      <c r="S111" s="1144"/>
      <c r="T111"/>
    </row>
    <row r="112" spans="2:20" x14ac:dyDescent="0.25">
      <c r="Q112" s="1144"/>
      <c r="R112" s="1144"/>
      <c r="S112" s="1144"/>
      <c r="T112"/>
    </row>
    <row r="113" spans="2:20" x14ac:dyDescent="0.25">
      <c r="Q113" s="1144"/>
      <c r="R113" s="1144"/>
      <c r="S113" s="1144"/>
      <c r="T113"/>
    </row>
    <row r="114" spans="2:20" x14ac:dyDescent="0.25">
      <c r="Q114" s="1144"/>
      <c r="R114" s="1144"/>
      <c r="S114" s="1144"/>
      <c r="T114"/>
    </row>
    <row r="115" spans="2:20" ht="18" x14ac:dyDescent="0.35">
      <c r="B115" t="s">
        <v>6700</v>
      </c>
      <c r="C115" s="505" t="s">
        <v>6701</v>
      </c>
      <c r="D115" s="1166">
        <f>C99-D110*M110</f>
        <v>34.67</v>
      </c>
      <c r="E115" t="s">
        <v>3092</v>
      </c>
      <c r="G115" t="str">
        <f>IF(D115&gt;35,"Adotado =&gt;","")</f>
        <v/>
      </c>
      <c r="H115" s="1166" t="str">
        <f>IF(G115="","",35)</f>
        <v/>
      </c>
      <c r="I115" s="480" t="str">
        <f>IF(H115="","","cm")</f>
        <v/>
      </c>
      <c r="Q115" s="1144"/>
      <c r="R115" s="1144"/>
      <c r="S115" s="1144"/>
      <c r="T115"/>
    </row>
    <row r="116" spans="2:20" x14ac:dyDescent="0.25">
      <c r="Q116" s="1144"/>
      <c r="R116" s="1144"/>
      <c r="S116" s="1144"/>
      <c r="T116"/>
    </row>
    <row r="117" spans="2:20" x14ac:dyDescent="0.25">
      <c r="B117" t="str">
        <f>IF(G115="","","Como a camada granular é superior a 35cm devemos recalcular a espessura do revestimento.")</f>
        <v/>
      </c>
      <c r="Q117" s="1144"/>
      <c r="R117" s="1144"/>
      <c r="S117" s="1144"/>
      <c r="T117"/>
    </row>
    <row r="118" spans="2:20" x14ac:dyDescent="0.25">
      <c r="Q118" s="1144"/>
      <c r="R118" s="1144"/>
      <c r="S118" s="1144"/>
      <c r="T118"/>
    </row>
    <row r="119" spans="2:20" ht="18" x14ac:dyDescent="0.35">
      <c r="B119" t="str">
        <f>IF(B117="","","Espessura do revestimento recalculada:")</f>
        <v/>
      </c>
      <c r="C119" s="505" t="s">
        <v>6697</v>
      </c>
      <c r="D119" s="255" t="str">
        <f>IF(B119="","",(I99-H115)/M110)</f>
        <v/>
      </c>
      <c r="E119" s="480" t="str">
        <f>IF(D119="","","cm")</f>
        <v/>
      </c>
      <c r="G119" t="str">
        <f>IF(D119="","","Adotado =&gt;")</f>
        <v/>
      </c>
      <c r="H119" s="1166" t="str">
        <f>IF(G119="","",ROUNDUP(D119,0))</f>
        <v/>
      </c>
      <c r="I119" s="480" t="str">
        <f>IF(H119="","","cm")</f>
        <v/>
      </c>
      <c r="Q119" s="1144"/>
      <c r="R119" s="1144"/>
      <c r="S119" s="1144"/>
      <c r="T119"/>
    </row>
    <row r="120" spans="2:20" x14ac:dyDescent="0.25">
      <c r="Q120" s="1144"/>
      <c r="R120" s="1144"/>
      <c r="S120" s="1144"/>
      <c r="T120"/>
    </row>
    <row r="121" spans="2:20" ht="18" x14ac:dyDescent="0.35">
      <c r="B121" t="s">
        <v>6702</v>
      </c>
      <c r="C121" s="505" t="s">
        <v>6703</v>
      </c>
      <c r="D121" s="255">
        <f>IF(H115="",D115/2,H115/2)</f>
        <v>17.34</v>
      </c>
      <c r="E121" t="s">
        <v>3092</v>
      </c>
      <c r="G121" t="s">
        <v>6704</v>
      </c>
      <c r="H121" s="254">
        <f>IF(D121&gt;10,15,10)</f>
        <v>15</v>
      </c>
      <c r="I121" t="s">
        <v>3092</v>
      </c>
      <c r="Q121" s="1144"/>
      <c r="R121" s="1144"/>
      <c r="S121" s="1144"/>
      <c r="T121"/>
    </row>
    <row r="122" spans="2:20" x14ac:dyDescent="0.25">
      <c r="Q122" s="1144"/>
      <c r="R122" s="1144"/>
      <c r="S122" s="1144"/>
      <c r="T122"/>
    </row>
    <row r="123" spans="2:20" x14ac:dyDescent="0.25">
      <c r="Q123" s="1144"/>
      <c r="R123" s="1144"/>
      <c r="S123" s="1144"/>
      <c r="T123"/>
    </row>
    <row r="124" spans="2:20" x14ac:dyDescent="0.25">
      <c r="Q124" s="1144"/>
      <c r="R124" s="1144"/>
      <c r="S124" s="1144"/>
      <c r="T124"/>
    </row>
    <row r="125" spans="2:20" x14ac:dyDescent="0.25">
      <c r="Q125" s="1144"/>
      <c r="R125" s="1144"/>
      <c r="S125" s="1144"/>
      <c r="T125"/>
    </row>
    <row r="126" spans="2:20" ht="18" x14ac:dyDescent="0.35">
      <c r="B126" t="s">
        <v>6705</v>
      </c>
      <c r="C126" s="505" t="s">
        <v>6706</v>
      </c>
      <c r="D126" s="255">
        <f>D121*2-H121</f>
        <v>19.68</v>
      </c>
      <c r="E126" t="s">
        <v>3092</v>
      </c>
      <c r="Q126" s="1144"/>
      <c r="R126" s="1144"/>
      <c r="S126" s="1144"/>
      <c r="T126"/>
    </row>
    <row r="127" spans="2:20" x14ac:dyDescent="0.25">
      <c r="Q127" s="1144"/>
      <c r="R127" s="1144"/>
      <c r="S127" s="1144"/>
      <c r="T127"/>
    </row>
    <row r="128" spans="2:20" x14ac:dyDescent="0.25">
      <c r="Q128" s="1144"/>
      <c r="R128" s="1144"/>
      <c r="S128" s="1144"/>
      <c r="T128"/>
    </row>
    <row r="129" spans="2:20" x14ac:dyDescent="0.25">
      <c r="B129" s="256" t="s">
        <v>3103</v>
      </c>
      <c r="Q129" s="1144"/>
      <c r="R129" s="1144"/>
      <c r="S129" s="1144"/>
      <c r="T129"/>
    </row>
    <row r="130" spans="2:20" ht="15.75" thickBot="1" x14ac:dyDescent="0.3">
      <c r="Q130" s="1144"/>
      <c r="R130" s="1144"/>
      <c r="S130" s="1144"/>
      <c r="T130"/>
    </row>
    <row r="131" spans="2:20" ht="25.5" customHeight="1" thickBot="1" x14ac:dyDescent="0.3">
      <c r="B131" s="1145" t="s">
        <v>3104</v>
      </c>
      <c r="C131" s="491" t="s">
        <v>3105</v>
      </c>
      <c r="D131" s="492"/>
      <c r="E131" s="492" t="s">
        <v>3106</v>
      </c>
      <c r="F131" s="492"/>
      <c r="H131" s="1627"/>
      <c r="I131" s="1627"/>
      <c r="Q131" s="1628" t="s">
        <v>3104</v>
      </c>
      <c r="R131" s="1167" t="s">
        <v>3105</v>
      </c>
      <c r="S131" s="1630" t="s">
        <v>3106</v>
      </c>
      <c r="T131" s="1631"/>
    </row>
    <row r="132" spans="2:20" ht="15.75" thickBot="1" x14ac:dyDescent="0.3">
      <c r="B132" s="1142" t="s">
        <v>3107</v>
      </c>
      <c r="C132" s="493" t="s">
        <v>108</v>
      </c>
      <c r="D132" s="494"/>
      <c r="E132" s="495" t="str">
        <f>H119</f>
        <v/>
      </c>
      <c r="F132" s="495"/>
      <c r="H132" s="254"/>
      <c r="Q132" s="1629"/>
      <c r="R132" s="1168"/>
      <c r="S132" s="1169" t="s">
        <v>6707</v>
      </c>
      <c r="T132" s="1170" t="s">
        <v>6708</v>
      </c>
    </row>
    <row r="133" spans="2:20" ht="15.75" thickBot="1" x14ac:dyDescent="0.3">
      <c r="B133" s="1145" t="s">
        <v>3108</v>
      </c>
      <c r="C133" s="491" t="s">
        <v>3109</v>
      </c>
      <c r="D133" s="492"/>
      <c r="E133" s="497">
        <f>H121</f>
        <v>15</v>
      </c>
      <c r="F133" s="497"/>
      <c r="H133" s="254"/>
      <c r="Q133" s="1168" t="s">
        <v>3107</v>
      </c>
      <c r="R133" s="1170" t="s">
        <v>6709</v>
      </c>
      <c r="S133" s="1171">
        <f>E37</f>
        <v>5</v>
      </c>
      <c r="T133" s="1172" t="str">
        <f>E132</f>
        <v/>
      </c>
    </row>
    <row r="134" spans="2:20" ht="15.75" thickBot="1" x14ac:dyDescent="0.3">
      <c r="B134" s="1145" t="s">
        <v>3110</v>
      </c>
      <c r="C134" s="491" t="s">
        <v>3111</v>
      </c>
      <c r="D134" s="492"/>
      <c r="E134" s="497">
        <f>D126</f>
        <v>19.68</v>
      </c>
      <c r="F134" s="497"/>
      <c r="H134" s="254"/>
      <c r="Q134" s="1168" t="s">
        <v>3108</v>
      </c>
      <c r="R134" s="1170" t="s">
        <v>3109</v>
      </c>
      <c r="S134" s="1171">
        <f t="shared" ref="S134:S135" si="4">E38</f>
        <v>15</v>
      </c>
      <c r="T134" s="1172">
        <f t="shared" ref="T134:T135" si="5">E133</f>
        <v>15</v>
      </c>
    </row>
    <row r="135" spans="2:20" ht="15.75" thickBot="1" x14ac:dyDescent="0.3">
      <c r="B135" s="1173" t="s">
        <v>3112</v>
      </c>
      <c r="C135" s="1174" t="s">
        <v>3113</v>
      </c>
      <c r="D135" s="501"/>
      <c r="E135" s="502"/>
      <c r="F135" s="502"/>
      <c r="H135" s="254"/>
      <c r="Q135" s="1168" t="s">
        <v>6710</v>
      </c>
      <c r="R135" s="1170" t="s">
        <v>3111</v>
      </c>
      <c r="S135" s="1171">
        <f t="shared" si="4"/>
        <v>15</v>
      </c>
      <c r="T135" s="1172">
        <f t="shared" si="5"/>
        <v>19.68</v>
      </c>
    </row>
    <row r="136" spans="2:20" ht="15.75" thickBot="1" x14ac:dyDescent="0.3">
      <c r="Q136" s="1168" t="s">
        <v>6711</v>
      </c>
      <c r="R136" s="1170" t="s">
        <v>3113</v>
      </c>
      <c r="S136" s="1169"/>
      <c r="T136" s="1175"/>
    </row>
    <row r="137" spans="2:20" x14ac:dyDescent="0.25">
      <c r="Q137" s="1144"/>
      <c r="R137" s="1144"/>
      <c r="S137" s="1163">
        <f>SUM(S134:S135)</f>
        <v>30</v>
      </c>
      <c r="T137" s="1163">
        <f>SUM(T134:T135)</f>
        <v>34.68</v>
      </c>
    </row>
    <row r="138" spans="2:20" x14ac:dyDescent="0.25">
      <c r="Q138" s="1144"/>
      <c r="R138" s="1144"/>
      <c r="S138" s="1144"/>
      <c r="T138"/>
    </row>
    <row r="139" spans="2:20" x14ac:dyDescent="0.25">
      <c r="B139" s="482" t="s">
        <v>6712</v>
      </c>
      <c r="C139" s="1143"/>
      <c r="D139" s="1143"/>
      <c r="E139" s="1143"/>
      <c r="F139" s="1143"/>
      <c r="G139" s="1143"/>
      <c r="H139" s="1143"/>
      <c r="I139" s="1143"/>
      <c r="J139" s="1143"/>
      <c r="Q139" s="1144"/>
      <c r="R139" s="1144"/>
      <c r="S139" s="1144"/>
      <c r="T139"/>
    </row>
    <row r="140" spans="2:20" x14ac:dyDescent="0.25">
      <c r="Q140" s="1144"/>
      <c r="R140" s="1144"/>
      <c r="S140" s="1144"/>
      <c r="T140"/>
    </row>
    <row r="141" spans="2:20" ht="17.25" x14ac:dyDescent="0.25">
      <c r="B141" t="s">
        <v>3115</v>
      </c>
      <c r="F141" s="505" t="s">
        <v>3116</v>
      </c>
      <c r="G141" s="255">
        <f>10^(3.01-0.176*LOG(H92))</f>
        <v>101.62</v>
      </c>
      <c r="H141" t="s">
        <v>6689</v>
      </c>
      <c r="I141" s="505" t="s">
        <v>3116</v>
      </c>
      <c r="J141" s="256">
        <f>_xlfn.FLOOR.PRECISE(G141,5)</f>
        <v>100</v>
      </c>
      <c r="K141" t="s">
        <v>6689</v>
      </c>
      <c r="Q141" s="1144"/>
      <c r="R141" s="1144"/>
      <c r="S141" s="1144"/>
      <c r="T141"/>
    </row>
    <row r="142" spans="2:20" x14ac:dyDescent="0.25">
      <c r="Q142" s="1144"/>
      <c r="R142" s="1144"/>
      <c r="S142" s="1144"/>
      <c r="T142"/>
    </row>
    <row r="143" spans="2:20" x14ac:dyDescent="0.25">
      <c r="Q143" s="1144"/>
      <c r="R143" s="1144"/>
      <c r="S143" s="1144"/>
      <c r="T143"/>
    </row>
    <row r="144" spans="2:20" x14ac:dyDescent="0.25">
      <c r="Q144" s="1144"/>
      <c r="R144" s="1144"/>
      <c r="S144" s="1144"/>
      <c r="T144"/>
    </row>
    <row r="145" spans="2:20" x14ac:dyDescent="0.25">
      <c r="Q145" s="1144"/>
      <c r="R145" s="1144"/>
      <c r="S145" s="1144"/>
      <c r="T145"/>
    </row>
    <row r="146" spans="2:20" x14ac:dyDescent="0.25">
      <c r="Q146" s="1144"/>
      <c r="R146" s="1144"/>
      <c r="S146" s="1144"/>
      <c r="T146"/>
    </row>
    <row r="147" spans="2:20" x14ac:dyDescent="0.25">
      <c r="B147" s="509" t="s">
        <v>3104</v>
      </c>
      <c r="C147" s="509" t="str">
        <f>E131</f>
        <v>Espessura (cm)</v>
      </c>
      <c r="D147" s="509" t="s">
        <v>3119</v>
      </c>
      <c r="Q147" s="1144"/>
      <c r="R147" s="1144"/>
      <c r="S147" s="1144"/>
      <c r="T147"/>
    </row>
    <row r="148" spans="2:20" x14ac:dyDescent="0.25">
      <c r="B148" s="509" t="s">
        <v>3107</v>
      </c>
      <c r="C148" s="509" t="str">
        <f t="shared" ref="C148:C150" si="6">E132</f>
        <v/>
      </c>
      <c r="D148" s="509">
        <f>D51</f>
        <v>2</v>
      </c>
      <c r="Q148" s="1144"/>
      <c r="R148" s="1144"/>
      <c r="S148" s="1144"/>
      <c r="T148"/>
    </row>
    <row r="149" spans="2:20" x14ac:dyDescent="0.25">
      <c r="B149" s="509" t="s">
        <v>3108</v>
      </c>
      <c r="C149" s="509">
        <f t="shared" si="6"/>
        <v>15</v>
      </c>
      <c r="D149" s="509">
        <f t="shared" ref="D149:D150" si="7">D52</f>
        <v>1.1000000000000001</v>
      </c>
      <c r="Q149" s="1144"/>
      <c r="R149" s="1144"/>
      <c r="S149" s="1144"/>
      <c r="T149"/>
    </row>
    <row r="150" spans="2:20" x14ac:dyDescent="0.25">
      <c r="B150" s="509" t="s">
        <v>3110</v>
      </c>
      <c r="C150" s="509">
        <f t="shared" si="6"/>
        <v>19.68</v>
      </c>
      <c r="D150" s="509">
        <f t="shared" si="7"/>
        <v>1</v>
      </c>
      <c r="Q150" s="1144"/>
      <c r="R150" s="1144"/>
      <c r="S150" s="1144"/>
      <c r="T150"/>
    </row>
    <row r="151" spans="2:20" x14ac:dyDescent="0.25">
      <c r="B151" s="509" t="s">
        <v>3112</v>
      </c>
      <c r="C151" s="509"/>
      <c r="D151" s="509"/>
      <c r="Q151" s="1144"/>
      <c r="R151" s="1144"/>
      <c r="S151" s="1144"/>
      <c r="T151"/>
    </row>
    <row r="152" spans="2:20" x14ac:dyDescent="0.25">
      <c r="Q152" s="1144"/>
      <c r="R152" s="1144"/>
      <c r="S152" s="1144"/>
      <c r="T152"/>
    </row>
    <row r="153" spans="2:20" ht="18" x14ac:dyDescent="0.35">
      <c r="B153" s="487" t="s">
        <v>3120</v>
      </c>
      <c r="D153" s="505" t="s">
        <v>6713</v>
      </c>
      <c r="F153" s="254" t="e">
        <f>C148*D148/D148</f>
        <v>#VALUE!</v>
      </c>
      <c r="G153" t="s">
        <v>3092</v>
      </c>
      <c r="H153" t="s">
        <v>3122</v>
      </c>
      <c r="Q153" s="1144"/>
      <c r="R153" s="1144"/>
      <c r="S153" s="1144"/>
      <c r="T153"/>
    </row>
    <row r="154" spans="2:20" x14ac:dyDescent="0.25">
      <c r="B154" s="487"/>
      <c r="D154" s="505"/>
      <c r="F154" s="254"/>
      <c r="Q154" s="1144"/>
      <c r="R154" s="1144"/>
      <c r="S154" s="1144"/>
      <c r="T154"/>
    </row>
    <row r="155" spans="2:20" ht="18" x14ac:dyDescent="0.35">
      <c r="B155" s="487" t="s">
        <v>3123</v>
      </c>
      <c r="D155" s="505" t="s">
        <v>6714</v>
      </c>
      <c r="F155" s="254">
        <f>C149*D149/D148</f>
        <v>8.25</v>
      </c>
      <c r="G155" t="s">
        <v>3092</v>
      </c>
      <c r="H155" t="s">
        <v>3125</v>
      </c>
      <c r="Q155" s="1144"/>
      <c r="R155" s="1144"/>
      <c r="S155" s="1144"/>
      <c r="T155"/>
    </row>
    <row r="156" spans="2:20" x14ac:dyDescent="0.25">
      <c r="F156" s="254"/>
      <c r="Q156" s="1144"/>
      <c r="R156" s="1144"/>
      <c r="S156" s="1144"/>
      <c r="T156"/>
    </row>
    <row r="157" spans="2:20" ht="18" x14ac:dyDescent="0.35">
      <c r="B157" s="487" t="s">
        <v>3126</v>
      </c>
      <c r="D157" s="505" t="s">
        <v>6715</v>
      </c>
      <c r="F157" s="254">
        <f>C150*D150/D148</f>
        <v>9.84</v>
      </c>
      <c r="G157" t="s">
        <v>3092</v>
      </c>
      <c r="H157" t="s">
        <v>3128</v>
      </c>
      <c r="Q157" s="1144"/>
      <c r="R157" s="1144"/>
      <c r="S157" s="1144"/>
      <c r="T157"/>
    </row>
    <row r="158" spans="2:20" x14ac:dyDescent="0.25">
      <c r="Q158" s="1144"/>
      <c r="R158" s="1144"/>
      <c r="S158" s="1144"/>
      <c r="T158"/>
    </row>
    <row r="159" spans="2:20" x14ac:dyDescent="0.25">
      <c r="B159" t="s">
        <v>3129</v>
      </c>
      <c r="G159" s="255"/>
      <c r="I159" s="505"/>
      <c r="J159" s="256"/>
      <c r="Q159" s="1144"/>
      <c r="R159" s="1144"/>
      <c r="S159" s="1144"/>
      <c r="T159"/>
    </row>
    <row r="160" spans="2:20" x14ac:dyDescent="0.25">
      <c r="Q160" s="1144"/>
      <c r="R160" s="1144"/>
      <c r="S160" s="1144"/>
      <c r="T160"/>
    </row>
    <row r="161" spans="2:20" x14ac:dyDescent="0.25">
      <c r="F161" s="505" t="s">
        <v>3130</v>
      </c>
      <c r="G161">
        <v>17.36</v>
      </c>
      <c r="Q161" s="1144"/>
      <c r="R161" s="1144"/>
      <c r="S161" s="1144"/>
      <c r="T161"/>
    </row>
    <row r="162" spans="2:20" x14ac:dyDescent="0.25">
      <c r="F162" s="505"/>
      <c r="Q162" s="1144"/>
      <c r="R162" s="1144"/>
      <c r="S162" s="1144"/>
      <c r="T162"/>
    </row>
    <row r="163" spans="2:20" ht="17.25" x14ac:dyDescent="0.25">
      <c r="F163" s="505" t="s">
        <v>3131</v>
      </c>
      <c r="G163" s="255" t="e">
        <f>10^(0.434*F153/G161+LOG(G141))</f>
        <v>#VALUE!</v>
      </c>
      <c r="H163" t="s">
        <v>6689</v>
      </c>
      <c r="I163" s="505" t="s">
        <v>3131</v>
      </c>
      <c r="J163" s="256" t="e">
        <f>_xlfn.FLOOR.PRECISE(G163,5)</f>
        <v>#VALUE!</v>
      </c>
      <c r="K163" t="s">
        <v>6689</v>
      </c>
      <c r="Q163" s="1144"/>
      <c r="R163" s="1144"/>
      <c r="S163" s="1144"/>
      <c r="T163"/>
    </row>
    <row r="164" spans="2:20" x14ac:dyDescent="0.25">
      <c r="Q164" s="1144"/>
      <c r="R164" s="1144"/>
      <c r="S164" s="1144"/>
      <c r="T164"/>
    </row>
    <row r="165" spans="2:20" x14ac:dyDescent="0.25">
      <c r="Q165" s="1144"/>
      <c r="R165" s="1144"/>
      <c r="S165" s="1144"/>
      <c r="T165"/>
    </row>
    <row r="166" spans="2:20" x14ac:dyDescent="0.25">
      <c r="B166" t="s">
        <v>3132</v>
      </c>
      <c r="G166" s="255"/>
      <c r="I166" s="505"/>
      <c r="J166" s="256"/>
      <c r="Q166" s="1144"/>
      <c r="R166" s="1144"/>
      <c r="S166" s="1144"/>
      <c r="T166"/>
    </row>
    <row r="167" spans="2:20" x14ac:dyDescent="0.25">
      <c r="Q167" s="1144"/>
      <c r="R167" s="1144"/>
      <c r="S167" s="1144"/>
      <c r="T167"/>
    </row>
    <row r="168" spans="2:20" x14ac:dyDescent="0.25">
      <c r="F168" s="505" t="str">
        <f>F161</f>
        <v>R:</v>
      </c>
      <c r="G168">
        <f>G161</f>
        <v>17.36</v>
      </c>
      <c r="Q168" s="1144"/>
      <c r="R168" s="1144"/>
      <c r="S168" s="1144"/>
      <c r="T168"/>
    </row>
    <row r="169" spans="2:20" x14ac:dyDescent="0.25">
      <c r="F169" s="505"/>
      <c r="Q169" s="1144"/>
      <c r="R169" s="1144"/>
      <c r="S169" s="1144"/>
      <c r="T169"/>
    </row>
    <row r="170" spans="2:20" ht="17.25" x14ac:dyDescent="0.25">
      <c r="F170" s="505" t="s">
        <v>3133</v>
      </c>
      <c r="G170" s="255" t="e">
        <f>10^(0.434*F155/G168+LOG(G163))</f>
        <v>#VALUE!</v>
      </c>
      <c r="H170" t="s">
        <v>6689</v>
      </c>
      <c r="I170" s="505" t="s">
        <v>3133</v>
      </c>
      <c r="J170" s="256" t="e">
        <f>_xlfn.FLOOR.PRECISE(G170,5)</f>
        <v>#VALUE!</v>
      </c>
      <c r="K170" t="s">
        <v>6689</v>
      </c>
      <c r="Q170" s="1144"/>
      <c r="R170" s="1144"/>
      <c r="S170" s="1144"/>
      <c r="T170"/>
    </row>
    <row r="171" spans="2:20" x14ac:dyDescent="0.25">
      <c r="Q171" s="1144"/>
      <c r="R171" s="1144"/>
      <c r="S171" s="1144"/>
      <c r="T171"/>
    </row>
    <row r="172" spans="2:20" x14ac:dyDescent="0.25">
      <c r="Q172" s="1144"/>
      <c r="R172" s="1144"/>
      <c r="S172" s="1144"/>
      <c r="T172"/>
    </row>
    <row r="173" spans="2:20" x14ac:dyDescent="0.25">
      <c r="B173" t="s">
        <v>3134</v>
      </c>
      <c r="G173" s="255"/>
      <c r="I173" s="505"/>
      <c r="J173" s="256"/>
      <c r="Q173" s="1144"/>
      <c r="R173" s="1144"/>
      <c r="S173" s="1144"/>
      <c r="T173"/>
    </row>
    <row r="174" spans="2:20" x14ac:dyDescent="0.25">
      <c r="Q174" s="1144"/>
      <c r="R174" s="1144"/>
      <c r="S174" s="1144"/>
      <c r="T174"/>
    </row>
    <row r="175" spans="2:20" x14ac:dyDescent="0.25">
      <c r="F175" s="505" t="str">
        <f>F168</f>
        <v>R:</v>
      </c>
      <c r="G175">
        <f>G168</f>
        <v>17.36</v>
      </c>
      <c r="Q175" s="1144"/>
      <c r="R175" s="1144"/>
      <c r="S175" s="1144"/>
      <c r="T175"/>
    </row>
    <row r="176" spans="2:20" x14ac:dyDescent="0.25">
      <c r="F176" s="505"/>
      <c r="Q176" s="1144"/>
      <c r="R176" s="1144"/>
      <c r="S176" s="1144"/>
      <c r="T176"/>
    </row>
    <row r="177" spans="2:20" ht="17.25" x14ac:dyDescent="0.25">
      <c r="F177" s="505" t="s">
        <v>3135</v>
      </c>
      <c r="G177" s="255" t="e">
        <f>10^(0.434*F157/G175+LOG(G170))</f>
        <v>#VALUE!</v>
      </c>
      <c r="H177" t="s">
        <v>6689</v>
      </c>
      <c r="I177" s="505" t="s">
        <v>3135</v>
      </c>
      <c r="J177" s="256" t="e">
        <f>_xlfn.FLOOR.PRECISE(G177,5)</f>
        <v>#VALUE!</v>
      </c>
      <c r="K177" t="s">
        <v>6689</v>
      </c>
      <c r="Q177" s="1144"/>
      <c r="R177" s="1144"/>
      <c r="S177" s="1144"/>
      <c r="T177"/>
    </row>
    <row r="178" spans="2:20" x14ac:dyDescent="0.25">
      <c r="Q178" s="1144"/>
      <c r="R178" s="1144"/>
      <c r="S178" s="1144"/>
      <c r="T178"/>
    </row>
    <row r="179" spans="2:20" x14ac:dyDescent="0.25">
      <c r="Q179" s="1144"/>
      <c r="R179" s="1144"/>
      <c r="S179" s="1144"/>
      <c r="T179"/>
    </row>
    <row r="180" spans="2:20" x14ac:dyDescent="0.25">
      <c r="B180" s="509" t="str">
        <f>B147</f>
        <v>Camada</v>
      </c>
      <c r="C180" s="1624" t="s">
        <v>3136</v>
      </c>
      <c r="D180" s="1625"/>
      <c r="Q180" s="1144"/>
      <c r="R180" s="1144"/>
      <c r="S180" s="1144"/>
      <c r="T180"/>
    </row>
    <row r="181" spans="2:20" ht="17.25" x14ac:dyDescent="0.25">
      <c r="B181" s="509" t="str">
        <f t="shared" ref="B181:B184" si="8">B148</f>
        <v>Revestimento</v>
      </c>
      <c r="C181" s="510">
        <f>J141</f>
        <v>100</v>
      </c>
      <c r="D181" s="511" t="s">
        <v>6689</v>
      </c>
      <c r="Q181" s="1144"/>
      <c r="R181" s="1144"/>
      <c r="S181" s="1144"/>
      <c r="T181"/>
    </row>
    <row r="182" spans="2:20" ht="17.25" x14ac:dyDescent="0.25">
      <c r="B182" s="509" t="str">
        <f t="shared" si="8"/>
        <v>Base</v>
      </c>
      <c r="C182" s="510" t="e">
        <f>J163</f>
        <v>#VALUE!</v>
      </c>
      <c r="D182" s="511" t="s">
        <v>6689</v>
      </c>
      <c r="Q182" s="1144"/>
      <c r="R182" s="1144"/>
      <c r="S182" s="1144"/>
      <c r="T182"/>
    </row>
    <row r="183" spans="2:20" ht="17.25" x14ac:dyDescent="0.25">
      <c r="B183" s="509" t="str">
        <f t="shared" si="8"/>
        <v>Sub-base</v>
      </c>
      <c r="C183" s="510" t="e">
        <f>J170</f>
        <v>#VALUE!</v>
      </c>
      <c r="D183" s="511" t="s">
        <v>6689</v>
      </c>
      <c r="Q183" s="1144"/>
      <c r="R183" s="1144"/>
      <c r="S183" s="1144"/>
      <c r="T183"/>
    </row>
    <row r="184" spans="2:20" ht="17.25" x14ac:dyDescent="0.25">
      <c r="B184" s="509" t="str">
        <f t="shared" si="8"/>
        <v>Sub-leito</v>
      </c>
      <c r="C184" s="510" t="e">
        <f>J177</f>
        <v>#VALUE!</v>
      </c>
      <c r="D184" s="511" t="s">
        <v>6689</v>
      </c>
      <c r="Q184" s="1144"/>
      <c r="R184" s="1144"/>
      <c r="S184" s="1144"/>
      <c r="T184"/>
    </row>
  </sheetData>
  <mergeCells count="7">
    <mergeCell ref="C180:D180"/>
    <mergeCell ref="B1:M1"/>
    <mergeCell ref="AD1:AG1"/>
    <mergeCell ref="C83:D83"/>
    <mergeCell ref="H131:I131"/>
    <mergeCell ref="Q131:Q132"/>
    <mergeCell ref="S131:T131"/>
  </mergeCells>
  <conditionalFormatting sqref="W3:AC3">
    <cfRule type="expression" dxfId="80" priority="5" stopIfTrue="1">
      <formula>$AN$16=TRUE</formula>
    </cfRule>
  </conditionalFormatting>
  <conditionalFormatting sqref="W4:AC4">
    <cfRule type="expression" dxfId="79" priority="4" stopIfTrue="1">
      <formula>$AN$17=TRUE</formula>
    </cfRule>
  </conditionalFormatting>
  <conditionalFormatting sqref="W5:AC5">
    <cfRule type="expression" dxfId="78" priority="3" stopIfTrue="1">
      <formula>$AN$18=TRUE</formula>
    </cfRule>
  </conditionalFormatting>
  <conditionalFormatting sqref="W6:AC6">
    <cfRule type="expression" dxfId="77" priority="2" stopIfTrue="1">
      <formula>$AN$19=TRUE</formula>
    </cfRule>
  </conditionalFormatting>
  <conditionalFormatting sqref="W7:AC7">
    <cfRule type="expression" dxfId="76" priority="1" stopIfTrue="1">
      <formula>$AN$20=TRUE</formula>
    </cfRule>
  </conditionalFormatting>
  <pageMargins left="0.23622047244094491" right="0.23622047244094491" top="1.0629921259842521" bottom="0.94488188976377963" header="0.31496062992125984" footer="0.31496062992125984"/>
  <pageSetup paperSize="9" orientation="landscape" r:id="rId1"/>
  <headerFooter>
    <oddHeader>&amp;C&amp;G</oddHeader>
  </headerFooter>
  <drawing r:id="rId2"/>
  <legacyDrawing r:id="rId3"/>
  <legacyDrawingHF r:id="rId4"/>
  <oleObjects>
    <mc:AlternateContent xmlns:mc="http://schemas.openxmlformats.org/markup-compatibility/2006">
      <mc:Choice Requires="x14">
        <oleObject progId="Equation.3" shapeId="14337" r:id="rId5">
          <objectPr defaultSize="0" r:id="rId6">
            <anchor moveWithCells="1" sizeWithCells="1">
              <from>
                <xdr:col>5</xdr:col>
                <xdr:colOff>371475</xdr:colOff>
                <xdr:row>14</xdr:row>
                <xdr:rowOff>114300</xdr:rowOff>
              </from>
              <to>
                <xdr:col>8</xdr:col>
                <xdr:colOff>361950</xdr:colOff>
                <xdr:row>17</xdr:row>
                <xdr:rowOff>95250</xdr:rowOff>
              </to>
            </anchor>
          </objectPr>
        </oleObject>
      </mc:Choice>
      <mc:Fallback>
        <oleObject progId="Equation.3" shapeId="14337" r:id="rId5"/>
      </mc:Fallback>
    </mc:AlternateContent>
    <mc:AlternateContent xmlns:mc="http://schemas.openxmlformats.org/markup-compatibility/2006">
      <mc:Choice Requires="x14">
        <oleObject progId="Equation.3" shapeId="14338" r:id="rId7">
          <objectPr defaultSize="0" r:id="rId8">
            <anchor moveWithCells="1">
              <from>
                <xdr:col>1</xdr:col>
                <xdr:colOff>238125</xdr:colOff>
                <xdr:row>15</xdr:row>
                <xdr:rowOff>85725</xdr:rowOff>
              </from>
              <to>
                <xdr:col>3</xdr:col>
                <xdr:colOff>95250</xdr:colOff>
                <xdr:row>16</xdr:row>
                <xdr:rowOff>123825</xdr:rowOff>
              </to>
            </anchor>
          </objectPr>
        </oleObject>
      </mc:Choice>
      <mc:Fallback>
        <oleObject progId="Equation.3" shapeId="14338" r:id="rId7"/>
      </mc:Fallback>
    </mc:AlternateContent>
    <mc:AlternateContent xmlns:mc="http://schemas.openxmlformats.org/markup-compatibility/2006">
      <mc:Choice Requires="x14">
        <oleObject progId="Equation.3" shapeId="14339" r:id="rId9">
          <objectPr defaultSize="0" autoPict="0" r:id="rId10">
            <anchor moveWithCells="1">
              <from>
                <xdr:col>1</xdr:col>
                <xdr:colOff>95250</xdr:colOff>
                <xdr:row>45</xdr:row>
                <xdr:rowOff>0</xdr:rowOff>
              </from>
              <to>
                <xdr:col>3</xdr:col>
                <xdr:colOff>361950</xdr:colOff>
                <xdr:row>46</xdr:row>
                <xdr:rowOff>57150</xdr:rowOff>
              </to>
            </anchor>
          </objectPr>
        </oleObject>
      </mc:Choice>
      <mc:Fallback>
        <oleObject progId="Equation.3" shapeId="14339" r:id="rId9"/>
      </mc:Fallback>
    </mc:AlternateContent>
    <mc:AlternateContent xmlns:mc="http://schemas.openxmlformats.org/markup-compatibility/2006">
      <mc:Choice Requires="x14">
        <oleObject progId="Equation.3" shapeId="14340" r:id="rId11">
          <objectPr defaultSize="0" r:id="rId12">
            <anchor moveWithCells="1">
              <from>
                <xdr:col>1</xdr:col>
                <xdr:colOff>28575</xdr:colOff>
                <xdr:row>62</xdr:row>
                <xdr:rowOff>66675</xdr:rowOff>
              </from>
              <to>
                <xdr:col>2</xdr:col>
                <xdr:colOff>590550</xdr:colOff>
                <xdr:row>65</xdr:row>
                <xdr:rowOff>142875</xdr:rowOff>
              </to>
            </anchor>
          </objectPr>
        </oleObject>
      </mc:Choice>
      <mc:Fallback>
        <oleObject progId="Equation.3" shapeId="14340" r:id="rId11"/>
      </mc:Fallback>
    </mc:AlternateContent>
    <mc:AlternateContent xmlns:mc="http://schemas.openxmlformats.org/markup-compatibility/2006">
      <mc:Choice Requires="x14">
        <oleObject progId="Equation.3" shapeId="14341" r:id="rId13">
          <objectPr defaultSize="0" r:id="rId14">
            <anchor moveWithCells="1">
              <from>
                <xdr:col>8</xdr:col>
                <xdr:colOff>76200</xdr:colOff>
                <xdr:row>49</xdr:row>
                <xdr:rowOff>114300</xdr:rowOff>
              </from>
              <to>
                <xdr:col>9</xdr:col>
                <xdr:colOff>104775</xdr:colOff>
                <xdr:row>52</xdr:row>
                <xdr:rowOff>76200</xdr:rowOff>
              </to>
            </anchor>
          </objectPr>
        </oleObject>
      </mc:Choice>
      <mc:Fallback>
        <oleObject progId="Equation.3" shapeId="14341" r:id="rId13"/>
      </mc:Fallback>
    </mc:AlternateContent>
    <mc:AlternateContent xmlns:mc="http://schemas.openxmlformats.org/markup-compatibility/2006">
      <mc:Choice Requires="x14">
        <oleObject progId="Equation.3" shapeId="14342" r:id="rId15">
          <objectPr defaultSize="0" r:id="rId16">
            <anchor moveWithCells="1">
              <from>
                <xdr:col>5</xdr:col>
                <xdr:colOff>209550</xdr:colOff>
                <xdr:row>49</xdr:row>
                <xdr:rowOff>123825</xdr:rowOff>
              </from>
              <to>
                <xdr:col>7</xdr:col>
                <xdr:colOff>409575</xdr:colOff>
                <xdr:row>52</xdr:row>
                <xdr:rowOff>85725</xdr:rowOff>
              </to>
            </anchor>
          </objectPr>
        </oleObject>
      </mc:Choice>
      <mc:Fallback>
        <oleObject progId="Equation.3" shapeId="14342" r:id="rId15"/>
      </mc:Fallback>
    </mc:AlternateContent>
    <mc:AlternateContent xmlns:mc="http://schemas.openxmlformats.org/markup-compatibility/2006">
      <mc:Choice Requires="x14">
        <oleObject progId="Equation.3" shapeId="14343" r:id="rId17">
          <objectPr defaultSize="0" r:id="rId18">
            <anchor moveWithCells="1">
              <from>
                <xdr:col>1</xdr:col>
                <xdr:colOff>28575</xdr:colOff>
                <xdr:row>69</xdr:row>
                <xdr:rowOff>66675</xdr:rowOff>
              </from>
              <to>
                <xdr:col>2</xdr:col>
                <xdr:colOff>590550</xdr:colOff>
                <xdr:row>72</xdr:row>
                <xdr:rowOff>142875</xdr:rowOff>
              </to>
            </anchor>
          </objectPr>
        </oleObject>
      </mc:Choice>
      <mc:Fallback>
        <oleObject progId="Equation.3" shapeId="14343" r:id="rId17"/>
      </mc:Fallback>
    </mc:AlternateContent>
    <mc:AlternateContent xmlns:mc="http://schemas.openxmlformats.org/markup-compatibility/2006">
      <mc:Choice Requires="x14">
        <oleObject progId="Equation.3" shapeId="14344" r:id="rId19">
          <objectPr defaultSize="0" r:id="rId20">
            <anchor moveWithCells="1">
              <from>
                <xdr:col>1</xdr:col>
                <xdr:colOff>28575</xdr:colOff>
                <xdr:row>76</xdr:row>
                <xdr:rowOff>66675</xdr:rowOff>
              </from>
              <to>
                <xdr:col>2</xdr:col>
                <xdr:colOff>590550</xdr:colOff>
                <xdr:row>79</xdr:row>
                <xdr:rowOff>142875</xdr:rowOff>
              </to>
            </anchor>
          </objectPr>
        </oleObject>
      </mc:Choice>
      <mc:Fallback>
        <oleObject progId="Equation.3" shapeId="14344" r:id="rId19"/>
      </mc:Fallback>
    </mc:AlternateContent>
    <mc:AlternateContent xmlns:mc="http://schemas.openxmlformats.org/markup-compatibility/2006">
      <mc:Choice Requires="x14">
        <oleObject progId="Equation.3" shapeId="14345" r:id="rId21">
          <objectPr defaultSize="0" r:id="rId22">
            <anchor moveWithCells="1" sizeWithCells="1">
              <from>
                <xdr:col>5</xdr:col>
                <xdr:colOff>371475</xdr:colOff>
                <xdr:row>94</xdr:row>
                <xdr:rowOff>76200</xdr:rowOff>
              </from>
              <to>
                <xdr:col>8</xdr:col>
                <xdr:colOff>361950</xdr:colOff>
                <xdr:row>97</xdr:row>
                <xdr:rowOff>47625</xdr:rowOff>
              </to>
            </anchor>
          </objectPr>
        </oleObject>
      </mc:Choice>
      <mc:Fallback>
        <oleObject progId="Equation.3" shapeId="14345" r:id="rId21"/>
      </mc:Fallback>
    </mc:AlternateContent>
    <mc:AlternateContent xmlns:mc="http://schemas.openxmlformats.org/markup-compatibility/2006">
      <mc:Choice Requires="x14">
        <oleObject progId="Equation.3" shapeId="14346" r:id="rId23">
          <objectPr defaultSize="0" autoPict="0" r:id="rId24">
            <anchor moveWithCells="1">
              <from>
                <xdr:col>1</xdr:col>
                <xdr:colOff>0</xdr:colOff>
                <xdr:row>95</xdr:row>
                <xdr:rowOff>38100</xdr:rowOff>
              </from>
              <to>
                <xdr:col>2</xdr:col>
                <xdr:colOff>495300</xdr:colOff>
                <xdr:row>96</xdr:row>
                <xdr:rowOff>76200</xdr:rowOff>
              </to>
            </anchor>
          </objectPr>
        </oleObject>
      </mc:Choice>
      <mc:Fallback>
        <oleObject progId="Equation.3" shapeId="14346" r:id="rId23"/>
      </mc:Fallback>
    </mc:AlternateContent>
    <mc:AlternateContent xmlns:mc="http://schemas.openxmlformats.org/markup-compatibility/2006">
      <mc:Choice Requires="x14">
        <oleObject progId="Equation.3" shapeId="14347" r:id="rId25">
          <objectPr defaultSize="0" r:id="rId26">
            <anchor moveWithCells="1">
              <from>
                <xdr:col>5</xdr:col>
                <xdr:colOff>457200</xdr:colOff>
                <xdr:row>99</xdr:row>
                <xdr:rowOff>180975</xdr:rowOff>
              </from>
              <to>
                <xdr:col>6</xdr:col>
                <xdr:colOff>523875</xdr:colOff>
                <xdr:row>101</xdr:row>
                <xdr:rowOff>0</xdr:rowOff>
              </to>
            </anchor>
          </objectPr>
        </oleObject>
      </mc:Choice>
      <mc:Fallback>
        <oleObject progId="Equation.3" shapeId="14347" r:id="rId25"/>
      </mc:Fallback>
    </mc:AlternateContent>
    <mc:AlternateContent xmlns:mc="http://schemas.openxmlformats.org/markup-compatibility/2006">
      <mc:Choice Requires="x14">
        <oleObject progId="Equation.3" shapeId="14348" r:id="rId27">
          <objectPr defaultSize="0" autoPict="0" r:id="rId28">
            <anchor moveWithCells="1">
              <from>
                <xdr:col>1</xdr:col>
                <xdr:colOff>9525</xdr:colOff>
                <xdr:row>106</xdr:row>
                <xdr:rowOff>76200</xdr:rowOff>
              </from>
              <to>
                <xdr:col>4</xdr:col>
                <xdr:colOff>114300</xdr:colOff>
                <xdr:row>108</xdr:row>
                <xdr:rowOff>123825</xdr:rowOff>
              </to>
            </anchor>
          </objectPr>
        </oleObject>
      </mc:Choice>
      <mc:Fallback>
        <oleObject progId="Equation.3" shapeId="14348" r:id="rId27"/>
      </mc:Fallback>
    </mc:AlternateContent>
    <mc:AlternateContent xmlns:mc="http://schemas.openxmlformats.org/markup-compatibility/2006">
      <mc:Choice Requires="x14">
        <oleObject progId="Equation.3" shapeId="14349" r:id="rId29">
          <objectPr defaultSize="0" r:id="rId30">
            <anchor moveWithCells="1">
              <from>
                <xdr:col>1</xdr:col>
                <xdr:colOff>47625</xdr:colOff>
                <xdr:row>110</xdr:row>
                <xdr:rowOff>152400</xdr:rowOff>
              </from>
              <to>
                <xdr:col>1</xdr:col>
                <xdr:colOff>1314450</xdr:colOff>
                <xdr:row>112</xdr:row>
                <xdr:rowOff>9525</xdr:rowOff>
              </to>
            </anchor>
          </objectPr>
        </oleObject>
      </mc:Choice>
      <mc:Fallback>
        <oleObject progId="Equation.3" shapeId="14349" r:id="rId29"/>
      </mc:Fallback>
    </mc:AlternateContent>
    <mc:AlternateContent xmlns:mc="http://schemas.openxmlformats.org/markup-compatibility/2006">
      <mc:Choice Requires="x14">
        <oleObject progId="Equation.3" shapeId="14350" r:id="rId31">
          <objectPr defaultSize="0" r:id="rId32">
            <anchor moveWithCells="1">
              <from>
                <xdr:col>1</xdr:col>
                <xdr:colOff>1266825</xdr:colOff>
                <xdr:row>121</xdr:row>
                <xdr:rowOff>47625</xdr:rowOff>
              </from>
              <to>
                <xdr:col>3</xdr:col>
                <xdr:colOff>57150</xdr:colOff>
                <xdr:row>123</xdr:row>
                <xdr:rowOff>76200</xdr:rowOff>
              </to>
            </anchor>
          </objectPr>
        </oleObject>
      </mc:Choice>
      <mc:Fallback>
        <oleObject progId="Equation.3" shapeId="14350" r:id="rId31"/>
      </mc:Fallback>
    </mc:AlternateContent>
    <mc:AlternateContent xmlns:mc="http://schemas.openxmlformats.org/markup-compatibility/2006">
      <mc:Choice Requires="x14">
        <oleObject progId="Equation.3" shapeId="14351" r:id="rId33">
          <objectPr defaultSize="0" r:id="rId34">
            <anchor moveWithCells="1">
              <from>
                <xdr:col>6</xdr:col>
                <xdr:colOff>247650</xdr:colOff>
                <xdr:row>121</xdr:row>
                <xdr:rowOff>104775</xdr:rowOff>
              </from>
              <to>
                <xdr:col>8</xdr:col>
                <xdr:colOff>104775</xdr:colOff>
                <xdr:row>124</xdr:row>
                <xdr:rowOff>19050</xdr:rowOff>
              </to>
            </anchor>
          </objectPr>
        </oleObject>
      </mc:Choice>
      <mc:Fallback>
        <oleObject progId="Equation.3" shapeId="14351" r:id="rId33"/>
      </mc:Fallback>
    </mc:AlternateContent>
    <mc:AlternateContent xmlns:mc="http://schemas.openxmlformats.org/markup-compatibility/2006">
      <mc:Choice Requires="x14">
        <oleObject progId="Equation.3" shapeId="14352" r:id="rId35">
          <objectPr defaultSize="0" autoPict="0" r:id="rId36">
            <anchor moveWithCells="1">
              <from>
                <xdr:col>1</xdr:col>
                <xdr:colOff>95250</xdr:colOff>
                <xdr:row>142</xdr:row>
                <xdr:rowOff>0</xdr:rowOff>
              </from>
              <to>
                <xdr:col>3</xdr:col>
                <xdr:colOff>323850</xdr:colOff>
                <xdr:row>143</xdr:row>
                <xdr:rowOff>57150</xdr:rowOff>
              </to>
            </anchor>
          </objectPr>
        </oleObject>
      </mc:Choice>
      <mc:Fallback>
        <oleObject progId="Equation.3" shapeId="14352" r:id="rId35"/>
      </mc:Fallback>
    </mc:AlternateContent>
    <mc:AlternateContent xmlns:mc="http://schemas.openxmlformats.org/markup-compatibility/2006">
      <mc:Choice Requires="x14">
        <oleObject progId="Equation.3" shapeId="14353" r:id="rId37">
          <objectPr defaultSize="0" r:id="rId38">
            <anchor moveWithCells="1">
              <from>
                <xdr:col>1</xdr:col>
                <xdr:colOff>28575</xdr:colOff>
                <xdr:row>159</xdr:row>
                <xdr:rowOff>66675</xdr:rowOff>
              </from>
              <to>
                <xdr:col>2</xdr:col>
                <xdr:colOff>590550</xdr:colOff>
                <xdr:row>162</xdr:row>
                <xdr:rowOff>142875</xdr:rowOff>
              </to>
            </anchor>
          </objectPr>
        </oleObject>
      </mc:Choice>
      <mc:Fallback>
        <oleObject progId="Equation.3" shapeId="14353" r:id="rId37"/>
      </mc:Fallback>
    </mc:AlternateContent>
    <mc:AlternateContent xmlns:mc="http://schemas.openxmlformats.org/markup-compatibility/2006">
      <mc:Choice Requires="x14">
        <oleObject progId="Equation.3" shapeId="14354" r:id="rId39">
          <objectPr defaultSize="0" autoPict="0" r:id="rId40">
            <anchor moveWithCells="1">
              <from>
                <xdr:col>8</xdr:col>
                <xdr:colOff>76200</xdr:colOff>
                <xdr:row>146</xdr:row>
                <xdr:rowOff>114300</xdr:rowOff>
              </from>
              <to>
                <xdr:col>9</xdr:col>
                <xdr:colOff>142875</xdr:colOff>
                <xdr:row>149</xdr:row>
                <xdr:rowOff>76200</xdr:rowOff>
              </to>
            </anchor>
          </objectPr>
        </oleObject>
      </mc:Choice>
      <mc:Fallback>
        <oleObject progId="Equation.3" shapeId="14354" r:id="rId39"/>
      </mc:Fallback>
    </mc:AlternateContent>
    <mc:AlternateContent xmlns:mc="http://schemas.openxmlformats.org/markup-compatibility/2006">
      <mc:Choice Requires="x14">
        <oleObject progId="Equation.3" shapeId="14355" r:id="rId41">
          <objectPr defaultSize="0" r:id="rId16">
            <anchor moveWithCells="1">
              <from>
                <xdr:col>5</xdr:col>
                <xdr:colOff>209550</xdr:colOff>
                <xdr:row>146</xdr:row>
                <xdr:rowOff>123825</xdr:rowOff>
              </from>
              <to>
                <xdr:col>7</xdr:col>
                <xdr:colOff>419100</xdr:colOff>
                <xdr:row>149</xdr:row>
                <xdr:rowOff>85725</xdr:rowOff>
              </to>
            </anchor>
          </objectPr>
        </oleObject>
      </mc:Choice>
      <mc:Fallback>
        <oleObject progId="Equation.3" shapeId="14355" r:id="rId41"/>
      </mc:Fallback>
    </mc:AlternateContent>
    <mc:AlternateContent xmlns:mc="http://schemas.openxmlformats.org/markup-compatibility/2006">
      <mc:Choice Requires="x14">
        <oleObject progId="Equation.3" shapeId="14356" r:id="rId42">
          <objectPr defaultSize="0" r:id="rId18">
            <anchor moveWithCells="1">
              <from>
                <xdr:col>1</xdr:col>
                <xdr:colOff>28575</xdr:colOff>
                <xdr:row>166</xdr:row>
                <xdr:rowOff>66675</xdr:rowOff>
              </from>
              <to>
                <xdr:col>2</xdr:col>
                <xdr:colOff>590550</xdr:colOff>
                <xdr:row>169</xdr:row>
                <xdr:rowOff>152400</xdr:rowOff>
              </to>
            </anchor>
          </objectPr>
        </oleObject>
      </mc:Choice>
      <mc:Fallback>
        <oleObject progId="Equation.3" shapeId="14356" r:id="rId42"/>
      </mc:Fallback>
    </mc:AlternateContent>
    <mc:AlternateContent xmlns:mc="http://schemas.openxmlformats.org/markup-compatibility/2006">
      <mc:Choice Requires="x14">
        <oleObject progId="Equation.3" shapeId="14357" r:id="rId43">
          <objectPr defaultSize="0" r:id="rId20">
            <anchor moveWithCells="1">
              <from>
                <xdr:col>1</xdr:col>
                <xdr:colOff>28575</xdr:colOff>
                <xdr:row>173</xdr:row>
                <xdr:rowOff>66675</xdr:rowOff>
              </from>
              <to>
                <xdr:col>2</xdr:col>
                <xdr:colOff>590550</xdr:colOff>
                <xdr:row>176</xdr:row>
                <xdr:rowOff>152400</xdr:rowOff>
              </to>
            </anchor>
          </objectPr>
        </oleObject>
      </mc:Choice>
      <mc:Fallback>
        <oleObject progId="Equation.3" shapeId="14357" r:id="rId43"/>
      </mc:Fallback>
    </mc:AlternateContent>
    <mc:AlternateContent xmlns:mc="http://schemas.openxmlformats.org/markup-compatibility/2006">
      <mc:Choice Requires="x14">
        <oleObject progId="Equation.3" shapeId="14358" r:id="rId44">
          <objectPr defaultSize="0" r:id="rId45">
            <anchor moveWithCells="1">
              <from>
                <xdr:col>0</xdr:col>
                <xdr:colOff>571500</xdr:colOff>
                <xdr:row>99</xdr:row>
                <xdr:rowOff>152400</xdr:rowOff>
              </from>
              <to>
                <xdr:col>2</xdr:col>
                <xdr:colOff>381000</xdr:colOff>
                <xdr:row>100</xdr:row>
                <xdr:rowOff>152400</xdr:rowOff>
              </to>
            </anchor>
          </objectPr>
        </oleObject>
      </mc:Choice>
      <mc:Fallback>
        <oleObject progId="Equation.3" shapeId="14358" r:id="rId4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M56"/>
  <sheetViews>
    <sheetView view="pageBreakPreview" zoomScale="80" zoomScaleNormal="80" zoomScaleSheetLayoutView="80" workbookViewId="0">
      <selection activeCell="O26" sqref="O26:Z27"/>
    </sheetView>
  </sheetViews>
  <sheetFormatPr defaultColWidth="9.140625" defaultRowHeight="12.75" x14ac:dyDescent="0.2"/>
  <cols>
    <col min="1" max="1" width="9.140625" style="127"/>
    <col min="2" max="2" width="6.42578125" style="127" customWidth="1"/>
    <col min="3" max="3" width="12.28515625" style="127" customWidth="1"/>
    <col min="4" max="4" width="30.28515625" style="127" customWidth="1"/>
    <col min="5" max="5" width="12" style="127" customWidth="1"/>
    <col min="6" max="6" width="14.28515625" style="127" bestFit="1" customWidth="1"/>
    <col min="7" max="7" width="12" style="127" customWidth="1"/>
    <col min="8" max="8" width="6.5703125" style="127" bestFit="1" customWidth="1"/>
    <col min="9" max="9" width="21.5703125" style="127" bestFit="1" customWidth="1"/>
    <col min="10" max="10" width="5.7109375" style="127" bestFit="1" customWidth="1"/>
    <col min="11" max="11" width="15.7109375" style="127" bestFit="1" customWidth="1"/>
    <col min="12" max="16384" width="9.140625" style="127"/>
  </cols>
  <sheetData>
    <row r="1" spans="1:10" ht="13.5" thickBot="1" x14ac:dyDescent="0.25">
      <c r="B1" s="1647" t="s">
        <v>0</v>
      </c>
      <c r="C1" s="1647"/>
      <c r="D1" s="1647"/>
      <c r="E1" s="1647"/>
      <c r="F1" s="1647"/>
      <c r="G1" s="1647"/>
    </row>
    <row r="2" spans="1:10" ht="13.5" hidden="1" thickBot="1" x14ac:dyDescent="0.25">
      <c r="B2" s="6"/>
      <c r="C2" s="6"/>
      <c r="D2" s="6"/>
      <c r="E2" s="6"/>
      <c r="F2" s="7"/>
      <c r="G2" s="130"/>
    </row>
    <row r="3" spans="1:10" ht="15.75" customHeight="1" thickBot="1" x14ac:dyDescent="0.25">
      <c r="B3" s="1648" t="s">
        <v>2554</v>
      </c>
      <c r="C3" s="1649"/>
      <c r="D3" s="1649"/>
      <c r="E3" s="1649"/>
      <c r="F3" s="1649"/>
      <c r="G3" s="1650"/>
    </row>
    <row r="4" spans="1:10" s="2" customFormat="1" ht="13.5" hidden="1" thickBot="1" x14ac:dyDescent="0.3">
      <c r="B4" s="13"/>
      <c r="C4" s="13"/>
      <c r="D4" s="13"/>
      <c r="E4" s="13"/>
      <c r="F4" s="131"/>
      <c r="G4" s="131"/>
      <c r="H4" s="131"/>
      <c r="I4" s="132"/>
    </row>
    <row r="5" spans="1:10" ht="15" x14ac:dyDescent="0.2">
      <c r="B5" s="281" t="str">
        <f>oR!E5</f>
        <v>PROPRIETÁRIO:</v>
      </c>
      <c r="C5" s="282"/>
      <c r="D5" s="1651" t="str">
        <f>oR!G5</f>
        <v>MUNICÍPIO DE PRESIDENTE CASTELLO BRANCO</v>
      </c>
      <c r="E5" s="1652"/>
      <c r="F5" s="1652"/>
      <c r="G5" s="1653"/>
      <c r="H5" s="2"/>
      <c r="I5" s="128"/>
      <c r="J5" s="129"/>
    </row>
    <row r="6" spans="1:10" ht="15" customHeight="1" x14ac:dyDescent="0.2">
      <c r="B6" s="283" t="str">
        <f>oR!E6</f>
        <v>OBRA:</v>
      </c>
      <c r="C6" s="284"/>
      <c r="D6" s="285" t="str">
        <f>oR!G6</f>
        <v>IMPLANTAÇÃO E PAVIMENTAÇÃO DA ESTRADA DE LINHA TAQUARAL - SEGMENTO 01</v>
      </c>
      <c r="E6" s="285"/>
      <c r="F6" s="286"/>
      <c r="G6" s="287"/>
      <c r="H6" s="2"/>
      <c r="I6" s="128"/>
      <c r="J6" s="129"/>
    </row>
    <row r="7" spans="1:10" ht="12.75" customHeight="1" x14ac:dyDescent="0.2">
      <c r="B7" s="283" t="str">
        <f>oR!E7</f>
        <v>TRECHO:</v>
      </c>
      <c r="C7" s="284"/>
      <c r="D7" s="1654" t="str">
        <f>oR!G7</f>
        <v>Av. Dezessete de Fevereiro - Fim da pavimentação (Km 2+200m)</v>
      </c>
      <c r="E7" s="1655"/>
      <c r="F7" s="1655"/>
      <c r="G7" s="1656"/>
      <c r="H7" s="2"/>
      <c r="J7" s="129"/>
    </row>
    <row r="8" spans="1:10" ht="15.75" thickBot="1" x14ac:dyDescent="0.25">
      <c r="B8" s="288"/>
      <c r="C8" s="289"/>
      <c r="D8" s="1662"/>
      <c r="E8" s="1663"/>
      <c r="F8" s="1663"/>
      <c r="G8" s="1664"/>
      <c r="H8" s="2"/>
      <c r="I8" s="128"/>
      <c r="J8" s="129"/>
    </row>
    <row r="9" spans="1:10" s="2" customFormat="1" x14ac:dyDescent="0.25">
      <c r="B9" s="13"/>
      <c r="C9" s="13"/>
      <c r="D9" s="13"/>
      <c r="E9" s="13"/>
      <c r="F9" s="131"/>
      <c r="G9" s="131"/>
      <c r="H9" s="131"/>
      <c r="I9" s="132"/>
    </row>
    <row r="10" spans="1:10" s="2" customFormat="1" ht="39" customHeight="1" x14ac:dyDescent="0.25">
      <c r="A10" s="133"/>
      <c r="B10" s="1633" t="s">
        <v>7261</v>
      </c>
      <c r="C10" s="1634"/>
      <c r="D10" s="1634"/>
      <c r="E10" s="1634"/>
      <c r="F10" s="1634"/>
      <c r="G10" s="1634"/>
      <c r="H10" s="131"/>
      <c r="I10" s="132"/>
    </row>
    <row r="11" spans="1:10" s="2" customFormat="1" x14ac:dyDescent="0.25">
      <c r="B11" s="1633" t="s">
        <v>13600</v>
      </c>
      <c r="C11" s="1634"/>
      <c r="D11" s="1634"/>
      <c r="E11" s="1634"/>
      <c r="F11" s="1634"/>
      <c r="G11" s="1634"/>
      <c r="H11" s="131"/>
      <c r="I11" s="132"/>
    </row>
    <row r="12" spans="1:10" s="2" customFormat="1" ht="25.5" x14ac:dyDescent="0.25">
      <c r="A12" s="134"/>
      <c r="B12" s="1633" t="s">
        <v>7262</v>
      </c>
      <c r="C12" s="1634"/>
      <c r="D12" s="1634"/>
      <c r="E12" s="1634"/>
      <c r="F12" s="1634"/>
      <c r="G12" s="1634"/>
      <c r="H12" s="131"/>
      <c r="I12" s="132"/>
    </row>
    <row r="13" spans="1:10" s="2" customFormat="1" ht="5.0999999999999996" customHeight="1" thickBot="1" x14ac:dyDescent="0.3">
      <c r="B13" s="13"/>
      <c r="C13" s="13"/>
      <c r="D13" s="13"/>
      <c r="E13" s="13"/>
      <c r="F13" s="131"/>
      <c r="G13" s="132"/>
    </row>
    <row r="14" spans="1:10" s="2" customFormat="1" ht="13.5" thickBot="1" x14ac:dyDescent="0.25">
      <c r="B14" s="13"/>
      <c r="C14" s="202" t="s">
        <v>2555</v>
      </c>
      <c r="D14" s="203"/>
      <c r="E14" s="203"/>
      <c r="F14" s="204"/>
      <c r="G14" s="132"/>
    </row>
    <row r="15" spans="1:10" s="2" customFormat="1" x14ac:dyDescent="0.2">
      <c r="B15" s="13"/>
      <c r="C15" s="1657" t="s">
        <v>2556</v>
      </c>
      <c r="D15" s="1659" t="s">
        <v>2557</v>
      </c>
      <c r="E15" s="1659"/>
      <c r="F15" s="1660">
        <v>-1</v>
      </c>
    </row>
    <row r="16" spans="1:10" s="2" customFormat="1" ht="13.5" thickBot="1" x14ac:dyDescent="0.3">
      <c r="B16" s="13"/>
      <c r="C16" s="1658"/>
      <c r="D16" s="1661" t="s">
        <v>2558</v>
      </c>
      <c r="E16" s="1661"/>
      <c r="F16" s="1646"/>
    </row>
    <row r="17" spans="1:13" s="2" customFormat="1" ht="5.0999999999999996" customHeight="1" x14ac:dyDescent="0.25">
      <c r="B17" s="13"/>
      <c r="C17" s="13"/>
      <c r="D17" s="13"/>
      <c r="E17" s="13"/>
      <c r="F17" s="131"/>
      <c r="G17" s="132"/>
    </row>
    <row r="18" spans="1:13" s="2" customFormat="1" ht="26.25" thickBot="1" x14ac:dyDescent="0.3">
      <c r="A18" s="134"/>
      <c r="B18" s="1633" t="s">
        <v>4599</v>
      </c>
      <c r="C18" s="1634"/>
      <c r="D18" s="1634"/>
      <c r="E18" s="1634"/>
      <c r="F18" s="1634"/>
      <c r="G18" s="1634"/>
      <c r="H18" s="131"/>
      <c r="I18" s="132"/>
    </row>
    <row r="19" spans="1:13" s="2" customFormat="1" ht="15.75" customHeight="1" thickBot="1" x14ac:dyDescent="0.3">
      <c r="B19" s="1635" t="s">
        <v>4598</v>
      </c>
      <c r="C19" s="1636"/>
      <c r="D19" s="1636"/>
      <c r="E19" s="1636"/>
      <c r="F19" s="1636"/>
      <c r="G19" s="1637"/>
    </row>
    <row r="20" spans="1:13" s="2" customFormat="1" ht="15.75" customHeight="1" thickBot="1" x14ac:dyDescent="0.25">
      <c r="B20" s="1638" t="s">
        <v>2559</v>
      </c>
      <c r="C20" s="1639"/>
      <c r="D20" s="1640"/>
      <c r="E20" s="210" t="s">
        <v>2560</v>
      </c>
      <c r="F20" s="210" t="s">
        <v>2561</v>
      </c>
      <c r="G20" s="211" t="s">
        <v>2562</v>
      </c>
    </row>
    <row r="21" spans="1:13" s="2" customFormat="1" x14ac:dyDescent="0.2">
      <c r="B21" s="135" t="s">
        <v>2563</v>
      </c>
      <c r="C21" s="136" t="s">
        <v>2564</v>
      </c>
      <c r="D21" s="137"/>
      <c r="E21" s="138">
        <f>AVERAGE(F21:G21)</f>
        <v>4.24</v>
      </c>
      <c r="F21" s="139">
        <v>3.8</v>
      </c>
      <c r="G21" s="140">
        <v>4.67</v>
      </c>
      <c r="H21" s="141">
        <f>E21/100</f>
        <v>4.24E-2</v>
      </c>
    </row>
    <row r="22" spans="1:13" s="2" customFormat="1" ht="15" x14ac:dyDescent="0.2">
      <c r="B22" s="142" t="s">
        <v>2565</v>
      </c>
      <c r="C22" s="143" t="s">
        <v>2566</v>
      </c>
      <c r="D22" s="144"/>
      <c r="E22" s="138">
        <f>AVERAGE(F22:G22)</f>
        <v>0.53</v>
      </c>
      <c r="F22" s="139">
        <v>0.32</v>
      </c>
      <c r="G22" s="140">
        <v>0.74</v>
      </c>
      <c r="H22" s="141">
        <f t="shared" ref="H22:H25" si="0">E22/100</f>
        <v>5.3E-3</v>
      </c>
      <c r="M22" s="352"/>
    </row>
    <row r="23" spans="1:13" s="2" customFormat="1" x14ac:dyDescent="0.2">
      <c r="B23" s="142" t="s">
        <v>2567</v>
      </c>
      <c r="C23" s="143" t="s">
        <v>2568</v>
      </c>
      <c r="D23" s="144"/>
      <c r="E23" s="138">
        <f t="shared" ref="E23:E25" si="1">AVERAGE(F23:G23)</f>
        <v>0.74</v>
      </c>
      <c r="F23" s="139">
        <v>0.5</v>
      </c>
      <c r="G23" s="140">
        <v>0.97</v>
      </c>
      <c r="H23" s="141">
        <f t="shared" si="0"/>
        <v>7.4000000000000003E-3</v>
      </c>
    </row>
    <row r="24" spans="1:13" s="2" customFormat="1" x14ac:dyDescent="0.2">
      <c r="B24" s="142" t="s">
        <v>2569</v>
      </c>
      <c r="C24" s="145" t="s">
        <v>2570</v>
      </c>
      <c r="D24" s="146"/>
      <c r="E24" s="138">
        <v>1.1100000000000001</v>
      </c>
      <c r="F24" s="139">
        <v>1.02</v>
      </c>
      <c r="G24" s="140">
        <v>1.21</v>
      </c>
      <c r="H24" s="141">
        <f t="shared" si="0"/>
        <v>1.11E-2</v>
      </c>
    </row>
    <row r="25" spans="1:13" s="2" customFormat="1" x14ac:dyDescent="0.2">
      <c r="B25" s="142" t="s">
        <v>131</v>
      </c>
      <c r="C25" s="143" t="s">
        <v>2571</v>
      </c>
      <c r="D25" s="144"/>
      <c r="E25" s="138">
        <f t="shared" si="1"/>
        <v>7.67</v>
      </c>
      <c r="F25" s="139">
        <v>6.64</v>
      </c>
      <c r="G25" s="140">
        <v>8.69</v>
      </c>
      <c r="H25" s="141">
        <f t="shared" si="0"/>
        <v>7.6700000000000004E-2</v>
      </c>
    </row>
    <row r="26" spans="1:13" s="2" customFormat="1" x14ac:dyDescent="0.2">
      <c r="B26" s="142" t="s">
        <v>60</v>
      </c>
      <c r="C26" s="145" t="s">
        <v>2572</v>
      </c>
      <c r="D26" s="146"/>
      <c r="E26" s="147">
        <f>E27+E28+E29</f>
        <v>7.65</v>
      </c>
      <c r="F26" s="1641" t="s">
        <v>2573</v>
      </c>
      <c r="G26" s="1642"/>
    </row>
    <row r="27" spans="1:13" s="2" customFormat="1" x14ac:dyDescent="0.2">
      <c r="B27" s="142"/>
      <c r="C27" s="148"/>
      <c r="D27" s="149" t="s">
        <v>2574</v>
      </c>
      <c r="E27" s="150">
        <v>0.65</v>
      </c>
      <c r="F27" s="1643"/>
      <c r="G27" s="1644"/>
    </row>
    <row r="28" spans="1:13" s="2" customFormat="1" x14ac:dyDescent="0.2">
      <c r="B28" s="142"/>
      <c r="C28" s="151"/>
      <c r="D28" s="152" t="s">
        <v>2575</v>
      </c>
      <c r="E28" s="150">
        <v>3</v>
      </c>
      <c r="F28" s="1643"/>
      <c r="G28" s="1644"/>
      <c r="I28" s="2" t="s">
        <v>2577</v>
      </c>
      <c r="J28" s="2">
        <v>4</v>
      </c>
      <c r="K28" s="2" t="s">
        <v>15</v>
      </c>
    </row>
    <row r="29" spans="1:13" s="2" customFormat="1" x14ac:dyDescent="0.2">
      <c r="B29" s="142"/>
      <c r="C29" s="148"/>
      <c r="D29" s="153" t="s">
        <v>2576</v>
      </c>
      <c r="E29" s="147">
        <f>J28*J29</f>
        <v>4</v>
      </c>
      <c r="F29" s="1643"/>
      <c r="G29" s="1644"/>
      <c r="I29" s="2" t="s">
        <v>2578</v>
      </c>
      <c r="J29" s="154">
        <v>1</v>
      </c>
      <c r="K29" s="2" t="s">
        <v>2579</v>
      </c>
    </row>
    <row r="30" spans="1:13" s="2" customFormat="1" ht="13.5" thickBot="1" x14ac:dyDescent="0.25">
      <c r="B30" s="155" t="s">
        <v>60</v>
      </c>
      <c r="C30" s="156" t="s">
        <v>3614</v>
      </c>
      <c r="D30" s="157"/>
      <c r="E30" s="158">
        <f>IF(E1="desonerados",SUM(E27:E29),E26)</f>
        <v>7.65</v>
      </c>
      <c r="F30" s="1645"/>
      <c r="G30" s="1646"/>
      <c r="H30" s="141">
        <f t="shared" ref="H30" si="2">E30/100</f>
        <v>7.6499999999999999E-2</v>
      </c>
    </row>
    <row r="31" spans="1:13" ht="13.5" thickBot="1" x14ac:dyDescent="0.25">
      <c r="C31" s="205" t="s">
        <v>2580</v>
      </c>
      <c r="D31" s="206"/>
      <c r="E31" s="207">
        <f>(((1+H21+H22+H23)*(1+H24)*(1+H25))/(1-H30))-1</f>
        <v>0.24379999999999999</v>
      </c>
      <c r="G31" s="159"/>
    </row>
    <row r="32" spans="1:13" ht="5.0999999999999996" customHeight="1" x14ac:dyDescent="0.2">
      <c r="G32" s="159"/>
    </row>
    <row r="33" spans="1:13" s="2" customFormat="1" ht="39" customHeight="1" thickBot="1" x14ac:dyDescent="0.3">
      <c r="A33" s="134"/>
      <c r="B33" s="1633" t="s">
        <v>4600</v>
      </c>
      <c r="C33" s="1634"/>
      <c r="D33" s="1634"/>
      <c r="E33" s="1634"/>
      <c r="F33" s="1634"/>
      <c r="G33" s="1634"/>
      <c r="H33" s="131"/>
      <c r="I33" s="132"/>
    </row>
    <row r="34" spans="1:13" s="2" customFormat="1" ht="15.75" customHeight="1" thickBot="1" x14ac:dyDescent="0.3">
      <c r="B34" s="1635" t="s">
        <v>4601</v>
      </c>
      <c r="C34" s="1636"/>
      <c r="D34" s="1636"/>
      <c r="E34" s="1636"/>
      <c r="F34" s="1636"/>
      <c r="G34" s="1637"/>
    </row>
    <row r="35" spans="1:13" s="2" customFormat="1" ht="15.75" customHeight="1" thickBot="1" x14ac:dyDescent="0.25">
      <c r="B35" s="1638" t="s">
        <v>2559</v>
      </c>
      <c r="C35" s="1639"/>
      <c r="D35" s="1640"/>
      <c r="E35" s="210" t="s">
        <v>2560</v>
      </c>
      <c r="F35" s="210" t="s">
        <v>2561</v>
      </c>
      <c r="G35" s="211" t="s">
        <v>2562</v>
      </c>
    </row>
    <row r="36" spans="1:13" s="2" customFormat="1" x14ac:dyDescent="0.2">
      <c r="B36" s="135" t="s">
        <v>2563</v>
      </c>
      <c r="C36" s="136" t="s">
        <v>2564</v>
      </c>
      <c r="D36" s="137"/>
      <c r="E36" s="138">
        <f>E21-I36</f>
        <v>4.24</v>
      </c>
      <c r="F36" s="139">
        <v>1.5</v>
      </c>
      <c r="G36" s="140">
        <v>4.49</v>
      </c>
      <c r="H36" s="141">
        <f>E36/100</f>
        <v>4.24E-2</v>
      </c>
      <c r="I36" s="2">
        <v>0</v>
      </c>
    </row>
    <row r="37" spans="1:13" s="2" customFormat="1" ht="15" x14ac:dyDescent="0.2">
      <c r="B37" s="142" t="s">
        <v>2565</v>
      </c>
      <c r="C37" s="143" t="s">
        <v>2566</v>
      </c>
      <c r="D37" s="144"/>
      <c r="E37" s="138">
        <f>E22-I37</f>
        <v>0.53</v>
      </c>
      <c r="F37" s="139">
        <v>0.3</v>
      </c>
      <c r="G37" s="140">
        <v>0.82</v>
      </c>
      <c r="H37" s="141">
        <f t="shared" ref="H37:H40" si="3">E37/100</f>
        <v>5.3E-3</v>
      </c>
      <c r="M37" s="352"/>
    </row>
    <row r="38" spans="1:13" s="2" customFormat="1" x14ac:dyDescent="0.2">
      <c r="B38" s="142" t="s">
        <v>2567</v>
      </c>
      <c r="C38" s="143" t="s">
        <v>2568</v>
      </c>
      <c r="D38" s="144"/>
      <c r="E38" s="138">
        <f>E23-I38</f>
        <v>0.74</v>
      </c>
      <c r="F38" s="139">
        <v>0.56000000000000005</v>
      </c>
      <c r="G38" s="140">
        <v>0.89</v>
      </c>
      <c r="H38" s="141">
        <f t="shared" si="3"/>
        <v>7.4000000000000003E-3</v>
      </c>
    </row>
    <row r="39" spans="1:13" s="2" customFormat="1" x14ac:dyDescent="0.2">
      <c r="B39" s="142" t="s">
        <v>2569</v>
      </c>
      <c r="C39" s="145" t="s">
        <v>2570</v>
      </c>
      <c r="D39" s="146"/>
      <c r="E39" s="138">
        <f>E24-I39</f>
        <v>1.1100000000000001</v>
      </c>
      <c r="F39" s="139">
        <v>0.85</v>
      </c>
      <c r="G39" s="140">
        <v>1.1100000000000001</v>
      </c>
      <c r="H39" s="141">
        <f t="shared" si="3"/>
        <v>1.11E-2</v>
      </c>
    </row>
    <row r="40" spans="1:13" s="2" customFormat="1" x14ac:dyDescent="0.2">
      <c r="B40" s="142" t="s">
        <v>131</v>
      </c>
      <c r="C40" s="143" t="s">
        <v>2571</v>
      </c>
      <c r="D40" s="144"/>
      <c r="E40" s="138">
        <f>E25-I40</f>
        <v>5.67</v>
      </c>
      <c r="F40" s="139">
        <v>3.5</v>
      </c>
      <c r="G40" s="140">
        <v>6.22</v>
      </c>
      <c r="H40" s="141">
        <f t="shared" si="3"/>
        <v>5.67E-2</v>
      </c>
      <c r="I40" s="2">
        <v>2</v>
      </c>
    </row>
    <row r="41" spans="1:13" s="2" customFormat="1" x14ac:dyDescent="0.2">
      <c r="B41" s="142" t="s">
        <v>60</v>
      </c>
      <c r="C41" s="145" t="s">
        <v>2572</v>
      </c>
      <c r="D41" s="146"/>
      <c r="E41" s="147">
        <f>E42+E43+E44</f>
        <v>3.65</v>
      </c>
      <c r="F41" s="1641" t="s">
        <v>2573</v>
      </c>
      <c r="G41" s="1642"/>
    </row>
    <row r="42" spans="1:13" s="2" customFormat="1" x14ac:dyDescent="0.2">
      <c r="B42" s="142"/>
      <c r="C42" s="148"/>
      <c r="D42" s="149" t="s">
        <v>2574</v>
      </c>
      <c r="E42" s="150">
        <v>0.65</v>
      </c>
      <c r="F42" s="1643"/>
      <c r="G42" s="1644"/>
    </row>
    <row r="43" spans="1:13" s="2" customFormat="1" x14ac:dyDescent="0.2">
      <c r="B43" s="142"/>
      <c r="C43" s="151"/>
      <c r="D43" s="152" t="s">
        <v>2575</v>
      </c>
      <c r="E43" s="150">
        <v>3</v>
      </c>
      <c r="F43" s="1643"/>
      <c r="G43" s="1644"/>
    </row>
    <row r="44" spans="1:13" s="2" customFormat="1" x14ac:dyDescent="0.2">
      <c r="B44" s="142"/>
      <c r="C44" s="148"/>
      <c r="D44" s="153" t="s">
        <v>2576</v>
      </c>
      <c r="E44" s="147">
        <f>J44*J45</f>
        <v>0</v>
      </c>
      <c r="F44" s="1643"/>
      <c r="G44" s="1644"/>
    </row>
    <row r="45" spans="1:13" s="2" customFormat="1" ht="13.5" thickBot="1" x14ac:dyDescent="0.25">
      <c r="B45" s="155" t="s">
        <v>60</v>
      </c>
      <c r="C45" s="156" t="s">
        <v>3614</v>
      </c>
      <c r="D45" s="157"/>
      <c r="E45" s="158">
        <f>IF(E15="desonerados",SUM(E42:E44),E41)</f>
        <v>3.65</v>
      </c>
      <c r="F45" s="1645"/>
      <c r="G45" s="1646"/>
      <c r="H45" s="141">
        <f t="shared" ref="H45" si="4">E45/100</f>
        <v>3.6499999999999998E-2</v>
      </c>
      <c r="J45" s="154"/>
    </row>
    <row r="46" spans="1:13" ht="13.5" thickBot="1" x14ac:dyDescent="0.25">
      <c r="C46" s="205" t="s">
        <v>2580</v>
      </c>
      <c r="D46" s="206"/>
      <c r="E46" s="207">
        <f>(((1+H36+H37+H38)*(1+H39)*(1+H40))/(1-H45))-1</f>
        <v>0.17</v>
      </c>
      <c r="G46" s="159"/>
      <c r="H46" s="838">
        <f>E31-E46</f>
        <v>7.3800000000000004E-2</v>
      </c>
    </row>
    <row r="47" spans="1:13" x14ac:dyDescent="0.2">
      <c r="G47" s="159"/>
    </row>
    <row r="48" spans="1:13" x14ac:dyDescent="0.2">
      <c r="B48" s="160" t="str">
        <f>oR!$E$387</f>
        <v>Presidente Castello Branco - SC, novembro de 2022.</v>
      </c>
      <c r="G48" s="161"/>
    </row>
    <row r="49" spans="4:6" hidden="1" x14ac:dyDescent="0.2">
      <c r="E49" s="162"/>
    </row>
    <row r="50" spans="4:6" hidden="1" x14ac:dyDescent="0.2">
      <c r="E50" s="162"/>
    </row>
    <row r="51" spans="4:6" x14ac:dyDescent="0.2">
      <c r="E51" s="162"/>
    </row>
    <row r="52" spans="4:6" x14ac:dyDescent="0.2">
      <c r="D52" s="163"/>
      <c r="F52" s="163" t="str">
        <f>oR!M389</f>
        <v>Juliano Wolschick</v>
      </c>
    </row>
    <row r="53" spans="4:6" x14ac:dyDescent="0.2">
      <c r="D53" s="163"/>
      <c r="F53" s="163" t="str">
        <f>oR!M390</f>
        <v>Eng. Civil CREA/SC 057.254-9</v>
      </c>
    </row>
    <row r="54" spans="4:6" x14ac:dyDescent="0.2">
      <c r="D54" s="163"/>
      <c r="F54" s="163" t="str">
        <f>oR!M391</f>
        <v>Responsável Técnico</v>
      </c>
    </row>
    <row r="56" spans="4:6" x14ac:dyDescent="0.2">
      <c r="E56" s="1632">
        <f ca="1">Resumo!K23</f>
        <v>258454.88</v>
      </c>
      <c r="F56" s="1632"/>
    </row>
  </sheetData>
  <mergeCells count="21">
    <mergeCell ref="B20:D20"/>
    <mergeCell ref="F26:G30"/>
    <mergeCell ref="B19:G19"/>
    <mergeCell ref="B18:G18"/>
    <mergeCell ref="B1:G1"/>
    <mergeCell ref="B3:G3"/>
    <mergeCell ref="B10:G10"/>
    <mergeCell ref="B11:G11"/>
    <mergeCell ref="D5:G5"/>
    <mergeCell ref="D7:G7"/>
    <mergeCell ref="B12:G12"/>
    <mergeCell ref="C15:C16"/>
    <mergeCell ref="D15:E15"/>
    <mergeCell ref="F15:F16"/>
    <mergeCell ref="D16:E16"/>
    <mergeCell ref="D8:G8"/>
    <mergeCell ref="E56:F56"/>
    <mergeCell ref="B33:G33"/>
    <mergeCell ref="B34:G34"/>
    <mergeCell ref="B35:D35"/>
    <mergeCell ref="F41:G45"/>
  </mergeCells>
  <conditionalFormatting sqref="E21:E25">
    <cfRule type="cellIs" dxfId="75" priority="2" stopIfTrue="1" operator="notBetween">
      <formula>$F21</formula>
      <formula>$G21</formula>
    </cfRule>
  </conditionalFormatting>
  <conditionalFormatting sqref="H5:H8">
    <cfRule type="colorScale" priority="210">
      <colorScale>
        <cfvo type="percent" val="0"/>
        <cfvo type="percent" val="80"/>
        <cfvo type="percent" val="100"/>
        <color rgb="FF63BE7B"/>
        <color rgb="FFFFEB84"/>
        <color rgb="FFF8696B"/>
      </colorScale>
    </cfRule>
  </conditionalFormatting>
  <conditionalFormatting sqref="E36:E40">
    <cfRule type="cellIs" dxfId="74" priority="1" stopIfTrue="1" operator="notBetween">
      <formula>$F36</formula>
      <formula>$G36</formula>
    </cfRule>
  </conditionalFormatting>
  <dataValidations count="2">
    <dataValidation type="decimal" allowBlank="1" showInputMessage="1" showErrorMessage="1" error="O valor inserido está fora dos limites estabelecidos pelo acórdão 2622/2013 do TCU ou é inválido." sqref="E27 E42:E43 E36:E40 E21:E25" xr:uid="{5EA3C07D-F3C9-43F8-8E5B-A2B2F7D9E832}">
      <formula1>I21</formula1>
      <formula2>J21</formula2>
    </dataValidation>
    <dataValidation type="decimal" allowBlank="1" showInputMessage="1" showErrorMessage="1" error="O valor inserido está fora dos limites estabelecidos pelo acórdão 2622/2013 do TCU ou é inválido." sqref="E28" xr:uid="{130A63F7-0150-42BE-B23C-87202BE6E252}">
      <formula1>#REF!</formula1>
      <formula2>#REF!</formula2>
    </dataValidation>
  </dataValidations>
  <pageMargins left="0.78740157480314965" right="0.59055118110236227" top="1.1811023622047245" bottom="0.94488188976377963" header="0.31496062992125984" footer="0.31496062992125984"/>
  <pageSetup paperSize="9" fitToHeight="0" orientation="portrait" r:id="rId1"/>
  <headerFooter>
    <oddHeader>&amp;C&amp;G</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O30"/>
  <sheetViews>
    <sheetView view="pageBreakPreview" zoomScale="80" zoomScaleNormal="100" zoomScaleSheetLayoutView="80" workbookViewId="0">
      <selection activeCell="O26" sqref="O26:Z27"/>
    </sheetView>
  </sheetViews>
  <sheetFormatPr defaultColWidth="11.5703125" defaultRowHeight="12.75" x14ac:dyDescent="0.25"/>
  <cols>
    <col min="1" max="1" width="11.5703125" style="2"/>
    <col min="2" max="2" width="8.140625" style="2" customWidth="1"/>
    <col min="3" max="3" width="6.85546875" style="2" customWidth="1"/>
    <col min="4" max="4" width="22.140625" style="2" customWidth="1"/>
    <col min="5" max="6" width="15" style="2" customWidth="1"/>
    <col min="7" max="9" width="12.7109375" style="2" customWidth="1"/>
    <col min="10" max="10" width="11.85546875" style="2" customWidth="1"/>
    <col min="11" max="11" width="13.28515625" style="2" customWidth="1"/>
    <col min="12" max="13" width="9.7109375" style="1" bestFit="1" customWidth="1"/>
    <col min="14" max="14" width="11" style="2" bestFit="1" customWidth="1"/>
    <col min="15" max="15" width="9.7109375" style="2" bestFit="1" customWidth="1"/>
    <col min="16" max="16" width="20.28515625" style="2" customWidth="1"/>
    <col min="17" max="17" width="17.28515625" style="2" customWidth="1"/>
    <col min="18" max="18" width="18.5703125" style="2" customWidth="1"/>
    <col min="19" max="259" width="11.5703125" style="2"/>
    <col min="260" max="260" width="15.5703125" style="2" customWidth="1"/>
    <col min="261" max="261" width="11.5703125" style="2"/>
    <col min="262" max="262" width="17.7109375" style="2" customWidth="1"/>
    <col min="263" max="515" width="11.5703125" style="2"/>
    <col min="516" max="516" width="15.5703125" style="2" customWidth="1"/>
    <col min="517" max="517" width="11.5703125" style="2"/>
    <col min="518" max="518" width="17.7109375" style="2" customWidth="1"/>
    <col min="519" max="771" width="11.5703125" style="2"/>
    <col min="772" max="772" width="15.5703125" style="2" customWidth="1"/>
    <col min="773" max="773" width="11.5703125" style="2"/>
    <col min="774" max="774" width="17.7109375" style="2" customWidth="1"/>
    <col min="775" max="1027" width="11.5703125" style="2"/>
    <col min="1028" max="1028" width="15.5703125" style="2" customWidth="1"/>
    <col min="1029" max="1029" width="11.5703125" style="2"/>
    <col min="1030" max="1030" width="17.7109375" style="2" customWidth="1"/>
    <col min="1031" max="1283" width="11.5703125" style="2"/>
    <col min="1284" max="1284" width="15.5703125" style="2" customWidth="1"/>
    <col min="1285" max="1285" width="11.5703125" style="2"/>
    <col min="1286" max="1286" width="17.7109375" style="2" customWidth="1"/>
    <col min="1287" max="1539" width="11.5703125" style="2"/>
    <col min="1540" max="1540" width="15.5703125" style="2" customWidth="1"/>
    <col min="1541" max="1541" width="11.5703125" style="2"/>
    <col min="1542" max="1542" width="17.7109375" style="2" customWidth="1"/>
    <col min="1543" max="1795" width="11.5703125" style="2"/>
    <col min="1796" max="1796" width="15.5703125" style="2" customWidth="1"/>
    <col min="1797" max="1797" width="11.5703125" style="2"/>
    <col min="1798" max="1798" width="17.7109375" style="2" customWidth="1"/>
    <col min="1799" max="2051" width="11.5703125" style="2"/>
    <col min="2052" max="2052" width="15.5703125" style="2" customWidth="1"/>
    <col min="2053" max="2053" width="11.5703125" style="2"/>
    <col min="2054" max="2054" width="17.7109375" style="2" customWidth="1"/>
    <col min="2055" max="2307" width="11.5703125" style="2"/>
    <col min="2308" max="2308" width="15.5703125" style="2" customWidth="1"/>
    <col min="2309" max="2309" width="11.5703125" style="2"/>
    <col min="2310" max="2310" width="17.7109375" style="2" customWidth="1"/>
    <col min="2311" max="2563" width="11.5703125" style="2"/>
    <col min="2564" max="2564" width="15.5703125" style="2" customWidth="1"/>
    <col min="2565" max="2565" width="11.5703125" style="2"/>
    <col min="2566" max="2566" width="17.7109375" style="2" customWidth="1"/>
    <col min="2567" max="2819" width="11.5703125" style="2"/>
    <col min="2820" max="2820" width="15.5703125" style="2" customWidth="1"/>
    <col min="2821" max="2821" width="11.5703125" style="2"/>
    <col min="2822" max="2822" width="17.7109375" style="2" customWidth="1"/>
    <col min="2823" max="3075" width="11.5703125" style="2"/>
    <col min="3076" max="3076" width="15.5703125" style="2" customWidth="1"/>
    <col min="3077" max="3077" width="11.5703125" style="2"/>
    <col min="3078" max="3078" width="17.7109375" style="2" customWidth="1"/>
    <col min="3079" max="3331" width="11.5703125" style="2"/>
    <col min="3332" max="3332" width="15.5703125" style="2" customWidth="1"/>
    <col min="3333" max="3333" width="11.5703125" style="2"/>
    <col min="3334" max="3334" width="17.7109375" style="2" customWidth="1"/>
    <col min="3335" max="3587" width="11.5703125" style="2"/>
    <col min="3588" max="3588" width="15.5703125" style="2" customWidth="1"/>
    <col min="3589" max="3589" width="11.5703125" style="2"/>
    <col min="3590" max="3590" width="17.7109375" style="2" customWidth="1"/>
    <col min="3591" max="3843" width="11.5703125" style="2"/>
    <col min="3844" max="3844" width="15.5703125" style="2" customWidth="1"/>
    <col min="3845" max="3845" width="11.5703125" style="2"/>
    <col min="3846" max="3846" width="17.7109375" style="2" customWidth="1"/>
    <col min="3847" max="4099" width="11.5703125" style="2"/>
    <col min="4100" max="4100" width="15.5703125" style="2" customWidth="1"/>
    <col min="4101" max="4101" width="11.5703125" style="2"/>
    <col min="4102" max="4102" width="17.7109375" style="2" customWidth="1"/>
    <col min="4103" max="4355" width="11.5703125" style="2"/>
    <col min="4356" max="4356" width="15.5703125" style="2" customWidth="1"/>
    <col min="4357" max="4357" width="11.5703125" style="2"/>
    <col min="4358" max="4358" width="17.7109375" style="2" customWidth="1"/>
    <col min="4359" max="4611" width="11.5703125" style="2"/>
    <col min="4612" max="4612" width="15.5703125" style="2" customWidth="1"/>
    <col min="4613" max="4613" width="11.5703125" style="2"/>
    <col min="4614" max="4614" width="17.7109375" style="2" customWidth="1"/>
    <col min="4615" max="4867" width="11.5703125" style="2"/>
    <col min="4868" max="4868" width="15.5703125" style="2" customWidth="1"/>
    <col min="4869" max="4869" width="11.5703125" style="2"/>
    <col min="4870" max="4870" width="17.7109375" style="2" customWidth="1"/>
    <col min="4871" max="5123" width="11.5703125" style="2"/>
    <col min="5124" max="5124" width="15.5703125" style="2" customWidth="1"/>
    <col min="5125" max="5125" width="11.5703125" style="2"/>
    <col min="5126" max="5126" width="17.7109375" style="2" customWidth="1"/>
    <col min="5127" max="5379" width="11.5703125" style="2"/>
    <col min="5380" max="5380" width="15.5703125" style="2" customWidth="1"/>
    <col min="5381" max="5381" width="11.5703125" style="2"/>
    <col min="5382" max="5382" width="17.7109375" style="2" customWidth="1"/>
    <col min="5383" max="5635" width="11.5703125" style="2"/>
    <col min="5636" max="5636" width="15.5703125" style="2" customWidth="1"/>
    <col min="5637" max="5637" width="11.5703125" style="2"/>
    <col min="5638" max="5638" width="17.7109375" style="2" customWidth="1"/>
    <col min="5639" max="5891" width="11.5703125" style="2"/>
    <col min="5892" max="5892" width="15.5703125" style="2" customWidth="1"/>
    <col min="5893" max="5893" width="11.5703125" style="2"/>
    <col min="5894" max="5894" width="17.7109375" style="2" customWidth="1"/>
    <col min="5895" max="6147" width="11.5703125" style="2"/>
    <col min="6148" max="6148" width="15.5703125" style="2" customWidth="1"/>
    <col min="6149" max="6149" width="11.5703125" style="2"/>
    <col min="6150" max="6150" width="17.7109375" style="2" customWidth="1"/>
    <col min="6151" max="6403" width="11.5703125" style="2"/>
    <col min="6404" max="6404" width="15.5703125" style="2" customWidth="1"/>
    <col min="6405" max="6405" width="11.5703125" style="2"/>
    <col min="6406" max="6406" width="17.7109375" style="2" customWidth="1"/>
    <col min="6407" max="6659" width="11.5703125" style="2"/>
    <col min="6660" max="6660" width="15.5703125" style="2" customWidth="1"/>
    <col min="6661" max="6661" width="11.5703125" style="2"/>
    <col min="6662" max="6662" width="17.7109375" style="2" customWidth="1"/>
    <col min="6663" max="6915" width="11.5703125" style="2"/>
    <col min="6916" max="6916" width="15.5703125" style="2" customWidth="1"/>
    <col min="6917" max="6917" width="11.5703125" style="2"/>
    <col min="6918" max="6918" width="17.7109375" style="2" customWidth="1"/>
    <col min="6919" max="7171" width="11.5703125" style="2"/>
    <col min="7172" max="7172" width="15.5703125" style="2" customWidth="1"/>
    <col min="7173" max="7173" width="11.5703125" style="2"/>
    <col min="7174" max="7174" width="17.7109375" style="2" customWidth="1"/>
    <col min="7175" max="7427" width="11.5703125" style="2"/>
    <col min="7428" max="7428" width="15.5703125" style="2" customWidth="1"/>
    <col min="7429" max="7429" width="11.5703125" style="2"/>
    <col min="7430" max="7430" width="17.7109375" style="2" customWidth="1"/>
    <col min="7431" max="7683" width="11.5703125" style="2"/>
    <col min="7684" max="7684" width="15.5703125" style="2" customWidth="1"/>
    <col min="7685" max="7685" width="11.5703125" style="2"/>
    <col min="7686" max="7686" width="17.7109375" style="2" customWidth="1"/>
    <col min="7687" max="7939" width="11.5703125" style="2"/>
    <col min="7940" max="7940" width="15.5703125" style="2" customWidth="1"/>
    <col min="7941" max="7941" width="11.5703125" style="2"/>
    <col min="7942" max="7942" width="17.7109375" style="2" customWidth="1"/>
    <col min="7943" max="8195" width="11.5703125" style="2"/>
    <col min="8196" max="8196" width="15.5703125" style="2" customWidth="1"/>
    <col min="8197" max="8197" width="11.5703125" style="2"/>
    <col min="8198" max="8198" width="17.7109375" style="2" customWidth="1"/>
    <col min="8199" max="8451" width="11.5703125" style="2"/>
    <col min="8452" max="8452" width="15.5703125" style="2" customWidth="1"/>
    <col min="8453" max="8453" width="11.5703125" style="2"/>
    <col min="8454" max="8454" width="17.7109375" style="2" customWidth="1"/>
    <col min="8455" max="8707" width="11.5703125" style="2"/>
    <col min="8708" max="8708" width="15.5703125" style="2" customWidth="1"/>
    <col min="8709" max="8709" width="11.5703125" style="2"/>
    <col min="8710" max="8710" width="17.7109375" style="2" customWidth="1"/>
    <col min="8711" max="8963" width="11.5703125" style="2"/>
    <col min="8964" max="8964" width="15.5703125" style="2" customWidth="1"/>
    <col min="8965" max="8965" width="11.5703125" style="2"/>
    <col min="8966" max="8966" width="17.7109375" style="2" customWidth="1"/>
    <col min="8967" max="9219" width="11.5703125" style="2"/>
    <col min="9220" max="9220" width="15.5703125" style="2" customWidth="1"/>
    <col min="9221" max="9221" width="11.5703125" style="2"/>
    <col min="9222" max="9222" width="17.7109375" style="2" customWidth="1"/>
    <col min="9223" max="9475" width="11.5703125" style="2"/>
    <col min="9476" max="9476" width="15.5703125" style="2" customWidth="1"/>
    <col min="9477" max="9477" width="11.5703125" style="2"/>
    <col min="9478" max="9478" width="17.7109375" style="2" customWidth="1"/>
    <col min="9479" max="9731" width="11.5703125" style="2"/>
    <col min="9732" max="9732" width="15.5703125" style="2" customWidth="1"/>
    <col min="9733" max="9733" width="11.5703125" style="2"/>
    <col min="9734" max="9734" width="17.7109375" style="2" customWidth="1"/>
    <col min="9735" max="9987" width="11.5703125" style="2"/>
    <col min="9988" max="9988" width="15.5703125" style="2" customWidth="1"/>
    <col min="9989" max="9989" width="11.5703125" style="2"/>
    <col min="9990" max="9990" width="17.7109375" style="2" customWidth="1"/>
    <col min="9991" max="10243" width="11.5703125" style="2"/>
    <col min="10244" max="10244" width="15.5703125" style="2" customWidth="1"/>
    <col min="10245" max="10245" width="11.5703125" style="2"/>
    <col min="10246" max="10246" width="17.7109375" style="2" customWidth="1"/>
    <col min="10247" max="10499" width="11.5703125" style="2"/>
    <col min="10500" max="10500" width="15.5703125" style="2" customWidth="1"/>
    <col min="10501" max="10501" width="11.5703125" style="2"/>
    <col min="10502" max="10502" width="17.7109375" style="2" customWidth="1"/>
    <col min="10503" max="10755" width="11.5703125" style="2"/>
    <col min="10756" max="10756" width="15.5703125" style="2" customWidth="1"/>
    <col min="10757" max="10757" width="11.5703125" style="2"/>
    <col min="10758" max="10758" width="17.7109375" style="2" customWidth="1"/>
    <col min="10759" max="11011" width="11.5703125" style="2"/>
    <col min="11012" max="11012" width="15.5703125" style="2" customWidth="1"/>
    <col min="11013" max="11013" width="11.5703125" style="2"/>
    <col min="11014" max="11014" width="17.7109375" style="2" customWidth="1"/>
    <col min="11015" max="11267" width="11.5703125" style="2"/>
    <col min="11268" max="11268" width="15.5703125" style="2" customWidth="1"/>
    <col min="11269" max="11269" width="11.5703125" style="2"/>
    <col min="11270" max="11270" width="17.7109375" style="2" customWidth="1"/>
    <col min="11271" max="11523" width="11.5703125" style="2"/>
    <col min="11524" max="11524" width="15.5703125" style="2" customWidth="1"/>
    <col min="11525" max="11525" width="11.5703125" style="2"/>
    <col min="11526" max="11526" width="17.7109375" style="2" customWidth="1"/>
    <col min="11527" max="11779" width="11.5703125" style="2"/>
    <col min="11780" max="11780" width="15.5703125" style="2" customWidth="1"/>
    <col min="11781" max="11781" width="11.5703125" style="2"/>
    <col min="11782" max="11782" width="17.7109375" style="2" customWidth="1"/>
    <col min="11783" max="12035" width="11.5703125" style="2"/>
    <col min="12036" max="12036" width="15.5703125" style="2" customWidth="1"/>
    <col min="12037" max="12037" width="11.5703125" style="2"/>
    <col min="12038" max="12038" width="17.7109375" style="2" customWidth="1"/>
    <col min="12039" max="12291" width="11.5703125" style="2"/>
    <col min="12292" max="12292" width="15.5703125" style="2" customWidth="1"/>
    <col min="12293" max="12293" width="11.5703125" style="2"/>
    <col min="12294" max="12294" width="17.7109375" style="2" customWidth="1"/>
    <col min="12295" max="12547" width="11.5703125" style="2"/>
    <col min="12548" max="12548" width="15.5703125" style="2" customWidth="1"/>
    <col min="12549" max="12549" width="11.5703125" style="2"/>
    <col min="12550" max="12550" width="17.7109375" style="2" customWidth="1"/>
    <col min="12551" max="12803" width="11.5703125" style="2"/>
    <col min="12804" max="12804" width="15.5703125" style="2" customWidth="1"/>
    <col min="12805" max="12805" width="11.5703125" style="2"/>
    <col min="12806" max="12806" width="17.7109375" style="2" customWidth="1"/>
    <col min="12807" max="13059" width="11.5703125" style="2"/>
    <col min="13060" max="13060" width="15.5703125" style="2" customWidth="1"/>
    <col min="13061" max="13061" width="11.5703125" style="2"/>
    <col min="13062" max="13062" width="17.7109375" style="2" customWidth="1"/>
    <col min="13063" max="13315" width="11.5703125" style="2"/>
    <col min="13316" max="13316" width="15.5703125" style="2" customWidth="1"/>
    <col min="13317" max="13317" width="11.5703125" style="2"/>
    <col min="13318" max="13318" width="17.7109375" style="2" customWidth="1"/>
    <col min="13319" max="13571" width="11.5703125" style="2"/>
    <col min="13572" max="13572" width="15.5703125" style="2" customWidth="1"/>
    <col min="13573" max="13573" width="11.5703125" style="2"/>
    <col min="13574" max="13574" width="17.7109375" style="2" customWidth="1"/>
    <col min="13575" max="13827" width="11.5703125" style="2"/>
    <col min="13828" max="13828" width="15.5703125" style="2" customWidth="1"/>
    <col min="13829" max="13829" width="11.5703125" style="2"/>
    <col min="13830" max="13830" width="17.7109375" style="2" customWidth="1"/>
    <col min="13831" max="14083" width="11.5703125" style="2"/>
    <col min="14084" max="14084" width="15.5703125" style="2" customWidth="1"/>
    <col min="14085" max="14085" width="11.5703125" style="2"/>
    <col min="14086" max="14086" width="17.7109375" style="2" customWidth="1"/>
    <col min="14087" max="14339" width="11.5703125" style="2"/>
    <col min="14340" max="14340" width="15.5703125" style="2" customWidth="1"/>
    <col min="14341" max="14341" width="11.5703125" style="2"/>
    <col min="14342" max="14342" width="17.7109375" style="2" customWidth="1"/>
    <col min="14343" max="14595" width="11.5703125" style="2"/>
    <col min="14596" max="14596" width="15.5703125" style="2" customWidth="1"/>
    <col min="14597" max="14597" width="11.5703125" style="2"/>
    <col min="14598" max="14598" width="17.7109375" style="2" customWidth="1"/>
    <col min="14599" max="14851" width="11.5703125" style="2"/>
    <col min="14852" max="14852" width="15.5703125" style="2" customWidth="1"/>
    <col min="14853" max="14853" width="11.5703125" style="2"/>
    <col min="14854" max="14854" width="17.7109375" style="2" customWidth="1"/>
    <col min="14855" max="15107" width="11.5703125" style="2"/>
    <col min="15108" max="15108" width="15.5703125" style="2" customWidth="1"/>
    <col min="15109" max="15109" width="11.5703125" style="2"/>
    <col min="15110" max="15110" width="17.7109375" style="2" customWidth="1"/>
    <col min="15111" max="15363" width="11.5703125" style="2"/>
    <col min="15364" max="15364" width="15.5703125" style="2" customWidth="1"/>
    <col min="15365" max="15365" width="11.5703125" style="2"/>
    <col min="15366" max="15366" width="17.7109375" style="2" customWidth="1"/>
    <col min="15367" max="15619" width="11.5703125" style="2"/>
    <col min="15620" max="15620" width="15.5703125" style="2" customWidth="1"/>
    <col min="15621" max="15621" width="11.5703125" style="2"/>
    <col min="15622" max="15622" width="17.7109375" style="2" customWidth="1"/>
    <col min="15623" max="15875" width="11.5703125" style="2"/>
    <col min="15876" max="15876" width="15.5703125" style="2" customWidth="1"/>
    <col min="15877" max="15877" width="11.5703125" style="2"/>
    <col min="15878" max="15878" width="17.7109375" style="2" customWidth="1"/>
    <col min="15879" max="16131" width="11.5703125" style="2"/>
    <col min="16132" max="16132" width="15.5703125" style="2" customWidth="1"/>
    <col min="16133" max="16133" width="11.5703125" style="2"/>
    <col min="16134" max="16134" width="17.7109375" style="2" customWidth="1"/>
    <col min="16135" max="16384" width="11.5703125" style="2"/>
  </cols>
  <sheetData>
    <row r="1" spans="2:15" x14ac:dyDescent="0.25">
      <c r="B1" s="1665" t="s">
        <v>0</v>
      </c>
      <c r="C1" s="1665"/>
      <c r="D1" s="1665"/>
      <c r="E1" s="1665"/>
      <c r="F1" s="1665"/>
      <c r="G1" s="1665"/>
      <c r="H1" s="1665"/>
      <c r="I1" s="1665"/>
      <c r="J1" s="1665"/>
      <c r="K1" s="1665"/>
    </row>
    <row r="2" spans="2:15" ht="13.5" thickBot="1" x14ac:dyDescent="0.3">
      <c r="B2" s="6"/>
      <c r="C2" s="6"/>
      <c r="D2" s="6"/>
      <c r="E2" s="6"/>
      <c r="F2" s="6"/>
      <c r="G2" s="6"/>
      <c r="H2" s="6"/>
      <c r="I2" s="7"/>
      <c r="J2" s="10"/>
    </row>
    <row r="3" spans="2:15" ht="15.75" customHeight="1" thickBot="1" x14ac:dyDescent="0.3">
      <c r="B3" s="1648" t="s">
        <v>2581</v>
      </c>
      <c r="C3" s="1649"/>
      <c r="D3" s="1649"/>
      <c r="E3" s="1649"/>
      <c r="F3" s="1649"/>
      <c r="G3" s="1649"/>
      <c r="H3" s="1649"/>
      <c r="I3" s="1649"/>
      <c r="J3" s="1649"/>
      <c r="K3" s="1650"/>
    </row>
    <row r="4" spans="2:15" ht="13.5" thickBot="1" x14ac:dyDescent="0.3">
      <c r="B4" s="165"/>
      <c r="C4" s="165"/>
      <c r="D4" s="165"/>
      <c r="E4" s="165"/>
      <c r="F4" s="165"/>
      <c r="G4" s="165"/>
      <c r="H4" s="165"/>
      <c r="I4" s="166"/>
      <c r="J4" s="166"/>
      <c r="K4" s="166"/>
      <c r="L4" s="131"/>
    </row>
    <row r="5" spans="2:15" x14ac:dyDescent="0.25">
      <c r="B5" s="21" t="str">
        <f>oR!E5</f>
        <v>PROPRIETÁRIO:</v>
      </c>
      <c r="C5" s="22"/>
      <c r="D5" s="23" t="str">
        <f>oR!G5</f>
        <v>MUNICÍPIO DE PRESIDENTE CASTELLO BRANCO</v>
      </c>
      <c r="E5" s="23"/>
      <c r="F5" s="23"/>
      <c r="G5" s="23"/>
      <c r="H5" s="23"/>
      <c r="I5" s="23"/>
      <c r="J5" s="167"/>
      <c r="K5" s="25"/>
      <c r="L5" s="4"/>
      <c r="M5" s="5"/>
    </row>
    <row r="6" spans="2:15" ht="15" customHeight="1" x14ac:dyDescent="0.25">
      <c r="B6" s="26" t="str">
        <f>oR!E6</f>
        <v>OBRA:</v>
      </c>
      <c r="C6" s="27"/>
      <c r="D6" s="28" t="str">
        <f>oR!G6</f>
        <v>IMPLANTAÇÃO E PAVIMENTAÇÃO DA ESTRADA DE LINHA TAQUARAL - SEGMENTO 01</v>
      </c>
      <c r="E6" s="28"/>
      <c r="F6" s="28"/>
      <c r="G6" s="28"/>
      <c r="H6" s="28"/>
      <c r="I6" s="28"/>
      <c r="J6" s="168"/>
      <c r="K6" s="43"/>
      <c r="L6" s="2"/>
      <c r="M6" s="2"/>
    </row>
    <row r="7" spans="2:15" ht="12.75" customHeight="1" x14ac:dyDescent="0.25">
      <c r="B7" s="26" t="str">
        <f>oR!E7</f>
        <v>TRECHO:</v>
      </c>
      <c r="C7" s="27"/>
      <c r="D7" s="28" t="str">
        <f>oR!G7</f>
        <v>Av. Dezessete de Fevereiro - Fim da pavimentação (Km 2+200m)</v>
      </c>
      <c r="E7" s="28"/>
      <c r="F7" s="28"/>
      <c r="G7" s="1321"/>
      <c r="H7" s="1321"/>
      <c r="I7" s="1322"/>
      <c r="J7" s="28"/>
      <c r="K7" s="1323"/>
      <c r="L7" s="2"/>
      <c r="M7" s="2"/>
    </row>
    <row r="8" spans="2:15" ht="13.5" thickBot="1" x14ac:dyDescent="0.3">
      <c r="B8" s="31" t="str">
        <f>oR!E9</f>
        <v>EMENDA:</v>
      </c>
      <c r="C8" s="32"/>
      <c r="D8" s="183">
        <f>oR!G9</f>
        <v>2146</v>
      </c>
      <c r="E8" s="183"/>
      <c r="F8" s="183"/>
      <c r="G8" s="269"/>
      <c r="H8" s="269"/>
      <c r="I8" s="757"/>
      <c r="J8" s="183"/>
      <c r="K8" s="270"/>
      <c r="L8" s="2"/>
      <c r="M8" s="2"/>
    </row>
    <row r="9" spans="2:15" ht="26.25" customHeight="1" thickBot="1" x14ac:dyDescent="0.3">
      <c r="B9" s="271" t="s">
        <v>6</v>
      </c>
      <c r="C9" s="1666" t="s">
        <v>2768</v>
      </c>
      <c r="D9" s="1667"/>
      <c r="E9" s="1667"/>
      <c r="F9" s="1668"/>
      <c r="G9" s="272" t="s">
        <v>2582</v>
      </c>
      <c r="H9" s="272" t="s">
        <v>2583</v>
      </c>
      <c r="I9" s="272" t="s">
        <v>3164</v>
      </c>
      <c r="J9" s="272" t="s">
        <v>2584</v>
      </c>
      <c r="K9" s="273" t="s">
        <v>2782</v>
      </c>
      <c r="L9" s="2"/>
      <c r="M9" s="2"/>
    </row>
    <row r="10" spans="2:15" ht="23.25" customHeight="1" thickBot="1" x14ac:dyDescent="0.3">
      <c r="B10" s="274">
        <v>1</v>
      </c>
      <c r="C10" s="1666" t="s">
        <v>4602</v>
      </c>
      <c r="D10" s="1667"/>
      <c r="E10" s="1667"/>
      <c r="F10" s="1668"/>
      <c r="G10" s="275">
        <f>K13</f>
        <v>25.9</v>
      </c>
      <c r="H10" s="275">
        <f>K20</f>
        <v>27.8</v>
      </c>
      <c r="I10" s="275">
        <f>K23</f>
        <v>2</v>
      </c>
      <c r="J10" s="275">
        <f>K26</f>
        <v>1</v>
      </c>
      <c r="K10" s="360">
        <f>K30</f>
        <v>374.8</v>
      </c>
      <c r="L10" s="2"/>
      <c r="M10" s="2"/>
    </row>
    <row r="11" spans="2:15" x14ac:dyDescent="0.25">
      <c r="B11" s="169"/>
      <c r="C11" s="169"/>
      <c r="L11" s="2"/>
      <c r="M11" s="2"/>
    </row>
    <row r="12" spans="2:15" s="171" customFormat="1" x14ac:dyDescent="0.25">
      <c r="B12" s="170" t="s">
        <v>3612</v>
      </c>
      <c r="F12" s="995" t="s">
        <v>6774</v>
      </c>
      <c r="G12" s="995" t="s">
        <v>6775</v>
      </c>
      <c r="H12" s="995" t="s">
        <v>6776</v>
      </c>
      <c r="I12" s="995"/>
      <c r="J12" s="995" t="s">
        <v>7522</v>
      </c>
      <c r="K12" s="995" t="s">
        <v>6770</v>
      </c>
      <c r="L12" s="172"/>
      <c r="M12" s="278"/>
      <c r="N12" s="172"/>
      <c r="O12" s="172"/>
    </row>
    <row r="13" spans="2:15" s="171" customFormat="1" x14ac:dyDescent="0.25">
      <c r="B13" s="170"/>
      <c r="E13" s="995" t="s">
        <v>5118</v>
      </c>
      <c r="F13" s="996">
        <f>F15-F14</f>
        <v>56.05</v>
      </c>
      <c r="G13" s="996">
        <f t="shared" ref="G13:J13" si="0">G15-G14</f>
        <v>60.8</v>
      </c>
      <c r="H13" s="996">
        <f t="shared" si="0"/>
        <v>54.25</v>
      </c>
      <c r="I13" s="996"/>
      <c r="J13" s="996">
        <f t="shared" si="0"/>
        <v>25.9</v>
      </c>
      <c r="K13" s="996">
        <f t="shared" ref="K13:K14" si="1">MIN(F13:J13)</f>
        <v>25.9</v>
      </c>
      <c r="L13" s="172"/>
      <c r="M13" s="278"/>
      <c r="N13" s="172"/>
      <c r="O13" s="172"/>
    </row>
    <row r="14" spans="2:15" s="171" customFormat="1" x14ac:dyDescent="0.25">
      <c r="B14" s="170"/>
      <c r="E14" s="995" t="s">
        <v>6765</v>
      </c>
      <c r="F14" s="996">
        <f>2.2/2+0.75</f>
        <v>1.85</v>
      </c>
      <c r="G14" s="996">
        <f>2.2/2+1.1</f>
        <v>2.2000000000000002</v>
      </c>
      <c r="H14" s="996">
        <f>2.2/2+0.75</f>
        <v>1.85</v>
      </c>
      <c r="I14" s="996"/>
      <c r="J14" s="996">
        <f>2.2/2+0.8</f>
        <v>1.9</v>
      </c>
      <c r="K14" s="996">
        <f t="shared" si="1"/>
        <v>1.85</v>
      </c>
      <c r="L14" s="173"/>
      <c r="M14" s="279"/>
      <c r="N14" s="173"/>
      <c r="O14" s="276"/>
    </row>
    <row r="15" spans="2:15" s="171" customFormat="1" x14ac:dyDescent="0.25">
      <c r="B15" s="170"/>
      <c r="E15" s="995" t="s">
        <v>1940</v>
      </c>
      <c r="F15" s="996">
        <v>57.9</v>
      </c>
      <c r="G15" s="996">
        <v>63</v>
      </c>
      <c r="H15" s="996">
        <v>56.1</v>
      </c>
      <c r="I15" s="996"/>
      <c r="J15" s="996">
        <v>27.8</v>
      </c>
      <c r="K15" s="996">
        <f>MIN(F15:J15)</f>
        <v>27.8</v>
      </c>
      <c r="L15" s="173"/>
      <c r="M15" s="279"/>
      <c r="N15" s="173"/>
      <c r="O15" s="276"/>
    </row>
    <row r="16" spans="2:15" s="171" customFormat="1" x14ac:dyDescent="0.25">
      <c r="I16" s="277"/>
      <c r="M16" s="277"/>
    </row>
    <row r="17" spans="2:15" s="171" customFormat="1" x14ac:dyDescent="0.25">
      <c r="B17" s="170" t="s">
        <v>3613</v>
      </c>
      <c r="F17" s="995" t="s">
        <v>6773</v>
      </c>
      <c r="G17" s="995" t="s">
        <v>6771</v>
      </c>
      <c r="H17" s="995" t="s">
        <v>6772</v>
      </c>
      <c r="I17" s="995"/>
      <c r="J17" s="995" t="str">
        <f>J12</f>
        <v>Britax</v>
      </c>
      <c r="K17" s="995" t="s">
        <v>6806</v>
      </c>
      <c r="L17" s="174"/>
      <c r="M17" s="280"/>
      <c r="N17" s="174"/>
      <c r="O17" s="172"/>
    </row>
    <row r="18" spans="2:15" s="171" customFormat="1" x14ac:dyDescent="0.25">
      <c r="B18" s="170"/>
      <c r="E18" s="995" t="s">
        <v>5118</v>
      </c>
      <c r="F18" s="996">
        <f t="shared" ref="F18:H20" si="2">F13</f>
        <v>56.05</v>
      </c>
      <c r="G18" s="996">
        <f t="shared" si="2"/>
        <v>60.8</v>
      </c>
      <c r="H18" s="996">
        <f t="shared" si="2"/>
        <v>54.25</v>
      </c>
      <c r="I18" s="996"/>
      <c r="J18" s="996">
        <f>J13</f>
        <v>25.9</v>
      </c>
      <c r="K18" s="996">
        <f t="shared" ref="K18:K20" si="3">MIN(F18:J18)</f>
        <v>25.9</v>
      </c>
      <c r="L18" s="174"/>
      <c r="M18" s="280"/>
      <c r="N18" s="174"/>
      <c r="O18" s="172"/>
    </row>
    <row r="19" spans="2:15" s="171" customFormat="1" x14ac:dyDescent="0.25">
      <c r="B19" s="170"/>
      <c r="E19" s="995" t="s">
        <v>6765</v>
      </c>
      <c r="F19" s="996">
        <f t="shared" si="2"/>
        <v>1.85</v>
      </c>
      <c r="G19" s="996">
        <f t="shared" si="2"/>
        <v>2.2000000000000002</v>
      </c>
      <c r="H19" s="996">
        <f t="shared" si="2"/>
        <v>1.85</v>
      </c>
      <c r="I19" s="996"/>
      <c r="J19" s="996">
        <f>J14</f>
        <v>1.9</v>
      </c>
      <c r="K19" s="996">
        <f t="shared" si="3"/>
        <v>1.85</v>
      </c>
      <c r="L19" s="174"/>
      <c r="M19" s="280"/>
      <c r="N19" s="174"/>
      <c r="O19" s="172"/>
    </row>
    <row r="20" spans="2:15" s="171" customFormat="1" x14ac:dyDescent="0.25">
      <c r="B20" s="170"/>
      <c r="E20" s="995" t="s">
        <v>1940</v>
      </c>
      <c r="F20" s="996">
        <f t="shared" si="2"/>
        <v>57.9</v>
      </c>
      <c r="G20" s="996">
        <f t="shared" si="2"/>
        <v>63</v>
      </c>
      <c r="H20" s="996">
        <f t="shared" si="2"/>
        <v>56.1</v>
      </c>
      <c r="I20" s="996"/>
      <c r="J20" s="996">
        <f>J15</f>
        <v>27.8</v>
      </c>
      <c r="K20" s="996">
        <f t="shared" si="3"/>
        <v>27.8</v>
      </c>
      <c r="L20" s="174"/>
      <c r="M20" s="280"/>
      <c r="N20" s="174"/>
      <c r="O20" s="172"/>
    </row>
    <row r="21" spans="2:15" s="171" customFormat="1" x14ac:dyDescent="0.25">
      <c r="H21" s="726"/>
    </row>
    <row r="22" spans="2:15" s="171" customFormat="1" x14ac:dyDescent="0.25">
      <c r="B22" s="170" t="s">
        <v>5701</v>
      </c>
      <c r="G22" s="175"/>
      <c r="I22" s="995" t="s">
        <v>6765</v>
      </c>
      <c r="J22" s="995" t="s">
        <v>5118</v>
      </c>
      <c r="K22" s="995" t="s">
        <v>2560</v>
      </c>
    </row>
    <row r="23" spans="2:15" s="171" customFormat="1" x14ac:dyDescent="0.25">
      <c r="G23" s="175"/>
      <c r="I23" s="996">
        <v>1</v>
      </c>
      <c r="J23" s="996">
        <v>1</v>
      </c>
      <c r="K23" s="996">
        <f>SUM(I23:J23)</f>
        <v>2</v>
      </c>
    </row>
    <row r="24" spans="2:15" s="171" customFormat="1" x14ac:dyDescent="0.25"/>
    <row r="25" spans="2:15" s="171" customFormat="1" x14ac:dyDescent="0.25">
      <c r="B25" s="170" t="s">
        <v>5702</v>
      </c>
      <c r="G25" s="175"/>
      <c r="I25" s="995" t="s">
        <v>6765</v>
      </c>
      <c r="J25" s="995" t="s">
        <v>5118</v>
      </c>
      <c r="K25" s="995" t="s">
        <v>2560</v>
      </c>
    </row>
    <row r="26" spans="2:15" s="171" customFormat="1" x14ac:dyDescent="0.25">
      <c r="D26" s="997"/>
      <c r="E26" s="997"/>
      <c r="F26" s="997"/>
      <c r="G26" s="997"/>
      <c r="H26" s="997"/>
      <c r="I26" s="996">
        <v>0.5</v>
      </c>
      <c r="J26" s="996">
        <v>0.5</v>
      </c>
      <c r="K26" s="996">
        <f>SUM(I26:J26)</f>
        <v>1</v>
      </c>
      <c r="L26" s="174"/>
      <c r="M26" s="174"/>
      <c r="N26" s="174"/>
      <c r="O26" s="174"/>
    </row>
    <row r="27" spans="2:15" s="171" customFormat="1" x14ac:dyDescent="0.25">
      <c r="G27" s="175"/>
      <c r="H27" s="173"/>
      <c r="I27" s="173"/>
      <c r="J27" s="173"/>
      <c r="K27" s="173"/>
      <c r="L27" s="173"/>
      <c r="M27" s="173"/>
      <c r="N27" s="173"/>
      <c r="O27" s="173"/>
    </row>
    <row r="28" spans="2:15" s="171" customFormat="1" x14ac:dyDescent="0.25">
      <c r="B28" s="170" t="s">
        <v>6479</v>
      </c>
      <c r="H28" s="172"/>
      <c r="I28" s="278"/>
      <c r="J28" s="172"/>
      <c r="L28" s="172"/>
      <c r="M28" s="278"/>
      <c r="N28" s="172"/>
      <c r="O28" s="172"/>
    </row>
    <row r="29" spans="2:15" s="171" customFormat="1" x14ac:dyDescent="0.25">
      <c r="B29" s="170"/>
      <c r="I29" s="995" t="s">
        <v>6765</v>
      </c>
      <c r="J29" s="995" t="s">
        <v>5118</v>
      </c>
      <c r="K29" s="995" t="s">
        <v>5703</v>
      </c>
      <c r="L29" s="172"/>
      <c r="M29" s="278"/>
      <c r="N29" s="172"/>
      <c r="O29" s="172"/>
    </row>
    <row r="30" spans="2:15" s="171" customFormat="1" x14ac:dyDescent="0.25">
      <c r="B30" s="170"/>
      <c r="I30" s="996">
        <v>0.8</v>
      </c>
      <c r="J30" s="996">
        <v>374</v>
      </c>
      <c r="K30" s="996">
        <f>SUM(I30:J30)</f>
        <v>374.8</v>
      </c>
      <c r="L30" s="173"/>
      <c r="M30" s="279"/>
      <c r="N30" s="173"/>
      <c r="O30" s="276"/>
    </row>
  </sheetData>
  <mergeCells count="4">
    <mergeCell ref="B1:K1"/>
    <mergeCell ref="B3:K3"/>
    <mergeCell ref="C9:F9"/>
    <mergeCell ref="C10:F10"/>
  </mergeCells>
  <pageMargins left="0.59055118110236227" right="0.59055118110236227" top="1.1417322834645669" bottom="0.98425196850393704" header="0.31496062992125984" footer="0.31496062992125984"/>
  <pageSetup paperSize="9" fitToHeight="0" orientation="landscape" r:id="rId1"/>
  <headerFooter>
    <oddHeader>&amp;C&amp;G</oddHeader>
    <oddFooter>&amp;C&amp;G</oddFooter>
  </headerFooter>
  <rowBreaks count="1" manualBreakCount="1">
    <brk id="30" max="16383" man="1"/>
  </rowBreaks>
  <colBreaks count="1" manualBreakCount="1">
    <brk id="11" max="1048575" man="1"/>
  </colBreaks>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00B050"/>
    <pageSetUpPr fitToPage="1"/>
  </sheetPr>
  <dimension ref="A1:U677"/>
  <sheetViews>
    <sheetView view="pageBreakPreview" zoomScale="80" zoomScaleNormal="80" zoomScaleSheetLayoutView="80" workbookViewId="0">
      <selection activeCell="O26" sqref="O26:Z27"/>
    </sheetView>
  </sheetViews>
  <sheetFormatPr defaultColWidth="9.140625" defaultRowHeight="15" customHeight="1" outlineLevelRow="1" x14ac:dyDescent="0.25"/>
  <cols>
    <col min="1" max="1" width="13.140625" style="660" bestFit="1" customWidth="1"/>
    <col min="2" max="2" width="9.140625" style="464"/>
    <col min="3" max="3" width="9.28515625" style="2" customWidth="1"/>
    <col min="4" max="4" width="11.28515625" style="2" bestFit="1" customWidth="1"/>
    <col min="5" max="5" width="12.85546875" style="2" customWidth="1"/>
    <col min="6" max="6" width="78" style="2" customWidth="1"/>
    <col min="7" max="7" width="70.7109375" style="48" hidden="1" customWidth="1"/>
    <col min="8" max="8" width="10.85546875" style="48" customWidth="1"/>
    <col min="9" max="9" width="14.85546875" style="48" customWidth="1"/>
    <col min="10" max="10" width="15.28515625" style="49" customWidth="1"/>
    <col min="11" max="11" width="11.28515625" style="2" customWidth="1"/>
    <col min="12" max="12" width="15.42578125" style="2" customWidth="1"/>
    <col min="13" max="13" width="9.5703125" style="258" bestFit="1" customWidth="1"/>
    <col min="14" max="14" width="9.28515625" style="2" bestFit="1" customWidth="1"/>
    <col min="15" max="15" width="10.140625" style="2" bestFit="1" customWidth="1"/>
    <col min="16" max="16" width="9.28515625" style="2" bestFit="1" customWidth="1"/>
    <col min="17" max="17" width="10" style="2" bestFit="1" customWidth="1"/>
    <col min="18" max="16384" width="9.140625" style="2"/>
  </cols>
  <sheetData>
    <row r="1" spans="1:21" ht="15" customHeight="1" x14ac:dyDescent="0.25">
      <c r="C1" s="1672" t="s">
        <v>0</v>
      </c>
      <c r="D1" s="1672"/>
      <c r="E1" s="1672"/>
      <c r="F1" s="1672"/>
      <c r="G1" s="1672"/>
      <c r="H1" s="1672"/>
      <c r="I1" s="1672"/>
      <c r="J1" s="1672"/>
      <c r="K1" s="1672"/>
      <c r="L1" s="1672"/>
      <c r="M1" s="261"/>
    </row>
    <row r="2" spans="1:21" ht="15" customHeight="1" thickBot="1" x14ac:dyDescent="0.3">
      <c r="C2" s="6"/>
      <c r="D2" s="6"/>
      <c r="E2" s="7"/>
      <c r="F2" s="7"/>
      <c r="G2" s="8"/>
      <c r="H2" s="8"/>
      <c r="I2" s="8"/>
      <c r="J2" s="9"/>
      <c r="K2" s="10"/>
      <c r="L2" s="10"/>
      <c r="M2" s="262"/>
      <c r="S2" s="550" t="s">
        <v>2923</v>
      </c>
      <c r="T2" s="550">
        <f t="shared" ref="T2:T21" si="0">IF(S2="",0,1)</f>
        <v>1</v>
      </c>
      <c r="U2" s="2">
        <v>3</v>
      </c>
    </row>
    <row r="3" spans="1:21" ht="15" customHeight="1" thickBot="1" x14ac:dyDescent="0.3">
      <c r="C3" s="227" t="s">
        <v>3167</v>
      </c>
      <c r="D3" s="228"/>
      <c r="E3" s="228"/>
      <c r="F3" s="228"/>
      <c r="G3" s="228"/>
      <c r="H3" s="228"/>
      <c r="I3" s="228"/>
      <c r="J3" s="228"/>
      <c r="K3" s="228"/>
      <c r="L3" s="229"/>
      <c r="M3" s="263"/>
      <c r="S3" s="550"/>
      <c r="T3" s="550">
        <f t="shared" si="0"/>
        <v>0</v>
      </c>
      <c r="U3" s="2">
        <v>4</v>
      </c>
    </row>
    <row r="4" spans="1:21" s="13" customFormat="1" ht="15" customHeight="1" thickBot="1" x14ac:dyDescent="0.3">
      <c r="A4" s="11"/>
      <c r="B4" s="465"/>
      <c r="C4" s="12"/>
      <c r="D4" s="12"/>
      <c r="G4" s="14"/>
      <c r="H4" s="15"/>
      <c r="I4" s="15"/>
      <c r="J4" s="16"/>
      <c r="K4" s="220"/>
      <c r="L4" s="10"/>
      <c r="M4" s="262"/>
      <c r="S4" s="550"/>
      <c r="T4" s="550">
        <f t="shared" si="0"/>
        <v>0</v>
      </c>
      <c r="U4" s="2">
        <v>5</v>
      </c>
    </row>
    <row r="5" spans="1:21" ht="15" customHeight="1" x14ac:dyDescent="0.25">
      <c r="C5" s="21" t="str">
        <f>oR!E5</f>
        <v>PROPRIETÁRIO:</v>
      </c>
      <c r="D5" s="22"/>
      <c r="E5" s="23" t="str">
        <f>oR!G5</f>
        <v>MUNICÍPIO DE PRESIDENTE CASTELLO BRANCO</v>
      </c>
      <c r="F5" s="23"/>
      <c r="G5" s="24"/>
      <c r="H5" s="233"/>
      <c r="I5" s="1675" t="str">
        <f>oR!L5</f>
        <v>DATA ORÇAMENTO:</v>
      </c>
      <c r="J5" s="1678" t="str">
        <f>oR!N5</f>
        <v>NOVEMBRO/2022</v>
      </c>
      <c r="K5" s="1675" t="str">
        <f>oR!P5</f>
        <v>DATA BASE PREÇO:</v>
      </c>
      <c r="L5" s="221" t="str">
        <f>oR!Q5</f>
        <v>SICRO 07/2022</v>
      </c>
      <c r="M5" s="262"/>
      <c r="S5" s="550"/>
      <c r="T5" s="550">
        <f t="shared" si="0"/>
        <v>0</v>
      </c>
      <c r="U5" s="2">
        <v>6</v>
      </c>
    </row>
    <row r="6" spans="1:21" ht="15" customHeight="1" x14ac:dyDescent="0.25">
      <c r="C6" s="26" t="str">
        <f>oR!E6</f>
        <v>OBRA:</v>
      </c>
      <c r="D6" s="27"/>
      <c r="E6" s="28" t="str">
        <f>oR!G6</f>
        <v>IMPLANTAÇÃO E PAVIMENTAÇÃO DA ESTRADA DE LINHA TAQUARAL - SEGMENTO 01</v>
      </c>
      <c r="F6" s="28"/>
      <c r="G6" s="29"/>
      <c r="H6" s="234"/>
      <c r="I6" s="1676"/>
      <c r="J6" s="1679"/>
      <c r="K6" s="1676"/>
      <c r="L6" s="222" t="str">
        <f>oR!Q6</f>
        <v>SINAPI 09/2022</v>
      </c>
      <c r="M6" s="264"/>
      <c r="S6" s="550"/>
      <c r="T6" s="550">
        <f t="shared" si="0"/>
        <v>0</v>
      </c>
      <c r="U6" s="2">
        <v>9</v>
      </c>
    </row>
    <row r="7" spans="1:21" ht="15" customHeight="1" x14ac:dyDescent="0.25">
      <c r="C7" s="26" t="str">
        <f>oR!E7</f>
        <v>TRECHO:</v>
      </c>
      <c r="D7" s="27"/>
      <c r="E7" s="28" t="str">
        <f>oR!G7</f>
        <v>Av. Dezessete de Fevereiro - Fim da pavimentação (Km 2+200m)</v>
      </c>
      <c r="F7" s="28"/>
      <c r="G7" s="30"/>
      <c r="H7" s="235"/>
      <c r="I7" s="1690" t="str">
        <f>oR!L7</f>
        <v>BDI:</v>
      </c>
      <c r="J7" s="1692">
        <f>oR!N7</f>
        <v>0.24379999999999999</v>
      </c>
      <c r="K7" s="1676"/>
      <c r="L7" s="1673" t="str">
        <f>oR!Q7</f>
        <v>ANP 10/2022</v>
      </c>
      <c r="M7" s="265"/>
      <c r="S7" s="550"/>
      <c r="T7" s="550">
        <f t="shared" si="0"/>
        <v>0</v>
      </c>
      <c r="U7" s="2">
        <v>11</v>
      </c>
    </row>
    <row r="8" spans="1:21" ht="15" customHeight="1" thickBot="1" x14ac:dyDescent="0.3">
      <c r="C8" s="31"/>
      <c r="D8" s="32"/>
      <c r="E8" s="183"/>
      <c r="F8" s="33"/>
      <c r="G8" s="34"/>
      <c r="H8" s="223"/>
      <c r="I8" s="1691"/>
      <c r="J8" s="1693"/>
      <c r="K8" s="1677"/>
      <c r="L8" s="1674" t="str">
        <f>oR!Q9</f>
        <v>(SEM DESON.)</v>
      </c>
      <c r="M8" s="265"/>
      <c r="S8" s="550"/>
      <c r="T8" s="550">
        <f t="shared" si="0"/>
        <v>0</v>
      </c>
      <c r="U8" s="2">
        <v>12</v>
      </c>
    </row>
    <row r="9" spans="1:21" s="13" customFormat="1" ht="15" customHeight="1" thickBot="1" x14ac:dyDescent="0.3">
      <c r="A9" s="11"/>
      <c r="B9" s="465"/>
      <c r="C9" s="12"/>
      <c r="D9" s="12"/>
      <c r="G9" s="14"/>
      <c r="H9" s="15"/>
      <c r="I9" s="15"/>
      <c r="J9" s="16"/>
      <c r="K9" s="220"/>
      <c r="L9" s="10"/>
      <c r="M9" s="262"/>
      <c r="S9" s="550"/>
      <c r="T9" s="550">
        <f t="shared" si="0"/>
        <v>0</v>
      </c>
      <c r="U9" s="2">
        <v>13</v>
      </c>
    </row>
    <row r="10" spans="1:21" ht="15" customHeight="1" x14ac:dyDescent="0.25">
      <c r="C10" s="1684" t="s">
        <v>6</v>
      </c>
      <c r="D10" s="1680" t="s">
        <v>7</v>
      </c>
      <c r="E10" s="1680" t="s">
        <v>8</v>
      </c>
      <c r="F10" s="1680" t="s">
        <v>2611</v>
      </c>
      <c r="G10" s="1680" t="s">
        <v>2612</v>
      </c>
      <c r="H10" s="1680" t="s">
        <v>11</v>
      </c>
      <c r="I10" s="1686" t="s">
        <v>13</v>
      </c>
      <c r="J10" s="1688" t="s">
        <v>12</v>
      </c>
      <c r="K10" s="1682" t="s">
        <v>2698</v>
      </c>
      <c r="L10" s="1683"/>
      <c r="M10" s="266"/>
      <c r="N10" s="562"/>
      <c r="O10" s="562"/>
      <c r="P10" s="562"/>
      <c r="Q10" s="562"/>
      <c r="S10" s="550"/>
      <c r="T10" s="550">
        <f t="shared" si="0"/>
        <v>0</v>
      </c>
      <c r="U10" s="2">
        <v>14</v>
      </c>
    </row>
    <row r="11" spans="1:21" ht="14.25" thickBot="1" x14ac:dyDescent="0.3">
      <c r="A11" s="660" t="b">
        <v>1</v>
      </c>
      <c r="C11" s="1685"/>
      <c r="D11" s="1681"/>
      <c r="E11" s="1681"/>
      <c r="F11" s="1681"/>
      <c r="G11" s="1681"/>
      <c r="H11" s="1681"/>
      <c r="I11" s="1687"/>
      <c r="J11" s="1689"/>
      <c r="K11" s="213" t="s">
        <v>2605</v>
      </c>
      <c r="L11" s="212" t="s">
        <v>96</v>
      </c>
      <c r="M11" s="267"/>
      <c r="N11" s="562"/>
      <c r="O11" s="562"/>
      <c r="P11" s="562"/>
      <c r="Q11" s="562"/>
      <c r="S11" s="550"/>
      <c r="T11" s="550">
        <f t="shared" si="0"/>
        <v>0</v>
      </c>
      <c r="U11" s="2">
        <v>15</v>
      </c>
    </row>
    <row r="12" spans="1:21" ht="15" hidden="1" customHeight="1" outlineLevel="1" x14ac:dyDescent="0.25">
      <c r="A12" s="699" t="b">
        <f>_xlfn.XOR(C12=$S$2,C12=$S$3,C12=$S$4,C12=$S$5,C12=$S$6,C12=$S$7,C12=$S$8,C12=$S$9,C12=$S$10,C12=$S$11,C12=$S$12,C12=$S$13,C12=$S$14,C12=$S$15,C12=$S$16,C12=$S$17,C12=$S$18,C12=$S$19,C12=$S$20,C12=$S$21,C12=$S$22,C12=$S$23,C12=$S$24,C12=$S$25,C12=$S$26,C12=$S$27,C12=$S$28,C12=$S$29,C12=$S$30,C12=$S$316,C12=$S$32,C12=$S$33,C12=$S$34,C12=$S$35,C12=$S$36,C12=$S$37,C12=$S$38,C12=$S$39,C12=$S$40,C12=$S$41,C12=$S$42,)</f>
        <v>0</v>
      </c>
      <c r="C12" s="569" t="s">
        <v>18</v>
      </c>
      <c r="D12" s="570"/>
      <c r="E12" s="570" t="str">
        <f>IFERROR(VLOOKUP(C12,SINAPI!A:D,2,0),"")</f>
        <v>Boca de lobo em alvenaria para tubo d= 40cm</v>
      </c>
      <c r="F12" s="570"/>
      <c r="G12" s="217"/>
      <c r="H12" s="571"/>
      <c r="I12" s="572" t="str">
        <f>IFERROR(VLOOKUP(C12,SINAPI!A:D,3,0),"")</f>
        <v>un</v>
      </c>
      <c r="J12" s="573"/>
      <c r="K12" s="573" t="s">
        <v>2603</v>
      </c>
      <c r="L12" s="574" t="str">
        <f>IF(J12="","",ROUND(J12*#REF!,2))</f>
        <v/>
      </c>
      <c r="M12" s="575"/>
      <c r="N12" s="562"/>
      <c r="O12" s="562"/>
      <c r="P12" s="562"/>
      <c r="Q12" s="562"/>
      <c r="S12" s="550"/>
      <c r="T12" s="550">
        <f t="shared" si="0"/>
        <v>0</v>
      </c>
      <c r="U12" s="2">
        <v>8</v>
      </c>
    </row>
    <row r="13" spans="1:21" ht="15" hidden="1" customHeight="1" outlineLevel="1" x14ac:dyDescent="0.25">
      <c r="A13" s="660" t="b">
        <f>A12</f>
        <v>0</v>
      </c>
      <c r="C13" s="35">
        <v>1</v>
      </c>
      <c r="D13" s="576" t="s">
        <v>17</v>
      </c>
      <c r="E13" s="576" t="s">
        <v>4593</v>
      </c>
      <c r="F13" s="577" t="s">
        <v>2699</v>
      </c>
      <c r="G13" s="37" t="str">
        <f>IFERROR(VLOOKUP(E13,SINAPI!A:D,2,0),"")</f>
        <v>Alvenaria de tijolos maciços</v>
      </c>
      <c r="H13" s="578"/>
      <c r="I13" s="40" t="str">
        <f>IFERROR(VLOOKUP(E13,SINAPI!A:D,3,0),"")</f>
        <v>m²</v>
      </c>
      <c r="J13" s="579">
        <f>DISPOSITIVOS!E5</f>
        <v>4.1230000000000002</v>
      </c>
      <c r="K13" s="40">
        <f>IFERROR(VLOOKUP(E13,SINAPI!A:D,4,0),"")</f>
        <v>256.19</v>
      </c>
      <c r="L13" s="580">
        <f>IF(J13="","",ROUND(J13*K13,2))</f>
        <v>1056.27</v>
      </c>
      <c r="M13" s="264"/>
      <c r="N13" s="562"/>
      <c r="O13" s="562"/>
      <c r="P13" s="562"/>
      <c r="Q13" s="562"/>
      <c r="S13" s="550"/>
      <c r="T13" s="550">
        <f t="shared" si="0"/>
        <v>0</v>
      </c>
      <c r="U13" s="2">
        <v>10</v>
      </c>
    </row>
    <row r="14" spans="1:21" ht="15" hidden="1" customHeight="1" outlineLevel="1" x14ac:dyDescent="0.25">
      <c r="A14" s="660" t="b">
        <f t="shared" ref="A14:A77" si="1">A13</f>
        <v>0</v>
      </c>
      <c r="C14" s="35">
        <v>2</v>
      </c>
      <c r="D14" s="576" t="s">
        <v>2748</v>
      </c>
      <c r="E14" s="576">
        <v>38404</v>
      </c>
      <c r="F14" s="552" t="s">
        <v>3193</v>
      </c>
      <c r="G14" s="37" t="str">
        <f>IFERROR(VLOOKUP(E14,SINAPI!A:D,2,0),"")</f>
        <v xml:space="preserve">CONCRETO USINADO BOMBEAVEL, CLASSE DE RESISTENCIA C20, COM BRITA 0 E 1, SLUMP = 130 +/- 20 MM, EXCLUI SERVICO DE BOMBEAMENTO (NBR 8953)                                                                                                                                                                                                                                                                                                                                                                   </v>
      </c>
      <c r="H14" s="578"/>
      <c r="I14" s="40" t="str">
        <f>IFERROR(VLOOKUP(E14,SINAPI!A:D,3,0),"")</f>
        <v xml:space="preserve">M3    </v>
      </c>
      <c r="J14" s="579">
        <f>DISPOSITIVOS!E6</f>
        <v>9.5000000000000001E-2</v>
      </c>
      <c r="K14" s="40">
        <f>IFERROR(VLOOKUP(E14,SINAPI!A:D,4,0),"")</f>
        <v>495.11</v>
      </c>
      <c r="L14" s="580">
        <f t="shared" ref="L14:L16" si="2">IF(J14="","",ROUND(J14*K14,2))</f>
        <v>47.04</v>
      </c>
      <c r="M14" s="264"/>
      <c r="N14" s="562"/>
      <c r="O14" s="562"/>
      <c r="P14" s="562"/>
      <c r="Q14" s="562"/>
      <c r="S14" s="550"/>
      <c r="T14" s="550">
        <f t="shared" si="0"/>
        <v>0</v>
      </c>
      <c r="U14" s="2">
        <v>7</v>
      </c>
    </row>
    <row r="15" spans="1:21" ht="15" hidden="1" customHeight="1" outlineLevel="1" x14ac:dyDescent="0.25">
      <c r="A15" s="660" t="b">
        <f t="shared" si="1"/>
        <v>0</v>
      </c>
      <c r="C15" s="35">
        <v>3</v>
      </c>
      <c r="D15" s="576" t="s">
        <v>2747</v>
      </c>
      <c r="E15" s="576">
        <v>96536</v>
      </c>
      <c r="F15" s="577" t="s">
        <v>2703</v>
      </c>
      <c r="G15" s="37" t="str">
        <f>IFERROR(VLOOKUP(E15,SINAPI!A:D,2,0),"")</f>
        <v>FABRICAÇÃO, MONTAGEM E DESMONTAGEM DE FÔRMA PARA VIGA BALDRAME, EM MADEIRA SERRADA, E=25 MM, 4 UTILIZAÇÕES. AF_06/2017</v>
      </c>
      <c r="H15" s="578"/>
      <c r="I15" s="40" t="str">
        <f>IFERROR(VLOOKUP(E15,SINAPI!A:D,3,0),"")</f>
        <v>M2</v>
      </c>
      <c r="J15" s="579">
        <f>DISPOSITIVOS!E7</f>
        <v>0.39</v>
      </c>
      <c r="K15" s="40">
        <f>IFERROR(VLOOKUP(E15,SINAPI!A:D,4,0),"")</f>
        <v>91.89</v>
      </c>
      <c r="L15" s="580">
        <f t="shared" si="2"/>
        <v>35.840000000000003</v>
      </c>
      <c r="M15" s="264"/>
      <c r="N15" s="562"/>
      <c r="O15" s="562"/>
      <c r="P15" s="562"/>
      <c r="Q15" s="562"/>
      <c r="S15" s="550"/>
      <c r="T15" s="550">
        <f t="shared" si="0"/>
        <v>0</v>
      </c>
      <c r="U15" s="2">
        <v>1</v>
      </c>
    </row>
    <row r="16" spans="1:21" ht="15" hidden="1" customHeight="1" outlineLevel="1" x14ac:dyDescent="0.25">
      <c r="A16" s="660" t="b">
        <f t="shared" si="1"/>
        <v>0</v>
      </c>
      <c r="C16" s="35">
        <v>4</v>
      </c>
      <c r="D16" s="1567" t="s">
        <v>2639</v>
      </c>
      <c r="E16" s="1567">
        <v>407819</v>
      </c>
      <c r="F16" s="577" t="s">
        <v>2704</v>
      </c>
      <c r="G16" s="37" t="str">
        <f>IFERROR(VLOOKUP(E16,SINAPI!A:D,2,0),"")</f>
        <v>Armação em aço CA-50 - fornecimento, preparo e colocação</v>
      </c>
      <c r="H16" s="578"/>
      <c r="I16" s="40" t="str">
        <f>IFERROR(VLOOKUP(E16,SINAPI!A:D,3,0),"")</f>
        <v>kg</v>
      </c>
      <c r="J16" s="579">
        <f>DISPOSITIVOS!E8</f>
        <v>2.85</v>
      </c>
      <c r="K16" s="40">
        <f>IFERROR(VLOOKUP(E16,SINAPI!A:D,4,0),"")</f>
        <v>14.15</v>
      </c>
      <c r="L16" s="580">
        <f t="shared" si="2"/>
        <v>40.33</v>
      </c>
      <c r="M16" s="264"/>
      <c r="N16" s="562"/>
      <c r="O16" s="562"/>
      <c r="P16" s="562"/>
      <c r="Q16" s="562"/>
      <c r="S16" s="550"/>
      <c r="T16" s="550">
        <f t="shared" si="0"/>
        <v>0</v>
      </c>
      <c r="U16" s="2">
        <v>2</v>
      </c>
    </row>
    <row r="17" spans="1:21" ht="15" hidden="1" customHeight="1" outlineLevel="1" x14ac:dyDescent="0.25">
      <c r="A17" s="660" t="b">
        <f t="shared" si="1"/>
        <v>0</v>
      </c>
      <c r="C17" s="35">
        <v>5</v>
      </c>
      <c r="D17" s="576" t="s">
        <v>2747</v>
      </c>
      <c r="E17" s="576">
        <v>87327</v>
      </c>
      <c r="F17" s="577" t="s">
        <v>2705</v>
      </c>
      <c r="G17" s="37" t="str">
        <f>IFERROR(VLOOKUP(E17,SINAPI!A:D,2,0),"")</f>
        <v>ARGAMASSA TRAÇO 1:7 (EM VOLUME DE CIMENTO E AREIA MÉDIA ÚMIDA) COM ADIÇÃO DE PLASTIFICANTE PARA EMBOÇO/MASSA ÚNICA/ASSENTAMENTO DE ALVENARIA DE VEDAÇÃO, PREPARO MECÂNICO COM MISTURADOR DE EIXO HORIZONTAL DE 300 KG. AF_08/2019</v>
      </c>
      <c r="H17" s="578"/>
      <c r="I17" s="40" t="str">
        <f>IFERROR(VLOOKUP(E17,SINAPI!A:D,3,0),"")</f>
        <v>M3</v>
      </c>
      <c r="J17" s="579">
        <f>DISPOSITIVOS!E9</f>
        <v>8.2000000000000003E-2</v>
      </c>
      <c r="K17" s="40">
        <f>IFERROR(VLOOKUP(E17,SINAPI!A:D,4,0),"")</f>
        <v>503.88</v>
      </c>
      <c r="L17" s="580">
        <f t="shared" ref="L17:L19" si="3">IF(J17="","",ROUND(J17*K17,2))</f>
        <v>41.32</v>
      </c>
      <c r="M17" s="264"/>
      <c r="N17" s="562"/>
      <c r="O17" s="562"/>
      <c r="P17" s="562"/>
      <c r="Q17" s="562"/>
      <c r="S17" s="550"/>
      <c r="T17" s="550">
        <f t="shared" si="0"/>
        <v>0</v>
      </c>
      <c r="U17" s="2">
        <v>16</v>
      </c>
    </row>
    <row r="18" spans="1:21" ht="15" hidden="1" customHeight="1" outlineLevel="1" x14ac:dyDescent="0.25">
      <c r="A18" s="660" t="b">
        <f t="shared" si="1"/>
        <v>0</v>
      </c>
      <c r="C18" s="35">
        <v>6</v>
      </c>
      <c r="D18" s="576" t="s">
        <v>2747</v>
      </c>
      <c r="E18" s="576">
        <v>87327</v>
      </c>
      <c r="F18" s="577" t="s">
        <v>2706</v>
      </c>
      <c r="G18" s="37" t="str">
        <f>IFERROR(VLOOKUP(E18,SINAPI!A:D,2,0),"")</f>
        <v>ARGAMASSA TRAÇO 1:7 (EM VOLUME DE CIMENTO E AREIA MÉDIA ÚMIDA) COM ADIÇÃO DE PLASTIFICANTE PARA EMBOÇO/MASSA ÚNICA/ASSENTAMENTO DE ALVENARIA DE VEDAÇÃO, PREPARO MECÂNICO COM MISTURADOR DE EIXO HORIZONTAL DE 300 KG. AF_08/2019</v>
      </c>
      <c r="H18" s="578"/>
      <c r="I18" s="40" t="str">
        <f>IFERROR(VLOOKUP(E18,SINAPI!A:D,3,0),"")</f>
        <v>M3</v>
      </c>
      <c r="J18" s="579">
        <f>DISPOSITIVOS!E10</f>
        <v>8.9999999999999993E-3</v>
      </c>
      <c r="K18" s="40">
        <f>IFERROR(VLOOKUP(E18,SINAPI!A:D,4,0),"")</f>
        <v>503.88</v>
      </c>
      <c r="L18" s="580">
        <f t="shared" si="3"/>
        <v>4.53</v>
      </c>
      <c r="M18" s="264"/>
      <c r="N18" s="562"/>
      <c r="O18" s="562"/>
      <c r="P18" s="562"/>
      <c r="Q18" s="562"/>
      <c r="S18" s="550"/>
      <c r="T18" s="550">
        <f t="shared" si="0"/>
        <v>0</v>
      </c>
      <c r="U18" s="2">
        <v>17</v>
      </c>
    </row>
    <row r="19" spans="1:21" ht="15" hidden="1" customHeight="1" outlineLevel="1" x14ac:dyDescent="0.25">
      <c r="A19" s="660" t="b">
        <f t="shared" si="1"/>
        <v>0</v>
      </c>
      <c r="C19" s="35">
        <v>7</v>
      </c>
      <c r="D19" s="576" t="s">
        <v>17</v>
      </c>
      <c r="E19" s="576" t="s">
        <v>2701</v>
      </c>
      <c r="F19" s="577" t="str">
        <f>G19</f>
        <v>Grelha metálica articulada 60x75cm</v>
      </c>
      <c r="G19" s="37" t="str">
        <f>IFERROR(VLOOKUP(E19,SINAPI!A:D,2,0),"")</f>
        <v>Grelha metálica articulada 60x75cm</v>
      </c>
      <c r="H19" s="578"/>
      <c r="I19" s="40" t="str">
        <f>IFERROR(VLOOKUP(E19,SINAPI!A:D,3,0),"")</f>
        <v>un</v>
      </c>
      <c r="J19" s="579">
        <f>DISPOSITIVOS!E11</f>
        <v>1</v>
      </c>
      <c r="K19" s="40">
        <f>IFERROR(VLOOKUP(E19,SINAPI!A:D,4,0),"")</f>
        <v>768.45</v>
      </c>
      <c r="L19" s="580">
        <f t="shared" si="3"/>
        <v>768.45</v>
      </c>
      <c r="M19" s="264"/>
      <c r="N19" s="562"/>
      <c r="O19" s="562"/>
      <c r="P19" s="562"/>
      <c r="Q19" s="562"/>
      <c r="S19" s="550"/>
      <c r="T19" s="550">
        <f t="shared" si="0"/>
        <v>0</v>
      </c>
      <c r="U19" s="2">
        <v>18</v>
      </c>
    </row>
    <row r="20" spans="1:21" ht="15" hidden="1" customHeight="1" outlineLevel="1" x14ac:dyDescent="0.25">
      <c r="A20" s="660" t="b">
        <f t="shared" si="1"/>
        <v>0</v>
      </c>
      <c r="C20" s="35">
        <v>8</v>
      </c>
      <c r="D20" s="550" t="s">
        <v>2747</v>
      </c>
      <c r="E20" s="550">
        <v>103670</v>
      </c>
      <c r="F20" s="552" t="s">
        <v>2761</v>
      </c>
      <c r="G20" s="37" t="str">
        <f>IFERROR(VLOOKUP(E20,SINAPI!A:D,2,0),"")</f>
        <v>LANÇAMENTO COM USO DE BALDES, ADENSAMENTO E ACABAMENTO DE CONCRETO EM ESTRUTURAS. AF_02/2022</v>
      </c>
      <c r="H20" s="578"/>
      <c r="I20" s="40" t="str">
        <f>IFERROR(VLOOKUP(E20,SINAPI!A:D,3,0),"")</f>
        <v>M3</v>
      </c>
      <c r="J20" s="579">
        <f>J14</f>
        <v>9.5000000000000001E-2</v>
      </c>
      <c r="K20" s="40">
        <f>IFERROR(VLOOKUP(E20,SINAPI!A:D,4,0),"")</f>
        <v>301.64</v>
      </c>
      <c r="L20" s="580">
        <f t="shared" ref="L20" si="4">IF(J20="","",ROUND(J20*K20,2))</f>
        <v>28.66</v>
      </c>
      <c r="M20" s="264"/>
      <c r="N20" s="562"/>
      <c r="O20" s="562"/>
      <c r="P20" s="562"/>
      <c r="Q20" s="562"/>
      <c r="S20" s="550"/>
      <c r="T20" s="550">
        <f t="shared" si="0"/>
        <v>0</v>
      </c>
      <c r="U20" s="2">
        <v>19</v>
      </c>
    </row>
    <row r="21" spans="1:21" ht="15" hidden="1" customHeight="1" outlineLevel="1" thickBot="1" x14ac:dyDescent="0.3">
      <c r="A21" s="660" t="b">
        <f t="shared" si="1"/>
        <v>0</v>
      </c>
      <c r="C21" s="230" t="s">
        <v>96</v>
      </c>
      <c r="D21" s="231"/>
      <c r="E21" s="231"/>
      <c r="F21" s="231"/>
      <c r="G21" s="231"/>
      <c r="H21" s="231"/>
      <c r="I21" s="231"/>
      <c r="J21" s="231"/>
      <c r="K21" s="232"/>
      <c r="L21" s="581">
        <f>SUM(L13:L20)</f>
        <v>2022.44</v>
      </c>
      <c r="M21" s="261"/>
      <c r="N21" s="562" t="str">
        <f>C12</f>
        <v>COMP 01</v>
      </c>
      <c r="O21" s="582">
        <f>L21</f>
        <v>2022.44</v>
      </c>
      <c r="P21" s="562"/>
      <c r="Q21" s="562"/>
      <c r="S21" s="550"/>
      <c r="T21" s="550">
        <f t="shared" si="0"/>
        <v>0</v>
      </c>
      <c r="U21" s="2">
        <v>20</v>
      </c>
    </row>
    <row r="22" spans="1:21" ht="15" hidden="1" customHeight="1" outlineLevel="1" x14ac:dyDescent="0.25">
      <c r="A22" s="699" t="b">
        <f>_xlfn.XOR(C22=$S$2,C22=$S$3,C22=$S$4,C22=$S$5,C22=$S$6,C22=$S$7,C22=$S$8,C22=$S$9,C22=$S$10,C22=$S$11,C22=$S$12,C22=$S$13,C22=$S$14,C22=$S$15,C22=$S$16,C22=$S$17,C22=$S$18,C22=$S$19,C22=$S$20,C22=$S$21,C22=$S$22,C22=$S$23,C22=$S$24,C22=$S$25,C22=$S$26,C22=$S$27,C22=$S$28,C22=$S$29,C22=$S$30,C22=$S$316,C22=$S$32,C22=$S$33,C22=$S$34,C22=$S$35,C22=$S$36,C22=$S$37,C22=$S$38,C22=$S$39,C22=$S$40,C22=$S$41,C22=$S$42,)</f>
        <v>0</v>
      </c>
      <c r="C22" s="569" t="s">
        <v>19</v>
      </c>
      <c r="D22" s="570"/>
      <c r="E22" s="570" t="str">
        <f>IFERROR(VLOOKUP(C22,SINAPI!A:D,2,0),"")</f>
        <v>Boca de lobo em alvenaria para tubo d= 60cm</v>
      </c>
      <c r="F22" s="570"/>
      <c r="G22" s="217"/>
      <c r="H22" s="571"/>
      <c r="I22" s="572" t="str">
        <f>IFERROR(VLOOKUP(C22,SINAPI!A:D,3,0),"")</f>
        <v>un</v>
      </c>
      <c r="J22" s="573"/>
      <c r="K22" s="573" t="s">
        <v>2603</v>
      </c>
      <c r="L22" s="574" t="str">
        <f>IF(J22="","",ROUND(J22*#REF!,2))</f>
        <v/>
      </c>
      <c r="M22" s="575"/>
      <c r="N22" s="562"/>
      <c r="O22" s="562"/>
      <c r="P22" s="562"/>
      <c r="Q22" s="562"/>
      <c r="S22" s="550"/>
      <c r="T22" s="550">
        <f t="shared" ref="T22:T42" si="5">IF(S22="",0,1)</f>
        <v>0</v>
      </c>
      <c r="U22" s="2">
        <v>21</v>
      </c>
    </row>
    <row r="23" spans="1:21" ht="15" hidden="1" customHeight="1" outlineLevel="1" x14ac:dyDescent="0.25">
      <c r="A23" s="660" t="b">
        <f t="shared" si="1"/>
        <v>0</v>
      </c>
      <c r="C23" s="35">
        <v>1</v>
      </c>
      <c r="D23" s="576" t="s">
        <v>17</v>
      </c>
      <c r="E23" s="576" t="s">
        <v>4593</v>
      </c>
      <c r="F23" s="577" t="s">
        <v>2699</v>
      </c>
      <c r="G23" s="37" t="str">
        <f>IFERROR(VLOOKUP(E23,SINAPI!A:D,2,0),"")</f>
        <v>Alvenaria de tijolos maciços</v>
      </c>
      <c r="H23" s="578"/>
      <c r="I23" s="40" t="str">
        <f>IFERROR(VLOOKUP(E23,SINAPI!A:D,3,0),"")</f>
        <v>m²</v>
      </c>
      <c r="J23" s="579">
        <f>DISPOSITIVOS!G5</f>
        <v>5.1870000000000003</v>
      </c>
      <c r="K23" s="40">
        <f>IFERROR(VLOOKUP(E23,SINAPI!A:D,4,0),"")</f>
        <v>256.19</v>
      </c>
      <c r="L23" s="580">
        <f>IF(J23="","",ROUND(J23*K23,2))</f>
        <v>1328.86</v>
      </c>
      <c r="M23" s="264"/>
      <c r="N23" s="562"/>
      <c r="O23" s="562"/>
      <c r="P23" s="562"/>
      <c r="Q23" s="562"/>
      <c r="S23" s="550"/>
      <c r="T23" s="550">
        <f t="shared" si="5"/>
        <v>0</v>
      </c>
      <c r="U23" s="2">
        <v>22</v>
      </c>
    </row>
    <row r="24" spans="1:21" ht="15" hidden="1" customHeight="1" outlineLevel="1" x14ac:dyDescent="0.25">
      <c r="A24" s="660" t="b">
        <f t="shared" si="1"/>
        <v>0</v>
      </c>
      <c r="C24" s="35">
        <v>2</v>
      </c>
      <c r="D24" s="576" t="s">
        <v>2748</v>
      </c>
      <c r="E24" s="576">
        <v>38404</v>
      </c>
      <c r="F24" s="552" t="s">
        <v>3193</v>
      </c>
      <c r="G24" s="37" t="str">
        <f>IFERROR(VLOOKUP(E24,SINAPI!A:D,2,0),"")</f>
        <v xml:space="preserve">CONCRETO USINADO BOMBEAVEL, CLASSE DE RESISTENCIA C20, COM BRITA 0 E 1, SLUMP = 130 +/- 20 MM, EXCLUI SERVICO DE BOMBEAMENTO (NBR 8953)                                                                                                                                                                                                                                                                                                                                                                   </v>
      </c>
      <c r="H24" s="578"/>
      <c r="I24" s="40" t="str">
        <f>IFERROR(VLOOKUP(E24,SINAPI!A:D,3,0),"")</f>
        <v xml:space="preserve">M3    </v>
      </c>
      <c r="J24" s="579">
        <f>DISPOSITIVOS!G6</f>
        <v>0.11600000000000001</v>
      </c>
      <c r="K24" s="40">
        <f>IFERROR(VLOOKUP(E24,SINAPI!A:D,4,0),"")</f>
        <v>495.11</v>
      </c>
      <c r="L24" s="580">
        <f t="shared" ref="L24:L29" si="6">IF(J24="","",ROUND(J24*K24,2))</f>
        <v>57.43</v>
      </c>
      <c r="M24" s="264"/>
      <c r="N24" s="562"/>
      <c r="O24" s="562"/>
      <c r="P24" s="562"/>
      <c r="Q24" s="562"/>
      <c r="S24" s="550"/>
      <c r="T24" s="550">
        <f t="shared" si="5"/>
        <v>0</v>
      </c>
      <c r="U24" s="2">
        <v>23</v>
      </c>
    </row>
    <row r="25" spans="1:21" ht="15" hidden="1" customHeight="1" outlineLevel="1" x14ac:dyDescent="0.25">
      <c r="A25" s="660" t="b">
        <f t="shared" si="1"/>
        <v>0</v>
      </c>
      <c r="C25" s="35">
        <v>3</v>
      </c>
      <c r="D25" s="576" t="s">
        <v>2747</v>
      </c>
      <c r="E25" s="576">
        <v>96536</v>
      </c>
      <c r="F25" s="577" t="s">
        <v>2703</v>
      </c>
      <c r="G25" s="37" t="str">
        <f>IFERROR(VLOOKUP(E25,SINAPI!A:D,2,0),"")</f>
        <v>FABRICAÇÃO, MONTAGEM E DESMONTAGEM DE FÔRMA PARA VIGA BALDRAME, EM MADEIRA SERRADA, E=25 MM, 4 UTILIZAÇÕES. AF_06/2017</v>
      </c>
      <c r="H25" s="578"/>
      <c r="I25" s="40" t="str">
        <f>IFERROR(VLOOKUP(E25,SINAPI!A:D,3,0),"")</f>
        <v>M2</v>
      </c>
      <c r="J25" s="579">
        <f>DISPOSITIVOS!G7</f>
        <v>0.43</v>
      </c>
      <c r="K25" s="40">
        <f>IFERROR(VLOOKUP(E25,SINAPI!A:D,4,0),"")</f>
        <v>91.89</v>
      </c>
      <c r="L25" s="580">
        <f t="shared" si="6"/>
        <v>39.51</v>
      </c>
      <c r="M25" s="264"/>
      <c r="N25" s="562"/>
      <c r="O25" s="562"/>
      <c r="P25" s="562"/>
      <c r="Q25" s="562"/>
      <c r="S25" s="550"/>
      <c r="T25" s="550">
        <f t="shared" si="5"/>
        <v>0</v>
      </c>
      <c r="U25" s="2">
        <v>24</v>
      </c>
    </row>
    <row r="26" spans="1:21" ht="15" hidden="1" customHeight="1" outlineLevel="1" x14ac:dyDescent="0.25">
      <c r="A26" s="660" t="b">
        <f t="shared" si="1"/>
        <v>0</v>
      </c>
      <c r="C26" s="35">
        <v>4</v>
      </c>
      <c r="D26" s="1567" t="s">
        <v>2639</v>
      </c>
      <c r="E26" s="1567">
        <v>407819</v>
      </c>
      <c r="F26" s="577" t="s">
        <v>2704</v>
      </c>
      <c r="G26" s="37" t="str">
        <f>IFERROR(VLOOKUP(E26,SINAPI!A:D,2,0),"")</f>
        <v>Armação em aço CA-50 - fornecimento, preparo e colocação</v>
      </c>
      <c r="H26" s="578"/>
      <c r="I26" s="40" t="str">
        <f>IFERROR(VLOOKUP(E26,SINAPI!A:D,3,0),"")</f>
        <v>kg</v>
      </c>
      <c r="J26" s="579">
        <f>DISPOSITIVOS!G8</f>
        <v>3.48</v>
      </c>
      <c r="K26" s="40">
        <f>IFERROR(VLOOKUP(E26,SINAPI!A:D,4,0),"")</f>
        <v>14.15</v>
      </c>
      <c r="L26" s="580">
        <f t="shared" si="6"/>
        <v>49.24</v>
      </c>
      <c r="M26" s="264"/>
      <c r="N26" s="562"/>
      <c r="O26" s="562"/>
      <c r="P26" s="562"/>
      <c r="Q26" s="562"/>
      <c r="S26" s="550"/>
      <c r="T26" s="550">
        <f t="shared" si="5"/>
        <v>0</v>
      </c>
      <c r="U26" s="2">
        <v>25</v>
      </c>
    </row>
    <row r="27" spans="1:21" ht="15" hidden="1" customHeight="1" outlineLevel="1" x14ac:dyDescent="0.25">
      <c r="A27" s="660" t="b">
        <f t="shared" si="1"/>
        <v>0</v>
      </c>
      <c r="C27" s="35">
        <v>5</v>
      </c>
      <c r="D27" s="576" t="s">
        <v>2747</v>
      </c>
      <c r="E27" s="576">
        <v>87327</v>
      </c>
      <c r="F27" s="577" t="s">
        <v>2705</v>
      </c>
      <c r="G27" s="37" t="str">
        <f>IFERROR(VLOOKUP(E27,SINAPI!A:D,2,0),"")</f>
        <v>ARGAMASSA TRAÇO 1:7 (EM VOLUME DE CIMENTO E AREIA MÉDIA ÚMIDA) COM ADIÇÃO DE PLASTIFICANTE PARA EMBOÇO/MASSA ÚNICA/ASSENTAMENTO DE ALVENARIA DE VEDAÇÃO, PREPARO MECÂNICO COM MISTURADOR DE EIXO HORIZONTAL DE 300 KG. AF_08/2019</v>
      </c>
      <c r="H27" s="578"/>
      <c r="I27" s="40" t="str">
        <f>IFERROR(VLOOKUP(E27,SINAPI!A:D,3,0),"")</f>
        <v>M3</v>
      </c>
      <c r="J27" s="579">
        <f>DISPOSITIVOS!G9</f>
        <v>9.2999999999999999E-2</v>
      </c>
      <c r="K27" s="40">
        <f>IFERROR(VLOOKUP(E27,SINAPI!A:D,4,0),"")</f>
        <v>503.88</v>
      </c>
      <c r="L27" s="580">
        <f t="shared" si="6"/>
        <v>46.86</v>
      </c>
      <c r="M27" s="264"/>
      <c r="N27" s="562"/>
      <c r="O27" s="562"/>
      <c r="P27" s="562"/>
      <c r="Q27" s="562"/>
      <c r="S27" s="550"/>
      <c r="T27" s="550">
        <f t="shared" si="5"/>
        <v>0</v>
      </c>
      <c r="U27" s="2">
        <v>26</v>
      </c>
    </row>
    <row r="28" spans="1:21" ht="15" hidden="1" customHeight="1" outlineLevel="1" x14ac:dyDescent="0.25">
      <c r="A28" s="660" t="b">
        <f t="shared" si="1"/>
        <v>0</v>
      </c>
      <c r="C28" s="35">
        <v>6</v>
      </c>
      <c r="D28" s="576" t="s">
        <v>2747</v>
      </c>
      <c r="E28" s="576">
        <v>87327</v>
      </c>
      <c r="F28" s="577" t="s">
        <v>2706</v>
      </c>
      <c r="G28" s="37" t="str">
        <f>IFERROR(VLOOKUP(E28,SINAPI!A:D,2,0),"")</f>
        <v>ARGAMASSA TRAÇO 1:7 (EM VOLUME DE CIMENTO E AREIA MÉDIA ÚMIDA) COM ADIÇÃO DE PLASTIFICANTE PARA EMBOÇO/MASSA ÚNICA/ASSENTAMENTO DE ALVENARIA DE VEDAÇÃO, PREPARO MECÂNICO COM MISTURADOR DE EIXO HORIZONTAL DE 300 KG. AF_08/2019</v>
      </c>
      <c r="H28" s="578"/>
      <c r="I28" s="40" t="str">
        <f>IFERROR(VLOOKUP(E28,SINAPI!A:D,3,0),"")</f>
        <v>M3</v>
      </c>
      <c r="J28" s="579">
        <f>DISPOSITIVOS!G10</f>
        <v>8.9999999999999993E-3</v>
      </c>
      <c r="K28" s="40">
        <f>IFERROR(VLOOKUP(E28,SINAPI!A:D,4,0),"")</f>
        <v>503.88</v>
      </c>
      <c r="L28" s="580">
        <f t="shared" si="6"/>
        <v>4.53</v>
      </c>
      <c r="M28" s="264"/>
      <c r="N28" s="562"/>
      <c r="O28" s="562"/>
      <c r="P28" s="562"/>
      <c r="Q28" s="562"/>
      <c r="S28" s="550"/>
      <c r="T28" s="550">
        <f t="shared" si="5"/>
        <v>0</v>
      </c>
      <c r="U28" s="2">
        <v>27</v>
      </c>
    </row>
    <row r="29" spans="1:21" ht="15" hidden="1" customHeight="1" outlineLevel="1" x14ac:dyDescent="0.25">
      <c r="A29" s="660" t="b">
        <f t="shared" si="1"/>
        <v>0</v>
      </c>
      <c r="C29" s="35">
        <v>7</v>
      </c>
      <c r="D29" s="576" t="s">
        <v>17</v>
      </c>
      <c r="E29" s="576" t="s">
        <v>2757</v>
      </c>
      <c r="F29" s="577" t="str">
        <f>G29</f>
        <v>Grelha metálica articulada 80x75cm</v>
      </c>
      <c r="G29" s="37" t="str">
        <f>IFERROR(VLOOKUP(E29,SINAPI!A:D,2,0),"")</f>
        <v>Grelha metálica articulada 80x75cm</v>
      </c>
      <c r="H29" s="578"/>
      <c r="I29" s="40" t="str">
        <f>IFERROR(VLOOKUP(E29,SINAPI!A:D,3,0),"")</f>
        <v>un</v>
      </c>
      <c r="J29" s="579">
        <f>DISPOSITIVOS!G12</f>
        <v>1</v>
      </c>
      <c r="K29" s="40">
        <f>IFERROR(VLOOKUP(E29,SINAPI!A:D,4,0),"")</f>
        <v>927.95</v>
      </c>
      <c r="L29" s="580">
        <f t="shared" si="6"/>
        <v>927.95</v>
      </c>
      <c r="M29" s="264"/>
      <c r="N29" s="562"/>
      <c r="O29" s="562"/>
      <c r="P29" s="562"/>
      <c r="Q29" s="562"/>
      <c r="S29" s="550"/>
      <c r="T29" s="550">
        <f t="shared" si="5"/>
        <v>0</v>
      </c>
      <c r="U29" s="2">
        <v>28</v>
      </c>
    </row>
    <row r="30" spans="1:21" ht="15" hidden="1" customHeight="1" outlineLevel="1" x14ac:dyDescent="0.25">
      <c r="A30" s="660" t="b">
        <f t="shared" si="1"/>
        <v>0</v>
      </c>
      <c r="C30" s="35">
        <v>8</v>
      </c>
      <c r="D30" s="550" t="s">
        <v>2747</v>
      </c>
      <c r="E30" s="550">
        <v>103670</v>
      </c>
      <c r="F30" s="552" t="s">
        <v>2761</v>
      </c>
      <c r="G30" s="37" t="str">
        <f>IFERROR(VLOOKUP(E30,SINAPI!A:D,2,0),"")</f>
        <v>LANÇAMENTO COM USO DE BALDES, ADENSAMENTO E ACABAMENTO DE CONCRETO EM ESTRUTURAS. AF_02/2022</v>
      </c>
      <c r="H30" s="578"/>
      <c r="I30" s="40" t="str">
        <f>IFERROR(VLOOKUP(E30,SINAPI!A:D,3,0),"")</f>
        <v>M3</v>
      </c>
      <c r="J30" s="579">
        <f>J24</f>
        <v>0.11600000000000001</v>
      </c>
      <c r="K30" s="40">
        <f>IFERROR(VLOOKUP(E30,SINAPI!A:D,4,0),"")</f>
        <v>301.64</v>
      </c>
      <c r="L30" s="580">
        <f t="shared" ref="L30" si="7">IF(J30="","",ROUND(J30*K30,2))</f>
        <v>34.99</v>
      </c>
      <c r="M30" s="264"/>
      <c r="N30" s="562"/>
      <c r="O30" s="562"/>
      <c r="P30" s="562"/>
      <c r="Q30" s="562"/>
      <c r="S30" s="550"/>
      <c r="T30" s="550">
        <f t="shared" si="5"/>
        <v>0</v>
      </c>
      <c r="U30" s="2">
        <v>29</v>
      </c>
    </row>
    <row r="31" spans="1:21" ht="15" hidden="1" customHeight="1" outlineLevel="1" thickBot="1" x14ac:dyDescent="0.3">
      <c r="A31" s="660" t="b">
        <f t="shared" si="1"/>
        <v>0</v>
      </c>
      <c r="C31" s="230" t="s">
        <v>96</v>
      </c>
      <c r="D31" s="231"/>
      <c r="E31" s="231"/>
      <c r="F31" s="231"/>
      <c r="G31" s="231"/>
      <c r="H31" s="231"/>
      <c r="I31" s="231"/>
      <c r="J31" s="231"/>
      <c r="K31" s="232"/>
      <c r="L31" s="581">
        <f>SUM(L23:L30)</f>
        <v>2489.37</v>
      </c>
      <c r="M31" s="261"/>
      <c r="N31" s="562" t="str">
        <f>C22</f>
        <v>COMP 02</v>
      </c>
      <c r="O31" s="582">
        <f>L31</f>
        <v>2489.37</v>
      </c>
      <c r="P31" s="562"/>
      <c r="Q31" s="562"/>
      <c r="S31" s="550"/>
      <c r="T31" s="550">
        <f t="shared" si="5"/>
        <v>0</v>
      </c>
      <c r="U31" s="2">
        <v>30</v>
      </c>
    </row>
    <row r="32" spans="1:21" ht="15" hidden="1" customHeight="1" outlineLevel="1" x14ac:dyDescent="0.25">
      <c r="A32" s="699" t="b">
        <f>_xlfn.XOR(C32=$S$2,C32=$S$3,C32=$S$4,C32=$S$5,C32=$S$6,C32=$S$7,C32=$S$8,C32=$S$9,C32=$S$10,C32=$S$11,C32=$S$12,C32=$S$13,C32=$S$14,C32=$S$15,C32=$S$16,C32=$S$17,C32=$S$18,C32=$S$19,C32=$S$20,C32=$S$21,C32=$S$22,C32=$S$23,C32=$S$24,C32=$S$25,C32=$S$26,C32=$S$27,C32=$S$28,C32=$S$29,C32=$S$30,C32=$S$316,C32=$S$32,C32=$S$33,C32=$S$34,C32=$S$35,C32=$S$36,C32=$S$37,C32=$S$38,C32=$S$39,C32=$S$40,C32=$S$41,C32=$S$42,)</f>
        <v>0</v>
      </c>
      <c r="C32" s="569" t="s">
        <v>28</v>
      </c>
      <c r="D32" s="570"/>
      <c r="E32" s="570" t="str">
        <f>IFERROR(VLOOKUP(C32,SINAPI!A:D,2,0),"")</f>
        <v>Boca de lobo em alvenaria para tubo d= 80cm</v>
      </c>
      <c r="F32" s="570"/>
      <c r="G32" s="217"/>
      <c r="H32" s="571"/>
      <c r="I32" s="572" t="str">
        <f>IFERROR(VLOOKUP(C32,SINAPI!A:D,3,0),"")</f>
        <v>un</v>
      </c>
      <c r="J32" s="573"/>
      <c r="K32" s="573" t="s">
        <v>2603</v>
      </c>
      <c r="L32" s="574" t="str">
        <f>IF(J32="","",ROUND(J32*#REF!,2))</f>
        <v/>
      </c>
      <c r="M32" s="575"/>
      <c r="N32" s="562"/>
      <c r="O32" s="562"/>
      <c r="P32" s="562"/>
      <c r="Q32" s="562"/>
      <c r="S32" s="550"/>
      <c r="T32" s="550">
        <f t="shared" si="5"/>
        <v>0</v>
      </c>
      <c r="U32" s="2">
        <v>31</v>
      </c>
    </row>
    <row r="33" spans="1:21" ht="15" hidden="1" customHeight="1" outlineLevel="1" x14ac:dyDescent="0.25">
      <c r="A33" s="660" t="b">
        <f t="shared" si="1"/>
        <v>0</v>
      </c>
      <c r="C33" s="35">
        <v>1</v>
      </c>
      <c r="D33" s="576" t="s">
        <v>17</v>
      </c>
      <c r="E33" s="576" t="s">
        <v>4593</v>
      </c>
      <c r="F33" s="577" t="s">
        <v>2699</v>
      </c>
      <c r="G33" s="37" t="str">
        <f>IFERROR(VLOOKUP(E33,SINAPI!A:D,2,0),"")</f>
        <v>Alvenaria de tijolos maciços</v>
      </c>
      <c r="H33" s="578"/>
      <c r="I33" s="40" t="str">
        <f>IFERROR(VLOOKUP(E33,SINAPI!A:D,3,0),"")</f>
        <v>m²</v>
      </c>
      <c r="J33" s="579">
        <f>DISPOSITIVOS!I5</f>
        <v>7.6020000000000003</v>
      </c>
      <c r="K33" s="40">
        <f>IFERROR(VLOOKUP(E33,SINAPI!A:D,4,0),"")</f>
        <v>256.19</v>
      </c>
      <c r="L33" s="580">
        <f>IF(J33="","",ROUND(J33*K33,2))</f>
        <v>1947.56</v>
      </c>
      <c r="M33" s="264"/>
      <c r="N33" s="562"/>
      <c r="O33" s="562"/>
      <c r="P33" s="562"/>
      <c r="Q33" s="562"/>
      <c r="S33" s="550"/>
      <c r="T33" s="550">
        <f t="shared" si="5"/>
        <v>0</v>
      </c>
      <c r="U33" s="2">
        <v>32</v>
      </c>
    </row>
    <row r="34" spans="1:21" ht="15" hidden="1" customHeight="1" outlineLevel="1" x14ac:dyDescent="0.25">
      <c r="A34" s="660" t="b">
        <f t="shared" si="1"/>
        <v>0</v>
      </c>
      <c r="C34" s="35">
        <v>2</v>
      </c>
      <c r="D34" s="576" t="s">
        <v>2748</v>
      </c>
      <c r="E34" s="576">
        <v>38404</v>
      </c>
      <c r="F34" s="552" t="s">
        <v>3193</v>
      </c>
      <c r="G34" s="37" t="str">
        <f>IFERROR(VLOOKUP(E34,SINAPI!A:D,2,0),"")</f>
        <v xml:space="preserve">CONCRETO USINADO BOMBEAVEL, CLASSE DE RESISTENCIA C20, COM BRITA 0 E 1, SLUMP = 130 +/- 20 MM, EXCLUI SERVICO DE BOMBEAMENTO (NBR 8953)                                                                                                                                                                                                                                                                                                                                                                   </v>
      </c>
      <c r="H34" s="578"/>
      <c r="I34" s="40" t="str">
        <f>IFERROR(VLOOKUP(E34,SINAPI!A:D,3,0),"")</f>
        <v xml:space="preserve">M3    </v>
      </c>
      <c r="J34" s="579">
        <f>DISPOSITIVOS!I6</f>
        <v>0.26600000000000001</v>
      </c>
      <c r="K34" s="40">
        <f>IFERROR(VLOOKUP(E34,SINAPI!A:D,4,0),"")</f>
        <v>495.11</v>
      </c>
      <c r="L34" s="580">
        <f t="shared" ref="L34:L39" si="8">IF(J34="","",ROUND(J34*K34,2))</f>
        <v>131.69999999999999</v>
      </c>
      <c r="M34" s="264"/>
      <c r="N34" s="562"/>
      <c r="O34" s="562"/>
      <c r="P34" s="562"/>
      <c r="Q34" s="562"/>
      <c r="S34" s="550"/>
      <c r="T34" s="550">
        <f t="shared" si="5"/>
        <v>0</v>
      </c>
      <c r="U34" s="2">
        <v>33</v>
      </c>
    </row>
    <row r="35" spans="1:21" ht="15" hidden="1" customHeight="1" outlineLevel="1" x14ac:dyDescent="0.25">
      <c r="A35" s="660" t="b">
        <f t="shared" si="1"/>
        <v>0</v>
      </c>
      <c r="C35" s="35">
        <v>3</v>
      </c>
      <c r="D35" s="576" t="s">
        <v>2747</v>
      </c>
      <c r="E35" s="576">
        <v>96536</v>
      </c>
      <c r="F35" s="577" t="s">
        <v>2703</v>
      </c>
      <c r="G35" s="37" t="str">
        <f>IFERROR(VLOOKUP(E35,SINAPI!A:D,2,0),"")</f>
        <v>FABRICAÇÃO, MONTAGEM E DESMONTAGEM DE FÔRMA PARA VIGA BALDRAME, EM MADEIRA SERRADA, E=25 MM, 4 UTILIZAÇÕES. AF_06/2017</v>
      </c>
      <c r="H35" s="578"/>
      <c r="I35" s="40" t="str">
        <f>IFERROR(VLOOKUP(E35,SINAPI!A:D,3,0),"")</f>
        <v>M2</v>
      </c>
      <c r="J35" s="579">
        <f>DISPOSITIVOS!I7</f>
        <v>0.84499999999999997</v>
      </c>
      <c r="K35" s="40">
        <f>IFERROR(VLOOKUP(E35,SINAPI!A:D,4,0),"")</f>
        <v>91.89</v>
      </c>
      <c r="L35" s="580">
        <f t="shared" si="8"/>
        <v>77.650000000000006</v>
      </c>
      <c r="M35" s="264"/>
      <c r="N35" s="562"/>
      <c r="O35" s="562"/>
      <c r="P35" s="562"/>
      <c r="Q35" s="562"/>
      <c r="S35" s="550"/>
      <c r="T35" s="550">
        <f t="shared" si="5"/>
        <v>0</v>
      </c>
      <c r="U35" s="2">
        <v>34</v>
      </c>
    </row>
    <row r="36" spans="1:21" ht="15" hidden="1" customHeight="1" outlineLevel="1" x14ac:dyDescent="0.25">
      <c r="A36" s="660" t="b">
        <f t="shared" si="1"/>
        <v>0</v>
      </c>
      <c r="C36" s="35">
        <v>4</v>
      </c>
      <c r="D36" s="1567" t="s">
        <v>2639</v>
      </c>
      <c r="E36" s="1567">
        <v>407819</v>
      </c>
      <c r="F36" s="577" t="s">
        <v>2704</v>
      </c>
      <c r="G36" s="37" t="str">
        <f>IFERROR(VLOOKUP(E36,SINAPI!A:D,2,0),"")</f>
        <v>Armação em aço CA-50 - fornecimento, preparo e colocação</v>
      </c>
      <c r="H36" s="578"/>
      <c r="I36" s="40" t="str">
        <f>IFERROR(VLOOKUP(E36,SINAPI!A:D,3,0),"")</f>
        <v>kg</v>
      </c>
      <c r="J36" s="579">
        <f>DISPOSITIVOS!I8</f>
        <v>7.98</v>
      </c>
      <c r="K36" s="40">
        <f>IFERROR(VLOOKUP(E36,SINAPI!A:D,4,0),"")</f>
        <v>14.15</v>
      </c>
      <c r="L36" s="580">
        <f t="shared" si="8"/>
        <v>112.92</v>
      </c>
      <c r="M36" s="264"/>
      <c r="N36" s="562"/>
      <c r="O36" s="562"/>
      <c r="P36" s="562"/>
      <c r="Q36" s="562"/>
      <c r="S36" s="550"/>
      <c r="T36" s="550">
        <f t="shared" si="5"/>
        <v>0</v>
      </c>
      <c r="U36" s="2">
        <v>35</v>
      </c>
    </row>
    <row r="37" spans="1:21" ht="15" hidden="1" customHeight="1" outlineLevel="1" x14ac:dyDescent="0.25">
      <c r="A37" s="660" t="b">
        <f t="shared" si="1"/>
        <v>0</v>
      </c>
      <c r="C37" s="35">
        <v>5</v>
      </c>
      <c r="D37" s="576" t="s">
        <v>2747</v>
      </c>
      <c r="E37" s="576">
        <v>87327</v>
      </c>
      <c r="F37" s="577" t="s">
        <v>2705</v>
      </c>
      <c r="G37" s="37" t="str">
        <f>IFERROR(VLOOKUP(E37,SINAPI!A:D,2,0),"")</f>
        <v>ARGAMASSA TRAÇO 1:7 (EM VOLUME DE CIMENTO E AREIA MÉDIA ÚMIDA) COM ADIÇÃO DE PLASTIFICANTE PARA EMBOÇO/MASSA ÚNICA/ASSENTAMENTO DE ALVENARIA DE VEDAÇÃO, PREPARO MECÂNICO COM MISTURADOR DE EIXO HORIZONTAL DE 300 KG. AF_08/2019</v>
      </c>
      <c r="H37" s="578"/>
      <c r="I37" s="40" t="str">
        <f>IFERROR(VLOOKUP(E37,SINAPI!A:D,3,0),"")</f>
        <v>M3</v>
      </c>
      <c r="J37" s="579">
        <f>DISPOSITIVOS!I9</f>
        <v>0.13900000000000001</v>
      </c>
      <c r="K37" s="40">
        <f>IFERROR(VLOOKUP(E37,SINAPI!A:D,4,0),"")</f>
        <v>503.88</v>
      </c>
      <c r="L37" s="580">
        <f t="shared" si="8"/>
        <v>70.040000000000006</v>
      </c>
      <c r="M37" s="264"/>
      <c r="N37" s="562"/>
      <c r="O37" s="562"/>
      <c r="P37" s="562"/>
      <c r="Q37" s="562"/>
      <c r="S37" s="550"/>
      <c r="T37" s="550">
        <f t="shared" si="5"/>
        <v>0</v>
      </c>
      <c r="U37" s="2">
        <v>36</v>
      </c>
    </row>
    <row r="38" spans="1:21" ht="15" hidden="1" customHeight="1" outlineLevel="1" x14ac:dyDescent="0.25">
      <c r="A38" s="660" t="b">
        <f t="shared" si="1"/>
        <v>0</v>
      </c>
      <c r="C38" s="35">
        <v>6</v>
      </c>
      <c r="D38" s="576" t="s">
        <v>2747</v>
      </c>
      <c r="E38" s="576">
        <v>87327</v>
      </c>
      <c r="F38" s="577" t="s">
        <v>2706</v>
      </c>
      <c r="G38" s="37" t="str">
        <f>IFERROR(VLOOKUP(E38,SINAPI!A:D,2,0),"")</f>
        <v>ARGAMASSA TRAÇO 1:7 (EM VOLUME DE CIMENTO E AREIA MÉDIA ÚMIDA) COM ADIÇÃO DE PLASTIFICANTE PARA EMBOÇO/MASSA ÚNICA/ASSENTAMENTO DE ALVENARIA DE VEDAÇÃO, PREPARO MECÂNICO COM MISTURADOR DE EIXO HORIZONTAL DE 300 KG. AF_08/2019</v>
      </c>
      <c r="H38" s="578"/>
      <c r="I38" s="40" t="str">
        <f>IFERROR(VLOOKUP(E38,SINAPI!A:D,3,0),"")</f>
        <v>M3</v>
      </c>
      <c r="J38" s="579">
        <f>DISPOSITIVOS!I10</f>
        <v>8.9999999999999993E-3</v>
      </c>
      <c r="K38" s="40">
        <f>IFERROR(VLOOKUP(E38,SINAPI!A:D,4,0),"")</f>
        <v>503.88</v>
      </c>
      <c r="L38" s="580">
        <f t="shared" si="8"/>
        <v>4.53</v>
      </c>
      <c r="M38" s="264"/>
      <c r="N38" s="562"/>
      <c r="O38" s="562"/>
      <c r="P38" s="562"/>
      <c r="Q38" s="562"/>
      <c r="S38" s="550"/>
      <c r="T38" s="550">
        <f t="shared" si="5"/>
        <v>0</v>
      </c>
      <c r="U38" s="2">
        <v>37</v>
      </c>
    </row>
    <row r="39" spans="1:21" ht="15" hidden="1" customHeight="1" outlineLevel="1" x14ac:dyDescent="0.25">
      <c r="A39" s="660" t="b">
        <f t="shared" si="1"/>
        <v>0</v>
      </c>
      <c r="C39" s="35">
        <v>7</v>
      </c>
      <c r="D39" s="576" t="s">
        <v>17</v>
      </c>
      <c r="E39" s="576" t="s">
        <v>3343</v>
      </c>
      <c r="F39" s="577" t="str">
        <f>G39</f>
        <v>Grelha metálica articulada 115x75cm</v>
      </c>
      <c r="G39" s="37" t="str">
        <f>IFERROR(VLOOKUP(E39,SINAPI!A:D,2,0),"")</f>
        <v>Grelha metálica articulada 115x75cm</v>
      </c>
      <c r="H39" s="578"/>
      <c r="I39" s="40" t="str">
        <f>IFERROR(VLOOKUP(E39,SINAPI!A:D,3,0),"")</f>
        <v>un</v>
      </c>
      <c r="J39" s="579">
        <f>DISPOSITIVOS!K14</f>
        <v>1</v>
      </c>
      <c r="K39" s="40">
        <f>IFERROR(VLOOKUP(E39,SINAPI!A:D,4,0),"")</f>
        <v>1199.21</v>
      </c>
      <c r="L39" s="580">
        <f t="shared" si="8"/>
        <v>1199.21</v>
      </c>
      <c r="M39" s="264"/>
      <c r="N39" s="562"/>
      <c r="O39" s="562"/>
      <c r="P39" s="562"/>
      <c r="Q39" s="562"/>
      <c r="S39" s="550"/>
      <c r="T39" s="550">
        <f t="shared" si="5"/>
        <v>0</v>
      </c>
      <c r="U39" s="2">
        <v>38</v>
      </c>
    </row>
    <row r="40" spans="1:21" ht="15" hidden="1" customHeight="1" outlineLevel="1" x14ac:dyDescent="0.25">
      <c r="A40" s="660" t="b">
        <f t="shared" si="1"/>
        <v>0</v>
      </c>
      <c r="C40" s="35">
        <v>8</v>
      </c>
      <c r="D40" s="550" t="s">
        <v>2747</v>
      </c>
      <c r="E40" s="550">
        <v>103670</v>
      </c>
      <c r="F40" s="552" t="s">
        <v>2761</v>
      </c>
      <c r="G40" s="37" t="str">
        <f>IFERROR(VLOOKUP(E40,SINAPI!A:D,2,0),"")</f>
        <v>LANÇAMENTO COM USO DE BALDES, ADENSAMENTO E ACABAMENTO DE CONCRETO EM ESTRUTURAS. AF_02/2022</v>
      </c>
      <c r="H40" s="578"/>
      <c r="I40" s="40" t="str">
        <f>IFERROR(VLOOKUP(E40,SINAPI!A:D,3,0),"")</f>
        <v>M3</v>
      </c>
      <c r="J40" s="579">
        <f>J34</f>
        <v>0.26600000000000001</v>
      </c>
      <c r="K40" s="40">
        <f>IFERROR(VLOOKUP(E40,SINAPI!A:D,4,0),"")</f>
        <v>301.64</v>
      </c>
      <c r="L40" s="580">
        <f t="shared" ref="L40" si="9">IF(J40="","",ROUND(J40*K40,2))</f>
        <v>80.239999999999995</v>
      </c>
      <c r="M40" s="264"/>
      <c r="N40" s="562"/>
      <c r="O40" s="562"/>
      <c r="P40" s="562"/>
      <c r="Q40" s="562"/>
      <c r="S40" s="550"/>
      <c r="T40" s="550">
        <f t="shared" si="5"/>
        <v>0</v>
      </c>
      <c r="U40" s="2">
        <v>39</v>
      </c>
    </row>
    <row r="41" spans="1:21" ht="15" hidden="1" customHeight="1" outlineLevel="1" thickBot="1" x14ac:dyDescent="0.3">
      <c r="A41" s="660" t="b">
        <f t="shared" si="1"/>
        <v>0</v>
      </c>
      <c r="C41" s="230" t="s">
        <v>96</v>
      </c>
      <c r="D41" s="231"/>
      <c r="E41" s="231"/>
      <c r="F41" s="231"/>
      <c r="G41" s="231"/>
      <c r="H41" s="231"/>
      <c r="I41" s="231"/>
      <c r="J41" s="231"/>
      <c r="K41" s="232"/>
      <c r="L41" s="581">
        <f>SUM(L33:L40)</f>
        <v>3623.85</v>
      </c>
      <c r="M41" s="261"/>
      <c r="N41" s="562" t="str">
        <f>C32</f>
        <v>COMP 03</v>
      </c>
      <c r="O41" s="582">
        <f>L41</f>
        <v>3623.85</v>
      </c>
      <c r="P41" s="562"/>
      <c r="Q41" s="562"/>
      <c r="S41" s="550"/>
      <c r="T41" s="550">
        <f t="shared" si="5"/>
        <v>0</v>
      </c>
      <c r="U41" s="2">
        <v>40</v>
      </c>
    </row>
    <row r="42" spans="1:21" ht="15" hidden="1" customHeight="1" outlineLevel="1" x14ac:dyDescent="0.25">
      <c r="A42" s="699" t="b">
        <f>_xlfn.XOR(C42=$S$2,C42=$S$3,C42=$S$4,C42=$S$5,C42=$S$6,C42=$S$7,C42=$S$8,C42=$S$9,C42=$S$10,C42=$S$11,C42=$S$12,C42=$S$13,C42=$S$14,C42=$S$15,C42=$S$16,C42=$S$17,C42=$S$18,C42=$S$19,C42=$S$20,C42=$S$21,C42=$S$22,C42=$S$23,C42=$S$24,C42=$S$25,C42=$S$26,C42=$S$27,C42=$S$28,C42=$S$29,C42=$S$30,C42=$S$316,C42=$S$32,C42=$S$33,C42=$S$34,C42=$S$35,C42=$S$36,C42=$S$37,C42=$S$38,C42=$S$39,C42=$S$40,C42=$S$41,C42=$S$42,)</f>
        <v>0</v>
      </c>
      <c r="C42" s="569" t="s">
        <v>139</v>
      </c>
      <c r="D42" s="570"/>
      <c r="E42" s="570" t="str">
        <f>IFERROR(VLOOKUP(C42,SINAPI!A:D,2,0),"")</f>
        <v>Boca de lobo em alvenaria para tubo d= 100cm</v>
      </c>
      <c r="F42" s="570"/>
      <c r="G42" s="217"/>
      <c r="H42" s="571"/>
      <c r="I42" s="572" t="str">
        <f>IFERROR(VLOOKUP(C42,SINAPI!A:D,3,0),"")</f>
        <v>un</v>
      </c>
      <c r="J42" s="573"/>
      <c r="K42" s="573" t="s">
        <v>2603</v>
      </c>
      <c r="L42" s="574" t="str">
        <f>IF(J42="","",ROUND(J42*#REF!,2))</f>
        <v/>
      </c>
      <c r="M42" s="575"/>
      <c r="N42" s="562"/>
      <c r="O42" s="562"/>
      <c r="P42" s="562"/>
      <c r="Q42" s="562"/>
      <c r="S42" s="550"/>
      <c r="T42" s="550">
        <f t="shared" si="5"/>
        <v>0</v>
      </c>
      <c r="U42" s="2">
        <v>41</v>
      </c>
    </row>
    <row r="43" spans="1:21" ht="15" hidden="1" customHeight="1" outlineLevel="1" x14ac:dyDescent="0.25">
      <c r="A43" s="660" t="b">
        <f t="shared" si="1"/>
        <v>0</v>
      </c>
      <c r="C43" s="35">
        <v>1</v>
      </c>
      <c r="D43" s="576" t="s">
        <v>17</v>
      </c>
      <c r="E43" s="576" t="s">
        <v>4593</v>
      </c>
      <c r="F43" s="577" t="s">
        <v>2699</v>
      </c>
      <c r="G43" s="37" t="str">
        <f>IFERROR(VLOOKUP(E43,SINAPI!A:D,2,0),"")</f>
        <v>Alvenaria de tijolos maciços</v>
      </c>
      <c r="H43" s="578"/>
      <c r="I43" s="40" t="str">
        <f>IFERROR(VLOOKUP(E43,SINAPI!A:D,3,0),"")</f>
        <v>m²</v>
      </c>
      <c r="J43" s="579">
        <f>DISPOSITIVOS!K5</f>
        <v>8.202</v>
      </c>
      <c r="K43" s="40">
        <f>IFERROR(VLOOKUP(E43,SINAPI!A:D,4,0),"")</f>
        <v>256.19</v>
      </c>
      <c r="L43" s="580">
        <f>IF(J43="","",ROUND(J43*K43,2))</f>
        <v>2101.27</v>
      </c>
      <c r="M43" s="264"/>
      <c r="N43" s="562"/>
      <c r="O43" s="562"/>
      <c r="P43" s="562"/>
      <c r="Q43" s="562"/>
    </row>
    <row r="44" spans="1:21" ht="15" hidden="1" customHeight="1" outlineLevel="1" x14ac:dyDescent="0.25">
      <c r="A44" s="660" t="b">
        <f t="shared" si="1"/>
        <v>0</v>
      </c>
      <c r="C44" s="35">
        <v>2</v>
      </c>
      <c r="D44" s="576" t="s">
        <v>2748</v>
      </c>
      <c r="E44" s="576">
        <v>38404</v>
      </c>
      <c r="F44" s="552" t="s">
        <v>3193</v>
      </c>
      <c r="G44" s="37" t="str">
        <f>IFERROR(VLOOKUP(E44,SINAPI!A:D,2,0),"")</f>
        <v xml:space="preserve">CONCRETO USINADO BOMBEAVEL, CLASSE DE RESISTENCIA C20, COM BRITA 0 E 1, SLUMP = 130 +/- 20 MM, EXCLUI SERVICO DE BOMBEAMENTO (NBR 8953)                                                                                                                                                                                                                                                                                                                                                                   </v>
      </c>
      <c r="H44" s="578"/>
      <c r="I44" s="40" t="str">
        <f>IFERROR(VLOOKUP(E44,SINAPI!A:D,3,0),"")</f>
        <v xml:space="preserve">M3    </v>
      </c>
      <c r="J44" s="579">
        <f>DISPOSITIVOS!K6</f>
        <v>0.318</v>
      </c>
      <c r="K44" s="40">
        <f>IFERROR(VLOOKUP(E44,SINAPI!A:D,4,0),"")</f>
        <v>495.11</v>
      </c>
      <c r="L44" s="580">
        <f t="shared" ref="L44:L49" si="10">IF(J44="","",ROUND(J44*K44,2))</f>
        <v>157.44</v>
      </c>
      <c r="M44" s="264"/>
      <c r="N44" s="562"/>
      <c r="O44" s="562"/>
      <c r="P44" s="562"/>
      <c r="Q44" s="562"/>
    </row>
    <row r="45" spans="1:21" ht="15" hidden="1" customHeight="1" outlineLevel="1" x14ac:dyDescent="0.25">
      <c r="A45" s="660" t="b">
        <f t="shared" si="1"/>
        <v>0</v>
      </c>
      <c r="C45" s="35">
        <v>3</v>
      </c>
      <c r="D45" s="576" t="s">
        <v>2747</v>
      </c>
      <c r="E45" s="576">
        <v>96536</v>
      </c>
      <c r="F45" s="577" t="s">
        <v>2703</v>
      </c>
      <c r="G45" s="37" t="str">
        <f>IFERROR(VLOOKUP(E45,SINAPI!A:D,2,0),"")</f>
        <v>FABRICAÇÃO, MONTAGEM E DESMONTAGEM DE FÔRMA PARA VIGA BALDRAME, EM MADEIRA SERRADA, E=25 MM, 4 UTILIZAÇÕES. AF_06/2017</v>
      </c>
      <c r="H45" s="578"/>
      <c r="I45" s="40" t="str">
        <f>IFERROR(VLOOKUP(E45,SINAPI!A:D,3,0),"")</f>
        <v>M2</v>
      </c>
      <c r="J45" s="579">
        <f>DISPOSITIVOS!K7</f>
        <v>0.94499999999999995</v>
      </c>
      <c r="K45" s="40">
        <f>IFERROR(VLOOKUP(E45,SINAPI!A:D,4,0),"")</f>
        <v>91.89</v>
      </c>
      <c r="L45" s="580">
        <f t="shared" si="10"/>
        <v>86.84</v>
      </c>
      <c r="M45" s="264"/>
      <c r="N45" s="562"/>
      <c r="O45" s="562"/>
      <c r="P45" s="562"/>
      <c r="Q45" s="562"/>
    </row>
    <row r="46" spans="1:21" ht="15" hidden="1" customHeight="1" outlineLevel="1" x14ac:dyDescent="0.25">
      <c r="A46" s="660" t="b">
        <f t="shared" si="1"/>
        <v>0</v>
      </c>
      <c r="C46" s="35">
        <v>4</v>
      </c>
      <c r="D46" s="1567" t="s">
        <v>2639</v>
      </c>
      <c r="E46" s="1567">
        <v>407819</v>
      </c>
      <c r="F46" s="577" t="s">
        <v>2704</v>
      </c>
      <c r="G46" s="37" t="str">
        <f>IFERROR(VLOOKUP(E46,SINAPI!A:D,2,0),"")</f>
        <v>Armação em aço CA-50 - fornecimento, preparo e colocação</v>
      </c>
      <c r="H46" s="578"/>
      <c r="I46" s="40" t="str">
        <f>IFERROR(VLOOKUP(E46,SINAPI!A:D,3,0),"")</f>
        <v>kg</v>
      </c>
      <c r="J46" s="579">
        <f>DISPOSITIVOS!K8</f>
        <v>9.5399999999999991</v>
      </c>
      <c r="K46" s="40">
        <f>IFERROR(VLOOKUP(E46,SINAPI!A:D,4,0),"")</f>
        <v>14.15</v>
      </c>
      <c r="L46" s="580">
        <f t="shared" si="10"/>
        <v>134.99</v>
      </c>
      <c r="M46" s="264"/>
      <c r="N46" s="562"/>
      <c r="O46" s="562"/>
      <c r="P46" s="562"/>
      <c r="Q46" s="562"/>
    </row>
    <row r="47" spans="1:21" ht="15" hidden="1" customHeight="1" outlineLevel="1" x14ac:dyDescent="0.25">
      <c r="A47" s="660" t="b">
        <f t="shared" si="1"/>
        <v>0</v>
      </c>
      <c r="C47" s="35">
        <v>5</v>
      </c>
      <c r="D47" s="576" t="s">
        <v>2747</v>
      </c>
      <c r="E47" s="576">
        <v>87327</v>
      </c>
      <c r="F47" s="577" t="s">
        <v>2705</v>
      </c>
      <c r="G47" s="37" t="str">
        <f>IFERROR(VLOOKUP(E47,SINAPI!A:D,2,0),"")</f>
        <v>ARGAMASSA TRAÇO 1:7 (EM VOLUME DE CIMENTO E AREIA MÉDIA ÚMIDA) COM ADIÇÃO DE PLASTIFICANTE PARA EMBOÇO/MASSA ÚNICA/ASSENTAMENTO DE ALVENARIA DE VEDAÇÃO, PREPARO MECÂNICO COM MISTURADOR DE EIXO HORIZONTAL DE 300 KG. AF_08/2019</v>
      </c>
      <c r="H47" s="578"/>
      <c r="I47" s="40" t="str">
        <f>IFERROR(VLOOKUP(E47,SINAPI!A:D,3,0),"")</f>
        <v>M3</v>
      </c>
      <c r="J47" s="579">
        <f>DISPOSITIVOS!K9</f>
        <v>0.151</v>
      </c>
      <c r="K47" s="40">
        <f>IFERROR(VLOOKUP(E47,SINAPI!A:D,4,0),"")</f>
        <v>503.88</v>
      </c>
      <c r="L47" s="580">
        <f t="shared" si="10"/>
        <v>76.09</v>
      </c>
      <c r="M47" s="264"/>
      <c r="N47" s="562"/>
      <c r="O47" s="562"/>
      <c r="P47" s="562"/>
      <c r="Q47" s="562"/>
    </row>
    <row r="48" spans="1:21" ht="15" hidden="1" customHeight="1" outlineLevel="1" x14ac:dyDescent="0.25">
      <c r="A48" s="660" t="b">
        <f t="shared" si="1"/>
        <v>0</v>
      </c>
      <c r="C48" s="35">
        <v>6</v>
      </c>
      <c r="D48" s="576" t="s">
        <v>2747</v>
      </c>
      <c r="E48" s="576">
        <v>87327</v>
      </c>
      <c r="F48" s="577" t="s">
        <v>2706</v>
      </c>
      <c r="G48" s="37" t="str">
        <f>IFERROR(VLOOKUP(E48,SINAPI!A:D,2,0),"")</f>
        <v>ARGAMASSA TRAÇO 1:7 (EM VOLUME DE CIMENTO E AREIA MÉDIA ÚMIDA) COM ADIÇÃO DE PLASTIFICANTE PARA EMBOÇO/MASSA ÚNICA/ASSENTAMENTO DE ALVENARIA DE VEDAÇÃO, PREPARO MECÂNICO COM MISTURADOR DE EIXO HORIZONTAL DE 300 KG. AF_08/2019</v>
      </c>
      <c r="H48" s="578"/>
      <c r="I48" s="40" t="str">
        <f>IFERROR(VLOOKUP(E48,SINAPI!A:D,3,0),"")</f>
        <v>M3</v>
      </c>
      <c r="J48" s="579">
        <f>DISPOSITIVOS!K10</f>
        <v>8.9999999999999993E-3</v>
      </c>
      <c r="K48" s="40">
        <f>IFERROR(VLOOKUP(E48,SINAPI!A:D,4,0),"")</f>
        <v>503.88</v>
      </c>
      <c r="L48" s="580">
        <f t="shared" si="10"/>
        <v>4.53</v>
      </c>
      <c r="M48" s="264"/>
      <c r="N48" s="562"/>
      <c r="O48" s="562"/>
      <c r="P48" s="562"/>
      <c r="Q48" s="562"/>
    </row>
    <row r="49" spans="1:17" ht="15" hidden="1" customHeight="1" outlineLevel="1" x14ac:dyDescent="0.25">
      <c r="A49" s="660" t="b">
        <f t="shared" si="1"/>
        <v>0</v>
      </c>
      <c r="C49" s="35">
        <v>7</v>
      </c>
      <c r="D49" s="576" t="s">
        <v>17</v>
      </c>
      <c r="E49" s="576" t="s">
        <v>3346</v>
      </c>
      <c r="F49" s="577" t="str">
        <f>G49</f>
        <v>Grelha metálica articulada 135x75cm</v>
      </c>
      <c r="G49" s="37" t="str">
        <f>IFERROR(VLOOKUP(E49,SINAPI!A:D,2,0),"")</f>
        <v>Grelha metálica articulada 135x75cm</v>
      </c>
      <c r="H49" s="578"/>
      <c r="I49" s="40" t="str">
        <f>IFERROR(VLOOKUP(E49,SINAPI!A:D,3,0),"")</f>
        <v>un</v>
      </c>
      <c r="J49" s="579">
        <f>DISPOSITIVOS!K14</f>
        <v>1</v>
      </c>
      <c r="K49" s="40">
        <f>IFERROR(VLOOKUP(E49,SINAPI!A:D,4,0),"")</f>
        <v>1402.38</v>
      </c>
      <c r="L49" s="580">
        <f t="shared" si="10"/>
        <v>1402.38</v>
      </c>
      <c r="M49" s="264"/>
      <c r="N49" s="562"/>
      <c r="O49" s="562"/>
      <c r="P49" s="562"/>
      <c r="Q49" s="562"/>
    </row>
    <row r="50" spans="1:17" ht="15" hidden="1" customHeight="1" outlineLevel="1" x14ac:dyDescent="0.25">
      <c r="A50" s="660" t="b">
        <f t="shared" si="1"/>
        <v>0</v>
      </c>
      <c r="C50" s="35">
        <v>8</v>
      </c>
      <c r="D50" s="550" t="s">
        <v>2747</v>
      </c>
      <c r="E50" s="550">
        <v>103670</v>
      </c>
      <c r="F50" s="552" t="s">
        <v>2761</v>
      </c>
      <c r="G50" s="37" t="str">
        <f>IFERROR(VLOOKUP(E50,SINAPI!A:D,2,0),"")</f>
        <v>LANÇAMENTO COM USO DE BALDES, ADENSAMENTO E ACABAMENTO DE CONCRETO EM ESTRUTURAS. AF_02/2022</v>
      </c>
      <c r="H50" s="578"/>
      <c r="I50" s="40" t="str">
        <f>IFERROR(VLOOKUP(E50,SINAPI!A:D,3,0),"")</f>
        <v>M3</v>
      </c>
      <c r="J50" s="579">
        <f>J44</f>
        <v>0.318</v>
      </c>
      <c r="K50" s="40">
        <f>IFERROR(VLOOKUP(E50,SINAPI!A:D,4,0),"")</f>
        <v>301.64</v>
      </c>
      <c r="L50" s="580">
        <f t="shared" ref="L50" si="11">IF(J50="","",ROUND(J50*K50,2))</f>
        <v>95.92</v>
      </c>
      <c r="M50" s="264"/>
      <c r="N50" s="562"/>
      <c r="O50" s="562"/>
      <c r="P50" s="562"/>
      <c r="Q50" s="562"/>
    </row>
    <row r="51" spans="1:17" ht="14.25" hidden="1" outlineLevel="1" thickBot="1" x14ac:dyDescent="0.3">
      <c r="A51" s="660" t="b">
        <f t="shared" si="1"/>
        <v>0</v>
      </c>
      <c r="C51" s="230" t="s">
        <v>96</v>
      </c>
      <c r="D51" s="231"/>
      <c r="E51" s="231"/>
      <c r="F51" s="231"/>
      <c r="G51" s="231"/>
      <c r="H51" s="231"/>
      <c r="I51" s="231"/>
      <c r="J51" s="231"/>
      <c r="K51" s="232"/>
      <c r="L51" s="581">
        <f>SUM(L43:L50)</f>
        <v>4059.46</v>
      </c>
      <c r="M51" s="261"/>
      <c r="N51" s="562" t="str">
        <f>C42</f>
        <v>COMP 04</v>
      </c>
      <c r="O51" s="582">
        <f>L51</f>
        <v>4059.46</v>
      </c>
      <c r="P51" s="562"/>
      <c r="Q51" s="562"/>
    </row>
    <row r="52" spans="1:17" ht="14.25" hidden="1" outlineLevel="1" thickBot="1" x14ac:dyDescent="0.3">
      <c r="A52" s="699" t="b">
        <f>_xlfn.XOR(C52=$S$2,C52=$S$3,C52=$S$4,C52=$S$5,C52=$S$6,C52=$S$7,C52=$S$8,C52=$S$9,C52=$S$10,C52=$S$11,C52=$S$12,C52=$S$13,C52=$S$14,C52=$S$15,C52=$S$16,C52=$S$17,C52=$S$18,C52=$S$19,C52=$S$20,C52=$S$21,C52=$S$22,C52=$S$23,C52=$S$24,C52=$S$25,C52=$S$26,C52=$S$27,C52=$S$28,C52=$S$29,C52=$S$30,C52=$S$316,C52=$S$32,C52=$S$33,C52=$S$34,C52=$S$35,C52=$S$36,C52=$S$37,C52=$S$38,C52=$S$39,C52=$S$40,C52=$S$41,C52=$S$42,)</f>
        <v>0</v>
      </c>
      <c r="C52" s="569" t="s">
        <v>32</v>
      </c>
      <c r="D52" s="570"/>
      <c r="E52" s="570" t="str">
        <f>IFERROR(VLOOKUP(C52,SINAPI!A:D,2,0),"")</f>
        <v>Caixa de ligação em alvenaria para d= 80cm</v>
      </c>
      <c r="F52" s="570"/>
      <c r="G52" s="217"/>
      <c r="H52" s="571"/>
      <c r="I52" s="572" t="s">
        <v>2603</v>
      </c>
      <c r="J52" s="573"/>
      <c r="K52" s="573" t="s">
        <v>2603</v>
      </c>
      <c r="L52" s="574" t="str">
        <f>IF(J52="","",ROUND(J52*#REF!,2))</f>
        <v/>
      </c>
      <c r="M52" s="575"/>
      <c r="N52" s="562"/>
      <c r="O52" s="562"/>
      <c r="P52" s="562"/>
      <c r="Q52" s="562"/>
    </row>
    <row r="53" spans="1:17" ht="15" hidden="1" customHeight="1" outlineLevel="1" x14ac:dyDescent="0.25">
      <c r="A53" s="660" t="b">
        <f t="shared" si="1"/>
        <v>0</v>
      </c>
      <c r="C53" s="35">
        <v>1</v>
      </c>
      <c r="D53" s="576" t="s">
        <v>17</v>
      </c>
      <c r="E53" s="576" t="s">
        <v>4593</v>
      </c>
      <c r="F53" s="577" t="s">
        <v>2699</v>
      </c>
      <c r="G53" s="37" t="str">
        <f>IFERROR(VLOOKUP(E53,SINAPI!A:D,2,0),"")</f>
        <v>Alvenaria de tijolos maciços</v>
      </c>
      <c r="H53" s="578"/>
      <c r="I53" s="40" t="str">
        <f>IFERROR(VLOOKUP(E53,SINAPI!A:D,3,0),"")</f>
        <v>m²</v>
      </c>
      <c r="J53" s="579">
        <f>DISPOSITIVOS!O5</f>
        <v>4.96</v>
      </c>
      <c r="K53" s="40">
        <f>IFERROR(VLOOKUP(E53,SINAPI!A:D,4,0),"")</f>
        <v>256.19</v>
      </c>
      <c r="L53" s="580">
        <f>IF(J53="","",ROUND(J53*K53,2))</f>
        <v>1270.7</v>
      </c>
      <c r="M53" s="264"/>
      <c r="N53" s="562"/>
      <c r="O53" s="562"/>
      <c r="P53" s="562"/>
      <c r="Q53" s="562"/>
    </row>
    <row r="54" spans="1:17" ht="15" hidden="1" customHeight="1" outlineLevel="1" x14ac:dyDescent="0.25">
      <c r="A54" s="660" t="b">
        <f t="shared" si="1"/>
        <v>0</v>
      </c>
      <c r="C54" s="35">
        <v>2</v>
      </c>
      <c r="D54" s="576" t="s">
        <v>2748</v>
      </c>
      <c r="E54" s="550">
        <v>38404</v>
      </c>
      <c r="F54" s="552" t="s">
        <v>3193</v>
      </c>
      <c r="G54" s="37" t="str">
        <f>IFERROR(VLOOKUP(E54,SINAPI!A:D,2,0),"")</f>
        <v xml:space="preserve">CONCRETO USINADO BOMBEAVEL, CLASSE DE RESISTENCIA C20, COM BRITA 0 E 1, SLUMP = 130 +/- 20 MM, EXCLUI SERVICO DE BOMBEAMENTO (NBR 8953)                                                                                                                                                                                                                                                                                                                                                                   </v>
      </c>
      <c r="H54" s="578"/>
      <c r="I54" s="40" t="str">
        <f>IFERROR(VLOOKUP(E54,SINAPI!A:D,3,0),"")</f>
        <v xml:space="preserve">M3    </v>
      </c>
      <c r="J54" s="579">
        <f>DISPOSITIVOS!O6</f>
        <v>0.61299999999999999</v>
      </c>
      <c r="K54" s="40">
        <f>IFERROR(VLOOKUP(E54,SINAPI!A:D,4,0),"")</f>
        <v>495.11</v>
      </c>
      <c r="L54" s="580">
        <f t="shared" ref="L54:L57" si="12">IF(J54="","",ROUND(J54*K54,2))</f>
        <v>303.5</v>
      </c>
      <c r="M54" s="264"/>
      <c r="N54" s="562"/>
      <c r="O54" s="562"/>
      <c r="P54" s="562"/>
      <c r="Q54" s="562"/>
    </row>
    <row r="55" spans="1:17" ht="15" hidden="1" customHeight="1" outlineLevel="1" x14ac:dyDescent="0.25">
      <c r="A55" s="660" t="b">
        <f t="shared" si="1"/>
        <v>0</v>
      </c>
      <c r="C55" s="35">
        <v>3</v>
      </c>
      <c r="D55" s="576" t="s">
        <v>2747</v>
      </c>
      <c r="E55" s="576">
        <v>96536</v>
      </c>
      <c r="F55" s="577" t="s">
        <v>2703</v>
      </c>
      <c r="G55" s="37" t="str">
        <f>IFERROR(VLOOKUP(E55,SINAPI!A:D,2,0),"")</f>
        <v>FABRICAÇÃO, MONTAGEM E DESMONTAGEM DE FÔRMA PARA VIGA BALDRAME, EM MADEIRA SERRADA, E=25 MM, 4 UTILIZAÇÕES. AF_06/2017</v>
      </c>
      <c r="H55" s="578"/>
      <c r="I55" s="40" t="str">
        <f>IFERROR(VLOOKUP(E55,SINAPI!A:D,3,0),"")</f>
        <v>M2</v>
      </c>
      <c r="J55" s="579">
        <f>DISPOSITIVOS!O7</f>
        <v>1.4</v>
      </c>
      <c r="K55" s="40">
        <f>IFERROR(VLOOKUP(E55,SINAPI!A:D,4,0),"")</f>
        <v>91.89</v>
      </c>
      <c r="L55" s="580">
        <f t="shared" si="12"/>
        <v>128.65</v>
      </c>
      <c r="M55" s="264"/>
      <c r="N55" s="562"/>
      <c r="O55" s="562"/>
      <c r="P55" s="562"/>
      <c r="Q55" s="562"/>
    </row>
    <row r="56" spans="1:17" ht="15" hidden="1" customHeight="1" outlineLevel="1" x14ac:dyDescent="0.25">
      <c r="A56" s="660" t="b">
        <f t="shared" si="1"/>
        <v>0</v>
      </c>
      <c r="C56" s="35">
        <v>4</v>
      </c>
      <c r="D56" s="1567" t="s">
        <v>2639</v>
      </c>
      <c r="E56" s="1567">
        <v>407819</v>
      </c>
      <c r="F56" s="577" t="s">
        <v>2704</v>
      </c>
      <c r="G56" s="37" t="str">
        <f>IFERROR(VLOOKUP(E56,SINAPI!A:D,2,0),"")</f>
        <v>Armação em aço CA-50 - fornecimento, preparo e colocação</v>
      </c>
      <c r="H56" s="578"/>
      <c r="I56" s="40" t="str">
        <f>IFERROR(VLOOKUP(E56,SINAPI!A:D,3,0),"")</f>
        <v>kg</v>
      </c>
      <c r="J56" s="579">
        <f>DISPOSITIVOS!O8</f>
        <v>18.39</v>
      </c>
      <c r="K56" s="40">
        <f>IFERROR(VLOOKUP(E56,SINAPI!A:D,4,0),"")</f>
        <v>14.15</v>
      </c>
      <c r="L56" s="580">
        <f t="shared" si="12"/>
        <v>260.22000000000003</v>
      </c>
      <c r="M56" s="264"/>
      <c r="N56" s="562"/>
      <c r="O56" s="562"/>
      <c r="P56" s="562"/>
      <c r="Q56" s="562"/>
    </row>
    <row r="57" spans="1:17" ht="15" hidden="1" customHeight="1" outlineLevel="1" x14ac:dyDescent="0.25">
      <c r="A57" s="660" t="b">
        <f t="shared" si="1"/>
        <v>0</v>
      </c>
      <c r="C57" s="35">
        <v>5</v>
      </c>
      <c r="D57" s="576" t="s">
        <v>2747</v>
      </c>
      <c r="E57" s="576">
        <v>87327</v>
      </c>
      <c r="F57" s="577" t="s">
        <v>2705</v>
      </c>
      <c r="G57" s="37" t="str">
        <f>IFERROR(VLOOKUP(E57,SINAPI!A:D,2,0),"")</f>
        <v>ARGAMASSA TRAÇO 1:7 (EM VOLUME DE CIMENTO E AREIA MÉDIA ÚMIDA) COM ADIÇÃO DE PLASTIFICANTE PARA EMBOÇO/MASSA ÚNICA/ASSENTAMENTO DE ALVENARIA DE VEDAÇÃO, PREPARO MECÂNICO COM MISTURADOR DE EIXO HORIZONTAL DE 300 KG. AF_08/2019</v>
      </c>
      <c r="H57" s="578"/>
      <c r="I57" s="40" t="str">
        <f>IFERROR(VLOOKUP(E57,SINAPI!A:D,3,0),"")</f>
        <v>M3</v>
      </c>
      <c r="J57" s="579">
        <f>DISPOSITIVOS!O9</f>
        <v>9.9000000000000005E-2</v>
      </c>
      <c r="K57" s="40">
        <f>IFERROR(VLOOKUP(E57,SINAPI!A:D,4,0),"")</f>
        <v>503.88</v>
      </c>
      <c r="L57" s="580">
        <f t="shared" si="12"/>
        <v>49.88</v>
      </c>
      <c r="M57" s="264"/>
      <c r="N57" s="562"/>
      <c r="O57" s="562"/>
      <c r="P57" s="562"/>
      <c r="Q57" s="562"/>
    </row>
    <row r="58" spans="1:17" ht="15" hidden="1" customHeight="1" outlineLevel="1" x14ac:dyDescent="0.25">
      <c r="A58" s="660" t="b">
        <f t="shared" si="1"/>
        <v>0</v>
      </c>
      <c r="C58" s="35">
        <v>6</v>
      </c>
      <c r="D58" s="550" t="s">
        <v>2747</v>
      </c>
      <c r="E58" s="550">
        <v>103670</v>
      </c>
      <c r="F58" s="552" t="s">
        <v>2761</v>
      </c>
      <c r="G58" s="37" t="str">
        <f>IFERROR(VLOOKUP(E58,SINAPI!A:D,2,0),"")</f>
        <v>LANÇAMENTO COM USO DE BALDES, ADENSAMENTO E ACABAMENTO DE CONCRETO EM ESTRUTURAS. AF_02/2022</v>
      </c>
      <c r="H58" s="578"/>
      <c r="I58" s="40" t="str">
        <f>IFERROR(VLOOKUP(E58,SINAPI!A:D,3,0),"")</f>
        <v>M3</v>
      </c>
      <c r="J58" s="579">
        <f>J54</f>
        <v>0.61299999999999999</v>
      </c>
      <c r="K58" s="40">
        <f>IFERROR(VLOOKUP(E58,SINAPI!A:D,4,0),"")</f>
        <v>301.64</v>
      </c>
      <c r="L58" s="580">
        <f t="shared" ref="L58" si="13">IF(J58="","",ROUND(J58*K58,2))</f>
        <v>184.91</v>
      </c>
      <c r="M58" s="264"/>
      <c r="N58" s="562"/>
      <c r="O58" s="562"/>
      <c r="P58" s="562"/>
      <c r="Q58" s="562"/>
    </row>
    <row r="59" spans="1:17" ht="15" hidden="1" customHeight="1" outlineLevel="1" thickBot="1" x14ac:dyDescent="0.3">
      <c r="A59" s="660" t="b">
        <f t="shared" si="1"/>
        <v>0</v>
      </c>
      <c r="C59" s="230" t="s">
        <v>96</v>
      </c>
      <c r="D59" s="231"/>
      <c r="E59" s="231"/>
      <c r="F59" s="231"/>
      <c r="G59" s="231"/>
      <c r="H59" s="231"/>
      <c r="I59" s="231"/>
      <c r="J59" s="231"/>
      <c r="K59" s="232"/>
      <c r="L59" s="581">
        <f>SUM(L53:L58)</f>
        <v>2197.86</v>
      </c>
      <c r="M59" s="261"/>
      <c r="N59" s="562" t="str">
        <f>C52</f>
        <v>COMP 05</v>
      </c>
      <c r="O59" s="582">
        <f>L59</f>
        <v>2197.86</v>
      </c>
      <c r="P59" s="562"/>
      <c r="Q59" s="562"/>
    </row>
    <row r="60" spans="1:17" ht="15" hidden="1" customHeight="1" outlineLevel="1" x14ac:dyDescent="0.25">
      <c r="A60" s="699" t="b">
        <f>_xlfn.XOR(C60=$S$2,C60=$S$3,C60=$S$4,C60=$S$5,C60=$S$6,C60=$S$7,C60=$S$8,C60=$S$9,C60=$S$10,C60=$S$11,C60=$S$12,C60=$S$13,C60=$S$14,C60=$S$15,C60=$S$16,C60=$S$17,C60=$S$18,C60=$S$19,C60=$S$20,C60=$S$21,C60=$S$22,C60=$S$23,C60=$S$24,C60=$S$25,C60=$S$26,C60=$S$27,C60=$S$28,C60=$S$29,C60=$S$30,C60=$S$316,C60=$S$32,C60=$S$33,C60=$S$34,C60=$S$35,C60=$S$36,C60=$S$37,C60=$S$38,C60=$S$39,C60=$S$40,C60=$S$41,C60=$S$42,)</f>
        <v>0</v>
      </c>
      <c r="C60" s="569" t="s">
        <v>33</v>
      </c>
      <c r="D60" s="570"/>
      <c r="E60" s="570" t="str">
        <f>IFERROR(VLOOKUP(C60,SINAPI!A:D,2,0),"")</f>
        <v>Caixa de ligação em alvenaria para d=100cm</v>
      </c>
      <c r="F60" s="570"/>
      <c r="G60" s="217"/>
      <c r="H60" s="571"/>
      <c r="I60" s="572" t="str">
        <f>IFERROR(VLOOKUP(C60,SINAPI!A:D,3,0),"")</f>
        <v>un</v>
      </c>
      <c r="J60" s="573"/>
      <c r="K60" s="573" t="s">
        <v>2603</v>
      </c>
      <c r="L60" s="574" t="str">
        <f>IF(J60="","",ROUND(J60*#REF!,2))</f>
        <v/>
      </c>
      <c r="M60" s="575"/>
      <c r="N60" s="562"/>
      <c r="O60" s="562"/>
      <c r="P60" s="562"/>
      <c r="Q60" s="562"/>
    </row>
    <row r="61" spans="1:17" ht="15" hidden="1" customHeight="1" outlineLevel="1" x14ac:dyDescent="0.25">
      <c r="A61" s="660" t="b">
        <f t="shared" si="1"/>
        <v>0</v>
      </c>
      <c r="C61" s="35">
        <v>1</v>
      </c>
      <c r="D61" s="576" t="s">
        <v>17</v>
      </c>
      <c r="E61" s="576" t="s">
        <v>4593</v>
      </c>
      <c r="F61" s="577" t="s">
        <v>2699</v>
      </c>
      <c r="G61" s="37" t="str">
        <f>IFERROR(VLOOKUP(E61,SINAPI!A:D,2,0),"")</f>
        <v>Alvenaria de tijolos maciços</v>
      </c>
      <c r="H61" s="578"/>
      <c r="I61" s="40" t="str">
        <f>IFERROR(VLOOKUP(E61,SINAPI!A:D,3,0),"")</f>
        <v>m²</v>
      </c>
      <c r="J61" s="579">
        <f>DISPOSITIVOS!P5</f>
        <v>11.18</v>
      </c>
      <c r="K61" s="40">
        <f>IFERROR(VLOOKUP(E61,SINAPI!A:D,4,0),"")</f>
        <v>256.19</v>
      </c>
      <c r="L61" s="580">
        <f>IF(J61="","",ROUND(J61*K61,2))</f>
        <v>2864.2</v>
      </c>
      <c r="M61" s="264"/>
      <c r="N61" s="562"/>
      <c r="O61" s="562"/>
      <c r="P61" s="562"/>
      <c r="Q61" s="562"/>
    </row>
    <row r="62" spans="1:17" ht="15" hidden="1" customHeight="1" outlineLevel="1" x14ac:dyDescent="0.25">
      <c r="A62" s="660" t="b">
        <f t="shared" si="1"/>
        <v>0</v>
      </c>
      <c r="C62" s="35">
        <v>2</v>
      </c>
      <c r="D62" s="576" t="s">
        <v>2748</v>
      </c>
      <c r="E62" s="550">
        <v>38404</v>
      </c>
      <c r="F62" s="552" t="s">
        <v>3193</v>
      </c>
      <c r="G62" s="37" t="str">
        <f>IFERROR(VLOOKUP(E62,SINAPI!A:D,2,0),"")</f>
        <v xml:space="preserve">CONCRETO USINADO BOMBEAVEL, CLASSE DE RESISTENCIA C20, COM BRITA 0 E 1, SLUMP = 130 +/- 20 MM, EXCLUI SERVICO DE BOMBEAMENTO (NBR 8953)                                                                                                                                                                                                                                                                                                                                                                   </v>
      </c>
      <c r="H62" s="578"/>
      <c r="I62" s="40" t="str">
        <f>IFERROR(VLOOKUP(E62,SINAPI!A:D,3,0),"")</f>
        <v xml:space="preserve">M3    </v>
      </c>
      <c r="J62" s="579">
        <f>DISPOSITIVOS!P6</f>
        <v>1.0129999999999999</v>
      </c>
      <c r="K62" s="40">
        <f>IFERROR(VLOOKUP(E62,SINAPI!A:D,4,0),"")</f>
        <v>495.11</v>
      </c>
      <c r="L62" s="580">
        <f t="shared" ref="L62:L66" si="14">IF(J62="","",ROUND(J62*K62,2))</f>
        <v>501.55</v>
      </c>
      <c r="M62" s="264"/>
      <c r="N62" s="562"/>
      <c r="O62" s="562"/>
      <c r="P62" s="562"/>
      <c r="Q62" s="562"/>
    </row>
    <row r="63" spans="1:17" ht="15" hidden="1" customHeight="1" outlineLevel="1" x14ac:dyDescent="0.25">
      <c r="A63" s="660" t="b">
        <f t="shared" si="1"/>
        <v>0</v>
      </c>
      <c r="C63" s="35">
        <v>3</v>
      </c>
      <c r="D63" s="576" t="s">
        <v>2747</v>
      </c>
      <c r="E63" s="576">
        <v>96536</v>
      </c>
      <c r="F63" s="577" t="s">
        <v>2703</v>
      </c>
      <c r="G63" s="37" t="str">
        <f>IFERROR(VLOOKUP(E63,SINAPI!A:D,2,0),"")</f>
        <v>FABRICAÇÃO, MONTAGEM E DESMONTAGEM DE FÔRMA PARA VIGA BALDRAME, EM MADEIRA SERRADA, E=25 MM, 4 UTILIZAÇÕES. AF_06/2017</v>
      </c>
      <c r="H63" s="578"/>
      <c r="I63" s="40" t="str">
        <f>IFERROR(VLOOKUP(E63,SINAPI!A:D,3,0),"")</f>
        <v>M2</v>
      </c>
      <c r="J63" s="579">
        <f>DISPOSITIVOS!P7</f>
        <v>1.8</v>
      </c>
      <c r="K63" s="40">
        <f>IFERROR(VLOOKUP(E63,SINAPI!A:D,4,0),"")</f>
        <v>91.89</v>
      </c>
      <c r="L63" s="580">
        <f t="shared" si="14"/>
        <v>165.4</v>
      </c>
      <c r="M63" s="264"/>
      <c r="N63" s="562"/>
      <c r="O63" s="562"/>
      <c r="P63" s="562"/>
      <c r="Q63" s="562"/>
    </row>
    <row r="64" spans="1:17" ht="15" hidden="1" customHeight="1" outlineLevel="1" x14ac:dyDescent="0.25">
      <c r="A64" s="660" t="b">
        <f t="shared" si="1"/>
        <v>0</v>
      </c>
      <c r="C64" s="35">
        <v>4</v>
      </c>
      <c r="D64" s="1567" t="s">
        <v>2639</v>
      </c>
      <c r="E64" s="1567">
        <v>407819</v>
      </c>
      <c r="F64" s="577" t="s">
        <v>2704</v>
      </c>
      <c r="G64" s="37" t="str">
        <f>IFERROR(VLOOKUP(E64,SINAPI!A:D,2,0),"")</f>
        <v>Armação em aço CA-50 - fornecimento, preparo e colocação</v>
      </c>
      <c r="H64" s="578"/>
      <c r="I64" s="40" t="str">
        <f>IFERROR(VLOOKUP(E64,SINAPI!A:D,3,0),"")</f>
        <v>kg</v>
      </c>
      <c r="J64" s="579">
        <f>DISPOSITIVOS!P8</f>
        <v>30.39</v>
      </c>
      <c r="K64" s="40">
        <f>IFERROR(VLOOKUP(E64,SINAPI!A:D,4,0),"")</f>
        <v>14.15</v>
      </c>
      <c r="L64" s="580">
        <f t="shared" si="14"/>
        <v>430.02</v>
      </c>
      <c r="M64" s="264"/>
      <c r="N64" s="562"/>
      <c r="O64" s="562"/>
      <c r="P64" s="562"/>
      <c r="Q64" s="562"/>
    </row>
    <row r="65" spans="1:17" ht="15" hidden="1" customHeight="1" outlineLevel="1" x14ac:dyDescent="0.25">
      <c r="A65" s="660" t="b">
        <f t="shared" si="1"/>
        <v>0</v>
      </c>
      <c r="C65" s="35">
        <v>5</v>
      </c>
      <c r="D65" s="576" t="s">
        <v>2747</v>
      </c>
      <c r="E65" s="576">
        <v>87327</v>
      </c>
      <c r="F65" s="577" t="s">
        <v>2705</v>
      </c>
      <c r="G65" s="37" t="str">
        <f>IFERROR(VLOOKUP(E65,SINAPI!A:D,2,0),"")</f>
        <v>ARGAMASSA TRAÇO 1:7 (EM VOLUME DE CIMENTO E AREIA MÉDIA ÚMIDA) COM ADIÇÃO DE PLASTIFICANTE PARA EMBOÇO/MASSA ÚNICA/ASSENTAMENTO DE ALVENARIA DE VEDAÇÃO, PREPARO MECÂNICO COM MISTURADOR DE EIXO HORIZONTAL DE 300 KG. AF_08/2019</v>
      </c>
      <c r="H65" s="578"/>
      <c r="I65" s="40" t="str">
        <f>IFERROR(VLOOKUP(E65,SINAPI!A:D,3,0),"")</f>
        <v>M3</v>
      </c>
      <c r="J65" s="579">
        <f>DISPOSITIVOS!P9</f>
        <v>0.21299999999999999</v>
      </c>
      <c r="K65" s="40">
        <f>IFERROR(VLOOKUP(E65,SINAPI!A:D,4,0),"")</f>
        <v>503.88</v>
      </c>
      <c r="L65" s="580">
        <f t="shared" si="14"/>
        <v>107.33</v>
      </c>
      <c r="M65" s="264"/>
      <c r="N65" s="562"/>
      <c r="O65" s="562"/>
      <c r="P65" s="562"/>
      <c r="Q65" s="562"/>
    </row>
    <row r="66" spans="1:17" ht="15" hidden="1" customHeight="1" outlineLevel="1" x14ac:dyDescent="0.25">
      <c r="A66" s="660" t="b">
        <f t="shared" si="1"/>
        <v>0</v>
      </c>
      <c r="C66" s="35">
        <v>6</v>
      </c>
      <c r="D66" s="550" t="s">
        <v>2747</v>
      </c>
      <c r="E66" s="550">
        <v>103670</v>
      </c>
      <c r="F66" s="552" t="s">
        <v>2761</v>
      </c>
      <c r="G66" s="37" t="str">
        <f>IFERROR(VLOOKUP(E66,SINAPI!A:D,2,0),"")</f>
        <v>LANÇAMENTO COM USO DE BALDES, ADENSAMENTO E ACABAMENTO DE CONCRETO EM ESTRUTURAS. AF_02/2022</v>
      </c>
      <c r="H66" s="578"/>
      <c r="I66" s="40" t="str">
        <f>IFERROR(VLOOKUP(E66,SINAPI!A:D,3,0),"")</f>
        <v>M3</v>
      </c>
      <c r="J66" s="579">
        <f>J62</f>
        <v>1.0129999999999999</v>
      </c>
      <c r="K66" s="40">
        <f>IFERROR(VLOOKUP(E66,SINAPI!A:D,4,0),"")</f>
        <v>301.64</v>
      </c>
      <c r="L66" s="580">
        <f t="shared" si="14"/>
        <v>305.56</v>
      </c>
      <c r="M66" s="264"/>
      <c r="N66" s="562"/>
      <c r="O66" s="562"/>
      <c r="P66" s="562"/>
      <c r="Q66" s="562"/>
    </row>
    <row r="67" spans="1:17" ht="15" hidden="1" customHeight="1" outlineLevel="1" thickBot="1" x14ac:dyDescent="0.3">
      <c r="A67" s="660" t="b">
        <f t="shared" si="1"/>
        <v>0</v>
      </c>
      <c r="C67" s="230" t="s">
        <v>96</v>
      </c>
      <c r="D67" s="231"/>
      <c r="E67" s="231"/>
      <c r="F67" s="231"/>
      <c r="G67" s="231"/>
      <c r="H67" s="231"/>
      <c r="I67" s="231"/>
      <c r="J67" s="231"/>
      <c r="K67" s="232"/>
      <c r="L67" s="581">
        <f>SUM(L61:L66)</f>
        <v>4374.0600000000004</v>
      </c>
      <c r="M67" s="261"/>
      <c r="N67" s="562" t="str">
        <f>C60</f>
        <v>COMP 06</v>
      </c>
      <c r="O67" s="582">
        <f>L67</f>
        <v>4374.0600000000004</v>
      </c>
      <c r="P67" s="562"/>
      <c r="Q67" s="562"/>
    </row>
    <row r="68" spans="1:17" ht="15" hidden="1" customHeight="1" outlineLevel="1" x14ac:dyDescent="0.25">
      <c r="A68" s="699" t="b">
        <f>_xlfn.XOR(C68=$S$2,C68=$S$3,C68=$S$4,C68=$S$5,C68=$S$6,C68=$S$7,C68=$S$8,C68=$S$9,C68=$S$10,C68=$S$11,C68=$S$12,C68=$S$13,C68=$S$14,C68=$S$15,C68=$S$16,C68=$S$17,C68=$S$18,C68=$S$19,C68=$S$20,C68=$S$21,C68=$S$22,C68=$S$23,C68=$S$24,C68=$S$25,C68=$S$26,C68=$S$27,C68=$S$28,C68=$S$29,C68=$S$30,C68=$S$316,C68=$S$32,C68=$S$33,C68=$S$34,C68=$S$35,C68=$S$36,C68=$S$37,C68=$S$38,C68=$S$39,C68=$S$40,C68=$S$41,C68=$S$42,)</f>
        <v>0</v>
      </c>
      <c r="C68" s="569" t="s">
        <v>34</v>
      </c>
      <c r="D68" s="570"/>
      <c r="E68" s="570" t="str">
        <f>IFERROR(VLOOKUP(C68,SINAPI!A:D,2,0),"")</f>
        <v>Poço de visita em alvenaria para d= 80cm</v>
      </c>
      <c r="F68" s="570"/>
      <c r="G68" s="217"/>
      <c r="H68" s="571"/>
      <c r="I68" s="572" t="str">
        <f>IFERROR(VLOOKUP(C68,SINAPI!A:D,3,0),"")</f>
        <v>un</v>
      </c>
      <c r="J68" s="573"/>
      <c r="K68" s="573" t="s">
        <v>2603</v>
      </c>
      <c r="L68" s="574" t="str">
        <f>IF(J68="","",ROUND(J68*#REF!,2))</f>
        <v/>
      </c>
      <c r="M68" s="575"/>
      <c r="N68" s="562"/>
      <c r="O68" s="562"/>
      <c r="P68" s="562"/>
      <c r="Q68" s="562"/>
    </row>
    <row r="69" spans="1:17" ht="15" hidden="1" customHeight="1" outlineLevel="1" x14ac:dyDescent="0.25">
      <c r="A69" s="660" t="b">
        <f t="shared" si="1"/>
        <v>0</v>
      </c>
      <c r="C69" s="35">
        <v>1</v>
      </c>
      <c r="D69" s="576" t="s">
        <v>17</v>
      </c>
      <c r="E69" s="576" t="s">
        <v>4593</v>
      </c>
      <c r="F69" s="577" t="s">
        <v>2699</v>
      </c>
      <c r="G69" s="37" t="str">
        <f>IFERROR(VLOOKUP(E69,SINAPI!A:D,2,0),"")</f>
        <v>Alvenaria de tijolos maciços</v>
      </c>
      <c r="H69" s="578"/>
      <c r="I69" s="40" t="str">
        <f>IFERROR(VLOOKUP(E69,SINAPI!A:D,3,0),"")</f>
        <v>m²</v>
      </c>
      <c r="J69" s="579">
        <f>DISPOSITIVOS!Q5</f>
        <v>7.2480000000000002</v>
      </c>
      <c r="K69" s="40">
        <f>IFERROR(VLOOKUP(E69,SINAPI!A:D,4,0),"")</f>
        <v>256.19</v>
      </c>
      <c r="L69" s="580">
        <f>IF(J69="","",ROUND(J69*K69,2))</f>
        <v>1856.87</v>
      </c>
      <c r="M69" s="264"/>
      <c r="N69" s="562"/>
      <c r="O69" s="562"/>
      <c r="P69" s="562"/>
      <c r="Q69" s="562"/>
    </row>
    <row r="70" spans="1:17" ht="15" hidden="1" customHeight="1" outlineLevel="1" x14ac:dyDescent="0.25">
      <c r="A70" s="660" t="b">
        <f t="shared" si="1"/>
        <v>0</v>
      </c>
      <c r="C70" s="35">
        <v>2</v>
      </c>
      <c r="D70" s="576" t="s">
        <v>2748</v>
      </c>
      <c r="E70" s="576">
        <v>38404</v>
      </c>
      <c r="F70" s="552" t="s">
        <v>3193</v>
      </c>
      <c r="G70" s="37" t="str">
        <f>IFERROR(VLOOKUP(E70,SINAPI!A:D,2,0),"")</f>
        <v xml:space="preserve">CONCRETO USINADO BOMBEAVEL, CLASSE DE RESISTENCIA C20, COM BRITA 0 E 1, SLUMP = 130 +/- 20 MM, EXCLUI SERVICO DE BOMBEAMENTO (NBR 8953)                                                                                                                                                                                                                                                                                                                                                                   </v>
      </c>
      <c r="H70" s="578"/>
      <c r="I70" s="40" t="str">
        <f>IFERROR(VLOOKUP(E70,SINAPI!A:D,3,0),"")</f>
        <v xml:space="preserve">M3    </v>
      </c>
      <c r="J70" s="579">
        <f>DISPOSITIVOS!Q6</f>
        <v>0.67</v>
      </c>
      <c r="K70" s="40">
        <f>IFERROR(VLOOKUP(E70,SINAPI!A:D,4,0),"")</f>
        <v>495.11</v>
      </c>
      <c r="L70" s="580">
        <f t="shared" ref="L70:L76" si="15">IF(J70="","",ROUND(J70*K70,2))</f>
        <v>331.72</v>
      </c>
      <c r="M70" s="264"/>
      <c r="N70" s="562"/>
      <c r="O70" s="562"/>
      <c r="P70" s="562"/>
      <c r="Q70" s="562"/>
    </row>
    <row r="71" spans="1:17" ht="15" hidden="1" customHeight="1" outlineLevel="1" x14ac:dyDescent="0.25">
      <c r="A71" s="660" t="b">
        <f t="shared" si="1"/>
        <v>0</v>
      </c>
      <c r="C71" s="35">
        <v>3</v>
      </c>
      <c r="D71" s="576" t="s">
        <v>2747</v>
      </c>
      <c r="E71" s="576">
        <v>96536</v>
      </c>
      <c r="F71" s="577" t="s">
        <v>2703</v>
      </c>
      <c r="G71" s="37" t="str">
        <f>IFERROR(VLOOKUP(E71,SINAPI!A:D,2,0),"")</f>
        <v>FABRICAÇÃO, MONTAGEM E DESMONTAGEM DE FÔRMA PARA VIGA BALDRAME, EM MADEIRA SERRADA, E=25 MM, 4 UTILIZAÇÕES. AF_06/2017</v>
      </c>
      <c r="H71" s="578"/>
      <c r="I71" s="40" t="str">
        <f>IFERROR(VLOOKUP(E71,SINAPI!A:D,3,0),"")</f>
        <v>M2</v>
      </c>
      <c r="J71" s="579">
        <f>DISPOSITIVOS!Q7</f>
        <v>1.39</v>
      </c>
      <c r="K71" s="40">
        <f>IFERROR(VLOOKUP(E71,SINAPI!A:D,4,0),"")</f>
        <v>91.89</v>
      </c>
      <c r="L71" s="580">
        <f t="shared" si="15"/>
        <v>127.73</v>
      </c>
      <c r="M71" s="264"/>
      <c r="N71" s="562"/>
      <c r="O71" s="562"/>
      <c r="P71" s="562"/>
      <c r="Q71" s="562"/>
    </row>
    <row r="72" spans="1:17" ht="15" hidden="1" customHeight="1" outlineLevel="1" x14ac:dyDescent="0.25">
      <c r="A72" s="660" t="b">
        <f t="shared" si="1"/>
        <v>0</v>
      </c>
      <c r="C72" s="35">
        <v>4</v>
      </c>
      <c r="D72" s="1567" t="s">
        <v>2639</v>
      </c>
      <c r="E72" s="1567">
        <v>407819</v>
      </c>
      <c r="F72" s="577" t="s">
        <v>2704</v>
      </c>
      <c r="G72" s="37" t="str">
        <f>IFERROR(VLOOKUP(E72,SINAPI!A:D,2,0),"")</f>
        <v>Armação em aço CA-50 - fornecimento, preparo e colocação</v>
      </c>
      <c r="H72" s="578"/>
      <c r="I72" s="40" t="str">
        <f>IFERROR(VLOOKUP(E72,SINAPI!A:D,3,0),"")</f>
        <v>kg</v>
      </c>
      <c r="J72" s="579">
        <f>DISPOSITIVOS!Q8</f>
        <v>20.100000000000001</v>
      </c>
      <c r="K72" s="40">
        <f>IFERROR(VLOOKUP(E72,SINAPI!A:D,4,0),"")</f>
        <v>14.15</v>
      </c>
      <c r="L72" s="580">
        <f t="shared" si="15"/>
        <v>284.42</v>
      </c>
      <c r="M72" s="264"/>
      <c r="N72" s="562"/>
      <c r="O72" s="562"/>
      <c r="P72" s="562"/>
      <c r="Q72" s="562"/>
    </row>
    <row r="73" spans="1:17" ht="15" hidden="1" customHeight="1" outlineLevel="1" x14ac:dyDescent="0.25">
      <c r="A73" s="660" t="b">
        <f t="shared" si="1"/>
        <v>0</v>
      </c>
      <c r="C73" s="35">
        <v>5</v>
      </c>
      <c r="D73" s="576" t="s">
        <v>2747</v>
      </c>
      <c r="E73" s="576">
        <v>87327</v>
      </c>
      <c r="F73" s="577" t="s">
        <v>2705</v>
      </c>
      <c r="G73" s="37" t="str">
        <f>IFERROR(VLOOKUP(E73,SINAPI!A:D,2,0),"")</f>
        <v>ARGAMASSA TRAÇO 1:7 (EM VOLUME DE CIMENTO E AREIA MÉDIA ÚMIDA) COM ADIÇÃO DE PLASTIFICANTE PARA EMBOÇO/MASSA ÚNICA/ASSENTAMENTO DE ALVENARIA DE VEDAÇÃO, PREPARO MECÂNICO COM MISTURADOR DE EIXO HORIZONTAL DE 300 KG. AF_08/2019</v>
      </c>
      <c r="H73" s="578"/>
      <c r="I73" s="40" t="str">
        <f>IFERROR(VLOOKUP(E73,SINAPI!A:D,3,0),"")</f>
        <v>M3</v>
      </c>
      <c r="J73" s="579">
        <f>DISPOSITIVOS!Q9</f>
        <v>0.13600000000000001</v>
      </c>
      <c r="K73" s="40">
        <f>IFERROR(VLOOKUP(E73,SINAPI!A:D,4,0),"")</f>
        <v>503.88</v>
      </c>
      <c r="L73" s="580">
        <f t="shared" ref="L73:L74" si="16">IF(J73="","",ROUND(J73*K73,2))</f>
        <v>68.53</v>
      </c>
      <c r="M73" s="264"/>
      <c r="N73" s="562"/>
      <c r="O73" s="562"/>
      <c r="P73" s="562"/>
      <c r="Q73" s="562"/>
    </row>
    <row r="74" spans="1:17" ht="15" hidden="1" customHeight="1" outlineLevel="1" x14ac:dyDescent="0.25">
      <c r="A74" s="660" t="b">
        <f t="shared" si="1"/>
        <v>0</v>
      </c>
      <c r="C74" s="35">
        <v>6</v>
      </c>
      <c r="D74" s="576" t="s">
        <v>2747</v>
      </c>
      <c r="E74" s="576">
        <v>87327</v>
      </c>
      <c r="F74" s="577" t="s">
        <v>2750</v>
      </c>
      <c r="G74" s="37" t="str">
        <f>IFERROR(VLOOKUP(E74,SINAPI!A:D,2,0),"")</f>
        <v>ARGAMASSA TRAÇO 1:7 (EM VOLUME DE CIMENTO E AREIA MÉDIA ÚMIDA) COM ADIÇÃO DE PLASTIFICANTE PARA EMBOÇO/MASSA ÚNICA/ASSENTAMENTO DE ALVENARIA DE VEDAÇÃO, PREPARO MECÂNICO COM MISTURADOR DE EIXO HORIZONTAL DE 300 KG. AF_08/2019</v>
      </c>
      <c r="H74" s="578"/>
      <c r="I74" s="40" t="str">
        <f>IFERROR(VLOOKUP(E74,SINAPI!A:D,3,0),"")</f>
        <v>M3</v>
      </c>
      <c r="J74" s="579">
        <f>DISPOSITIVOS!Q10</f>
        <v>8.0000000000000002E-3</v>
      </c>
      <c r="K74" s="40">
        <f>IFERROR(VLOOKUP(E74,SINAPI!A:D,4,0),"")</f>
        <v>503.88</v>
      </c>
      <c r="L74" s="580">
        <f t="shared" si="16"/>
        <v>4.03</v>
      </c>
      <c r="M74" s="264"/>
      <c r="N74" s="562"/>
      <c r="O74" s="562"/>
      <c r="P74" s="562"/>
      <c r="Q74" s="562"/>
    </row>
    <row r="75" spans="1:17" ht="15" hidden="1" customHeight="1" outlineLevel="1" x14ac:dyDescent="0.25">
      <c r="A75" s="660" t="b">
        <f t="shared" si="1"/>
        <v>0</v>
      </c>
      <c r="C75" s="35">
        <v>7</v>
      </c>
      <c r="D75" s="576" t="s">
        <v>2747</v>
      </c>
      <c r="E75" s="576">
        <v>98114</v>
      </c>
      <c r="F75" s="577" t="s">
        <v>2749</v>
      </c>
      <c r="G75" s="37" t="str">
        <f>IFERROR(VLOOKUP(E75,SINAPI!A:D,2,0),"")</f>
        <v>TAMPA CIRCULAR PARA ESGOTO E DRENAGEM, EM FERRO FUNDIDO, DIÂMETRO INTERNO = 0,6 M. AF_12/2020</v>
      </c>
      <c r="H75" s="578"/>
      <c r="I75" s="40" t="str">
        <f>IFERROR(VLOOKUP(E75,SINAPI!A:D,3,0),"")</f>
        <v>UN</v>
      </c>
      <c r="J75" s="579">
        <f>DISPOSITIVOS!Q15</f>
        <v>1</v>
      </c>
      <c r="K75" s="40">
        <f>IFERROR(VLOOKUP(E75,SINAPI!A:D,4,0),"")</f>
        <v>722.56</v>
      </c>
      <c r="L75" s="580">
        <f t="shared" si="15"/>
        <v>722.56</v>
      </c>
      <c r="M75" s="264"/>
      <c r="N75" s="562"/>
      <c r="O75" s="562"/>
      <c r="P75" s="562"/>
      <c r="Q75" s="562"/>
    </row>
    <row r="76" spans="1:17" ht="15" hidden="1" customHeight="1" outlineLevel="1" x14ac:dyDescent="0.25">
      <c r="A76" s="660" t="b">
        <f t="shared" si="1"/>
        <v>0</v>
      </c>
      <c r="C76" s="35">
        <v>8</v>
      </c>
      <c r="D76" s="550" t="s">
        <v>2747</v>
      </c>
      <c r="E76" s="550">
        <v>103670</v>
      </c>
      <c r="F76" s="552" t="s">
        <v>2761</v>
      </c>
      <c r="G76" s="37" t="str">
        <f>IFERROR(VLOOKUP(E76,SINAPI!A:D,2,0),"")</f>
        <v>LANÇAMENTO COM USO DE BALDES, ADENSAMENTO E ACABAMENTO DE CONCRETO EM ESTRUTURAS. AF_02/2022</v>
      </c>
      <c r="H76" s="578"/>
      <c r="I76" s="40" t="str">
        <f>IFERROR(VLOOKUP(E76,SINAPI!A:D,3,0),"")</f>
        <v>M3</v>
      </c>
      <c r="J76" s="579">
        <f>J70</f>
        <v>0.67</v>
      </c>
      <c r="K76" s="40">
        <f>IFERROR(VLOOKUP(E76,SINAPI!A:D,4,0),"")</f>
        <v>301.64</v>
      </c>
      <c r="L76" s="580">
        <f t="shared" si="15"/>
        <v>202.1</v>
      </c>
      <c r="M76" s="264"/>
      <c r="N76" s="562"/>
      <c r="O76" s="562"/>
      <c r="P76" s="562"/>
      <c r="Q76" s="562"/>
    </row>
    <row r="77" spans="1:17" ht="15" hidden="1" customHeight="1" outlineLevel="1" thickBot="1" x14ac:dyDescent="0.3">
      <c r="A77" s="660" t="b">
        <f t="shared" si="1"/>
        <v>0</v>
      </c>
      <c r="C77" s="230" t="s">
        <v>96</v>
      </c>
      <c r="D77" s="231"/>
      <c r="E77" s="231"/>
      <c r="F77" s="231"/>
      <c r="G77" s="231"/>
      <c r="H77" s="231"/>
      <c r="I77" s="231"/>
      <c r="J77" s="231"/>
      <c r="K77" s="232"/>
      <c r="L77" s="581">
        <f>SUM(L69:L76)</f>
        <v>3597.96</v>
      </c>
      <c r="M77" s="261"/>
      <c r="N77" s="562" t="str">
        <f>C68</f>
        <v>COMP 07</v>
      </c>
      <c r="O77" s="582">
        <f>L77</f>
        <v>3597.96</v>
      </c>
      <c r="P77" s="562"/>
      <c r="Q77" s="562"/>
    </row>
    <row r="78" spans="1:17" ht="15" hidden="1" customHeight="1" outlineLevel="1" x14ac:dyDescent="0.25">
      <c r="A78" s="699" t="b">
        <f>_xlfn.XOR(C78=$S$2,C78=$S$3,C78=$S$4,C78=$S$5,C78=$S$6,C78=$S$7,C78=$S$8,C78=$S$9,C78=$S$10,C78=$S$11,C78=$S$12,C78=$S$13,C78=$S$14,C78=$S$15,C78=$S$16,C78=$S$17,C78=$S$18,C78=$S$19,C78=$S$20,C78=$S$21,C78=$S$22,C78=$S$23,C78=$S$24,C78=$S$25,C78=$S$26,C78=$S$27,C78=$S$28,C78=$S$29,C78=$S$30,C78=$S$316,C78=$S$32,C78=$S$33,C78=$S$34,C78=$S$35,C78=$S$36,C78=$S$37,C78=$S$38,C78=$S$39,C78=$S$40,C78=$S$41,C78=$S$42,)</f>
        <v>0</v>
      </c>
      <c r="C78" s="569" t="s">
        <v>140</v>
      </c>
      <c r="D78" s="570"/>
      <c r="E78" s="570" t="str">
        <f>IFERROR(VLOOKUP(C78,SINAPI!A:D,2,0),"")</f>
        <v>Poço de visita em alvenaria para d=100cm</v>
      </c>
      <c r="F78" s="570"/>
      <c r="G78" s="217"/>
      <c r="H78" s="571"/>
      <c r="I78" s="572" t="str">
        <f>IFERROR(VLOOKUP(C78,SINAPI!A:D,3,0),"")</f>
        <v>un</v>
      </c>
      <c r="J78" s="573"/>
      <c r="K78" s="573" t="s">
        <v>2603</v>
      </c>
      <c r="L78" s="574" t="str">
        <f>IF(J78="","",ROUND(J78*#REF!,2))</f>
        <v/>
      </c>
      <c r="M78" s="575"/>
      <c r="N78" s="562"/>
      <c r="O78" s="562"/>
      <c r="P78" s="562"/>
      <c r="Q78" s="562"/>
    </row>
    <row r="79" spans="1:17" ht="15" hidden="1" customHeight="1" outlineLevel="1" x14ac:dyDescent="0.25">
      <c r="A79" s="660" t="b">
        <f t="shared" ref="A79:A141" si="17">A78</f>
        <v>0</v>
      </c>
      <c r="C79" s="35">
        <v>1</v>
      </c>
      <c r="D79" s="576" t="s">
        <v>17</v>
      </c>
      <c r="E79" s="576" t="s">
        <v>4593</v>
      </c>
      <c r="F79" s="577" t="s">
        <v>2699</v>
      </c>
      <c r="G79" s="37" t="str">
        <f>IFERROR(VLOOKUP(E79,SINAPI!A:D,2,0),"")</f>
        <v>Alvenaria de tijolos maciços</v>
      </c>
      <c r="H79" s="578"/>
      <c r="I79" s="40" t="str">
        <f>IFERROR(VLOOKUP(E79,SINAPI!A:D,3,0),"")</f>
        <v>m²</v>
      </c>
      <c r="J79" s="579">
        <f>DISPOSITIVOS!R5</f>
        <v>13.548</v>
      </c>
      <c r="K79" s="40">
        <f>IFERROR(VLOOKUP(E79,SINAPI!A:D,4,0),"")</f>
        <v>256.19</v>
      </c>
      <c r="L79" s="580">
        <f>IF(J79="","",ROUND(J79*K79,2))</f>
        <v>3470.86</v>
      </c>
      <c r="M79" s="264"/>
      <c r="N79" s="562"/>
      <c r="O79" s="562"/>
      <c r="P79" s="562"/>
      <c r="Q79" s="562"/>
    </row>
    <row r="80" spans="1:17" ht="15" hidden="1" customHeight="1" outlineLevel="1" x14ac:dyDescent="0.25">
      <c r="A80" s="660" t="b">
        <f t="shared" si="17"/>
        <v>0</v>
      </c>
      <c r="C80" s="35">
        <v>2</v>
      </c>
      <c r="D80" s="576" t="s">
        <v>2748</v>
      </c>
      <c r="E80" s="576">
        <v>38404</v>
      </c>
      <c r="F80" s="552" t="s">
        <v>3193</v>
      </c>
      <c r="G80" s="37" t="str">
        <f>IFERROR(VLOOKUP(E80,SINAPI!A:D,2,0),"")</f>
        <v xml:space="preserve">CONCRETO USINADO BOMBEAVEL, CLASSE DE RESISTENCIA C20, COM BRITA 0 E 1, SLUMP = 130 +/- 20 MM, EXCLUI SERVICO DE BOMBEAMENTO (NBR 8953)                                                                                                                                                                                                                                                                                                                                                                   </v>
      </c>
      <c r="H80" s="578"/>
      <c r="I80" s="40" t="str">
        <f>IFERROR(VLOOKUP(E80,SINAPI!A:D,3,0),"")</f>
        <v xml:space="preserve">M3    </v>
      </c>
      <c r="J80" s="579">
        <f>DISPOSITIVOS!R6</f>
        <v>1.17</v>
      </c>
      <c r="K80" s="40">
        <f>IFERROR(VLOOKUP(E80,SINAPI!A:D,4,0),"")</f>
        <v>495.11</v>
      </c>
      <c r="L80" s="580">
        <f t="shared" ref="L80:L86" si="18">IF(J80="","",ROUND(J80*K80,2))</f>
        <v>579.28</v>
      </c>
      <c r="M80" s="264"/>
      <c r="N80" s="562"/>
      <c r="O80" s="562"/>
      <c r="P80" s="562"/>
      <c r="Q80" s="562"/>
    </row>
    <row r="81" spans="1:17" ht="15" hidden="1" customHeight="1" outlineLevel="1" x14ac:dyDescent="0.25">
      <c r="A81" s="660" t="b">
        <f t="shared" si="17"/>
        <v>0</v>
      </c>
      <c r="C81" s="35">
        <v>3</v>
      </c>
      <c r="D81" s="576" t="s">
        <v>2747</v>
      </c>
      <c r="E81" s="576">
        <v>96536</v>
      </c>
      <c r="F81" s="577" t="s">
        <v>2703</v>
      </c>
      <c r="G81" s="37" t="str">
        <f>IFERROR(VLOOKUP(E81,SINAPI!A:D,2,0),"")</f>
        <v>FABRICAÇÃO, MONTAGEM E DESMONTAGEM DE FÔRMA PARA VIGA BALDRAME, EM MADEIRA SERRADA, E=25 MM, 4 UTILIZAÇÕES. AF_06/2017</v>
      </c>
      <c r="H81" s="578"/>
      <c r="I81" s="40" t="str">
        <f>IFERROR(VLOOKUP(E81,SINAPI!A:D,3,0),"")</f>
        <v>M2</v>
      </c>
      <c r="J81" s="579">
        <f>DISPOSITIVOS!R7</f>
        <v>1.89</v>
      </c>
      <c r="K81" s="40">
        <f>IFERROR(VLOOKUP(E81,SINAPI!A:D,4,0),"")</f>
        <v>91.89</v>
      </c>
      <c r="L81" s="580">
        <f t="shared" si="18"/>
        <v>173.67</v>
      </c>
      <c r="M81" s="264"/>
      <c r="N81" s="562"/>
      <c r="O81" s="562"/>
      <c r="P81" s="562"/>
      <c r="Q81" s="562"/>
    </row>
    <row r="82" spans="1:17" ht="15" hidden="1" customHeight="1" outlineLevel="1" x14ac:dyDescent="0.25">
      <c r="A82" s="660" t="b">
        <f t="shared" si="17"/>
        <v>0</v>
      </c>
      <c r="C82" s="35">
        <v>4</v>
      </c>
      <c r="D82" s="1567" t="s">
        <v>2639</v>
      </c>
      <c r="E82" s="1567">
        <v>407819</v>
      </c>
      <c r="F82" s="577" t="s">
        <v>2704</v>
      </c>
      <c r="G82" s="37" t="str">
        <f>IFERROR(VLOOKUP(E82,SINAPI!A:D,2,0),"")</f>
        <v>Armação em aço CA-50 - fornecimento, preparo e colocação</v>
      </c>
      <c r="H82" s="578"/>
      <c r="I82" s="40" t="str">
        <f>IFERROR(VLOOKUP(E82,SINAPI!A:D,3,0),"")</f>
        <v>kg</v>
      </c>
      <c r="J82" s="579">
        <f>DISPOSITIVOS!R8</f>
        <v>35.1</v>
      </c>
      <c r="K82" s="40">
        <f>IFERROR(VLOOKUP(E82,SINAPI!A:D,4,0),"")</f>
        <v>14.15</v>
      </c>
      <c r="L82" s="580">
        <f t="shared" si="18"/>
        <v>496.67</v>
      </c>
      <c r="M82" s="264"/>
      <c r="N82" s="562"/>
      <c r="O82" s="562"/>
      <c r="P82" s="562"/>
      <c r="Q82" s="562"/>
    </row>
    <row r="83" spans="1:17" ht="15" hidden="1" customHeight="1" outlineLevel="1" x14ac:dyDescent="0.25">
      <c r="A83" s="660" t="b">
        <f t="shared" si="17"/>
        <v>0</v>
      </c>
      <c r="C83" s="35">
        <v>5</v>
      </c>
      <c r="D83" s="576" t="s">
        <v>2747</v>
      </c>
      <c r="E83" s="576">
        <v>87327</v>
      </c>
      <c r="F83" s="577" t="s">
        <v>2705</v>
      </c>
      <c r="G83" s="37" t="str">
        <f>IFERROR(VLOOKUP(E83,SINAPI!A:D,2,0),"")</f>
        <v>ARGAMASSA TRAÇO 1:7 (EM VOLUME DE CIMENTO E AREIA MÉDIA ÚMIDA) COM ADIÇÃO DE PLASTIFICANTE PARA EMBOÇO/MASSA ÚNICA/ASSENTAMENTO DE ALVENARIA DE VEDAÇÃO, PREPARO MECÂNICO COM MISTURADOR DE EIXO HORIZONTAL DE 300 KG. AF_08/2019</v>
      </c>
      <c r="H83" s="578"/>
      <c r="I83" s="40" t="str">
        <f>IFERROR(VLOOKUP(E83,SINAPI!A:D,3,0),"")</f>
        <v>M3</v>
      </c>
      <c r="J83" s="579">
        <f>DISPOSITIVOS!R9</f>
        <v>0.25800000000000001</v>
      </c>
      <c r="K83" s="40">
        <f>IFERROR(VLOOKUP(E83,SINAPI!A:D,4,0),"")</f>
        <v>503.88</v>
      </c>
      <c r="L83" s="580">
        <f t="shared" si="18"/>
        <v>130</v>
      </c>
      <c r="M83" s="264"/>
      <c r="N83" s="562"/>
      <c r="O83" s="562"/>
      <c r="P83" s="562"/>
      <c r="Q83" s="562"/>
    </row>
    <row r="84" spans="1:17" ht="15" hidden="1" customHeight="1" outlineLevel="1" x14ac:dyDescent="0.25">
      <c r="A84" s="660" t="b">
        <f t="shared" si="17"/>
        <v>0</v>
      </c>
      <c r="C84" s="35">
        <v>6</v>
      </c>
      <c r="D84" s="576" t="s">
        <v>2747</v>
      </c>
      <c r="E84" s="576">
        <v>87327</v>
      </c>
      <c r="F84" s="577" t="s">
        <v>2750</v>
      </c>
      <c r="G84" s="37" t="str">
        <f>IFERROR(VLOOKUP(E84,SINAPI!A:D,2,0),"")</f>
        <v>ARGAMASSA TRAÇO 1:7 (EM VOLUME DE CIMENTO E AREIA MÉDIA ÚMIDA) COM ADIÇÃO DE PLASTIFICANTE PARA EMBOÇO/MASSA ÚNICA/ASSENTAMENTO DE ALVENARIA DE VEDAÇÃO, PREPARO MECÂNICO COM MISTURADOR DE EIXO HORIZONTAL DE 300 KG. AF_08/2019</v>
      </c>
      <c r="H84" s="578"/>
      <c r="I84" s="40" t="str">
        <f>IFERROR(VLOOKUP(E84,SINAPI!A:D,3,0),"")</f>
        <v>M3</v>
      </c>
      <c r="J84" s="579">
        <f>DISPOSITIVOS!R10</f>
        <v>8.0000000000000002E-3</v>
      </c>
      <c r="K84" s="40">
        <f>IFERROR(VLOOKUP(E84,SINAPI!A:D,4,0),"")</f>
        <v>503.88</v>
      </c>
      <c r="L84" s="580">
        <f t="shared" si="18"/>
        <v>4.03</v>
      </c>
      <c r="M84" s="264"/>
      <c r="N84" s="562"/>
      <c r="O84" s="562"/>
      <c r="P84" s="562"/>
      <c r="Q84" s="562"/>
    </row>
    <row r="85" spans="1:17" ht="15" hidden="1" customHeight="1" outlineLevel="1" x14ac:dyDescent="0.25">
      <c r="A85" s="660" t="b">
        <f t="shared" si="17"/>
        <v>0</v>
      </c>
      <c r="C85" s="35">
        <v>7</v>
      </c>
      <c r="D85" s="576" t="s">
        <v>2747</v>
      </c>
      <c r="E85" s="576">
        <v>98114</v>
      </c>
      <c r="F85" s="577" t="s">
        <v>2749</v>
      </c>
      <c r="G85" s="37" t="str">
        <f>IFERROR(VLOOKUP(E85,SINAPI!A:D,2,0),"")</f>
        <v>TAMPA CIRCULAR PARA ESGOTO E DRENAGEM, EM FERRO FUNDIDO, DIÂMETRO INTERNO = 0,6 M. AF_12/2020</v>
      </c>
      <c r="H85" s="578"/>
      <c r="I85" s="40" t="str">
        <f>IFERROR(VLOOKUP(E85,SINAPI!A:D,3,0),"")</f>
        <v>UN</v>
      </c>
      <c r="J85" s="579">
        <f>DISPOSITIVOS!R15</f>
        <v>1</v>
      </c>
      <c r="K85" s="40">
        <f>IFERROR(VLOOKUP(E85,SINAPI!A:D,4,0),"")</f>
        <v>722.56</v>
      </c>
      <c r="L85" s="580">
        <f t="shared" si="18"/>
        <v>722.56</v>
      </c>
      <c r="M85" s="264"/>
      <c r="N85" s="562"/>
      <c r="O85" s="562"/>
      <c r="P85" s="562"/>
      <c r="Q85" s="562"/>
    </row>
    <row r="86" spans="1:17" ht="15" hidden="1" customHeight="1" outlineLevel="1" x14ac:dyDescent="0.25">
      <c r="A86" s="660" t="b">
        <f t="shared" si="17"/>
        <v>0</v>
      </c>
      <c r="C86" s="35">
        <v>8</v>
      </c>
      <c r="D86" s="550" t="s">
        <v>2747</v>
      </c>
      <c r="E86" s="550">
        <v>103670</v>
      </c>
      <c r="F86" s="552" t="s">
        <v>2761</v>
      </c>
      <c r="G86" s="37" t="str">
        <f>IFERROR(VLOOKUP(E86,SINAPI!A:D,2,0),"")</f>
        <v>LANÇAMENTO COM USO DE BALDES, ADENSAMENTO E ACABAMENTO DE CONCRETO EM ESTRUTURAS. AF_02/2022</v>
      </c>
      <c r="H86" s="578"/>
      <c r="I86" s="40" t="str">
        <f>IFERROR(VLOOKUP(E86,SINAPI!A:D,3,0),"")</f>
        <v>M3</v>
      </c>
      <c r="J86" s="579">
        <f>J80</f>
        <v>1.17</v>
      </c>
      <c r="K86" s="40">
        <f>IFERROR(VLOOKUP(E86,SINAPI!A:D,4,0),"")</f>
        <v>301.64</v>
      </c>
      <c r="L86" s="580">
        <f t="shared" si="18"/>
        <v>352.92</v>
      </c>
      <c r="M86" s="264"/>
      <c r="N86" s="562"/>
      <c r="O86" s="562"/>
      <c r="P86" s="562"/>
      <c r="Q86" s="562"/>
    </row>
    <row r="87" spans="1:17" ht="15" hidden="1" customHeight="1" outlineLevel="1" thickBot="1" x14ac:dyDescent="0.3">
      <c r="A87" s="660" t="b">
        <f t="shared" si="17"/>
        <v>0</v>
      </c>
      <c r="C87" s="230" t="s">
        <v>96</v>
      </c>
      <c r="D87" s="231"/>
      <c r="E87" s="231"/>
      <c r="F87" s="231"/>
      <c r="G87" s="231"/>
      <c r="H87" s="231"/>
      <c r="I87" s="231"/>
      <c r="J87" s="231"/>
      <c r="K87" s="232"/>
      <c r="L87" s="581">
        <f>SUM(L79:L86)</f>
        <v>5929.99</v>
      </c>
      <c r="M87" s="261"/>
      <c r="N87" s="562" t="str">
        <f>C78</f>
        <v>COMP 08</v>
      </c>
      <c r="O87" s="582">
        <f>L87</f>
        <v>5929.99</v>
      </c>
      <c r="P87" s="562"/>
      <c r="Q87" s="562"/>
    </row>
    <row r="88" spans="1:17" ht="15" hidden="1" customHeight="1" outlineLevel="1" x14ac:dyDescent="0.25">
      <c r="A88" s="699" t="b">
        <f>_xlfn.XOR(C88=$S$2,C88=$S$3,C88=$S$4,C88=$S$5,C88=$S$6,C88=$S$7,C88=$S$8,C88=$S$9,C88=$S$10,C88=$S$11,C88=$S$12,C88=$S$13,C88=$S$14,C88=$S$15,C88=$S$16,C88=$S$17,C88=$S$18,C88=$S$19,C88=$S$20,C88=$S$21,C88=$S$22,C88=$S$23,C88=$S$24,C88=$S$25,C88=$S$26,C88=$S$27,C88=$S$28,C88=$S$29,C88=$S$30,C88=$S$316,C88=$S$32,C88=$S$33,C88=$S$34,C88=$S$35,C88=$S$36,C88=$S$37,C88=$S$38,C88=$S$39,C88=$S$40,C88=$S$41,C88=$S$42,)</f>
        <v>0</v>
      </c>
      <c r="C88" s="569" t="s">
        <v>35</v>
      </c>
      <c r="D88" s="570"/>
      <c r="E88" s="570" t="str">
        <f>IFERROR(VLOOKUP(C88,SINAPI!A:D,2,0),"")</f>
        <v>Reforma e limpeza de boca de lobo em alvenaria</v>
      </c>
      <c r="F88" s="570"/>
      <c r="G88" s="217"/>
      <c r="H88" s="571"/>
      <c r="I88" s="572" t="str">
        <f>IFERROR(VLOOKUP(C88,SINAPI!A:D,3,0),"")</f>
        <v>un</v>
      </c>
      <c r="J88" s="573"/>
      <c r="K88" s="573" t="s">
        <v>2603</v>
      </c>
      <c r="L88" s="574" t="str">
        <f>IF(J88="","",ROUND(J88*#REF!,2))</f>
        <v/>
      </c>
      <c r="M88" s="575"/>
      <c r="N88" s="562"/>
      <c r="O88" s="562"/>
      <c r="P88" s="562"/>
      <c r="Q88" s="562"/>
    </row>
    <row r="89" spans="1:17" ht="15" hidden="1" customHeight="1" outlineLevel="1" x14ac:dyDescent="0.25">
      <c r="A89" s="660" t="b">
        <f t="shared" si="17"/>
        <v>0</v>
      </c>
      <c r="C89" s="35">
        <v>1</v>
      </c>
      <c r="D89" s="576" t="s">
        <v>17</v>
      </c>
      <c r="E89" s="576" t="s">
        <v>4593</v>
      </c>
      <c r="F89" s="552" t="s">
        <v>2699</v>
      </c>
      <c r="G89" s="37" t="str">
        <f>IFERROR(VLOOKUP(E89,SINAPI!A:D,2,0),"")</f>
        <v>Alvenaria de tijolos maciços</v>
      </c>
      <c r="H89" s="578"/>
      <c r="I89" s="40" t="str">
        <f>IFERROR(VLOOKUP(E89,SINAPI!A:D,3,0),"")</f>
        <v>m²</v>
      </c>
      <c r="J89" s="579">
        <f>J13*0.5</f>
        <v>2.0615000000000001</v>
      </c>
      <c r="K89" s="40">
        <f>IFERROR(VLOOKUP(E89,SINAPI!A:D,4,0),"")</f>
        <v>256.19</v>
      </c>
      <c r="L89" s="580">
        <f>IF(J89="","",ROUND(J89*K89,2))</f>
        <v>528.14</v>
      </c>
      <c r="M89" s="264"/>
      <c r="N89" s="562"/>
      <c r="O89" s="562"/>
      <c r="P89" s="562"/>
      <c r="Q89" s="562"/>
    </row>
    <row r="90" spans="1:17" ht="15" hidden="1" customHeight="1" outlineLevel="1" x14ac:dyDescent="0.25">
      <c r="A90" s="660" t="b">
        <f t="shared" si="17"/>
        <v>0</v>
      </c>
      <c r="C90" s="35">
        <v>2</v>
      </c>
      <c r="D90" s="550" t="s">
        <v>2747</v>
      </c>
      <c r="E90" s="550">
        <v>87327</v>
      </c>
      <c r="F90" s="552" t="s">
        <v>2705</v>
      </c>
      <c r="G90" s="37" t="str">
        <f>IFERROR(VLOOKUP(E90,SINAPI!A:D,2,0),"")</f>
        <v>ARGAMASSA TRAÇO 1:7 (EM VOLUME DE CIMENTO E AREIA MÉDIA ÚMIDA) COM ADIÇÃO DE PLASTIFICANTE PARA EMBOÇO/MASSA ÚNICA/ASSENTAMENTO DE ALVENARIA DE VEDAÇÃO, PREPARO MECÂNICO COM MISTURADOR DE EIXO HORIZONTAL DE 300 KG. AF_08/2019</v>
      </c>
      <c r="H90" s="578"/>
      <c r="I90" s="40" t="str">
        <f>IFERROR(VLOOKUP(E90,SINAPI!A:D,3,0),"")</f>
        <v>M3</v>
      </c>
      <c r="J90" s="579">
        <f>J17*0.5</f>
        <v>4.1000000000000002E-2</v>
      </c>
      <c r="K90" s="40">
        <f>IFERROR(VLOOKUP(E90,SINAPI!A:D,4,0),"")</f>
        <v>503.88</v>
      </c>
      <c r="L90" s="580">
        <f t="shared" ref="L90:L93" si="19">IF(J90="","",ROUND(J90*K90,2))</f>
        <v>20.66</v>
      </c>
      <c r="M90" s="264"/>
      <c r="N90" s="562"/>
      <c r="O90" s="562"/>
      <c r="P90" s="562"/>
      <c r="Q90" s="562"/>
    </row>
    <row r="91" spans="1:17" ht="15" hidden="1" customHeight="1" outlineLevel="1" x14ac:dyDescent="0.25">
      <c r="A91" s="660" t="b">
        <f t="shared" si="17"/>
        <v>0</v>
      </c>
      <c r="C91" s="35">
        <v>3</v>
      </c>
      <c r="D91" s="550" t="s">
        <v>2747</v>
      </c>
      <c r="E91" s="550">
        <v>87327</v>
      </c>
      <c r="F91" s="552" t="s">
        <v>2706</v>
      </c>
      <c r="G91" s="37" t="str">
        <f>IFERROR(VLOOKUP(E91,SINAPI!A:D,2,0),"")</f>
        <v>ARGAMASSA TRAÇO 1:7 (EM VOLUME DE CIMENTO E AREIA MÉDIA ÚMIDA) COM ADIÇÃO DE PLASTIFICANTE PARA EMBOÇO/MASSA ÚNICA/ASSENTAMENTO DE ALVENARIA DE VEDAÇÃO, PREPARO MECÂNICO COM MISTURADOR DE EIXO HORIZONTAL DE 300 KG. AF_08/2019</v>
      </c>
      <c r="H91" s="578"/>
      <c r="I91" s="40" t="str">
        <f>IFERROR(VLOOKUP(E91,SINAPI!A:D,3,0),"")</f>
        <v>M3</v>
      </c>
      <c r="J91" s="579">
        <f>J18</f>
        <v>8.9999999999999993E-3</v>
      </c>
      <c r="K91" s="40">
        <f>IFERROR(VLOOKUP(E91,SINAPI!A:D,4,0),"")</f>
        <v>503.88</v>
      </c>
      <c r="L91" s="580">
        <f t="shared" si="19"/>
        <v>4.53</v>
      </c>
      <c r="M91" s="264"/>
      <c r="N91" s="562"/>
      <c r="O91" s="562"/>
      <c r="P91" s="562"/>
      <c r="Q91" s="562"/>
    </row>
    <row r="92" spans="1:17" ht="15" hidden="1" customHeight="1" outlineLevel="1" x14ac:dyDescent="0.25">
      <c r="A92" s="660" t="b">
        <f t="shared" si="17"/>
        <v>0</v>
      </c>
      <c r="C92" s="35">
        <v>4</v>
      </c>
      <c r="D92" s="576" t="s">
        <v>2747</v>
      </c>
      <c r="E92" s="576">
        <v>88316</v>
      </c>
      <c r="F92" s="577" t="s">
        <v>2740</v>
      </c>
      <c r="G92" s="37" t="str">
        <f>IFERROR(VLOOKUP(E92,SINAPI!A:D,2,0),"")</f>
        <v>SERVENTE COM ENCARGOS COMPLEMENTARES</v>
      </c>
      <c r="H92" s="578"/>
      <c r="I92" s="40" t="str">
        <f>IFERROR(VLOOKUP(E92,SINAPI!A:D,3,0),"")</f>
        <v>H</v>
      </c>
      <c r="J92" s="579">
        <v>2</v>
      </c>
      <c r="K92" s="40">
        <f>IFERROR(VLOOKUP(E92,SINAPI!A:D,4,0),"")</f>
        <v>20.82</v>
      </c>
      <c r="L92" s="580">
        <f t="shared" si="19"/>
        <v>41.64</v>
      </c>
      <c r="M92" s="264"/>
      <c r="N92" s="562"/>
      <c r="O92" s="562"/>
      <c r="P92" s="562"/>
      <c r="Q92" s="562"/>
    </row>
    <row r="93" spans="1:17" ht="15" hidden="1" customHeight="1" outlineLevel="1" x14ac:dyDescent="0.25">
      <c r="A93" s="660" t="b">
        <f t="shared" si="17"/>
        <v>0</v>
      </c>
      <c r="C93" s="35">
        <v>5</v>
      </c>
      <c r="D93" s="576" t="s">
        <v>2747</v>
      </c>
      <c r="E93" s="576">
        <v>88309</v>
      </c>
      <c r="F93" s="577" t="s">
        <v>2751</v>
      </c>
      <c r="G93" s="37" t="str">
        <f>IFERROR(VLOOKUP(E93,SINAPI!A:D,2,0),"")</f>
        <v>PEDREIRO COM ENCARGOS COMPLEMENTARES</v>
      </c>
      <c r="H93" s="578"/>
      <c r="I93" s="40" t="str">
        <f>IFERROR(VLOOKUP(E93,SINAPI!A:D,3,0),"")</f>
        <v>H</v>
      </c>
      <c r="J93" s="579">
        <v>2</v>
      </c>
      <c r="K93" s="40">
        <f>IFERROR(VLOOKUP(E93,SINAPI!A:D,4,0),"")</f>
        <v>30.44</v>
      </c>
      <c r="L93" s="580">
        <f t="shared" si="19"/>
        <v>60.88</v>
      </c>
      <c r="M93" s="264"/>
      <c r="N93" s="562"/>
      <c r="O93" s="562"/>
      <c r="P93" s="562"/>
      <c r="Q93" s="562"/>
    </row>
    <row r="94" spans="1:17" ht="15" hidden="1" customHeight="1" outlineLevel="1" thickBot="1" x14ac:dyDescent="0.3">
      <c r="A94" s="660" t="b">
        <f t="shared" si="17"/>
        <v>0</v>
      </c>
      <c r="C94" s="230" t="s">
        <v>96</v>
      </c>
      <c r="D94" s="231"/>
      <c r="E94" s="231"/>
      <c r="F94" s="231"/>
      <c r="G94" s="231"/>
      <c r="H94" s="231"/>
      <c r="I94" s="231"/>
      <c r="J94" s="231"/>
      <c r="K94" s="232"/>
      <c r="L94" s="581">
        <f>SUM(L89:L93)</f>
        <v>655.85</v>
      </c>
      <c r="M94" s="261"/>
      <c r="N94" s="562" t="str">
        <f>C88</f>
        <v>COMP 09</v>
      </c>
      <c r="O94" s="582">
        <f>L94</f>
        <v>655.85</v>
      </c>
      <c r="P94" s="562"/>
      <c r="Q94" s="562"/>
    </row>
    <row r="95" spans="1:17" ht="15" hidden="1" customHeight="1" outlineLevel="1" x14ac:dyDescent="0.25">
      <c r="A95" s="699" t="b">
        <f>_xlfn.XOR(C95=$S$2,C95=$S$3,C95=$S$4,C95=$S$5,C95=$S$6,C95=$S$7,C95=$S$8,C95=$S$9,C95=$S$10,C95=$S$11,C95=$S$12,C95=$S$13,C95=$S$14,C95=$S$15,C95=$S$16,C95=$S$17,C95=$S$18,C95=$S$19,C95=$S$20,C95=$S$21,C95=$S$22,C95=$S$23,C95=$S$24,C95=$S$25,C95=$S$26,C95=$S$27,C95=$S$28,C95=$S$29,C95=$S$30,C95=$S$316,C95=$S$32,C95=$S$33,C95=$S$34,C95=$S$35,C95=$S$36,C95=$S$37,C95=$S$38,C95=$S$39,C95=$S$40,C95=$S$41,C95=$S$42,)</f>
        <v>0</v>
      </c>
      <c r="C95" s="569" t="s">
        <v>141</v>
      </c>
      <c r="D95" s="570"/>
      <c r="E95" s="570" t="str">
        <f>IFERROR(VLOOKUP(C95,SINAPI!A:D,2,0),"")</f>
        <v>Mudança de boca de lobo para caixa de ligação</v>
      </c>
      <c r="F95" s="570"/>
      <c r="G95" s="217"/>
      <c r="H95" s="571"/>
      <c r="I95" s="572" t="s">
        <v>2603</v>
      </c>
      <c r="J95" s="573"/>
      <c r="K95" s="573" t="s">
        <v>2603</v>
      </c>
      <c r="L95" s="574" t="str">
        <f>IF(J95="","",ROUND(J95*#REF!,2))</f>
        <v/>
      </c>
      <c r="M95" s="575"/>
      <c r="N95" s="562"/>
      <c r="O95" s="562"/>
      <c r="P95" s="562"/>
      <c r="Q95" s="562"/>
    </row>
    <row r="96" spans="1:17" ht="15" hidden="1" customHeight="1" outlineLevel="1" x14ac:dyDescent="0.25">
      <c r="A96" s="660" t="b">
        <f t="shared" si="17"/>
        <v>0</v>
      </c>
      <c r="C96" s="35">
        <v>1</v>
      </c>
      <c r="D96" s="576" t="s">
        <v>17</v>
      </c>
      <c r="E96" s="576" t="s">
        <v>4593</v>
      </c>
      <c r="F96" s="577" t="s">
        <v>2699</v>
      </c>
      <c r="G96" s="37" t="str">
        <f>IFERROR(VLOOKUP(E96,SINAPI!A:D,2,0),"")</f>
        <v>Alvenaria de tijolos maciços</v>
      </c>
      <c r="H96" s="578"/>
      <c r="I96" s="40" t="str">
        <f>IFERROR(VLOOKUP(E96,SINAPI!A:D,3,0),"")</f>
        <v>m²</v>
      </c>
      <c r="J96" s="579">
        <f>J69*0.3</f>
        <v>2.1743999999999999</v>
      </c>
      <c r="K96" s="40">
        <f>IFERROR(VLOOKUP(E96,SINAPI!A:D,4,0),"")</f>
        <v>256.19</v>
      </c>
      <c r="L96" s="580">
        <f>IF(J96="","",ROUND(J96*K96,2))</f>
        <v>557.05999999999995</v>
      </c>
      <c r="M96" s="264"/>
      <c r="N96" s="562"/>
      <c r="O96" s="562"/>
      <c r="P96" s="562"/>
      <c r="Q96" s="562"/>
    </row>
    <row r="97" spans="1:17" ht="15" hidden="1" customHeight="1" outlineLevel="1" x14ac:dyDescent="0.25">
      <c r="A97" s="660" t="b">
        <f t="shared" si="17"/>
        <v>0</v>
      </c>
      <c r="C97" s="35">
        <v>2</v>
      </c>
      <c r="D97" s="550" t="s">
        <v>2747</v>
      </c>
      <c r="E97" s="550">
        <v>94970</v>
      </c>
      <c r="F97" s="552" t="s">
        <v>3221</v>
      </c>
      <c r="G97" s="37" t="str">
        <f>IFERROR(VLOOKUP(E97,SINAPI!A:D,2,0),"")</f>
        <v>CONCRETO FCK = 20MPA, TRAÇO 1:2,7:3 (EM MASSA SECA DE CIMENTO/ AREIA MÉDIA/ BRITA 1) - PREPARO MECÂNICO COM BETONEIRA 600 L. AF_05/2021</v>
      </c>
      <c r="H97" s="578"/>
      <c r="I97" s="40" t="str">
        <f>IFERROR(VLOOKUP(E97,SINAPI!A:D,3,0),"")</f>
        <v>M3</v>
      </c>
      <c r="J97" s="579">
        <f>J70</f>
        <v>0.67</v>
      </c>
      <c r="K97" s="40">
        <f>IFERROR(VLOOKUP(E97,SINAPI!A:D,4,0),"")</f>
        <v>493.89</v>
      </c>
      <c r="L97" s="580">
        <f t="shared" ref="L97:L103" si="20">IF(J97="","",ROUND(J97*K97,2))</f>
        <v>330.91</v>
      </c>
      <c r="M97" s="264"/>
      <c r="N97" s="562"/>
      <c r="O97" s="562"/>
      <c r="P97" s="562"/>
      <c r="Q97" s="562"/>
    </row>
    <row r="98" spans="1:17" ht="15" hidden="1" customHeight="1" outlineLevel="1" x14ac:dyDescent="0.25">
      <c r="A98" s="660" t="b">
        <f t="shared" si="17"/>
        <v>0</v>
      </c>
      <c r="C98" s="35">
        <v>3</v>
      </c>
      <c r="D98" s="576" t="s">
        <v>2747</v>
      </c>
      <c r="E98" s="576">
        <v>96536</v>
      </c>
      <c r="F98" s="577" t="s">
        <v>2703</v>
      </c>
      <c r="G98" s="37" t="str">
        <f>IFERROR(VLOOKUP(E98,SINAPI!A:D,2,0),"")</f>
        <v>FABRICAÇÃO, MONTAGEM E DESMONTAGEM DE FÔRMA PARA VIGA BALDRAME, EM MADEIRA SERRADA, E=25 MM, 4 UTILIZAÇÕES. AF_06/2017</v>
      </c>
      <c r="H98" s="578"/>
      <c r="I98" s="40" t="str">
        <f>IFERROR(VLOOKUP(E98,SINAPI!A:D,3,0),"")</f>
        <v>M2</v>
      </c>
      <c r="J98" s="579">
        <f>J71</f>
        <v>1.39</v>
      </c>
      <c r="K98" s="40">
        <f>IFERROR(VLOOKUP(E98,SINAPI!A:D,4,0),"")</f>
        <v>91.89</v>
      </c>
      <c r="L98" s="580">
        <f t="shared" si="20"/>
        <v>127.73</v>
      </c>
      <c r="M98" s="264"/>
      <c r="N98" s="562"/>
      <c r="O98" s="562"/>
      <c r="P98" s="562"/>
      <c r="Q98" s="562"/>
    </row>
    <row r="99" spans="1:17" ht="15" hidden="1" customHeight="1" outlineLevel="1" x14ac:dyDescent="0.25">
      <c r="A99" s="660" t="b">
        <f t="shared" si="17"/>
        <v>0</v>
      </c>
      <c r="C99" s="35">
        <v>4</v>
      </c>
      <c r="D99" s="1567" t="s">
        <v>2639</v>
      </c>
      <c r="E99" s="1567">
        <v>407819</v>
      </c>
      <c r="F99" s="577" t="s">
        <v>2704</v>
      </c>
      <c r="G99" s="37" t="str">
        <f>IFERROR(VLOOKUP(E99,SINAPI!A:D,2,0),"")</f>
        <v>Armação em aço CA-50 - fornecimento, preparo e colocação</v>
      </c>
      <c r="H99" s="578"/>
      <c r="I99" s="40" t="str">
        <f>IFERROR(VLOOKUP(E99,SINAPI!A:D,3,0),"")</f>
        <v>kg</v>
      </c>
      <c r="J99" s="579">
        <f>J72</f>
        <v>20.100000000000001</v>
      </c>
      <c r="K99" s="40">
        <f>IFERROR(VLOOKUP(E99,SINAPI!A:D,4,0),"")</f>
        <v>14.15</v>
      </c>
      <c r="L99" s="580">
        <f t="shared" ref="L99:L100" si="21">IF(J99="","",ROUND(J99*K99,2))</f>
        <v>284.42</v>
      </c>
      <c r="M99" s="264"/>
      <c r="N99" s="562"/>
      <c r="O99" s="562"/>
      <c r="P99" s="562"/>
      <c r="Q99" s="562"/>
    </row>
    <row r="100" spans="1:17" ht="15" hidden="1" customHeight="1" outlineLevel="1" x14ac:dyDescent="0.25">
      <c r="A100" s="660" t="b">
        <f t="shared" si="17"/>
        <v>0</v>
      </c>
      <c r="C100" s="35">
        <v>4</v>
      </c>
      <c r="D100" s="576" t="s">
        <v>2747</v>
      </c>
      <c r="E100" s="576">
        <v>87327</v>
      </c>
      <c r="F100" s="577" t="s">
        <v>2705</v>
      </c>
      <c r="G100" s="37" t="str">
        <f>IFERROR(VLOOKUP(E100,SINAPI!A:D,2,0),"")</f>
        <v>ARGAMASSA TRAÇO 1:7 (EM VOLUME DE CIMENTO E AREIA MÉDIA ÚMIDA) COM ADIÇÃO DE PLASTIFICANTE PARA EMBOÇO/MASSA ÚNICA/ASSENTAMENTO DE ALVENARIA DE VEDAÇÃO, PREPARO MECÂNICO COM MISTURADOR DE EIXO HORIZONTAL DE 300 KG. AF_08/2019</v>
      </c>
      <c r="H100" s="578"/>
      <c r="I100" s="40" t="str">
        <f>IFERROR(VLOOKUP(E100,SINAPI!A:D,3,0),"")</f>
        <v>M3</v>
      </c>
      <c r="J100" s="579">
        <f t="shared" ref="J100" si="22">J73*0.3</f>
        <v>4.0800000000000003E-2</v>
      </c>
      <c r="K100" s="40">
        <f>IFERROR(VLOOKUP(E100,SINAPI!A:D,4,0),"")</f>
        <v>503.88</v>
      </c>
      <c r="L100" s="580">
        <f t="shared" si="21"/>
        <v>20.56</v>
      </c>
      <c r="M100" s="264"/>
      <c r="N100" s="562"/>
      <c r="O100" s="562"/>
      <c r="P100" s="562"/>
      <c r="Q100" s="562"/>
    </row>
    <row r="101" spans="1:17" ht="15" hidden="1" customHeight="1" outlineLevel="1" x14ac:dyDescent="0.25">
      <c r="A101" s="660" t="b">
        <f t="shared" si="17"/>
        <v>0</v>
      </c>
      <c r="C101" s="35">
        <v>4</v>
      </c>
      <c r="D101" s="576" t="s">
        <v>2747</v>
      </c>
      <c r="E101" s="576">
        <v>88316</v>
      </c>
      <c r="F101" s="577" t="s">
        <v>2740</v>
      </c>
      <c r="G101" s="37" t="str">
        <f>IFERROR(VLOOKUP(E101,SINAPI!A:D,2,0),"")</f>
        <v>SERVENTE COM ENCARGOS COMPLEMENTARES</v>
      </c>
      <c r="H101" s="578"/>
      <c r="I101" s="40" t="str">
        <f>IFERROR(VLOOKUP(E101,SINAPI!A:D,3,0),"")</f>
        <v>H</v>
      </c>
      <c r="J101" s="579">
        <v>2</v>
      </c>
      <c r="K101" s="40">
        <f>IFERROR(VLOOKUP(E101,SINAPI!A:D,4,0),"")</f>
        <v>20.82</v>
      </c>
      <c r="L101" s="580">
        <f t="shared" si="20"/>
        <v>41.64</v>
      </c>
      <c r="M101" s="264"/>
      <c r="N101" s="562"/>
      <c r="O101" s="562"/>
      <c r="P101" s="562"/>
      <c r="Q101" s="562"/>
    </row>
    <row r="102" spans="1:17" ht="15" hidden="1" customHeight="1" outlineLevel="1" x14ac:dyDescent="0.25">
      <c r="A102" s="660" t="b">
        <f t="shared" si="17"/>
        <v>0</v>
      </c>
      <c r="C102" s="35">
        <v>5</v>
      </c>
      <c r="D102" s="576" t="s">
        <v>2747</v>
      </c>
      <c r="E102" s="576">
        <v>88309</v>
      </c>
      <c r="F102" s="577" t="s">
        <v>2751</v>
      </c>
      <c r="G102" s="37" t="str">
        <f>IFERROR(VLOOKUP(E102,SINAPI!A:D,2,0),"")</f>
        <v>PEDREIRO COM ENCARGOS COMPLEMENTARES</v>
      </c>
      <c r="H102" s="578"/>
      <c r="I102" s="40" t="str">
        <f>IFERROR(VLOOKUP(E102,SINAPI!A:D,3,0),"")</f>
        <v>H</v>
      </c>
      <c r="J102" s="579">
        <v>2</v>
      </c>
      <c r="K102" s="40">
        <f>IFERROR(VLOOKUP(E102,SINAPI!A:D,4,0),"")</f>
        <v>30.44</v>
      </c>
      <c r="L102" s="580">
        <f t="shared" si="20"/>
        <v>60.88</v>
      </c>
      <c r="M102" s="264"/>
      <c r="N102" s="562"/>
      <c r="O102" s="562"/>
      <c r="P102" s="562"/>
      <c r="Q102" s="562"/>
    </row>
    <row r="103" spans="1:17" ht="15" hidden="1" customHeight="1" outlineLevel="1" x14ac:dyDescent="0.25">
      <c r="A103" s="660" t="b">
        <f t="shared" si="17"/>
        <v>0</v>
      </c>
      <c r="C103" s="35">
        <v>6</v>
      </c>
      <c r="D103" s="550" t="s">
        <v>2747</v>
      </c>
      <c r="E103" s="550">
        <v>103670</v>
      </c>
      <c r="F103" s="552" t="s">
        <v>2761</v>
      </c>
      <c r="G103" s="37" t="str">
        <f>IFERROR(VLOOKUP(E103,SINAPI!A:D,2,0),"")</f>
        <v>LANÇAMENTO COM USO DE BALDES, ADENSAMENTO E ACABAMENTO DE CONCRETO EM ESTRUTURAS. AF_02/2022</v>
      </c>
      <c r="H103" s="578"/>
      <c r="I103" s="40" t="str">
        <f>IFERROR(VLOOKUP(E103,SINAPI!A:D,3,0),"")</f>
        <v>M3</v>
      </c>
      <c r="J103" s="579">
        <f>J97</f>
        <v>0.67</v>
      </c>
      <c r="K103" s="40">
        <f>IFERROR(VLOOKUP(E103,SINAPI!A:D,4,0),"")</f>
        <v>301.64</v>
      </c>
      <c r="L103" s="580">
        <f t="shared" si="20"/>
        <v>202.1</v>
      </c>
      <c r="M103" s="264"/>
      <c r="N103" s="562"/>
      <c r="O103" s="562"/>
      <c r="P103" s="562"/>
      <c r="Q103" s="562"/>
    </row>
    <row r="104" spans="1:17" ht="15" hidden="1" customHeight="1" outlineLevel="1" thickBot="1" x14ac:dyDescent="0.3">
      <c r="A104" s="660" t="b">
        <f t="shared" si="17"/>
        <v>0</v>
      </c>
      <c r="C104" s="230" t="s">
        <v>96</v>
      </c>
      <c r="D104" s="231"/>
      <c r="E104" s="231"/>
      <c r="F104" s="231"/>
      <c r="G104" s="231"/>
      <c r="H104" s="231"/>
      <c r="I104" s="231"/>
      <c r="J104" s="231"/>
      <c r="K104" s="232"/>
      <c r="L104" s="581">
        <f>SUM(L96:L103)</f>
        <v>1625.3</v>
      </c>
      <c r="M104" s="261"/>
      <c r="N104" s="562" t="str">
        <f>C95</f>
        <v>COMP 10</v>
      </c>
      <c r="O104" s="582">
        <f>L104</f>
        <v>1625.3</v>
      </c>
      <c r="P104" s="562"/>
      <c r="Q104" s="562"/>
    </row>
    <row r="105" spans="1:17" ht="15" hidden="1" customHeight="1" outlineLevel="1" x14ac:dyDescent="0.25">
      <c r="A105" s="699" t="b">
        <f>_xlfn.XOR(C105=$S$2,C105=$S$3,C105=$S$4,C105=$S$5,C105=$S$6,C105=$S$7,C105=$S$8,C105=$S$9,C105=$S$10,C105=$S$11,C105=$S$12,C105=$S$13,C105=$S$14,C105=$S$15,C105=$S$16,C105=$S$17,C105=$S$18,C105=$S$19,C105=$S$20,C105=$S$21,C105=$S$22,C105=$S$23,C105=$S$24,C105=$S$25,C105=$S$26,C105=$S$27,C105=$S$28,C105=$S$29,C105=$S$30,C105=$S$316,C105=$S$32,C105=$S$33,C105=$S$34,C105=$S$35,C105=$S$36,C105=$S$37,C105=$S$38,C105=$S$39,C105=$S$40,C105=$S$41,C105=$S$42,)</f>
        <v>0</v>
      </c>
      <c r="C105" s="569" t="s">
        <v>142</v>
      </c>
      <c r="D105" s="570"/>
      <c r="E105" s="570" t="str">
        <f>IFERROR(VLOOKUP(C105,SINAPI!A:D,2,0),"")</f>
        <v>Dissipador de energia para d= 40cm</v>
      </c>
      <c r="F105" s="570"/>
      <c r="G105" s="217"/>
      <c r="H105" s="571"/>
      <c r="I105" s="572" t="str">
        <f>IFERROR(VLOOKUP(C105,SINAPI!A:D,3,0),"")</f>
        <v>un</v>
      </c>
      <c r="J105" s="573"/>
      <c r="K105" s="573" t="s">
        <v>2603</v>
      </c>
      <c r="L105" s="574" t="str">
        <f>IF(J105="","",ROUND(J105*#REF!,2))</f>
        <v/>
      </c>
      <c r="M105" s="575"/>
      <c r="N105" s="562"/>
      <c r="O105" s="562"/>
      <c r="P105" s="562"/>
      <c r="Q105" s="562"/>
    </row>
    <row r="106" spans="1:17" ht="15" hidden="1" customHeight="1" outlineLevel="1" x14ac:dyDescent="0.25">
      <c r="A106" s="660" t="b">
        <f t="shared" si="17"/>
        <v>0</v>
      </c>
      <c r="C106" s="35">
        <v>1</v>
      </c>
      <c r="D106" s="550" t="s">
        <v>2748</v>
      </c>
      <c r="E106" s="550">
        <v>38404</v>
      </c>
      <c r="F106" s="552" t="s">
        <v>3193</v>
      </c>
      <c r="G106" s="37" t="str">
        <f>IFERROR(VLOOKUP(E106,SINAPI!A:D,2,0),"")</f>
        <v xml:space="preserve">CONCRETO USINADO BOMBEAVEL, CLASSE DE RESISTENCIA C20, COM BRITA 0 E 1, SLUMP = 130 +/- 20 MM, EXCLUI SERVICO DE BOMBEAMENTO (NBR 8953)                                                                                                                                                                                                                                                                                                                                                                   </v>
      </c>
      <c r="H106" s="578"/>
      <c r="I106" s="40" t="str">
        <f>IFERROR(VLOOKUP(E106,SINAPI!A:D,3,0),"")</f>
        <v xml:space="preserve">M3    </v>
      </c>
      <c r="J106" s="579">
        <v>0.36899999999999999</v>
      </c>
      <c r="K106" s="40">
        <f>IFERROR(VLOOKUP(E106,SINAPI!A:D,4,0),"")</f>
        <v>495.11</v>
      </c>
      <c r="L106" s="580">
        <f>IF(J106="","",ROUND(J106*K106,2))</f>
        <v>182.7</v>
      </c>
      <c r="M106" s="264"/>
      <c r="N106" s="562"/>
      <c r="O106" s="562"/>
      <c r="P106" s="562"/>
      <c r="Q106" s="562"/>
    </row>
    <row r="107" spans="1:17" ht="15" hidden="1" customHeight="1" outlineLevel="1" x14ac:dyDescent="0.25">
      <c r="A107" s="660" t="b">
        <f t="shared" si="17"/>
        <v>0</v>
      </c>
      <c r="C107" s="35">
        <v>2</v>
      </c>
      <c r="D107" s="576" t="s">
        <v>2747</v>
      </c>
      <c r="E107" s="576">
        <v>96536</v>
      </c>
      <c r="F107" s="577" t="s">
        <v>2703</v>
      </c>
      <c r="G107" s="37" t="str">
        <f>IFERROR(VLOOKUP(E107,SINAPI!A:D,2,0),"")</f>
        <v>FABRICAÇÃO, MONTAGEM E DESMONTAGEM DE FÔRMA PARA VIGA BALDRAME, EM MADEIRA SERRADA, E=25 MM, 4 UTILIZAÇÕES. AF_06/2017</v>
      </c>
      <c r="H107" s="578"/>
      <c r="I107" s="40" t="str">
        <f>IFERROR(VLOOKUP(E107,SINAPI!A:D,3,0),"")</f>
        <v>M2</v>
      </c>
      <c r="J107" s="579">
        <v>2.742</v>
      </c>
      <c r="K107" s="40">
        <f>IFERROR(VLOOKUP(E107,SINAPI!A:D,4,0),"")</f>
        <v>91.89</v>
      </c>
      <c r="L107" s="580">
        <f t="shared" ref="L107:L113" si="23">IF(J107="","",ROUND(J107*K107,2))</f>
        <v>251.96</v>
      </c>
      <c r="M107" s="264">
        <v>0.22</v>
      </c>
      <c r="N107" s="562"/>
      <c r="O107" s="562"/>
      <c r="P107" s="562"/>
      <c r="Q107" s="562"/>
    </row>
    <row r="108" spans="1:17" ht="15" hidden="1" customHeight="1" outlineLevel="1" x14ac:dyDescent="0.25">
      <c r="A108" s="660" t="b">
        <f t="shared" si="17"/>
        <v>0</v>
      </c>
      <c r="C108" s="35">
        <v>3</v>
      </c>
      <c r="D108" s="576" t="s">
        <v>2747</v>
      </c>
      <c r="E108" s="576">
        <v>4730</v>
      </c>
      <c r="F108" s="577" t="s">
        <v>2752</v>
      </c>
      <c r="G108" s="37" t="str">
        <f>IFERROR(VLOOKUP(E108,SINAPI!A:D,2,0),"")</f>
        <v xml:space="preserve">PEDRA DE MAO OU PEDRA RACHAO PARA ARRIMO/FUNDACAO (POSTO PEDREIRA/FORNECEDOR, SEM FRETE)                                                                                                                                                                                                                                                                                                                                                                                                                  </v>
      </c>
      <c r="H108" s="578"/>
      <c r="I108" s="40" t="str">
        <f>IFERROR(VLOOKUP(E108,SINAPI!A:D,3,0),"")</f>
        <v xml:space="preserve">M3    </v>
      </c>
      <c r="J108" s="579">
        <f>M108*$M$107</f>
        <v>0.24199999999999999</v>
      </c>
      <c r="K108" s="40">
        <f>IFERROR(VLOOKUP(E108,SINAPI!A:D,4,0),"")</f>
        <v>95.84</v>
      </c>
      <c r="L108" s="580">
        <f t="shared" si="23"/>
        <v>23.19</v>
      </c>
      <c r="M108" s="264">
        <v>1.1000000000000001</v>
      </c>
      <c r="N108" s="562"/>
      <c r="O108" s="562"/>
      <c r="P108" s="562"/>
      <c r="Q108" s="562"/>
    </row>
    <row r="109" spans="1:17" ht="15" hidden="1" customHeight="1" outlineLevel="1" x14ac:dyDescent="0.25">
      <c r="A109" s="660" t="b">
        <f t="shared" si="17"/>
        <v>0</v>
      </c>
      <c r="C109" s="35">
        <v>4</v>
      </c>
      <c r="D109" s="576" t="s">
        <v>2747</v>
      </c>
      <c r="E109" s="576">
        <v>87307</v>
      </c>
      <c r="F109" s="577" t="s">
        <v>2753</v>
      </c>
      <c r="G109" s="37" t="str">
        <f>IFERROR(VLOOKUP(E109,SINAPI!A:D,2,0),"")</f>
        <v>ARGAMASSA TRAÇO 1:6 (EM VOLUME DE CIMENTO E AREIA MÉDIA ÚMIDA) PARA CONTRAPISO, PREPARO MECÂNICO COM BETONEIRA 400 L. AF_08/2019</v>
      </c>
      <c r="H109" s="578"/>
      <c r="I109" s="40" t="str">
        <f>IFERROR(VLOOKUP(E109,SINAPI!A:D,3,0),"")</f>
        <v>M3</v>
      </c>
      <c r="J109" s="579">
        <f>M109*$M$107</f>
        <v>3.3000000000000002E-2</v>
      </c>
      <c r="K109" s="40">
        <f>IFERROR(VLOOKUP(E109,SINAPI!A:D,4,0),"")</f>
        <v>577.58000000000004</v>
      </c>
      <c r="L109" s="580">
        <f t="shared" ref="L109" si="24">IF(J109="","",ROUND(J109*K109,2))</f>
        <v>19.059999999999999</v>
      </c>
      <c r="M109" s="264">
        <v>0.15</v>
      </c>
      <c r="N109" s="562"/>
      <c r="O109" s="562"/>
      <c r="P109" s="562"/>
      <c r="Q109" s="562"/>
    </row>
    <row r="110" spans="1:17" ht="15" hidden="1" customHeight="1" outlineLevel="1" x14ac:dyDescent="0.25">
      <c r="A110" s="660" t="b">
        <f t="shared" si="17"/>
        <v>0</v>
      </c>
      <c r="C110" s="35">
        <v>5</v>
      </c>
      <c r="D110" s="576" t="s">
        <v>2747</v>
      </c>
      <c r="E110" s="576">
        <v>93358</v>
      </c>
      <c r="F110" s="577" t="s">
        <v>2706</v>
      </c>
      <c r="G110" s="37" t="str">
        <f>IFERROR(VLOOKUP(E110,SINAPI!A:D,2,0),"")</f>
        <v>ESCAVAÇÃO MANUAL DE VALA COM PROFUNDIDADE MENOR OU IGUAL A 1,30 M. AF_02/2021</v>
      </c>
      <c r="H110" s="578"/>
      <c r="I110" s="40" t="str">
        <f>IFERROR(VLOOKUP(E110,SINAPI!A:D,3,0),"")</f>
        <v>M3</v>
      </c>
      <c r="J110" s="579">
        <v>0.311</v>
      </c>
      <c r="K110" s="40">
        <f>IFERROR(VLOOKUP(E110,SINAPI!A:D,4,0),"")</f>
        <v>82.36</v>
      </c>
      <c r="L110" s="580">
        <f t="shared" si="23"/>
        <v>25.61</v>
      </c>
      <c r="M110" s="264"/>
      <c r="N110" s="562"/>
      <c r="O110" s="562"/>
      <c r="P110" s="562"/>
      <c r="Q110" s="562"/>
    </row>
    <row r="111" spans="1:17" ht="15" hidden="1" customHeight="1" outlineLevel="1" x14ac:dyDescent="0.25">
      <c r="A111" s="660" t="b">
        <f t="shared" si="17"/>
        <v>0</v>
      </c>
      <c r="C111" s="35">
        <v>6</v>
      </c>
      <c r="D111" s="576" t="s">
        <v>2747</v>
      </c>
      <c r="E111" s="576">
        <v>88316</v>
      </c>
      <c r="F111" s="577" t="s">
        <v>2740</v>
      </c>
      <c r="G111" s="37" t="str">
        <f>IFERROR(VLOOKUP(E111,SINAPI!A:D,2,0),"")</f>
        <v>SERVENTE COM ENCARGOS COMPLEMENTARES</v>
      </c>
      <c r="H111" s="578"/>
      <c r="I111" s="40" t="str">
        <f>IFERROR(VLOOKUP(E111,SINAPI!A:D,3,0),"")</f>
        <v>H</v>
      </c>
      <c r="J111" s="579">
        <f t="shared" ref="J111:J112" si="25">M111*$M$107</f>
        <v>1.5840000000000001</v>
      </c>
      <c r="K111" s="40">
        <f>IFERROR(VLOOKUP(E111,SINAPI!A:D,4,0),"")</f>
        <v>20.82</v>
      </c>
      <c r="L111" s="580">
        <f t="shared" si="23"/>
        <v>32.979999999999997</v>
      </c>
      <c r="M111" s="264">
        <v>7.2</v>
      </c>
      <c r="N111" s="562"/>
      <c r="O111" s="562"/>
      <c r="P111" s="562"/>
      <c r="Q111" s="562"/>
    </row>
    <row r="112" spans="1:17" ht="15" hidden="1" customHeight="1" outlineLevel="1" x14ac:dyDescent="0.25">
      <c r="A112" s="660" t="b">
        <f t="shared" si="17"/>
        <v>0</v>
      </c>
      <c r="C112" s="35">
        <v>7</v>
      </c>
      <c r="D112" s="576" t="s">
        <v>2747</v>
      </c>
      <c r="E112" s="576">
        <v>88309</v>
      </c>
      <c r="F112" s="577" t="s">
        <v>2751</v>
      </c>
      <c r="G112" s="37" t="str">
        <f>IFERROR(VLOOKUP(E112,SINAPI!A:D,2,0),"")</f>
        <v>PEDREIRO COM ENCARGOS COMPLEMENTARES</v>
      </c>
      <c r="H112" s="578"/>
      <c r="I112" s="40" t="str">
        <f>IFERROR(VLOOKUP(E112,SINAPI!A:D,3,0),"")</f>
        <v>H</v>
      </c>
      <c r="J112" s="579">
        <f t="shared" si="25"/>
        <v>2.2440000000000002</v>
      </c>
      <c r="K112" s="40">
        <f>IFERROR(VLOOKUP(E112,SINAPI!A:D,4,0),"")</f>
        <v>30.44</v>
      </c>
      <c r="L112" s="580">
        <f t="shared" si="23"/>
        <v>68.31</v>
      </c>
      <c r="M112" s="264">
        <v>10.199999999999999</v>
      </c>
      <c r="N112" s="562"/>
      <c r="O112" s="562"/>
      <c r="P112" s="562"/>
      <c r="Q112" s="562"/>
    </row>
    <row r="113" spans="1:17" ht="15" hidden="1" customHeight="1" outlineLevel="1" x14ac:dyDescent="0.25">
      <c r="A113" s="660" t="b">
        <f t="shared" si="17"/>
        <v>0</v>
      </c>
      <c r="C113" s="35">
        <v>8</v>
      </c>
      <c r="D113" s="550" t="s">
        <v>2747</v>
      </c>
      <c r="E113" s="550">
        <v>103670</v>
      </c>
      <c r="F113" s="552" t="s">
        <v>2761</v>
      </c>
      <c r="G113" s="37" t="str">
        <f>IFERROR(VLOOKUP(E113,SINAPI!A:D,2,0),"")</f>
        <v>LANÇAMENTO COM USO DE BALDES, ADENSAMENTO E ACABAMENTO DE CONCRETO EM ESTRUTURAS. AF_02/2022</v>
      </c>
      <c r="H113" s="578"/>
      <c r="I113" s="40" t="str">
        <f>IFERROR(VLOOKUP(E113,SINAPI!A:D,3,0),"")</f>
        <v>M3</v>
      </c>
      <c r="J113" s="579">
        <f>J106</f>
        <v>0.36899999999999999</v>
      </c>
      <c r="K113" s="40">
        <f>IFERROR(VLOOKUP(E113,SINAPI!A:D,4,0),"")</f>
        <v>301.64</v>
      </c>
      <c r="L113" s="580">
        <f t="shared" si="23"/>
        <v>111.31</v>
      </c>
      <c r="M113" s="264"/>
      <c r="N113" s="562"/>
      <c r="O113" s="562"/>
      <c r="P113" s="562"/>
      <c r="Q113" s="562"/>
    </row>
    <row r="114" spans="1:17" ht="15" hidden="1" customHeight="1" outlineLevel="1" thickBot="1" x14ac:dyDescent="0.3">
      <c r="A114" s="660" t="b">
        <f t="shared" si="17"/>
        <v>0</v>
      </c>
      <c r="C114" s="230" t="s">
        <v>96</v>
      </c>
      <c r="D114" s="231"/>
      <c r="E114" s="231"/>
      <c r="F114" s="231"/>
      <c r="G114" s="231"/>
      <c r="H114" s="231"/>
      <c r="I114" s="231"/>
      <c r="J114" s="231"/>
      <c r="K114" s="232"/>
      <c r="L114" s="581">
        <f>SUM(L106:L113)</f>
        <v>715.12</v>
      </c>
      <c r="M114" s="261"/>
      <c r="N114" s="562" t="str">
        <f>C105</f>
        <v>COMP 11</v>
      </c>
      <c r="O114" s="582">
        <f>L114</f>
        <v>715.12</v>
      </c>
      <c r="P114" s="562"/>
      <c r="Q114" s="562"/>
    </row>
    <row r="115" spans="1:17" ht="15" hidden="1" customHeight="1" outlineLevel="1" x14ac:dyDescent="0.25">
      <c r="A115" s="699" t="b">
        <f>_xlfn.XOR(C115=$S$2,C115=$S$3,C115=$S$4,C115=$S$5,C115=$S$6,C115=$S$7,C115=$S$8,C115=$S$9,C115=$S$10,C115=$S$11,C115=$S$12,C115=$S$13,C115=$S$14,C115=$S$15,C115=$S$16,C115=$S$17,C115=$S$18,C115=$S$19,C115=$S$20,C115=$S$21,C115=$S$22,C115=$S$23,C115=$S$24,C115=$S$25,C115=$S$26,C115=$S$27,C115=$S$28,C115=$S$29,C115=$S$30,C115=$S$316,C115=$S$32,C115=$S$33,C115=$S$34,C115=$S$35,C115=$S$36,C115=$S$37,C115=$S$38,C115=$S$39,C115=$S$40,C115=$S$41,C115=$S$42,)</f>
        <v>0</v>
      </c>
      <c r="C115" s="569" t="s">
        <v>26</v>
      </c>
      <c r="D115" s="570"/>
      <c r="E115" s="570" t="str">
        <f>IFERROR(VLOOKUP(C115,SINAPI!A:D,2,0),"")</f>
        <v>Dissipador de energia para d= 60cm</v>
      </c>
      <c r="F115" s="570"/>
      <c r="G115" s="217"/>
      <c r="H115" s="571"/>
      <c r="I115" s="572" t="str">
        <f>IFERROR(VLOOKUP(C115,SINAPI!A:D,3,0),"")</f>
        <v>un</v>
      </c>
      <c r="J115" s="573"/>
      <c r="K115" s="573" t="s">
        <v>2603</v>
      </c>
      <c r="L115" s="574" t="str">
        <f>IF(J115="","",ROUND(J115*#REF!,2))</f>
        <v/>
      </c>
      <c r="M115" s="575"/>
      <c r="N115" s="562"/>
      <c r="O115" s="562"/>
      <c r="P115" s="562"/>
      <c r="Q115" s="562"/>
    </row>
    <row r="116" spans="1:17" ht="15" hidden="1" customHeight="1" outlineLevel="1" x14ac:dyDescent="0.25">
      <c r="A116" s="660" t="b">
        <f t="shared" si="17"/>
        <v>0</v>
      </c>
      <c r="C116" s="35">
        <v>1</v>
      </c>
      <c r="D116" s="550" t="s">
        <v>2748</v>
      </c>
      <c r="E116" s="550">
        <v>38404</v>
      </c>
      <c r="F116" s="552" t="s">
        <v>3193</v>
      </c>
      <c r="G116" s="37" t="str">
        <f>IFERROR(VLOOKUP(E116,SINAPI!A:D,2,0),"")</f>
        <v xml:space="preserve">CONCRETO USINADO BOMBEAVEL, CLASSE DE RESISTENCIA C20, COM BRITA 0 E 1, SLUMP = 130 +/- 20 MM, EXCLUI SERVICO DE BOMBEAMENTO (NBR 8953)                                                                                                                                                                                                                                                                                                                                                                   </v>
      </c>
      <c r="H116" s="578"/>
      <c r="I116" s="40" t="str">
        <f>IFERROR(VLOOKUP(E116,SINAPI!A:D,3,0),"")</f>
        <v xml:space="preserve">M3    </v>
      </c>
      <c r="J116" s="579">
        <v>0.65180000000000005</v>
      </c>
      <c r="K116" s="40">
        <f>IFERROR(VLOOKUP(E116,SINAPI!A:D,4,0),"")</f>
        <v>495.11</v>
      </c>
      <c r="L116" s="580">
        <f>IF(J116="","",ROUND(J116*K116,2))</f>
        <v>322.70999999999998</v>
      </c>
      <c r="M116" s="264"/>
      <c r="N116" s="562"/>
      <c r="O116" s="562"/>
      <c r="P116" s="562"/>
      <c r="Q116" s="562"/>
    </row>
    <row r="117" spans="1:17" ht="15" hidden="1" customHeight="1" outlineLevel="1" x14ac:dyDescent="0.25">
      <c r="A117" s="660" t="b">
        <f t="shared" si="17"/>
        <v>0</v>
      </c>
      <c r="C117" s="35">
        <v>2</v>
      </c>
      <c r="D117" s="576" t="s">
        <v>2747</v>
      </c>
      <c r="E117" s="576">
        <v>96536</v>
      </c>
      <c r="F117" s="577" t="s">
        <v>2703</v>
      </c>
      <c r="G117" s="37" t="str">
        <f>IFERROR(VLOOKUP(E117,SINAPI!A:D,2,0),"")</f>
        <v>FABRICAÇÃO, MONTAGEM E DESMONTAGEM DE FÔRMA PARA VIGA BALDRAME, EM MADEIRA SERRADA, E=25 MM, 4 UTILIZAÇÕES. AF_06/2017</v>
      </c>
      <c r="H117" s="578"/>
      <c r="I117" s="40" t="str">
        <f>IFERROR(VLOOKUP(E117,SINAPI!A:D,3,0),"")</f>
        <v>M2</v>
      </c>
      <c r="J117" s="579">
        <v>3.63</v>
      </c>
      <c r="K117" s="40">
        <f>IFERROR(VLOOKUP(E117,SINAPI!A:D,4,0),"")</f>
        <v>91.89</v>
      </c>
      <c r="L117" s="580">
        <f t="shared" ref="L117:L123" si="26">IF(J117="","",ROUND(J117*K117,2))</f>
        <v>333.56</v>
      </c>
      <c r="M117" s="264">
        <v>0.47</v>
      </c>
      <c r="N117" s="562"/>
      <c r="O117" s="562"/>
      <c r="P117" s="562"/>
      <c r="Q117" s="562"/>
    </row>
    <row r="118" spans="1:17" ht="15" hidden="1" customHeight="1" outlineLevel="1" x14ac:dyDescent="0.25">
      <c r="A118" s="660" t="b">
        <f t="shared" si="17"/>
        <v>0</v>
      </c>
      <c r="C118" s="35">
        <v>3</v>
      </c>
      <c r="D118" s="576" t="s">
        <v>2747</v>
      </c>
      <c r="E118" s="576">
        <v>4730</v>
      </c>
      <c r="F118" s="577" t="s">
        <v>2752</v>
      </c>
      <c r="G118" s="37" t="str">
        <f>IFERROR(VLOOKUP(E118,SINAPI!A:D,2,0),"")</f>
        <v xml:space="preserve">PEDRA DE MAO OU PEDRA RACHAO PARA ARRIMO/FUNDACAO (POSTO PEDREIRA/FORNECEDOR, SEM FRETE)                                                                                                                                                                                                                                                                                                                                                                                                                  </v>
      </c>
      <c r="H118" s="578"/>
      <c r="I118" s="40" t="str">
        <f>IFERROR(VLOOKUP(E118,SINAPI!A:D,3,0),"")</f>
        <v xml:space="preserve">M3    </v>
      </c>
      <c r="J118" s="579">
        <f>M118*$M$117</f>
        <v>0.51700000000000002</v>
      </c>
      <c r="K118" s="40">
        <f>IFERROR(VLOOKUP(E118,SINAPI!A:D,4,0),"")</f>
        <v>95.84</v>
      </c>
      <c r="L118" s="580">
        <f t="shared" si="26"/>
        <v>49.55</v>
      </c>
      <c r="M118" s="264">
        <v>1.1000000000000001</v>
      </c>
      <c r="N118" s="562"/>
      <c r="O118" s="562"/>
      <c r="P118" s="562"/>
      <c r="Q118" s="562"/>
    </row>
    <row r="119" spans="1:17" ht="15" hidden="1" customHeight="1" outlineLevel="1" x14ac:dyDescent="0.25">
      <c r="A119" s="660" t="b">
        <f t="shared" si="17"/>
        <v>0</v>
      </c>
      <c r="C119" s="35">
        <v>4</v>
      </c>
      <c r="D119" s="576" t="s">
        <v>2747</v>
      </c>
      <c r="E119" s="576">
        <v>87307</v>
      </c>
      <c r="F119" s="577" t="s">
        <v>2753</v>
      </c>
      <c r="G119" s="37" t="str">
        <f>IFERROR(VLOOKUP(E119,SINAPI!A:D,2,0),"")</f>
        <v>ARGAMASSA TRAÇO 1:6 (EM VOLUME DE CIMENTO E AREIA MÉDIA ÚMIDA) PARA CONTRAPISO, PREPARO MECÂNICO COM BETONEIRA 400 L. AF_08/2019</v>
      </c>
      <c r="H119" s="578"/>
      <c r="I119" s="40" t="str">
        <f>IFERROR(VLOOKUP(E119,SINAPI!A:D,3,0),"")</f>
        <v>M3</v>
      </c>
      <c r="J119" s="579">
        <f>M119*$M$117</f>
        <v>7.0499999999999993E-2</v>
      </c>
      <c r="K119" s="40">
        <f>IFERROR(VLOOKUP(E119,SINAPI!A:D,4,0),"")</f>
        <v>577.58000000000004</v>
      </c>
      <c r="L119" s="580">
        <f t="shared" si="26"/>
        <v>40.72</v>
      </c>
      <c r="M119" s="264">
        <v>0.15</v>
      </c>
      <c r="N119" s="562"/>
      <c r="O119" s="562"/>
      <c r="P119" s="562"/>
      <c r="Q119" s="562"/>
    </row>
    <row r="120" spans="1:17" ht="15" hidden="1" customHeight="1" outlineLevel="1" x14ac:dyDescent="0.25">
      <c r="A120" s="660" t="b">
        <f t="shared" si="17"/>
        <v>0</v>
      </c>
      <c r="C120" s="35">
        <v>5</v>
      </c>
      <c r="D120" s="576" t="s">
        <v>2747</v>
      </c>
      <c r="E120" s="576">
        <v>93358</v>
      </c>
      <c r="F120" s="577" t="s">
        <v>2706</v>
      </c>
      <c r="G120" s="37" t="str">
        <f>IFERROR(VLOOKUP(E120,SINAPI!A:D,2,0),"")</f>
        <v>ESCAVAÇÃO MANUAL DE VALA COM PROFUNDIDADE MENOR OU IGUAL A 1,30 M. AF_02/2021</v>
      </c>
      <c r="H120" s="578"/>
      <c r="I120" s="40" t="str">
        <f>IFERROR(VLOOKUP(E120,SINAPI!A:D,3,0),"")</f>
        <v>M3</v>
      </c>
      <c r="J120" s="579">
        <v>0.65</v>
      </c>
      <c r="K120" s="40">
        <f>IFERROR(VLOOKUP(E120,SINAPI!A:D,4,0),"")</f>
        <v>82.36</v>
      </c>
      <c r="L120" s="580">
        <f t="shared" si="26"/>
        <v>53.53</v>
      </c>
      <c r="M120" s="264"/>
      <c r="N120" s="562"/>
      <c r="O120" s="562"/>
      <c r="P120" s="562"/>
      <c r="Q120" s="562"/>
    </row>
    <row r="121" spans="1:17" ht="15" hidden="1" customHeight="1" outlineLevel="1" x14ac:dyDescent="0.25">
      <c r="A121" s="660" t="b">
        <f t="shared" si="17"/>
        <v>0</v>
      </c>
      <c r="C121" s="35">
        <v>6</v>
      </c>
      <c r="D121" s="576" t="s">
        <v>2747</v>
      </c>
      <c r="E121" s="576">
        <v>88316</v>
      </c>
      <c r="F121" s="577" t="s">
        <v>2740</v>
      </c>
      <c r="G121" s="37" t="str">
        <f>IFERROR(VLOOKUP(E121,SINAPI!A:D,2,0),"")</f>
        <v>SERVENTE COM ENCARGOS COMPLEMENTARES</v>
      </c>
      <c r="H121" s="578"/>
      <c r="I121" s="40" t="str">
        <f>IFERROR(VLOOKUP(E121,SINAPI!A:D,3,0),"")</f>
        <v>H</v>
      </c>
      <c r="J121" s="579">
        <f>M121*$M$117</f>
        <v>3.3839999999999999</v>
      </c>
      <c r="K121" s="40">
        <f>IFERROR(VLOOKUP(E121,SINAPI!A:D,4,0),"")</f>
        <v>20.82</v>
      </c>
      <c r="L121" s="580">
        <f t="shared" si="26"/>
        <v>70.45</v>
      </c>
      <c r="M121" s="264">
        <v>7.2</v>
      </c>
      <c r="N121" s="562"/>
      <c r="O121" s="562"/>
      <c r="P121" s="562"/>
      <c r="Q121" s="562"/>
    </row>
    <row r="122" spans="1:17" ht="15" hidden="1" customHeight="1" outlineLevel="1" x14ac:dyDescent="0.25">
      <c r="A122" s="660" t="b">
        <f t="shared" si="17"/>
        <v>0</v>
      </c>
      <c r="C122" s="35">
        <v>7</v>
      </c>
      <c r="D122" s="576" t="s">
        <v>2747</v>
      </c>
      <c r="E122" s="576">
        <v>88309</v>
      </c>
      <c r="F122" s="577" t="s">
        <v>2751</v>
      </c>
      <c r="G122" s="37" t="str">
        <f>IFERROR(VLOOKUP(E122,SINAPI!A:D,2,0),"")</f>
        <v>PEDREIRO COM ENCARGOS COMPLEMENTARES</v>
      </c>
      <c r="H122" s="578"/>
      <c r="I122" s="40" t="str">
        <f>IFERROR(VLOOKUP(E122,SINAPI!A:D,3,0),"")</f>
        <v>H</v>
      </c>
      <c r="J122" s="579">
        <f t="shared" ref="J122" si="27">M122*$M$117</f>
        <v>4.7939999999999996</v>
      </c>
      <c r="K122" s="40">
        <f>IFERROR(VLOOKUP(E122,SINAPI!A:D,4,0),"")</f>
        <v>30.44</v>
      </c>
      <c r="L122" s="580">
        <f t="shared" si="26"/>
        <v>145.93</v>
      </c>
      <c r="M122" s="264">
        <v>10.199999999999999</v>
      </c>
      <c r="N122" s="562"/>
      <c r="O122" s="562"/>
      <c r="P122" s="562"/>
      <c r="Q122" s="562"/>
    </row>
    <row r="123" spans="1:17" ht="15" hidden="1" customHeight="1" outlineLevel="1" x14ac:dyDescent="0.25">
      <c r="A123" s="660" t="b">
        <f t="shared" si="17"/>
        <v>0</v>
      </c>
      <c r="C123" s="35">
        <v>8</v>
      </c>
      <c r="D123" s="550" t="s">
        <v>2747</v>
      </c>
      <c r="E123" s="550">
        <v>103670</v>
      </c>
      <c r="F123" s="552" t="s">
        <v>2761</v>
      </c>
      <c r="G123" s="37" t="str">
        <f>IFERROR(VLOOKUP(E123,SINAPI!A:D,2,0),"")</f>
        <v>LANÇAMENTO COM USO DE BALDES, ADENSAMENTO E ACABAMENTO DE CONCRETO EM ESTRUTURAS. AF_02/2022</v>
      </c>
      <c r="H123" s="578"/>
      <c r="I123" s="40" t="str">
        <f>IFERROR(VLOOKUP(E123,SINAPI!A:D,3,0),"")</f>
        <v>M3</v>
      </c>
      <c r="J123" s="579">
        <f>J116</f>
        <v>0.65180000000000005</v>
      </c>
      <c r="K123" s="40">
        <f>IFERROR(VLOOKUP(E123,SINAPI!A:D,4,0),"")</f>
        <v>301.64</v>
      </c>
      <c r="L123" s="580">
        <f t="shared" si="26"/>
        <v>196.61</v>
      </c>
      <c r="M123" s="264"/>
      <c r="N123" s="562"/>
      <c r="O123" s="562"/>
      <c r="P123" s="562"/>
      <c r="Q123" s="562"/>
    </row>
    <row r="124" spans="1:17" ht="15" hidden="1" customHeight="1" outlineLevel="1" thickBot="1" x14ac:dyDescent="0.3">
      <c r="A124" s="660" t="b">
        <f t="shared" si="17"/>
        <v>0</v>
      </c>
      <c r="C124" s="230" t="s">
        <v>96</v>
      </c>
      <c r="D124" s="231"/>
      <c r="E124" s="231"/>
      <c r="F124" s="231"/>
      <c r="G124" s="231"/>
      <c r="H124" s="231"/>
      <c r="I124" s="231"/>
      <c r="J124" s="231"/>
      <c r="K124" s="232"/>
      <c r="L124" s="581">
        <f>SUM(L116:L123)</f>
        <v>1213.06</v>
      </c>
      <c r="M124" s="261"/>
      <c r="N124" s="562" t="str">
        <f>C115</f>
        <v>COMP 12</v>
      </c>
      <c r="O124" s="582">
        <f>L124</f>
        <v>1213.06</v>
      </c>
      <c r="P124" s="562"/>
      <c r="Q124" s="562"/>
    </row>
    <row r="125" spans="1:17" ht="15" hidden="1" customHeight="1" outlineLevel="1" x14ac:dyDescent="0.25">
      <c r="A125" s="699" t="b">
        <f>_xlfn.XOR(C125=$S$2,C125=$S$3,C125=$S$4,C125=$S$5,C125=$S$6,C125=$S$7,C125=$S$8,C125=$S$9,C125=$S$10,C125=$S$11,C125=$S$12,C125=$S$13,C125=$S$14,C125=$S$15,C125=$S$16,C125=$S$17,C125=$S$18,C125=$S$19,C125=$S$20,C125=$S$21,C125=$S$22,C125=$S$23,C125=$S$24,C125=$S$25,C125=$S$26,C125=$S$27,C125=$S$28,C125=$S$29,C125=$S$30,C125=$S$316,C125=$S$32,C125=$S$33,C125=$S$34,C125=$S$35,C125=$S$36,C125=$S$37,C125=$S$38,C125=$S$39,C125=$S$40,C125=$S$41,C125=$S$42,)</f>
        <v>0</v>
      </c>
      <c r="C125" s="569" t="s">
        <v>25</v>
      </c>
      <c r="D125" s="570"/>
      <c r="E125" s="570" t="str">
        <f>IFERROR(VLOOKUP(C125,SINAPI!A:D,2,0),"")</f>
        <v>Dissipador de energia para d= 80cm</v>
      </c>
      <c r="F125" s="570"/>
      <c r="G125" s="217"/>
      <c r="H125" s="571"/>
      <c r="I125" s="572" t="str">
        <f>IFERROR(VLOOKUP(C125,SINAPI!A:D,3,0),"")</f>
        <v>un</v>
      </c>
      <c r="J125" s="573"/>
      <c r="K125" s="573" t="s">
        <v>2603</v>
      </c>
      <c r="L125" s="574" t="str">
        <f>IF(J125="","",ROUND(J125*#REF!,2))</f>
        <v/>
      </c>
      <c r="M125" s="575"/>
      <c r="N125" s="562"/>
      <c r="O125" s="562"/>
      <c r="P125" s="562"/>
      <c r="Q125" s="562"/>
    </row>
    <row r="126" spans="1:17" ht="15" hidden="1" customHeight="1" outlineLevel="1" x14ac:dyDescent="0.25">
      <c r="A126" s="660" t="b">
        <f t="shared" si="17"/>
        <v>0</v>
      </c>
      <c r="C126" s="35">
        <v>1</v>
      </c>
      <c r="D126" s="550" t="s">
        <v>2748</v>
      </c>
      <c r="E126" s="550">
        <v>38404</v>
      </c>
      <c r="F126" s="552" t="s">
        <v>3193</v>
      </c>
      <c r="G126" s="37" t="str">
        <f>IFERROR(VLOOKUP(E126,SINAPI!A:D,2,0),"")</f>
        <v xml:space="preserve">CONCRETO USINADO BOMBEAVEL, CLASSE DE RESISTENCIA C20, COM BRITA 0 E 1, SLUMP = 130 +/- 20 MM, EXCLUI SERVICO DE BOMBEAMENTO (NBR 8953)                                                                                                                                                                                                                                                                                                                                                                   </v>
      </c>
      <c r="H126" s="578"/>
      <c r="I126" s="40" t="str">
        <f>IFERROR(VLOOKUP(E126,SINAPI!A:D,3,0),"")</f>
        <v xml:space="preserve">M3    </v>
      </c>
      <c r="J126" s="579">
        <v>0.99380000000000002</v>
      </c>
      <c r="K126" s="40">
        <f>IFERROR(VLOOKUP(E126,SINAPI!A:D,4,0),"")</f>
        <v>495.11</v>
      </c>
      <c r="L126" s="580">
        <f>IF(J126="","",ROUND(J126*K126,2))</f>
        <v>492.04</v>
      </c>
      <c r="M126" s="264"/>
      <c r="N126" s="562"/>
      <c r="O126" s="562"/>
      <c r="P126" s="562"/>
      <c r="Q126" s="562"/>
    </row>
    <row r="127" spans="1:17" ht="15" hidden="1" customHeight="1" outlineLevel="1" x14ac:dyDescent="0.25">
      <c r="A127" s="660" t="b">
        <f t="shared" si="17"/>
        <v>0</v>
      </c>
      <c r="C127" s="35">
        <v>2</v>
      </c>
      <c r="D127" s="576" t="s">
        <v>2747</v>
      </c>
      <c r="E127" s="576">
        <v>96536</v>
      </c>
      <c r="F127" s="577" t="s">
        <v>2703</v>
      </c>
      <c r="G127" s="37" t="str">
        <f>IFERROR(VLOOKUP(E127,SINAPI!A:D,2,0),"")</f>
        <v>FABRICAÇÃO, MONTAGEM E DESMONTAGEM DE FÔRMA PARA VIGA BALDRAME, EM MADEIRA SERRADA, E=25 MM, 4 UTILIZAÇÕES. AF_06/2017</v>
      </c>
      <c r="H127" s="578"/>
      <c r="I127" s="40" t="str">
        <f>IFERROR(VLOOKUP(E127,SINAPI!A:D,3,0),"")</f>
        <v>M2</v>
      </c>
      <c r="J127" s="579">
        <v>4.68</v>
      </c>
      <c r="K127" s="40">
        <f>IFERROR(VLOOKUP(E127,SINAPI!A:D,4,0),"")</f>
        <v>91.89</v>
      </c>
      <c r="L127" s="580">
        <f t="shared" ref="L127:L133" si="28">IF(J127="","",ROUND(J127*K127,2))</f>
        <v>430.05</v>
      </c>
      <c r="M127" s="264">
        <v>0.76800000000000002</v>
      </c>
      <c r="N127" s="562"/>
      <c r="O127" s="562"/>
      <c r="P127" s="562"/>
      <c r="Q127" s="562"/>
    </row>
    <row r="128" spans="1:17" ht="15" hidden="1" customHeight="1" outlineLevel="1" x14ac:dyDescent="0.25">
      <c r="A128" s="660" t="b">
        <f t="shared" si="17"/>
        <v>0</v>
      </c>
      <c r="C128" s="35">
        <v>3</v>
      </c>
      <c r="D128" s="576" t="s">
        <v>2747</v>
      </c>
      <c r="E128" s="576">
        <v>4730</v>
      </c>
      <c r="F128" s="577" t="s">
        <v>2752</v>
      </c>
      <c r="G128" s="37" t="str">
        <f>IFERROR(VLOOKUP(E128,SINAPI!A:D,2,0),"")</f>
        <v xml:space="preserve">PEDRA DE MAO OU PEDRA RACHAO PARA ARRIMO/FUNDACAO (POSTO PEDREIRA/FORNECEDOR, SEM FRETE)                                                                                                                                                                                                                                                                                                                                                                                                                  </v>
      </c>
      <c r="H128" s="578"/>
      <c r="I128" s="40" t="str">
        <f>IFERROR(VLOOKUP(E128,SINAPI!A:D,3,0),"")</f>
        <v xml:space="preserve">M3    </v>
      </c>
      <c r="J128" s="579">
        <f>M128*$M$127</f>
        <v>0.8448</v>
      </c>
      <c r="K128" s="40">
        <f>IFERROR(VLOOKUP(E128,SINAPI!A:D,4,0),"")</f>
        <v>95.84</v>
      </c>
      <c r="L128" s="580">
        <f t="shared" si="28"/>
        <v>80.97</v>
      </c>
      <c r="M128" s="264">
        <v>1.1000000000000001</v>
      </c>
      <c r="N128" s="562"/>
      <c r="O128" s="562"/>
      <c r="P128" s="562"/>
      <c r="Q128" s="562"/>
    </row>
    <row r="129" spans="1:17" ht="15" hidden="1" customHeight="1" outlineLevel="1" x14ac:dyDescent="0.25">
      <c r="A129" s="660" t="b">
        <f t="shared" si="17"/>
        <v>0</v>
      </c>
      <c r="C129" s="35">
        <v>4</v>
      </c>
      <c r="D129" s="576" t="s">
        <v>2747</v>
      </c>
      <c r="E129" s="576">
        <v>87307</v>
      </c>
      <c r="F129" s="577" t="s">
        <v>2753</v>
      </c>
      <c r="G129" s="37" t="str">
        <f>IFERROR(VLOOKUP(E129,SINAPI!A:D,2,0),"")</f>
        <v>ARGAMASSA TRAÇO 1:6 (EM VOLUME DE CIMENTO E AREIA MÉDIA ÚMIDA) PARA CONTRAPISO, PREPARO MECÂNICO COM BETONEIRA 400 L. AF_08/2019</v>
      </c>
      <c r="H129" s="578"/>
      <c r="I129" s="40" t="str">
        <f>IFERROR(VLOOKUP(E129,SINAPI!A:D,3,0),"")</f>
        <v>M3</v>
      </c>
      <c r="J129" s="579">
        <f>M129*$M$127</f>
        <v>0.1152</v>
      </c>
      <c r="K129" s="40">
        <f>IFERROR(VLOOKUP(E129,SINAPI!A:D,4,0),"")</f>
        <v>577.58000000000004</v>
      </c>
      <c r="L129" s="580">
        <f t="shared" si="28"/>
        <v>66.540000000000006</v>
      </c>
      <c r="M129" s="264">
        <v>0.15</v>
      </c>
      <c r="N129" s="562"/>
      <c r="O129" s="562"/>
      <c r="P129" s="562"/>
      <c r="Q129" s="562"/>
    </row>
    <row r="130" spans="1:17" ht="15" hidden="1" customHeight="1" outlineLevel="1" x14ac:dyDescent="0.25">
      <c r="A130" s="660" t="b">
        <f t="shared" si="17"/>
        <v>0</v>
      </c>
      <c r="C130" s="35">
        <v>5</v>
      </c>
      <c r="D130" s="576" t="s">
        <v>2747</v>
      </c>
      <c r="E130" s="576">
        <v>93358</v>
      </c>
      <c r="F130" s="577" t="s">
        <v>2706</v>
      </c>
      <c r="G130" s="37" t="str">
        <f>IFERROR(VLOOKUP(E130,SINAPI!A:D,2,0),"")</f>
        <v>ESCAVAÇÃO MANUAL DE VALA COM PROFUNDIDADE MENOR OU IGUAL A 1,30 M. AF_02/2021</v>
      </c>
      <c r="H130" s="578"/>
      <c r="I130" s="40" t="str">
        <f>IFERROR(VLOOKUP(E130,SINAPI!A:D,3,0),"")</f>
        <v>M3</v>
      </c>
      <c r="J130" s="579">
        <v>1.056</v>
      </c>
      <c r="K130" s="40">
        <f>IFERROR(VLOOKUP(E130,SINAPI!A:D,4,0),"")</f>
        <v>82.36</v>
      </c>
      <c r="L130" s="580">
        <f t="shared" si="28"/>
        <v>86.97</v>
      </c>
      <c r="M130" s="264"/>
      <c r="N130" s="562"/>
      <c r="O130" s="562"/>
      <c r="P130" s="562"/>
      <c r="Q130" s="562"/>
    </row>
    <row r="131" spans="1:17" ht="15" hidden="1" customHeight="1" outlineLevel="1" x14ac:dyDescent="0.25">
      <c r="A131" s="660" t="b">
        <f t="shared" si="17"/>
        <v>0</v>
      </c>
      <c r="C131" s="35">
        <v>6</v>
      </c>
      <c r="D131" s="576" t="s">
        <v>2747</v>
      </c>
      <c r="E131" s="576">
        <v>88316</v>
      </c>
      <c r="F131" s="577" t="s">
        <v>2740</v>
      </c>
      <c r="G131" s="37" t="str">
        <f>IFERROR(VLOOKUP(E131,SINAPI!A:D,2,0),"")</f>
        <v>SERVENTE COM ENCARGOS COMPLEMENTARES</v>
      </c>
      <c r="H131" s="578"/>
      <c r="I131" s="40" t="str">
        <f>IFERROR(VLOOKUP(E131,SINAPI!A:D,3,0),"")</f>
        <v>H</v>
      </c>
      <c r="J131" s="579">
        <f t="shared" ref="J131:J132" si="29">M131*$M$127</f>
        <v>5.5296000000000003</v>
      </c>
      <c r="K131" s="40">
        <f>IFERROR(VLOOKUP(E131,SINAPI!A:D,4,0),"")</f>
        <v>20.82</v>
      </c>
      <c r="L131" s="580">
        <f t="shared" si="28"/>
        <v>115.13</v>
      </c>
      <c r="M131" s="264">
        <v>7.2</v>
      </c>
      <c r="N131" s="562"/>
      <c r="O131" s="562"/>
      <c r="P131" s="562"/>
      <c r="Q131" s="562"/>
    </row>
    <row r="132" spans="1:17" ht="15" hidden="1" customHeight="1" outlineLevel="1" x14ac:dyDescent="0.25">
      <c r="A132" s="660" t="b">
        <f t="shared" si="17"/>
        <v>0</v>
      </c>
      <c r="C132" s="35">
        <v>7</v>
      </c>
      <c r="D132" s="576" t="s">
        <v>2747</v>
      </c>
      <c r="E132" s="576">
        <v>88309</v>
      </c>
      <c r="F132" s="577" t="s">
        <v>2751</v>
      </c>
      <c r="G132" s="37" t="str">
        <f>IFERROR(VLOOKUP(E132,SINAPI!A:D,2,0),"")</f>
        <v>PEDREIRO COM ENCARGOS COMPLEMENTARES</v>
      </c>
      <c r="H132" s="578"/>
      <c r="I132" s="40" t="str">
        <f>IFERROR(VLOOKUP(E132,SINAPI!A:D,3,0),"")</f>
        <v>H</v>
      </c>
      <c r="J132" s="579">
        <f t="shared" si="29"/>
        <v>7.8335999999999997</v>
      </c>
      <c r="K132" s="40">
        <f>IFERROR(VLOOKUP(E132,SINAPI!A:D,4,0),"")</f>
        <v>30.44</v>
      </c>
      <c r="L132" s="580">
        <f t="shared" si="28"/>
        <v>238.45</v>
      </c>
      <c r="M132" s="264">
        <v>10.199999999999999</v>
      </c>
      <c r="N132" s="562"/>
      <c r="O132" s="562"/>
      <c r="P132" s="562"/>
      <c r="Q132" s="562"/>
    </row>
    <row r="133" spans="1:17" ht="15" hidden="1" customHeight="1" outlineLevel="1" x14ac:dyDescent="0.25">
      <c r="A133" s="660" t="b">
        <f t="shared" si="17"/>
        <v>0</v>
      </c>
      <c r="C133" s="35">
        <v>8</v>
      </c>
      <c r="D133" s="550" t="s">
        <v>2747</v>
      </c>
      <c r="E133" s="550">
        <v>103670</v>
      </c>
      <c r="F133" s="552" t="s">
        <v>2761</v>
      </c>
      <c r="G133" s="37" t="str">
        <f>IFERROR(VLOOKUP(E133,SINAPI!A:D,2,0),"")</f>
        <v>LANÇAMENTO COM USO DE BALDES, ADENSAMENTO E ACABAMENTO DE CONCRETO EM ESTRUTURAS. AF_02/2022</v>
      </c>
      <c r="H133" s="578"/>
      <c r="I133" s="40" t="str">
        <f>IFERROR(VLOOKUP(E133,SINAPI!A:D,3,0),"")</f>
        <v>M3</v>
      </c>
      <c r="J133" s="579">
        <f>J126</f>
        <v>0.99380000000000002</v>
      </c>
      <c r="K133" s="40">
        <f>IFERROR(VLOOKUP(E133,SINAPI!A:D,4,0),"")</f>
        <v>301.64</v>
      </c>
      <c r="L133" s="580">
        <f t="shared" si="28"/>
        <v>299.77</v>
      </c>
      <c r="M133" s="264"/>
      <c r="N133" s="562"/>
      <c r="O133" s="562"/>
      <c r="P133" s="562"/>
      <c r="Q133" s="562"/>
    </row>
    <row r="134" spans="1:17" ht="15" hidden="1" customHeight="1" outlineLevel="1" thickBot="1" x14ac:dyDescent="0.3">
      <c r="A134" s="660" t="b">
        <f t="shared" si="17"/>
        <v>0</v>
      </c>
      <c r="C134" s="230" t="s">
        <v>96</v>
      </c>
      <c r="D134" s="231"/>
      <c r="E134" s="231"/>
      <c r="F134" s="231"/>
      <c r="G134" s="231"/>
      <c r="H134" s="231"/>
      <c r="I134" s="231"/>
      <c r="J134" s="231"/>
      <c r="K134" s="232"/>
      <c r="L134" s="581">
        <f>SUM(L126:L133)</f>
        <v>1809.92</v>
      </c>
      <c r="M134" s="261"/>
      <c r="N134" s="562" t="str">
        <f>C125</f>
        <v>COMP 13</v>
      </c>
      <c r="O134" s="582">
        <f>L134</f>
        <v>1809.92</v>
      </c>
      <c r="P134" s="562"/>
      <c r="Q134" s="562"/>
    </row>
    <row r="135" spans="1:17" ht="15" hidden="1" customHeight="1" outlineLevel="1" x14ac:dyDescent="0.25">
      <c r="A135" s="699" t="b">
        <f>_xlfn.XOR(C135=$S$2,C135=$S$3,C135=$S$4,C135=$S$5,C135=$S$6,C135=$S$7,C135=$S$8,C135=$S$9,C135=$S$10,C135=$S$11,C135=$S$12,C135=$S$13,C135=$S$14,C135=$S$15,C135=$S$16,C135=$S$17,C135=$S$18,C135=$S$19,C135=$S$20,C135=$S$21,C135=$S$22,C135=$S$23,C135=$S$24,C135=$S$25,C135=$S$26,C135=$S$27,C135=$S$28,C135=$S$29,C135=$S$30,C135=$S$316,C135=$S$32,C135=$S$33,C135=$S$34,C135=$S$35,C135=$S$36,C135=$S$37,C135=$S$38,C135=$S$39,C135=$S$40,C135=$S$41,C135=$S$42,)</f>
        <v>0</v>
      </c>
      <c r="C135" s="569" t="s">
        <v>27</v>
      </c>
      <c r="D135" s="570"/>
      <c r="E135" s="570" t="str">
        <f>IFERROR(VLOOKUP(C135,SINAPI!A:D,2,0),"")</f>
        <v>Dissipador de energia para d= 100cm</v>
      </c>
      <c r="F135" s="570"/>
      <c r="G135" s="217"/>
      <c r="H135" s="571"/>
      <c r="I135" s="572" t="str">
        <f>IFERROR(VLOOKUP(C135,SINAPI!A:D,3,0),"")</f>
        <v>un</v>
      </c>
      <c r="J135" s="573"/>
      <c r="K135" s="573" t="s">
        <v>2603</v>
      </c>
      <c r="L135" s="574" t="str">
        <f>IF(J135="","",ROUND(J135*#REF!,2))</f>
        <v/>
      </c>
      <c r="M135" s="575"/>
      <c r="N135" s="562"/>
      <c r="O135" s="562"/>
      <c r="P135" s="562"/>
      <c r="Q135" s="562"/>
    </row>
    <row r="136" spans="1:17" ht="15" hidden="1" customHeight="1" outlineLevel="1" x14ac:dyDescent="0.25">
      <c r="A136" s="660" t="b">
        <f t="shared" si="17"/>
        <v>0</v>
      </c>
      <c r="C136" s="35">
        <v>1</v>
      </c>
      <c r="D136" s="550" t="s">
        <v>2748</v>
      </c>
      <c r="E136" s="550">
        <v>38404</v>
      </c>
      <c r="F136" s="552" t="s">
        <v>3193</v>
      </c>
      <c r="G136" s="37" t="str">
        <f>IFERROR(VLOOKUP(E136,SINAPI!A:D,2,0),"")</f>
        <v xml:space="preserve">CONCRETO USINADO BOMBEAVEL, CLASSE DE RESISTENCIA C20, COM BRITA 0 E 1, SLUMP = 130 +/- 20 MM, EXCLUI SERVICO DE BOMBEAMENTO (NBR 8953)                                                                                                                                                                                                                                                                                                                                                                   </v>
      </c>
      <c r="H136" s="578"/>
      <c r="I136" s="40" t="str">
        <f>IFERROR(VLOOKUP(E136,SINAPI!A:D,3,0),"")</f>
        <v xml:space="preserve">M3    </v>
      </c>
      <c r="J136" s="579">
        <v>1.8794</v>
      </c>
      <c r="K136" s="40">
        <f>IFERROR(VLOOKUP(E136,SINAPI!A:D,4,0),"")</f>
        <v>495.11</v>
      </c>
      <c r="L136" s="580">
        <f>IF(J136="","",ROUND(J136*K136,2))</f>
        <v>930.51</v>
      </c>
      <c r="M136" s="264"/>
      <c r="N136" s="562"/>
      <c r="O136" s="562"/>
      <c r="P136" s="562"/>
      <c r="Q136" s="562"/>
    </row>
    <row r="137" spans="1:17" ht="15" hidden="1" customHeight="1" outlineLevel="1" x14ac:dyDescent="0.25">
      <c r="A137" s="660" t="b">
        <f t="shared" si="17"/>
        <v>0</v>
      </c>
      <c r="C137" s="35">
        <v>2</v>
      </c>
      <c r="D137" s="576" t="s">
        <v>2747</v>
      </c>
      <c r="E137" s="576">
        <v>96536</v>
      </c>
      <c r="F137" s="577" t="s">
        <v>2703</v>
      </c>
      <c r="G137" s="37" t="str">
        <f>IFERROR(VLOOKUP(E137,SINAPI!A:D,2,0),"")</f>
        <v>FABRICAÇÃO, MONTAGEM E DESMONTAGEM DE FÔRMA PARA VIGA BALDRAME, EM MADEIRA SERRADA, E=25 MM, 4 UTILIZAÇÕES. AF_06/2017</v>
      </c>
      <c r="H137" s="578"/>
      <c r="I137" s="40" t="str">
        <f>IFERROR(VLOOKUP(E137,SINAPI!A:D,3,0),"")</f>
        <v>M2</v>
      </c>
      <c r="J137" s="579">
        <v>5.73</v>
      </c>
      <c r="K137" s="40">
        <f>IFERROR(VLOOKUP(E137,SINAPI!A:D,4,0),"")</f>
        <v>91.89</v>
      </c>
      <c r="L137" s="580">
        <f t="shared" ref="L137:L143" si="30">IF(J137="","",ROUND(J137*K137,2))</f>
        <v>526.53</v>
      </c>
      <c r="M137" s="264">
        <v>1.1399999999999999</v>
      </c>
      <c r="N137" s="562"/>
      <c r="O137" s="562"/>
      <c r="P137" s="562"/>
      <c r="Q137" s="562"/>
    </row>
    <row r="138" spans="1:17" ht="15" hidden="1" customHeight="1" outlineLevel="1" x14ac:dyDescent="0.25">
      <c r="A138" s="660" t="b">
        <f t="shared" si="17"/>
        <v>0</v>
      </c>
      <c r="C138" s="35">
        <v>3</v>
      </c>
      <c r="D138" s="576" t="s">
        <v>2747</v>
      </c>
      <c r="E138" s="576">
        <v>4730</v>
      </c>
      <c r="F138" s="577" t="s">
        <v>2752</v>
      </c>
      <c r="G138" s="37" t="str">
        <f>IFERROR(VLOOKUP(E138,SINAPI!A:D,2,0),"")</f>
        <v xml:space="preserve">PEDRA DE MAO OU PEDRA RACHAO PARA ARRIMO/FUNDACAO (POSTO PEDREIRA/FORNECEDOR, SEM FRETE)                                                                                                                                                                                                                                                                                                                                                                                                                  </v>
      </c>
      <c r="H138" s="578"/>
      <c r="I138" s="40" t="str">
        <f>IFERROR(VLOOKUP(E138,SINAPI!A:D,3,0),"")</f>
        <v xml:space="preserve">M3    </v>
      </c>
      <c r="J138" s="579">
        <f>M138*$M$137</f>
        <v>1.254</v>
      </c>
      <c r="K138" s="40">
        <f>IFERROR(VLOOKUP(E138,SINAPI!A:D,4,0),"")</f>
        <v>95.84</v>
      </c>
      <c r="L138" s="580">
        <f t="shared" si="30"/>
        <v>120.18</v>
      </c>
      <c r="M138" s="264">
        <v>1.1000000000000001</v>
      </c>
      <c r="N138" s="562"/>
      <c r="O138" s="562"/>
      <c r="P138" s="562"/>
      <c r="Q138" s="562"/>
    </row>
    <row r="139" spans="1:17" ht="15" hidden="1" customHeight="1" outlineLevel="1" x14ac:dyDescent="0.25">
      <c r="A139" s="660" t="b">
        <f t="shared" si="17"/>
        <v>0</v>
      </c>
      <c r="C139" s="35">
        <v>4</v>
      </c>
      <c r="D139" s="576" t="s">
        <v>2747</v>
      </c>
      <c r="E139" s="576">
        <v>87307</v>
      </c>
      <c r="F139" s="577" t="s">
        <v>2753</v>
      </c>
      <c r="G139" s="37" t="str">
        <f>IFERROR(VLOOKUP(E139,SINAPI!A:D,2,0),"")</f>
        <v>ARGAMASSA TRAÇO 1:6 (EM VOLUME DE CIMENTO E AREIA MÉDIA ÚMIDA) PARA CONTRAPISO, PREPARO MECÂNICO COM BETONEIRA 400 L. AF_08/2019</v>
      </c>
      <c r="H139" s="578"/>
      <c r="I139" s="40" t="str">
        <f>IFERROR(VLOOKUP(E139,SINAPI!A:D,3,0),"")</f>
        <v>M3</v>
      </c>
      <c r="J139" s="579">
        <f t="shared" ref="J139:J142" si="31">M139*$M$137</f>
        <v>0.17100000000000001</v>
      </c>
      <c r="K139" s="40">
        <f>IFERROR(VLOOKUP(E139,SINAPI!A:D,4,0),"")</f>
        <v>577.58000000000004</v>
      </c>
      <c r="L139" s="580">
        <f t="shared" si="30"/>
        <v>98.77</v>
      </c>
      <c r="M139" s="264">
        <v>0.15</v>
      </c>
      <c r="N139" s="562"/>
      <c r="O139" s="562"/>
      <c r="P139" s="562"/>
      <c r="Q139" s="562"/>
    </row>
    <row r="140" spans="1:17" ht="15" hidden="1" customHeight="1" outlineLevel="1" x14ac:dyDescent="0.25">
      <c r="A140" s="660" t="b">
        <f t="shared" si="17"/>
        <v>0</v>
      </c>
      <c r="C140" s="35">
        <v>5</v>
      </c>
      <c r="D140" s="576" t="s">
        <v>2747</v>
      </c>
      <c r="E140" s="576">
        <v>93358</v>
      </c>
      <c r="F140" s="577" t="s">
        <v>2706</v>
      </c>
      <c r="G140" s="37" t="str">
        <f>IFERROR(VLOOKUP(E140,SINAPI!A:D,2,0),"")</f>
        <v>ESCAVAÇÃO MANUAL DE VALA COM PROFUNDIDADE MENOR OU IGUAL A 1,30 M. AF_02/2021</v>
      </c>
      <c r="H140" s="578"/>
      <c r="I140" s="40" t="str">
        <f>IFERROR(VLOOKUP(E140,SINAPI!A:D,3,0),"")</f>
        <v>M3</v>
      </c>
      <c r="J140" s="579">
        <v>1.5580000000000001</v>
      </c>
      <c r="K140" s="40">
        <f>IFERROR(VLOOKUP(E140,SINAPI!A:D,4,0),"")</f>
        <v>82.36</v>
      </c>
      <c r="L140" s="580">
        <f t="shared" si="30"/>
        <v>128.32</v>
      </c>
      <c r="M140" s="264"/>
      <c r="N140" s="562"/>
      <c r="O140" s="562"/>
      <c r="P140" s="562"/>
      <c r="Q140" s="562"/>
    </row>
    <row r="141" spans="1:17" ht="15" hidden="1" customHeight="1" outlineLevel="1" x14ac:dyDescent="0.25">
      <c r="A141" s="660" t="b">
        <f t="shared" si="17"/>
        <v>0</v>
      </c>
      <c r="C141" s="35">
        <v>6</v>
      </c>
      <c r="D141" s="576" t="s">
        <v>2747</v>
      </c>
      <c r="E141" s="576">
        <v>88316</v>
      </c>
      <c r="F141" s="577" t="s">
        <v>2740</v>
      </c>
      <c r="G141" s="37" t="str">
        <f>IFERROR(VLOOKUP(E141,SINAPI!A:D,2,0),"")</f>
        <v>SERVENTE COM ENCARGOS COMPLEMENTARES</v>
      </c>
      <c r="H141" s="578"/>
      <c r="I141" s="40" t="str">
        <f>IFERROR(VLOOKUP(E141,SINAPI!A:D,3,0),"")</f>
        <v>H</v>
      </c>
      <c r="J141" s="579">
        <f t="shared" si="31"/>
        <v>8.2080000000000002</v>
      </c>
      <c r="K141" s="40">
        <f>IFERROR(VLOOKUP(E141,SINAPI!A:D,4,0),"")</f>
        <v>20.82</v>
      </c>
      <c r="L141" s="580">
        <f t="shared" si="30"/>
        <v>170.89</v>
      </c>
      <c r="M141" s="264">
        <v>7.2</v>
      </c>
      <c r="N141" s="562"/>
      <c r="O141" s="562"/>
      <c r="P141" s="562"/>
      <c r="Q141" s="562"/>
    </row>
    <row r="142" spans="1:17" ht="15" hidden="1" customHeight="1" outlineLevel="1" x14ac:dyDescent="0.25">
      <c r="A142" s="660" t="b">
        <f t="shared" ref="A142:A206" si="32">A141</f>
        <v>0</v>
      </c>
      <c r="C142" s="35">
        <v>7</v>
      </c>
      <c r="D142" s="576" t="s">
        <v>2747</v>
      </c>
      <c r="E142" s="576">
        <v>88309</v>
      </c>
      <c r="F142" s="577" t="s">
        <v>2751</v>
      </c>
      <c r="G142" s="37" t="str">
        <f>IFERROR(VLOOKUP(E142,SINAPI!A:D,2,0),"")</f>
        <v>PEDREIRO COM ENCARGOS COMPLEMENTARES</v>
      </c>
      <c r="H142" s="578"/>
      <c r="I142" s="40" t="str">
        <f>IFERROR(VLOOKUP(E142,SINAPI!A:D,3,0),"")</f>
        <v>H</v>
      </c>
      <c r="J142" s="579">
        <f t="shared" si="31"/>
        <v>11.628</v>
      </c>
      <c r="K142" s="40">
        <f>IFERROR(VLOOKUP(E142,SINAPI!A:D,4,0),"")</f>
        <v>30.44</v>
      </c>
      <c r="L142" s="580">
        <f t="shared" si="30"/>
        <v>353.96</v>
      </c>
      <c r="M142" s="264">
        <v>10.199999999999999</v>
      </c>
      <c r="N142" s="562"/>
      <c r="O142" s="562"/>
      <c r="P142" s="562"/>
      <c r="Q142" s="562"/>
    </row>
    <row r="143" spans="1:17" ht="15" hidden="1" customHeight="1" outlineLevel="1" x14ac:dyDescent="0.25">
      <c r="A143" s="660" t="b">
        <f t="shared" si="32"/>
        <v>0</v>
      </c>
      <c r="C143" s="35">
        <v>8</v>
      </c>
      <c r="D143" s="550" t="s">
        <v>2747</v>
      </c>
      <c r="E143" s="550">
        <v>103670</v>
      </c>
      <c r="F143" s="552" t="s">
        <v>2761</v>
      </c>
      <c r="G143" s="37" t="str">
        <f>IFERROR(VLOOKUP(E143,SINAPI!A:D,2,0),"")</f>
        <v>LANÇAMENTO COM USO DE BALDES, ADENSAMENTO E ACABAMENTO DE CONCRETO EM ESTRUTURAS. AF_02/2022</v>
      </c>
      <c r="H143" s="578"/>
      <c r="I143" s="40" t="str">
        <f>IFERROR(VLOOKUP(E143,SINAPI!A:D,3,0),"")</f>
        <v>M3</v>
      </c>
      <c r="J143" s="579">
        <f>J136</f>
        <v>1.8794</v>
      </c>
      <c r="K143" s="40">
        <f>IFERROR(VLOOKUP(E143,SINAPI!A:D,4,0),"")</f>
        <v>301.64</v>
      </c>
      <c r="L143" s="580">
        <f t="shared" si="30"/>
        <v>566.9</v>
      </c>
      <c r="M143" s="264"/>
      <c r="N143" s="562"/>
      <c r="O143" s="562"/>
      <c r="P143" s="562"/>
      <c r="Q143" s="562"/>
    </row>
    <row r="144" spans="1:17" ht="15" hidden="1" customHeight="1" outlineLevel="1" thickBot="1" x14ac:dyDescent="0.3">
      <c r="A144" s="660" t="b">
        <f t="shared" si="32"/>
        <v>0</v>
      </c>
      <c r="C144" s="230" t="s">
        <v>96</v>
      </c>
      <c r="D144" s="231"/>
      <c r="E144" s="231"/>
      <c r="F144" s="231"/>
      <c r="G144" s="231"/>
      <c r="H144" s="231"/>
      <c r="I144" s="231"/>
      <c r="J144" s="231"/>
      <c r="K144" s="232"/>
      <c r="L144" s="581">
        <f>SUM(L136:L143)</f>
        <v>2896.06</v>
      </c>
      <c r="M144" s="261"/>
      <c r="N144" s="562" t="str">
        <f>C135</f>
        <v>COMP 14</v>
      </c>
      <c r="O144" s="582">
        <f>L144</f>
        <v>2896.06</v>
      </c>
      <c r="P144" s="562"/>
      <c r="Q144" s="562"/>
    </row>
    <row r="145" spans="1:17" ht="15" hidden="1" customHeight="1" outlineLevel="1" x14ac:dyDescent="0.25">
      <c r="A145" s="699" t="b">
        <f>_xlfn.XOR(C145=$S$2,C145=$S$3,C145=$S$4,C145=$S$5,C145=$S$6,C145=$S$7,C145=$S$8,C145=$S$9,C145=$S$10,C145=$S$11,C145=$S$12,C145=$S$13,C145=$S$14,C145=$S$15,C145=$S$16,C145=$S$17,C145=$S$18,C145=$S$19,C145=$S$20,C145=$S$21,C145=$S$22,C145=$S$23,C145=$S$24,C145=$S$25,C145=$S$26,C145=$S$27,C145=$S$28,C145=$S$29,C145=$S$30,C145=$S$316,C145=$S$32,C145=$S$33,C145=$S$34,C145=$S$35,C145=$S$36,C145=$S$37,C145=$S$38,C145=$S$39,C145=$S$40,C145=$S$41,C145=$S$42,)</f>
        <v>0</v>
      </c>
      <c r="C145" s="569" t="s">
        <v>143</v>
      </c>
      <c r="D145" s="570"/>
      <c r="E145" s="570" t="str">
        <f>IFERROR(VLOOKUP(C145,SINAPI!A:D,2,0),"")</f>
        <v>Camada de CAUQ (exclusive CAP)</v>
      </c>
      <c r="F145" s="570"/>
      <c r="G145" s="217"/>
      <c r="H145" s="571"/>
      <c r="I145" s="572" t="str">
        <f>IFERROR(VLOOKUP(C145,SINAPI!A:D,3,0),"")</f>
        <v>t</v>
      </c>
      <c r="J145" s="573"/>
      <c r="K145" s="573" t="s">
        <v>2603</v>
      </c>
      <c r="L145" s="574" t="str">
        <f>IF(J145="","",ROUND(J145*#REF!,2))</f>
        <v/>
      </c>
      <c r="M145" s="575"/>
      <c r="N145" s="562"/>
      <c r="O145" s="562"/>
      <c r="P145" s="515" t="s">
        <v>3222</v>
      </c>
      <c r="Q145" s="562"/>
    </row>
    <row r="146" spans="1:17" ht="15" hidden="1" customHeight="1" outlineLevel="1" x14ac:dyDescent="0.25">
      <c r="A146" s="660" t="b">
        <f t="shared" si="32"/>
        <v>0</v>
      </c>
      <c r="C146" s="35">
        <v>1</v>
      </c>
      <c r="D146" s="576" t="s">
        <v>2747</v>
      </c>
      <c r="E146" s="576">
        <v>5835</v>
      </c>
      <c r="F146" s="577" t="s">
        <v>2891</v>
      </c>
      <c r="G146" s="37" t="str">
        <f>IFERROR(VLOOKUP(E146,SINAPI!A:D,2,0),"")</f>
        <v>VIBROACABADORA DE ASFALTO SOBRE ESTEIRAS, LARGURA DE PAVIMENTAÇÃO 1,90 M A 5,30 M, POTÊNCIA 105 HP CAPACIDADE 450 T/H - CHP DIURNO. AF_11/2014</v>
      </c>
      <c r="H146" s="578"/>
      <c r="I146" s="40" t="str">
        <f>IFERROR(VLOOKUP(E146,SINAPI!A:D,3,0),"")</f>
        <v>CHP</v>
      </c>
      <c r="J146" s="536">
        <f t="shared" ref="J146:J156" si="33">P146/$P$158</f>
        <v>2.3199999999999998E-2</v>
      </c>
      <c r="K146" s="40">
        <f>IFERROR(VLOOKUP(E146,SINAPI!A:D,4,0),"")</f>
        <v>394.09</v>
      </c>
      <c r="L146" s="580">
        <f>IF(J146="","",ROUND(J146*K146,2))</f>
        <v>9.14</v>
      </c>
      <c r="M146" s="264"/>
      <c r="N146" s="562"/>
      <c r="O146" s="562"/>
      <c r="P146" s="536">
        <v>5.8000000000000003E-2</v>
      </c>
      <c r="Q146" s="536">
        <f>K146*P146</f>
        <v>22.857199999999999</v>
      </c>
    </row>
    <row r="147" spans="1:17" ht="15" hidden="1" customHeight="1" outlineLevel="1" x14ac:dyDescent="0.25">
      <c r="A147" s="660" t="b">
        <f t="shared" si="32"/>
        <v>0</v>
      </c>
      <c r="C147" s="35">
        <v>2</v>
      </c>
      <c r="D147" s="576" t="s">
        <v>2747</v>
      </c>
      <c r="E147" s="576">
        <v>5837</v>
      </c>
      <c r="F147" s="577" t="s">
        <v>2892</v>
      </c>
      <c r="G147" s="37" t="str">
        <f>IFERROR(VLOOKUP(E147,SINAPI!A:D,2,0),"")</f>
        <v>VIBROACABADORA DE ASFALTO SOBRE ESTEIRAS, LARGURA DE PAVIMENTAÇÃO 1,90 M A 5,30 M, POTÊNCIA 105 HP CAPACIDADE 450 T/H - CHI DIURNO. AF_11/2014</v>
      </c>
      <c r="H147" s="578"/>
      <c r="I147" s="40" t="str">
        <f>IFERROR(VLOOKUP(E147,SINAPI!A:D,3,0),"")</f>
        <v>CHI</v>
      </c>
      <c r="J147" s="536">
        <f t="shared" si="33"/>
        <v>4.7399999999999998E-2</v>
      </c>
      <c r="K147" s="40">
        <f>IFERROR(VLOOKUP(E147,SINAPI!A:D,4,0),"")</f>
        <v>139.72</v>
      </c>
      <c r="L147" s="580">
        <f t="shared" ref="L147:L156" si="34">IF(J147="","",ROUND(J147*K147,2))</f>
        <v>6.62</v>
      </c>
      <c r="M147" s="264"/>
      <c r="N147" s="562"/>
      <c r="O147" s="562"/>
      <c r="P147" s="536">
        <v>0.1186</v>
      </c>
      <c r="Q147" s="536">
        <f t="shared" ref="Q147:Q156" si="35">K147*P147</f>
        <v>16.570799999999998</v>
      </c>
    </row>
    <row r="148" spans="1:17" ht="15" hidden="1" customHeight="1" outlineLevel="1" x14ac:dyDescent="0.25">
      <c r="A148" s="660" t="b">
        <f t="shared" si="32"/>
        <v>0</v>
      </c>
      <c r="C148" s="35">
        <v>3</v>
      </c>
      <c r="D148" s="576" t="s">
        <v>2747</v>
      </c>
      <c r="E148" s="576">
        <v>88314</v>
      </c>
      <c r="F148" s="577" t="s">
        <v>2893</v>
      </c>
      <c r="G148" s="37" t="str">
        <f>IFERROR(VLOOKUP(E148,SINAPI!A:D,2,0),"")</f>
        <v>RASTELEIRO COM ENCARGOS COMPLEMENTARES</v>
      </c>
      <c r="H148" s="578"/>
      <c r="I148" s="40" t="str">
        <f>IFERROR(VLOOKUP(E148,SINAPI!A:D,3,0),"")</f>
        <v>H</v>
      </c>
      <c r="J148" s="536">
        <f t="shared" si="33"/>
        <v>0.56499999999999995</v>
      </c>
      <c r="K148" s="40">
        <f>IFERROR(VLOOKUP(E148,SINAPI!A:D,4,0),"")</f>
        <v>18.84</v>
      </c>
      <c r="L148" s="580">
        <f t="shared" si="34"/>
        <v>10.64</v>
      </c>
      <c r="M148" s="264"/>
      <c r="N148" s="562"/>
      <c r="O148" s="562"/>
      <c r="P148" s="536">
        <v>1.4126000000000001</v>
      </c>
      <c r="Q148" s="536">
        <f t="shared" si="35"/>
        <v>26.613399999999999</v>
      </c>
    </row>
    <row r="149" spans="1:17" ht="15" hidden="1" customHeight="1" outlineLevel="1" x14ac:dyDescent="0.25">
      <c r="A149" s="660" t="b">
        <f t="shared" si="32"/>
        <v>0</v>
      </c>
      <c r="C149" s="35">
        <v>4</v>
      </c>
      <c r="D149" s="576" t="s">
        <v>2747</v>
      </c>
      <c r="E149" s="576">
        <v>91386</v>
      </c>
      <c r="F149" s="577" t="s">
        <v>2895</v>
      </c>
      <c r="G149" s="37" t="str">
        <f>IFERROR(VLOOKUP(E149,SINAPI!A:D,2,0),"")</f>
        <v>CAMINHÃO BASCULANTE 10 M3, TRUCADO CABINE SIMPLES, PESO BRUTO TOTAL 23.000 KG, CARGA ÚTIL MÁXIMA 15.935 KG, DISTÂNCIA ENTRE EIXOS 4,80 M, POTÊNCIA 230 CV INCLUSIVE CAÇAMBA METÁLICA - CHP DIURNO. AF_06/2014</v>
      </c>
      <c r="H149" s="578"/>
      <c r="I149" s="40" t="str">
        <f>IFERROR(VLOOKUP(E149,SINAPI!A:D,3,0),"")</f>
        <v>CHP</v>
      </c>
      <c r="J149" s="536">
        <f t="shared" si="33"/>
        <v>2.3199999999999998E-2</v>
      </c>
      <c r="K149" s="40">
        <f>IFERROR(VLOOKUP(E149,SINAPI!A:D,4,0),"")</f>
        <v>263.48</v>
      </c>
      <c r="L149" s="580">
        <f t="shared" si="34"/>
        <v>6.11</v>
      </c>
      <c r="M149" s="264"/>
      <c r="N149" s="562"/>
      <c r="O149" s="562"/>
      <c r="P149" s="536">
        <v>5.8000000000000003E-2</v>
      </c>
      <c r="Q149" s="536">
        <f t="shared" si="35"/>
        <v>15.2818</v>
      </c>
    </row>
    <row r="150" spans="1:17" ht="15" hidden="1" customHeight="1" outlineLevel="1" x14ac:dyDescent="0.25">
      <c r="A150" s="660" t="b">
        <f t="shared" si="32"/>
        <v>0</v>
      </c>
      <c r="C150" s="35">
        <v>5</v>
      </c>
      <c r="D150" s="576" t="s">
        <v>2747</v>
      </c>
      <c r="E150" s="576">
        <v>95631</v>
      </c>
      <c r="F150" s="577" t="s">
        <v>2894</v>
      </c>
      <c r="G150" s="37" t="str">
        <f>IFERROR(VLOOKUP(E150,SINAPI!A:D,2,0),"")</f>
        <v>ROLO COMPACTADOR VIBRATORIO TANDEM, ACO LISO, POTENCIA 125 HP, PESO SEM/COM LASTRO 10,20/11,65 T, LARGURA DE TRABALHO 1,73 M - CHP DIURNO. AF_11/2016</v>
      </c>
      <c r="H150" s="578"/>
      <c r="I150" s="40" t="str">
        <f>IFERROR(VLOOKUP(E150,SINAPI!A:D,3,0),"")</f>
        <v>CHP</v>
      </c>
      <c r="J150" s="536">
        <f t="shared" si="33"/>
        <v>3.7999999999999999E-2</v>
      </c>
      <c r="K150" s="40">
        <f>IFERROR(VLOOKUP(E150,SINAPI!A:D,4,0),"")</f>
        <v>203.65</v>
      </c>
      <c r="L150" s="580">
        <f t="shared" si="34"/>
        <v>7.74</v>
      </c>
      <c r="M150" s="264"/>
      <c r="N150" s="562"/>
      <c r="O150" s="562"/>
      <c r="P150" s="536">
        <v>9.5100000000000004E-2</v>
      </c>
      <c r="Q150" s="536">
        <f t="shared" si="35"/>
        <v>19.367100000000001</v>
      </c>
    </row>
    <row r="151" spans="1:17" ht="15" hidden="1" customHeight="1" outlineLevel="1" x14ac:dyDescent="0.25">
      <c r="A151" s="660" t="b">
        <f t="shared" si="32"/>
        <v>0</v>
      </c>
      <c r="C151" s="35">
        <v>6</v>
      </c>
      <c r="D151" s="576" t="s">
        <v>2747</v>
      </c>
      <c r="E151" s="576">
        <v>95632</v>
      </c>
      <c r="F151" s="577" t="s">
        <v>2896</v>
      </c>
      <c r="G151" s="37" t="str">
        <f>IFERROR(VLOOKUP(E151,SINAPI!A:D,2,0),"")</f>
        <v>ROLO COMPACTADOR VIBRATORIO TANDEM, ACO LISO, POTENCIA 125 HP, PESO SEM/COM LASTRO 10,20/11,65 T, LARGURA DE TRABALHO 1,73 M - CHI DIURNO. AF_11/2016</v>
      </c>
      <c r="H151" s="578"/>
      <c r="I151" s="40" t="str">
        <f>IFERROR(VLOOKUP(E151,SINAPI!A:D,3,0),"")</f>
        <v>CHI</v>
      </c>
      <c r="J151" s="536">
        <f t="shared" si="33"/>
        <v>3.2599999999999997E-2</v>
      </c>
      <c r="K151" s="40">
        <f>IFERROR(VLOOKUP(E151,SINAPI!A:D,4,0),"")</f>
        <v>59.64</v>
      </c>
      <c r="L151" s="580">
        <f t="shared" si="34"/>
        <v>1.94</v>
      </c>
      <c r="M151" s="264"/>
      <c r="N151" s="562"/>
      <c r="O151" s="562"/>
      <c r="P151" s="536">
        <v>8.1500000000000003E-2</v>
      </c>
      <c r="Q151" s="536">
        <f t="shared" si="35"/>
        <v>4.8606999999999996</v>
      </c>
    </row>
    <row r="152" spans="1:17" ht="15" hidden="1" customHeight="1" outlineLevel="1" x14ac:dyDescent="0.25">
      <c r="A152" s="660" t="b">
        <f t="shared" si="32"/>
        <v>0</v>
      </c>
      <c r="C152" s="35">
        <v>7</v>
      </c>
      <c r="D152" s="576" t="s">
        <v>2747</v>
      </c>
      <c r="E152" s="576">
        <v>96155</v>
      </c>
      <c r="F152" s="577" t="s">
        <v>2897</v>
      </c>
      <c r="G152" s="37" t="str">
        <f>IFERROR(VLOOKUP(E152,SINAPI!A:D,2,0),"")</f>
        <v>TRATOR DE PNEUS COM POTÊNCIA DE 85 CV, TRAÇÃO 4X4, COM VASSOURA MECÂNICA ACOPLADA - CHI DIURNO. AF_02/2017</v>
      </c>
      <c r="H152" s="578"/>
      <c r="I152" s="40" t="str">
        <f>IFERROR(VLOOKUP(E152,SINAPI!A:D,3,0),"")</f>
        <v>CHI</v>
      </c>
      <c r="J152" s="536">
        <f t="shared" si="33"/>
        <v>5.3600000000000002E-2</v>
      </c>
      <c r="K152" s="40">
        <f>IFERROR(VLOOKUP(E152,SINAPI!A:D,4,0),"")</f>
        <v>49.52</v>
      </c>
      <c r="L152" s="580">
        <f t="shared" si="34"/>
        <v>2.65</v>
      </c>
      <c r="M152" s="264"/>
      <c r="N152" s="562"/>
      <c r="O152" s="562"/>
      <c r="P152" s="536">
        <v>0.13389999999999999</v>
      </c>
      <c r="Q152" s="536">
        <f t="shared" si="35"/>
        <v>6.6307</v>
      </c>
    </row>
    <row r="153" spans="1:17" ht="15" hidden="1" customHeight="1" outlineLevel="1" x14ac:dyDescent="0.25">
      <c r="A153" s="660" t="b">
        <f t="shared" si="32"/>
        <v>0</v>
      </c>
      <c r="C153" s="35">
        <v>8</v>
      </c>
      <c r="D153" s="576" t="s">
        <v>2747</v>
      </c>
      <c r="E153" s="576">
        <v>96157</v>
      </c>
      <c r="F153" s="577" t="s">
        <v>2898</v>
      </c>
      <c r="G153" s="37" t="str">
        <f>IFERROR(VLOOKUP(E153,SINAPI!A:D,2,0),"")</f>
        <v>TRATOR DE PNEUS COM POTÊNCIA DE 85 CV, TRAÇÃO 4X4, COM VASSOURA MECÂNICA ACOPLADA - CHP DIURNO. AF_03/2017</v>
      </c>
      <c r="H153" s="578"/>
      <c r="I153" s="40" t="str">
        <f>IFERROR(VLOOKUP(E153,SINAPI!A:D,3,0),"")</f>
        <v>CHP</v>
      </c>
      <c r="J153" s="536">
        <f t="shared" si="33"/>
        <v>1.7100000000000001E-2</v>
      </c>
      <c r="K153" s="40">
        <f>IFERROR(VLOOKUP(E153,SINAPI!A:D,4,0),"")</f>
        <v>146.57</v>
      </c>
      <c r="L153" s="580">
        <f t="shared" si="34"/>
        <v>2.5099999999999998</v>
      </c>
      <c r="M153" s="264"/>
      <c r="N153" s="562"/>
      <c r="O153" s="562"/>
      <c r="P153" s="536">
        <v>4.2700000000000002E-2</v>
      </c>
      <c r="Q153" s="536">
        <f t="shared" si="35"/>
        <v>6.2584999999999997</v>
      </c>
    </row>
    <row r="154" spans="1:17" ht="15" hidden="1" customHeight="1" outlineLevel="1" x14ac:dyDescent="0.25">
      <c r="A154" s="660" t="b">
        <f t="shared" si="32"/>
        <v>0</v>
      </c>
      <c r="C154" s="35">
        <v>9</v>
      </c>
      <c r="D154" s="576" t="s">
        <v>2747</v>
      </c>
      <c r="E154" s="576">
        <v>96463</v>
      </c>
      <c r="F154" s="577" t="s">
        <v>2899</v>
      </c>
      <c r="G154" s="37" t="str">
        <f>IFERROR(VLOOKUP(E154,SINAPI!A:D,2,0),"")</f>
        <v>ROLO COMPACTADOR DE PNEUS, ESTATICO, PRESSAO VARIAVEL, POTENCIA 110 HP, PESO SEM/COM LASTRO 10,8/27 T, LARGURA DE ROLAGEM 2,30 M - CHP DIURNO. AF_06/2017</v>
      </c>
      <c r="H154" s="578"/>
      <c r="I154" s="40" t="str">
        <f>IFERROR(VLOOKUP(E154,SINAPI!A:D,3,0),"")</f>
        <v>CHP</v>
      </c>
      <c r="J154" s="536">
        <f t="shared" si="33"/>
        <v>1.9800000000000002E-2</v>
      </c>
      <c r="K154" s="40">
        <f>IFERROR(VLOOKUP(E154,SINAPI!A:D,4,0),"")</f>
        <v>183.92</v>
      </c>
      <c r="L154" s="580">
        <f t="shared" si="34"/>
        <v>3.64</v>
      </c>
      <c r="M154" s="264"/>
      <c r="N154" s="562"/>
      <c r="O154" s="562"/>
      <c r="P154" s="536">
        <v>4.9500000000000002E-2</v>
      </c>
      <c r="Q154" s="536">
        <f t="shared" si="35"/>
        <v>9.1039999999999992</v>
      </c>
    </row>
    <row r="155" spans="1:17" ht="15" hidden="1" customHeight="1" outlineLevel="1" x14ac:dyDescent="0.25">
      <c r="A155" s="660" t="b">
        <f t="shared" si="32"/>
        <v>0</v>
      </c>
      <c r="C155" s="35">
        <v>10</v>
      </c>
      <c r="D155" s="576" t="s">
        <v>2747</v>
      </c>
      <c r="E155" s="576">
        <v>96464</v>
      </c>
      <c r="F155" s="577" t="s">
        <v>2900</v>
      </c>
      <c r="G155" s="37" t="str">
        <f>IFERROR(VLOOKUP(E155,SINAPI!A:D,2,0),"")</f>
        <v>ROLO COMPACTADOR DE PNEUS, ESTATICO, PRESSAO VARIAVEL, POTENCIA 110 HP, PESO SEM/COM LASTRO 10,8/27 T, LARGURA DE ROLAGEM 2,30 M - CHI DIURNO. AF_06/2017</v>
      </c>
      <c r="H155" s="578"/>
      <c r="I155" s="40" t="str">
        <f>IFERROR(VLOOKUP(E155,SINAPI!A:D,3,0),"")</f>
        <v>CHI</v>
      </c>
      <c r="J155" s="536">
        <f t="shared" si="33"/>
        <v>0.1215</v>
      </c>
      <c r="K155" s="40">
        <f>IFERROR(VLOOKUP(E155,SINAPI!A:D,4,0),"")</f>
        <v>63.93</v>
      </c>
      <c r="L155" s="580">
        <f t="shared" si="34"/>
        <v>7.77</v>
      </c>
      <c r="M155" s="264"/>
      <c r="N155" s="562"/>
      <c r="O155" s="562"/>
      <c r="P155" s="536">
        <v>0.30370000000000003</v>
      </c>
      <c r="Q155" s="536">
        <f t="shared" si="35"/>
        <v>19.415500000000002</v>
      </c>
    </row>
    <row r="156" spans="1:17" ht="15" hidden="1" customHeight="1" outlineLevel="1" x14ac:dyDescent="0.25">
      <c r="A156" s="660" t="b">
        <f t="shared" si="32"/>
        <v>0</v>
      </c>
      <c r="C156" s="35">
        <v>11</v>
      </c>
      <c r="D156" s="576" t="s">
        <v>2747</v>
      </c>
      <c r="E156" s="550">
        <v>1518</v>
      </c>
      <c r="F156" s="577" t="s">
        <v>2901</v>
      </c>
      <c r="G156" s="37" t="str">
        <f>IFERROR(VLOOKUP(E156,SINAPI!A:D,2,0),"")</f>
        <v xml:space="preserve">CONCRETO BETUMINOSO USINADO A QUENTE (CBUQ) PARA PAVIMENTACAO ASFALTICA, PADRAO DNIT, FAIXA C, COM CAP 50/70 - AQUISICAO POSTO USINA                                                                                                                                                                                                                                                                                                                                                                      </v>
      </c>
      <c r="H156" s="578"/>
      <c r="I156" s="40" t="str">
        <f>IFERROR(VLOOKUP(E156,SINAPI!A:D,3,0),"")</f>
        <v xml:space="preserve">T     </v>
      </c>
      <c r="J156" s="536">
        <f t="shared" si="33"/>
        <v>1.0219</v>
      </c>
      <c r="K156" s="40">
        <f>IFERROR(VLOOKUP(E156,SINAPI!A:D,4,0),"")</f>
        <v>590</v>
      </c>
      <c r="L156" s="580">
        <f t="shared" si="34"/>
        <v>602.91999999999996</v>
      </c>
      <c r="M156" s="264"/>
      <c r="N156" s="562"/>
      <c r="O156" s="562"/>
      <c r="P156" s="536">
        <v>2.5548000000000002</v>
      </c>
      <c r="Q156" s="536">
        <f t="shared" si="35"/>
        <v>1507.3320000000001</v>
      </c>
    </row>
    <row r="157" spans="1:17" ht="15" hidden="1" customHeight="1" outlineLevel="1" x14ac:dyDescent="0.25">
      <c r="A157" s="660" t="b">
        <f t="shared" si="32"/>
        <v>0</v>
      </c>
      <c r="C157" s="259">
        <v>12</v>
      </c>
      <c r="D157" s="583" t="s">
        <v>2747</v>
      </c>
      <c r="E157" s="583">
        <v>41899</v>
      </c>
      <c r="F157" s="260" t="s">
        <v>2754</v>
      </c>
      <c r="G157" s="260" t="str">
        <f>IFERROR(VLOOKUP(E157,SINAPI!A:D,2,0),"")</f>
        <v/>
      </c>
      <c r="H157" s="584" t="s">
        <v>2755</v>
      </c>
      <c r="I157" s="585" t="str">
        <f>IFERROR(VLOOKUP(E157,SINAPI!A:D,3,0),"")</f>
        <v/>
      </c>
      <c r="J157" s="586">
        <f>J156*-0.055</f>
        <v>-5.62E-2</v>
      </c>
      <c r="K157" s="585" t="str">
        <f>IFERROR(VLOOKUP(E157,SINAPI!A:D,4,0),"")</f>
        <v/>
      </c>
      <c r="L157" s="837"/>
      <c r="M157" s="264">
        <v>-0.06</v>
      </c>
      <c r="N157" s="582"/>
      <c r="O157" s="562"/>
      <c r="P157" s="536">
        <f>P156*-0.055</f>
        <v>-0.14050000000000001</v>
      </c>
      <c r="Q157" s="536" t="e">
        <f>K157*P157</f>
        <v>#VALUE!</v>
      </c>
    </row>
    <row r="158" spans="1:17" ht="15" hidden="1" customHeight="1" outlineLevel="1" thickBot="1" x14ac:dyDescent="0.3">
      <c r="A158" s="660" t="b">
        <f t="shared" si="32"/>
        <v>0</v>
      </c>
      <c r="C158" s="230" t="s">
        <v>96</v>
      </c>
      <c r="D158" s="231"/>
      <c r="E158" s="231"/>
      <c r="F158" s="231"/>
      <c r="G158" s="231"/>
      <c r="H158" s="231"/>
      <c r="I158" s="231"/>
      <c r="J158" s="231"/>
      <c r="K158" s="232"/>
      <c r="L158" s="581">
        <f>SUM(L146:L157)</f>
        <v>661.68</v>
      </c>
      <c r="M158" s="261"/>
      <c r="N158" s="562" t="str">
        <f>C145</f>
        <v>COMP 15</v>
      </c>
      <c r="O158" s="582">
        <f>L158</f>
        <v>661.68</v>
      </c>
      <c r="P158" s="536">
        <v>2.5</v>
      </c>
      <c r="Q158" s="536">
        <f>P158*L158</f>
        <v>1654.2</v>
      </c>
    </row>
    <row r="159" spans="1:17" ht="15" hidden="1" customHeight="1" outlineLevel="1" x14ac:dyDescent="0.25">
      <c r="A159" s="699" t="b">
        <f>_xlfn.XOR(C159=$S$2,C159=$S$3,C159=$S$4,C159=$S$5,C159=$S$6,C159=$S$7,C159=$S$8,C159=$S$9,C159=$S$10,C159=$S$11,C159=$S$12,C159=$S$13,C159=$S$14,C159=$S$15,C159=$S$16,C159=$S$17,C159=$S$18,C159=$S$19,C159=$S$20,C159=$S$21,C159=$S$22,C159=$S$23,C159=$S$24,C159=$S$25,C159=$S$26,C159=$S$27,C159=$S$28,C159=$S$29,C159=$S$30,C159=$S$316,C159=$S$32,C159=$S$33,C159=$S$34,C159=$S$35,C159=$S$36,C159=$S$37,C159=$S$38,C159=$S$39,C159=$S$40,C159=$S$41,C159=$S$42,)</f>
        <v>0</v>
      </c>
      <c r="C159" s="569" t="s">
        <v>144</v>
      </c>
      <c r="D159" s="570"/>
      <c r="E159" s="570" t="str">
        <f>IFERROR(VLOOKUP(C159,SINAPI!A:D,2,0),"")</f>
        <v>Guia de travamento de passeio em concreto moldado no local conforme detalhe</v>
      </c>
      <c r="F159" s="570"/>
      <c r="G159" s="217"/>
      <c r="H159" s="571"/>
      <c r="I159" s="572" t="str">
        <f>IFERROR(VLOOKUP(C159,SINAPI!A:D,3,0),"")</f>
        <v>m</v>
      </c>
      <c r="J159" s="573"/>
      <c r="K159" s="573" t="s">
        <v>2603</v>
      </c>
      <c r="L159" s="574" t="str">
        <f>IF(J159="","",ROUND(J159*#REF!,2))</f>
        <v/>
      </c>
      <c r="M159" s="575">
        <f>0.1*0.2</f>
        <v>0.02</v>
      </c>
      <c r="N159" s="562"/>
      <c r="O159" s="562"/>
      <c r="P159" s="562"/>
      <c r="Q159" s="562"/>
    </row>
    <row r="160" spans="1:17" ht="15" hidden="1" customHeight="1" outlineLevel="1" x14ac:dyDescent="0.25">
      <c r="A160" s="660" t="b">
        <f t="shared" si="32"/>
        <v>0</v>
      </c>
      <c r="C160" s="35">
        <v>1</v>
      </c>
      <c r="D160" s="576" t="s">
        <v>2639</v>
      </c>
      <c r="E160" s="576">
        <v>96530</v>
      </c>
      <c r="F160" s="577" t="s">
        <v>3336</v>
      </c>
      <c r="G160" s="37" t="str">
        <f>IFERROR(VLOOKUP(E160,SINAPI!A:D,2,0),"")</f>
        <v>FABRICAÇÃO, MONTAGEM E DESMONTAGEM DE FÔRMA PARA VIGA BALDRAME, EM MADEIRA SERRADA, E=25 MM, 1 UTILIZAÇÃO. AF_06/2017</v>
      </c>
      <c r="H160" s="578"/>
      <c r="I160" s="40" t="str">
        <f>IFERROR(VLOOKUP(E160,SINAPI!A:D,3,0),"")</f>
        <v>M2</v>
      </c>
      <c r="J160" s="579">
        <v>0.2</v>
      </c>
      <c r="K160" s="40">
        <f>IFERROR(VLOOKUP(E160,SINAPI!A:D,4,0),"")</f>
        <v>234.44</v>
      </c>
      <c r="L160" s="580">
        <f>IF(J160="","",ROUND(J160*K160,2))</f>
        <v>46.89</v>
      </c>
      <c r="M160" s="264"/>
      <c r="N160" s="562"/>
      <c r="O160" s="562"/>
      <c r="P160" s="562"/>
      <c r="Q160" s="562"/>
    </row>
    <row r="161" spans="1:17" ht="15" hidden="1" customHeight="1" outlineLevel="1" x14ac:dyDescent="0.25">
      <c r="A161" s="660" t="b">
        <f t="shared" si="32"/>
        <v>0</v>
      </c>
      <c r="C161" s="35">
        <v>2</v>
      </c>
      <c r="D161" s="576" t="s">
        <v>2747</v>
      </c>
      <c r="E161" s="576">
        <v>94964</v>
      </c>
      <c r="F161" s="577" t="s">
        <v>3335</v>
      </c>
      <c r="G161" s="37" t="str">
        <f>IFERROR(VLOOKUP(E161,SINAPI!A:D,2,0),"")</f>
        <v>CONCRETO FCK = 20MPA, TRAÇO 1:2,7:3 (EM MASSA SECA DE CIMENTO/ AREIA MÉDIA/ BRITA 1) - PREPARO MECÂNICO COM BETONEIRA 400 L. AF_05/2021</v>
      </c>
      <c r="H161" s="578"/>
      <c r="I161" s="40" t="str">
        <f>IFERROR(VLOOKUP(E161,SINAPI!A:D,3,0),"")</f>
        <v>M3</v>
      </c>
      <c r="J161" s="579">
        <f>0.1*0.2</f>
        <v>0.02</v>
      </c>
      <c r="K161" s="40">
        <f>IFERROR(VLOOKUP(E161,SINAPI!A:D,4,0),"")</f>
        <v>506.05</v>
      </c>
      <c r="L161" s="580">
        <f>IF(J161="","",ROUND(J161*K161,2))</f>
        <v>10.119999999999999</v>
      </c>
      <c r="M161" s="264"/>
      <c r="N161" s="562"/>
      <c r="O161" s="562"/>
      <c r="P161" s="562"/>
      <c r="Q161" s="562"/>
    </row>
    <row r="162" spans="1:17" ht="15" hidden="1" customHeight="1" outlineLevel="1" thickBot="1" x14ac:dyDescent="0.3">
      <c r="A162" s="702" t="b">
        <f t="shared" si="32"/>
        <v>0</v>
      </c>
      <c r="C162" s="230" t="s">
        <v>96</v>
      </c>
      <c r="D162" s="231"/>
      <c r="E162" s="231"/>
      <c r="F162" s="231"/>
      <c r="G162" s="231"/>
      <c r="H162" s="231"/>
      <c r="I162" s="231"/>
      <c r="J162" s="231"/>
      <c r="K162" s="232"/>
      <c r="L162" s="581">
        <f>SUM(L160:L161)</f>
        <v>57.01</v>
      </c>
      <c r="M162" s="261"/>
      <c r="N162" s="562" t="str">
        <f>C159</f>
        <v>COMP 16</v>
      </c>
      <c r="O162" s="582">
        <f>L162</f>
        <v>57.01</v>
      </c>
      <c r="P162" s="562"/>
      <c r="Q162" s="562"/>
    </row>
    <row r="163" spans="1:17" ht="26.25" hidden="1" outlineLevel="1" thickBot="1" x14ac:dyDescent="0.3">
      <c r="A163" s="699" t="b">
        <f>_xlfn.XOR(C163=$S$2,C163=$S$3,C163=$S$4,C163=$S$5,C163=$S$6,C163=$S$7,C163=$S$8,C163=$S$9,C163=$S$10,C163=$S$11,C163=$S$12,C163=$S$13,C163=$S$14,C163=$S$15,C163=$S$16,C163=$S$17,C163=$S$18,C163=$S$19,C163=$S$20,C163=$S$21,C163=$S$22,C163=$S$23,C163=$S$24,C163=$S$25,C163=$S$26,C163=$S$27,C163=$S$28,C163=$S$29,C163=$S$30,C163=$S$316,C163=$S$32,C163=$S$33,C163=$S$34,C163=$S$35,C163=$S$36,C163=$S$37,C163=$S$38,C163=$S$39,C163=$S$40,C163=$S$41,C163=$S$42,)</f>
        <v>0</v>
      </c>
      <c r="B163" s="752"/>
      <c r="C163" s="569" t="s">
        <v>145</v>
      </c>
      <c r="D163" s="570"/>
      <c r="E163" s="1669" t="str">
        <f>IFERROR(VLOOKUP(C163,SINAPI!A:D,2,0),"")</f>
        <v>Passeio em lajotas de concreto tatil pigmentada (40x40x3cm) sobre  sobre lastro de brita (e= 4cm) e assentamento com argamassa de cimento e areia (e=1,0cm)</v>
      </c>
      <c r="F163" s="1670"/>
      <c r="G163" s="1670"/>
      <c r="H163" s="1671"/>
      <c r="I163" s="572" t="str">
        <f>IFERROR(VLOOKUP(C163,SINAPI!A:D,3,0),"")</f>
        <v>m²</v>
      </c>
      <c r="J163" s="573"/>
      <c r="K163" s="573" t="s">
        <v>2603</v>
      </c>
      <c r="L163" s="574" t="str">
        <f>IF(J163="","",ROUND(J163*#REF!,2))</f>
        <v/>
      </c>
      <c r="M163" s="575"/>
      <c r="N163" s="562"/>
      <c r="O163" s="562"/>
      <c r="P163" s="562"/>
      <c r="Q163" s="562"/>
    </row>
    <row r="164" spans="1:17" ht="15" hidden="1" customHeight="1" outlineLevel="1" x14ac:dyDescent="0.25">
      <c r="A164" s="660" t="b">
        <f t="shared" si="32"/>
        <v>0</v>
      </c>
      <c r="C164" s="35">
        <v>1</v>
      </c>
      <c r="D164" s="550" t="s">
        <v>2639</v>
      </c>
      <c r="E164" s="550">
        <v>2003850</v>
      </c>
      <c r="F164" s="552" t="s">
        <v>2756</v>
      </c>
      <c r="G164" s="37" t="str">
        <f>IFERROR(VLOOKUP(E164,SINAPI!A:D,2,0),"")</f>
        <v>Lastro de brita comercial compactado com soquete vibratório - espalhamento manual</v>
      </c>
      <c r="H164" s="578"/>
      <c r="I164" s="40" t="str">
        <f>IFERROR(VLOOKUP(E164,SINAPI!A:D,3,0),"")</f>
        <v>m³</v>
      </c>
      <c r="J164" s="579">
        <f>0.04*1.05</f>
        <v>4.2000000000000003E-2</v>
      </c>
      <c r="K164" s="40">
        <f>IFERROR(VLOOKUP(E164,SINAPI!A:D,4,0),"")</f>
        <v>139.65</v>
      </c>
      <c r="L164" s="580">
        <f>IF(J164="","",ROUND(J164*K164,2))</f>
        <v>5.87</v>
      </c>
      <c r="M164" s="264"/>
      <c r="N164" s="562"/>
      <c r="O164" s="562"/>
      <c r="P164" s="562"/>
      <c r="Q164" s="562"/>
    </row>
    <row r="165" spans="1:17" ht="15" hidden="1" customHeight="1" outlineLevel="1" x14ac:dyDescent="0.25">
      <c r="A165" s="660" t="b">
        <f t="shared" si="32"/>
        <v>0</v>
      </c>
      <c r="C165" s="35">
        <v>2</v>
      </c>
      <c r="D165" s="550" t="s">
        <v>2639</v>
      </c>
      <c r="E165" s="576">
        <v>3103302</v>
      </c>
      <c r="F165" s="577" t="s">
        <v>2703</v>
      </c>
      <c r="G165" s="37" t="str">
        <f>IFERROR(VLOOKUP(E165,SINAPI!A:D,2,0),"")</f>
        <v>Fôrmas de tábuas de pinho para dispositivos de drenagem - utilização de 3 vezes - confecção, instalação e retirada</v>
      </c>
      <c r="H165" s="578"/>
      <c r="I165" s="40" t="str">
        <f>IFERROR(VLOOKUP(E165,SINAPI!A:D,3,0),"")</f>
        <v>m²</v>
      </c>
      <c r="J165" s="579">
        <v>0.04</v>
      </c>
      <c r="K165" s="40">
        <f>IFERROR(VLOOKUP(E165,SINAPI!A:D,4,0),"")</f>
        <v>67.53</v>
      </c>
      <c r="L165" s="580">
        <f>IF(J165="","",ROUND(J165*K165,2))</f>
        <v>2.7</v>
      </c>
      <c r="M165" s="264"/>
      <c r="N165" s="562"/>
      <c r="O165" s="562"/>
      <c r="P165" s="562"/>
      <c r="Q165" s="562"/>
    </row>
    <row r="166" spans="1:17" ht="15" hidden="1" customHeight="1" outlineLevel="1" x14ac:dyDescent="0.25">
      <c r="A166" s="702" t="b">
        <f t="shared" si="32"/>
        <v>0</v>
      </c>
      <c r="C166" s="35">
        <v>3</v>
      </c>
      <c r="D166" s="550" t="s">
        <v>2639</v>
      </c>
      <c r="E166" s="576">
        <v>1109669</v>
      </c>
      <c r="F166" s="577" t="s">
        <v>5681</v>
      </c>
      <c r="G166" s="37" t="str">
        <f>IFERROR(VLOOKUP(E166,SINAPI!A:D,2,0),"")</f>
        <v>Argamassa de cimento e areia 1:3 - confecção em betoneira e lançamento manual - areia comercial</v>
      </c>
      <c r="H166" s="578"/>
      <c r="I166" s="40" t="str">
        <f>IFERROR(VLOOKUP(E166,SINAPI!A:D,3,0),"")</f>
        <v>m³</v>
      </c>
      <c r="J166" s="579">
        <f>0.015*1.05</f>
        <v>1.5800000000000002E-2</v>
      </c>
      <c r="K166" s="40">
        <f>IFERROR(VLOOKUP(E166,SINAPI!A:D,4,0),"")</f>
        <v>515.19000000000005</v>
      </c>
      <c r="L166" s="580">
        <f t="shared" ref="L166:L168" si="36">IF(J166="","",ROUND(J166*K166,2))</f>
        <v>8.14</v>
      </c>
      <c r="M166" s="264"/>
      <c r="N166" s="562"/>
      <c r="O166" s="562"/>
      <c r="P166" s="562"/>
      <c r="Q166" s="562"/>
    </row>
    <row r="167" spans="1:17" ht="15" hidden="1" customHeight="1" outlineLevel="1" x14ac:dyDescent="0.25">
      <c r="A167" s="702" t="b">
        <f t="shared" si="32"/>
        <v>0</v>
      </c>
      <c r="C167" s="35">
        <v>4</v>
      </c>
      <c r="D167" s="550" t="s">
        <v>2747</v>
      </c>
      <c r="E167" s="576">
        <v>38135</v>
      </c>
      <c r="F167" s="577" t="s">
        <v>6743</v>
      </c>
      <c r="G167" s="37" t="str">
        <f>IFERROR(VLOOKUP(E167,SINAPI!A:D,2,0),"")</f>
        <v xml:space="preserve">LADRILHO HIDRAULICO, *20 X 20* CM, E= 2 CM, TATIL ALERTA OU DIRECIONAL, AMARELO                                                                                                                                                                                                                                                                                                                                                                                                                           </v>
      </c>
      <c r="H167" s="578"/>
      <c r="I167" s="40" t="str">
        <f>IFERROR(VLOOKUP(E167,SINAPI!A:D,3,0),"")</f>
        <v xml:space="preserve">M2    </v>
      </c>
      <c r="J167" s="579">
        <v>1.05</v>
      </c>
      <c r="K167" s="40">
        <f>IFERROR(VLOOKUP(E167,SINAPI!A:D,4,0),"")</f>
        <v>83.61</v>
      </c>
      <c r="L167" s="580">
        <f t="shared" si="36"/>
        <v>87.79</v>
      </c>
      <c r="M167" s="264"/>
      <c r="N167" s="562"/>
      <c r="O167" s="562"/>
      <c r="P167" s="562"/>
      <c r="Q167" s="562"/>
    </row>
    <row r="168" spans="1:17" ht="14.25" hidden="1" customHeight="1" outlineLevel="1" x14ac:dyDescent="0.25">
      <c r="A168" s="702" t="b">
        <f t="shared" si="32"/>
        <v>0</v>
      </c>
      <c r="C168" s="35">
        <v>5</v>
      </c>
      <c r="D168" s="550" t="s">
        <v>2639</v>
      </c>
      <c r="E168" s="550" t="s">
        <v>6397</v>
      </c>
      <c r="F168" s="552" t="s">
        <v>2751</v>
      </c>
      <c r="G168" s="37" t="str">
        <f>IFERROR(VLOOKUP(E168,SINAPI!A:D,2,0),"")</f>
        <v>Pedreiro</v>
      </c>
      <c r="H168" s="578"/>
      <c r="I168" s="40" t="str">
        <f>IFERROR(VLOOKUP(E168,SINAPI!A:D,3,0),"")</f>
        <v>h</v>
      </c>
      <c r="J168" s="579">
        <v>3.6799999999999999E-2</v>
      </c>
      <c r="K168" s="40">
        <f>IFERROR(VLOOKUP(E168,SINAPI!A:D,4,0),"")</f>
        <v>9.4499999999999993</v>
      </c>
      <c r="L168" s="580">
        <f t="shared" si="36"/>
        <v>0.35</v>
      </c>
      <c r="M168" s="264"/>
      <c r="N168" s="562"/>
      <c r="O168" s="562"/>
      <c r="P168" s="562"/>
      <c r="Q168" s="562"/>
    </row>
    <row r="169" spans="1:17" ht="15" hidden="1" customHeight="1" outlineLevel="1" thickBot="1" x14ac:dyDescent="0.3">
      <c r="A169" s="858" t="b">
        <f>A168</f>
        <v>0</v>
      </c>
      <c r="C169" s="230" t="s">
        <v>96</v>
      </c>
      <c r="D169" s="231"/>
      <c r="E169" s="231"/>
      <c r="F169" s="231"/>
      <c r="G169" s="231"/>
      <c r="H169" s="231"/>
      <c r="I169" s="231"/>
      <c r="J169" s="231"/>
      <c r="K169" s="232"/>
      <c r="L169" s="581">
        <f>SUM(L164:L168)</f>
        <v>104.85</v>
      </c>
      <c r="M169" s="261"/>
      <c r="N169" s="562" t="str">
        <f>C163</f>
        <v>COMP 17</v>
      </c>
      <c r="O169" s="582">
        <f>L169</f>
        <v>104.85</v>
      </c>
      <c r="P169" s="562"/>
      <c r="Q169" s="562"/>
    </row>
    <row r="170" spans="1:17" ht="15" hidden="1" customHeight="1" outlineLevel="1" x14ac:dyDescent="0.25">
      <c r="A170" s="699" t="b">
        <f>_xlfn.XOR(C170=$S$2,C170=$S$3,C170=$S$4,C170=$S$5,C170=$S$6,C170=$S$7,C170=$S$8,C170=$S$9,C170=$S$10,C170=$S$11,C170=$S$12,C170=$S$13,C170=$S$14,C170=$S$15,C170=$S$16,C170=$S$17,C170=$S$18,C170=$S$19,C170=$S$20,C170=$S$21,C170=$S$22,C170=$S$23,C170=$S$24,C170=$S$25,C170=$S$26,C170=$S$27,C170=$S$28,C170=$S$29,C170=$S$30,C170=$S$316,C170=$S$32,C170=$S$33,C170=$S$34,C170=$S$35,C170=$S$36,C170=$S$37,C170=$S$38,C170=$S$39,C170=$S$40,C170=$S$41,C170=$S$42,)</f>
        <v>0</v>
      </c>
      <c r="C170" s="569" t="s">
        <v>146</v>
      </c>
      <c r="D170" s="570"/>
      <c r="E170" s="570" t="str">
        <f>IFERROR(VLOOKUP(C170,SINAPI!A:D,2,0),"")</f>
        <v>Passeio reforçado em concreto FCK 20MPa (e= 10cm) sobre lastro de brita graduada (e= 10cm)</v>
      </c>
      <c r="F170" s="570"/>
      <c r="G170" s="217"/>
      <c r="H170" s="571"/>
      <c r="I170" s="572" t="str">
        <f>IFERROR(VLOOKUP(C170,SINAPI!A:D,3,0),"")</f>
        <v>m²</v>
      </c>
      <c r="J170" s="573"/>
      <c r="K170" s="573" t="s">
        <v>2603</v>
      </c>
      <c r="L170" s="574" t="str">
        <f>IF(J170="","",ROUND(J170*#REF!,2))</f>
        <v/>
      </c>
      <c r="M170" s="575"/>
      <c r="N170" s="562"/>
      <c r="O170" s="562"/>
      <c r="P170" s="562"/>
      <c r="Q170" s="562"/>
    </row>
    <row r="171" spans="1:17" ht="15" hidden="1" customHeight="1" outlineLevel="1" x14ac:dyDescent="0.25">
      <c r="A171" s="660" t="b">
        <f t="shared" si="32"/>
        <v>0</v>
      </c>
      <c r="C171" s="35">
        <v>1</v>
      </c>
      <c r="D171" s="550" t="s">
        <v>2639</v>
      </c>
      <c r="E171" s="550">
        <v>4011276</v>
      </c>
      <c r="F171" s="552" t="s">
        <v>2631</v>
      </c>
      <c r="G171" s="37" t="str">
        <f>IFERROR(VLOOKUP(E171,SINAPI!A:D,2,0),"")</f>
        <v>Base ou sub-base de brita graduada com brita comercial</v>
      </c>
      <c r="H171" s="578"/>
      <c r="I171" s="40" t="str">
        <f>IFERROR(VLOOKUP(E171,SINAPI!A:D,3,0),"")</f>
        <v>m³</v>
      </c>
      <c r="J171" s="536">
        <f>0.1*1.05</f>
        <v>0.105</v>
      </c>
      <c r="K171" s="40">
        <f>IFERROR(VLOOKUP(E171,SINAPI!A:D,4,0),"")</f>
        <v>204.16</v>
      </c>
      <c r="L171" s="580">
        <f>IF(J171="","",ROUND(J171*K171,2))</f>
        <v>21.44</v>
      </c>
      <c r="M171" s="264"/>
      <c r="N171" s="562"/>
      <c r="O171" s="562"/>
      <c r="P171" s="562"/>
      <c r="Q171" s="562"/>
    </row>
    <row r="172" spans="1:17" ht="15" hidden="1" customHeight="1" outlineLevel="1" x14ac:dyDescent="0.25">
      <c r="A172" s="660" t="b">
        <f t="shared" si="32"/>
        <v>0</v>
      </c>
      <c r="C172" s="35">
        <v>2</v>
      </c>
      <c r="D172" s="550" t="s">
        <v>2639</v>
      </c>
      <c r="E172" s="576">
        <v>3103302</v>
      </c>
      <c r="F172" s="552" t="s">
        <v>2703</v>
      </c>
      <c r="G172" s="37" t="str">
        <f>IFERROR(VLOOKUP(E172,SINAPI!A:D,2,0),"")</f>
        <v>Fôrmas de tábuas de pinho para dispositivos de drenagem - utilização de 3 vezes - confecção, instalação e retirada</v>
      </c>
      <c r="H172" s="578"/>
      <c r="I172" s="40" t="str">
        <f>IFERROR(VLOOKUP(E172,SINAPI!A:D,3,0),"")</f>
        <v>m²</v>
      </c>
      <c r="J172" s="536">
        <f>(0.01+0.01)*1.05</f>
        <v>2.1000000000000001E-2</v>
      </c>
      <c r="K172" s="40">
        <f>IFERROR(VLOOKUP(E172,SINAPI!A:D,4,0),"")</f>
        <v>67.53</v>
      </c>
      <c r="L172" s="580">
        <f t="shared" ref="L172:L174" si="37">IF(J172="","",ROUND(J172*K172,2))</f>
        <v>1.42</v>
      </c>
      <c r="M172" s="264"/>
      <c r="N172" s="562"/>
      <c r="O172" s="562"/>
      <c r="P172" s="562"/>
      <c r="Q172" s="562"/>
    </row>
    <row r="173" spans="1:17" ht="15" hidden="1" customHeight="1" outlineLevel="1" x14ac:dyDescent="0.25">
      <c r="A173" s="1146" t="b">
        <f>A170</f>
        <v>0</v>
      </c>
      <c r="C173" s="35">
        <v>3</v>
      </c>
      <c r="D173" s="576" t="s">
        <v>2639</v>
      </c>
      <c r="E173" s="576">
        <v>1107892</v>
      </c>
      <c r="F173" s="552" t="s">
        <v>2702</v>
      </c>
      <c r="G173" s="37" t="str">
        <f>IFERROR(VLOOKUP(E173,SINAPI!A:D,2,0),"")</f>
        <v>Concreto fck = 20 MPa - confecção em betoneira e lançamento manual - areia e brita comerciais</v>
      </c>
      <c r="H173" s="578"/>
      <c r="I173" s="40" t="str">
        <f>IFERROR(VLOOKUP(E173,SINAPI!A:D,3,0),"")</f>
        <v>m³</v>
      </c>
      <c r="J173" s="536">
        <f>0.1*1.05</f>
        <v>0.105</v>
      </c>
      <c r="K173" s="40">
        <f>IFERROR(VLOOKUP(E173,SINAPI!A:D,4,0),"")</f>
        <v>449.57</v>
      </c>
      <c r="L173" s="580">
        <f t="shared" ref="L173" si="38">IF(J173="","",ROUND(J173*K173,2))</f>
        <v>47.2</v>
      </c>
      <c r="M173" s="264"/>
      <c r="N173" s="562"/>
      <c r="O173" s="562"/>
      <c r="P173" s="562"/>
      <c r="Q173" s="562"/>
    </row>
    <row r="174" spans="1:17" ht="15" hidden="1" customHeight="1" outlineLevel="1" x14ac:dyDescent="0.25">
      <c r="A174" s="849" t="b">
        <f>A171</f>
        <v>0</v>
      </c>
      <c r="C174" s="35">
        <v>4</v>
      </c>
      <c r="D174" s="576" t="s">
        <v>2639</v>
      </c>
      <c r="E174" s="1086">
        <v>1106087</v>
      </c>
      <c r="F174" s="552" t="s">
        <v>2761</v>
      </c>
      <c r="G174" s="37" t="str">
        <f>IFERROR(VLOOKUP(E174,SINAPI!A:D,2,0),"")</f>
        <v>Lançamento manual de concreto usinado - confecção em central dosadora de 40 m³/h</v>
      </c>
      <c r="H174" s="578"/>
      <c r="I174" s="40" t="str">
        <f>IFERROR(VLOOKUP(E174,SINAPI!A:D,3,0),"")</f>
        <v>m³</v>
      </c>
      <c r="J174" s="536">
        <f>J173</f>
        <v>0.105</v>
      </c>
      <c r="K174" s="40">
        <f>IFERROR(VLOOKUP(E174,SINAPI!A:D,4,0),"")</f>
        <v>48.95</v>
      </c>
      <c r="L174" s="580">
        <f t="shared" si="37"/>
        <v>5.14</v>
      </c>
      <c r="M174" s="264"/>
      <c r="N174" s="562"/>
      <c r="O174" s="562"/>
      <c r="P174" s="562"/>
      <c r="Q174" s="562"/>
    </row>
    <row r="175" spans="1:17" ht="15" hidden="1" customHeight="1" outlineLevel="1" thickBot="1" x14ac:dyDescent="0.3">
      <c r="A175" s="702" t="b">
        <f>A174</f>
        <v>0</v>
      </c>
      <c r="C175" s="230" t="s">
        <v>96</v>
      </c>
      <c r="D175" s="231"/>
      <c r="E175" s="231"/>
      <c r="F175" s="231"/>
      <c r="G175" s="231"/>
      <c r="H175" s="231"/>
      <c r="I175" s="231"/>
      <c r="J175" s="231"/>
      <c r="K175" s="232"/>
      <c r="L175" s="581">
        <f>SUM(L171:L174)</f>
        <v>75.2</v>
      </c>
      <c r="M175" s="261"/>
      <c r="N175" s="562" t="str">
        <f>C170</f>
        <v>COMP 18</v>
      </c>
      <c r="O175" s="582">
        <f>L175</f>
        <v>75.2</v>
      </c>
      <c r="P175" s="562"/>
      <c r="Q175" s="562"/>
    </row>
    <row r="176" spans="1:17" ht="26.25" hidden="1" outlineLevel="1" thickBot="1" x14ac:dyDescent="0.3">
      <c r="A176" s="699" t="b">
        <f>_xlfn.XOR(C176=$S$2,C176=$S$3,C176=$S$4,C176=$S$5,C176=$S$6,C176=$S$7,C176=$S$8,C176=$S$9,C176=$S$10,C176=$S$11,C176=$S$12,C176=$S$13,C176=$S$14,C176=$S$15,C176=$S$16,C176=$S$17,C176=$S$18,C176=$S$19,C176=$S$20,C176=$S$21,C176=$S$22,C176=$S$23,C176=$S$24,C176=$S$25,C176=$S$26,C176=$S$27,C176=$S$28,C176=$S$29,C176=$S$30,C176=$S$316,C176=$S$32,C176=$S$33,C176=$S$34,C176=$S$35,C176=$S$36,C176=$S$37,C176=$S$38,C176=$S$39,C176=$S$40,C176=$S$41,C176=$S$42,)</f>
        <v>0</v>
      </c>
      <c r="B176" s="752"/>
      <c r="C176" s="569" t="s">
        <v>147</v>
      </c>
      <c r="D176" s="570"/>
      <c r="E176" s="1669" t="str">
        <f>IFERROR(VLOOKUP(C176,SINAPI!A:D,2,0),"")</f>
        <v>Fornecimento e implantação de placas  totalmente refletivas de regulamentação tipo octogonal (R1 - Pare) L= 25cm, inclusive suporte metálico e base de concreto conforme detalhe - urbano</v>
      </c>
      <c r="F176" s="1670"/>
      <c r="G176" s="1670"/>
      <c r="H176" s="1671"/>
      <c r="I176" s="572" t="str">
        <f>IFERROR(VLOOKUP(C176,SINAPI!A:D,3,0),"")</f>
        <v>un</v>
      </c>
      <c r="J176" s="573"/>
      <c r="K176" s="573" t="s">
        <v>2603</v>
      </c>
      <c r="L176" s="574" t="str">
        <f>IF(J176="","",ROUND(J176*#REF!,2))</f>
        <v/>
      </c>
      <c r="M176" s="575"/>
      <c r="N176" s="562"/>
      <c r="O176" s="562"/>
      <c r="P176" s="562"/>
      <c r="Q176" s="562"/>
    </row>
    <row r="177" spans="1:17" ht="15" hidden="1" customHeight="1" outlineLevel="1" x14ac:dyDescent="0.25">
      <c r="A177" s="660" t="b">
        <f t="shared" si="32"/>
        <v>0</v>
      </c>
      <c r="C177" s="35">
        <v>1</v>
      </c>
      <c r="D177" s="576" t="s">
        <v>2639</v>
      </c>
      <c r="E177" s="576">
        <v>5213416</v>
      </c>
      <c r="F177" s="577" t="str">
        <f>G177</f>
        <v>Placa em aço nº 16 galvanizado com película retrorrefletiva tipo I + I - confecção</v>
      </c>
      <c r="G177" s="37" t="str">
        <f>IFERROR(VLOOKUP(E177,SINAPI!A:D,2,0),"")</f>
        <v>Placa em aço nº 16 galvanizado com película retrorrefletiva tipo I + I - confecção</v>
      </c>
      <c r="H177" s="578"/>
      <c r="I177" s="40" t="str">
        <f>IFERROR(VLOOKUP(E177,SINAPI!A:D,3,0),"")</f>
        <v>m²</v>
      </c>
      <c r="J177" s="536">
        <v>0.3</v>
      </c>
      <c r="K177" s="40">
        <f>IFERROR(VLOOKUP(E177,SINAPI!A:D,4,0),"")</f>
        <v>411.36</v>
      </c>
      <c r="L177" s="580">
        <f>IF(J177="","",ROUND(J177*K177,2))</f>
        <v>123.41</v>
      </c>
      <c r="M177" s="264"/>
      <c r="N177" s="562"/>
      <c r="O177" s="562"/>
      <c r="P177" s="562"/>
      <c r="Q177" s="562"/>
    </row>
    <row r="178" spans="1:17" ht="15" hidden="1" customHeight="1" outlineLevel="1" x14ac:dyDescent="0.25">
      <c r="A178" s="660" t="b">
        <f t="shared" si="32"/>
        <v>0</v>
      </c>
      <c r="C178" s="35">
        <v>2</v>
      </c>
      <c r="D178" s="576" t="s">
        <v>2747</v>
      </c>
      <c r="E178" s="576">
        <v>21013</v>
      </c>
      <c r="F178" s="577" t="s">
        <v>5682</v>
      </c>
      <c r="G178" s="37" t="str">
        <f>IFERROR(VLOOKUP(E178,SINAPI!A:D,2,0),"")</f>
        <v xml:space="preserve">TUBO ACO GALVANIZADO COM COSTURA, CLASSE LEVE, DN 50 MM ( 2"),  E = 3,00 MM,  *4,40* KG/M (NBR 5580)                                                                                                                                                                                                                                                                                                                                                                                                      </v>
      </c>
      <c r="H178" s="578"/>
      <c r="I178" s="40" t="str">
        <f>IFERROR(VLOOKUP(E178,SINAPI!A:D,3,0),"")</f>
        <v xml:space="preserve">M     </v>
      </c>
      <c r="J178" s="536">
        <v>3.65</v>
      </c>
      <c r="K178" s="40">
        <f>IFERROR(VLOOKUP(E178,SINAPI!A:D,4,0),"")</f>
        <v>68.66</v>
      </c>
      <c r="L178" s="580">
        <f t="shared" ref="L178:L184" si="39">IF(J178="","",ROUND(J178*K178,2))</f>
        <v>250.61</v>
      </c>
      <c r="M178" s="264"/>
      <c r="N178" s="562"/>
      <c r="O178" s="562"/>
      <c r="P178" s="562"/>
      <c r="Q178" s="562"/>
    </row>
    <row r="179" spans="1:17" ht="15" hidden="1" customHeight="1" outlineLevel="1" x14ac:dyDescent="0.25">
      <c r="A179" s="660" t="b">
        <f t="shared" si="32"/>
        <v>0</v>
      </c>
      <c r="C179" s="35">
        <v>3</v>
      </c>
      <c r="D179" s="576" t="s">
        <v>2747</v>
      </c>
      <c r="E179" s="576">
        <v>1166</v>
      </c>
      <c r="F179" s="577" t="s">
        <v>5683</v>
      </c>
      <c r="G179" s="37" t="str">
        <f>IFERROR(VLOOKUP(E179,SINAPI!A:D,2,0),"")</f>
        <v xml:space="preserve">CAP OU TAMPAO DE FERRO GALVANIZADO, COM ROSCA BSP, DE 2"                                                                                                                                                                                                                                                                                                                                                                                                                                                  </v>
      </c>
      <c r="H179" s="578"/>
      <c r="I179" s="40" t="str">
        <f>IFERROR(VLOOKUP(E179,SINAPI!A:D,3,0),"")</f>
        <v xml:space="preserve">UN    </v>
      </c>
      <c r="J179" s="536">
        <v>1</v>
      </c>
      <c r="K179" s="40">
        <f>IFERROR(VLOOKUP(E179,SINAPI!A:D,4,0),"")</f>
        <v>29.05</v>
      </c>
      <c r="L179" s="580">
        <f t="shared" si="39"/>
        <v>29.05</v>
      </c>
      <c r="M179" s="264"/>
      <c r="N179" s="562"/>
      <c r="O179" s="562"/>
      <c r="P179" s="562"/>
      <c r="Q179" s="562"/>
    </row>
    <row r="180" spans="1:17" ht="15" hidden="1" customHeight="1" outlineLevel="1" x14ac:dyDescent="0.25">
      <c r="A180" s="849" t="b">
        <f t="shared" si="32"/>
        <v>0</v>
      </c>
      <c r="C180" s="35">
        <v>4</v>
      </c>
      <c r="D180" s="576" t="s">
        <v>2747</v>
      </c>
      <c r="E180" s="576">
        <v>94962</v>
      </c>
      <c r="F180" s="577" t="s">
        <v>2760</v>
      </c>
      <c r="G180" s="37" t="str">
        <f>IFERROR(VLOOKUP(E180,SINAPI!A:D,2,0),"")</f>
        <v>CONCRETO MAGRO PARA LASTRO, TRAÇO 1:4,5:4,5 (EM MASSA SECA DE CIMENTO/ AREIA MÉDIA/ BRITA 1) - PREPARO MECÂNICO COM BETONEIRA 400 L. AF_05/2021</v>
      </c>
      <c r="H180" s="578"/>
      <c r="I180" s="40" t="str">
        <f>IFERROR(VLOOKUP(E180,SINAPI!A:D,3,0),"")</f>
        <v>M3</v>
      </c>
      <c r="J180" s="536">
        <v>2.5000000000000001E-2</v>
      </c>
      <c r="K180" s="40">
        <f>IFERROR(VLOOKUP(E180,SINAPI!A:D,4,0),"")</f>
        <v>424.83</v>
      </c>
      <c r="L180" s="580">
        <f t="shared" si="39"/>
        <v>10.62</v>
      </c>
      <c r="M180" s="264"/>
      <c r="N180" s="562"/>
      <c r="O180" s="562"/>
      <c r="P180" s="562"/>
      <c r="Q180" s="562"/>
    </row>
    <row r="181" spans="1:17" ht="15" hidden="1" customHeight="1" outlineLevel="1" x14ac:dyDescent="0.25">
      <c r="A181" s="849" t="b">
        <f t="shared" si="32"/>
        <v>0</v>
      </c>
      <c r="C181" s="35">
        <v>5</v>
      </c>
      <c r="D181" s="576" t="s">
        <v>2747</v>
      </c>
      <c r="E181" s="576">
        <v>103670</v>
      </c>
      <c r="F181" s="577" t="s">
        <v>2761</v>
      </c>
      <c r="G181" s="37" t="str">
        <f>IFERROR(VLOOKUP(E181,SINAPI!A:D,2,0),"")</f>
        <v>LANÇAMENTO COM USO DE BALDES, ADENSAMENTO E ACABAMENTO DE CONCRETO EM ESTRUTURAS. AF_02/2022</v>
      </c>
      <c r="H181" s="578"/>
      <c r="I181" s="40" t="str">
        <f>IFERROR(VLOOKUP(E181,SINAPI!A:D,3,0),"")</f>
        <v>M3</v>
      </c>
      <c r="J181" s="536">
        <v>2.5000000000000001E-2</v>
      </c>
      <c r="K181" s="40">
        <f>IFERROR(VLOOKUP(E181,SINAPI!A:D,4,0),"")</f>
        <v>301.64</v>
      </c>
      <c r="L181" s="580">
        <f t="shared" si="39"/>
        <v>7.54</v>
      </c>
      <c r="M181" s="264"/>
      <c r="N181" s="562"/>
      <c r="O181" s="562"/>
      <c r="P181" s="562"/>
      <c r="Q181" s="562"/>
    </row>
    <row r="182" spans="1:17" ht="15" hidden="1" customHeight="1" outlineLevel="1" x14ac:dyDescent="0.25">
      <c r="A182" s="849" t="b">
        <f t="shared" si="32"/>
        <v>0</v>
      </c>
      <c r="C182" s="35">
        <v>6</v>
      </c>
      <c r="D182" s="576" t="s">
        <v>2747</v>
      </c>
      <c r="E182" s="576">
        <v>11059</v>
      </c>
      <c r="F182" s="577" t="s">
        <v>2762</v>
      </c>
      <c r="G182" s="37" t="str">
        <f>IFERROR(VLOOKUP(E182,SINAPI!A:D,2,0),"")</f>
        <v xml:space="preserve">PARAFUSO ROSCA SOBERBA ZINCADO CABECA CHATA FENDA SIMPLES 5,5 X 50 MM (2 ")                                                                                                                                                                                                                                                                                                                                                                                                                               </v>
      </c>
      <c r="H182" s="578"/>
      <c r="I182" s="40" t="str">
        <f>IFERROR(VLOOKUP(E182,SINAPI!A:D,3,0),"")</f>
        <v xml:space="preserve">UN    </v>
      </c>
      <c r="J182" s="536">
        <v>2</v>
      </c>
      <c r="K182" s="40">
        <f>IFERROR(VLOOKUP(E182,SINAPI!A:D,4,0),"")</f>
        <v>0.36</v>
      </c>
      <c r="L182" s="580">
        <f t="shared" si="39"/>
        <v>0.72</v>
      </c>
      <c r="M182" s="264"/>
      <c r="N182" s="562"/>
      <c r="O182" s="562"/>
      <c r="P182" s="562"/>
      <c r="Q182" s="562"/>
    </row>
    <row r="183" spans="1:17" ht="15" hidden="1" customHeight="1" outlineLevel="1" x14ac:dyDescent="0.25">
      <c r="A183" s="849" t="b">
        <f t="shared" si="32"/>
        <v>0</v>
      </c>
      <c r="C183" s="35">
        <v>7</v>
      </c>
      <c r="D183" s="576" t="s">
        <v>2747</v>
      </c>
      <c r="E183" s="576">
        <v>4343</v>
      </c>
      <c r="F183" s="577" t="s">
        <v>2763</v>
      </c>
      <c r="G183" s="37" t="str">
        <f>IFERROR(VLOOKUP(E183,SINAPI!A:D,2,0),"")</f>
        <v xml:space="preserve">PARAFUSO FRANCES ZINCADO, DIAMETRO 1/2", COMPRIMENTO 4", COM PORCA E ARRUELA                                                                                                                                                                                                                                                                                                                                                                                                                              </v>
      </c>
      <c r="H183" s="578"/>
      <c r="I183" s="40" t="str">
        <f>IFERROR(VLOOKUP(E183,SINAPI!A:D,3,0),"")</f>
        <v xml:space="preserve">UN    </v>
      </c>
      <c r="J183" s="536">
        <v>3</v>
      </c>
      <c r="K183" s="40">
        <f>IFERROR(VLOOKUP(E183,SINAPI!A:D,4,0),"")</f>
        <v>7.36</v>
      </c>
      <c r="L183" s="580">
        <f t="shared" ref="L183" si="40">IF(J183="","",ROUND(J183*K183,2))</f>
        <v>22.08</v>
      </c>
      <c r="M183" s="264"/>
      <c r="N183" s="562"/>
      <c r="O183" s="562"/>
      <c r="P183" s="562"/>
      <c r="Q183" s="562"/>
    </row>
    <row r="184" spans="1:17" ht="15" hidden="1" customHeight="1" outlineLevel="1" x14ac:dyDescent="0.25">
      <c r="A184" s="849" t="b">
        <f t="shared" si="32"/>
        <v>0</v>
      </c>
      <c r="C184" s="35">
        <v>8</v>
      </c>
      <c r="D184" s="550" t="s">
        <v>2748</v>
      </c>
      <c r="E184" s="576">
        <v>567</v>
      </c>
      <c r="F184" s="577" t="s">
        <v>5678</v>
      </c>
      <c r="G184" s="37" t="str">
        <f>IFERROR(VLOOKUP(E184,SINAPI!A:D,2,0),"")</f>
        <v xml:space="preserve">CANTONEIRA (ABAS IGUAIS) EM ACO CARBONO, 25,4 MM X 3,17 MM (L X E), 1,27KG/M                                                                                                                                                                                                                                                                                                                                                                                                                              </v>
      </c>
      <c r="H184" s="578"/>
      <c r="I184" s="40" t="str">
        <f>IFERROR(VLOOKUP(E184,SINAPI!A:D,3,0),"")</f>
        <v xml:space="preserve">M     </v>
      </c>
      <c r="J184" s="536">
        <v>0.55000000000000004</v>
      </c>
      <c r="K184" s="40">
        <f>IFERROR(VLOOKUP(E184,SINAPI!A:D,4,0),"")</f>
        <v>14.95</v>
      </c>
      <c r="L184" s="580">
        <f t="shared" si="39"/>
        <v>8.2200000000000006</v>
      </c>
      <c r="M184" s="264"/>
      <c r="N184" s="562"/>
      <c r="O184" s="562"/>
      <c r="P184" s="562"/>
      <c r="Q184" s="562"/>
    </row>
    <row r="185" spans="1:17" ht="15" hidden="1" customHeight="1" outlineLevel="1" thickBot="1" x14ac:dyDescent="0.3">
      <c r="A185" s="849" t="b">
        <f t="shared" si="32"/>
        <v>0</v>
      </c>
      <c r="C185" s="230" t="s">
        <v>96</v>
      </c>
      <c r="D185" s="231"/>
      <c r="E185" s="231"/>
      <c r="F185" s="231"/>
      <c r="G185" s="231"/>
      <c r="H185" s="231"/>
      <c r="I185" s="231"/>
      <c r="J185" s="231"/>
      <c r="K185" s="232"/>
      <c r="L185" s="581">
        <f>SUM(L177:L184)</f>
        <v>452.25</v>
      </c>
      <c r="M185" s="261"/>
      <c r="N185" s="562" t="str">
        <f>C176</f>
        <v>COMP 19</v>
      </c>
      <c r="O185" s="582">
        <f>L185</f>
        <v>452.25</v>
      </c>
      <c r="P185" s="562"/>
      <c r="Q185" s="562"/>
    </row>
    <row r="186" spans="1:17" ht="26.25" hidden="1" outlineLevel="1" thickBot="1" x14ac:dyDescent="0.3">
      <c r="A186" s="699" t="b">
        <f>_xlfn.XOR(C186=$S$2,C186=$S$3,C186=$S$4,C186=$S$5,C186=$S$6,C186=$S$7,C186=$S$8,C186=$S$9,C186=$S$10,C186=$S$11,C186=$S$12,C186=$S$13,C186=$S$14,C186=$S$15,C186=$S$16,C186=$S$17,C186=$S$18,C186=$S$19,C186=$S$20,C186=$S$21,C186=$S$22,C186=$S$23,C186=$S$24,C186=$S$25,C186=$S$26,C186=$S$27,C186=$S$28,C186=$S$29,C186=$S$30,C186=$S$316,C186=$S$32,C186=$S$33,C186=$S$34,C186=$S$35,C186=$S$36,C186=$S$37,C186=$S$38,C186=$S$39,C186=$S$40,C186=$S$41,C186=$S$42,)</f>
        <v>0</v>
      </c>
      <c r="B186" s="752"/>
      <c r="C186" s="569" t="s">
        <v>148</v>
      </c>
      <c r="D186" s="570"/>
      <c r="E186" s="1669" t="str">
        <f>IFERROR(VLOOKUP(C186,SINAPI!A:D,2,0),"")</f>
        <v>Fornecimento e implantação de placas totalmente refletivas de advertência tipo quadrada 45x45cm, inclusive suporte metálico e base de concreto conforme detalhe - urbano</v>
      </c>
      <c r="F186" s="1670"/>
      <c r="G186" s="1670"/>
      <c r="H186" s="1671"/>
      <c r="I186" s="572" t="str">
        <f>IFERROR(VLOOKUP(C186,SINAPI!A:D,3,0),"")</f>
        <v>un</v>
      </c>
      <c r="J186" s="573"/>
      <c r="K186" s="573" t="s">
        <v>2603</v>
      </c>
      <c r="L186" s="574" t="str">
        <f>IF(J186="","",ROUND(J186*#REF!,2))</f>
        <v/>
      </c>
      <c r="M186" s="575"/>
      <c r="N186" s="562"/>
      <c r="O186" s="562"/>
      <c r="P186" s="562"/>
      <c r="Q186" s="562"/>
    </row>
    <row r="187" spans="1:17" ht="15" hidden="1" customHeight="1" outlineLevel="1" x14ac:dyDescent="0.25">
      <c r="A187" s="660" t="b">
        <f t="shared" si="32"/>
        <v>0</v>
      </c>
      <c r="C187" s="35">
        <v>1</v>
      </c>
      <c r="D187" s="576" t="s">
        <v>2639</v>
      </c>
      <c r="E187" s="576">
        <v>5213416</v>
      </c>
      <c r="F187" s="577" t="str">
        <f>G187</f>
        <v>Placa em aço nº 16 galvanizado com película retrorrefletiva tipo I + I - confecção</v>
      </c>
      <c r="G187" s="37" t="str">
        <f>IFERROR(VLOOKUP(E187,SINAPI!A:D,2,0),"")</f>
        <v>Placa em aço nº 16 galvanizado com película retrorrefletiva tipo I + I - confecção</v>
      </c>
      <c r="H187" s="578"/>
      <c r="I187" s="40" t="str">
        <f>IFERROR(VLOOKUP(E187,SINAPI!A:D,3,0),"")</f>
        <v>m²</v>
      </c>
      <c r="J187" s="536">
        <f>M187*M188</f>
        <v>0.20250000000000001</v>
      </c>
      <c r="K187" s="40">
        <f>IFERROR(VLOOKUP(E187,SINAPI!A:D,4,0),"")</f>
        <v>411.36</v>
      </c>
      <c r="L187" s="580">
        <f>IF(J187="","",ROUND(J187*K187,2))</f>
        <v>83.3</v>
      </c>
      <c r="M187" s="264">
        <v>0.45</v>
      </c>
      <c r="N187" s="562"/>
      <c r="O187" s="562"/>
      <c r="P187" s="562"/>
      <c r="Q187" s="562"/>
    </row>
    <row r="188" spans="1:17" ht="15" hidden="1" customHeight="1" outlineLevel="1" x14ac:dyDescent="0.25">
      <c r="A188" s="849" t="b">
        <f t="shared" si="32"/>
        <v>0</v>
      </c>
      <c r="C188" s="35">
        <v>2</v>
      </c>
      <c r="D188" s="576" t="s">
        <v>2747</v>
      </c>
      <c r="E188" s="576">
        <v>21013</v>
      </c>
      <c r="F188" s="577" t="s">
        <v>5682</v>
      </c>
      <c r="G188" s="37" t="str">
        <f>IFERROR(VLOOKUP(E188,SINAPI!A:D,2,0),"")</f>
        <v xml:space="preserve">TUBO ACO GALVANIZADO COM COSTURA, CLASSE LEVE, DN 50 MM ( 2"),  E = 3,00 MM,  *4,40* KG/M (NBR 5580)                                                                                                                                                                                                                                                                                                                                                                                                      </v>
      </c>
      <c r="H188" s="578"/>
      <c r="I188" s="40" t="str">
        <f>IFERROR(VLOOKUP(E188,SINAPI!A:D,3,0),"")</f>
        <v xml:space="preserve">M     </v>
      </c>
      <c r="J188" s="536">
        <f>2.95+0.35</f>
        <v>3.3</v>
      </c>
      <c r="K188" s="40">
        <f>IFERROR(VLOOKUP(E188,SINAPI!A:D,4,0),"")</f>
        <v>68.66</v>
      </c>
      <c r="L188" s="580">
        <f t="shared" ref="L188:L194" si="41">IF(J188="","",ROUND(J188*K188,2))</f>
        <v>226.58</v>
      </c>
      <c r="M188" s="264">
        <v>0.45</v>
      </c>
      <c r="N188" s="562"/>
      <c r="O188" s="562"/>
      <c r="P188" s="562"/>
      <c r="Q188" s="562"/>
    </row>
    <row r="189" spans="1:17" ht="15" hidden="1" customHeight="1" outlineLevel="1" x14ac:dyDescent="0.25">
      <c r="A189" s="849" t="b">
        <f t="shared" si="32"/>
        <v>0</v>
      </c>
      <c r="C189" s="35">
        <v>3</v>
      </c>
      <c r="D189" s="576" t="s">
        <v>2747</v>
      </c>
      <c r="E189" s="576">
        <v>1166</v>
      </c>
      <c r="F189" s="577" t="s">
        <v>5683</v>
      </c>
      <c r="G189" s="37" t="str">
        <f>IFERROR(VLOOKUP(E189,SINAPI!A:D,2,0),"")</f>
        <v xml:space="preserve">CAP OU TAMPAO DE FERRO GALVANIZADO, COM ROSCA BSP, DE 2"                                                                                                                                                                                                                                                                                                                                                                                                                                                  </v>
      </c>
      <c r="H189" s="578"/>
      <c r="I189" s="40" t="str">
        <f>IFERROR(VLOOKUP(E189,SINAPI!A:D,3,0),"")</f>
        <v xml:space="preserve">UN    </v>
      </c>
      <c r="J189" s="536">
        <v>1</v>
      </c>
      <c r="K189" s="40">
        <f>IFERROR(VLOOKUP(E189,SINAPI!A:D,4,0),"")</f>
        <v>29.05</v>
      </c>
      <c r="L189" s="580">
        <f t="shared" si="41"/>
        <v>29.05</v>
      </c>
      <c r="M189" s="264"/>
      <c r="N189" s="562"/>
      <c r="O189" s="562"/>
      <c r="P189" s="562"/>
      <c r="Q189" s="562"/>
    </row>
    <row r="190" spans="1:17" ht="15" hidden="1" customHeight="1" outlineLevel="1" x14ac:dyDescent="0.25">
      <c r="A190" s="849" t="b">
        <f t="shared" si="32"/>
        <v>0</v>
      </c>
      <c r="C190" s="35">
        <v>4</v>
      </c>
      <c r="D190" s="576" t="s">
        <v>2747</v>
      </c>
      <c r="E190" s="576">
        <v>94962</v>
      </c>
      <c r="F190" s="577" t="s">
        <v>2760</v>
      </c>
      <c r="G190" s="37" t="str">
        <f>IFERROR(VLOOKUP(E190,SINAPI!A:D,2,0),"")</f>
        <v>CONCRETO MAGRO PARA LASTRO, TRAÇO 1:4,5:4,5 (EM MASSA SECA DE CIMENTO/ AREIA MÉDIA/ BRITA 1) - PREPARO MECÂNICO COM BETONEIRA 400 L. AF_05/2021</v>
      </c>
      <c r="H190" s="578"/>
      <c r="I190" s="40" t="str">
        <f>IFERROR(VLOOKUP(E190,SINAPI!A:D,3,0),"")</f>
        <v>M3</v>
      </c>
      <c r="J190" s="536">
        <v>2.5000000000000001E-2</v>
      </c>
      <c r="K190" s="40">
        <f>IFERROR(VLOOKUP(E190,SINAPI!A:D,4,0),"")</f>
        <v>424.83</v>
      </c>
      <c r="L190" s="580">
        <f t="shared" si="41"/>
        <v>10.62</v>
      </c>
      <c r="M190" s="264"/>
      <c r="N190" s="562"/>
      <c r="O190" s="562"/>
      <c r="P190" s="562"/>
      <c r="Q190" s="562"/>
    </row>
    <row r="191" spans="1:17" ht="15" hidden="1" customHeight="1" outlineLevel="1" x14ac:dyDescent="0.25">
      <c r="A191" s="849" t="b">
        <f t="shared" si="32"/>
        <v>0</v>
      </c>
      <c r="C191" s="35">
        <v>5</v>
      </c>
      <c r="D191" s="576" t="s">
        <v>2747</v>
      </c>
      <c r="E191" s="576">
        <v>103670</v>
      </c>
      <c r="F191" s="577" t="s">
        <v>2761</v>
      </c>
      <c r="G191" s="37" t="str">
        <f>IFERROR(VLOOKUP(E191,SINAPI!A:D,2,0),"")</f>
        <v>LANÇAMENTO COM USO DE BALDES, ADENSAMENTO E ACABAMENTO DE CONCRETO EM ESTRUTURAS. AF_02/2022</v>
      </c>
      <c r="H191" s="578"/>
      <c r="I191" s="40" t="str">
        <f>IFERROR(VLOOKUP(E191,SINAPI!A:D,3,0),"")</f>
        <v>M3</v>
      </c>
      <c r="J191" s="536">
        <f>J190</f>
        <v>2.5000000000000001E-2</v>
      </c>
      <c r="K191" s="40">
        <f>IFERROR(VLOOKUP(E191,SINAPI!A:D,4,0),"")</f>
        <v>301.64</v>
      </c>
      <c r="L191" s="580">
        <f t="shared" si="41"/>
        <v>7.54</v>
      </c>
      <c r="M191" s="264"/>
      <c r="N191" s="562"/>
      <c r="O191" s="562"/>
      <c r="P191" s="562"/>
      <c r="Q191" s="562"/>
    </row>
    <row r="192" spans="1:17" ht="15" hidden="1" customHeight="1" outlineLevel="1" x14ac:dyDescent="0.25">
      <c r="A192" s="849" t="b">
        <f t="shared" si="32"/>
        <v>0</v>
      </c>
      <c r="C192" s="35">
        <v>6</v>
      </c>
      <c r="D192" s="576" t="s">
        <v>2747</v>
      </c>
      <c r="E192" s="576">
        <v>11059</v>
      </c>
      <c r="F192" s="577" t="s">
        <v>2762</v>
      </c>
      <c r="G192" s="37" t="str">
        <f>IFERROR(VLOOKUP(E192,SINAPI!A:D,2,0),"")</f>
        <v xml:space="preserve">PARAFUSO ROSCA SOBERBA ZINCADO CABECA CHATA FENDA SIMPLES 5,5 X 50 MM (2 ")                                                                                                                                                                                                                                                                                                                                                                                                                               </v>
      </c>
      <c r="H192" s="578"/>
      <c r="I192" s="40" t="str">
        <f>IFERROR(VLOOKUP(E192,SINAPI!A:D,3,0),"")</f>
        <v xml:space="preserve">UN    </v>
      </c>
      <c r="J192" s="536">
        <v>2</v>
      </c>
      <c r="K192" s="40">
        <f>IFERROR(VLOOKUP(E192,SINAPI!A:D,4,0),"")</f>
        <v>0.36</v>
      </c>
      <c r="L192" s="580">
        <f t="shared" si="41"/>
        <v>0.72</v>
      </c>
      <c r="M192" s="264"/>
      <c r="N192" s="562"/>
      <c r="O192" s="562"/>
      <c r="P192" s="562"/>
      <c r="Q192" s="562"/>
    </row>
    <row r="193" spans="1:17" ht="15" hidden="1" customHeight="1" outlineLevel="1" x14ac:dyDescent="0.25">
      <c r="A193" s="849" t="b">
        <f t="shared" si="32"/>
        <v>0</v>
      </c>
      <c r="C193" s="35">
        <v>7</v>
      </c>
      <c r="D193" s="576" t="s">
        <v>2747</v>
      </c>
      <c r="E193" s="576">
        <v>4343</v>
      </c>
      <c r="F193" s="577" t="s">
        <v>2763</v>
      </c>
      <c r="G193" s="37" t="str">
        <f>IFERROR(VLOOKUP(E193,SINAPI!A:D,2,0),"")</f>
        <v xml:space="preserve">PARAFUSO FRANCES ZINCADO, DIAMETRO 1/2", COMPRIMENTO 4", COM PORCA E ARRUELA                                                                                                                                                                                                                                                                                                                                                                                                                              </v>
      </c>
      <c r="H193" s="578"/>
      <c r="I193" s="40" t="str">
        <f>IFERROR(VLOOKUP(E193,SINAPI!A:D,3,0),"")</f>
        <v xml:space="preserve">UN    </v>
      </c>
      <c r="J193" s="536">
        <v>3</v>
      </c>
      <c r="K193" s="40">
        <f>IFERROR(VLOOKUP(E193,SINAPI!A:D,4,0),"")</f>
        <v>7.36</v>
      </c>
      <c r="L193" s="580">
        <f t="shared" si="41"/>
        <v>22.08</v>
      </c>
      <c r="M193" s="264"/>
      <c r="N193" s="562"/>
      <c r="O193" s="562"/>
      <c r="P193" s="562"/>
      <c r="Q193" s="562"/>
    </row>
    <row r="194" spans="1:17" ht="15" hidden="1" customHeight="1" outlineLevel="1" x14ac:dyDescent="0.25">
      <c r="A194" s="849" t="b">
        <f t="shared" si="32"/>
        <v>0</v>
      </c>
      <c r="C194" s="35">
        <v>8</v>
      </c>
      <c r="D194" s="550" t="s">
        <v>2748</v>
      </c>
      <c r="E194" s="576">
        <v>567</v>
      </c>
      <c r="F194" s="577" t="s">
        <v>5678</v>
      </c>
      <c r="G194" s="37" t="str">
        <f>IFERROR(VLOOKUP(E194,SINAPI!A:D,2,0),"")</f>
        <v xml:space="preserve">CANTONEIRA (ABAS IGUAIS) EM ACO CARBONO, 25,4 MM X 3,17 MM (L X E), 1,27KG/M                                                                                                                                                                                                                                                                                                                                                                                                                              </v>
      </c>
      <c r="H194" s="578"/>
      <c r="I194" s="40" t="str">
        <f>IFERROR(VLOOKUP(E194,SINAPI!A:D,3,0),"")</f>
        <v xml:space="preserve">M     </v>
      </c>
      <c r="J194" s="536">
        <v>0.55000000000000004</v>
      </c>
      <c r="K194" s="40">
        <f>IFERROR(VLOOKUP(E194,SINAPI!A:D,4,0),"")</f>
        <v>14.95</v>
      </c>
      <c r="L194" s="580">
        <f t="shared" si="41"/>
        <v>8.2200000000000006</v>
      </c>
      <c r="M194" s="264"/>
      <c r="N194" s="562"/>
      <c r="O194" s="562"/>
      <c r="P194" s="562"/>
      <c r="Q194" s="562"/>
    </row>
    <row r="195" spans="1:17" ht="15" hidden="1" customHeight="1" outlineLevel="1" thickBot="1" x14ac:dyDescent="0.3">
      <c r="A195" s="849" t="b">
        <f t="shared" si="32"/>
        <v>0</v>
      </c>
      <c r="C195" s="230" t="s">
        <v>96</v>
      </c>
      <c r="D195" s="231"/>
      <c r="E195" s="231"/>
      <c r="F195" s="231"/>
      <c r="G195" s="231"/>
      <c r="H195" s="231"/>
      <c r="I195" s="231"/>
      <c r="J195" s="231"/>
      <c r="K195" s="232"/>
      <c r="L195" s="581">
        <f>SUM(L187:L194)</f>
        <v>388.11</v>
      </c>
      <c r="M195" s="261"/>
      <c r="N195" s="562" t="str">
        <f>C186</f>
        <v>COMP 20</v>
      </c>
      <c r="O195" s="582">
        <f>L195</f>
        <v>388.11</v>
      </c>
      <c r="P195" s="562"/>
      <c r="Q195" s="562"/>
    </row>
    <row r="196" spans="1:17" ht="26.25" hidden="1" outlineLevel="1" thickBot="1" x14ac:dyDescent="0.3">
      <c r="A196" s="699" t="b">
        <f>_xlfn.XOR(C196=$S$2,C196=$S$3,C196=$S$4,C196=$S$5,C196=$S$6,C196=$S$7,C196=$S$8,C196=$S$9,C196=$S$10,C196=$S$11,C196=$S$12,C196=$S$13,C196=$S$14,C196=$S$15,C196=$S$16,C196=$S$17,C196=$S$18,C196=$S$19,C196=$S$20,C196=$S$21,C196=$S$22,C196=$S$23,C196=$S$24,C196=$S$25,C196=$S$26,C196=$S$27,C196=$S$28,C196=$S$29,C196=$S$30,C196=$S$316,C196=$S$32,C196=$S$33,C196=$S$34,C196=$S$35,C196=$S$36,C196=$S$37,C196=$S$38,C196=$S$39,C196=$S$40,C196=$S$41,C196=$S$42,)</f>
        <v>0</v>
      </c>
      <c r="B196" s="752"/>
      <c r="C196" s="569" t="s">
        <v>2696</v>
      </c>
      <c r="D196" s="570"/>
      <c r="E196" s="1669" t="str">
        <f>IFERROR(VLOOKUP(C196,SINAPI!A:D,2,0),"")</f>
        <v>Fornecimento e implantação de placas totalmente refletivas de regulamentação tipo circular D= 50cm, inclusive suporte metálico e base de concreto conforme detalhe - urbano</v>
      </c>
      <c r="F196" s="1670"/>
      <c r="G196" s="1670"/>
      <c r="H196" s="1671"/>
      <c r="I196" s="572" t="str">
        <f>IFERROR(VLOOKUP(C196,SINAPI!A:D,3,0),"")</f>
        <v>un</v>
      </c>
      <c r="J196" s="573"/>
      <c r="K196" s="573" t="s">
        <v>2603</v>
      </c>
      <c r="L196" s="574" t="str">
        <f>IF(J196="","",ROUND(J196*#REF!,2))</f>
        <v/>
      </c>
      <c r="M196" s="575"/>
      <c r="N196" s="562"/>
      <c r="O196" s="562"/>
      <c r="P196" s="562"/>
      <c r="Q196" s="562"/>
    </row>
    <row r="197" spans="1:17" ht="15" hidden="1" customHeight="1" outlineLevel="1" x14ac:dyDescent="0.25">
      <c r="A197" s="660" t="b">
        <f t="shared" si="32"/>
        <v>0</v>
      </c>
      <c r="C197" s="35">
        <v>1</v>
      </c>
      <c r="D197" s="576" t="s">
        <v>2639</v>
      </c>
      <c r="E197" s="576">
        <v>5213416</v>
      </c>
      <c r="F197" s="577" t="str">
        <f>G197</f>
        <v>Placa em aço nº 16 galvanizado com película retrorrefletiva tipo I + I - confecção</v>
      </c>
      <c r="G197" s="37" t="str">
        <f>IFERROR(VLOOKUP(E197,SINAPI!A:D,2,0),"")</f>
        <v>Placa em aço nº 16 galvanizado com película retrorrefletiva tipo I + I - confecção</v>
      </c>
      <c r="H197" s="578"/>
      <c r="I197" s="40" t="str">
        <f>IFERROR(VLOOKUP(E197,SINAPI!A:D,3,0),"")</f>
        <v>m²</v>
      </c>
      <c r="J197" s="536">
        <f>M197*M197*3.14/4</f>
        <v>0.1963</v>
      </c>
      <c r="K197" s="40">
        <f>IFERROR(VLOOKUP(E197,SINAPI!A:D,4,0),"")</f>
        <v>411.36</v>
      </c>
      <c r="L197" s="580">
        <f>IF(J197="","",ROUND(J197*K197,2))</f>
        <v>80.75</v>
      </c>
      <c r="M197" s="264">
        <v>0.5</v>
      </c>
      <c r="N197" s="562"/>
      <c r="O197" s="562"/>
      <c r="P197" s="562"/>
      <c r="Q197" s="562"/>
    </row>
    <row r="198" spans="1:17" ht="15" hidden="1" customHeight="1" outlineLevel="1" x14ac:dyDescent="0.25">
      <c r="A198" s="660" t="b">
        <f t="shared" si="32"/>
        <v>0</v>
      </c>
      <c r="C198" s="35">
        <v>2</v>
      </c>
      <c r="D198" s="576" t="s">
        <v>2747</v>
      </c>
      <c r="E198" s="576">
        <v>21013</v>
      </c>
      <c r="F198" s="577" t="s">
        <v>5682</v>
      </c>
      <c r="G198" s="37" t="str">
        <f>IFERROR(VLOOKUP(E198,SINAPI!A:D,2,0),"")</f>
        <v xml:space="preserve">TUBO ACO GALVANIZADO COM COSTURA, CLASSE LEVE, DN 50 MM ( 2"),  E = 3,00 MM,  *4,40* KG/M (NBR 5580)                                                                                                                                                                                                                                                                                                                                                                                                      </v>
      </c>
      <c r="H198" s="578"/>
      <c r="I198" s="40" t="str">
        <f>IFERROR(VLOOKUP(E198,SINAPI!A:D,3,0),"")</f>
        <v xml:space="preserve">M     </v>
      </c>
      <c r="J198" s="536">
        <f>3.2+0.35</f>
        <v>3.55</v>
      </c>
      <c r="K198" s="40">
        <f>IFERROR(VLOOKUP(E198,SINAPI!A:D,4,0),"")</f>
        <v>68.66</v>
      </c>
      <c r="L198" s="580">
        <f t="shared" ref="L198:L203" si="42">IF(J198="","",ROUND(J198*K198,2))</f>
        <v>243.74</v>
      </c>
      <c r="M198" s="264"/>
      <c r="N198" s="562"/>
      <c r="O198" s="562"/>
      <c r="P198" s="562"/>
      <c r="Q198" s="562"/>
    </row>
    <row r="199" spans="1:17" ht="15" hidden="1" customHeight="1" outlineLevel="1" x14ac:dyDescent="0.25">
      <c r="A199" s="702" t="b">
        <f t="shared" si="32"/>
        <v>0</v>
      </c>
      <c r="C199" s="35">
        <v>3</v>
      </c>
      <c r="D199" s="576" t="s">
        <v>2747</v>
      </c>
      <c r="E199" s="576">
        <v>1166</v>
      </c>
      <c r="F199" s="577" t="s">
        <v>5683</v>
      </c>
      <c r="G199" s="37" t="str">
        <f>IFERROR(VLOOKUP(E199,SINAPI!A:D,2,0),"")</f>
        <v xml:space="preserve">CAP OU TAMPAO DE FERRO GALVANIZADO, COM ROSCA BSP, DE 2"                                                                                                                                                                                                                                                                                                                                                                                                                                                  </v>
      </c>
      <c r="H199" s="578"/>
      <c r="I199" s="40" t="str">
        <f>IFERROR(VLOOKUP(E199,SINAPI!A:D,3,0),"")</f>
        <v xml:space="preserve">UN    </v>
      </c>
      <c r="J199" s="536">
        <v>1</v>
      </c>
      <c r="K199" s="40">
        <f>IFERROR(VLOOKUP(E199,SINAPI!A:D,4,0),"")</f>
        <v>29.05</v>
      </c>
      <c r="L199" s="580">
        <f t="shared" si="42"/>
        <v>29.05</v>
      </c>
      <c r="M199" s="264"/>
      <c r="N199" s="562"/>
      <c r="O199" s="562"/>
      <c r="P199" s="562"/>
      <c r="Q199" s="562"/>
    </row>
    <row r="200" spans="1:17" ht="15" hidden="1" customHeight="1" outlineLevel="1" x14ac:dyDescent="0.25">
      <c r="A200" s="702" t="b">
        <f t="shared" si="32"/>
        <v>0</v>
      </c>
      <c r="C200" s="35">
        <v>4</v>
      </c>
      <c r="D200" s="576" t="s">
        <v>2747</v>
      </c>
      <c r="E200" s="576">
        <v>94962</v>
      </c>
      <c r="F200" s="577" t="s">
        <v>2760</v>
      </c>
      <c r="G200" s="37" t="str">
        <f>IFERROR(VLOOKUP(E200,SINAPI!A:D,2,0),"")</f>
        <v>CONCRETO MAGRO PARA LASTRO, TRAÇO 1:4,5:4,5 (EM MASSA SECA DE CIMENTO/ AREIA MÉDIA/ BRITA 1) - PREPARO MECÂNICO COM BETONEIRA 400 L. AF_05/2021</v>
      </c>
      <c r="H200" s="578"/>
      <c r="I200" s="40" t="str">
        <f>IFERROR(VLOOKUP(E200,SINAPI!A:D,3,0),"")</f>
        <v>M3</v>
      </c>
      <c r="J200" s="536">
        <v>2.5000000000000001E-2</v>
      </c>
      <c r="K200" s="40">
        <f>IFERROR(VLOOKUP(E200,SINAPI!A:D,4,0),"")</f>
        <v>424.83</v>
      </c>
      <c r="L200" s="580">
        <f t="shared" si="42"/>
        <v>10.62</v>
      </c>
      <c r="M200" s="264"/>
      <c r="N200" s="562"/>
      <c r="O200" s="562"/>
      <c r="P200" s="562"/>
      <c r="Q200" s="562"/>
    </row>
    <row r="201" spans="1:17" ht="15" hidden="1" customHeight="1" outlineLevel="1" x14ac:dyDescent="0.25">
      <c r="A201" s="702" t="b">
        <f t="shared" si="32"/>
        <v>0</v>
      </c>
      <c r="C201" s="35">
        <v>5</v>
      </c>
      <c r="D201" s="576" t="s">
        <v>2747</v>
      </c>
      <c r="E201" s="576">
        <v>103670</v>
      </c>
      <c r="F201" s="577" t="s">
        <v>2761</v>
      </c>
      <c r="G201" s="37" t="str">
        <f>IFERROR(VLOOKUP(E201,SINAPI!A:D,2,0),"")</f>
        <v>LANÇAMENTO COM USO DE BALDES, ADENSAMENTO E ACABAMENTO DE CONCRETO EM ESTRUTURAS. AF_02/2022</v>
      </c>
      <c r="H201" s="578"/>
      <c r="I201" s="40" t="str">
        <f>IFERROR(VLOOKUP(E201,SINAPI!A:D,3,0),"")</f>
        <v>M3</v>
      </c>
      <c r="J201" s="536">
        <f>J200</f>
        <v>2.5000000000000001E-2</v>
      </c>
      <c r="K201" s="40">
        <f>IFERROR(VLOOKUP(E201,SINAPI!A:D,4,0),"")</f>
        <v>301.64</v>
      </c>
      <c r="L201" s="580">
        <f t="shared" si="42"/>
        <v>7.54</v>
      </c>
      <c r="M201" s="264"/>
      <c r="N201" s="562"/>
      <c r="O201" s="562"/>
      <c r="P201" s="562"/>
      <c r="Q201" s="562"/>
    </row>
    <row r="202" spans="1:17" ht="15" hidden="1" customHeight="1" outlineLevel="1" x14ac:dyDescent="0.25">
      <c r="A202" s="702" t="b">
        <f t="shared" si="32"/>
        <v>0</v>
      </c>
      <c r="C202" s="35">
        <v>6</v>
      </c>
      <c r="D202" s="576" t="s">
        <v>2747</v>
      </c>
      <c r="E202" s="576">
        <v>11059</v>
      </c>
      <c r="F202" s="577" t="s">
        <v>2762</v>
      </c>
      <c r="G202" s="37" t="str">
        <f>IFERROR(VLOOKUP(E202,SINAPI!A:D,2,0),"")</f>
        <v xml:space="preserve">PARAFUSO ROSCA SOBERBA ZINCADO CABECA CHATA FENDA SIMPLES 5,5 X 50 MM (2 ")                                                                                                                                                                                                                                                                                                                                                                                                                               </v>
      </c>
      <c r="H202" s="578"/>
      <c r="I202" s="40" t="str">
        <f>IFERROR(VLOOKUP(E202,SINAPI!A:D,3,0),"")</f>
        <v xml:space="preserve">UN    </v>
      </c>
      <c r="J202" s="536">
        <v>2</v>
      </c>
      <c r="K202" s="40">
        <f>IFERROR(VLOOKUP(E202,SINAPI!A:D,4,0),"")</f>
        <v>0.36</v>
      </c>
      <c r="L202" s="580">
        <f t="shared" si="42"/>
        <v>0.72</v>
      </c>
      <c r="M202" s="264"/>
      <c r="N202" s="562"/>
      <c r="O202" s="562"/>
      <c r="P202" s="562"/>
      <c r="Q202" s="562"/>
    </row>
    <row r="203" spans="1:17" ht="15" hidden="1" customHeight="1" outlineLevel="1" x14ac:dyDescent="0.25">
      <c r="A203" s="702" t="b">
        <f t="shared" si="32"/>
        <v>0</v>
      </c>
      <c r="C203" s="35">
        <v>7</v>
      </c>
      <c r="D203" s="576" t="s">
        <v>2747</v>
      </c>
      <c r="E203" s="576">
        <v>4343</v>
      </c>
      <c r="F203" s="577" t="s">
        <v>2763</v>
      </c>
      <c r="G203" s="37" t="str">
        <f>IFERROR(VLOOKUP(E203,SINAPI!A:D,2,0),"")</f>
        <v xml:space="preserve">PARAFUSO FRANCES ZINCADO, DIAMETRO 1/2", COMPRIMENTO 4", COM PORCA E ARRUELA                                                                                                                                                                                                                                                                                                                                                                                                                              </v>
      </c>
      <c r="H203" s="578"/>
      <c r="I203" s="40" t="str">
        <f>IFERROR(VLOOKUP(E203,SINAPI!A:D,3,0),"")</f>
        <v xml:space="preserve">UN    </v>
      </c>
      <c r="J203" s="536">
        <v>3</v>
      </c>
      <c r="K203" s="40">
        <f>IFERROR(VLOOKUP(E203,SINAPI!A:D,4,0),"")</f>
        <v>7.36</v>
      </c>
      <c r="L203" s="580">
        <f t="shared" si="42"/>
        <v>22.08</v>
      </c>
      <c r="M203" s="264"/>
      <c r="N203" s="562"/>
      <c r="O203" s="562"/>
      <c r="P203" s="562"/>
      <c r="Q203" s="562"/>
    </row>
    <row r="204" spans="1:17" ht="15" hidden="1" customHeight="1" outlineLevel="1" thickBot="1" x14ac:dyDescent="0.3">
      <c r="A204" s="732" t="b">
        <f t="shared" si="32"/>
        <v>0</v>
      </c>
      <c r="C204" s="230" t="s">
        <v>96</v>
      </c>
      <c r="D204" s="231"/>
      <c r="E204" s="231"/>
      <c r="F204" s="231"/>
      <c r="G204" s="231"/>
      <c r="H204" s="231"/>
      <c r="I204" s="231"/>
      <c r="J204" s="231"/>
      <c r="K204" s="232"/>
      <c r="L204" s="581">
        <f>SUM(L197:L203)</f>
        <v>394.5</v>
      </c>
      <c r="M204" s="261"/>
      <c r="N204" s="562" t="str">
        <f>C196</f>
        <v>COMP 21</v>
      </c>
      <c r="O204" s="582">
        <f>L204</f>
        <v>394.5</v>
      </c>
      <c r="P204" s="562"/>
      <c r="Q204" s="562"/>
    </row>
    <row r="205" spans="1:17" ht="26.25" hidden="1" outlineLevel="1" thickBot="1" x14ac:dyDescent="0.3">
      <c r="A205" s="699" t="b">
        <f>_xlfn.XOR(C205=$S$2,C205=$S$3,C205=$S$4,C205=$S$5,C205=$S$6,C205=$S$7,C205=$S$8,C205=$S$9,C205=$S$10,C205=$S$11,C205=$S$12,C205=$S$13,C205=$S$14,C205=$S$15,C205=$S$16,C205=$S$17,C205=$S$18,C205=$S$19,C205=$S$20,C205=$S$21,C205=$S$22,C205=$S$23,C205=$S$24,C205=$S$25,C205=$S$26,C205=$S$27,C205=$S$28,C205=$S$29,C205=$S$30,C205=$S$316,C205=$S$32,C205=$S$33,C205=$S$34,C205=$S$35,C205=$S$36,C205=$S$37,C205=$S$38,C205=$S$39,C205=$S$40,C205=$S$41,C205=$S$42,)</f>
        <v>0</v>
      </c>
      <c r="B205" s="752"/>
      <c r="C205" s="569" t="s">
        <v>2697</v>
      </c>
      <c r="D205" s="570"/>
      <c r="E205" s="1669" t="str">
        <f>IFERROR(VLOOKUP(C205,SINAPI!A:D,2,0),"")</f>
        <v>Fornecimento e implantação de placas totalmente refletivas de identificação de ruas (duas por suporte) 25x50cm, inclusive suporte metálico e base de concreto conforme detalhe - urbano</v>
      </c>
      <c r="F205" s="1670"/>
      <c r="G205" s="1670"/>
      <c r="H205" s="1671"/>
      <c r="I205" s="572" t="str">
        <f>IFERROR(VLOOKUP(C205,SINAPI!A:D,3,0),"")</f>
        <v>un</v>
      </c>
      <c r="J205" s="573"/>
      <c r="K205" s="573" t="s">
        <v>2603</v>
      </c>
      <c r="L205" s="574" t="str">
        <f>IF(J205="","",ROUND(J205*#REF!,2))</f>
        <v/>
      </c>
      <c r="M205" s="575"/>
      <c r="N205" s="562"/>
      <c r="O205" s="562"/>
      <c r="P205" s="562"/>
      <c r="Q205" s="562"/>
    </row>
    <row r="206" spans="1:17" ht="15" hidden="1" customHeight="1" outlineLevel="1" x14ac:dyDescent="0.25">
      <c r="A206" s="660" t="b">
        <f t="shared" si="32"/>
        <v>0</v>
      </c>
      <c r="C206" s="35">
        <v>1</v>
      </c>
      <c r="D206" s="576" t="s">
        <v>2639</v>
      </c>
      <c r="E206" s="576">
        <v>5213416</v>
      </c>
      <c r="F206" s="577" t="str">
        <f>G206</f>
        <v>Placa em aço nº 16 galvanizado com película retrorrefletiva tipo I + I - confecção</v>
      </c>
      <c r="G206" s="37" t="str">
        <f>IFERROR(VLOOKUP(E206,SINAPI!A:D,2,0),"")</f>
        <v>Placa em aço nº 16 galvanizado com película retrorrefletiva tipo I + I - confecção</v>
      </c>
      <c r="H206" s="578"/>
      <c r="I206" s="40" t="str">
        <f>IFERROR(VLOOKUP(E206,SINAPI!A:D,3,0),"")</f>
        <v>m²</v>
      </c>
      <c r="J206" s="536">
        <f>M206*M207</f>
        <v>0.125</v>
      </c>
      <c r="K206" s="40">
        <f>IFERROR(VLOOKUP(E206,SINAPI!A:D,4,0),"")</f>
        <v>411.36</v>
      </c>
      <c r="L206" s="580">
        <f>IF(J206="","",ROUND(J206*K206,2))</f>
        <v>51.42</v>
      </c>
      <c r="M206" s="264">
        <v>0.25</v>
      </c>
      <c r="N206" s="562"/>
      <c r="O206" s="562"/>
      <c r="P206" s="562"/>
      <c r="Q206" s="562"/>
    </row>
    <row r="207" spans="1:17" ht="15" hidden="1" customHeight="1" outlineLevel="1" x14ac:dyDescent="0.25">
      <c r="A207" s="660" t="b">
        <f t="shared" ref="A207:A268" si="43">A206</f>
        <v>0</v>
      </c>
      <c r="C207" s="35">
        <v>2</v>
      </c>
      <c r="D207" s="576" t="s">
        <v>2747</v>
      </c>
      <c r="E207" s="576">
        <v>21013</v>
      </c>
      <c r="F207" s="577" t="s">
        <v>5682</v>
      </c>
      <c r="G207" s="37" t="str">
        <f>IFERROR(VLOOKUP(E207,SINAPI!A:D,2,0),"")</f>
        <v xml:space="preserve">TUBO ACO GALVANIZADO COM COSTURA, CLASSE LEVE, DN 50 MM ( 2"),  E = 3,00 MM,  *4,40* KG/M (NBR 5580)                                                                                                                                                                                                                                                                                                                                                                                                      </v>
      </c>
      <c r="H207" s="578"/>
      <c r="I207" s="40" t="str">
        <f>IFERROR(VLOOKUP(E207,SINAPI!A:D,3,0),"")</f>
        <v xml:space="preserve">M     </v>
      </c>
      <c r="J207" s="536">
        <f>2.95+0.35</f>
        <v>3.3</v>
      </c>
      <c r="K207" s="40">
        <f>IFERROR(VLOOKUP(E207,SINAPI!A:D,4,0),"")</f>
        <v>68.66</v>
      </c>
      <c r="L207" s="580">
        <f t="shared" ref="L207:L211" si="44">IF(J207="","",ROUND(J207*K207,2))</f>
        <v>226.58</v>
      </c>
      <c r="M207" s="264">
        <v>0.5</v>
      </c>
      <c r="N207" s="562"/>
      <c r="O207" s="562"/>
      <c r="P207" s="562"/>
      <c r="Q207" s="562"/>
    </row>
    <row r="208" spans="1:17" ht="15" hidden="1" customHeight="1" outlineLevel="1" x14ac:dyDescent="0.25">
      <c r="A208" s="660" t="b">
        <f t="shared" si="43"/>
        <v>0</v>
      </c>
      <c r="C208" s="35">
        <v>3</v>
      </c>
      <c r="D208" s="576" t="s">
        <v>2747</v>
      </c>
      <c r="E208" s="576">
        <v>1166</v>
      </c>
      <c r="F208" s="577" t="s">
        <v>5683</v>
      </c>
      <c r="G208" s="37" t="str">
        <f>IFERROR(VLOOKUP(E208,SINAPI!A:D,2,0),"")</f>
        <v xml:space="preserve">CAP OU TAMPAO DE FERRO GALVANIZADO, COM ROSCA BSP, DE 2"                                                                                                                                                                                                                                                                                                                                                                                                                                                  </v>
      </c>
      <c r="H208" s="578"/>
      <c r="I208" s="40" t="str">
        <f>IFERROR(VLOOKUP(E208,SINAPI!A:D,3,0),"")</f>
        <v xml:space="preserve">UN    </v>
      </c>
      <c r="J208" s="536">
        <v>1</v>
      </c>
      <c r="K208" s="40">
        <f>IFERROR(VLOOKUP(E208,SINAPI!A:D,4,0),"")</f>
        <v>29.05</v>
      </c>
      <c r="L208" s="580">
        <f t="shared" si="44"/>
        <v>29.05</v>
      </c>
      <c r="M208" s="264"/>
      <c r="N208" s="562"/>
      <c r="O208" s="562"/>
      <c r="P208" s="562"/>
      <c r="Q208" s="562"/>
    </row>
    <row r="209" spans="1:17" ht="15" hidden="1" customHeight="1" outlineLevel="1" x14ac:dyDescent="0.25">
      <c r="A209" s="660" t="b">
        <f t="shared" si="43"/>
        <v>0</v>
      </c>
      <c r="C209" s="35">
        <v>4</v>
      </c>
      <c r="D209" s="576" t="s">
        <v>2747</v>
      </c>
      <c r="E209" s="576">
        <v>94962</v>
      </c>
      <c r="F209" s="577" t="s">
        <v>2760</v>
      </c>
      <c r="G209" s="37" t="str">
        <f>IFERROR(VLOOKUP(E209,SINAPI!A:D,2,0),"")</f>
        <v>CONCRETO MAGRO PARA LASTRO, TRAÇO 1:4,5:4,5 (EM MASSA SECA DE CIMENTO/ AREIA MÉDIA/ BRITA 1) - PREPARO MECÂNICO COM BETONEIRA 400 L. AF_05/2021</v>
      </c>
      <c r="H209" s="578"/>
      <c r="I209" s="40" t="str">
        <f>IFERROR(VLOOKUP(E209,SINAPI!A:D,3,0),"")</f>
        <v>M3</v>
      </c>
      <c r="J209" s="536">
        <v>2.5000000000000001E-2</v>
      </c>
      <c r="K209" s="40">
        <f>IFERROR(VLOOKUP(E209,SINAPI!A:D,4,0),"")</f>
        <v>424.83</v>
      </c>
      <c r="L209" s="580">
        <f t="shared" si="44"/>
        <v>10.62</v>
      </c>
      <c r="M209" s="264"/>
      <c r="N209" s="562"/>
      <c r="O209" s="562"/>
      <c r="P209" s="562"/>
      <c r="Q209" s="562"/>
    </row>
    <row r="210" spans="1:17" ht="15" hidden="1" customHeight="1" outlineLevel="1" x14ac:dyDescent="0.25">
      <c r="A210" s="660" t="b">
        <f t="shared" si="43"/>
        <v>0</v>
      </c>
      <c r="C210" s="35">
        <v>5</v>
      </c>
      <c r="D210" s="576" t="s">
        <v>2747</v>
      </c>
      <c r="E210" s="576">
        <v>103670</v>
      </c>
      <c r="F210" s="577" t="s">
        <v>2761</v>
      </c>
      <c r="G210" s="37" t="str">
        <f>IFERROR(VLOOKUP(E210,SINAPI!A:D,2,0),"")</f>
        <v>LANÇAMENTO COM USO DE BALDES, ADENSAMENTO E ACABAMENTO DE CONCRETO EM ESTRUTURAS. AF_02/2022</v>
      </c>
      <c r="H210" s="578"/>
      <c r="I210" s="40" t="str">
        <f>IFERROR(VLOOKUP(E210,SINAPI!A:D,3,0),"")</f>
        <v>M3</v>
      </c>
      <c r="J210" s="536">
        <f>J209</f>
        <v>2.5000000000000001E-2</v>
      </c>
      <c r="K210" s="40">
        <f>IFERROR(VLOOKUP(E210,SINAPI!A:D,4,0),"")</f>
        <v>301.64</v>
      </c>
      <c r="L210" s="580">
        <f t="shared" si="44"/>
        <v>7.54</v>
      </c>
      <c r="M210" s="264"/>
      <c r="N210" s="562"/>
      <c r="O210" s="562"/>
      <c r="P210" s="562"/>
      <c r="Q210" s="562"/>
    </row>
    <row r="211" spans="1:17" ht="15" hidden="1" customHeight="1" outlineLevel="1" x14ac:dyDescent="0.25">
      <c r="A211" s="660" t="b">
        <f t="shared" si="43"/>
        <v>0</v>
      </c>
      <c r="C211" s="35">
        <v>6</v>
      </c>
      <c r="D211" s="576" t="s">
        <v>2747</v>
      </c>
      <c r="E211" s="576">
        <v>11059</v>
      </c>
      <c r="F211" s="577" t="s">
        <v>2762</v>
      </c>
      <c r="G211" s="37" t="str">
        <f>IFERROR(VLOOKUP(E211,SINAPI!A:D,2,0),"")</f>
        <v xml:space="preserve">PARAFUSO ROSCA SOBERBA ZINCADO CABECA CHATA FENDA SIMPLES 5,5 X 50 MM (2 ")                                                                                                                                                                                                                                                                                                                                                                                                                               </v>
      </c>
      <c r="H211" s="578"/>
      <c r="I211" s="40" t="str">
        <f>IFERROR(VLOOKUP(E211,SINAPI!A:D,3,0),"")</f>
        <v xml:space="preserve">UN    </v>
      </c>
      <c r="J211" s="536">
        <v>2</v>
      </c>
      <c r="K211" s="40">
        <f>IFERROR(VLOOKUP(E211,SINAPI!A:D,4,0),"")</f>
        <v>0.36</v>
      </c>
      <c r="L211" s="580">
        <f t="shared" si="44"/>
        <v>0.72</v>
      </c>
      <c r="M211" s="264"/>
      <c r="N211" s="562"/>
      <c r="O211" s="562"/>
      <c r="P211" s="562"/>
      <c r="Q211" s="562"/>
    </row>
    <row r="212" spans="1:17" ht="15" hidden="1" customHeight="1" outlineLevel="1" thickBot="1" x14ac:dyDescent="0.3">
      <c r="A212" s="660" t="b">
        <f t="shared" si="43"/>
        <v>0</v>
      </c>
      <c r="C212" s="230" t="s">
        <v>96</v>
      </c>
      <c r="D212" s="231"/>
      <c r="E212" s="231"/>
      <c r="F212" s="231"/>
      <c r="G212" s="231"/>
      <c r="H212" s="231"/>
      <c r="I212" s="231"/>
      <c r="J212" s="231"/>
      <c r="K212" s="232"/>
      <c r="L212" s="581">
        <f>SUM(L206:L211)</f>
        <v>325.93</v>
      </c>
      <c r="M212" s="261">
        <v>1.5</v>
      </c>
      <c r="N212" s="562" t="str">
        <f>C205</f>
        <v>COMP 22</v>
      </c>
      <c r="O212" s="582">
        <f>L212</f>
        <v>325.93</v>
      </c>
      <c r="P212" s="562"/>
      <c r="Q212" s="562"/>
    </row>
    <row r="213" spans="1:17" ht="15" hidden="1" customHeight="1" outlineLevel="1" x14ac:dyDescent="0.25">
      <c r="A213" s="699" t="b">
        <f>_xlfn.XOR(C213=$S$2,C213=$S$3,C213=$S$4,C213=$S$5,C213=$S$6,C213=$S$7,C213=$S$8,C213=$S$9,C213=$S$10,C213=$S$11,C213=$S$12,C213=$S$13,C213=$S$14,C213=$S$15,C213=$S$16,C213=$S$17,C213=$S$18,C213=$S$19,C213=$S$20,C213=$S$21,C213=$S$22,C213=$S$23,C213=$S$24,C213=$S$25,C213=$S$26,C213=$S$27,C213=$S$28,C213=$S$29,C213=$S$30,C213=$S$316,C213=$S$32,C213=$S$33,C213=$S$34,C213=$S$35,C213=$S$36,C213=$S$37,C213=$S$38,C213=$S$39,C213=$S$40,C213=$S$41,C213=$S$42,)</f>
        <v>0</v>
      </c>
      <c r="C213" s="569" t="s">
        <v>2700</v>
      </c>
      <c r="D213" s="570"/>
      <c r="E213" s="570" t="str">
        <f>IFERROR(VLOOKUP(C213,SINAPI!A:D,2,0),"")</f>
        <v>Remoção e relocação de postes</v>
      </c>
      <c r="F213" s="570"/>
      <c r="G213" s="217"/>
      <c r="H213" s="571"/>
      <c r="I213" s="572" t="str">
        <f>IFERROR(VLOOKUP(C213,SINAPI!A:D,3,0),"")</f>
        <v>un</v>
      </c>
      <c r="J213" s="573"/>
      <c r="K213" s="573" t="s">
        <v>2603</v>
      </c>
      <c r="L213" s="574" t="str">
        <f>IF(J213="","",ROUND(J213*#REF!,2))</f>
        <v/>
      </c>
      <c r="M213" s="1430">
        <f>0.14/M212</f>
        <v>9.3333333333333296E-2</v>
      </c>
      <c r="N213" s="562"/>
      <c r="O213" s="562"/>
      <c r="P213" s="562"/>
      <c r="Q213" s="562"/>
    </row>
    <row r="214" spans="1:17" ht="15" hidden="1" customHeight="1" outlineLevel="1" x14ac:dyDescent="0.25">
      <c r="A214" s="660" t="b">
        <f t="shared" si="43"/>
        <v>0</v>
      </c>
      <c r="C214" s="35">
        <v>1</v>
      </c>
      <c r="D214" s="576" t="s">
        <v>2639</v>
      </c>
      <c r="E214" s="576" t="s">
        <v>6421</v>
      </c>
      <c r="F214" s="577" t="s">
        <v>2758</v>
      </c>
      <c r="G214" s="37" t="str">
        <f>IFERROR(VLOOKUP(E214,SINAPI!A:D,2,0),"")</f>
        <v>Caminhão carroceria com guindauto com capacidade de 20 t.m - 136 kW CHP</v>
      </c>
      <c r="H214" s="578"/>
      <c r="I214" s="40" t="str">
        <f>IFERROR(VLOOKUP(E214,SINAPI!A:D,3,0),"")</f>
        <v>h</v>
      </c>
      <c r="J214" s="579">
        <f>M214/$M$213</f>
        <v>10.7143</v>
      </c>
      <c r="K214" s="40">
        <f>IFERROR(VLOOKUP(E214,SINAPI!A:D,4,0),"")</f>
        <v>339.73</v>
      </c>
      <c r="L214" s="580">
        <f t="shared" ref="L214:L215" si="45">IF(J214="","",ROUND(J214*K214,2))</f>
        <v>3639.97</v>
      </c>
      <c r="M214" s="579">
        <v>1</v>
      </c>
      <c r="N214" s="562"/>
      <c r="O214" s="562"/>
      <c r="P214" s="562"/>
      <c r="Q214" s="562"/>
    </row>
    <row r="215" spans="1:17" ht="15" hidden="1" customHeight="1" outlineLevel="1" x14ac:dyDescent="0.25">
      <c r="A215" s="660" t="b">
        <f t="shared" si="43"/>
        <v>0</v>
      </c>
      <c r="C215" s="35">
        <v>2</v>
      </c>
      <c r="D215" s="576" t="s">
        <v>2639</v>
      </c>
      <c r="E215" s="576" t="s">
        <v>6422</v>
      </c>
      <c r="F215" s="577" t="s">
        <v>2759</v>
      </c>
      <c r="G215" s="37" t="str">
        <f>IFERROR(VLOOKUP(E215,SINAPI!A:D,2,0),"")</f>
        <v>Caminhão carroceria com guindauto com capacidade de 20 t.m - 136 kW CHI</v>
      </c>
      <c r="H215" s="578"/>
      <c r="I215" s="40" t="str">
        <f>IFERROR(VLOOKUP(E215,SINAPI!A:D,3,0),"")</f>
        <v>h</v>
      </c>
      <c r="J215" s="579">
        <f t="shared" ref="J215:J216" si="46">M215/$M$213</f>
        <v>10.7143</v>
      </c>
      <c r="K215" s="40">
        <f>IFERROR(VLOOKUP(E215,SINAPI!A:D,4,0),"")</f>
        <v>108.53</v>
      </c>
      <c r="L215" s="580">
        <f t="shared" si="45"/>
        <v>1162.82</v>
      </c>
      <c r="M215" s="579">
        <v>1</v>
      </c>
      <c r="N215" s="562"/>
      <c r="O215" s="562"/>
      <c r="P215" s="562"/>
      <c r="Q215" s="562"/>
    </row>
    <row r="216" spans="1:17" ht="15" hidden="1" customHeight="1" outlineLevel="1" x14ac:dyDescent="0.25">
      <c r="A216" s="1096" t="b">
        <f t="shared" si="43"/>
        <v>0</v>
      </c>
      <c r="C216" s="35">
        <v>4</v>
      </c>
      <c r="D216" s="576" t="s">
        <v>6398</v>
      </c>
      <c r="E216" s="576">
        <v>88316</v>
      </c>
      <c r="F216" s="577" t="s">
        <v>2740</v>
      </c>
      <c r="G216" s="37" t="str">
        <f>IFERROR(VLOOKUP(E216,SINAPI!A:D,2,0),"")</f>
        <v>SERVENTE COM ENCARGOS COMPLEMENTARES</v>
      </c>
      <c r="H216" s="578"/>
      <c r="I216" s="40" t="str">
        <f>IFERROR(VLOOKUP(E216,SINAPI!A:D,3,0),"")</f>
        <v>H</v>
      </c>
      <c r="J216" s="579">
        <f t="shared" si="46"/>
        <v>42.857100000000003</v>
      </c>
      <c r="K216" s="40">
        <f>IFERROR(VLOOKUP(E216,SINAPI!A:D,4,0),"")</f>
        <v>20.82</v>
      </c>
      <c r="L216" s="580">
        <f>IF(J216="","",ROUND(J216*K216,2))</f>
        <v>892.28</v>
      </c>
      <c r="M216" s="579">
        <v>4</v>
      </c>
      <c r="N216" s="562"/>
      <c r="O216" s="562"/>
      <c r="P216" s="562"/>
      <c r="Q216" s="562"/>
    </row>
    <row r="217" spans="1:17" ht="15" hidden="1" customHeight="1" outlineLevel="1" x14ac:dyDescent="0.25">
      <c r="A217" s="1096" t="b">
        <f t="shared" si="43"/>
        <v>0</v>
      </c>
      <c r="C217" s="739" t="s">
        <v>96</v>
      </c>
      <c r="D217" s="740"/>
      <c r="E217" s="740"/>
      <c r="F217" s="740"/>
      <c r="G217" s="740"/>
      <c r="H217" s="740"/>
      <c r="I217" s="740"/>
      <c r="J217" s="740"/>
      <c r="K217" s="741"/>
      <c r="L217" s="742">
        <f>SUM(L214:L216)</f>
        <v>5695.07</v>
      </c>
      <c r="M217" s="261"/>
      <c r="N217" s="562" t="str">
        <f>C213</f>
        <v>COMP 23</v>
      </c>
      <c r="O217" s="582">
        <f>L217</f>
        <v>5695.07</v>
      </c>
      <c r="P217" s="562"/>
      <c r="Q217" s="562"/>
    </row>
    <row r="218" spans="1:17" ht="15" hidden="1" customHeight="1" outlineLevel="1" thickBot="1" x14ac:dyDescent="0.3">
      <c r="A218" s="1096" t="b">
        <f t="shared" si="43"/>
        <v>0</v>
      </c>
      <c r="C218" s="1105" t="s">
        <v>6490</v>
      </c>
      <c r="D218" s="231"/>
      <c r="E218" s="231"/>
      <c r="F218" s="231"/>
      <c r="G218" s="231"/>
      <c r="H218" s="231"/>
      <c r="I218" s="231"/>
      <c r="J218" s="231"/>
      <c r="K218" s="232"/>
      <c r="L218" s="581"/>
      <c r="M218" s="261"/>
      <c r="N218" s="562"/>
      <c r="O218" s="582"/>
      <c r="P218" s="562"/>
      <c r="Q218" s="562"/>
    </row>
    <row r="219" spans="1:17" ht="15" hidden="1" customHeight="1" outlineLevel="1" x14ac:dyDescent="0.25">
      <c r="A219" s="699" t="b">
        <f>OR(A12,A367,A374)</f>
        <v>0</v>
      </c>
      <c r="C219" s="569" t="s">
        <v>2701</v>
      </c>
      <c r="D219" s="570"/>
      <c r="E219" s="570" t="str">
        <f>IFERROR(VLOOKUP(C219,SINAPI!A:D,2,0),"")</f>
        <v>Grelha metálica articulada 60x75cm</v>
      </c>
      <c r="F219" s="570"/>
      <c r="G219" s="217"/>
      <c r="H219" s="571"/>
      <c r="I219" s="572" t="str">
        <f>IFERROR(VLOOKUP(C219,SINAPI!A:D,3,0),"")</f>
        <v>un</v>
      </c>
      <c r="J219" s="573"/>
      <c r="K219" s="573" t="s">
        <v>2603</v>
      </c>
      <c r="L219" s="574" t="str">
        <f>IF(J219="","",ROUND(J219*#REF!,2))</f>
        <v/>
      </c>
      <c r="M219" s="575"/>
      <c r="N219" s="562"/>
      <c r="O219" s="562"/>
      <c r="P219" s="562"/>
      <c r="Q219" s="562"/>
    </row>
    <row r="220" spans="1:17" ht="15" hidden="1" customHeight="1" outlineLevel="1" x14ac:dyDescent="0.25">
      <c r="A220" s="660" t="b">
        <f t="shared" si="43"/>
        <v>0</v>
      </c>
      <c r="C220" s="35">
        <v>1</v>
      </c>
      <c r="D220" s="576" t="s">
        <v>2747</v>
      </c>
      <c r="E220" s="576">
        <v>88317</v>
      </c>
      <c r="F220" s="577" t="s">
        <v>2739</v>
      </c>
      <c r="G220" s="37" t="str">
        <f>IFERROR(VLOOKUP(E220,SINAPI!A:D,2,0),"")</f>
        <v>SOLDADOR COM ENCARGOS COMPLEMENTARES</v>
      </c>
      <c r="H220" s="578"/>
      <c r="I220" s="40" t="str">
        <f>IFERROR(VLOOKUP(E220,SINAPI!A:D,3,0),"")</f>
        <v>H</v>
      </c>
      <c r="J220" s="579">
        <v>2</v>
      </c>
      <c r="K220" s="40">
        <f>IFERROR(VLOOKUP(E220,SINAPI!A:D,4,0),"")</f>
        <v>29.84</v>
      </c>
      <c r="L220" s="580">
        <f>IF(J220="","",ROUND(J220*K220,2))</f>
        <v>59.68</v>
      </c>
      <c r="M220" s="264"/>
      <c r="N220" s="562"/>
      <c r="O220" s="562"/>
      <c r="P220" s="562"/>
      <c r="Q220" s="562"/>
    </row>
    <row r="221" spans="1:17" ht="15" hidden="1" customHeight="1" outlineLevel="1" x14ac:dyDescent="0.25">
      <c r="A221" s="660" t="b">
        <f t="shared" si="43"/>
        <v>0</v>
      </c>
      <c r="C221" s="35">
        <v>2</v>
      </c>
      <c r="D221" s="576" t="s">
        <v>2747</v>
      </c>
      <c r="E221" s="576">
        <v>88316</v>
      </c>
      <c r="F221" s="577" t="s">
        <v>2740</v>
      </c>
      <c r="G221" s="37" t="str">
        <f>IFERROR(VLOOKUP(E221,SINAPI!A:D,2,0),"")</f>
        <v>SERVENTE COM ENCARGOS COMPLEMENTARES</v>
      </c>
      <c r="H221" s="578"/>
      <c r="I221" s="40" t="str">
        <f>IFERROR(VLOOKUP(E221,SINAPI!A:D,3,0),"")</f>
        <v>H</v>
      </c>
      <c r="J221" s="579">
        <v>2</v>
      </c>
      <c r="K221" s="40">
        <f>IFERROR(VLOOKUP(E221,SINAPI!A:D,4,0),"")</f>
        <v>20.82</v>
      </c>
      <c r="L221" s="580">
        <f t="shared" ref="L221:L225" si="47">IF(J221="","",ROUND(J221*K221,2))</f>
        <v>41.64</v>
      </c>
      <c r="M221" s="264"/>
      <c r="N221" s="562"/>
      <c r="O221" s="562"/>
      <c r="P221" s="562"/>
      <c r="Q221" s="562"/>
    </row>
    <row r="222" spans="1:17" ht="15" hidden="1" customHeight="1" outlineLevel="1" x14ac:dyDescent="0.25">
      <c r="A222" s="660" t="b">
        <f t="shared" si="43"/>
        <v>0</v>
      </c>
      <c r="C222" s="35">
        <v>3</v>
      </c>
      <c r="D222" s="576" t="s">
        <v>2748</v>
      </c>
      <c r="E222" s="576">
        <v>10998</v>
      </c>
      <c r="F222" s="577" t="s">
        <v>2741</v>
      </c>
      <c r="G222" s="37" t="str">
        <f>IFERROR(VLOOKUP(E222,SINAPI!A:D,2,0),"")</f>
        <v xml:space="preserve">ELETRODO REVESTIDO AWS - E-6010, DIAMETRO IGUAL A 4,00 MM                                                                                                                                                                                                                                                                                                                                                                                                                                                 </v>
      </c>
      <c r="H222" s="578"/>
      <c r="I222" s="40" t="str">
        <f>IFERROR(VLOOKUP(E222,SINAPI!A:D,3,0),"")</f>
        <v xml:space="preserve">KG    </v>
      </c>
      <c r="J222" s="579">
        <v>3</v>
      </c>
      <c r="K222" s="40">
        <f>IFERROR(VLOOKUP(E222,SINAPI!A:D,4,0),"")</f>
        <v>41.61</v>
      </c>
      <c r="L222" s="580">
        <f t="shared" si="47"/>
        <v>124.83</v>
      </c>
      <c r="M222" s="264"/>
      <c r="N222" s="562"/>
      <c r="O222" s="562"/>
      <c r="P222" s="562"/>
      <c r="Q222" s="562"/>
    </row>
    <row r="223" spans="1:17" ht="15" hidden="1" customHeight="1" outlineLevel="1" x14ac:dyDescent="0.25">
      <c r="A223" s="660" t="b">
        <f t="shared" si="43"/>
        <v>0</v>
      </c>
      <c r="C223" s="35">
        <v>4</v>
      </c>
      <c r="D223" s="576" t="s">
        <v>2748</v>
      </c>
      <c r="E223" s="550">
        <v>43056</v>
      </c>
      <c r="F223" s="552" t="s">
        <v>3180</v>
      </c>
      <c r="G223" s="37" t="str">
        <f>IFERROR(VLOOKUP(E223,SINAPI!A:D,2,0),"")</f>
        <v xml:space="preserve">ACO CA-50, 20,0 MM OU 25,0 MM, VERGALHAO                                                                                                                                                                                                                                                                                                                                                                                                                                                                  </v>
      </c>
      <c r="H223" s="578"/>
      <c r="I223" s="40" t="str">
        <f>IFERROR(VLOOKUP(E223,SINAPI!A:D,3,0),"")</f>
        <v xml:space="preserve">KG    </v>
      </c>
      <c r="J223" s="579">
        <f>DISPOSITIVOS!K33</f>
        <v>27.87</v>
      </c>
      <c r="K223" s="40">
        <f>IFERROR(VLOOKUP(E223,SINAPI!A:D,4,0),"")</f>
        <v>9.43</v>
      </c>
      <c r="L223" s="580">
        <f t="shared" si="47"/>
        <v>262.81</v>
      </c>
      <c r="M223" s="264"/>
      <c r="N223" s="562"/>
      <c r="O223" s="562"/>
      <c r="P223" s="562"/>
      <c r="Q223" s="562"/>
    </row>
    <row r="224" spans="1:17" ht="15" hidden="1" customHeight="1" outlineLevel="1" x14ac:dyDescent="0.25">
      <c r="A224" s="660" t="b">
        <f t="shared" si="43"/>
        <v>0</v>
      </c>
      <c r="C224" s="35">
        <v>5</v>
      </c>
      <c r="D224" s="576" t="s">
        <v>2748</v>
      </c>
      <c r="E224" s="576">
        <v>4777</v>
      </c>
      <c r="F224" s="577" t="s">
        <v>2742</v>
      </c>
      <c r="G224" s="37" t="str">
        <f>IFERROR(VLOOKUP(E224,SINAPI!A:D,2,0),"")</f>
        <v xml:space="preserve">CANTONEIRA ACO ABAS IGUAIS (QUALQUER BITOLA), ESPESSURA ENTRE 1/8" E 1/4"                                                                                                                                                                                                                                                                                                                                                                                                                                 </v>
      </c>
      <c r="H224" s="578"/>
      <c r="I224" s="40" t="str">
        <f>IFERROR(VLOOKUP(E224,SINAPI!A:D,3,0),"")</f>
        <v xml:space="preserve">KG    </v>
      </c>
      <c r="J224" s="579">
        <f>DISPOSITIVOS!K36</f>
        <v>14.17</v>
      </c>
      <c r="K224" s="40">
        <f>IFERROR(VLOOKUP(E224,SINAPI!A:D,4,0),"")</f>
        <v>13.4</v>
      </c>
      <c r="L224" s="580">
        <f t="shared" si="47"/>
        <v>189.88</v>
      </c>
      <c r="M224" s="264"/>
      <c r="N224" s="562"/>
      <c r="O224" s="562"/>
      <c r="P224" s="562"/>
      <c r="Q224" s="562"/>
    </row>
    <row r="225" spans="1:17" ht="15" hidden="1" customHeight="1" outlineLevel="1" x14ac:dyDescent="0.25">
      <c r="A225" s="660" t="b">
        <f t="shared" si="43"/>
        <v>0</v>
      </c>
      <c r="C225" s="35">
        <v>6</v>
      </c>
      <c r="D225" s="576" t="s">
        <v>2747</v>
      </c>
      <c r="E225" s="576">
        <v>91692</v>
      </c>
      <c r="F225" s="577" t="s">
        <v>2743</v>
      </c>
      <c r="G225" s="37" t="str">
        <f>IFERROR(VLOOKUP(E225,SINAPI!A:D,2,0),"")</f>
        <v>SERRA CIRCULAR DE BANCADA COM MOTOR ELÉTRICO POTÊNCIA DE 5HP, COM COIFA PARA DISCO 10" - CHP DIURNO. AF_08/2015</v>
      </c>
      <c r="H225" s="578"/>
      <c r="I225" s="40" t="str">
        <f>IFERROR(VLOOKUP(E225,SINAPI!A:D,3,0),"")</f>
        <v>CHP</v>
      </c>
      <c r="J225" s="579">
        <v>0.5</v>
      </c>
      <c r="K225" s="40">
        <f>IFERROR(VLOOKUP(E225,SINAPI!A:D,4,0),"")</f>
        <v>27.32</v>
      </c>
      <c r="L225" s="580">
        <f t="shared" si="47"/>
        <v>13.66</v>
      </c>
      <c r="M225" s="264"/>
      <c r="N225" s="562"/>
      <c r="O225" s="562"/>
      <c r="P225" s="562"/>
      <c r="Q225" s="562"/>
    </row>
    <row r="226" spans="1:17" ht="15" hidden="1" customHeight="1" outlineLevel="1" x14ac:dyDescent="0.25">
      <c r="A226" s="660" t="b">
        <f t="shared" si="43"/>
        <v>0</v>
      </c>
      <c r="C226" s="35">
        <v>7</v>
      </c>
      <c r="D226" s="576" t="s">
        <v>2747</v>
      </c>
      <c r="E226" s="550">
        <v>91693</v>
      </c>
      <c r="F226" s="577" t="s">
        <v>2744</v>
      </c>
      <c r="G226" s="37" t="str">
        <f>IFERROR(VLOOKUP(E226,SINAPI!A:D,2,0),"")</f>
        <v>SERRA CIRCULAR DE BANCADA COM MOTOR ELÉTRICO POTÊNCIA DE 5HP, COM COIFA PARA DISCO 10" - CHI DIURNO. AF_08/2015</v>
      </c>
      <c r="H226" s="578"/>
      <c r="I226" s="40" t="str">
        <f>IFERROR(VLOOKUP(E226,SINAPI!A:D,3,0),"")</f>
        <v>CHI</v>
      </c>
      <c r="J226" s="579">
        <v>0.5</v>
      </c>
      <c r="K226" s="40">
        <f>IFERROR(VLOOKUP(E226,SINAPI!A:D,4,0),"")</f>
        <v>26.3</v>
      </c>
      <c r="L226" s="580">
        <f t="shared" ref="L226:L228" si="48">IF(J226="","",ROUND(J226*K226,2))</f>
        <v>13.15</v>
      </c>
      <c r="M226" s="264"/>
      <c r="N226" s="562"/>
      <c r="O226" s="562"/>
      <c r="P226" s="562"/>
      <c r="Q226" s="562"/>
    </row>
    <row r="227" spans="1:17" ht="15" hidden="1" customHeight="1" outlineLevel="1" x14ac:dyDescent="0.25">
      <c r="A227" s="660" t="b">
        <f t="shared" si="43"/>
        <v>0</v>
      </c>
      <c r="C227" s="35">
        <v>8</v>
      </c>
      <c r="D227" s="576" t="s">
        <v>2747</v>
      </c>
      <c r="E227" s="576">
        <v>92716</v>
      </c>
      <c r="F227" s="577" t="s">
        <v>2745</v>
      </c>
      <c r="G227" s="37" t="str">
        <f>IFERROR(VLOOKUP(E227,SINAPI!A:D,2,0),"")</f>
        <v>APARELHO PARA CORTE E SOLDA OXI-ACETILENO SOBRE RODAS, INCLUSIVE CILINDROS E MAÇARICOS - CHP DIURNO. AF_12/2015</v>
      </c>
      <c r="H227" s="578"/>
      <c r="I227" s="40" t="str">
        <f>IFERROR(VLOOKUP(E227,SINAPI!A:D,3,0),"")</f>
        <v>CHP</v>
      </c>
      <c r="J227" s="579">
        <v>1</v>
      </c>
      <c r="K227" s="40">
        <f>IFERROR(VLOOKUP(E227,SINAPI!A:D,4,0),"")</f>
        <v>62.53</v>
      </c>
      <c r="L227" s="580">
        <f t="shared" si="48"/>
        <v>62.53</v>
      </c>
      <c r="M227" s="264"/>
      <c r="N227" s="562"/>
      <c r="O227" s="562"/>
      <c r="P227" s="562"/>
      <c r="Q227" s="562"/>
    </row>
    <row r="228" spans="1:17" ht="15" hidden="1" customHeight="1" outlineLevel="1" x14ac:dyDescent="0.25">
      <c r="A228" s="660" t="b">
        <f t="shared" si="43"/>
        <v>0</v>
      </c>
      <c r="C228" s="35">
        <v>9</v>
      </c>
      <c r="D228" s="576" t="s">
        <v>2747</v>
      </c>
      <c r="E228" s="576">
        <v>92717</v>
      </c>
      <c r="F228" s="577" t="s">
        <v>2746</v>
      </c>
      <c r="G228" s="37" t="str">
        <f>IFERROR(VLOOKUP(E228,SINAPI!A:D,2,0),"")</f>
        <v>APARELHO PARA CORTE E SOLDA OXI-ACETILENO SOBRE RODAS, INCLUSIVE CILINDROS E MAÇARICOS - CHI DIURNO. AF_12/2015</v>
      </c>
      <c r="H228" s="578"/>
      <c r="I228" s="40" t="str">
        <f>IFERROR(VLOOKUP(E228,SINAPI!A:D,3,0),"")</f>
        <v>CHI</v>
      </c>
      <c r="J228" s="579">
        <v>1</v>
      </c>
      <c r="K228" s="40">
        <f>IFERROR(VLOOKUP(E228,SINAPI!A:D,4,0),"")</f>
        <v>0.27</v>
      </c>
      <c r="L228" s="580">
        <f t="shared" si="48"/>
        <v>0.27</v>
      </c>
      <c r="M228" s="264"/>
      <c r="N228" s="562"/>
      <c r="O228" s="562"/>
      <c r="P228" s="562"/>
      <c r="Q228" s="562"/>
    </row>
    <row r="229" spans="1:17" ht="15" hidden="1" customHeight="1" outlineLevel="1" thickBot="1" x14ac:dyDescent="0.3">
      <c r="A229" s="660" t="b">
        <f t="shared" si="43"/>
        <v>0</v>
      </c>
      <c r="C229" s="230" t="s">
        <v>96</v>
      </c>
      <c r="D229" s="231"/>
      <c r="E229" s="231"/>
      <c r="F229" s="231"/>
      <c r="G229" s="231"/>
      <c r="H229" s="231"/>
      <c r="I229" s="231"/>
      <c r="J229" s="231"/>
      <c r="K229" s="232"/>
      <c r="L229" s="581">
        <f>SUM(L220:L228)</f>
        <v>768.45</v>
      </c>
      <c r="M229" s="261"/>
      <c r="N229" s="562" t="str">
        <f>C219</f>
        <v>COMP 24</v>
      </c>
      <c r="O229" s="582">
        <f>L229</f>
        <v>768.45</v>
      </c>
      <c r="P229" s="562"/>
      <c r="Q229" s="562"/>
    </row>
    <row r="230" spans="1:17" ht="15" hidden="1" customHeight="1" outlineLevel="1" x14ac:dyDescent="0.25">
      <c r="A230" s="699" t="b">
        <f>OR(A380,A22)</f>
        <v>0</v>
      </c>
      <c r="C230" s="569" t="s">
        <v>2757</v>
      </c>
      <c r="D230" s="570"/>
      <c r="E230" s="570" t="str">
        <f>IFERROR(VLOOKUP(C230,SINAPI!A:D,2,0),"")</f>
        <v>Grelha metálica articulada 80x75cm</v>
      </c>
      <c r="F230" s="570"/>
      <c r="G230" s="217"/>
      <c r="H230" s="571"/>
      <c r="I230" s="572" t="str">
        <f>IFERROR(VLOOKUP(C230,SINAPI!A:D,3,0),"")</f>
        <v>un</v>
      </c>
      <c r="J230" s="573"/>
      <c r="K230" s="573" t="s">
        <v>2603</v>
      </c>
      <c r="L230" s="574" t="str">
        <f>IF(J230="","",ROUND(J230*#REF!,2))</f>
        <v/>
      </c>
      <c r="M230" s="575"/>
      <c r="N230" s="562"/>
      <c r="O230" s="562"/>
      <c r="P230" s="562"/>
      <c r="Q230" s="562"/>
    </row>
    <row r="231" spans="1:17" ht="15" hidden="1" customHeight="1" outlineLevel="1" x14ac:dyDescent="0.25">
      <c r="A231" s="660" t="b">
        <f t="shared" si="43"/>
        <v>0</v>
      </c>
      <c r="C231" s="35">
        <v>1</v>
      </c>
      <c r="D231" s="576" t="s">
        <v>2747</v>
      </c>
      <c r="E231" s="576">
        <v>88317</v>
      </c>
      <c r="F231" s="577" t="s">
        <v>2739</v>
      </c>
      <c r="G231" s="37" t="str">
        <f>IFERROR(VLOOKUP(E231,SINAPI!A:D,2,0),"")</f>
        <v>SOLDADOR COM ENCARGOS COMPLEMENTARES</v>
      </c>
      <c r="H231" s="578"/>
      <c r="I231" s="40" t="str">
        <f>IFERROR(VLOOKUP(E231,SINAPI!A:D,3,0),"")</f>
        <v>H</v>
      </c>
      <c r="J231" s="579">
        <v>2</v>
      </c>
      <c r="K231" s="40">
        <f>IFERROR(VLOOKUP(E231,SINAPI!A:D,4,0),"")</f>
        <v>29.84</v>
      </c>
      <c r="L231" s="580">
        <f>IF(J231="","",ROUND(J231*K231,2))</f>
        <v>59.68</v>
      </c>
      <c r="M231" s="264"/>
      <c r="N231" s="562"/>
      <c r="O231" s="562"/>
      <c r="P231" s="562"/>
      <c r="Q231" s="562"/>
    </row>
    <row r="232" spans="1:17" ht="15" hidden="1" customHeight="1" outlineLevel="1" x14ac:dyDescent="0.25">
      <c r="A232" s="660" t="b">
        <f t="shared" si="43"/>
        <v>0</v>
      </c>
      <c r="C232" s="35">
        <v>2</v>
      </c>
      <c r="D232" s="576" t="s">
        <v>2747</v>
      </c>
      <c r="E232" s="576">
        <v>88316</v>
      </c>
      <c r="F232" s="577" t="s">
        <v>2740</v>
      </c>
      <c r="G232" s="37" t="str">
        <f>IFERROR(VLOOKUP(E232,SINAPI!A:D,2,0),"")</f>
        <v>SERVENTE COM ENCARGOS COMPLEMENTARES</v>
      </c>
      <c r="H232" s="578"/>
      <c r="I232" s="40" t="str">
        <f>IFERROR(VLOOKUP(E232,SINAPI!A:D,3,0),"")</f>
        <v>H</v>
      </c>
      <c r="J232" s="579">
        <v>2</v>
      </c>
      <c r="K232" s="40">
        <f>IFERROR(VLOOKUP(E232,SINAPI!A:D,4,0),"")</f>
        <v>20.82</v>
      </c>
      <c r="L232" s="580">
        <f t="shared" ref="L232:L239" si="49">IF(J232="","",ROUND(J232*K232,2))</f>
        <v>41.64</v>
      </c>
      <c r="M232" s="264"/>
      <c r="N232" s="562"/>
      <c r="O232" s="562"/>
      <c r="P232" s="562"/>
      <c r="Q232" s="562"/>
    </row>
    <row r="233" spans="1:17" ht="15" hidden="1" customHeight="1" outlineLevel="1" x14ac:dyDescent="0.25">
      <c r="A233" s="660" t="b">
        <f t="shared" si="43"/>
        <v>0</v>
      </c>
      <c r="C233" s="35">
        <v>3</v>
      </c>
      <c r="D233" s="576" t="s">
        <v>2748</v>
      </c>
      <c r="E233" s="576">
        <v>10998</v>
      </c>
      <c r="F233" s="577" t="s">
        <v>2741</v>
      </c>
      <c r="G233" s="37" t="str">
        <f>IFERROR(VLOOKUP(E233,SINAPI!A:D,2,0),"")</f>
        <v xml:space="preserve">ELETRODO REVESTIDO AWS - E-6010, DIAMETRO IGUAL A 4,00 MM                                                                                                                                                                                                                                                                                                                                                                                                                                                 </v>
      </c>
      <c r="H233" s="578"/>
      <c r="I233" s="40" t="str">
        <f>IFERROR(VLOOKUP(E233,SINAPI!A:D,3,0),"")</f>
        <v xml:space="preserve">KG    </v>
      </c>
      <c r="J233" s="579">
        <v>3</v>
      </c>
      <c r="K233" s="40">
        <f>IFERROR(VLOOKUP(E233,SINAPI!A:D,4,0),"")</f>
        <v>41.61</v>
      </c>
      <c r="L233" s="580">
        <f t="shared" si="49"/>
        <v>124.83</v>
      </c>
      <c r="M233" s="264"/>
      <c r="N233" s="562"/>
      <c r="O233" s="562"/>
      <c r="P233" s="562"/>
      <c r="Q233" s="562"/>
    </row>
    <row r="234" spans="1:17" ht="15" hidden="1" customHeight="1" outlineLevel="1" x14ac:dyDescent="0.25">
      <c r="A234" s="660" t="b">
        <f t="shared" si="43"/>
        <v>0</v>
      </c>
      <c r="C234" s="35">
        <v>4</v>
      </c>
      <c r="D234" s="576" t="s">
        <v>2748</v>
      </c>
      <c r="E234" s="550">
        <v>43056</v>
      </c>
      <c r="F234" s="552" t="s">
        <v>3180</v>
      </c>
      <c r="G234" s="37" t="str">
        <f>IFERROR(VLOOKUP(E234,SINAPI!A:D,2,0),"")</f>
        <v xml:space="preserve">ACO CA-50, 20,0 MM OU 25,0 MM, VERGALHAO                                                                                                                                                                                                                                                                                                                                                                                                                                                                  </v>
      </c>
      <c r="H234" s="578"/>
      <c r="I234" s="40" t="str">
        <f>IFERROR(VLOOKUP(E234,SINAPI!A:D,3,0),"")</f>
        <v xml:space="preserve">KG    </v>
      </c>
      <c r="J234" s="579">
        <f>DISPOSITIVOS!K40</f>
        <v>37.159999999999997</v>
      </c>
      <c r="K234" s="40">
        <f>IFERROR(VLOOKUP(E234,SINAPI!A:D,4,0),"")</f>
        <v>9.43</v>
      </c>
      <c r="L234" s="580">
        <f t="shared" si="49"/>
        <v>350.42</v>
      </c>
      <c r="M234" s="264"/>
      <c r="N234" s="562"/>
      <c r="O234" s="562"/>
      <c r="P234" s="562"/>
      <c r="Q234" s="562"/>
    </row>
    <row r="235" spans="1:17" ht="15" hidden="1" customHeight="1" outlineLevel="1" x14ac:dyDescent="0.25">
      <c r="A235" s="660" t="b">
        <f t="shared" si="43"/>
        <v>0</v>
      </c>
      <c r="C235" s="35">
        <v>5</v>
      </c>
      <c r="D235" s="576" t="s">
        <v>2748</v>
      </c>
      <c r="E235" s="576">
        <v>4777</v>
      </c>
      <c r="F235" s="577" t="s">
        <v>2742</v>
      </c>
      <c r="G235" s="37" t="str">
        <f>IFERROR(VLOOKUP(E235,SINAPI!A:D,2,0),"")</f>
        <v xml:space="preserve">CANTONEIRA ACO ABAS IGUAIS (QUALQUER BITOLA), ESPESSURA ENTRE 1/8" E 1/4"                                                                                                                                                                                                                                                                                                                                                                                                                                 </v>
      </c>
      <c r="H235" s="578"/>
      <c r="I235" s="40" t="str">
        <f>IFERROR(VLOOKUP(E235,SINAPI!A:D,3,0),"")</f>
        <v xml:space="preserve">KG    </v>
      </c>
      <c r="J235" s="579">
        <f>DISPOSITIVOS!K43</f>
        <v>16.190000000000001</v>
      </c>
      <c r="K235" s="40">
        <f>IFERROR(VLOOKUP(E235,SINAPI!A:D,4,0),"")</f>
        <v>13.4</v>
      </c>
      <c r="L235" s="580">
        <f t="shared" si="49"/>
        <v>216.95</v>
      </c>
      <c r="M235" s="264"/>
      <c r="N235" s="562"/>
      <c r="O235" s="562"/>
      <c r="P235" s="562"/>
      <c r="Q235" s="562"/>
    </row>
    <row r="236" spans="1:17" ht="15" hidden="1" customHeight="1" outlineLevel="1" x14ac:dyDescent="0.25">
      <c r="A236" s="660" t="b">
        <f t="shared" si="43"/>
        <v>0</v>
      </c>
      <c r="C236" s="35">
        <v>6</v>
      </c>
      <c r="D236" s="576" t="s">
        <v>2747</v>
      </c>
      <c r="E236" s="576">
        <v>91692</v>
      </c>
      <c r="F236" s="577" t="s">
        <v>2743</v>
      </c>
      <c r="G236" s="37" t="str">
        <f>IFERROR(VLOOKUP(E236,SINAPI!A:D,2,0),"")</f>
        <v>SERRA CIRCULAR DE BANCADA COM MOTOR ELÉTRICO POTÊNCIA DE 5HP, COM COIFA PARA DISCO 10" - CHP DIURNO. AF_08/2015</v>
      </c>
      <c r="H236" s="578"/>
      <c r="I236" s="40" t="str">
        <f>IFERROR(VLOOKUP(E236,SINAPI!A:D,3,0),"")</f>
        <v>CHP</v>
      </c>
      <c r="J236" s="579">
        <v>0.75</v>
      </c>
      <c r="K236" s="40">
        <f>IFERROR(VLOOKUP(E236,SINAPI!A:D,4,0),"")</f>
        <v>27.32</v>
      </c>
      <c r="L236" s="580">
        <f t="shared" si="49"/>
        <v>20.49</v>
      </c>
      <c r="M236" s="264"/>
      <c r="N236" s="562"/>
      <c r="O236" s="562"/>
      <c r="P236" s="562"/>
      <c r="Q236" s="562"/>
    </row>
    <row r="237" spans="1:17" ht="15" hidden="1" customHeight="1" outlineLevel="1" x14ac:dyDescent="0.25">
      <c r="A237" s="660" t="b">
        <f t="shared" si="43"/>
        <v>0</v>
      </c>
      <c r="C237" s="35">
        <v>7</v>
      </c>
      <c r="D237" s="576" t="s">
        <v>2747</v>
      </c>
      <c r="E237" s="550">
        <v>91693</v>
      </c>
      <c r="F237" s="577" t="s">
        <v>2744</v>
      </c>
      <c r="G237" s="37" t="str">
        <f>IFERROR(VLOOKUP(E237,SINAPI!A:D,2,0),"")</f>
        <v>SERRA CIRCULAR DE BANCADA COM MOTOR ELÉTRICO POTÊNCIA DE 5HP, COM COIFA PARA DISCO 10" - CHI DIURNO. AF_08/2015</v>
      </c>
      <c r="H237" s="578"/>
      <c r="I237" s="40" t="str">
        <f>IFERROR(VLOOKUP(E237,SINAPI!A:D,3,0),"")</f>
        <v>CHI</v>
      </c>
      <c r="J237" s="579">
        <v>0.75</v>
      </c>
      <c r="K237" s="40">
        <f>IFERROR(VLOOKUP(E237,SINAPI!A:D,4,0),"")</f>
        <v>26.3</v>
      </c>
      <c r="L237" s="580">
        <f t="shared" si="49"/>
        <v>19.73</v>
      </c>
      <c r="M237" s="264"/>
      <c r="N237" s="562"/>
      <c r="O237" s="562"/>
      <c r="P237" s="562"/>
      <c r="Q237" s="562"/>
    </row>
    <row r="238" spans="1:17" ht="15" hidden="1" customHeight="1" outlineLevel="1" x14ac:dyDescent="0.25">
      <c r="A238" s="660" t="b">
        <f t="shared" si="43"/>
        <v>0</v>
      </c>
      <c r="C238" s="35">
        <v>8</v>
      </c>
      <c r="D238" s="576" t="s">
        <v>2747</v>
      </c>
      <c r="E238" s="576">
        <v>92716</v>
      </c>
      <c r="F238" s="577" t="s">
        <v>2745</v>
      </c>
      <c r="G238" s="37" t="str">
        <f>IFERROR(VLOOKUP(E238,SINAPI!A:D,2,0),"")</f>
        <v>APARELHO PARA CORTE E SOLDA OXI-ACETILENO SOBRE RODAS, INCLUSIVE CILINDROS E MAÇARICOS - CHP DIURNO. AF_12/2015</v>
      </c>
      <c r="H238" s="578"/>
      <c r="I238" s="40" t="str">
        <f>IFERROR(VLOOKUP(E238,SINAPI!A:D,3,0),"")</f>
        <v>CHP</v>
      </c>
      <c r="J238" s="579">
        <v>1.5</v>
      </c>
      <c r="K238" s="40">
        <f>IFERROR(VLOOKUP(E238,SINAPI!A:D,4,0),"")</f>
        <v>62.53</v>
      </c>
      <c r="L238" s="580">
        <f t="shared" si="49"/>
        <v>93.8</v>
      </c>
      <c r="M238" s="264"/>
      <c r="N238" s="562"/>
      <c r="O238" s="562"/>
      <c r="P238" s="562"/>
      <c r="Q238" s="562"/>
    </row>
    <row r="239" spans="1:17" ht="15" hidden="1" customHeight="1" outlineLevel="1" x14ac:dyDescent="0.25">
      <c r="A239" s="660" t="b">
        <f t="shared" si="43"/>
        <v>0</v>
      </c>
      <c r="C239" s="35">
        <v>9</v>
      </c>
      <c r="D239" s="576" t="s">
        <v>2747</v>
      </c>
      <c r="E239" s="576">
        <v>92717</v>
      </c>
      <c r="F239" s="577" t="s">
        <v>2746</v>
      </c>
      <c r="G239" s="37" t="str">
        <f>IFERROR(VLOOKUP(E239,SINAPI!A:D,2,0),"")</f>
        <v>APARELHO PARA CORTE E SOLDA OXI-ACETILENO SOBRE RODAS, INCLUSIVE CILINDROS E MAÇARICOS - CHI DIURNO. AF_12/2015</v>
      </c>
      <c r="H239" s="578"/>
      <c r="I239" s="40" t="str">
        <f>IFERROR(VLOOKUP(E239,SINAPI!A:D,3,0),"")</f>
        <v>CHI</v>
      </c>
      <c r="J239" s="579">
        <v>1.5</v>
      </c>
      <c r="K239" s="40">
        <f>IFERROR(VLOOKUP(E239,SINAPI!A:D,4,0),"")</f>
        <v>0.27</v>
      </c>
      <c r="L239" s="580">
        <f t="shared" si="49"/>
        <v>0.41</v>
      </c>
      <c r="M239" s="264"/>
      <c r="N239" s="562"/>
      <c r="O239" s="562"/>
      <c r="P239" s="562"/>
      <c r="Q239" s="562"/>
    </row>
    <row r="240" spans="1:17" ht="15" hidden="1" customHeight="1" outlineLevel="1" thickBot="1" x14ac:dyDescent="0.3">
      <c r="A240" s="660" t="b">
        <f t="shared" si="43"/>
        <v>0</v>
      </c>
      <c r="C240" s="230" t="s">
        <v>96</v>
      </c>
      <c r="D240" s="231"/>
      <c r="E240" s="231"/>
      <c r="F240" s="231"/>
      <c r="G240" s="231"/>
      <c r="H240" s="231"/>
      <c r="I240" s="231"/>
      <c r="J240" s="231"/>
      <c r="K240" s="232"/>
      <c r="L240" s="581">
        <f>SUM(L231:L239)</f>
        <v>927.95</v>
      </c>
      <c r="M240" s="261"/>
      <c r="N240" s="562" t="str">
        <f>C230</f>
        <v>COMP 25</v>
      </c>
      <c r="O240" s="582">
        <f>L240</f>
        <v>927.95</v>
      </c>
      <c r="P240" s="562"/>
      <c r="Q240" s="562"/>
    </row>
    <row r="241" spans="1:17" ht="15" hidden="1" customHeight="1" outlineLevel="1" x14ac:dyDescent="0.25">
      <c r="A241" s="699" t="b">
        <f>_xlfn.XOR(C241=$S$2,C241=$S$3,C241=$S$4,C241=$S$5,C241=$S$6,C241=$S$7,C241=$S$8,C241=$S$9,C241=$S$10,C241=$S$11,C241=$S$12,C241=$S$13,C241=$S$14,C241=$S$15,C241=$S$16,C241=$S$17,C241=$S$18,C241=$S$19,C241=$S$20,C241=$S$21,C241=$S$22,C241=$S$23,C241=$S$24,C241=$S$25,C241=$S$26,C241=$S$27,C241=$S$28,C241=$S$29,C241=$S$30,C241=$S$316,C241=$S$32,C241=$S$33,C241=$S$34,C241=$S$35,C241=$S$36,C241=$S$37,C241=$S$38,C241=$S$39,C241=$S$40,C241=$S$41,C241=$S$42,)</f>
        <v>0</v>
      </c>
      <c r="C241" s="569" t="s">
        <v>2849</v>
      </c>
      <c r="D241" s="570"/>
      <c r="E241" s="570" t="str">
        <f>IFERROR(VLOOKUP(C241,SINAPI!A:D,2,0),"")</f>
        <v>Meio fio de concreto extrusado FCK 20MPa conforme detalhe</v>
      </c>
      <c r="F241" s="570"/>
      <c r="G241" s="217"/>
      <c r="H241" s="571"/>
      <c r="I241" s="572" t="str">
        <f>IFERROR(VLOOKUP(C241,SINAPI!A:D,3,0),"")</f>
        <v>m</v>
      </c>
      <c r="J241" s="573"/>
      <c r="K241" s="573" t="s">
        <v>2603</v>
      </c>
      <c r="L241" s="574" t="str">
        <f>IF(J241="","",ROUND(J241*#REF!,2))</f>
        <v/>
      </c>
      <c r="M241" s="575"/>
      <c r="N241" s="562"/>
      <c r="O241" s="562"/>
      <c r="P241" s="562"/>
      <c r="Q241" s="562"/>
    </row>
    <row r="242" spans="1:17" ht="15" hidden="1" customHeight="1" outlineLevel="1" x14ac:dyDescent="0.25">
      <c r="A242" s="660" t="b">
        <f t="shared" si="43"/>
        <v>0</v>
      </c>
      <c r="C242" s="35">
        <v>1</v>
      </c>
      <c r="D242" s="576" t="s">
        <v>2748</v>
      </c>
      <c r="E242" s="576">
        <v>370</v>
      </c>
      <c r="F242" s="577" t="s">
        <v>2851</v>
      </c>
      <c r="G242" s="37" t="str">
        <f>IFERROR(VLOOKUP(E242,SINAPI!A:D,2,0),"")</f>
        <v xml:space="preserve">AREIA MEDIA - POSTO JAZIDA/FORNECEDOR (RETIRADO NA JAZIDA, SEM TRANSPORTE)                                                                                                                                                                                                                                                                                                                                                                                                                                </v>
      </c>
      <c r="H242" s="578"/>
      <c r="I242" s="40" t="str">
        <f>IFERROR(VLOOKUP(E242,SINAPI!A:D,3,0),"")</f>
        <v xml:space="preserve">M3    </v>
      </c>
      <c r="J242" s="536">
        <v>7.0000000000000001E-3</v>
      </c>
      <c r="K242" s="40">
        <f>IFERROR(VLOOKUP(E242,SINAPI!A:D,4,0),"")</f>
        <v>150</v>
      </c>
      <c r="L242" s="580">
        <f>IF(J242="","",ROUND(J242*K242,2))</f>
        <v>1.05</v>
      </c>
      <c r="M242" s="264"/>
      <c r="N242" s="562"/>
      <c r="O242" s="562"/>
      <c r="P242" s="562"/>
      <c r="Q242" s="562"/>
    </row>
    <row r="243" spans="1:17" ht="15" hidden="1" customHeight="1" outlineLevel="1" x14ac:dyDescent="0.25">
      <c r="A243" s="660" t="b">
        <f t="shared" si="43"/>
        <v>0</v>
      </c>
      <c r="C243" s="35">
        <v>2</v>
      </c>
      <c r="D243" s="576" t="s">
        <v>2748</v>
      </c>
      <c r="E243" s="550">
        <v>38404</v>
      </c>
      <c r="F243" s="552" t="s">
        <v>3193</v>
      </c>
      <c r="G243" s="37" t="str">
        <f>IFERROR(VLOOKUP(E243,SINAPI!A:D,2,0),"")</f>
        <v xml:space="preserve">CONCRETO USINADO BOMBEAVEL, CLASSE DE RESISTENCIA C20, COM BRITA 0 E 1, SLUMP = 130 +/- 20 MM, EXCLUI SERVICO DE BOMBEAMENTO (NBR 8953)                                                                                                                                                                                                                                                                                                                                                                   </v>
      </c>
      <c r="H243" s="578"/>
      <c r="I243" s="40" t="str">
        <f>IFERROR(VLOOKUP(E243,SINAPI!A:D,3,0),"")</f>
        <v xml:space="preserve">M3    </v>
      </c>
      <c r="J243" s="536">
        <v>1.8800000000000001E-2</v>
      </c>
      <c r="K243" s="40">
        <f>IFERROR(VLOOKUP(E243,SINAPI!A:D,4,0),"")</f>
        <v>495.11</v>
      </c>
      <c r="L243" s="580">
        <f t="shared" ref="L243:L249" si="50">IF(J243="","",ROUND(J243*K243,2))</f>
        <v>9.31</v>
      </c>
      <c r="M243" s="264"/>
      <c r="N243" s="562"/>
      <c r="O243" s="562"/>
      <c r="P243" s="562"/>
      <c r="Q243" s="562"/>
    </row>
    <row r="244" spans="1:17" ht="15" hidden="1" customHeight="1" outlineLevel="1" x14ac:dyDescent="0.25">
      <c r="A244" s="660" t="b">
        <f t="shared" si="43"/>
        <v>0</v>
      </c>
      <c r="C244" s="35">
        <v>3</v>
      </c>
      <c r="D244" s="576" t="s">
        <v>2747</v>
      </c>
      <c r="E244" s="576">
        <v>88243</v>
      </c>
      <c r="F244" s="577" t="s">
        <v>2852</v>
      </c>
      <c r="G244" s="37" t="str">
        <f>IFERROR(VLOOKUP(E244,SINAPI!A:D,2,0),"")</f>
        <v>AJUDANTE ESPECIALIZADO COM ENCARGOS COMPLEMENTARES</v>
      </c>
      <c r="H244" s="578"/>
      <c r="I244" s="40" t="str">
        <f>IFERROR(VLOOKUP(E244,SINAPI!A:D,3,0),"")</f>
        <v>H</v>
      </c>
      <c r="J244" s="579">
        <v>8.6999999999999994E-2</v>
      </c>
      <c r="K244" s="40">
        <f>IFERROR(VLOOKUP(E244,SINAPI!A:D,4,0),"")</f>
        <v>22.39</v>
      </c>
      <c r="L244" s="580">
        <f t="shared" si="50"/>
        <v>1.95</v>
      </c>
      <c r="M244" s="264"/>
      <c r="N244" s="562"/>
      <c r="O244" s="562"/>
      <c r="P244" s="562"/>
      <c r="Q244" s="562"/>
    </row>
    <row r="245" spans="1:17" ht="15" hidden="1" customHeight="1" outlineLevel="1" x14ac:dyDescent="0.25">
      <c r="A245" s="660" t="b">
        <f t="shared" si="43"/>
        <v>0</v>
      </c>
      <c r="C245" s="35">
        <v>4</v>
      </c>
      <c r="D245" s="576" t="s">
        <v>2747</v>
      </c>
      <c r="E245" s="576">
        <v>88309</v>
      </c>
      <c r="F245" s="577" t="s">
        <v>2751</v>
      </c>
      <c r="G245" s="37" t="str">
        <f>IFERROR(VLOOKUP(E245,SINAPI!A:D,2,0),"")</f>
        <v>PEDREIRO COM ENCARGOS COMPLEMENTARES</v>
      </c>
      <c r="H245" s="578"/>
      <c r="I245" s="40" t="str">
        <f>IFERROR(VLOOKUP(E245,SINAPI!A:D,3,0),"")</f>
        <v>H</v>
      </c>
      <c r="J245" s="579">
        <v>0.221</v>
      </c>
      <c r="K245" s="40">
        <f>IFERROR(VLOOKUP(E245,SINAPI!A:D,4,0),"")</f>
        <v>30.44</v>
      </c>
      <c r="L245" s="580">
        <f t="shared" si="50"/>
        <v>6.73</v>
      </c>
      <c r="M245" s="264"/>
      <c r="N245" s="562"/>
      <c r="O245" s="562"/>
      <c r="P245" s="562"/>
      <c r="Q245" s="562"/>
    </row>
    <row r="246" spans="1:17" ht="15" hidden="1" customHeight="1" outlineLevel="1" x14ac:dyDescent="0.25">
      <c r="A246" s="660" t="b">
        <f t="shared" si="43"/>
        <v>0</v>
      </c>
      <c r="C246" s="35">
        <v>5</v>
      </c>
      <c r="D246" s="576" t="s">
        <v>2747</v>
      </c>
      <c r="E246" s="576">
        <v>88316</v>
      </c>
      <c r="F246" s="577" t="s">
        <v>2740</v>
      </c>
      <c r="G246" s="37" t="str">
        <f>IFERROR(VLOOKUP(E246,SINAPI!A:D,2,0),"")</f>
        <v>SERVENTE COM ENCARGOS COMPLEMENTARES</v>
      </c>
      <c r="H246" s="578"/>
      <c r="I246" s="40" t="str">
        <f>IFERROR(VLOOKUP(E246,SINAPI!A:D,3,0),"")</f>
        <v>H</v>
      </c>
      <c r="J246" s="579">
        <v>0.442</v>
      </c>
      <c r="K246" s="40">
        <f>IFERROR(VLOOKUP(E246,SINAPI!A:D,4,0),"")</f>
        <v>20.82</v>
      </c>
      <c r="L246" s="580">
        <f t="shared" si="50"/>
        <v>9.1999999999999993</v>
      </c>
      <c r="M246" s="264"/>
      <c r="N246" s="562"/>
      <c r="O246" s="562"/>
      <c r="P246" s="562"/>
      <c r="Q246" s="562"/>
    </row>
    <row r="247" spans="1:17" ht="15" hidden="1" customHeight="1" outlineLevel="1" x14ac:dyDescent="0.25">
      <c r="A247" s="660" t="b">
        <f t="shared" si="43"/>
        <v>0</v>
      </c>
      <c r="C247" s="35">
        <v>6</v>
      </c>
      <c r="D247" s="576" t="s">
        <v>2747</v>
      </c>
      <c r="E247" s="576">
        <v>88631</v>
      </c>
      <c r="F247" s="577" t="s">
        <v>2853</v>
      </c>
      <c r="G247" s="37" t="str">
        <f>IFERROR(VLOOKUP(E247,SINAPI!A:D,2,0),"")</f>
        <v>ARGAMASSA TRAÇO 1:4 (EM VOLUME DE CIMENTO E AREIA MÉDIA ÚMIDA), PREPARO MANUAL. AF_08/2019</v>
      </c>
      <c r="H247" s="578"/>
      <c r="I247" s="40" t="str">
        <f>IFERROR(VLOOKUP(E247,SINAPI!A:D,3,0),"")</f>
        <v>M3</v>
      </c>
      <c r="J247" s="579">
        <v>2E-3</v>
      </c>
      <c r="K247" s="40">
        <f>IFERROR(VLOOKUP(E247,SINAPI!A:D,4,0),"")</f>
        <v>641.14</v>
      </c>
      <c r="L247" s="580">
        <f t="shared" si="50"/>
        <v>1.28</v>
      </c>
      <c r="M247" s="264"/>
      <c r="N247" s="562"/>
      <c r="O247" s="562"/>
      <c r="P247" s="562"/>
      <c r="Q247" s="562"/>
    </row>
    <row r="248" spans="1:17" ht="15" hidden="1" customHeight="1" outlineLevel="1" x14ac:dyDescent="0.25">
      <c r="A248" s="660" t="b">
        <f t="shared" si="43"/>
        <v>0</v>
      </c>
      <c r="C248" s="35">
        <v>7</v>
      </c>
      <c r="D248" s="576" t="s">
        <v>2747</v>
      </c>
      <c r="E248" s="576">
        <v>92960</v>
      </c>
      <c r="F248" s="577" t="s">
        <v>2854</v>
      </c>
      <c r="G248" s="37" t="str">
        <f>IFERROR(VLOOKUP(E248,SINAPI!A:D,2,0),"")</f>
        <v>MÁQUINA EXTRUSORA DE CONCRETO PARA GUIAS E SARJETAS, MOTOR A DIESEL, POTÊNCIA 14 CV - CHP DIURNO. AF_12/2015</v>
      </c>
      <c r="H248" s="578"/>
      <c r="I248" s="40" t="str">
        <f>IFERROR(VLOOKUP(E248,SINAPI!A:D,3,0),"")</f>
        <v>CHP</v>
      </c>
      <c r="J248" s="579">
        <v>1.4E-2</v>
      </c>
      <c r="K248" s="40">
        <f>IFERROR(VLOOKUP(E248,SINAPI!A:D,4,0),"")</f>
        <v>19.350000000000001</v>
      </c>
      <c r="L248" s="580">
        <f t="shared" si="50"/>
        <v>0.27</v>
      </c>
      <c r="M248" s="264"/>
      <c r="N248" s="562"/>
      <c r="O248" s="562"/>
      <c r="P248" s="562"/>
      <c r="Q248" s="562"/>
    </row>
    <row r="249" spans="1:17" ht="15" hidden="1" customHeight="1" outlineLevel="1" x14ac:dyDescent="0.25">
      <c r="A249" s="660" t="b">
        <f t="shared" si="43"/>
        <v>0</v>
      </c>
      <c r="C249" s="35">
        <v>8</v>
      </c>
      <c r="D249" s="576" t="s">
        <v>2747</v>
      </c>
      <c r="E249" s="576">
        <v>92961</v>
      </c>
      <c r="F249" s="577" t="s">
        <v>2855</v>
      </c>
      <c r="G249" s="37" t="str">
        <f>IFERROR(VLOOKUP(E249,SINAPI!A:D,2,0),"")</f>
        <v>MÁQUINA EXTRUSORA DE CONCRETO PARA GUIAS E SARJETAS, MOTOR A DIESEL, POTÊNCIA 14 CV - CHI DIURNO. AF_12/2015</v>
      </c>
      <c r="H249" s="578"/>
      <c r="I249" s="40" t="str">
        <f>IFERROR(VLOOKUP(E249,SINAPI!A:D,3,0),"")</f>
        <v>CHI</v>
      </c>
      <c r="J249" s="579">
        <v>7.1999999999999995E-2</v>
      </c>
      <c r="K249" s="40">
        <f>IFERROR(VLOOKUP(E249,SINAPI!A:D,4,0),"")</f>
        <v>4.49</v>
      </c>
      <c r="L249" s="580">
        <f t="shared" si="50"/>
        <v>0.32</v>
      </c>
      <c r="M249" s="264"/>
      <c r="N249" s="562"/>
      <c r="O249" s="562"/>
      <c r="P249" s="562"/>
      <c r="Q249" s="562"/>
    </row>
    <row r="250" spans="1:17" ht="15" hidden="1" customHeight="1" outlineLevel="1" thickBot="1" x14ac:dyDescent="0.3">
      <c r="A250" s="660" t="b">
        <f t="shared" si="43"/>
        <v>0</v>
      </c>
      <c r="C250" s="230" t="s">
        <v>96</v>
      </c>
      <c r="D250" s="231"/>
      <c r="E250" s="231"/>
      <c r="F250" s="231"/>
      <c r="G250" s="231"/>
      <c r="H250" s="231"/>
      <c r="I250" s="231"/>
      <c r="J250" s="231"/>
      <c r="K250" s="232"/>
      <c r="L250" s="581">
        <f>SUM(L242:L249)</f>
        <v>30.11</v>
      </c>
      <c r="M250" s="261"/>
      <c r="N250" s="562" t="str">
        <f>C241</f>
        <v>COMP 26</v>
      </c>
      <c r="O250" s="582">
        <f>L250</f>
        <v>30.11</v>
      </c>
      <c r="P250" s="562"/>
      <c r="Q250" s="562"/>
    </row>
    <row r="251" spans="1:17" ht="15" hidden="1" customHeight="1" outlineLevel="1" x14ac:dyDescent="0.25">
      <c r="A251" s="699" t="b">
        <f>_xlfn.XOR(C251=$S$2,C251=$S$3,C251=$S$4,C251=$S$5,C251=$S$6,C251=$S$7,C251=$S$8,C251=$S$9,C251=$S$10,C251=$S$11,C251=$S$12,C251=$S$13,C251=$S$14,C251=$S$15,C251=$S$16,C251=$S$17,C251=$S$18,C251=$S$19,C251=$S$20,C251=$S$21,C251=$S$22,C251=$S$23,C251=$S$24,C251=$S$25,C251=$S$26,C251=$S$27,C251=$S$28,C251=$S$29,C251=$S$30,C251=$S$316,C251=$S$32,C251=$S$33,C251=$S$34,C251=$S$35,C251=$S$36,C251=$S$37,C251=$S$38,C251=$S$39,C251=$S$40,C251=$S$41,C251=$S$42,)</f>
        <v>0</v>
      </c>
      <c r="C251" s="569" t="s">
        <v>2850</v>
      </c>
      <c r="D251" s="570"/>
      <c r="E251" s="570" t="str">
        <f>IFERROR(VLOOKUP(C251,SINAPI!A:D,2,0),"")</f>
        <v>Meio fio de concreto extrusado FCK 20MPa conforme detalhe</v>
      </c>
      <c r="F251" s="570"/>
      <c r="G251" s="217"/>
      <c r="H251" s="571"/>
      <c r="I251" s="572" t="str">
        <f>IFERROR(VLOOKUP(C251,SINAPI!A:D,3,0),"")</f>
        <v>m</v>
      </c>
      <c r="J251" s="573"/>
      <c r="K251" s="573" t="s">
        <v>2603</v>
      </c>
      <c r="L251" s="574" t="str">
        <f>IF(J251="","",ROUND(J251*#REF!,2))</f>
        <v/>
      </c>
      <c r="M251" s="575"/>
      <c r="N251" s="562"/>
      <c r="O251" s="562"/>
      <c r="P251" s="562"/>
      <c r="Q251" s="562"/>
    </row>
    <row r="252" spans="1:17" ht="15" hidden="1" customHeight="1" outlineLevel="1" x14ac:dyDescent="0.25">
      <c r="A252" s="660" t="b">
        <f t="shared" si="43"/>
        <v>0</v>
      </c>
      <c r="C252" s="35">
        <v>1</v>
      </c>
      <c r="D252" s="576" t="s">
        <v>2748</v>
      </c>
      <c r="E252" s="576">
        <v>370</v>
      </c>
      <c r="F252" s="577" t="s">
        <v>2851</v>
      </c>
      <c r="G252" s="37" t="str">
        <f>IFERROR(VLOOKUP(E252,SINAPI!A:D,2,0),"")</f>
        <v xml:space="preserve">AREIA MEDIA - POSTO JAZIDA/FORNECEDOR (RETIRADO NA JAZIDA, SEM TRANSPORTE)                                                                                                                                                                                                                                                                                                                                                                                                                                </v>
      </c>
      <c r="H252" s="578"/>
      <c r="I252" s="40" t="str">
        <f>IFERROR(VLOOKUP(E252,SINAPI!A:D,3,0),"")</f>
        <v xml:space="preserve">M3    </v>
      </c>
      <c r="J252" s="536">
        <f>0.007/2</f>
        <v>3.5000000000000001E-3</v>
      </c>
      <c r="K252" s="40">
        <f>IFERROR(VLOOKUP(E252,SINAPI!A:D,4,0),"")</f>
        <v>150</v>
      </c>
      <c r="L252" s="580">
        <f>IF(J252="","",ROUND(J252*K252,2))</f>
        <v>0.53</v>
      </c>
      <c r="M252" s="264"/>
      <c r="N252" s="562"/>
      <c r="O252" s="562"/>
      <c r="P252" s="562"/>
      <c r="Q252" s="562"/>
    </row>
    <row r="253" spans="1:17" ht="15" hidden="1" customHeight="1" outlineLevel="1" x14ac:dyDescent="0.25">
      <c r="A253" s="660" t="b">
        <f t="shared" si="43"/>
        <v>0</v>
      </c>
      <c r="C253" s="35">
        <v>2</v>
      </c>
      <c r="D253" s="576" t="s">
        <v>2748</v>
      </c>
      <c r="E253" s="550">
        <v>38404</v>
      </c>
      <c r="F253" s="552" t="s">
        <v>3193</v>
      </c>
      <c r="G253" s="37" t="str">
        <f>IFERROR(VLOOKUP(E253,SINAPI!A:D,2,0),"")</f>
        <v xml:space="preserve">CONCRETO USINADO BOMBEAVEL, CLASSE DE RESISTENCIA C20, COM BRITA 0 E 1, SLUMP = 130 +/- 20 MM, EXCLUI SERVICO DE BOMBEAMENTO (NBR 8953)                                                                                                                                                                                                                                                                                                                                                                   </v>
      </c>
      <c r="H253" s="578"/>
      <c r="I253" s="40" t="str">
        <f>IFERROR(VLOOKUP(E253,SINAPI!A:D,3,0),"")</f>
        <v xml:space="preserve">M3    </v>
      </c>
      <c r="J253" s="536">
        <v>7.1000000000000004E-3</v>
      </c>
      <c r="K253" s="40">
        <f>IFERROR(VLOOKUP(E253,SINAPI!A:D,4,0),"")</f>
        <v>495.11</v>
      </c>
      <c r="L253" s="580">
        <f t="shared" ref="L253:L259" si="51">IF(J253="","",ROUND(J253*K253,2))</f>
        <v>3.52</v>
      </c>
      <c r="M253" s="264"/>
      <c r="N253" s="562"/>
      <c r="O253" s="562"/>
      <c r="P253" s="562"/>
      <c r="Q253" s="562"/>
    </row>
    <row r="254" spans="1:17" ht="15" hidden="1" customHeight="1" outlineLevel="1" x14ac:dyDescent="0.25">
      <c r="A254" s="660" t="b">
        <f t="shared" si="43"/>
        <v>0</v>
      </c>
      <c r="C254" s="35">
        <v>3</v>
      </c>
      <c r="D254" s="576" t="s">
        <v>2747</v>
      </c>
      <c r="E254" s="576">
        <v>88243</v>
      </c>
      <c r="F254" s="577" t="s">
        <v>2852</v>
      </c>
      <c r="G254" s="37" t="str">
        <f>IFERROR(VLOOKUP(E254,SINAPI!A:D,2,0),"")</f>
        <v>AJUDANTE ESPECIALIZADO COM ENCARGOS COMPLEMENTARES</v>
      </c>
      <c r="H254" s="578"/>
      <c r="I254" s="40" t="str">
        <f>IFERROR(VLOOKUP(E254,SINAPI!A:D,3,0),"")</f>
        <v>H</v>
      </c>
      <c r="J254" s="579">
        <v>8.6999999999999994E-2</v>
      </c>
      <c r="K254" s="40">
        <f>IFERROR(VLOOKUP(E254,SINAPI!A:D,4,0),"")</f>
        <v>22.39</v>
      </c>
      <c r="L254" s="580">
        <f t="shared" si="51"/>
        <v>1.95</v>
      </c>
      <c r="M254" s="264"/>
      <c r="N254" s="562"/>
      <c r="O254" s="562"/>
      <c r="P254" s="562"/>
      <c r="Q254" s="562"/>
    </row>
    <row r="255" spans="1:17" ht="15" hidden="1" customHeight="1" outlineLevel="1" x14ac:dyDescent="0.25">
      <c r="A255" s="660" t="b">
        <f t="shared" si="43"/>
        <v>0</v>
      </c>
      <c r="C255" s="35">
        <v>4</v>
      </c>
      <c r="D255" s="576" t="s">
        <v>2747</v>
      </c>
      <c r="E255" s="576">
        <v>88309</v>
      </c>
      <c r="F255" s="577" t="s">
        <v>2751</v>
      </c>
      <c r="G255" s="37" t="str">
        <f>IFERROR(VLOOKUP(E255,SINAPI!A:D,2,0),"")</f>
        <v>PEDREIRO COM ENCARGOS COMPLEMENTARES</v>
      </c>
      <c r="H255" s="578"/>
      <c r="I255" s="40" t="str">
        <f>IFERROR(VLOOKUP(E255,SINAPI!A:D,3,0),"")</f>
        <v>H</v>
      </c>
      <c r="J255" s="579">
        <v>0.221</v>
      </c>
      <c r="K255" s="40">
        <f>IFERROR(VLOOKUP(E255,SINAPI!A:D,4,0),"")</f>
        <v>30.44</v>
      </c>
      <c r="L255" s="580">
        <f t="shared" si="51"/>
        <v>6.73</v>
      </c>
      <c r="M255" s="264"/>
      <c r="N255" s="562"/>
      <c r="O255" s="562"/>
      <c r="P255" s="562"/>
      <c r="Q255" s="562"/>
    </row>
    <row r="256" spans="1:17" ht="15" hidden="1" customHeight="1" outlineLevel="1" x14ac:dyDescent="0.25">
      <c r="A256" s="660" t="b">
        <f t="shared" si="43"/>
        <v>0</v>
      </c>
      <c r="C256" s="35">
        <v>5</v>
      </c>
      <c r="D256" s="576" t="s">
        <v>2747</v>
      </c>
      <c r="E256" s="576">
        <v>88316</v>
      </c>
      <c r="F256" s="577" t="s">
        <v>2740</v>
      </c>
      <c r="G256" s="37" t="str">
        <f>IFERROR(VLOOKUP(E256,SINAPI!A:D,2,0),"")</f>
        <v>SERVENTE COM ENCARGOS COMPLEMENTARES</v>
      </c>
      <c r="H256" s="578"/>
      <c r="I256" s="40" t="str">
        <f>IFERROR(VLOOKUP(E256,SINAPI!A:D,3,0),"")</f>
        <v>H</v>
      </c>
      <c r="J256" s="579">
        <v>0.442</v>
      </c>
      <c r="K256" s="40">
        <f>IFERROR(VLOOKUP(E256,SINAPI!A:D,4,0),"")</f>
        <v>20.82</v>
      </c>
      <c r="L256" s="580">
        <f t="shared" si="51"/>
        <v>9.1999999999999993</v>
      </c>
      <c r="M256" s="264"/>
      <c r="N256" s="562"/>
      <c r="O256" s="562"/>
      <c r="P256" s="562"/>
      <c r="Q256" s="562"/>
    </row>
    <row r="257" spans="1:17" ht="15" hidden="1" customHeight="1" outlineLevel="1" x14ac:dyDescent="0.25">
      <c r="A257" s="660" t="b">
        <f t="shared" si="43"/>
        <v>0</v>
      </c>
      <c r="C257" s="35">
        <v>6</v>
      </c>
      <c r="D257" s="576" t="s">
        <v>2747</v>
      </c>
      <c r="E257" s="576">
        <v>88631</v>
      </c>
      <c r="F257" s="577" t="s">
        <v>2853</v>
      </c>
      <c r="G257" s="37" t="str">
        <f>IFERROR(VLOOKUP(E257,SINAPI!A:D,2,0),"")</f>
        <v>ARGAMASSA TRAÇO 1:4 (EM VOLUME DE CIMENTO E AREIA MÉDIA ÚMIDA), PREPARO MANUAL. AF_08/2019</v>
      </c>
      <c r="H257" s="578"/>
      <c r="I257" s="40" t="str">
        <f>IFERROR(VLOOKUP(E257,SINAPI!A:D,3,0),"")</f>
        <v>M3</v>
      </c>
      <c r="J257" s="579">
        <v>2E-3</v>
      </c>
      <c r="K257" s="40">
        <f>IFERROR(VLOOKUP(E257,SINAPI!A:D,4,0),"")</f>
        <v>641.14</v>
      </c>
      <c r="L257" s="580">
        <f t="shared" si="51"/>
        <v>1.28</v>
      </c>
      <c r="M257" s="264"/>
      <c r="N257" s="562"/>
      <c r="O257" s="562"/>
      <c r="P257" s="562"/>
      <c r="Q257" s="562"/>
    </row>
    <row r="258" spans="1:17" ht="15" hidden="1" customHeight="1" outlineLevel="1" x14ac:dyDescent="0.25">
      <c r="A258" s="660" t="b">
        <f t="shared" si="43"/>
        <v>0</v>
      </c>
      <c r="C258" s="35">
        <v>7</v>
      </c>
      <c r="D258" s="576" t="s">
        <v>2747</v>
      </c>
      <c r="E258" s="576">
        <v>92960</v>
      </c>
      <c r="F258" s="577" t="s">
        <v>2854</v>
      </c>
      <c r="G258" s="37" t="str">
        <f>IFERROR(VLOOKUP(E258,SINAPI!A:D,2,0),"")</f>
        <v>MÁQUINA EXTRUSORA DE CONCRETO PARA GUIAS E SARJETAS, MOTOR A DIESEL, POTÊNCIA 14 CV - CHP DIURNO. AF_12/2015</v>
      </c>
      <c r="H258" s="578"/>
      <c r="I258" s="40" t="str">
        <f>IFERROR(VLOOKUP(E258,SINAPI!A:D,3,0),"")</f>
        <v>CHP</v>
      </c>
      <c r="J258" s="579">
        <v>1.4E-2</v>
      </c>
      <c r="K258" s="40">
        <f>IFERROR(VLOOKUP(E258,SINAPI!A:D,4,0),"")</f>
        <v>19.350000000000001</v>
      </c>
      <c r="L258" s="580">
        <f t="shared" si="51"/>
        <v>0.27</v>
      </c>
      <c r="M258" s="264"/>
      <c r="N258" s="562"/>
      <c r="O258" s="562"/>
      <c r="P258" s="562"/>
      <c r="Q258" s="562"/>
    </row>
    <row r="259" spans="1:17" ht="15" hidden="1" customHeight="1" outlineLevel="1" x14ac:dyDescent="0.25">
      <c r="A259" s="660" t="b">
        <f t="shared" si="43"/>
        <v>0</v>
      </c>
      <c r="C259" s="35">
        <v>8</v>
      </c>
      <c r="D259" s="576" t="s">
        <v>2747</v>
      </c>
      <c r="E259" s="576">
        <v>92961</v>
      </c>
      <c r="F259" s="577" t="s">
        <v>2855</v>
      </c>
      <c r="G259" s="37" t="str">
        <f>IFERROR(VLOOKUP(E259,SINAPI!A:D,2,0),"")</f>
        <v>MÁQUINA EXTRUSORA DE CONCRETO PARA GUIAS E SARJETAS, MOTOR A DIESEL, POTÊNCIA 14 CV - CHI DIURNO. AF_12/2015</v>
      </c>
      <c r="H259" s="578"/>
      <c r="I259" s="40" t="str">
        <f>IFERROR(VLOOKUP(E259,SINAPI!A:D,3,0),"")</f>
        <v>CHI</v>
      </c>
      <c r="J259" s="579">
        <v>7.1999999999999995E-2</v>
      </c>
      <c r="K259" s="40">
        <f>IFERROR(VLOOKUP(E259,SINAPI!A:D,4,0),"")</f>
        <v>4.49</v>
      </c>
      <c r="L259" s="580">
        <f t="shared" si="51"/>
        <v>0.32</v>
      </c>
      <c r="M259" s="264"/>
      <c r="N259" s="562"/>
      <c r="O259" s="562"/>
      <c r="P259" s="562"/>
      <c r="Q259" s="562"/>
    </row>
    <row r="260" spans="1:17" ht="15" hidden="1" customHeight="1" outlineLevel="1" thickBot="1" x14ac:dyDescent="0.3">
      <c r="A260" s="660" t="b">
        <f t="shared" si="43"/>
        <v>0</v>
      </c>
      <c r="C260" s="230" t="s">
        <v>96</v>
      </c>
      <c r="D260" s="231"/>
      <c r="E260" s="231"/>
      <c r="F260" s="231"/>
      <c r="G260" s="231"/>
      <c r="H260" s="231"/>
      <c r="I260" s="231"/>
      <c r="J260" s="231"/>
      <c r="K260" s="232"/>
      <c r="L260" s="581">
        <f>SUM(L252:L259)</f>
        <v>23.8</v>
      </c>
      <c r="M260" s="261"/>
      <c r="N260" s="562" t="str">
        <f>C251</f>
        <v>COMP 27</v>
      </c>
      <c r="O260" s="582">
        <f>L260</f>
        <v>23.8</v>
      </c>
      <c r="P260" s="562"/>
      <c r="Q260" s="562"/>
    </row>
    <row r="261" spans="1:17" ht="15" hidden="1" customHeight="1" outlineLevel="1" x14ac:dyDescent="0.25">
      <c r="A261" s="699" t="b">
        <f>_xlfn.XOR(C261=$S$2,C261=$S$3,C261=$S$4,C261=$S$5,C261=$S$6,C261=$S$7,C261=$S$8,C261=$S$9,C261=$S$10,C261=$S$11,C261=$S$12,C261=$S$13,C261=$S$14,C261=$S$15,C261=$S$16,C261=$S$17,C261=$S$18,C261=$S$19,C261=$S$20,C261=$S$21,C261=$S$22,C261=$S$23,C261=$S$24,C261=$S$25,C261=$S$26,C261=$S$27,C261=$S$28,C261=$S$29,C261=$S$30,C261=$S$316,C261=$S$32,C261=$S$33,C261=$S$34,C261=$S$35,C261=$S$36,C261=$S$37,C261=$S$38,C261=$S$39,C261=$S$40,C261=$S$41,C261=$S$42,)</f>
        <v>0</v>
      </c>
      <c r="C261" s="569" t="s">
        <v>2904</v>
      </c>
      <c r="D261" s="570"/>
      <c r="E261" s="570" t="str">
        <f>IFERROR(VLOOKUP(C261,SINAPI!A:D,2,0),"")</f>
        <v>Passeio em concreto FCK 20MPa (e= 4cm) sobre lastro de brita (e= 4cm), inclusive formas</v>
      </c>
      <c r="F261" s="570"/>
      <c r="G261" s="217"/>
      <c r="H261" s="571"/>
      <c r="I261" s="572" t="str">
        <f>IFERROR(VLOOKUP(C261,SINAPI!A:D,3,0),"")</f>
        <v>m²</v>
      </c>
      <c r="J261" s="573"/>
      <c r="K261" s="573" t="s">
        <v>2603</v>
      </c>
      <c r="L261" s="574" t="str">
        <f>IF(J261="","",ROUND(J261*#REF!,2))</f>
        <v/>
      </c>
      <c r="M261" s="575"/>
      <c r="N261" s="562"/>
      <c r="O261" s="562"/>
      <c r="P261" s="562"/>
      <c r="Q261" s="562"/>
    </row>
    <row r="262" spans="1:17" ht="15" hidden="1" customHeight="1" outlineLevel="1" x14ac:dyDescent="0.25">
      <c r="A262" s="660" t="b">
        <f t="shared" si="43"/>
        <v>0</v>
      </c>
      <c r="C262" s="35">
        <v>1</v>
      </c>
      <c r="D262" s="550" t="s">
        <v>2639</v>
      </c>
      <c r="E262" s="550">
        <v>2003850</v>
      </c>
      <c r="F262" s="552" t="s">
        <v>2756</v>
      </c>
      <c r="G262" s="37" t="str">
        <f>IFERROR(VLOOKUP(E262,SINAPI!A:D,2,0),"")</f>
        <v>Lastro de brita comercial compactado com soquete vibratório - espalhamento manual</v>
      </c>
      <c r="H262" s="578"/>
      <c r="I262" s="40" t="str">
        <f>IFERROR(VLOOKUP(E262,SINAPI!A:D,3,0),"")</f>
        <v>m³</v>
      </c>
      <c r="J262" s="536">
        <f>0.04*1.05</f>
        <v>4.2000000000000003E-2</v>
      </c>
      <c r="K262" s="40">
        <f>IFERROR(VLOOKUP(E262,SINAPI!A:D,4,0),"")</f>
        <v>139.65</v>
      </c>
      <c r="L262" s="580">
        <f>IF(J262="","",ROUND(J262*K262,2))</f>
        <v>5.87</v>
      </c>
      <c r="M262" s="264"/>
      <c r="N262" s="562"/>
      <c r="O262" s="562"/>
      <c r="P262" s="562"/>
      <c r="Q262" s="562"/>
    </row>
    <row r="263" spans="1:17" ht="15" hidden="1" customHeight="1" outlineLevel="1" x14ac:dyDescent="0.25">
      <c r="A263" s="660" t="b">
        <f t="shared" si="43"/>
        <v>0</v>
      </c>
      <c r="C263" s="35">
        <v>2</v>
      </c>
      <c r="D263" s="550" t="s">
        <v>2639</v>
      </c>
      <c r="E263" s="550">
        <v>1107892</v>
      </c>
      <c r="F263" s="552" t="s">
        <v>3193</v>
      </c>
      <c r="G263" s="37" t="str">
        <f>IFERROR(VLOOKUP(E263,SINAPI!A:D,2,0),"")</f>
        <v>Concreto fck = 20 MPa - confecção em betoneira e lançamento manual - areia e brita comerciais</v>
      </c>
      <c r="H263" s="578"/>
      <c r="I263" s="40" t="str">
        <f>IFERROR(VLOOKUP(E263,SINAPI!A:D,3,0),"")</f>
        <v>m³</v>
      </c>
      <c r="J263" s="536">
        <f>0.04*1.05</f>
        <v>4.2000000000000003E-2</v>
      </c>
      <c r="K263" s="40">
        <f>IFERROR(VLOOKUP(E263,SINAPI!A:D,4,0),"")</f>
        <v>449.57</v>
      </c>
      <c r="L263" s="580">
        <f t="shared" ref="L263:L264" si="52">IF(J263="","",ROUND(J263*K263,2))</f>
        <v>18.88</v>
      </c>
      <c r="M263" s="264"/>
      <c r="N263" s="562"/>
      <c r="O263" s="562"/>
      <c r="P263" s="562"/>
      <c r="Q263" s="562"/>
    </row>
    <row r="264" spans="1:17" ht="15" hidden="1" customHeight="1" outlineLevel="1" x14ac:dyDescent="0.25">
      <c r="A264" s="660" t="b">
        <f t="shared" si="43"/>
        <v>0</v>
      </c>
      <c r="C264" s="35">
        <v>3</v>
      </c>
      <c r="D264" s="550" t="s">
        <v>2639</v>
      </c>
      <c r="E264" s="576">
        <v>3103302</v>
      </c>
      <c r="F264" s="577" t="s">
        <v>2703</v>
      </c>
      <c r="G264" s="37" t="str">
        <f>IFERROR(VLOOKUP(E264,SINAPI!A:D,2,0),"")</f>
        <v>Fôrmas de tábuas de pinho para dispositivos de drenagem - utilização de 3 vezes - confecção, instalação e retirada</v>
      </c>
      <c r="H264" s="578"/>
      <c r="I264" s="40" t="str">
        <f>IFERROR(VLOOKUP(E264,SINAPI!A:D,3,0),"")</f>
        <v>m²</v>
      </c>
      <c r="J264" s="536">
        <v>0.08</v>
      </c>
      <c r="K264" s="40">
        <f>IFERROR(VLOOKUP(E264,SINAPI!A:D,4,0),"")</f>
        <v>67.53</v>
      </c>
      <c r="L264" s="580">
        <f t="shared" si="52"/>
        <v>5.4</v>
      </c>
      <c r="M264" s="264"/>
      <c r="N264" s="562"/>
      <c r="O264" s="562"/>
      <c r="P264" s="562"/>
      <c r="Q264" s="562"/>
    </row>
    <row r="265" spans="1:17" ht="15" hidden="1" customHeight="1" outlineLevel="1" x14ac:dyDescent="0.25">
      <c r="A265" s="660" t="b">
        <f t="shared" si="43"/>
        <v>0</v>
      </c>
      <c r="C265" s="35">
        <v>4</v>
      </c>
      <c r="D265" s="550" t="s">
        <v>2639</v>
      </c>
      <c r="E265" s="550">
        <v>1106087</v>
      </c>
      <c r="F265" s="552" t="s">
        <v>2761</v>
      </c>
      <c r="G265" s="37" t="str">
        <f>IFERROR(VLOOKUP(E265,SINAPI!A:D,2,0),"")</f>
        <v>Lançamento manual de concreto usinado - confecção em central dosadora de 40 m³/h</v>
      </c>
      <c r="H265" s="578"/>
      <c r="I265" s="40" t="str">
        <f>IFERROR(VLOOKUP(E265,SINAPI!A:D,3,0),"")</f>
        <v>m³</v>
      </c>
      <c r="J265" s="536">
        <f>J263</f>
        <v>4.2000000000000003E-2</v>
      </c>
      <c r="K265" s="40">
        <f>IFERROR(VLOOKUP(E265,SINAPI!A:D,4,0),"")</f>
        <v>48.95</v>
      </c>
      <c r="L265" s="580">
        <f t="shared" ref="L265" si="53">IF(J265="","",ROUND(J265*K265,2))</f>
        <v>2.06</v>
      </c>
      <c r="M265" s="264"/>
      <c r="N265" s="562"/>
      <c r="O265" s="562"/>
      <c r="P265" s="562"/>
      <c r="Q265" s="562"/>
    </row>
    <row r="266" spans="1:17" ht="15" hidden="1" customHeight="1" outlineLevel="1" thickBot="1" x14ac:dyDescent="0.3">
      <c r="A266" s="660" t="b">
        <f t="shared" si="43"/>
        <v>0</v>
      </c>
      <c r="C266" s="230" t="s">
        <v>96</v>
      </c>
      <c r="D266" s="231"/>
      <c r="E266" s="231"/>
      <c r="F266" s="231"/>
      <c r="G266" s="231"/>
      <c r="H266" s="231"/>
      <c r="I266" s="231"/>
      <c r="J266" s="231"/>
      <c r="K266" s="232"/>
      <c r="L266" s="581">
        <f>SUM(L262:L265)</f>
        <v>32.21</v>
      </c>
      <c r="M266" s="261"/>
      <c r="N266" s="562" t="str">
        <f>C261</f>
        <v>COMP 28</v>
      </c>
      <c r="O266" s="582">
        <f>L266</f>
        <v>32.21</v>
      </c>
      <c r="P266" s="562"/>
      <c r="Q266" s="562"/>
    </row>
    <row r="267" spans="1:17" ht="15" customHeight="1" outlineLevel="1" x14ac:dyDescent="0.25">
      <c r="A267" s="699" t="b">
        <f>_xlfn.XOR(C267=$S$2,C267=$S$3,C267=$S$4,C267=$S$5,C267=$S$6,C267=$S$7,C267=$S$8,C267=$S$9,C267=$S$10,C267=$S$11,C267=$S$12,C267=$S$13,C267=$S$14,C267=$S$15,C267=$S$16,C267=$S$17,C267=$S$18,C267=$S$19,C267=$S$20,C267=$S$21,C267=$S$22,C267=$S$23,C267=$S$24,C267=$S$25,C267=$S$26,C267=$S$27,C267=$S$28,C267=$S$29,C267=$S$30,C267=$S$316,C267=$S$32,C267=$S$33,C267=$S$34,C267=$S$35,C267=$S$36,C267=$S$37,C267=$S$38,C267=$S$39,C267=$S$40,C267=$S$41,C267=$S$42,)</f>
        <v>1</v>
      </c>
      <c r="C267" s="569" t="s">
        <v>2923</v>
      </c>
      <c r="D267" s="570"/>
      <c r="E267" s="570" t="str">
        <f>IFERROR(VLOOKUP(C267,SINAPI!A:D,2,0),"")</f>
        <v>Dreno tipo 50x80cm</v>
      </c>
      <c r="F267" s="570"/>
      <c r="G267" s="217"/>
      <c r="H267" s="571"/>
      <c r="I267" s="572" t="str">
        <f>IFERROR(VLOOKUP(C267,SINAPI!A:D,3,0),"")</f>
        <v>m</v>
      </c>
      <c r="J267" s="573"/>
      <c r="K267" s="573" t="s">
        <v>2603</v>
      </c>
      <c r="L267" s="574" t="str">
        <f>IF(J267="","",ROUND(J267*#REF!,2))</f>
        <v/>
      </c>
      <c r="M267" s="575"/>
      <c r="N267" s="562"/>
      <c r="O267" s="562"/>
      <c r="P267" s="562"/>
      <c r="Q267" s="562"/>
    </row>
    <row r="268" spans="1:17" ht="15" customHeight="1" outlineLevel="1" x14ac:dyDescent="0.25">
      <c r="A268" s="660" t="b">
        <f t="shared" si="43"/>
        <v>1</v>
      </c>
      <c r="C268" s="35">
        <v>1</v>
      </c>
      <c r="D268" s="550" t="s">
        <v>2639</v>
      </c>
      <c r="E268" s="550" t="s">
        <v>6395</v>
      </c>
      <c r="F268" s="552" t="s">
        <v>6405</v>
      </c>
      <c r="G268" s="37" t="str">
        <f>IFERROR(VLOOKUP(E268,SINAPI!A:D,2,0),"")</f>
        <v>Compactador manual de placa vibratória - 3,00 kW</v>
      </c>
      <c r="H268" s="578"/>
      <c r="I268" s="40" t="str">
        <f>IFERROR(VLOOKUP(E268,SINAPI!A:D,3,0),"")</f>
        <v>h</v>
      </c>
      <c r="J268" s="536">
        <v>1.61E-2</v>
      </c>
      <c r="K268" s="40">
        <f>IFERROR(VLOOKUP(E268,SINAPI!A:D,4,0),"")</f>
        <v>7.66</v>
      </c>
      <c r="L268" s="580">
        <f t="shared" ref="L268:L274" si="54">IF(J268="","",ROUND(J268*K268,2))</f>
        <v>0.12</v>
      </c>
      <c r="M268" s="264"/>
      <c r="N268" s="562"/>
      <c r="O268" s="562"/>
      <c r="P268" s="562"/>
      <c r="Q268" s="562"/>
    </row>
    <row r="269" spans="1:17" ht="15" customHeight="1" outlineLevel="1" x14ac:dyDescent="0.25">
      <c r="A269" s="1081" t="b">
        <f>A267</f>
        <v>1</v>
      </c>
      <c r="C269" s="35">
        <v>2</v>
      </c>
      <c r="D269" s="550" t="s">
        <v>2639</v>
      </c>
      <c r="E269" s="550" t="s">
        <v>6397</v>
      </c>
      <c r="F269" s="552" t="s">
        <v>2751</v>
      </c>
      <c r="G269" s="37" t="str">
        <f>IFERROR(VLOOKUP(E269,SINAPI!A:D,2,0),"")</f>
        <v>Pedreiro</v>
      </c>
      <c r="H269" s="578"/>
      <c r="I269" s="40" t="str">
        <f>IFERROR(VLOOKUP(E269,SINAPI!A:D,3,0),"")</f>
        <v>h</v>
      </c>
      <c r="J269" s="536">
        <v>0.08</v>
      </c>
      <c r="K269" s="40">
        <f>IFERROR(VLOOKUP(E269,SINAPI!A:D,4,0),"")</f>
        <v>9.4499999999999993</v>
      </c>
      <c r="L269" s="580">
        <f t="shared" si="54"/>
        <v>0.76</v>
      </c>
      <c r="M269" s="264"/>
      <c r="N269" s="562"/>
      <c r="O269" s="562"/>
      <c r="P269" s="562"/>
      <c r="Q269" s="562"/>
    </row>
    <row r="270" spans="1:17" ht="15" customHeight="1" outlineLevel="1" x14ac:dyDescent="0.25">
      <c r="A270" s="1081" t="b">
        <f>A267</f>
        <v>1</v>
      </c>
      <c r="C270" s="35">
        <v>3</v>
      </c>
      <c r="D270" s="550" t="s">
        <v>2639</v>
      </c>
      <c r="E270" s="550" t="s">
        <v>6398</v>
      </c>
      <c r="F270" s="552" t="s">
        <v>2740</v>
      </c>
      <c r="G270" s="37" t="str">
        <f>IFERROR(VLOOKUP(E270,SINAPI!A:D,2,0),"")</f>
        <v>Servente</v>
      </c>
      <c r="H270" s="578"/>
      <c r="I270" s="40" t="str">
        <f>IFERROR(VLOOKUP(E270,SINAPI!A:D,3,0),"")</f>
        <v>h</v>
      </c>
      <c r="J270" s="536">
        <v>1.1924999999999999</v>
      </c>
      <c r="K270" s="40">
        <f>IFERROR(VLOOKUP(E270,SINAPI!A:D,4,0),"")</f>
        <v>6.61</v>
      </c>
      <c r="L270" s="580">
        <f t="shared" si="54"/>
        <v>7.88</v>
      </c>
      <c r="M270" s="264"/>
      <c r="N270" s="562"/>
      <c r="O270" s="562"/>
      <c r="P270" s="562"/>
      <c r="Q270" s="562"/>
    </row>
    <row r="271" spans="1:17" ht="15" customHeight="1" outlineLevel="1" x14ac:dyDescent="0.25">
      <c r="A271" s="1081" t="b">
        <f>A268</f>
        <v>1</v>
      </c>
      <c r="C271" s="35">
        <v>3</v>
      </c>
      <c r="D271" s="550" t="s">
        <v>2639</v>
      </c>
      <c r="E271" s="550" t="s">
        <v>6400</v>
      </c>
      <c r="F271" s="552" t="s">
        <v>6402</v>
      </c>
      <c r="G271" s="37" t="str">
        <f>IFERROR(VLOOKUP(E271,SINAPI!A:D,2,0),"")</f>
        <v>Brita 1</v>
      </c>
      <c r="H271" s="578"/>
      <c r="I271" s="40" t="str">
        <f>IFERROR(VLOOKUP(E271,SINAPI!A:D,3,0),"")</f>
        <v>m³</v>
      </c>
      <c r="J271" s="536">
        <f>0.5*0.8*0.52</f>
        <v>0.20799999999999999</v>
      </c>
      <c r="K271" s="40">
        <f>IFERROR(VLOOKUP(E271,SINAPI!A:D,4,0),"")</f>
        <v>121.33</v>
      </c>
      <c r="L271" s="580">
        <f t="shared" si="54"/>
        <v>25.24</v>
      </c>
      <c r="M271" s="264"/>
      <c r="N271" s="562"/>
      <c r="O271" s="562"/>
      <c r="P271" s="562"/>
      <c r="Q271" s="562"/>
    </row>
    <row r="272" spans="1:17" ht="15" customHeight="1" outlineLevel="1" x14ac:dyDescent="0.25">
      <c r="A272" s="1081" t="b">
        <f>A269</f>
        <v>1</v>
      </c>
      <c r="C272" s="35">
        <v>3</v>
      </c>
      <c r="D272" s="550" t="s">
        <v>2639</v>
      </c>
      <c r="E272" s="550" t="s">
        <v>6401</v>
      </c>
      <c r="F272" s="552" t="s">
        <v>6403</v>
      </c>
      <c r="G272" s="37" t="str">
        <f>IFERROR(VLOOKUP(E272,SINAPI!A:D,2,0),"")</f>
        <v>Brita 2</v>
      </c>
      <c r="H272" s="578"/>
      <c r="I272" s="40" t="str">
        <f>IFERROR(VLOOKUP(E272,SINAPI!A:D,3,0),"")</f>
        <v>m³</v>
      </c>
      <c r="J272" s="536">
        <f>J271</f>
        <v>0.20799999999999999</v>
      </c>
      <c r="K272" s="40">
        <f>IFERROR(VLOOKUP(E272,SINAPI!A:D,4,0),"")</f>
        <v>119.43</v>
      </c>
      <c r="L272" s="580">
        <f t="shared" si="54"/>
        <v>24.84</v>
      </c>
      <c r="M272" s="264"/>
      <c r="N272" s="562"/>
      <c r="O272" s="562"/>
      <c r="P272" s="562"/>
      <c r="Q272" s="562"/>
    </row>
    <row r="273" spans="1:17" ht="15" customHeight="1" outlineLevel="1" x14ac:dyDescent="0.25">
      <c r="A273" s="660" t="b">
        <f>A268</f>
        <v>1</v>
      </c>
      <c r="C273" s="35">
        <v>3</v>
      </c>
      <c r="D273" s="550" t="s">
        <v>2639</v>
      </c>
      <c r="E273" s="550" t="s">
        <v>6404</v>
      </c>
      <c r="F273" s="552" t="s">
        <v>3047</v>
      </c>
      <c r="G273" s="37" t="str">
        <f>IFERROR(VLOOKUP(E273,SINAPI!A:D,2,0),"")</f>
        <v>Geotêxtil não-tecido agulhado em poliéster - resistência à tração longitudinal de 14 kN/m</v>
      </c>
      <c r="H273" s="578"/>
      <c r="I273" s="40" t="str">
        <f>IFERROR(VLOOKUP(E273,SINAPI!A:D,3,0),"")</f>
        <v>m²</v>
      </c>
      <c r="J273" s="536">
        <v>2.7</v>
      </c>
      <c r="K273" s="40">
        <f>IFERROR(VLOOKUP(E273,SINAPI!A:D,4,0),"")</f>
        <v>7.43</v>
      </c>
      <c r="L273" s="580">
        <f t="shared" si="54"/>
        <v>20.059999999999999</v>
      </c>
      <c r="M273" s="264"/>
      <c r="N273" s="562"/>
      <c r="O273" s="562"/>
      <c r="P273" s="562"/>
      <c r="Q273" s="562"/>
    </row>
    <row r="274" spans="1:17" ht="15" customHeight="1" outlineLevel="1" x14ac:dyDescent="0.25">
      <c r="A274" s="660" t="b">
        <f t="shared" ref="A274:A337" si="55">A273</f>
        <v>1</v>
      </c>
      <c r="C274" s="35">
        <v>4</v>
      </c>
      <c r="D274" s="550" t="s">
        <v>2639</v>
      </c>
      <c r="E274" s="550" t="s">
        <v>6406</v>
      </c>
      <c r="F274" s="552" t="s">
        <v>6407</v>
      </c>
      <c r="G274" s="37" t="str">
        <f>IFERROR(VLOOKUP(E274,SINAPI!A:D,2,0),"")</f>
        <v>Tubo PEAD corrugado perfurado para drenagem - D = 100 mm</v>
      </c>
      <c r="H274" s="578"/>
      <c r="I274" s="40" t="str">
        <f>IFERROR(VLOOKUP(E274,SINAPI!A:D,3,0),"")</f>
        <v>m</v>
      </c>
      <c r="J274" s="536">
        <v>1</v>
      </c>
      <c r="K274" s="40">
        <f>IFERROR(VLOOKUP(E274,SINAPI!A:D,4,0),"")</f>
        <v>19.63</v>
      </c>
      <c r="L274" s="580">
        <f t="shared" si="54"/>
        <v>19.63</v>
      </c>
      <c r="M274" s="264"/>
      <c r="N274" s="562"/>
      <c r="O274" s="562"/>
      <c r="P274" s="562"/>
      <c r="Q274" s="562"/>
    </row>
    <row r="275" spans="1:17" ht="15" customHeight="1" outlineLevel="1" x14ac:dyDescent="0.25">
      <c r="A275" s="660" t="b">
        <f t="shared" si="55"/>
        <v>1</v>
      </c>
      <c r="C275" s="739" t="s">
        <v>96</v>
      </c>
      <c r="D275" s="740"/>
      <c r="E275" s="740"/>
      <c r="F275" s="740"/>
      <c r="G275" s="740"/>
      <c r="H275" s="740"/>
      <c r="I275" s="740"/>
      <c r="J275" s="740"/>
      <c r="K275" s="741"/>
      <c r="L275" s="742">
        <f>SUM(L268:L274)</f>
        <v>98.53</v>
      </c>
      <c r="M275" s="261"/>
      <c r="N275" s="562" t="str">
        <f>C267</f>
        <v>COMP 29</v>
      </c>
      <c r="O275" s="582">
        <f>L275</f>
        <v>98.53</v>
      </c>
      <c r="P275" s="562"/>
      <c r="Q275" s="562"/>
    </row>
    <row r="276" spans="1:17" ht="15" customHeight="1" outlineLevel="1" thickBot="1" x14ac:dyDescent="0.3">
      <c r="A276" s="1081" t="b">
        <f>A275</f>
        <v>1</v>
      </c>
      <c r="C276" s="1105" t="s">
        <v>6399</v>
      </c>
      <c r="D276" s="231"/>
      <c r="E276" s="231"/>
      <c r="F276" s="231"/>
      <c r="G276" s="231"/>
      <c r="H276" s="231"/>
      <c r="I276" s="231"/>
      <c r="J276" s="231"/>
      <c r="K276" s="232"/>
      <c r="L276" s="581"/>
      <c r="M276" s="261"/>
      <c r="N276" s="562"/>
      <c r="O276" s="582"/>
      <c r="P276" s="562"/>
      <c r="Q276" s="562"/>
    </row>
    <row r="277" spans="1:17" ht="15" hidden="1" customHeight="1" outlineLevel="1" x14ac:dyDescent="0.25">
      <c r="A277" s="699" t="b">
        <f>_xlfn.XOR(C277=$S$2,C277=$S$3,C277=$S$4,C277=$S$5,C277=$S$6,C277=$S$7,C277=$S$8,C277=$S$9,C277=$S$10,C277=$S$11,C277=$S$12,C277=$S$13,C277=$S$14,C277=$S$15,C277=$S$16,C277=$S$17,C277=$S$18,C277=$S$19,C277=$S$20,C277=$S$21,C277=$S$22,C277=$S$23,C277=$S$24,C277=$S$25,C277=$S$26,C277=$S$27,C277=$S$28,C277=$S$29,C277=$S$30,C277=$S$316,C277=$S$32,C277=$S$33,C277=$S$34,C277=$S$35,C277=$S$36,C277=$S$37,C277=$S$38,C277=$S$39,C277=$S$40,C277=$S$41,C277=$S$42,)</f>
        <v>0</v>
      </c>
      <c r="C277" s="569" t="s">
        <v>2931</v>
      </c>
      <c r="D277" s="570"/>
      <c r="E277" s="570" t="str">
        <f>IFERROR(VLOOKUP(C277,SINAPI!A:D,2,0),"")</f>
        <v>Passeio em concreto FCK 20MPa  pigmentado (e= 5cm) sobre lastro de brita (e= 5cm), inclusive formas</v>
      </c>
      <c r="F277" s="570"/>
      <c r="G277" s="217"/>
      <c r="H277" s="571"/>
      <c r="I277" s="572" t="str">
        <f>IFERROR(VLOOKUP(C277,SINAPI!A:D,3,0),"")</f>
        <v>m²</v>
      </c>
      <c r="J277" s="573"/>
      <c r="K277" s="573" t="s">
        <v>2603</v>
      </c>
      <c r="L277" s="574" t="str">
        <f>IF(J277="","",ROUND(J277*#REF!,2))</f>
        <v/>
      </c>
      <c r="M277" s="575"/>
      <c r="N277" s="562"/>
      <c r="O277" s="562"/>
      <c r="P277" s="562"/>
      <c r="Q277" s="562"/>
    </row>
    <row r="278" spans="1:17" ht="15" hidden="1" customHeight="1" outlineLevel="1" x14ac:dyDescent="0.25">
      <c r="A278" s="660" t="b">
        <f t="shared" si="55"/>
        <v>0</v>
      </c>
      <c r="C278" s="35">
        <v>1</v>
      </c>
      <c r="D278" s="550" t="s">
        <v>2639</v>
      </c>
      <c r="E278" s="550">
        <v>2003850</v>
      </c>
      <c r="F278" s="552" t="s">
        <v>2756</v>
      </c>
      <c r="G278" s="37" t="str">
        <f>IFERROR(VLOOKUP(E278,SINAPI!A:D,2,0),"")</f>
        <v>Lastro de brita comercial compactado com soquete vibratório - espalhamento manual</v>
      </c>
      <c r="H278" s="578"/>
      <c r="I278" s="40" t="str">
        <f>IFERROR(VLOOKUP(E278,SINAPI!A:D,3,0),"")</f>
        <v>m³</v>
      </c>
      <c r="J278" s="536">
        <f>0.05*1.05</f>
        <v>5.2499999999999998E-2</v>
      </c>
      <c r="K278" s="40">
        <f>IFERROR(VLOOKUP(E278,SINAPI!A:D,4,0),"")</f>
        <v>139.65</v>
      </c>
      <c r="L278" s="580">
        <f>IF(J278="","",ROUND(J278*K278,2))</f>
        <v>7.33</v>
      </c>
      <c r="M278" s="264"/>
      <c r="N278" s="562"/>
      <c r="O278" s="562"/>
      <c r="P278" s="562"/>
      <c r="Q278" s="562"/>
    </row>
    <row r="279" spans="1:17" ht="15" hidden="1" customHeight="1" outlineLevel="1" x14ac:dyDescent="0.25">
      <c r="A279" s="660" t="b">
        <f t="shared" si="55"/>
        <v>0</v>
      </c>
      <c r="C279" s="35">
        <v>2</v>
      </c>
      <c r="D279" s="550" t="s">
        <v>2748</v>
      </c>
      <c r="E279" s="550">
        <v>38404</v>
      </c>
      <c r="F279" s="552" t="s">
        <v>3193</v>
      </c>
      <c r="G279" s="37" t="str">
        <f>IFERROR(VLOOKUP(E279,SINAPI!A:D,2,0),"")</f>
        <v xml:space="preserve">CONCRETO USINADO BOMBEAVEL, CLASSE DE RESISTENCIA C20, COM BRITA 0 E 1, SLUMP = 130 +/- 20 MM, EXCLUI SERVICO DE BOMBEAMENTO (NBR 8953)                                                                                                                                                                                                                                                                                                                                                                   </v>
      </c>
      <c r="H279" s="578"/>
      <c r="I279" s="40" t="str">
        <f>IFERROR(VLOOKUP(E279,SINAPI!A:D,3,0),"")</f>
        <v xml:space="preserve">M3    </v>
      </c>
      <c r="J279" s="536">
        <f>0.05*1.05</f>
        <v>5.2499999999999998E-2</v>
      </c>
      <c r="K279" s="40">
        <f>IFERROR(VLOOKUP(E279,SINAPI!A:D,4,0),"")</f>
        <v>495.11</v>
      </c>
      <c r="L279" s="580">
        <f t="shared" ref="L279:L280" si="56">IF(J279="","",ROUND(J279*K279,2))</f>
        <v>25.99</v>
      </c>
      <c r="M279" s="264"/>
      <c r="N279" s="562"/>
      <c r="O279" s="562"/>
      <c r="P279" s="562"/>
      <c r="Q279" s="562"/>
    </row>
    <row r="280" spans="1:17" ht="15" hidden="1" customHeight="1" outlineLevel="1" x14ac:dyDescent="0.25">
      <c r="A280" s="660" t="b">
        <f t="shared" si="55"/>
        <v>0</v>
      </c>
      <c r="C280" s="35">
        <v>3</v>
      </c>
      <c r="D280" s="576" t="s">
        <v>2747</v>
      </c>
      <c r="E280" s="576">
        <v>96536</v>
      </c>
      <c r="F280" s="577" t="s">
        <v>2703</v>
      </c>
      <c r="G280" s="37" t="str">
        <f>IFERROR(VLOOKUP(E280,SINAPI!A:D,2,0),"")</f>
        <v>FABRICAÇÃO, MONTAGEM E DESMONTAGEM DE FÔRMA PARA VIGA BALDRAME, EM MADEIRA SERRADA, E=25 MM, 4 UTILIZAÇÕES. AF_06/2017</v>
      </c>
      <c r="H280" s="578"/>
      <c r="I280" s="40" t="str">
        <f>IFERROR(VLOOKUP(E280,SINAPI!A:D,3,0),"")</f>
        <v>M2</v>
      </c>
      <c r="J280" s="536">
        <v>0.08</v>
      </c>
      <c r="K280" s="40">
        <f>IFERROR(VLOOKUP(E280,SINAPI!A:D,4,0),"")</f>
        <v>91.89</v>
      </c>
      <c r="L280" s="580">
        <f t="shared" si="56"/>
        <v>7.35</v>
      </c>
      <c r="M280" s="264"/>
      <c r="N280" s="562"/>
      <c r="O280" s="562"/>
      <c r="P280" s="562"/>
      <c r="Q280" s="562"/>
    </row>
    <row r="281" spans="1:17" ht="15" hidden="1" customHeight="1" outlineLevel="1" x14ac:dyDescent="0.25">
      <c r="A281" s="660" t="b">
        <f t="shared" si="55"/>
        <v>0</v>
      </c>
      <c r="C281" s="1427">
        <v>4</v>
      </c>
      <c r="D281" s="989" t="s">
        <v>2748</v>
      </c>
      <c r="E281" s="989">
        <v>5327</v>
      </c>
      <c r="F281" s="835" t="s">
        <v>2932</v>
      </c>
      <c r="G281" s="835" t="str">
        <f>IFERROR(VLOOKUP(E281,SINAPI!A:D,2,0),"")</f>
        <v/>
      </c>
      <c r="H281" s="1428"/>
      <c r="I281" s="836" t="str">
        <f>IFERROR(VLOOKUP(E281,SINAPI!A:D,3,0),"")</f>
        <v/>
      </c>
      <c r="J281" s="1429">
        <f>2%*6*50*J279</f>
        <v>0.315</v>
      </c>
      <c r="K281" s="836" t="str">
        <f>IFERROR(VLOOKUP(E281,SINAPI!A:D,4,0),"")</f>
        <v/>
      </c>
      <c r="L281" s="837"/>
      <c r="M281" s="264"/>
      <c r="N281" s="562"/>
      <c r="O281" s="562"/>
      <c r="P281" s="562"/>
      <c r="Q281" s="562"/>
    </row>
    <row r="282" spans="1:17" ht="15" hidden="1" customHeight="1" outlineLevel="1" x14ac:dyDescent="0.25">
      <c r="A282" s="660" t="b">
        <f t="shared" si="55"/>
        <v>0</v>
      </c>
      <c r="C282" s="35">
        <v>5</v>
      </c>
      <c r="D282" s="550" t="s">
        <v>2747</v>
      </c>
      <c r="E282" s="550">
        <v>103670</v>
      </c>
      <c r="F282" s="552" t="s">
        <v>2761</v>
      </c>
      <c r="G282" s="37" t="str">
        <f>IFERROR(VLOOKUP(E282,SINAPI!A:D,2,0),"")</f>
        <v>LANÇAMENTO COM USO DE BALDES, ADENSAMENTO E ACABAMENTO DE CONCRETO EM ESTRUTURAS. AF_02/2022</v>
      </c>
      <c r="H282" s="578"/>
      <c r="I282" s="40" t="str">
        <f>IFERROR(VLOOKUP(E282,SINAPI!A:D,3,0),"")</f>
        <v>M3</v>
      </c>
      <c r="J282" s="536">
        <f>J279</f>
        <v>5.2499999999999998E-2</v>
      </c>
      <c r="K282" s="40">
        <f>IFERROR(VLOOKUP(E282,SINAPI!A:D,4,0),"")</f>
        <v>301.64</v>
      </c>
      <c r="L282" s="580">
        <f>IF(J282="","",ROUND(J282*K282,2))</f>
        <v>15.84</v>
      </c>
      <c r="M282" s="264"/>
      <c r="N282" s="562"/>
      <c r="O282" s="562"/>
      <c r="P282" s="562"/>
      <c r="Q282" s="562"/>
    </row>
    <row r="283" spans="1:17" ht="15" hidden="1" customHeight="1" outlineLevel="1" thickBot="1" x14ac:dyDescent="0.3">
      <c r="A283" s="660" t="b">
        <f t="shared" si="55"/>
        <v>0</v>
      </c>
      <c r="C283" s="230" t="s">
        <v>96</v>
      </c>
      <c r="D283" s="231"/>
      <c r="E283" s="231"/>
      <c r="F283" s="231"/>
      <c r="G283" s="231"/>
      <c r="H283" s="231"/>
      <c r="I283" s="231"/>
      <c r="J283" s="231"/>
      <c r="K283" s="232"/>
      <c r="L283" s="581">
        <f>SUM(L278:L282)</f>
        <v>56.51</v>
      </c>
      <c r="M283" s="261"/>
      <c r="N283" s="562" t="str">
        <f>C277</f>
        <v>COMP 30</v>
      </c>
      <c r="O283" s="582">
        <f>L283</f>
        <v>56.51</v>
      </c>
      <c r="P283" s="562"/>
      <c r="Q283" s="562"/>
    </row>
    <row r="284" spans="1:17" ht="25.5" hidden="1" outlineLevel="1" x14ac:dyDescent="0.25">
      <c r="A284" s="699" t="b">
        <f>_xlfn.XOR(C284=$S$2,C284=$S$3,C284=$S$4,C284=$S$5,C284=$S$6,C284=$S$7,C284=$S$8,C284=$S$9,C284=$S$10,C284=$S$11,C284=$S$12,C284=$S$13,C284=$S$14,C284=$S$15,C284=$S$16,C284=$S$17,C284=$S$18,C284=$S$19,C284=$S$20,C284=$S$21,C284=$S$22,C284=$S$23,C284=$S$24,C284=$S$25,C284=$S$26,C284=$S$27,C284=$S$28,C284=$S$29,C284=$S$30,C284=$S$316,C284=$S$32,C284=$S$33,C284=$S$34,C284=$S$35,C284=$S$36,C284=$S$37,C284=$S$38,C284=$S$39,C284=$S$40,C284=$S$41,C284=$S$42,)</f>
        <v>0</v>
      </c>
      <c r="B284" s="752"/>
      <c r="C284" s="569" t="s">
        <v>2933</v>
      </c>
      <c r="D284" s="570"/>
      <c r="E284" s="1669" t="str">
        <f>IFERROR(VLOOKUP(C284,SINAPI!A:D,2,0),"")</f>
        <v>Fornecimento e implantação de placas totalmente refletivas de regulamentação tipo triangular (R-2 - Preferencial) L= 70cm, inclusive suporte metálico e base de concreto conforme detalhe - urbano</v>
      </c>
      <c r="F284" s="1670"/>
      <c r="G284" s="1670"/>
      <c r="H284" s="1671"/>
      <c r="I284" s="572" t="str">
        <f>IFERROR(VLOOKUP(C284,SINAPI!A:D,3,0),"")</f>
        <v>un</v>
      </c>
      <c r="J284" s="573"/>
      <c r="K284" s="573" t="s">
        <v>2603</v>
      </c>
      <c r="L284" s="574" t="str">
        <f>IF(J284="","",ROUND(J284*#REF!,2))</f>
        <v/>
      </c>
      <c r="M284" s="575"/>
      <c r="N284" s="562"/>
      <c r="O284" s="562"/>
      <c r="P284" s="562"/>
      <c r="Q284" s="562"/>
    </row>
    <row r="285" spans="1:17" ht="15" hidden="1" customHeight="1" outlineLevel="1" x14ac:dyDescent="0.25">
      <c r="A285" s="660" t="b">
        <f t="shared" si="55"/>
        <v>0</v>
      </c>
      <c r="C285" s="35">
        <v>1</v>
      </c>
      <c r="D285" s="576" t="s">
        <v>2639</v>
      </c>
      <c r="E285" s="576">
        <v>5213416</v>
      </c>
      <c r="F285" s="577" t="str">
        <f>G285</f>
        <v>Placa em aço nº 16 galvanizado com película retrorrefletiva tipo I + I - confecção</v>
      </c>
      <c r="G285" s="37" t="str">
        <f>IFERROR(VLOOKUP(E285,SINAPI!A:D,2,0),"")</f>
        <v>Placa em aço nº 16 galvanizado com película retrorrefletiva tipo I + I - confecção</v>
      </c>
      <c r="H285" s="578"/>
      <c r="I285" s="40" t="str">
        <f>IFERROR(VLOOKUP(E285,SINAPI!A:D,3,0),"")</f>
        <v>m²</v>
      </c>
      <c r="J285" s="579">
        <v>0.24360000000000001</v>
      </c>
      <c r="K285" s="40">
        <f>IFERROR(VLOOKUP(E285,SINAPI!A:D,4,0),"")</f>
        <v>411.36</v>
      </c>
      <c r="L285" s="580">
        <f>IF(J285="","",ROUND(J285*K285,2))</f>
        <v>100.21</v>
      </c>
      <c r="M285" s="264"/>
      <c r="N285" s="562"/>
      <c r="O285" s="562"/>
      <c r="P285" s="562"/>
      <c r="Q285" s="562"/>
    </row>
    <row r="286" spans="1:17" ht="15" hidden="1" customHeight="1" outlineLevel="1" x14ac:dyDescent="0.25">
      <c r="A286" s="660" t="b">
        <f t="shared" si="55"/>
        <v>0</v>
      </c>
      <c r="C286" s="35">
        <v>2</v>
      </c>
      <c r="D286" s="576" t="s">
        <v>2747</v>
      </c>
      <c r="E286" s="576">
        <v>21013</v>
      </c>
      <c r="F286" s="577" t="s">
        <v>5682</v>
      </c>
      <c r="G286" s="37" t="str">
        <f>IFERROR(VLOOKUP(E286,SINAPI!A:D,2,0),"")</f>
        <v xml:space="preserve">TUBO ACO GALVANIZADO COM COSTURA, CLASSE LEVE, DN 50 MM ( 2"),  E = 3,00 MM,  *4,40* KG/M (NBR 5580)                                                                                                                                                                                                                                                                                                                                                                                                      </v>
      </c>
      <c r="H286" s="578"/>
      <c r="I286" s="40" t="str">
        <f>IFERROR(VLOOKUP(E286,SINAPI!A:D,3,0),"")</f>
        <v xml:space="preserve">M     </v>
      </c>
      <c r="J286" s="579">
        <f>3.4+0.2</f>
        <v>3.6</v>
      </c>
      <c r="K286" s="40">
        <f>IFERROR(VLOOKUP(E286,SINAPI!A:D,4,0),"")</f>
        <v>68.66</v>
      </c>
      <c r="L286" s="580">
        <f t="shared" ref="L286:L291" si="57">IF(J286="","",ROUND(J286*K286,2))</f>
        <v>247.18</v>
      </c>
      <c r="M286" s="264"/>
      <c r="N286" s="562"/>
      <c r="O286" s="562"/>
      <c r="P286" s="562"/>
      <c r="Q286" s="562"/>
    </row>
    <row r="287" spans="1:17" ht="15" hidden="1" customHeight="1" outlineLevel="1" x14ac:dyDescent="0.25">
      <c r="A287" s="660" t="b">
        <f t="shared" si="55"/>
        <v>0</v>
      </c>
      <c r="C287" s="35">
        <v>3</v>
      </c>
      <c r="D287" s="576" t="s">
        <v>2747</v>
      </c>
      <c r="E287" s="576">
        <v>1166</v>
      </c>
      <c r="F287" s="577" t="s">
        <v>5683</v>
      </c>
      <c r="G287" s="37" t="str">
        <f>IFERROR(VLOOKUP(E287,SINAPI!A:D,2,0),"")</f>
        <v xml:space="preserve">CAP OU TAMPAO DE FERRO GALVANIZADO, COM ROSCA BSP, DE 2"                                                                                                                                                                                                                                                                                                                                                                                                                                                  </v>
      </c>
      <c r="H287" s="578"/>
      <c r="I287" s="40" t="str">
        <f>IFERROR(VLOOKUP(E287,SINAPI!A:D,3,0),"")</f>
        <v xml:space="preserve">UN    </v>
      </c>
      <c r="J287" s="579">
        <v>1</v>
      </c>
      <c r="K287" s="40">
        <f>IFERROR(VLOOKUP(E287,SINAPI!A:D,4,0),"")</f>
        <v>29.05</v>
      </c>
      <c r="L287" s="580">
        <f t="shared" si="57"/>
        <v>29.05</v>
      </c>
      <c r="M287" s="264"/>
      <c r="N287" s="562"/>
      <c r="O287" s="562"/>
      <c r="P287" s="562"/>
      <c r="Q287" s="562"/>
    </row>
    <row r="288" spans="1:17" ht="15" hidden="1" customHeight="1" outlineLevel="1" x14ac:dyDescent="0.25">
      <c r="A288" s="660" t="b">
        <f t="shared" si="55"/>
        <v>0</v>
      </c>
      <c r="C288" s="35">
        <v>4</v>
      </c>
      <c r="D288" s="576" t="s">
        <v>2747</v>
      </c>
      <c r="E288" s="576">
        <v>94962</v>
      </c>
      <c r="F288" s="577" t="s">
        <v>2760</v>
      </c>
      <c r="G288" s="37" t="str">
        <f>IFERROR(VLOOKUP(E288,SINAPI!A:D,2,0),"")</f>
        <v>CONCRETO MAGRO PARA LASTRO, TRAÇO 1:4,5:4,5 (EM MASSA SECA DE CIMENTO/ AREIA MÉDIA/ BRITA 1) - PREPARO MECÂNICO COM BETONEIRA 400 L. AF_05/2021</v>
      </c>
      <c r="H288" s="578"/>
      <c r="I288" s="40" t="str">
        <f>IFERROR(VLOOKUP(E288,SINAPI!A:D,3,0),"")</f>
        <v>M3</v>
      </c>
      <c r="J288" s="579">
        <v>2.5000000000000001E-2</v>
      </c>
      <c r="K288" s="40">
        <f>IFERROR(VLOOKUP(E288,SINAPI!A:D,4,0),"")</f>
        <v>424.83</v>
      </c>
      <c r="L288" s="580">
        <f t="shared" si="57"/>
        <v>10.62</v>
      </c>
      <c r="M288" s="264"/>
      <c r="N288" s="562"/>
      <c r="O288" s="562"/>
      <c r="P288" s="562"/>
      <c r="Q288" s="562"/>
    </row>
    <row r="289" spans="1:17" ht="15" hidden="1" customHeight="1" outlineLevel="1" x14ac:dyDescent="0.25">
      <c r="A289" s="660" t="b">
        <f t="shared" si="55"/>
        <v>0</v>
      </c>
      <c r="C289" s="35">
        <v>5</v>
      </c>
      <c r="D289" s="576" t="s">
        <v>2747</v>
      </c>
      <c r="E289" s="576">
        <v>103670</v>
      </c>
      <c r="F289" s="577" t="s">
        <v>2761</v>
      </c>
      <c r="G289" s="37" t="str">
        <f>IFERROR(VLOOKUP(E289,SINAPI!A:D,2,0),"")</f>
        <v>LANÇAMENTO COM USO DE BALDES, ADENSAMENTO E ACABAMENTO DE CONCRETO EM ESTRUTURAS. AF_02/2022</v>
      </c>
      <c r="H289" s="578"/>
      <c r="I289" s="40" t="str">
        <f>IFERROR(VLOOKUP(E289,SINAPI!A:D,3,0),"")</f>
        <v>M3</v>
      </c>
      <c r="J289" s="579">
        <f>J288</f>
        <v>2.5000000000000001E-2</v>
      </c>
      <c r="K289" s="40">
        <f>IFERROR(VLOOKUP(E289,SINAPI!A:D,4,0),"")</f>
        <v>301.64</v>
      </c>
      <c r="L289" s="580">
        <f t="shared" si="57"/>
        <v>7.54</v>
      </c>
      <c r="M289" s="264"/>
      <c r="N289" s="562"/>
      <c r="O289" s="562"/>
      <c r="P289" s="562"/>
      <c r="Q289" s="562"/>
    </row>
    <row r="290" spans="1:17" ht="15" hidden="1" customHeight="1" outlineLevel="1" x14ac:dyDescent="0.25">
      <c r="A290" s="660" t="b">
        <f t="shared" si="55"/>
        <v>0</v>
      </c>
      <c r="C290" s="35">
        <v>6</v>
      </c>
      <c r="D290" s="576" t="s">
        <v>2747</v>
      </c>
      <c r="E290" s="576">
        <v>11059</v>
      </c>
      <c r="F290" s="577" t="s">
        <v>2762</v>
      </c>
      <c r="G290" s="37" t="str">
        <f>IFERROR(VLOOKUP(E290,SINAPI!A:D,2,0),"")</f>
        <v xml:space="preserve">PARAFUSO ROSCA SOBERBA ZINCADO CABECA CHATA FENDA SIMPLES 5,5 X 50 MM (2 ")                                                                                                                                                                                                                                                                                                                                                                                                                               </v>
      </c>
      <c r="H290" s="578"/>
      <c r="I290" s="40" t="str">
        <f>IFERROR(VLOOKUP(E290,SINAPI!A:D,3,0),"")</f>
        <v xml:space="preserve">UN    </v>
      </c>
      <c r="J290" s="579">
        <v>2</v>
      </c>
      <c r="K290" s="40">
        <f>IFERROR(VLOOKUP(E290,SINAPI!A:D,4,0),"")</f>
        <v>0.36</v>
      </c>
      <c r="L290" s="580">
        <f t="shared" si="57"/>
        <v>0.72</v>
      </c>
      <c r="M290" s="264"/>
      <c r="N290" s="562"/>
      <c r="O290" s="562"/>
      <c r="P290" s="562"/>
      <c r="Q290" s="562"/>
    </row>
    <row r="291" spans="1:17" ht="15" hidden="1" customHeight="1" outlineLevel="1" x14ac:dyDescent="0.25">
      <c r="A291" s="660" t="b">
        <f t="shared" si="55"/>
        <v>0</v>
      </c>
      <c r="C291" s="35">
        <v>7</v>
      </c>
      <c r="D291" s="576" t="s">
        <v>2747</v>
      </c>
      <c r="E291" s="576">
        <v>4343</v>
      </c>
      <c r="F291" s="577" t="s">
        <v>2763</v>
      </c>
      <c r="G291" s="37" t="str">
        <f>IFERROR(VLOOKUP(E291,SINAPI!A:D,2,0),"")</f>
        <v xml:space="preserve">PARAFUSO FRANCES ZINCADO, DIAMETRO 1/2", COMPRIMENTO 4", COM PORCA E ARRUELA                                                                                                                                                                                                                                                                                                                                                                                                                              </v>
      </c>
      <c r="H291" s="578"/>
      <c r="I291" s="40" t="str">
        <f>IFERROR(VLOOKUP(E291,SINAPI!A:D,3,0),"")</f>
        <v xml:space="preserve">UN    </v>
      </c>
      <c r="J291" s="579">
        <v>3</v>
      </c>
      <c r="K291" s="40">
        <f>IFERROR(VLOOKUP(E291,SINAPI!A:D,4,0),"")</f>
        <v>7.36</v>
      </c>
      <c r="L291" s="580">
        <f t="shared" si="57"/>
        <v>22.08</v>
      </c>
      <c r="M291" s="264"/>
      <c r="N291" s="562"/>
      <c r="O291" s="562"/>
      <c r="P291" s="562"/>
      <c r="Q291" s="562"/>
    </row>
    <row r="292" spans="1:17" ht="15" hidden="1" customHeight="1" outlineLevel="1" thickBot="1" x14ac:dyDescent="0.3">
      <c r="A292" s="660" t="b">
        <f t="shared" si="55"/>
        <v>0</v>
      </c>
      <c r="C292" s="230" t="s">
        <v>96</v>
      </c>
      <c r="D292" s="231"/>
      <c r="E292" s="231"/>
      <c r="F292" s="231"/>
      <c r="G292" s="231"/>
      <c r="H292" s="231"/>
      <c r="I292" s="231"/>
      <c r="J292" s="231"/>
      <c r="K292" s="232"/>
      <c r="L292" s="581">
        <f>SUM(L285:L291)</f>
        <v>417.4</v>
      </c>
      <c r="M292" s="261"/>
      <c r="N292" s="562" t="str">
        <f>C284</f>
        <v>COMP 31</v>
      </c>
      <c r="O292" s="582">
        <f>L292</f>
        <v>417.4</v>
      </c>
      <c r="P292" s="562"/>
      <c r="Q292" s="562"/>
    </row>
    <row r="293" spans="1:17" ht="25.5" hidden="1" outlineLevel="1" x14ac:dyDescent="0.25">
      <c r="A293" s="699" t="b">
        <f>_xlfn.XOR(C293=$S$2,C293=$S$3,C293=$S$4,C293=$S$5,C293=$S$6,C293=$S$7,C293=$S$8,C293=$S$9,C293=$S$10,C293=$S$11,C293=$S$12,C293=$S$13,C293=$S$14,C293=$S$15,C293=$S$16,C293=$S$17,C293=$S$18,C293=$S$19,C293=$S$20,C293=$S$21,C293=$S$22,C293=$S$23,C293=$S$24,C293=$S$25,C293=$S$26,C293=$S$27,C293=$S$28,C293=$S$29,C293=$S$30,C293=$S$316,C293=$S$32,C293=$S$33,C293=$S$34,C293=$S$35,C293=$S$36,C293=$S$37,C293=$S$38,C293=$S$39,C293=$S$40,C293=$S$41,C293=$S$42,)</f>
        <v>0</v>
      </c>
      <c r="B293" s="752"/>
      <c r="C293" s="569" t="s">
        <v>2934</v>
      </c>
      <c r="D293" s="570"/>
      <c r="E293" s="1669" t="str">
        <f>IFERROR(VLOOKUP(C293,SINAPI!A:D,2,0),"")</f>
        <v>Fornecimento e implantação de placas totalmente refletivas retangular 100x200cm, inclusive dois suportes metálicos e base de concreto conforme detalhe - urbano</v>
      </c>
      <c r="F293" s="1670"/>
      <c r="G293" s="1670"/>
      <c r="H293" s="1671"/>
      <c r="I293" s="572" t="str">
        <f>IFERROR(VLOOKUP(C293,SINAPI!A:D,3,0),"")</f>
        <v>un</v>
      </c>
      <c r="J293" s="573"/>
      <c r="K293" s="573" t="s">
        <v>2603</v>
      </c>
      <c r="L293" s="574" t="str">
        <f>IF(J293="","",ROUND(J293*#REF!,2))</f>
        <v/>
      </c>
      <c r="M293" s="575"/>
      <c r="N293" s="562"/>
      <c r="O293" s="562"/>
      <c r="P293" s="562"/>
      <c r="Q293" s="562"/>
    </row>
    <row r="294" spans="1:17" ht="15" hidden="1" customHeight="1" outlineLevel="1" x14ac:dyDescent="0.25">
      <c r="A294" s="660" t="b">
        <f t="shared" si="55"/>
        <v>0</v>
      </c>
      <c r="C294" s="35">
        <v>1</v>
      </c>
      <c r="D294" s="576" t="s">
        <v>2639</v>
      </c>
      <c r="E294" s="576">
        <v>5213416</v>
      </c>
      <c r="F294" s="577" t="str">
        <f>G294</f>
        <v>Placa em aço nº 16 galvanizado com película retrorrefletiva tipo I + I - confecção</v>
      </c>
      <c r="G294" s="37" t="str">
        <f>IFERROR(VLOOKUP(E294,SINAPI!A:D,2,0),"")</f>
        <v>Placa em aço nº 16 galvanizado com película retrorrefletiva tipo I + I - confecção</v>
      </c>
      <c r="H294" s="578"/>
      <c r="I294" s="40" t="str">
        <f>IFERROR(VLOOKUP(E294,SINAPI!A:D,3,0),"")</f>
        <v>m²</v>
      </c>
      <c r="J294" s="579">
        <f>M294*M295</f>
        <v>2</v>
      </c>
      <c r="K294" s="40">
        <f>IFERROR(VLOOKUP(E294,SINAPI!A:D,4,0),"")</f>
        <v>411.36</v>
      </c>
      <c r="L294" s="580">
        <f>IF(J294="","",ROUND(J294*K294,2))</f>
        <v>822.72</v>
      </c>
      <c r="M294" s="264">
        <v>1</v>
      </c>
      <c r="N294" s="562"/>
      <c r="O294" s="562"/>
      <c r="P294" s="562"/>
      <c r="Q294" s="562"/>
    </row>
    <row r="295" spans="1:17" ht="15" hidden="1" customHeight="1" outlineLevel="1" x14ac:dyDescent="0.25">
      <c r="A295" s="660" t="b">
        <f t="shared" si="55"/>
        <v>0</v>
      </c>
      <c r="C295" s="35">
        <v>2</v>
      </c>
      <c r="D295" s="576" t="s">
        <v>2747</v>
      </c>
      <c r="E295" s="576">
        <v>21013</v>
      </c>
      <c r="F295" s="577" t="s">
        <v>5682</v>
      </c>
      <c r="G295" s="37" t="str">
        <f>IFERROR(VLOOKUP(E295,SINAPI!A:D,2,0),"")</f>
        <v xml:space="preserve">TUBO ACO GALVANIZADO COM COSTURA, CLASSE LEVE, DN 50 MM ( 2"),  E = 3,00 MM,  *4,40* KG/M (NBR 5580)                                                                                                                                                                                                                                                                                                                                                                                                      </v>
      </c>
      <c r="H295" s="578"/>
      <c r="I295" s="40" t="str">
        <f>IFERROR(VLOOKUP(E295,SINAPI!A:D,3,0),"")</f>
        <v xml:space="preserve">M     </v>
      </c>
      <c r="J295" s="579">
        <f>(3.7+0.2)*2</f>
        <v>7.8</v>
      </c>
      <c r="K295" s="40">
        <f>IFERROR(VLOOKUP(E295,SINAPI!A:D,4,0),"")</f>
        <v>68.66</v>
      </c>
      <c r="L295" s="580">
        <f t="shared" ref="L295:L300" si="58">IF(J295="","",ROUND(J295*K295,2))</f>
        <v>535.54999999999995</v>
      </c>
      <c r="M295" s="264">
        <v>2</v>
      </c>
      <c r="N295" s="562"/>
      <c r="O295" s="562"/>
      <c r="P295" s="562"/>
      <c r="Q295" s="562"/>
    </row>
    <row r="296" spans="1:17" ht="15" hidden="1" customHeight="1" outlineLevel="1" x14ac:dyDescent="0.25">
      <c r="A296" s="660" t="b">
        <f t="shared" si="55"/>
        <v>0</v>
      </c>
      <c r="C296" s="35">
        <v>3</v>
      </c>
      <c r="D296" s="576" t="s">
        <v>2747</v>
      </c>
      <c r="E296" s="576">
        <v>1166</v>
      </c>
      <c r="F296" s="577" t="s">
        <v>5683</v>
      </c>
      <c r="G296" s="37" t="str">
        <f>IFERROR(VLOOKUP(E296,SINAPI!A:D,2,0),"")</f>
        <v xml:space="preserve">CAP OU TAMPAO DE FERRO GALVANIZADO, COM ROSCA BSP, DE 2"                                                                                                                                                                                                                                                                                                                                                                                                                                                  </v>
      </c>
      <c r="H296" s="578"/>
      <c r="I296" s="40" t="str">
        <f>IFERROR(VLOOKUP(E296,SINAPI!A:D,3,0),"")</f>
        <v xml:space="preserve">UN    </v>
      </c>
      <c r="J296" s="579">
        <v>2</v>
      </c>
      <c r="K296" s="40">
        <f>IFERROR(VLOOKUP(E296,SINAPI!A:D,4,0),"")</f>
        <v>29.05</v>
      </c>
      <c r="L296" s="580">
        <f t="shared" si="58"/>
        <v>58.1</v>
      </c>
      <c r="M296" s="264"/>
      <c r="N296" s="562"/>
      <c r="O296" s="562"/>
      <c r="P296" s="562"/>
      <c r="Q296" s="562"/>
    </row>
    <row r="297" spans="1:17" ht="15" hidden="1" customHeight="1" outlineLevel="1" x14ac:dyDescent="0.25">
      <c r="A297" s="660" t="b">
        <f t="shared" si="55"/>
        <v>0</v>
      </c>
      <c r="C297" s="35">
        <v>4</v>
      </c>
      <c r="D297" s="576" t="s">
        <v>2747</v>
      </c>
      <c r="E297" s="576">
        <v>94962</v>
      </c>
      <c r="F297" s="577" t="s">
        <v>2760</v>
      </c>
      <c r="G297" s="37" t="str">
        <f>IFERROR(VLOOKUP(E297,SINAPI!A:D,2,0),"")</f>
        <v>CONCRETO MAGRO PARA LASTRO, TRAÇO 1:4,5:4,5 (EM MASSA SECA DE CIMENTO/ AREIA MÉDIA/ BRITA 1) - PREPARO MECÂNICO COM BETONEIRA 400 L. AF_05/2021</v>
      </c>
      <c r="H297" s="578"/>
      <c r="I297" s="40" t="str">
        <f>IFERROR(VLOOKUP(E297,SINAPI!A:D,3,0),"")</f>
        <v>M3</v>
      </c>
      <c r="J297" s="579">
        <f>0.025*2</f>
        <v>0.05</v>
      </c>
      <c r="K297" s="40">
        <f>IFERROR(VLOOKUP(E297,SINAPI!A:D,4,0),"")</f>
        <v>424.83</v>
      </c>
      <c r="L297" s="580">
        <f t="shared" si="58"/>
        <v>21.24</v>
      </c>
      <c r="M297" s="264"/>
      <c r="N297" s="562"/>
      <c r="O297" s="562"/>
      <c r="P297" s="562"/>
      <c r="Q297" s="562"/>
    </row>
    <row r="298" spans="1:17" ht="15" hidden="1" customHeight="1" outlineLevel="1" x14ac:dyDescent="0.25">
      <c r="A298" s="660" t="b">
        <f t="shared" si="55"/>
        <v>0</v>
      </c>
      <c r="C298" s="35">
        <v>5</v>
      </c>
      <c r="D298" s="576" t="s">
        <v>2747</v>
      </c>
      <c r="E298" s="576">
        <v>103670</v>
      </c>
      <c r="F298" s="577" t="s">
        <v>2761</v>
      </c>
      <c r="G298" s="37" t="str">
        <f>IFERROR(VLOOKUP(E298,SINAPI!A:D,2,0),"")</f>
        <v>LANÇAMENTO COM USO DE BALDES, ADENSAMENTO E ACABAMENTO DE CONCRETO EM ESTRUTURAS. AF_02/2022</v>
      </c>
      <c r="H298" s="578"/>
      <c r="I298" s="40" t="str">
        <f>IFERROR(VLOOKUP(E298,SINAPI!A:D,3,0),"")</f>
        <v>M3</v>
      </c>
      <c r="J298" s="579">
        <f>J297</f>
        <v>0.05</v>
      </c>
      <c r="K298" s="40">
        <f>IFERROR(VLOOKUP(E298,SINAPI!A:D,4,0),"")</f>
        <v>301.64</v>
      </c>
      <c r="L298" s="580">
        <f t="shared" si="58"/>
        <v>15.08</v>
      </c>
      <c r="M298" s="264"/>
      <c r="N298" s="562"/>
      <c r="O298" s="562"/>
      <c r="P298" s="562"/>
      <c r="Q298" s="562"/>
    </row>
    <row r="299" spans="1:17" ht="15" hidden="1" customHeight="1" outlineLevel="1" x14ac:dyDescent="0.25">
      <c r="A299" s="660" t="b">
        <f t="shared" si="55"/>
        <v>0</v>
      </c>
      <c r="C299" s="35">
        <v>6</v>
      </c>
      <c r="D299" s="576" t="s">
        <v>2747</v>
      </c>
      <c r="E299" s="576">
        <v>11059</v>
      </c>
      <c r="F299" s="577" t="s">
        <v>2762</v>
      </c>
      <c r="G299" s="37" t="str">
        <f>IFERROR(VLOOKUP(E299,SINAPI!A:D,2,0),"")</f>
        <v xml:space="preserve">PARAFUSO ROSCA SOBERBA ZINCADO CABECA CHATA FENDA SIMPLES 5,5 X 50 MM (2 ")                                                                                                                                                                                                                                                                                                                                                                                                                               </v>
      </c>
      <c r="H299" s="578"/>
      <c r="I299" s="40" t="str">
        <f>IFERROR(VLOOKUP(E299,SINAPI!A:D,3,0),"")</f>
        <v xml:space="preserve">UN    </v>
      </c>
      <c r="J299" s="579">
        <v>8</v>
      </c>
      <c r="K299" s="40">
        <f>IFERROR(VLOOKUP(E299,SINAPI!A:D,4,0),"")</f>
        <v>0.36</v>
      </c>
      <c r="L299" s="580">
        <f t="shared" si="58"/>
        <v>2.88</v>
      </c>
      <c r="M299" s="264"/>
      <c r="N299" s="562"/>
      <c r="O299" s="562"/>
      <c r="P299" s="562"/>
      <c r="Q299" s="562"/>
    </row>
    <row r="300" spans="1:17" ht="15" hidden="1" customHeight="1" outlineLevel="1" x14ac:dyDescent="0.25">
      <c r="A300" s="660" t="b">
        <f t="shared" si="55"/>
        <v>0</v>
      </c>
      <c r="C300" s="35">
        <v>7</v>
      </c>
      <c r="D300" s="576" t="s">
        <v>2747</v>
      </c>
      <c r="E300" s="576">
        <v>4343</v>
      </c>
      <c r="F300" s="577" t="s">
        <v>2763</v>
      </c>
      <c r="G300" s="37" t="str">
        <f>IFERROR(VLOOKUP(E300,SINAPI!A:D,2,0),"")</f>
        <v xml:space="preserve">PARAFUSO FRANCES ZINCADO, DIAMETRO 1/2", COMPRIMENTO 4", COM PORCA E ARRUELA                                                                                                                                                                                                                                                                                                                                                                                                                              </v>
      </c>
      <c r="H300" s="578"/>
      <c r="I300" s="40" t="str">
        <f>IFERROR(VLOOKUP(E300,SINAPI!A:D,3,0),"")</f>
        <v xml:space="preserve">UN    </v>
      </c>
      <c r="J300" s="579">
        <v>6</v>
      </c>
      <c r="K300" s="40">
        <f>IFERROR(VLOOKUP(E300,SINAPI!A:D,4,0),"")</f>
        <v>7.36</v>
      </c>
      <c r="L300" s="580">
        <f t="shared" si="58"/>
        <v>44.16</v>
      </c>
      <c r="M300" s="264"/>
      <c r="N300" s="562"/>
      <c r="O300" s="562"/>
      <c r="P300" s="562"/>
      <c r="Q300" s="562"/>
    </row>
    <row r="301" spans="1:17" ht="15" hidden="1" customHeight="1" outlineLevel="1" thickBot="1" x14ac:dyDescent="0.3">
      <c r="A301" s="660" t="b">
        <f t="shared" si="55"/>
        <v>0</v>
      </c>
      <c r="C301" s="230" t="s">
        <v>96</v>
      </c>
      <c r="D301" s="231"/>
      <c r="E301" s="231"/>
      <c r="F301" s="231"/>
      <c r="G301" s="231"/>
      <c r="H301" s="231"/>
      <c r="I301" s="231"/>
      <c r="J301" s="231"/>
      <c r="K301" s="232"/>
      <c r="L301" s="581">
        <f>SUM(L294:L300)</f>
        <v>1499.73</v>
      </c>
      <c r="M301" s="261"/>
      <c r="N301" s="562" t="str">
        <f>C293</f>
        <v>COMP 32</v>
      </c>
      <c r="O301" s="582">
        <f>L301</f>
        <v>1499.73</v>
      </c>
      <c r="P301" s="562"/>
      <c r="Q301" s="562"/>
    </row>
    <row r="302" spans="1:17" ht="25.5" hidden="1" outlineLevel="1" x14ac:dyDescent="0.25">
      <c r="A302" s="699" t="b">
        <f>_xlfn.XOR(C302=$S$2,C302=$S$3,C302=$S$4,C302=$S$5,C302=$S$6,C302=$S$7,C302=$S$8,C302=$S$9,C302=$S$10,C302=$S$11,C302=$S$12,C302=$S$13,C302=$S$14,C302=$S$15,C302=$S$16,C302=$S$17,C302=$S$18,C302=$S$19,C302=$S$20,C302=$S$21,C302=$S$22,C302=$S$23,C302=$S$24,C302=$S$25,C302=$S$26,C302=$S$27,C302=$S$28,C302=$S$29,C302=$S$30,C302=$S$316,C302=$S$32,C302=$S$33,C302=$S$34,C302=$S$35,C302=$S$36,C302=$S$37,C302=$S$38,C302=$S$39,C302=$S$40,C302=$S$41,C302=$S$42,)</f>
        <v>0</v>
      </c>
      <c r="B302" s="752"/>
      <c r="C302" s="569" t="s">
        <v>2944</v>
      </c>
      <c r="D302" s="570"/>
      <c r="E302" s="1669" t="str">
        <f>IFERROR(VLOOKUP(C302,SINAPI!A:D,2,0),"")</f>
        <v>Fornecimento e implantação de placas totalmente refletivas de regulamentação tipo retangular (ônibus) 40x60cm, inclusive suporte metálico e base de concreto conforme detalhe - urbano</v>
      </c>
      <c r="F302" s="1670"/>
      <c r="G302" s="1670"/>
      <c r="H302" s="1671"/>
      <c r="I302" s="572" t="str">
        <f>IFERROR(VLOOKUP(C302,SINAPI!A:D,3,0),"")</f>
        <v>un</v>
      </c>
      <c r="J302" s="573"/>
      <c r="K302" s="573" t="s">
        <v>2603</v>
      </c>
      <c r="L302" s="574" t="str">
        <f>IF(J302="","",ROUND(J302*#REF!,2))</f>
        <v/>
      </c>
      <c r="M302" s="575"/>
      <c r="N302" s="562"/>
      <c r="O302" s="562"/>
      <c r="P302" s="562"/>
      <c r="Q302" s="562"/>
    </row>
    <row r="303" spans="1:17" ht="15" hidden="1" customHeight="1" outlineLevel="1" x14ac:dyDescent="0.25">
      <c r="A303" s="660" t="b">
        <f t="shared" si="55"/>
        <v>0</v>
      </c>
      <c r="C303" s="35">
        <v>1</v>
      </c>
      <c r="D303" s="576" t="s">
        <v>2639</v>
      </c>
      <c r="E303" s="576">
        <v>5213416</v>
      </c>
      <c r="F303" s="577" t="str">
        <f>G303</f>
        <v>Placa em aço nº 16 galvanizado com película retrorrefletiva tipo I + I - confecção</v>
      </c>
      <c r="G303" s="37" t="str">
        <f>IFERROR(VLOOKUP(E303,SINAPI!A:D,2,0),"")</f>
        <v>Placa em aço nº 16 galvanizado com película retrorrefletiva tipo I + I - confecção</v>
      </c>
      <c r="H303" s="578"/>
      <c r="I303" s="40" t="str">
        <f>IFERROR(VLOOKUP(E303,SINAPI!A:D,3,0),"")</f>
        <v>m²</v>
      </c>
      <c r="J303" s="579">
        <f>M303*M304</f>
        <v>0.24</v>
      </c>
      <c r="K303" s="40">
        <f>IFERROR(VLOOKUP(E303,SINAPI!A:D,4,0),"")</f>
        <v>411.36</v>
      </c>
      <c r="L303" s="580">
        <f>IF(J303="","",ROUND(J303*K303,2))</f>
        <v>98.73</v>
      </c>
      <c r="M303" s="264">
        <v>0.4</v>
      </c>
      <c r="N303" s="562"/>
      <c r="O303" s="562"/>
      <c r="P303" s="562"/>
      <c r="Q303" s="562"/>
    </row>
    <row r="304" spans="1:17" ht="15" hidden="1" customHeight="1" outlineLevel="1" x14ac:dyDescent="0.25">
      <c r="A304" s="660" t="b">
        <f t="shared" si="55"/>
        <v>0</v>
      </c>
      <c r="C304" s="35">
        <v>2</v>
      </c>
      <c r="D304" s="576" t="s">
        <v>2747</v>
      </c>
      <c r="E304" s="576">
        <v>21013</v>
      </c>
      <c r="F304" s="577" t="s">
        <v>5682</v>
      </c>
      <c r="G304" s="37" t="str">
        <f>IFERROR(VLOOKUP(E304,SINAPI!A:D,2,0),"")</f>
        <v xml:space="preserve">TUBO ACO GALVANIZADO COM COSTURA, CLASSE LEVE, DN 50 MM ( 2"),  E = 3,00 MM,  *4,40* KG/M (NBR 5580)                                                                                                                                                                                                                                                                                                                                                                                                      </v>
      </c>
      <c r="H304" s="578"/>
      <c r="I304" s="40" t="str">
        <f>IFERROR(VLOOKUP(E304,SINAPI!A:D,3,0),"")</f>
        <v xml:space="preserve">M     </v>
      </c>
      <c r="J304" s="579">
        <f>3.4+0.2</f>
        <v>3.6</v>
      </c>
      <c r="K304" s="40">
        <f>IFERROR(VLOOKUP(E304,SINAPI!A:D,4,0),"")</f>
        <v>68.66</v>
      </c>
      <c r="L304" s="580">
        <f t="shared" ref="L304:L309" si="59">IF(J304="","",ROUND(J304*K304,2))</f>
        <v>247.18</v>
      </c>
      <c r="M304" s="264">
        <v>0.6</v>
      </c>
      <c r="N304" s="562"/>
      <c r="O304" s="562"/>
      <c r="P304" s="562"/>
      <c r="Q304" s="562"/>
    </row>
    <row r="305" spans="1:17" ht="15" hidden="1" customHeight="1" outlineLevel="1" x14ac:dyDescent="0.25">
      <c r="A305" s="660" t="b">
        <f t="shared" si="55"/>
        <v>0</v>
      </c>
      <c r="C305" s="35">
        <v>3</v>
      </c>
      <c r="D305" s="576" t="s">
        <v>2747</v>
      </c>
      <c r="E305" s="576">
        <v>1166</v>
      </c>
      <c r="F305" s="577" t="s">
        <v>5683</v>
      </c>
      <c r="G305" s="37" t="str">
        <f>IFERROR(VLOOKUP(E305,SINAPI!A:D,2,0),"")</f>
        <v xml:space="preserve">CAP OU TAMPAO DE FERRO GALVANIZADO, COM ROSCA BSP, DE 2"                                                                                                                                                                                                                                                                                                                                                                                                                                                  </v>
      </c>
      <c r="H305" s="578"/>
      <c r="I305" s="40" t="str">
        <f>IFERROR(VLOOKUP(E305,SINAPI!A:D,3,0),"")</f>
        <v xml:space="preserve">UN    </v>
      </c>
      <c r="J305" s="579">
        <v>1</v>
      </c>
      <c r="K305" s="40">
        <f>IFERROR(VLOOKUP(E305,SINAPI!A:D,4,0),"")</f>
        <v>29.05</v>
      </c>
      <c r="L305" s="580">
        <f t="shared" si="59"/>
        <v>29.05</v>
      </c>
      <c r="M305" s="264"/>
      <c r="N305" s="562"/>
      <c r="O305" s="562"/>
      <c r="P305" s="562"/>
      <c r="Q305" s="562"/>
    </row>
    <row r="306" spans="1:17" ht="15" hidden="1" customHeight="1" outlineLevel="1" x14ac:dyDescent="0.25">
      <c r="A306" s="660" t="b">
        <f t="shared" si="55"/>
        <v>0</v>
      </c>
      <c r="C306" s="35">
        <v>4</v>
      </c>
      <c r="D306" s="576" t="s">
        <v>2747</v>
      </c>
      <c r="E306" s="576">
        <v>94962</v>
      </c>
      <c r="F306" s="577" t="s">
        <v>2760</v>
      </c>
      <c r="G306" s="37" t="str">
        <f>IFERROR(VLOOKUP(E306,SINAPI!A:D,2,0),"")</f>
        <v>CONCRETO MAGRO PARA LASTRO, TRAÇO 1:4,5:4,5 (EM MASSA SECA DE CIMENTO/ AREIA MÉDIA/ BRITA 1) - PREPARO MECÂNICO COM BETONEIRA 400 L. AF_05/2021</v>
      </c>
      <c r="H306" s="578"/>
      <c r="I306" s="40" t="str">
        <f>IFERROR(VLOOKUP(E306,SINAPI!A:D,3,0),"")</f>
        <v>M3</v>
      </c>
      <c r="J306" s="579">
        <v>2.5000000000000001E-2</v>
      </c>
      <c r="K306" s="40">
        <f>IFERROR(VLOOKUP(E306,SINAPI!A:D,4,0),"")</f>
        <v>424.83</v>
      </c>
      <c r="L306" s="580">
        <f t="shared" si="59"/>
        <v>10.62</v>
      </c>
      <c r="M306" s="264"/>
      <c r="N306" s="562"/>
      <c r="O306" s="562"/>
      <c r="P306" s="562"/>
      <c r="Q306" s="562"/>
    </row>
    <row r="307" spans="1:17" ht="15" hidden="1" customHeight="1" outlineLevel="1" x14ac:dyDescent="0.25">
      <c r="A307" s="660" t="b">
        <f t="shared" si="55"/>
        <v>0</v>
      </c>
      <c r="C307" s="35">
        <v>5</v>
      </c>
      <c r="D307" s="576" t="s">
        <v>2747</v>
      </c>
      <c r="E307" s="576">
        <v>103670</v>
      </c>
      <c r="F307" s="577" t="s">
        <v>2761</v>
      </c>
      <c r="G307" s="37" t="str">
        <f>IFERROR(VLOOKUP(E307,SINAPI!A:D,2,0),"")</f>
        <v>LANÇAMENTO COM USO DE BALDES, ADENSAMENTO E ACABAMENTO DE CONCRETO EM ESTRUTURAS. AF_02/2022</v>
      </c>
      <c r="H307" s="578"/>
      <c r="I307" s="40" t="str">
        <f>IFERROR(VLOOKUP(E307,SINAPI!A:D,3,0),"")</f>
        <v>M3</v>
      </c>
      <c r="J307" s="579">
        <f>J306</f>
        <v>2.5000000000000001E-2</v>
      </c>
      <c r="K307" s="40">
        <f>IFERROR(VLOOKUP(E307,SINAPI!A:D,4,0),"")</f>
        <v>301.64</v>
      </c>
      <c r="L307" s="580">
        <f t="shared" si="59"/>
        <v>7.54</v>
      </c>
      <c r="M307" s="264"/>
      <c r="N307" s="562"/>
      <c r="O307" s="562"/>
      <c r="P307" s="562"/>
      <c r="Q307" s="562"/>
    </row>
    <row r="308" spans="1:17" ht="15" hidden="1" customHeight="1" outlineLevel="1" x14ac:dyDescent="0.25">
      <c r="A308" s="660" t="b">
        <f t="shared" si="55"/>
        <v>0</v>
      </c>
      <c r="C308" s="35">
        <v>6</v>
      </c>
      <c r="D308" s="576" t="s">
        <v>2747</v>
      </c>
      <c r="E308" s="576">
        <v>11059</v>
      </c>
      <c r="F308" s="577" t="s">
        <v>2762</v>
      </c>
      <c r="G308" s="37" t="str">
        <f>IFERROR(VLOOKUP(E308,SINAPI!A:D,2,0),"")</f>
        <v xml:space="preserve">PARAFUSO ROSCA SOBERBA ZINCADO CABECA CHATA FENDA SIMPLES 5,5 X 50 MM (2 ")                                                                                                                                                                                                                                                                                                                                                                                                                               </v>
      </c>
      <c r="H308" s="578"/>
      <c r="I308" s="40" t="str">
        <f>IFERROR(VLOOKUP(E308,SINAPI!A:D,3,0),"")</f>
        <v xml:space="preserve">UN    </v>
      </c>
      <c r="J308" s="579">
        <v>2</v>
      </c>
      <c r="K308" s="40">
        <f>IFERROR(VLOOKUP(E308,SINAPI!A:D,4,0),"")</f>
        <v>0.36</v>
      </c>
      <c r="L308" s="580">
        <f t="shared" si="59"/>
        <v>0.72</v>
      </c>
      <c r="M308" s="264"/>
      <c r="N308" s="562"/>
      <c r="O308" s="562"/>
      <c r="P308" s="562"/>
      <c r="Q308" s="562"/>
    </row>
    <row r="309" spans="1:17" ht="15" hidden="1" customHeight="1" outlineLevel="1" x14ac:dyDescent="0.25">
      <c r="A309" s="660" t="b">
        <f t="shared" si="55"/>
        <v>0</v>
      </c>
      <c r="C309" s="35">
        <v>7</v>
      </c>
      <c r="D309" s="576" t="s">
        <v>2747</v>
      </c>
      <c r="E309" s="576">
        <v>4343</v>
      </c>
      <c r="F309" s="577" t="s">
        <v>2763</v>
      </c>
      <c r="G309" s="37" t="str">
        <f>IFERROR(VLOOKUP(E309,SINAPI!A:D,2,0),"")</f>
        <v xml:space="preserve">PARAFUSO FRANCES ZINCADO, DIAMETRO 1/2", COMPRIMENTO 4", COM PORCA E ARRUELA                                                                                                                                                                                                                                                                                                                                                                                                                              </v>
      </c>
      <c r="H309" s="578"/>
      <c r="I309" s="40" t="str">
        <f>IFERROR(VLOOKUP(E309,SINAPI!A:D,3,0),"")</f>
        <v xml:space="preserve">UN    </v>
      </c>
      <c r="J309" s="579">
        <v>3</v>
      </c>
      <c r="K309" s="40">
        <f>IFERROR(VLOOKUP(E309,SINAPI!A:D,4,0),"")</f>
        <v>7.36</v>
      </c>
      <c r="L309" s="580">
        <f t="shared" si="59"/>
        <v>22.08</v>
      </c>
      <c r="M309" s="264"/>
      <c r="N309" s="562"/>
      <c r="O309" s="562"/>
      <c r="P309" s="562"/>
      <c r="Q309" s="562"/>
    </row>
    <row r="310" spans="1:17" ht="15" hidden="1" customHeight="1" outlineLevel="1" thickBot="1" x14ac:dyDescent="0.3">
      <c r="A310" s="660" t="b">
        <f t="shared" si="55"/>
        <v>0</v>
      </c>
      <c r="C310" s="230" t="s">
        <v>96</v>
      </c>
      <c r="D310" s="231"/>
      <c r="E310" s="231"/>
      <c r="F310" s="231"/>
      <c r="G310" s="231"/>
      <c r="H310" s="231"/>
      <c r="I310" s="231"/>
      <c r="J310" s="231"/>
      <c r="K310" s="232"/>
      <c r="L310" s="581">
        <f>SUM(L303:L309)</f>
        <v>415.92</v>
      </c>
      <c r="M310" s="261"/>
      <c r="N310" s="562" t="str">
        <f>C302</f>
        <v>COMP 33</v>
      </c>
      <c r="O310" s="582">
        <f>L310</f>
        <v>415.92</v>
      </c>
      <c r="P310" s="562"/>
      <c r="Q310" s="562"/>
    </row>
    <row r="311" spans="1:17" ht="15" hidden="1" customHeight="1" outlineLevel="1" x14ac:dyDescent="0.25">
      <c r="A311" s="699" t="b">
        <f>_xlfn.XOR(C311=$S$2,C311=$S$3,C311=$S$4,C311=$S$5,C311=$S$6,C311=$S$7,C311=$S$8,C311=$S$9,C311=$S$10,C311=$S$11,C311=$S$12,C311=$S$13,C311=$S$14,C311=$S$15,C311=$S$16,C311=$S$17,C311=$S$18,C311=$S$19,C311=$S$20,C311=$S$21,C311=$S$22,C311=$S$23,C311=$S$24,C311=$S$25,C311=$S$26,C311=$S$27,C311=$S$28,C311=$S$29,C311=$S$30,C311=$S$316,C311=$S$32,C311=$S$33,C311=$S$34,C311=$S$35,C311=$S$36,C311=$S$37,C311=$S$38,C311=$S$39,C311=$S$40,C311=$S$41,C311=$S$42,)</f>
        <v>0</v>
      </c>
      <c r="C311" s="569" t="s">
        <v>3040</v>
      </c>
      <c r="D311" s="570"/>
      <c r="E311" s="570" t="str">
        <f>IFERROR(VLOOKUP(C311,SINAPI!A:D,2,0),"")</f>
        <v>Barreira de siltagem</v>
      </c>
      <c r="F311" s="570"/>
      <c r="G311" s="217"/>
      <c r="H311" s="571"/>
      <c r="I311" s="572" t="str">
        <f>IFERROR(VLOOKUP(C311,SINAPI!A:D,3,0),"")</f>
        <v>m</v>
      </c>
      <c r="J311" s="573"/>
      <c r="K311" s="573" t="s">
        <v>2603</v>
      </c>
      <c r="L311" s="574" t="str">
        <f>IF(J311="","",ROUND(J311*#REF!,2))</f>
        <v/>
      </c>
      <c r="M311" s="575"/>
      <c r="N311" s="562"/>
      <c r="O311" s="562"/>
      <c r="P311" s="562"/>
      <c r="Q311" s="562"/>
    </row>
    <row r="312" spans="1:17" ht="15" hidden="1" customHeight="1" outlineLevel="1" x14ac:dyDescent="0.25">
      <c r="A312" s="660" t="b">
        <f t="shared" si="55"/>
        <v>0</v>
      </c>
      <c r="C312" s="35">
        <v>1</v>
      </c>
      <c r="D312" s="576" t="s">
        <v>2639</v>
      </c>
      <c r="E312" s="576" t="s">
        <v>6410</v>
      </c>
      <c r="F312" s="577" t="s">
        <v>3044</v>
      </c>
      <c r="G312" s="37" t="str">
        <f>IFERROR(VLOOKUP(E312,SINAPI!A:D,2,0),"")</f>
        <v>Caminhão carroceria com capacidade de 15 t - 188 kW - CHP</v>
      </c>
      <c r="H312" s="578"/>
      <c r="I312" s="40" t="str">
        <f>IFERROR(VLOOKUP(E312,SINAPI!A:D,3,0),"")</f>
        <v>h</v>
      </c>
      <c r="J312" s="579">
        <v>3.3E-3</v>
      </c>
      <c r="K312" s="40">
        <f>IFERROR(VLOOKUP(E312,SINAPI!A:D,4,0),"")</f>
        <v>300.83999999999997</v>
      </c>
      <c r="L312" s="580">
        <f>IF(J312="","",ROUND(J312*K312,2))</f>
        <v>0.99</v>
      </c>
      <c r="M312" s="264"/>
      <c r="N312" s="562"/>
      <c r="O312" s="562"/>
      <c r="P312" s="562"/>
      <c r="Q312" s="562"/>
    </row>
    <row r="313" spans="1:17" ht="15" hidden="1" customHeight="1" outlineLevel="1" x14ac:dyDescent="0.25">
      <c r="A313" s="660" t="b">
        <f t="shared" si="55"/>
        <v>0</v>
      </c>
      <c r="C313" s="35">
        <v>2</v>
      </c>
      <c r="D313" s="576" t="s">
        <v>2639</v>
      </c>
      <c r="E313" s="576" t="s">
        <v>6413</v>
      </c>
      <c r="F313" s="577" t="s">
        <v>3045</v>
      </c>
      <c r="G313" s="37" t="str">
        <f>IFERROR(VLOOKUP(E313,SINAPI!A:D,2,0),"")</f>
        <v>Caminhão carroceria com capacidade de 15 t - 188 kW - CHI</v>
      </c>
      <c r="H313" s="578"/>
      <c r="I313" s="40" t="str">
        <f>IFERROR(VLOOKUP(E313,SINAPI!A:D,3,0),"")</f>
        <v>h</v>
      </c>
      <c r="J313" s="579">
        <f>J312</f>
        <v>3.3E-3</v>
      </c>
      <c r="K313" s="40">
        <f>IFERROR(VLOOKUP(E313,SINAPI!A:D,4,0),"")</f>
        <v>72.34</v>
      </c>
      <c r="L313" s="580">
        <f t="shared" ref="L313:L318" si="60">IF(J313="","",ROUND(J313*K313,2))</f>
        <v>0.24</v>
      </c>
      <c r="M313" s="264"/>
      <c r="N313" s="562"/>
      <c r="O313" s="562"/>
      <c r="P313" s="562"/>
      <c r="Q313" s="562"/>
    </row>
    <row r="314" spans="1:17" ht="15" hidden="1" customHeight="1" outlineLevel="1" x14ac:dyDescent="0.25">
      <c r="A314" s="660" t="b">
        <f t="shared" si="55"/>
        <v>0</v>
      </c>
      <c r="C314" s="35">
        <v>3</v>
      </c>
      <c r="D314" s="576" t="s">
        <v>2639</v>
      </c>
      <c r="E314" s="576" t="s">
        <v>6398</v>
      </c>
      <c r="F314" s="577" t="s">
        <v>2740</v>
      </c>
      <c r="G314" s="37" t="str">
        <f>IFERROR(VLOOKUP(E314,SINAPI!A:D,2,0),"")</f>
        <v>Servente</v>
      </c>
      <c r="H314" s="578"/>
      <c r="I314" s="40" t="str">
        <f>IFERROR(VLOOKUP(E314,SINAPI!A:D,3,0),"")</f>
        <v>h</v>
      </c>
      <c r="J314" s="579">
        <v>0.2</v>
      </c>
      <c r="K314" s="40">
        <f>IFERROR(VLOOKUP(E314,SINAPI!A:D,4,0),"")</f>
        <v>6.61</v>
      </c>
      <c r="L314" s="580">
        <f t="shared" si="60"/>
        <v>1.32</v>
      </c>
      <c r="M314" s="264"/>
      <c r="N314" s="562"/>
      <c r="O314" s="562"/>
      <c r="P314" s="562"/>
      <c r="Q314" s="562"/>
    </row>
    <row r="315" spans="1:17" ht="15" hidden="1" customHeight="1" outlineLevel="1" x14ac:dyDescent="0.25">
      <c r="A315" s="660" t="b">
        <f t="shared" si="55"/>
        <v>0</v>
      </c>
      <c r="C315" s="35">
        <v>4</v>
      </c>
      <c r="D315" s="576" t="s">
        <v>2639</v>
      </c>
      <c r="E315" s="550" t="s">
        <v>6417</v>
      </c>
      <c r="F315" s="577" t="s">
        <v>3046</v>
      </c>
      <c r="G315" s="37" t="str">
        <f>IFERROR(VLOOKUP(E315,SINAPI!A:D,2,0),"")</f>
        <v>Arame liso recozido em aço-carbono - D = 1,24 mm (18 BWG)</v>
      </c>
      <c r="H315" s="578"/>
      <c r="I315" s="40" t="str">
        <f>IFERROR(VLOOKUP(E315,SINAPI!A:D,3,0),"")</f>
        <v>kg</v>
      </c>
      <c r="J315" s="579">
        <v>1.14E-2</v>
      </c>
      <c r="K315" s="40">
        <f>IFERROR(VLOOKUP(E315,SINAPI!A:D,4,0),"")</f>
        <v>10.42</v>
      </c>
      <c r="L315" s="580">
        <f t="shared" si="60"/>
        <v>0.12</v>
      </c>
      <c r="M315" s="264"/>
      <c r="N315" s="562"/>
      <c r="O315" s="562"/>
      <c r="P315" s="562"/>
      <c r="Q315" s="562"/>
    </row>
    <row r="316" spans="1:17" ht="15" hidden="1" customHeight="1" outlineLevel="1" x14ac:dyDescent="0.25">
      <c r="A316" s="660" t="b">
        <f t="shared" si="55"/>
        <v>0</v>
      </c>
      <c r="C316" s="35">
        <v>5</v>
      </c>
      <c r="D316" s="576" t="s">
        <v>2639</v>
      </c>
      <c r="E316" s="576" t="s">
        <v>6404</v>
      </c>
      <c r="F316" s="577" t="s">
        <v>3047</v>
      </c>
      <c r="G316" s="37" t="str">
        <f>IFERROR(VLOOKUP(E316,SINAPI!A:D,2,0),"")</f>
        <v>Geotêxtil não-tecido agulhado em poliéster - resistência à tração longitudinal de 14 kN/m</v>
      </c>
      <c r="H316" s="578"/>
      <c r="I316" s="40" t="str">
        <f>IFERROR(VLOOKUP(E316,SINAPI!A:D,3,0),"")</f>
        <v>m²</v>
      </c>
      <c r="J316" s="579">
        <v>1.6</v>
      </c>
      <c r="K316" s="40">
        <f>IFERROR(VLOOKUP(E316,SINAPI!A:D,4,0),"")</f>
        <v>7.43</v>
      </c>
      <c r="L316" s="580">
        <f t="shared" si="60"/>
        <v>11.89</v>
      </c>
      <c r="M316" s="264"/>
      <c r="N316" s="562"/>
      <c r="O316" s="562"/>
      <c r="P316" s="562"/>
      <c r="Q316" s="562"/>
    </row>
    <row r="317" spans="1:17" ht="15" hidden="1" customHeight="1" outlineLevel="1" x14ac:dyDescent="0.25">
      <c r="A317" s="660" t="b">
        <f t="shared" si="55"/>
        <v>0</v>
      </c>
      <c r="C317" s="35">
        <v>6</v>
      </c>
      <c r="D317" s="576" t="s">
        <v>2639</v>
      </c>
      <c r="E317" s="576" t="s">
        <v>5679</v>
      </c>
      <c r="F317" s="577" t="s">
        <v>3048</v>
      </c>
      <c r="G317" s="37" t="str">
        <f>IFERROR(VLOOKUP(E317,SINAPI!A:D,2,0),"")</f>
        <v>Pontalete para escoramento - D = 15 cm</v>
      </c>
      <c r="H317" s="578"/>
      <c r="I317" s="40" t="str">
        <f>IFERROR(VLOOKUP(E317,SINAPI!A:D,3,0),"")</f>
        <v>m</v>
      </c>
      <c r="J317" s="579">
        <v>0.8</v>
      </c>
      <c r="K317" s="40">
        <f>IFERROR(VLOOKUP(E317,SINAPI!A:D,4,0),"")</f>
        <v>8.34</v>
      </c>
      <c r="L317" s="580">
        <f t="shared" si="60"/>
        <v>6.67</v>
      </c>
      <c r="M317" s="264"/>
      <c r="N317" s="562"/>
      <c r="O317" s="562"/>
      <c r="P317" s="562"/>
      <c r="Q317" s="562"/>
    </row>
    <row r="318" spans="1:17" ht="15" hidden="1" customHeight="1" outlineLevel="1" x14ac:dyDescent="0.25">
      <c r="A318" s="660" t="b">
        <f t="shared" si="55"/>
        <v>0</v>
      </c>
      <c r="C318" s="35">
        <v>7</v>
      </c>
      <c r="D318" s="576" t="s">
        <v>2639</v>
      </c>
      <c r="E318" s="576" t="s">
        <v>6419</v>
      </c>
      <c r="F318" s="577" t="s">
        <v>3049</v>
      </c>
      <c r="G318" s="37" t="str">
        <f>IFERROR(VLOOKUP(E318,SINAPI!A:D,2,0),"")</f>
        <v>Tábua - E = 2,5 cm e L = 10 cm</v>
      </c>
      <c r="H318" s="578"/>
      <c r="I318" s="40" t="str">
        <f>IFERROR(VLOOKUP(E318,SINAPI!A:D,3,0),"")</f>
        <v>m</v>
      </c>
      <c r="J318" s="579">
        <v>0.4</v>
      </c>
      <c r="K318" s="40">
        <f>IFERROR(VLOOKUP(E318,SINAPI!A:D,4,0),"")</f>
        <v>3.49</v>
      </c>
      <c r="L318" s="580">
        <f t="shared" si="60"/>
        <v>1.4</v>
      </c>
      <c r="M318" s="264"/>
      <c r="N318" s="562"/>
      <c r="O318" s="562"/>
      <c r="P318" s="562"/>
      <c r="Q318" s="562"/>
    </row>
    <row r="319" spans="1:17" ht="15" hidden="1" customHeight="1" outlineLevel="1" thickBot="1" x14ac:dyDescent="0.3">
      <c r="A319" s="660" t="b">
        <f t="shared" si="55"/>
        <v>0</v>
      </c>
      <c r="C319" s="230" t="s">
        <v>96</v>
      </c>
      <c r="D319" s="231"/>
      <c r="E319" s="231"/>
      <c r="F319" s="231"/>
      <c r="G319" s="231"/>
      <c r="H319" s="231"/>
      <c r="I319" s="231"/>
      <c r="J319" s="231"/>
      <c r="K319" s="232"/>
      <c r="L319" s="581">
        <f>SUM(L312:L318)</f>
        <v>22.63</v>
      </c>
      <c r="M319" s="261"/>
      <c r="N319" s="562" t="str">
        <f>C311</f>
        <v>COMP 34</v>
      </c>
      <c r="O319" s="582">
        <f>L319</f>
        <v>22.63</v>
      </c>
      <c r="P319" s="562"/>
      <c r="Q319" s="562"/>
    </row>
    <row r="320" spans="1:17" ht="15" hidden="1" customHeight="1" outlineLevel="1" x14ac:dyDescent="0.25">
      <c r="A320" s="699" t="b">
        <f>_xlfn.XOR(C320=$S$2,C320=$S$3,C320=$S$4,C320=$S$5,C320=$S$6,C320=$S$7,C320=$S$8,C320=$S$9,C320=$S$10,C320=$S$11,C320=$S$12,C320=$S$13,C320=$S$14,C320=$S$15,C320=$S$16,C320=$S$17,C320=$S$18,C320=$S$19,C320=$S$20,C320=$S$21,C320=$S$22,C320=$S$23,C320=$S$24,C320=$S$25,C320=$S$26,C320=$S$27,C320=$S$28,C320=$S$29,C320=$S$30,C320=$S$316,C320=$S$32,C320=$S$33,C320=$S$34,C320=$S$35,C320=$S$36,C320=$S$37,C320=$S$38,C320=$S$39,C320=$S$40,C320=$S$41,C320=$S$42,)</f>
        <v>0</v>
      </c>
      <c r="C320" s="569" t="s">
        <v>3165</v>
      </c>
      <c r="D320" s="570"/>
      <c r="E320" s="570" t="str">
        <f>IFERROR(VLOOKUP(C320,SINAPI!A:D,2,0),"")</f>
        <v>Guarda corpo metálico conforme detalhamento em tela soldada galvanizada 5x15cm</v>
      </c>
      <c r="F320" s="570"/>
      <c r="G320" s="217"/>
      <c r="H320" s="571"/>
      <c r="I320" s="572" t="s">
        <v>2603</v>
      </c>
      <c r="J320" s="573"/>
      <c r="K320" s="573" t="s">
        <v>2603</v>
      </c>
      <c r="L320" s="574" t="str">
        <f>IF(J320="","",ROUND(J320*#REF!,2))</f>
        <v/>
      </c>
      <c r="M320" s="575"/>
      <c r="N320" s="562"/>
      <c r="O320" s="562"/>
      <c r="P320" s="562"/>
      <c r="Q320" s="562"/>
    </row>
    <row r="321" spans="1:17" ht="15" hidden="1" customHeight="1" outlineLevel="1" x14ac:dyDescent="0.25">
      <c r="A321" s="660" t="b">
        <f t="shared" si="55"/>
        <v>0</v>
      </c>
      <c r="C321" s="35">
        <v>1</v>
      </c>
      <c r="D321" s="550" t="s">
        <v>2748</v>
      </c>
      <c r="E321" s="550">
        <v>40626</v>
      </c>
      <c r="F321" s="552" t="s">
        <v>3182</v>
      </c>
      <c r="G321" s="37" t="str">
        <f>IFERROR(VLOOKUP(E321,SINAPI!A:D,2,0),"")</f>
        <v xml:space="preserve">TUBO ACO GALVANIZADO COM COSTURA, CLASSE MEDIA, DN 1", E = 3,38 MM, PESO 2,50 KG/M (NBR 5580)                                                                                                                                                                                                                                                                                                                                                                                                             </v>
      </c>
      <c r="H321" s="578"/>
      <c r="I321" s="40" t="str">
        <f>IFERROR(VLOOKUP(E321,SINAPI!A:D,3,0),"")</f>
        <v xml:space="preserve">M     </v>
      </c>
      <c r="J321" s="536">
        <v>2</v>
      </c>
      <c r="K321" s="40">
        <f>IFERROR(VLOOKUP(E321,SINAPI!A:D,4,0),"")</f>
        <v>35.950000000000003</v>
      </c>
      <c r="L321" s="580">
        <f>IF(J321="","",ROUND(J321*K321,2))</f>
        <v>71.900000000000006</v>
      </c>
      <c r="M321" s="264"/>
      <c r="N321" s="562"/>
      <c r="O321" s="562"/>
      <c r="P321" s="562"/>
      <c r="Q321" s="562"/>
    </row>
    <row r="322" spans="1:17" ht="15" hidden="1" customHeight="1" outlineLevel="1" x14ac:dyDescent="0.25">
      <c r="A322" s="660" t="b">
        <f t="shared" si="55"/>
        <v>0</v>
      </c>
      <c r="C322" s="35">
        <v>2</v>
      </c>
      <c r="D322" s="550" t="s">
        <v>2748</v>
      </c>
      <c r="E322" s="576">
        <v>21013</v>
      </c>
      <c r="F322" s="552" t="s">
        <v>3183</v>
      </c>
      <c r="G322" s="37" t="str">
        <f>IFERROR(VLOOKUP(E322,SINAPI!A:D,2,0),"")</f>
        <v xml:space="preserve">TUBO ACO GALVANIZADO COM COSTURA, CLASSE LEVE, DN 50 MM ( 2"),  E = 3,00 MM,  *4,40* KG/M (NBR 5580)                                                                                                                                                                                                                                                                                                                                                                                                      </v>
      </c>
      <c r="H322" s="578"/>
      <c r="I322" s="40" t="str">
        <f>IFERROR(VLOOKUP(E322,SINAPI!A:D,3,0),"")</f>
        <v xml:space="preserve">M     </v>
      </c>
      <c r="J322" s="536">
        <f>1.1*3/3</f>
        <v>1.1000000000000001</v>
      </c>
      <c r="K322" s="40">
        <f>IFERROR(VLOOKUP(E322,SINAPI!A:D,4,0),"")</f>
        <v>68.66</v>
      </c>
      <c r="L322" s="580">
        <f t="shared" ref="L322:L332" si="61">IF(J322="","",ROUND(J322*K322,2))</f>
        <v>75.53</v>
      </c>
      <c r="M322" s="264"/>
      <c r="N322" s="562"/>
      <c r="O322" s="562"/>
      <c r="P322" s="562"/>
      <c r="Q322" s="562"/>
    </row>
    <row r="323" spans="1:17" ht="15" hidden="1" customHeight="1" outlineLevel="1" x14ac:dyDescent="0.25">
      <c r="A323" s="660" t="b">
        <f t="shared" si="55"/>
        <v>0</v>
      </c>
      <c r="C323" s="35">
        <v>3</v>
      </c>
      <c r="D323" s="550" t="s">
        <v>2747</v>
      </c>
      <c r="E323" s="550">
        <v>10933</v>
      </c>
      <c r="F323" s="552" t="s">
        <v>3184</v>
      </c>
      <c r="G323" s="37" t="str">
        <f>IFERROR(VLOOKUP(E323,SINAPI!A:D,2,0),"")</f>
        <v xml:space="preserve">TELA DE ARAME GALVANIZADA QUADRANGULAR / LOSANGULAR, FIO 2,77 MM (12 BWG), MALHA 10 X 10 CM, H = 2 M                                                                                                                                                                                                                                                                                                                                                                                                      </v>
      </c>
      <c r="H323" s="578"/>
      <c r="I323" s="40" t="str">
        <f>IFERROR(VLOOKUP(E323,SINAPI!A:D,3,0),"")</f>
        <v xml:space="preserve">M2    </v>
      </c>
      <c r="J323" s="536">
        <f>1.1</f>
        <v>1.1000000000000001</v>
      </c>
      <c r="K323" s="40">
        <f>IFERROR(VLOOKUP(E323,SINAPI!A:D,4,0),"")</f>
        <v>26.01</v>
      </c>
      <c r="L323" s="580">
        <f t="shared" si="61"/>
        <v>28.61</v>
      </c>
      <c r="M323" s="264"/>
      <c r="N323" s="562"/>
      <c r="O323" s="562"/>
      <c r="P323" s="562"/>
      <c r="Q323" s="562"/>
    </row>
    <row r="324" spans="1:17" ht="15" hidden="1" customHeight="1" outlineLevel="1" x14ac:dyDescent="0.25">
      <c r="A324" s="660" t="b">
        <f t="shared" si="55"/>
        <v>0</v>
      </c>
      <c r="C324" s="35">
        <v>4</v>
      </c>
      <c r="D324" s="550" t="s">
        <v>2748</v>
      </c>
      <c r="E324" s="550">
        <v>43130</v>
      </c>
      <c r="F324" s="552" t="s">
        <v>3185</v>
      </c>
      <c r="G324" s="37" t="str">
        <f>IFERROR(VLOOKUP(E324,SINAPI!A:D,2,0),"")</f>
        <v xml:space="preserve">ARAME GALVANIZADO 12 BWG, D = 2,76 MM (0,048 KG/M) OU 14 BWG, D = 2,11 MM (0,026 KG/M)                                                                                                                                                                                                                                                                                                                                                                                                                    </v>
      </c>
      <c r="H324" s="578"/>
      <c r="I324" s="40" t="str">
        <f>IFERROR(VLOOKUP(E324,SINAPI!A:D,3,0),"")</f>
        <v xml:space="preserve">KG    </v>
      </c>
      <c r="J324" s="536">
        <f>M324*(P324+P325)</f>
        <v>9.9500000000000005E-2</v>
      </c>
      <c r="K324" s="40">
        <f>IFERROR(VLOOKUP(E324,SINAPI!A:D,4,0),"")</f>
        <v>30</v>
      </c>
      <c r="L324" s="580">
        <f t="shared" si="61"/>
        <v>2.99</v>
      </c>
      <c r="M324" s="264">
        <v>4.8000000000000001E-2</v>
      </c>
      <c r="N324" s="562">
        <v>4</v>
      </c>
      <c r="O324" s="562">
        <f>2.54*2*2*3.14/100</f>
        <v>0.31902399999999997</v>
      </c>
      <c r="P324" s="562">
        <f>O324*N324</f>
        <v>1.2760959999999999</v>
      </c>
      <c r="Q324" s="562"/>
    </row>
    <row r="325" spans="1:17" ht="15" hidden="1" customHeight="1" outlineLevel="1" x14ac:dyDescent="0.25">
      <c r="A325" s="660" t="b">
        <f t="shared" si="55"/>
        <v>0</v>
      </c>
      <c r="C325" s="35">
        <v>5</v>
      </c>
      <c r="D325" s="550" t="s">
        <v>2748</v>
      </c>
      <c r="E325" s="550">
        <v>11026</v>
      </c>
      <c r="F325" s="552" t="s">
        <v>3186</v>
      </c>
      <c r="G325" s="37" t="str">
        <f>IFERROR(VLOOKUP(E325,SINAPI!A:D,2,0),"")</f>
        <v xml:space="preserve">CHAPA DE ACO GALVANIZADA BITOLA GSG 14, E = 1,95 MM (15,60 KG/M2)                                                                                                                                                                                                                                                                                                                                                                                                                                         </v>
      </c>
      <c r="H325" s="578"/>
      <c r="I325" s="40" t="str">
        <f>IFERROR(VLOOKUP(E325,SINAPI!A:D,3,0),"")</f>
        <v xml:space="preserve">KG    </v>
      </c>
      <c r="J325" s="536">
        <f>0.15*0.15*15.6</f>
        <v>0.35099999999999998</v>
      </c>
      <c r="K325" s="40">
        <f>IFERROR(VLOOKUP(E325,SINAPI!A:D,4,0),"")</f>
        <v>13.52</v>
      </c>
      <c r="L325" s="580">
        <f t="shared" si="61"/>
        <v>4.75</v>
      </c>
      <c r="M325" s="264"/>
      <c r="N325" s="562">
        <v>5</v>
      </c>
      <c r="O325" s="562">
        <f>2.54*2*3.14/100</f>
        <v>0.15951199999999999</v>
      </c>
      <c r="P325" s="562">
        <f>O325*N325</f>
        <v>0.79756000000000005</v>
      </c>
      <c r="Q325" s="562"/>
    </row>
    <row r="326" spans="1:17" ht="15" hidden="1" customHeight="1" outlineLevel="1" x14ac:dyDescent="0.25">
      <c r="A326" s="660" t="b">
        <f t="shared" si="55"/>
        <v>0</v>
      </c>
      <c r="C326" s="35">
        <v>6</v>
      </c>
      <c r="D326" s="550" t="s">
        <v>2747</v>
      </c>
      <c r="E326" s="550">
        <v>88317</v>
      </c>
      <c r="F326" s="552" t="s">
        <v>2739</v>
      </c>
      <c r="G326" s="37" t="str">
        <f>IFERROR(VLOOKUP(E326,SINAPI!A:D,2,0),"")</f>
        <v>SOLDADOR COM ENCARGOS COMPLEMENTARES</v>
      </c>
      <c r="H326" s="578"/>
      <c r="I326" s="40" t="str">
        <f>IFERROR(VLOOKUP(E326,SINAPI!A:D,3,0),"")</f>
        <v>H</v>
      </c>
      <c r="J326" s="536">
        <v>1</v>
      </c>
      <c r="K326" s="40">
        <f>IFERROR(VLOOKUP(E326,SINAPI!A:D,4,0),"")</f>
        <v>29.84</v>
      </c>
      <c r="L326" s="580">
        <f t="shared" si="61"/>
        <v>29.84</v>
      </c>
      <c r="M326" s="264"/>
      <c r="N326" s="562"/>
      <c r="O326" s="562"/>
      <c r="P326" s="562"/>
      <c r="Q326" s="562"/>
    </row>
    <row r="327" spans="1:17" ht="15" hidden="1" customHeight="1" outlineLevel="1" x14ac:dyDescent="0.25">
      <c r="A327" s="660" t="b">
        <f t="shared" si="55"/>
        <v>0</v>
      </c>
      <c r="C327" s="35">
        <v>7</v>
      </c>
      <c r="D327" s="550" t="s">
        <v>2747</v>
      </c>
      <c r="E327" s="550">
        <v>88316</v>
      </c>
      <c r="F327" s="552" t="s">
        <v>2740</v>
      </c>
      <c r="G327" s="37" t="str">
        <f>IFERROR(VLOOKUP(E327,SINAPI!A:D,2,0),"")</f>
        <v>SERVENTE COM ENCARGOS COMPLEMENTARES</v>
      </c>
      <c r="H327" s="578"/>
      <c r="I327" s="40" t="str">
        <f>IFERROR(VLOOKUP(E327,SINAPI!A:D,3,0),"")</f>
        <v>H</v>
      </c>
      <c r="J327" s="536">
        <v>1</v>
      </c>
      <c r="K327" s="40">
        <f>IFERROR(VLOOKUP(E327,SINAPI!A:D,4,0),"")</f>
        <v>20.82</v>
      </c>
      <c r="L327" s="580">
        <f t="shared" si="61"/>
        <v>20.82</v>
      </c>
      <c r="M327" s="264"/>
      <c r="N327" s="562"/>
      <c r="O327" s="562"/>
      <c r="P327" s="562"/>
      <c r="Q327" s="562"/>
    </row>
    <row r="328" spans="1:17" ht="15" hidden="1" customHeight="1" outlineLevel="1" x14ac:dyDescent="0.25">
      <c r="A328" s="660" t="b">
        <f t="shared" si="55"/>
        <v>0</v>
      </c>
      <c r="C328" s="35">
        <v>8</v>
      </c>
      <c r="D328" s="550" t="s">
        <v>2748</v>
      </c>
      <c r="E328" s="550">
        <v>10998</v>
      </c>
      <c r="F328" s="552" t="s">
        <v>2741</v>
      </c>
      <c r="G328" s="37" t="str">
        <f>IFERROR(VLOOKUP(E328,SINAPI!A:D,2,0),"")</f>
        <v xml:space="preserve">ELETRODO REVESTIDO AWS - E-6010, DIAMETRO IGUAL A 4,00 MM                                                                                                                                                                                                                                                                                                                                                                                                                                                 </v>
      </c>
      <c r="H328" s="578"/>
      <c r="I328" s="40" t="str">
        <f>IFERROR(VLOOKUP(E328,SINAPI!A:D,3,0),"")</f>
        <v xml:space="preserve">KG    </v>
      </c>
      <c r="J328" s="536">
        <v>1</v>
      </c>
      <c r="K328" s="40">
        <f>IFERROR(VLOOKUP(E328,SINAPI!A:D,4,0),"")</f>
        <v>41.61</v>
      </c>
      <c r="L328" s="580">
        <f t="shared" si="61"/>
        <v>41.61</v>
      </c>
      <c r="M328" s="264"/>
      <c r="N328" s="562"/>
      <c r="O328" s="562"/>
      <c r="P328" s="562"/>
      <c r="Q328" s="562"/>
    </row>
    <row r="329" spans="1:17" ht="15" hidden="1" customHeight="1" outlineLevel="1" x14ac:dyDescent="0.25">
      <c r="A329" s="660" t="b">
        <f t="shared" si="55"/>
        <v>0</v>
      </c>
      <c r="C329" s="35">
        <v>9</v>
      </c>
      <c r="D329" s="550" t="s">
        <v>2747</v>
      </c>
      <c r="E329" s="550">
        <v>91692</v>
      </c>
      <c r="F329" s="552" t="s">
        <v>2743</v>
      </c>
      <c r="G329" s="37" t="str">
        <f>IFERROR(VLOOKUP(E329,SINAPI!A:D,2,0),"")</f>
        <v>SERRA CIRCULAR DE BANCADA COM MOTOR ELÉTRICO POTÊNCIA DE 5HP, COM COIFA PARA DISCO 10" - CHP DIURNO. AF_08/2015</v>
      </c>
      <c r="H329" s="578"/>
      <c r="I329" s="40" t="str">
        <f>IFERROR(VLOOKUP(E329,SINAPI!A:D,3,0),"")</f>
        <v>CHP</v>
      </c>
      <c r="J329" s="536">
        <v>0.75</v>
      </c>
      <c r="K329" s="40">
        <f>IFERROR(VLOOKUP(E329,SINAPI!A:D,4,0),"")</f>
        <v>27.32</v>
      </c>
      <c r="L329" s="580">
        <f t="shared" si="61"/>
        <v>20.49</v>
      </c>
      <c r="M329" s="264"/>
      <c r="N329" s="562"/>
      <c r="O329" s="562"/>
      <c r="P329" s="562"/>
      <c r="Q329" s="562"/>
    </row>
    <row r="330" spans="1:17" ht="15" hidden="1" customHeight="1" outlineLevel="1" x14ac:dyDescent="0.25">
      <c r="A330" s="660" t="b">
        <f t="shared" si="55"/>
        <v>0</v>
      </c>
      <c r="C330" s="35">
        <v>10</v>
      </c>
      <c r="D330" s="550" t="s">
        <v>2747</v>
      </c>
      <c r="E330" s="550">
        <v>91693</v>
      </c>
      <c r="F330" s="552" t="s">
        <v>2744</v>
      </c>
      <c r="G330" s="37" t="str">
        <f>IFERROR(VLOOKUP(E330,SINAPI!A:D,2,0),"")</f>
        <v>SERRA CIRCULAR DE BANCADA COM MOTOR ELÉTRICO POTÊNCIA DE 5HP, COM COIFA PARA DISCO 10" - CHI DIURNO. AF_08/2015</v>
      </c>
      <c r="H330" s="578"/>
      <c r="I330" s="40" t="str">
        <f>IFERROR(VLOOKUP(E330,SINAPI!A:D,3,0),"")</f>
        <v>CHI</v>
      </c>
      <c r="J330" s="536">
        <v>0.75</v>
      </c>
      <c r="K330" s="40">
        <f>IFERROR(VLOOKUP(E330,SINAPI!A:D,4,0),"")</f>
        <v>26.3</v>
      </c>
      <c r="L330" s="580">
        <f t="shared" ref="L330:L331" si="62">IF(J330="","",ROUND(J330*K330,2))</f>
        <v>19.73</v>
      </c>
      <c r="M330" s="264"/>
      <c r="N330" s="562"/>
      <c r="O330" s="562"/>
      <c r="P330" s="562"/>
      <c r="Q330" s="562"/>
    </row>
    <row r="331" spans="1:17" ht="15" hidden="1" customHeight="1" outlineLevel="1" x14ac:dyDescent="0.25">
      <c r="A331" s="660" t="b">
        <f t="shared" si="55"/>
        <v>0</v>
      </c>
      <c r="C331" s="35">
        <v>11</v>
      </c>
      <c r="D331" s="550" t="s">
        <v>2747</v>
      </c>
      <c r="E331" s="550">
        <v>92716</v>
      </c>
      <c r="F331" s="552" t="s">
        <v>2745</v>
      </c>
      <c r="G331" s="37" t="str">
        <f>IFERROR(VLOOKUP(E331,SINAPI!A:D,2,0),"")</f>
        <v>APARELHO PARA CORTE E SOLDA OXI-ACETILENO SOBRE RODAS, INCLUSIVE CILINDROS E MAÇARICOS - CHP DIURNO. AF_12/2015</v>
      </c>
      <c r="H331" s="578"/>
      <c r="I331" s="40" t="str">
        <f>IFERROR(VLOOKUP(E331,SINAPI!A:D,3,0),"")</f>
        <v>CHP</v>
      </c>
      <c r="J331" s="536">
        <v>1</v>
      </c>
      <c r="K331" s="40">
        <f>IFERROR(VLOOKUP(E331,SINAPI!A:D,4,0),"")</f>
        <v>62.53</v>
      </c>
      <c r="L331" s="580">
        <f t="shared" si="62"/>
        <v>62.53</v>
      </c>
      <c r="M331" s="264"/>
      <c r="N331" s="562"/>
      <c r="O331" s="562"/>
      <c r="P331" s="562"/>
      <c r="Q331" s="562"/>
    </row>
    <row r="332" spans="1:17" ht="15" hidden="1" customHeight="1" outlineLevel="1" x14ac:dyDescent="0.25">
      <c r="A332" s="660" t="b">
        <f t="shared" si="55"/>
        <v>0</v>
      </c>
      <c r="C332" s="35">
        <v>12</v>
      </c>
      <c r="D332" s="550" t="s">
        <v>2747</v>
      </c>
      <c r="E332" s="550">
        <v>92717</v>
      </c>
      <c r="F332" s="552" t="s">
        <v>2746</v>
      </c>
      <c r="G332" s="37" t="str">
        <f>IFERROR(VLOOKUP(E332,SINAPI!A:D,2,0),"")</f>
        <v>APARELHO PARA CORTE E SOLDA OXI-ACETILENO SOBRE RODAS, INCLUSIVE CILINDROS E MAÇARICOS - CHI DIURNO. AF_12/2015</v>
      </c>
      <c r="H332" s="578"/>
      <c r="I332" s="40" t="str">
        <f>IFERROR(VLOOKUP(E332,SINAPI!A:D,3,0),"")</f>
        <v>CHI</v>
      </c>
      <c r="J332" s="536">
        <v>1.5</v>
      </c>
      <c r="K332" s="40">
        <f>IFERROR(VLOOKUP(E332,SINAPI!A:D,4,0),"")</f>
        <v>0.27</v>
      </c>
      <c r="L332" s="580">
        <f t="shared" si="61"/>
        <v>0.41</v>
      </c>
      <c r="M332" s="264"/>
      <c r="N332" s="562"/>
      <c r="O332" s="562"/>
      <c r="P332" s="562"/>
      <c r="Q332" s="562"/>
    </row>
    <row r="333" spans="1:17" ht="15" hidden="1" customHeight="1" outlineLevel="1" thickBot="1" x14ac:dyDescent="0.3">
      <c r="A333" s="660" t="b">
        <f t="shared" si="55"/>
        <v>0</v>
      </c>
      <c r="C333" s="230" t="s">
        <v>96</v>
      </c>
      <c r="D333" s="231"/>
      <c r="E333" s="231"/>
      <c r="F333" s="231"/>
      <c r="G333" s="231"/>
      <c r="H333" s="231"/>
      <c r="I333" s="231"/>
      <c r="J333" s="231"/>
      <c r="K333" s="232"/>
      <c r="L333" s="581">
        <f>SUM(L321:L332)</f>
        <v>379.21</v>
      </c>
      <c r="M333" s="261"/>
      <c r="N333" s="562" t="str">
        <f>C320</f>
        <v>COMP 35</v>
      </c>
      <c r="O333" s="582">
        <f>L333</f>
        <v>379.21</v>
      </c>
      <c r="P333" s="562"/>
      <c r="Q333" s="562"/>
    </row>
    <row r="334" spans="1:17" ht="15" hidden="1" customHeight="1" outlineLevel="1" x14ac:dyDescent="0.25">
      <c r="A334" s="699" t="b">
        <f>_xlfn.XOR(C334=$S$2,C334=$S$3,C334=$S$4,C334=$S$5,C334=$S$6,C334=$S$7,C334=$S$8,C334=$S$9,C334=$S$10,C334=$S$11,C334=$S$12,C334=$S$13,C334=$S$14,C334=$S$15,C334=$S$16,C334=$S$17,C334=$S$18,C334=$S$19,C334=$S$20,C334=$S$21,C334=$S$22,C334=$S$23,C334=$S$24,C334=$S$25,C334=$S$26,C334=$S$27,C334=$S$28,C334=$S$29,C334=$S$30,C334=$S$316,C334=$S$32,C334=$S$33,C334=$S$34,C334=$S$35,C334=$S$36,C334=$S$37,C334=$S$38,C334=$S$39,C334=$S$40,C334=$S$41,C334=$S$42,)</f>
        <v>0</v>
      </c>
      <c r="C334" s="569" t="s">
        <v>3174</v>
      </c>
      <c r="D334" s="570"/>
      <c r="E334" s="570" t="str">
        <f>IFERROR(VLOOKUP(C334,SINAPI!A:D,2,0),"")</f>
        <v>Imprimação com emulsão asfáltica de imprimação EAI</v>
      </c>
      <c r="F334" s="570"/>
      <c r="G334" s="217"/>
      <c r="H334" s="571"/>
      <c r="I334" s="572" t="s">
        <v>2603</v>
      </c>
      <c r="J334" s="573"/>
      <c r="K334" s="573" t="s">
        <v>2603</v>
      </c>
      <c r="L334" s="574" t="str">
        <f>IF(J334="","",ROUND(J334*#REF!,2))</f>
        <v/>
      </c>
      <c r="M334" s="575"/>
      <c r="N334" s="562"/>
      <c r="O334" s="562"/>
      <c r="P334" s="562"/>
      <c r="Q334" s="562"/>
    </row>
    <row r="335" spans="1:17" ht="15" hidden="1" customHeight="1" outlineLevel="1" x14ac:dyDescent="0.25">
      <c r="A335" s="660" t="b">
        <f t="shared" si="55"/>
        <v>0</v>
      </c>
      <c r="C335" s="35">
        <v>1</v>
      </c>
      <c r="D335" s="576" t="s">
        <v>2639</v>
      </c>
      <c r="E335" s="551">
        <v>5839</v>
      </c>
      <c r="F335" s="552" t="s">
        <v>3187</v>
      </c>
      <c r="G335" s="37" t="str">
        <f>IFERROR(VLOOKUP(E335,SINAPI!A:D,2,0),"")</f>
        <v>VASSOURA MECÂNICA REBOCÁVEL COM ESCOVA CILÍNDRICA, LARGURA ÚTIL DE VARRIMENTO DE 2,44 M - CHP DIURNO. AF_06/2014</v>
      </c>
      <c r="H335" s="578"/>
      <c r="I335" s="40" t="str">
        <f>IFERROR(VLOOKUP(E335,SINAPI!A:D,3,0),"")</f>
        <v>CHP</v>
      </c>
      <c r="J335" s="536">
        <v>1.6999999999999999E-3</v>
      </c>
      <c r="K335" s="40">
        <f>IFERROR(VLOOKUP(E335,SINAPI!A:D,4,0),"")</f>
        <v>11.18</v>
      </c>
      <c r="L335" s="580">
        <f>IF(J335="","",ROUND(J335*K335,2))</f>
        <v>0.02</v>
      </c>
      <c r="M335" s="264"/>
      <c r="N335" s="562"/>
      <c r="O335" s="562"/>
      <c r="P335" s="562"/>
      <c r="Q335" s="562"/>
    </row>
    <row r="336" spans="1:17" ht="15" hidden="1" customHeight="1" outlineLevel="1" x14ac:dyDescent="0.25">
      <c r="A336" s="660" t="b">
        <f t="shared" si="55"/>
        <v>0</v>
      </c>
      <c r="C336" s="35">
        <v>2</v>
      </c>
      <c r="D336" s="550" t="s">
        <v>3188</v>
      </c>
      <c r="E336" s="551" t="s">
        <v>3176</v>
      </c>
      <c r="F336" s="552" t="str">
        <f>G336</f>
        <v>Emulsão asfáltica para serviço de imprimação</v>
      </c>
      <c r="G336" s="37" t="str">
        <f>IFERROR(VLOOKUP(E336,SINAPI!A:D,2,0),"")</f>
        <v>Emulsão asfáltica para serviço de imprimação</v>
      </c>
      <c r="H336" s="578"/>
      <c r="I336" s="40" t="str">
        <f>IFERROR(VLOOKUP(E336,SINAPI!A:D,3,0),"")</f>
        <v>t</v>
      </c>
      <c r="J336" s="536">
        <v>1.3</v>
      </c>
      <c r="K336" s="40">
        <f>IFERROR(VLOOKUP(E336,SINAPI!A:D,4,0),"")</f>
        <v>3625.95</v>
      </c>
      <c r="L336" s="580">
        <f t="shared" ref="L336:L341" si="63">IF(J336="","",ROUND(J336*K336,2))</f>
        <v>4713.74</v>
      </c>
      <c r="M336" s="264"/>
      <c r="N336" s="562"/>
      <c r="O336" s="562"/>
      <c r="P336" s="562"/>
      <c r="Q336" s="562"/>
    </row>
    <row r="337" spans="1:17" ht="15" hidden="1" customHeight="1" outlineLevel="1" x14ac:dyDescent="0.25">
      <c r="A337" s="660" t="b">
        <f t="shared" si="55"/>
        <v>0</v>
      </c>
      <c r="C337" s="35">
        <v>3</v>
      </c>
      <c r="D337" s="576" t="s">
        <v>2639</v>
      </c>
      <c r="E337" s="551">
        <v>83362</v>
      </c>
      <c r="F337" s="552" t="s">
        <v>3189</v>
      </c>
      <c r="G337" s="37" t="str">
        <f>IFERROR(VLOOKUP(E337,SINAPI!A:D,2,0),"")</f>
        <v>ESPARGIDOR DE ASFALTO PRESSURIZADO, TANQUE 6 M3 COM ISOLAÇÃO TÉRMICA, AQUECIDO COM 2 MAÇARICOS, COM BARRA ESPARGIDORA 3,60 M, MONTADO SOBRE CAMINHÃO  TOCO, PBT 14.300 KG, POTÊNCIA 185 CV - CHP DIURNO. AF_08/2015</v>
      </c>
      <c r="H337" s="578"/>
      <c r="I337" s="40" t="str">
        <f>IFERROR(VLOOKUP(E337,SINAPI!A:D,3,0),"")</f>
        <v>CHP</v>
      </c>
      <c r="J337" s="536">
        <v>4.0000000000000002E-4</v>
      </c>
      <c r="K337" s="40">
        <f>IFERROR(VLOOKUP(E337,SINAPI!A:D,4,0),"")</f>
        <v>269.83999999999997</v>
      </c>
      <c r="L337" s="580">
        <f t="shared" si="63"/>
        <v>0.11</v>
      </c>
      <c r="M337" s="264"/>
      <c r="N337" s="562"/>
      <c r="O337" s="562"/>
      <c r="P337" s="562"/>
      <c r="Q337" s="562"/>
    </row>
    <row r="338" spans="1:17" ht="15" hidden="1" customHeight="1" outlineLevel="1" x14ac:dyDescent="0.25">
      <c r="A338" s="660" t="b">
        <f t="shared" ref="A338:A400" si="64">A337</f>
        <v>0</v>
      </c>
      <c r="C338" s="35">
        <v>4</v>
      </c>
      <c r="D338" s="576" t="s">
        <v>2639</v>
      </c>
      <c r="E338" s="551">
        <v>88316</v>
      </c>
      <c r="F338" s="552" t="s">
        <v>2740</v>
      </c>
      <c r="G338" s="37" t="str">
        <f>IFERROR(VLOOKUP(E338,SINAPI!A:D,2,0),"")</f>
        <v>SERVENTE COM ENCARGOS COMPLEMENTARES</v>
      </c>
      <c r="H338" s="578"/>
      <c r="I338" s="40" t="str">
        <f>IFERROR(VLOOKUP(E338,SINAPI!A:D,3,0),"")</f>
        <v>H</v>
      </c>
      <c r="J338" s="536">
        <v>1.1000000000000001E-3</v>
      </c>
      <c r="K338" s="40">
        <f>IFERROR(VLOOKUP(E338,SINAPI!A:D,4,0),"")</f>
        <v>20.82</v>
      </c>
      <c r="L338" s="580">
        <f t="shared" si="63"/>
        <v>0.02</v>
      </c>
      <c r="M338" s="264"/>
      <c r="N338" s="562"/>
      <c r="O338" s="562"/>
      <c r="P338" s="562"/>
      <c r="Q338" s="562"/>
    </row>
    <row r="339" spans="1:17" ht="15" hidden="1" customHeight="1" outlineLevel="1" x14ac:dyDescent="0.25">
      <c r="A339" s="660" t="b">
        <f t="shared" si="64"/>
        <v>0</v>
      </c>
      <c r="C339" s="35">
        <v>5</v>
      </c>
      <c r="D339" s="576" t="s">
        <v>2639</v>
      </c>
      <c r="E339" s="551">
        <v>89035</v>
      </c>
      <c r="F339" s="552" t="s">
        <v>3190</v>
      </c>
      <c r="G339" s="37" t="str">
        <f>IFERROR(VLOOKUP(E339,SINAPI!A:D,2,0),"")</f>
        <v>TRATOR DE PNEUS, POTÊNCIA 85 CV, TRAÇÃO 4X4, PESO COM LASTRO DE 4.675 KG - CHP DIURNO. AF_06/2014</v>
      </c>
      <c r="H339" s="578"/>
      <c r="I339" s="40" t="str">
        <f>IFERROR(VLOOKUP(E339,SINAPI!A:D,3,0),"")</f>
        <v>CHP</v>
      </c>
      <c r="J339" s="536">
        <v>1.6999999999999999E-3</v>
      </c>
      <c r="K339" s="40">
        <f>IFERROR(VLOOKUP(E339,SINAPI!A:D,4,0),"")</f>
        <v>136.61000000000001</v>
      </c>
      <c r="L339" s="580">
        <f t="shared" si="63"/>
        <v>0.23</v>
      </c>
      <c r="M339" s="264"/>
      <c r="N339" s="562"/>
      <c r="O339" s="562"/>
      <c r="P339" s="562"/>
      <c r="Q339" s="562"/>
    </row>
    <row r="340" spans="1:17" ht="15" hidden="1" customHeight="1" outlineLevel="1" x14ac:dyDescent="0.25">
      <c r="A340" s="660" t="b">
        <f t="shared" si="64"/>
        <v>0</v>
      </c>
      <c r="C340" s="35">
        <v>6</v>
      </c>
      <c r="D340" s="576" t="s">
        <v>2639</v>
      </c>
      <c r="E340" s="551">
        <v>89036</v>
      </c>
      <c r="F340" s="552" t="s">
        <v>3191</v>
      </c>
      <c r="G340" s="37" t="str">
        <f>IFERROR(VLOOKUP(E340,SINAPI!A:D,2,0),"")</f>
        <v>TRATOR DE PNEUS, POTÊNCIA 85 CV, TRAÇÃO 4X4, PESO COM LASTRO DE 4.675 KG - CHI DIURNO. AF_06/2014</v>
      </c>
      <c r="H340" s="578"/>
      <c r="I340" s="40" t="str">
        <f>IFERROR(VLOOKUP(E340,SINAPI!A:D,3,0),"")</f>
        <v>CHI</v>
      </c>
      <c r="J340" s="536">
        <v>5.9999999999999995E-4</v>
      </c>
      <c r="K340" s="40">
        <f>IFERROR(VLOOKUP(E340,SINAPI!A:D,4,0),"")</f>
        <v>44.44</v>
      </c>
      <c r="L340" s="580">
        <f t="shared" si="63"/>
        <v>0.03</v>
      </c>
      <c r="M340" s="264"/>
      <c r="N340" s="562"/>
      <c r="O340" s="562"/>
      <c r="P340" s="562"/>
      <c r="Q340" s="562"/>
    </row>
    <row r="341" spans="1:17" ht="15" hidden="1" customHeight="1" outlineLevel="1" x14ac:dyDescent="0.25">
      <c r="A341" s="660" t="b">
        <f t="shared" si="64"/>
        <v>0</v>
      </c>
      <c r="C341" s="35">
        <v>7</v>
      </c>
      <c r="D341" s="576" t="s">
        <v>2639</v>
      </c>
      <c r="E341" s="551">
        <v>91486</v>
      </c>
      <c r="F341" s="552" t="s">
        <v>3192</v>
      </c>
      <c r="G341" s="37" t="str">
        <f>IFERROR(VLOOKUP(E341,SINAPI!A:D,2,0),"")</f>
        <v>ESPARGIDOR DE ASFALTO PRESSURIZADO, TANQUE 6 M3 COM ISOLAÇÃO TÉRMICA, AQUECIDO COM 2 MAÇARICOS, COM BARRA ESPARGIDORA 3,60 M, MONTADO SOBRE CAMINHÃO  TOCO, PBT 14.300 KG, POTÊNCIA 185 CV - CHI DIURNO. AF_08/2015</v>
      </c>
      <c r="H341" s="578"/>
      <c r="I341" s="40" t="str">
        <f>IFERROR(VLOOKUP(E341,SINAPI!A:D,3,0),"")</f>
        <v>CHI</v>
      </c>
      <c r="J341" s="536">
        <v>6.9999999999999999E-4</v>
      </c>
      <c r="K341" s="40">
        <f>IFERROR(VLOOKUP(E341,SINAPI!A:D,4,0),"")</f>
        <v>55.49</v>
      </c>
      <c r="L341" s="580">
        <f t="shared" si="63"/>
        <v>0.04</v>
      </c>
      <c r="M341" s="264"/>
      <c r="N341" s="562"/>
      <c r="O341" s="562"/>
      <c r="P341" s="562"/>
      <c r="Q341" s="562"/>
    </row>
    <row r="342" spans="1:17" ht="15" hidden="1" customHeight="1" outlineLevel="1" thickBot="1" x14ac:dyDescent="0.3">
      <c r="A342" s="660" t="b">
        <f t="shared" si="64"/>
        <v>0</v>
      </c>
      <c r="C342" s="230" t="s">
        <v>96</v>
      </c>
      <c r="D342" s="231"/>
      <c r="E342" s="231"/>
      <c r="F342" s="231"/>
      <c r="G342" s="231"/>
      <c r="H342" s="231"/>
      <c r="I342" s="231"/>
      <c r="J342" s="231"/>
      <c r="K342" s="232"/>
      <c r="L342" s="581">
        <f>SUM(L335:L341)</f>
        <v>4714.1899999999996</v>
      </c>
      <c r="M342" s="261"/>
      <c r="N342" s="562" t="str">
        <f>C334</f>
        <v>COMP 36</v>
      </c>
      <c r="O342" s="582">
        <f>L342</f>
        <v>4714.1899999999996</v>
      </c>
      <c r="P342" s="562"/>
      <c r="Q342" s="562"/>
    </row>
    <row r="343" spans="1:17" ht="15" hidden="1" customHeight="1" outlineLevel="1" x14ac:dyDescent="0.25">
      <c r="A343" s="699" t="b">
        <f>_xlfn.XOR(C343=$S$2,C343=$S$3,C343=$S$4,C343=$S$5,C343=$S$6,C343=$S$7,C343=$S$8,C343=$S$9,C343=$S$10,C343=$S$11,C343=$S$12,C343=$S$13,C343=$S$14,C343=$S$15,C343=$S$16,C343=$S$17,C343=$S$18,C343=$S$19,C343=$S$20,C343=$S$21,C343=$S$22,C343=$S$23,C343=$S$24,C343=$S$25,C343=$S$26,C343=$S$27,C343=$S$28,C343=$S$29,C343=$S$30,C343=$S$316,C343=$S$32,C343=$S$33,C343=$S$34,C343=$S$35,C343=$S$36,C343=$S$37,C343=$S$38,C343=$S$39,C343=$S$40,C343=$S$41,C343=$S$42,)</f>
        <v>0</v>
      </c>
      <c r="C343" s="569" t="s">
        <v>3177</v>
      </c>
      <c r="D343" s="570"/>
      <c r="E343" s="570" t="str">
        <f>IFERROR(VLOOKUP(C343,SINAPI!A:D,2,0),"")</f>
        <v>Mudança de boca de lobo para PV</v>
      </c>
      <c r="F343" s="570"/>
      <c r="G343" s="217"/>
      <c r="H343" s="571"/>
      <c r="I343" s="572" t="s">
        <v>2603</v>
      </c>
      <c r="J343" s="573"/>
      <c r="K343" s="573" t="s">
        <v>2603</v>
      </c>
      <c r="L343" s="574" t="str">
        <f>IF(J343="","",ROUND(J343*#REF!,2))</f>
        <v/>
      </c>
      <c r="M343" s="575"/>
      <c r="N343" s="562"/>
      <c r="O343" s="562"/>
      <c r="P343" s="562"/>
      <c r="Q343" s="562"/>
    </row>
    <row r="344" spans="1:17" ht="15" hidden="1" customHeight="1" outlineLevel="1" x14ac:dyDescent="0.25">
      <c r="A344" s="660" t="b">
        <f t="shared" si="64"/>
        <v>0</v>
      </c>
      <c r="C344" s="35">
        <v>1</v>
      </c>
      <c r="D344" s="576" t="s">
        <v>17</v>
      </c>
      <c r="E344" s="576" t="s">
        <v>4593</v>
      </c>
      <c r="F344" s="552" t="s">
        <v>2699</v>
      </c>
      <c r="G344" s="37" t="str">
        <f>IFERROR(VLOOKUP(E344,SINAPI!A:D,2,0),"")</f>
        <v>Alvenaria de tijolos maciços</v>
      </c>
      <c r="H344" s="578"/>
      <c r="I344" s="40" t="str">
        <f>IFERROR(VLOOKUP(E344,SINAPI!A:D,3,0),"")</f>
        <v>m²</v>
      </c>
      <c r="J344" s="536">
        <f>J314*0.3</f>
        <v>0.06</v>
      </c>
      <c r="K344" s="40">
        <f>IFERROR(VLOOKUP(E344,SINAPI!A:D,4,0),"")</f>
        <v>256.19</v>
      </c>
      <c r="L344" s="580">
        <f>IF(J344="","",ROUND(J344*K344,2))</f>
        <v>15.37</v>
      </c>
      <c r="M344" s="264"/>
      <c r="N344" s="562"/>
      <c r="O344" s="562"/>
      <c r="P344" s="562"/>
      <c r="Q344" s="562"/>
    </row>
    <row r="345" spans="1:17" ht="15" hidden="1" customHeight="1" outlineLevel="1" x14ac:dyDescent="0.25">
      <c r="A345" s="660" t="b">
        <f t="shared" si="64"/>
        <v>0</v>
      </c>
      <c r="C345" s="35">
        <v>2</v>
      </c>
      <c r="D345" s="550" t="s">
        <v>2747</v>
      </c>
      <c r="E345" s="550">
        <v>94970</v>
      </c>
      <c r="F345" s="552" t="s">
        <v>3221</v>
      </c>
      <c r="G345" s="37" t="str">
        <f>IFERROR(VLOOKUP(E345,SINAPI!A:D,2,0),"")</f>
        <v>CONCRETO FCK = 20MPA, TRAÇO 1:2,7:3 (EM MASSA SECA DE CIMENTO/ AREIA MÉDIA/ BRITA 1) - PREPARO MECÂNICO COM BETONEIRA 600 L. AF_05/2021</v>
      </c>
      <c r="H345" s="578"/>
      <c r="I345" s="40" t="str">
        <f>IFERROR(VLOOKUP(E345,SINAPI!A:D,3,0),"")</f>
        <v>M3</v>
      </c>
      <c r="J345" s="536">
        <f>J297</f>
        <v>0.05</v>
      </c>
      <c r="K345" s="40">
        <f>IFERROR(VLOOKUP(E345,SINAPI!A:D,4,0),"")</f>
        <v>493.89</v>
      </c>
      <c r="L345" s="580">
        <f t="shared" ref="L345:L352" si="65">IF(J345="","",ROUND(J345*K345,2))</f>
        <v>24.69</v>
      </c>
      <c r="M345" s="264"/>
      <c r="N345" s="562"/>
      <c r="O345" s="562"/>
      <c r="P345" s="562"/>
      <c r="Q345" s="562"/>
    </row>
    <row r="346" spans="1:17" ht="15" hidden="1" customHeight="1" outlineLevel="1" x14ac:dyDescent="0.25">
      <c r="A346" s="660" t="b">
        <f t="shared" si="64"/>
        <v>0</v>
      </c>
      <c r="C346" s="35">
        <v>3</v>
      </c>
      <c r="D346" s="550" t="s">
        <v>2747</v>
      </c>
      <c r="E346" s="550">
        <v>96536</v>
      </c>
      <c r="F346" s="552" t="s">
        <v>2703</v>
      </c>
      <c r="G346" s="37" t="str">
        <f>IFERROR(VLOOKUP(E346,SINAPI!A:D,2,0),"")</f>
        <v>FABRICAÇÃO, MONTAGEM E DESMONTAGEM DE FÔRMA PARA VIGA BALDRAME, EM MADEIRA SERRADA, E=25 MM, 4 UTILIZAÇÕES. AF_06/2017</v>
      </c>
      <c r="H346" s="578"/>
      <c r="I346" s="40" t="str">
        <f>IFERROR(VLOOKUP(E346,SINAPI!A:D,3,0),"")</f>
        <v>M2</v>
      </c>
      <c r="J346" s="536">
        <f>J345</f>
        <v>0.05</v>
      </c>
      <c r="K346" s="40">
        <f>IFERROR(VLOOKUP(E346,SINAPI!A:D,4,0),"")</f>
        <v>91.89</v>
      </c>
      <c r="L346" s="580">
        <f t="shared" si="65"/>
        <v>4.59</v>
      </c>
      <c r="M346" s="264"/>
      <c r="N346" s="562"/>
      <c r="O346" s="562"/>
      <c r="P346" s="562"/>
      <c r="Q346" s="562"/>
    </row>
    <row r="347" spans="1:17" ht="15" hidden="1" customHeight="1" outlineLevel="1" x14ac:dyDescent="0.25">
      <c r="A347" s="660" t="b">
        <f t="shared" si="64"/>
        <v>0</v>
      </c>
      <c r="C347" s="35">
        <v>4</v>
      </c>
      <c r="D347" s="1567" t="s">
        <v>2639</v>
      </c>
      <c r="E347" s="1567">
        <v>407819</v>
      </c>
      <c r="F347" s="552" t="s">
        <v>2704</v>
      </c>
      <c r="G347" s="37" t="str">
        <f>IFERROR(VLOOKUP(E347,SINAPI!A:D,2,0),"")</f>
        <v>Armação em aço CA-50 - fornecimento, preparo e colocação</v>
      </c>
      <c r="H347" s="578"/>
      <c r="I347" s="40" t="str">
        <f>IFERROR(VLOOKUP(E347,SINAPI!A:D,3,0),"")</f>
        <v>kg</v>
      </c>
      <c r="J347" s="536">
        <f>J299</f>
        <v>8</v>
      </c>
      <c r="K347" s="40">
        <f>IFERROR(VLOOKUP(E347,SINAPI!A:D,4,0),"")</f>
        <v>14.15</v>
      </c>
      <c r="L347" s="580">
        <f t="shared" si="65"/>
        <v>113.2</v>
      </c>
      <c r="M347" s="264"/>
      <c r="N347" s="562"/>
      <c r="O347" s="562"/>
      <c r="P347" s="562"/>
      <c r="Q347" s="562"/>
    </row>
    <row r="348" spans="1:17" ht="15" hidden="1" customHeight="1" outlineLevel="1" x14ac:dyDescent="0.25">
      <c r="A348" s="660" t="b">
        <f t="shared" si="64"/>
        <v>0</v>
      </c>
      <c r="C348" s="35">
        <v>5</v>
      </c>
      <c r="D348" s="550" t="s">
        <v>2747</v>
      </c>
      <c r="E348" s="550">
        <v>87327</v>
      </c>
      <c r="F348" s="552" t="s">
        <v>2705</v>
      </c>
      <c r="G348" s="37" t="str">
        <f>IFERROR(VLOOKUP(E348,SINAPI!A:D,2,0),"")</f>
        <v>ARGAMASSA TRAÇO 1:7 (EM VOLUME DE CIMENTO E AREIA MÉDIA ÚMIDA) COM ADIÇÃO DE PLASTIFICANTE PARA EMBOÇO/MASSA ÚNICA/ASSENTAMENTO DE ALVENARIA DE VEDAÇÃO, PREPARO MECÂNICO COM MISTURADOR DE EIXO HORIZONTAL DE 300 KG. AF_08/2019</v>
      </c>
      <c r="H348" s="578"/>
      <c r="I348" s="40" t="str">
        <f>IFERROR(VLOOKUP(E348,SINAPI!A:D,3,0),"")</f>
        <v>M3</v>
      </c>
      <c r="J348" s="536">
        <f t="shared" ref="J348" si="66">J300*0.3</f>
        <v>1.8</v>
      </c>
      <c r="K348" s="40">
        <f>IFERROR(VLOOKUP(E348,SINAPI!A:D,4,0),"")</f>
        <v>503.88</v>
      </c>
      <c r="L348" s="580">
        <f t="shared" si="65"/>
        <v>906.98</v>
      </c>
      <c r="M348" s="264"/>
      <c r="N348" s="562"/>
      <c r="O348" s="562"/>
      <c r="P348" s="562"/>
      <c r="Q348" s="562"/>
    </row>
    <row r="349" spans="1:17" ht="15" hidden="1" customHeight="1" outlineLevel="1" x14ac:dyDescent="0.25">
      <c r="A349" s="660" t="b">
        <f t="shared" si="64"/>
        <v>0</v>
      </c>
      <c r="C349" s="35">
        <v>6</v>
      </c>
      <c r="D349" s="550" t="s">
        <v>2747</v>
      </c>
      <c r="E349" s="550">
        <v>87327</v>
      </c>
      <c r="F349" s="552" t="s">
        <v>2706</v>
      </c>
      <c r="G349" s="37" t="str">
        <f>IFERROR(VLOOKUP(E349,SINAPI!A:D,2,0),"")</f>
        <v>ARGAMASSA TRAÇO 1:7 (EM VOLUME DE CIMENTO E AREIA MÉDIA ÚMIDA) COM ADIÇÃO DE PLASTIFICANTE PARA EMBOÇO/MASSA ÚNICA/ASSENTAMENTO DE ALVENARIA DE VEDAÇÃO, PREPARO MECÂNICO COM MISTURADOR DE EIXO HORIZONTAL DE 300 KG. AF_08/2019</v>
      </c>
      <c r="H349" s="578"/>
      <c r="I349" s="40" t="str">
        <f>IFERROR(VLOOKUP(E349,SINAPI!A:D,3,0),"")</f>
        <v>M3</v>
      </c>
      <c r="J349" s="536">
        <f>J74</f>
        <v>8.0000000000000002E-3</v>
      </c>
      <c r="K349" s="40">
        <f>IFERROR(VLOOKUP(E349,SINAPI!A:D,4,0),"")</f>
        <v>503.88</v>
      </c>
      <c r="L349" s="580">
        <f t="shared" si="65"/>
        <v>4.03</v>
      </c>
      <c r="M349" s="264"/>
      <c r="N349" s="562"/>
      <c r="O349" s="562"/>
      <c r="P349" s="562"/>
      <c r="Q349" s="562"/>
    </row>
    <row r="350" spans="1:17" ht="15" hidden="1" customHeight="1" outlineLevel="1" x14ac:dyDescent="0.25">
      <c r="A350" s="660" t="b">
        <f t="shared" si="64"/>
        <v>0</v>
      </c>
      <c r="C350" s="35">
        <v>7</v>
      </c>
      <c r="D350" s="550" t="s">
        <v>2747</v>
      </c>
      <c r="E350" s="550">
        <v>98114</v>
      </c>
      <c r="F350" s="552" t="s">
        <v>2749</v>
      </c>
      <c r="G350" s="37" t="str">
        <f>IFERROR(VLOOKUP(E350,SINAPI!A:D,2,0),"")</f>
        <v>TAMPA CIRCULAR PARA ESGOTO E DRENAGEM, EM FERRO FUNDIDO, DIÂMETRO INTERNO = 0,6 M. AF_12/2020</v>
      </c>
      <c r="H350" s="578"/>
      <c r="I350" s="40" t="str">
        <f>IFERROR(VLOOKUP(E350,SINAPI!A:D,3,0),"")</f>
        <v>UN</v>
      </c>
      <c r="J350" s="536">
        <f>J75</f>
        <v>1</v>
      </c>
      <c r="K350" s="40">
        <f>IFERROR(VLOOKUP(E350,SINAPI!A:D,4,0),"")</f>
        <v>722.56</v>
      </c>
      <c r="L350" s="580">
        <f t="shared" si="65"/>
        <v>722.56</v>
      </c>
      <c r="M350" s="264"/>
      <c r="N350" s="562"/>
      <c r="O350" s="562"/>
      <c r="P350" s="562"/>
      <c r="Q350" s="562"/>
    </row>
    <row r="351" spans="1:17" ht="15" hidden="1" customHeight="1" outlineLevel="1" x14ac:dyDescent="0.25">
      <c r="A351" s="660" t="b">
        <f t="shared" si="64"/>
        <v>0</v>
      </c>
      <c r="C351" s="35">
        <v>8</v>
      </c>
      <c r="D351" s="550" t="s">
        <v>2747</v>
      </c>
      <c r="E351" s="550">
        <v>88316</v>
      </c>
      <c r="F351" s="552" t="s">
        <v>2740</v>
      </c>
      <c r="G351" s="37" t="str">
        <f>IFERROR(VLOOKUP(E351,SINAPI!A:D,2,0),"")</f>
        <v>SERVENTE COM ENCARGOS COMPLEMENTARES</v>
      </c>
      <c r="H351" s="578"/>
      <c r="I351" s="40" t="str">
        <f>IFERROR(VLOOKUP(E351,SINAPI!A:D,3,0),"")</f>
        <v>H</v>
      </c>
      <c r="J351" s="536">
        <v>2</v>
      </c>
      <c r="K351" s="40">
        <f>IFERROR(VLOOKUP(E351,SINAPI!A:D,4,0),"")</f>
        <v>20.82</v>
      </c>
      <c r="L351" s="580">
        <f t="shared" si="65"/>
        <v>41.64</v>
      </c>
      <c r="M351" s="264"/>
      <c r="N351" s="562"/>
      <c r="O351" s="562"/>
      <c r="P351" s="562"/>
      <c r="Q351" s="562"/>
    </row>
    <row r="352" spans="1:17" ht="15" hidden="1" customHeight="1" outlineLevel="1" x14ac:dyDescent="0.25">
      <c r="A352" s="660" t="b">
        <f t="shared" si="64"/>
        <v>0</v>
      </c>
      <c r="C352" s="35">
        <v>9</v>
      </c>
      <c r="D352" s="550" t="s">
        <v>2747</v>
      </c>
      <c r="E352" s="550">
        <v>88309</v>
      </c>
      <c r="F352" s="552" t="s">
        <v>2751</v>
      </c>
      <c r="G352" s="37" t="str">
        <f>IFERROR(VLOOKUP(E352,SINAPI!A:D,2,0),"")</f>
        <v>PEDREIRO COM ENCARGOS COMPLEMENTARES</v>
      </c>
      <c r="H352" s="578"/>
      <c r="I352" s="40" t="str">
        <f>IFERROR(VLOOKUP(E352,SINAPI!A:D,3,0),"")</f>
        <v>H</v>
      </c>
      <c r="J352" s="536">
        <v>2</v>
      </c>
      <c r="K352" s="40">
        <f>IFERROR(VLOOKUP(E352,SINAPI!A:D,4,0),"")</f>
        <v>30.44</v>
      </c>
      <c r="L352" s="580">
        <f t="shared" si="65"/>
        <v>60.88</v>
      </c>
      <c r="M352" s="264"/>
      <c r="N352" s="562"/>
      <c r="O352" s="562"/>
      <c r="P352" s="562"/>
      <c r="Q352" s="562"/>
    </row>
    <row r="353" spans="1:17" ht="15" hidden="1" customHeight="1" outlineLevel="1" x14ac:dyDescent="0.25">
      <c r="A353" s="660" t="b">
        <f t="shared" si="64"/>
        <v>0</v>
      </c>
      <c r="C353" s="35">
        <v>10</v>
      </c>
      <c r="D353" s="550" t="s">
        <v>2747</v>
      </c>
      <c r="E353" s="550">
        <v>103670</v>
      </c>
      <c r="F353" s="552" t="s">
        <v>2761</v>
      </c>
      <c r="G353" s="37" t="str">
        <f>IFERROR(VLOOKUP(E353,SINAPI!A:D,2,0),"")</f>
        <v>LANÇAMENTO COM USO DE BALDES, ADENSAMENTO E ACABAMENTO DE CONCRETO EM ESTRUTURAS. AF_02/2022</v>
      </c>
      <c r="H353" s="578"/>
      <c r="I353" s="40" t="str">
        <f>IFERROR(VLOOKUP(E353,SINAPI!A:D,3,0),"")</f>
        <v>M3</v>
      </c>
      <c r="J353" s="536">
        <f>J345</f>
        <v>0.05</v>
      </c>
      <c r="K353" s="40">
        <f>IFERROR(VLOOKUP(E353,SINAPI!A:D,4,0),"")</f>
        <v>301.64</v>
      </c>
      <c r="L353" s="580">
        <f t="shared" ref="L353" si="67">IF(J353="","",ROUND(J353*K353,2))</f>
        <v>15.08</v>
      </c>
      <c r="M353" s="264"/>
      <c r="N353" s="562"/>
      <c r="O353" s="562"/>
      <c r="P353" s="562"/>
      <c r="Q353" s="562"/>
    </row>
    <row r="354" spans="1:17" ht="15" hidden="1" customHeight="1" outlineLevel="1" thickBot="1" x14ac:dyDescent="0.3">
      <c r="A354" s="660" t="b">
        <f t="shared" si="64"/>
        <v>0</v>
      </c>
      <c r="C354" s="230" t="s">
        <v>96</v>
      </c>
      <c r="D354" s="231"/>
      <c r="E354" s="231"/>
      <c r="F354" s="231"/>
      <c r="G354" s="231"/>
      <c r="H354" s="231"/>
      <c r="I354" s="231"/>
      <c r="J354" s="231"/>
      <c r="K354" s="232"/>
      <c r="L354" s="581">
        <f>SUM(L344:L353)</f>
        <v>1909.02</v>
      </c>
      <c r="M354" s="261"/>
      <c r="N354" s="562" t="str">
        <f>C343</f>
        <v>COMP 37</v>
      </c>
      <c r="O354" s="582">
        <f>L354</f>
        <v>1909.02</v>
      </c>
      <c r="P354" s="562"/>
      <c r="Q354" s="562"/>
    </row>
    <row r="355" spans="1:17" ht="15" hidden="1" customHeight="1" outlineLevel="1" x14ac:dyDescent="0.25">
      <c r="A355" s="699" t="b">
        <f>_xlfn.XOR(C355=$S$2,C355=$S$3,C355=$S$4,C355=$S$5,C355=$S$6,C355=$S$7,C355=$S$8,C355=$S$9,C355=$S$10,C355=$S$11,C355=$S$12,C355=$S$13,C355=$S$14,C355=$S$15,C355=$S$16,C355=$S$17,C355=$S$18,C355=$S$19,C355=$S$20,C355=$S$21,C355=$S$22,C355=$S$23,C355=$S$24,C355=$S$25,C355=$S$26,C355=$S$27,C355=$S$28,C355=$S$29,C355=$S$30,C355=$S$316,C355=$S$32,C355=$S$33,C355=$S$34,C355=$S$35,C355=$S$36,C355=$S$37,C355=$S$38,C355=$S$39,C355=$S$40,C355=$S$41,C355=$S$42,)</f>
        <v>0</v>
      </c>
      <c r="C355" s="569" t="s">
        <v>3229</v>
      </c>
      <c r="D355" s="570"/>
      <c r="E355" s="570" t="str">
        <f>IFERROR(VLOOKUP(C355,SINAPI!A:D,2,0),"")</f>
        <v>Ensaio de controle tecnológico da mistura asfáltica - Ensaio Marshall</v>
      </c>
      <c r="F355" s="570"/>
      <c r="G355" s="217"/>
      <c r="H355" s="571"/>
      <c r="I355" s="572" t="s">
        <v>2603</v>
      </c>
      <c r="J355" s="573"/>
      <c r="K355" s="573" t="s">
        <v>2603</v>
      </c>
      <c r="L355" s="574" t="str">
        <f>IF(J355="","",ROUND(J355*#REF!,2))</f>
        <v/>
      </c>
      <c r="M355" s="575"/>
      <c r="N355" s="562"/>
      <c r="O355" s="562"/>
      <c r="P355" s="562"/>
      <c r="Q355" s="562"/>
    </row>
    <row r="356" spans="1:17" ht="15" hidden="1" customHeight="1" outlineLevel="1" x14ac:dyDescent="0.25">
      <c r="A356" s="660" t="b">
        <f t="shared" si="64"/>
        <v>0</v>
      </c>
      <c r="C356" s="35">
        <v>1</v>
      </c>
      <c r="D356" s="550" t="s">
        <v>2747</v>
      </c>
      <c r="E356" s="551">
        <v>88249</v>
      </c>
      <c r="F356" s="552" t="str">
        <f>G356</f>
        <v>AUXILIAR DE LABORATÓRIO COM ENCARGOS COMPLEMENTARES</v>
      </c>
      <c r="G356" s="37" t="str">
        <f>IFERROR(VLOOKUP(E356,SINAPI!A:D,2,0),"")</f>
        <v>AUXILIAR DE LABORATÓRIO COM ENCARGOS COMPLEMENTARES</v>
      </c>
      <c r="H356" s="578"/>
      <c r="I356" s="40" t="str">
        <f>IFERROR(VLOOKUP(E356,SINAPI!A:D,3,0),"")</f>
        <v>H</v>
      </c>
      <c r="J356" s="536">
        <v>7</v>
      </c>
      <c r="K356" s="40">
        <f>IFERROR(VLOOKUP(E356,SINAPI!A:D,4,0),"")</f>
        <v>33.85</v>
      </c>
      <c r="L356" s="580">
        <f>IF(J356="","",ROUND(J356*K356,2))</f>
        <v>236.95</v>
      </c>
      <c r="M356" s="264"/>
      <c r="N356" s="562"/>
      <c r="O356" s="562"/>
      <c r="P356" s="562"/>
      <c r="Q356" s="562"/>
    </row>
    <row r="357" spans="1:17" ht="15" hidden="1" customHeight="1" outlineLevel="1" x14ac:dyDescent="0.25">
      <c r="A357" s="660" t="b">
        <f t="shared" si="64"/>
        <v>0</v>
      </c>
      <c r="C357" s="35">
        <v>2</v>
      </c>
      <c r="D357" s="550" t="s">
        <v>2747</v>
      </c>
      <c r="E357" s="551">
        <v>88321</v>
      </c>
      <c r="F357" s="552" t="str">
        <f>G357</f>
        <v>TÉCNICO DE LABORATÓRIO COM ENCARGOS COMPLEMENTARES</v>
      </c>
      <c r="G357" s="37" t="str">
        <f>IFERROR(VLOOKUP(E357,SINAPI!A:D,2,0),"")</f>
        <v>TÉCNICO DE LABORATÓRIO COM ENCARGOS COMPLEMENTARES</v>
      </c>
      <c r="H357" s="578"/>
      <c r="I357" s="40" t="str">
        <f>IFERROR(VLOOKUP(E357,SINAPI!A:D,3,0),"")</f>
        <v>H</v>
      </c>
      <c r="J357" s="536">
        <v>3.5</v>
      </c>
      <c r="K357" s="40">
        <f>IFERROR(VLOOKUP(E357,SINAPI!A:D,4,0),"")</f>
        <v>39.119999999999997</v>
      </c>
      <c r="L357" s="580">
        <f t="shared" ref="L357" si="68">IF(J357="","",ROUND(J357*K357,2))</f>
        <v>136.91999999999999</v>
      </c>
      <c r="M357" s="264"/>
      <c r="N357" s="562"/>
      <c r="O357" s="562"/>
      <c r="P357" s="562"/>
      <c r="Q357" s="562"/>
    </row>
    <row r="358" spans="1:17" ht="15" hidden="1" customHeight="1" outlineLevel="1" thickBot="1" x14ac:dyDescent="0.3">
      <c r="A358" s="660" t="b">
        <f t="shared" si="64"/>
        <v>0</v>
      </c>
      <c r="C358" s="230" t="s">
        <v>96</v>
      </c>
      <c r="D358" s="231"/>
      <c r="E358" s="231"/>
      <c r="F358" s="231"/>
      <c r="G358" s="231"/>
      <c r="H358" s="231"/>
      <c r="I358" s="231"/>
      <c r="J358" s="231"/>
      <c r="K358" s="232"/>
      <c r="L358" s="581">
        <f>SUM(L356:L357)</f>
        <v>373.87</v>
      </c>
      <c r="M358" s="261"/>
      <c r="N358" s="562" t="str">
        <f>C355</f>
        <v>COMP 38</v>
      </c>
      <c r="O358" s="582">
        <f>L358</f>
        <v>373.87</v>
      </c>
      <c r="P358" s="562"/>
      <c r="Q358" s="562"/>
    </row>
    <row r="359" spans="1:17" ht="15" hidden="1" customHeight="1" outlineLevel="1" x14ac:dyDescent="0.25">
      <c r="A359" s="699" t="b">
        <f>_xlfn.XOR(C359=$S$2,C359=$S$3,C359=$S$4,C359=$S$5,C359=$S$6,C359=$S$7,C359=$S$8,C359=$S$9,C359=$S$10,C359=$S$11,C359=$S$12,C359=$S$13,C359=$S$14,C359=$S$15,C359=$S$16,C359=$S$17,C359=$S$18,C359=$S$19,C359=$S$20,C359=$S$21,C359=$S$22,C359=$S$23,C359=$S$24,C359=$S$25,C359=$S$26,C359=$S$27,C359=$S$28,C359=$S$29,C359=$S$30,C359=$S$316,C359=$S$32,C359=$S$33,C359=$S$34,C359=$S$35,C359=$S$36,C359=$S$37,C359=$S$38,C359=$S$39,C359=$S$40,C359=$S$41,C359=$S$42,)</f>
        <v>0</v>
      </c>
      <c r="C359" s="569" t="s">
        <v>3230</v>
      </c>
      <c r="D359" s="570"/>
      <c r="E359" s="570" t="str">
        <f>IFERROR(VLOOKUP(C359,SINAPI!A:D,2,0),"")</f>
        <v>Ensaio de controle tecnológico da mistura asfáltica - Grau de compactação</v>
      </c>
      <c r="F359" s="570"/>
      <c r="G359" s="217"/>
      <c r="H359" s="571"/>
      <c r="I359" s="572" t="s">
        <v>2603</v>
      </c>
      <c r="J359" s="573"/>
      <c r="K359" s="573" t="s">
        <v>2603</v>
      </c>
      <c r="L359" s="574" t="str">
        <f>IF(J359="","",ROUND(J359*#REF!,2))</f>
        <v/>
      </c>
      <c r="M359" s="575"/>
      <c r="N359" s="562"/>
      <c r="O359" s="562"/>
      <c r="P359" s="562"/>
      <c r="Q359" s="562"/>
    </row>
    <row r="360" spans="1:17" ht="15" hidden="1" customHeight="1" outlineLevel="1" x14ac:dyDescent="0.25">
      <c r="A360" s="660" t="b">
        <f t="shared" si="64"/>
        <v>0</v>
      </c>
      <c r="C360" s="35">
        <v>1</v>
      </c>
      <c r="D360" s="550" t="s">
        <v>2747</v>
      </c>
      <c r="E360" s="551">
        <v>88249</v>
      </c>
      <c r="F360" s="552" t="str">
        <f>G360</f>
        <v>AUXILIAR DE LABORATÓRIO COM ENCARGOS COMPLEMENTARES</v>
      </c>
      <c r="G360" s="37" t="str">
        <f>IFERROR(VLOOKUP(E360,SINAPI!A:D,2,0),"")</f>
        <v>AUXILIAR DE LABORATÓRIO COM ENCARGOS COMPLEMENTARES</v>
      </c>
      <c r="H360" s="578"/>
      <c r="I360" s="40" t="str">
        <f>IFERROR(VLOOKUP(E360,SINAPI!A:D,3,0),"")</f>
        <v>H</v>
      </c>
      <c r="J360" s="536">
        <v>1.8</v>
      </c>
      <c r="K360" s="40">
        <f>IFERROR(VLOOKUP(E360,SINAPI!A:D,4,0),"")</f>
        <v>33.85</v>
      </c>
      <c r="L360" s="580">
        <f>IF(J360="","",ROUND(J360*K360,2))</f>
        <v>60.93</v>
      </c>
      <c r="M360" s="264"/>
      <c r="N360" s="562"/>
      <c r="O360" s="562"/>
      <c r="P360" s="562"/>
      <c r="Q360" s="562"/>
    </row>
    <row r="361" spans="1:17" ht="15" hidden="1" customHeight="1" outlineLevel="1" x14ac:dyDescent="0.25">
      <c r="A361" s="660" t="b">
        <f t="shared" si="64"/>
        <v>0</v>
      </c>
      <c r="C361" s="35">
        <v>2</v>
      </c>
      <c r="D361" s="550" t="s">
        <v>2747</v>
      </c>
      <c r="E361" s="551">
        <v>88321</v>
      </c>
      <c r="F361" s="552" t="str">
        <f>G361</f>
        <v>TÉCNICO DE LABORATÓRIO COM ENCARGOS COMPLEMENTARES</v>
      </c>
      <c r="G361" s="37" t="str">
        <f>IFERROR(VLOOKUP(E361,SINAPI!A:D,2,0),"")</f>
        <v>TÉCNICO DE LABORATÓRIO COM ENCARGOS COMPLEMENTARES</v>
      </c>
      <c r="H361" s="578"/>
      <c r="I361" s="40" t="str">
        <f>IFERROR(VLOOKUP(E361,SINAPI!A:D,3,0),"")</f>
        <v>H</v>
      </c>
      <c r="J361" s="536">
        <v>0.9</v>
      </c>
      <c r="K361" s="40">
        <f>IFERROR(VLOOKUP(E361,SINAPI!A:D,4,0),"")</f>
        <v>39.119999999999997</v>
      </c>
      <c r="L361" s="580">
        <f t="shared" ref="L361" si="69">IF(J361="","",ROUND(J361*K361,2))</f>
        <v>35.21</v>
      </c>
      <c r="M361" s="264"/>
      <c r="N361" s="562"/>
      <c r="O361" s="562"/>
      <c r="P361" s="562"/>
      <c r="Q361" s="562"/>
    </row>
    <row r="362" spans="1:17" ht="15" hidden="1" customHeight="1" outlineLevel="1" thickBot="1" x14ac:dyDescent="0.3">
      <c r="A362" s="660" t="b">
        <f t="shared" si="64"/>
        <v>0</v>
      </c>
      <c r="C362" s="230" t="s">
        <v>96</v>
      </c>
      <c r="D362" s="231"/>
      <c r="E362" s="231"/>
      <c r="F362" s="231"/>
      <c r="G362" s="231"/>
      <c r="H362" s="231"/>
      <c r="I362" s="231"/>
      <c r="J362" s="231"/>
      <c r="K362" s="232"/>
      <c r="L362" s="581">
        <f>SUM(L360:L361)</f>
        <v>96.14</v>
      </c>
      <c r="M362" s="261"/>
      <c r="N362" s="562" t="str">
        <f>C359</f>
        <v>COMP 39</v>
      </c>
      <c r="O362" s="582">
        <f>L362</f>
        <v>96.14</v>
      </c>
      <c r="P362" s="562"/>
      <c r="Q362" s="562"/>
    </row>
    <row r="363" spans="1:17" ht="15" hidden="1" customHeight="1" outlineLevel="1" x14ac:dyDescent="0.25">
      <c r="A363" s="699" t="b">
        <f>_xlfn.XOR(C363=$S$2,C363=$S$3,C363=$S$4,C363=$S$5,C363=$S$6,C363=$S$7,C363=$S$8,C363=$S$9,C363=$S$10,C363=$S$11,C363=$S$12,C363=$S$13,C363=$S$14,C363=$S$15,C363=$S$16,C363=$S$17,C363=$S$18,C363=$S$19,C363=$S$20,C363=$S$21,C363=$S$22,C363=$S$23,C363=$S$24,C363=$S$25,C363=$S$26,C363=$S$27,C363=$S$28,C363=$S$29,C363=$S$30,C363=$S$316,C363=$S$32,C363=$S$33,C363=$S$34,C363=$S$35,C363=$S$36,C363=$S$37,C363=$S$38,C363=$S$39,C363=$S$40,C363=$S$41,C363=$S$42,)</f>
        <v>0</v>
      </c>
      <c r="C363" s="569" t="s">
        <v>3231</v>
      </c>
      <c r="D363" s="570"/>
      <c r="E363" s="570" t="str">
        <f>IFERROR(VLOOKUP(C363,SINAPI!A:D,2,0),"")</f>
        <v>Ensaio de controle tecnológico da mistura asfáltica - Teor de betume</v>
      </c>
      <c r="F363" s="570"/>
      <c r="G363" s="217"/>
      <c r="H363" s="571"/>
      <c r="I363" s="572" t="s">
        <v>2603</v>
      </c>
      <c r="J363" s="573"/>
      <c r="K363" s="573" t="s">
        <v>2603</v>
      </c>
      <c r="L363" s="574" t="str">
        <f>IF(J363="","",ROUND(J363*#REF!,2))</f>
        <v/>
      </c>
      <c r="M363" s="575"/>
      <c r="N363" s="562"/>
      <c r="O363" s="562"/>
      <c r="P363" s="562"/>
      <c r="Q363" s="562"/>
    </row>
    <row r="364" spans="1:17" ht="15" hidden="1" customHeight="1" outlineLevel="1" x14ac:dyDescent="0.25">
      <c r="A364" s="660" t="b">
        <f t="shared" si="64"/>
        <v>0</v>
      </c>
      <c r="C364" s="35">
        <v>1</v>
      </c>
      <c r="D364" s="550" t="s">
        <v>2747</v>
      </c>
      <c r="E364" s="551">
        <v>88249</v>
      </c>
      <c r="F364" s="552" t="str">
        <f>G364</f>
        <v>AUXILIAR DE LABORATÓRIO COM ENCARGOS COMPLEMENTARES</v>
      </c>
      <c r="G364" s="37" t="str">
        <f>IFERROR(VLOOKUP(E364,SINAPI!A:D,2,0),"")</f>
        <v>AUXILIAR DE LABORATÓRIO COM ENCARGOS COMPLEMENTARES</v>
      </c>
      <c r="H364" s="578"/>
      <c r="I364" s="40" t="str">
        <f>IFERROR(VLOOKUP(E364,SINAPI!A:D,3,0),"")</f>
        <v>H</v>
      </c>
      <c r="J364" s="536">
        <v>3</v>
      </c>
      <c r="K364" s="40">
        <f>IFERROR(VLOOKUP(E364,SINAPI!A:D,4,0),"")</f>
        <v>33.85</v>
      </c>
      <c r="L364" s="580">
        <f>IF(J364="","",ROUND(J364*K364,2))</f>
        <v>101.55</v>
      </c>
      <c r="M364" s="264"/>
      <c r="N364" s="562"/>
      <c r="O364" s="562"/>
      <c r="P364" s="562"/>
      <c r="Q364" s="562"/>
    </row>
    <row r="365" spans="1:17" ht="15" hidden="1" customHeight="1" outlineLevel="1" x14ac:dyDescent="0.25">
      <c r="A365" s="660" t="b">
        <f t="shared" si="64"/>
        <v>0</v>
      </c>
      <c r="C365" s="35">
        <v>2</v>
      </c>
      <c r="D365" s="550" t="s">
        <v>2747</v>
      </c>
      <c r="E365" s="551">
        <v>88321</v>
      </c>
      <c r="F365" s="552" t="str">
        <f>G365</f>
        <v>TÉCNICO DE LABORATÓRIO COM ENCARGOS COMPLEMENTARES</v>
      </c>
      <c r="G365" s="37" t="str">
        <f>IFERROR(VLOOKUP(E365,SINAPI!A:D,2,0),"")</f>
        <v>TÉCNICO DE LABORATÓRIO COM ENCARGOS COMPLEMENTARES</v>
      </c>
      <c r="H365" s="578"/>
      <c r="I365" s="40" t="str">
        <f>IFERROR(VLOOKUP(E365,SINAPI!A:D,3,0),"")</f>
        <v>H</v>
      </c>
      <c r="J365" s="536">
        <v>1.5</v>
      </c>
      <c r="K365" s="40">
        <f>IFERROR(VLOOKUP(E365,SINAPI!A:D,4,0),"")</f>
        <v>39.119999999999997</v>
      </c>
      <c r="L365" s="580">
        <f t="shared" ref="L365" si="70">IF(J365="","",ROUND(J365*K365,2))</f>
        <v>58.68</v>
      </c>
      <c r="M365" s="264"/>
      <c r="N365" s="562"/>
      <c r="O365" s="562"/>
      <c r="P365" s="562"/>
      <c r="Q365" s="562"/>
    </row>
    <row r="366" spans="1:17" ht="15" hidden="1" customHeight="1" outlineLevel="1" thickBot="1" x14ac:dyDescent="0.3">
      <c r="A366" s="660" t="b">
        <f t="shared" si="64"/>
        <v>0</v>
      </c>
      <c r="C366" s="230" t="s">
        <v>96</v>
      </c>
      <c r="D366" s="231"/>
      <c r="E366" s="231"/>
      <c r="F366" s="231"/>
      <c r="G366" s="231"/>
      <c r="H366" s="231"/>
      <c r="I366" s="231"/>
      <c r="J366" s="231"/>
      <c r="K366" s="232"/>
      <c r="L366" s="581">
        <f>SUM(L364:L365)</f>
        <v>160.22999999999999</v>
      </c>
      <c r="M366" s="261"/>
      <c r="N366" s="562" t="str">
        <f>C363</f>
        <v>COMP 40</v>
      </c>
      <c r="O366" s="582">
        <f>L366</f>
        <v>160.22999999999999</v>
      </c>
      <c r="P366" s="562"/>
      <c r="Q366" s="562"/>
    </row>
    <row r="367" spans="1:17" ht="15" hidden="1" customHeight="1" outlineLevel="1" x14ac:dyDescent="0.25">
      <c r="A367" s="699" t="b">
        <f>_xlfn.XOR(C367=$S$2,C367=$S$3,C367=$S$4,C367=$S$5,C367=$S$6,C367=$S$7,C367=$S$8,C367=$S$9,C367=$S$10,C367=$S$11,C367=$S$12,C367=$S$13,C367=$S$14,C367=$S$15,C367=$S$16,C367=$S$17,C367=$S$18,C367=$S$19,C367=$S$20,C367=$S$21,C367=$S$22,C367=$S$23,C367=$S$24,C367=$S$25,C367=$S$26,C367=$S$27,C367=$S$28,C367=$S$29,C367=$S$30,C367=$S$316,C367=$S$32,C367=$S$33,C367=$S$34,C367=$S$35,C367=$S$36,C367=$S$37,C367=$S$38,C367=$S$39,C367=$S$40,C367=$S$41,C367=$S$42,)</f>
        <v>0</v>
      </c>
      <c r="C367" s="569" t="s">
        <v>3232</v>
      </c>
      <c r="D367" s="570"/>
      <c r="E367" s="570" t="str">
        <f>IFERROR(VLOOKUP(C367,SINAPI!A:D,2,0),"")</f>
        <v>Boca de lobo em concreto pré-moldada conforme detalhe</v>
      </c>
      <c r="F367" s="570"/>
      <c r="G367" s="217"/>
      <c r="H367" s="571"/>
      <c r="I367" s="572" t="s">
        <v>2603</v>
      </c>
      <c r="J367" s="573"/>
      <c r="K367" s="573" t="s">
        <v>2603</v>
      </c>
      <c r="L367" s="574" t="str">
        <f>IF(J367="","",ROUND(J367*#REF!,2))</f>
        <v/>
      </c>
      <c r="M367" s="575"/>
      <c r="N367" s="562"/>
      <c r="O367" s="562"/>
      <c r="P367" s="562"/>
      <c r="Q367" s="562"/>
    </row>
    <row r="368" spans="1:17" ht="15" hidden="1" customHeight="1" outlineLevel="1" x14ac:dyDescent="0.25">
      <c r="A368" s="660" t="b">
        <f t="shared" si="64"/>
        <v>0</v>
      </c>
      <c r="C368" s="35">
        <v>1</v>
      </c>
      <c r="D368" s="550" t="s">
        <v>2748</v>
      </c>
      <c r="E368" s="550">
        <v>38404</v>
      </c>
      <c r="F368" s="552" t="s">
        <v>3193</v>
      </c>
      <c r="G368" s="37" t="str">
        <f>IFERROR(VLOOKUP(E368,SINAPI!A:D,2,0),"")</f>
        <v xml:space="preserve">CONCRETO USINADO BOMBEAVEL, CLASSE DE RESISTENCIA C20, COM BRITA 0 E 1, SLUMP = 130 +/- 20 MM, EXCLUI SERVICO DE BOMBEAMENTO (NBR 8953)                                                                                                                                                                                                                                                                                                                                                                   </v>
      </c>
      <c r="H368" s="578"/>
      <c r="I368" s="40" t="str">
        <f>IFERROR(VLOOKUP(E368,SINAPI!A:D,3,0),"")</f>
        <v xml:space="preserve">M3    </v>
      </c>
      <c r="J368" s="536">
        <f>DISPOSITIVOS!E64</f>
        <v>0.54600000000000004</v>
      </c>
      <c r="K368" s="40">
        <f>IFERROR(VLOOKUP(E368,SINAPI!A:D,4,0),"")</f>
        <v>495.11</v>
      </c>
      <c r="L368" s="580">
        <f>IF(J368="","",ROUND(J368*K368,2))</f>
        <v>270.33</v>
      </c>
      <c r="M368" s="264"/>
      <c r="N368" s="562"/>
      <c r="O368" s="562"/>
      <c r="P368" s="562"/>
      <c r="Q368" s="562"/>
    </row>
    <row r="369" spans="1:17" ht="15" hidden="1" customHeight="1" outlineLevel="1" x14ac:dyDescent="0.25">
      <c r="A369" s="660" t="b">
        <f t="shared" si="64"/>
        <v>0</v>
      </c>
      <c r="C369" s="35">
        <v>2</v>
      </c>
      <c r="D369" s="550" t="s">
        <v>2747</v>
      </c>
      <c r="E369" s="550">
        <v>96540</v>
      </c>
      <c r="F369" s="552" t="s">
        <v>3234</v>
      </c>
      <c r="G369" s="37" t="str">
        <f>IFERROR(VLOOKUP(E369,SINAPI!A:D,2,0),"")</f>
        <v>FABRICAÇÃO, MONTAGEM E DESMONTAGEM DE FÔRMA PARA BLOCO DE COROAMENTO, EM CHAPA DE MADEIRA COMPENSADA RESINADA, E=17 MM, 4 UTILIZAÇÕES. AF_06/2017</v>
      </c>
      <c r="H369" s="578"/>
      <c r="I369" s="40" t="str">
        <f>IFERROR(VLOOKUP(E369,SINAPI!A:D,3,0),"")</f>
        <v>M2</v>
      </c>
      <c r="J369" s="536">
        <f>DISPOSITIVOS!E65*4/8</f>
        <v>4.66</v>
      </c>
      <c r="K369" s="40">
        <f>IFERROR(VLOOKUP(E369,SINAPI!A:D,4,0),"")</f>
        <v>152.32</v>
      </c>
      <c r="L369" s="580">
        <f t="shared" ref="L369:L372" si="71">IF(J369="","",ROUND(J369*K369,2))</f>
        <v>709.81</v>
      </c>
      <c r="M369" s="264"/>
      <c r="N369" s="562"/>
      <c r="O369" s="562"/>
      <c r="P369" s="562"/>
      <c r="Q369" s="562"/>
    </row>
    <row r="370" spans="1:17" ht="15" hidden="1" customHeight="1" outlineLevel="1" x14ac:dyDescent="0.25">
      <c r="A370" s="660" t="b">
        <f t="shared" si="64"/>
        <v>0</v>
      </c>
      <c r="C370" s="35">
        <v>3</v>
      </c>
      <c r="D370" s="1567" t="s">
        <v>2639</v>
      </c>
      <c r="E370" s="1567">
        <v>407819</v>
      </c>
      <c r="F370" s="552" t="s">
        <v>2704</v>
      </c>
      <c r="G370" s="37" t="str">
        <f>IFERROR(VLOOKUP(E370,SINAPI!A:D,2,0),"")</f>
        <v>Armação em aço CA-50 - fornecimento, preparo e colocação</v>
      </c>
      <c r="H370" s="578"/>
      <c r="I370" s="40" t="str">
        <f>IFERROR(VLOOKUP(E370,SINAPI!A:D,3,0),"")</f>
        <v>kg</v>
      </c>
      <c r="J370" s="536">
        <f>DISPOSITIVOS!E66</f>
        <v>4.83</v>
      </c>
      <c r="K370" s="40">
        <f>IFERROR(VLOOKUP(E370,SINAPI!A:D,4,0),"")</f>
        <v>14.15</v>
      </c>
      <c r="L370" s="580">
        <f t="shared" si="71"/>
        <v>68.34</v>
      </c>
      <c r="M370" s="264"/>
      <c r="N370" s="562"/>
      <c r="O370" s="562"/>
      <c r="P370" s="562"/>
      <c r="Q370" s="562"/>
    </row>
    <row r="371" spans="1:17" ht="15" hidden="1" customHeight="1" outlineLevel="1" x14ac:dyDescent="0.25">
      <c r="A371" s="660" t="b">
        <f t="shared" si="64"/>
        <v>0</v>
      </c>
      <c r="C371" s="35">
        <v>4</v>
      </c>
      <c r="D371" s="550" t="s">
        <v>2747</v>
      </c>
      <c r="E371" s="550" t="s">
        <v>2701</v>
      </c>
      <c r="F371" s="552" t="s">
        <v>3219</v>
      </c>
      <c r="G371" s="37" t="str">
        <f>IFERROR(VLOOKUP(E371,SINAPI!A:D,2,0),"")</f>
        <v>Grelha metálica articulada 60x75cm</v>
      </c>
      <c r="H371" s="578"/>
      <c r="I371" s="40" t="str">
        <f>IFERROR(VLOOKUP(E371,SINAPI!A:D,3,0),"")</f>
        <v>un</v>
      </c>
      <c r="J371" s="536">
        <v>1</v>
      </c>
      <c r="K371" s="40">
        <f>IFERROR(VLOOKUP(E371,SINAPI!A:D,4,0),"")</f>
        <v>768.45</v>
      </c>
      <c r="L371" s="580">
        <f t="shared" si="71"/>
        <v>768.45</v>
      </c>
      <c r="M371" s="264"/>
      <c r="N371" s="562"/>
      <c r="O371" s="562"/>
      <c r="P371" s="562"/>
      <c r="Q371" s="562"/>
    </row>
    <row r="372" spans="1:17" ht="15" hidden="1" customHeight="1" outlineLevel="1" x14ac:dyDescent="0.25">
      <c r="A372" s="660" t="b">
        <f t="shared" si="64"/>
        <v>0</v>
      </c>
      <c r="C372" s="35">
        <v>5</v>
      </c>
      <c r="D372" s="550" t="s">
        <v>2747</v>
      </c>
      <c r="E372" s="550">
        <v>103670</v>
      </c>
      <c r="F372" s="552" t="s">
        <v>2761</v>
      </c>
      <c r="G372" s="37" t="str">
        <f>IFERROR(VLOOKUP(E372,SINAPI!A:D,2,0),"")</f>
        <v>LANÇAMENTO COM USO DE BALDES, ADENSAMENTO E ACABAMENTO DE CONCRETO EM ESTRUTURAS. AF_02/2022</v>
      </c>
      <c r="H372" s="578"/>
      <c r="I372" s="40" t="str">
        <f>IFERROR(VLOOKUP(E372,SINAPI!A:D,3,0),"")</f>
        <v>M3</v>
      </c>
      <c r="J372" s="536">
        <f>J368</f>
        <v>0.54600000000000004</v>
      </c>
      <c r="K372" s="40">
        <f>IFERROR(VLOOKUP(E372,SINAPI!A:D,4,0),"")</f>
        <v>301.64</v>
      </c>
      <c r="L372" s="580">
        <f t="shared" si="71"/>
        <v>164.7</v>
      </c>
      <c r="M372" s="264"/>
      <c r="N372" s="562"/>
      <c r="O372" s="562"/>
      <c r="P372" s="562"/>
      <c r="Q372" s="562"/>
    </row>
    <row r="373" spans="1:17" ht="15" hidden="1" customHeight="1" outlineLevel="1" thickBot="1" x14ac:dyDescent="0.3">
      <c r="A373" s="660" t="b">
        <f t="shared" si="64"/>
        <v>0</v>
      </c>
      <c r="C373" s="230" t="s">
        <v>96</v>
      </c>
      <c r="D373" s="231"/>
      <c r="E373" s="231"/>
      <c r="F373" s="231"/>
      <c r="G373" s="231"/>
      <c r="H373" s="231"/>
      <c r="I373" s="231"/>
      <c r="J373" s="231"/>
      <c r="K373" s="232"/>
      <c r="L373" s="581">
        <f>SUM(L368:L372)</f>
        <v>1981.63</v>
      </c>
      <c r="M373" s="261"/>
      <c r="N373" s="562" t="str">
        <f>C367</f>
        <v>COMP 41</v>
      </c>
      <c r="O373" s="582">
        <f>L373</f>
        <v>1981.63</v>
      </c>
      <c r="P373" s="562"/>
      <c r="Q373" s="562"/>
    </row>
    <row r="374" spans="1:17" ht="15" hidden="1" customHeight="1" outlineLevel="1" x14ac:dyDescent="0.25">
      <c r="A374" s="699" t="b">
        <f>_xlfn.XOR(C374=$S$2,C374=$S$3,C374=$S$4,C374=$S$5,C374=$S$6,C374=$S$7,C374=$S$8,C374=$S$9,C374=$S$10,C374=$S$11,C374=$S$12,C374=$S$13,C374=$S$14,C374=$S$15,C374=$S$16,C374=$S$17,C374=$S$18,C374=$S$19,C374=$S$20,C374=$S$21,C374=$S$22,C374=$S$23,C374=$S$24,C374=$S$25,C374=$S$26,C374=$S$27,C374=$S$28,C374=$S$29,C374=$S$30,C374=$S$316,C374=$S$32,C374=$S$33,C374=$S$34,C374=$S$35,C374=$S$36,C374=$S$37,C374=$S$38,C374=$S$39,C374=$S$40,C374=$S$41,C374=$S$42,)</f>
        <v>0</v>
      </c>
      <c r="C374" s="569" t="s">
        <v>3241</v>
      </c>
      <c r="D374" s="570"/>
      <c r="E374" s="570" t="str">
        <f>IFERROR(VLOOKUP(C374,SINAPI!A:D,2,0),"")</f>
        <v>Substituição de Grelha metálica em boca de lobo existente (60x75cm)</v>
      </c>
      <c r="F374" s="570"/>
      <c r="G374" s="217"/>
      <c r="H374" s="571"/>
      <c r="I374" s="572" t="s">
        <v>2603</v>
      </c>
      <c r="J374" s="573"/>
      <c r="K374" s="573" t="s">
        <v>2603</v>
      </c>
      <c r="L374" s="574" t="str">
        <f>IF(J374="","",ROUND(J374*#REF!,2))</f>
        <v/>
      </c>
      <c r="M374" s="575"/>
      <c r="N374" s="562"/>
      <c r="O374" s="562"/>
      <c r="P374" s="562"/>
      <c r="Q374" s="562"/>
    </row>
    <row r="375" spans="1:17" ht="15" hidden="1" customHeight="1" outlineLevel="1" x14ac:dyDescent="0.25">
      <c r="A375" s="660" t="b">
        <f t="shared" si="64"/>
        <v>0</v>
      </c>
      <c r="C375" s="35">
        <v>1</v>
      </c>
      <c r="D375" s="576" t="s">
        <v>17</v>
      </c>
      <c r="E375" s="576" t="s">
        <v>2701</v>
      </c>
      <c r="F375" s="577" t="str">
        <f>G375</f>
        <v>Grelha metálica articulada 60x75cm</v>
      </c>
      <c r="G375" s="37" t="str">
        <f>IFERROR(VLOOKUP(E375,SINAPI!A:D,2,0),"")</f>
        <v>Grelha metálica articulada 60x75cm</v>
      </c>
      <c r="H375" s="578"/>
      <c r="I375" s="40" t="str">
        <f>IFERROR(VLOOKUP(E375,SINAPI!A:D,3,0),"")</f>
        <v>un</v>
      </c>
      <c r="J375" s="536">
        <v>1</v>
      </c>
      <c r="K375" s="40">
        <f>IFERROR(VLOOKUP(E375,SINAPI!A:D,4,0),"")</f>
        <v>768.45</v>
      </c>
      <c r="L375" s="580">
        <f>IF(J375="","",ROUND(J375*K375,2))</f>
        <v>768.45</v>
      </c>
      <c r="M375" s="264"/>
      <c r="N375" s="562"/>
      <c r="O375" s="562"/>
      <c r="P375" s="562"/>
      <c r="Q375" s="562"/>
    </row>
    <row r="376" spans="1:17" ht="15" hidden="1" customHeight="1" outlineLevel="1" x14ac:dyDescent="0.25">
      <c r="A376" s="660" t="b">
        <f t="shared" si="64"/>
        <v>0</v>
      </c>
      <c r="C376" s="35">
        <v>2</v>
      </c>
      <c r="D376" s="576" t="s">
        <v>2747</v>
      </c>
      <c r="E376" s="576">
        <v>87327</v>
      </c>
      <c r="F376" s="577" t="s">
        <v>2706</v>
      </c>
      <c r="G376" s="37" t="str">
        <f>IFERROR(VLOOKUP(E376,SINAPI!A:D,2,0),"")</f>
        <v>ARGAMASSA TRAÇO 1:7 (EM VOLUME DE CIMENTO E AREIA MÉDIA ÚMIDA) COM ADIÇÃO DE PLASTIFICANTE PARA EMBOÇO/MASSA ÚNICA/ASSENTAMENTO DE ALVENARIA DE VEDAÇÃO, PREPARO MECÂNICO COM MISTURADOR DE EIXO HORIZONTAL DE 300 KG. AF_08/2019</v>
      </c>
      <c r="H376" s="578"/>
      <c r="I376" s="40" t="str">
        <f>IFERROR(VLOOKUP(E376,SINAPI!A:D,3,0),"")</f>
        <v>M3</v>
      </c>
      <c r="J376" s="536">
        <v>8.0000000000000002E-3</v>
      </c>
      <c r="K376" s="40">
        <f>IFERROR(VLOOKUP(E376,SINAPI!A:D,4,0),"")</f>
        <v>503.88</v>
      </c>
      <c r="L376" s="580">
        <f t="shared" ref="L376:L378" si="72">IF(J376="","",ROUND(J376*K376,2))</f>
        <v>4.03</v>
      </c>
      <c r="M376" s="264"/>
      <c r="N376" s="562"/>
      <c r="O376" s="562"/>
      <c r="P376" s="562"/>
      <c r="Q376" s="562"/>
    </row>
    <row r="377" spans="1:17" ht="15" hidden="1" customHeight="1" outlineLevel="1" x14ac:dyDescent="0.25">
      <c r="A377" s="660" t="b">
        <f t="shared" si="64"/>
        <v>0</v>
      </c>
      <c r="C377" s="35">
        <v>3</v>
      </c>
      <c r="D377" s="550" t="s">
        <v>2747</v>
      </c>
      <c r="E377" s="551">
        <v>88309</v>
      </c>
      <c r="F377" s="552" t="s">
        <v>2751</v>
      </c>
      <c r="G377" s="37" t="str">
        <f>IFERROR(VLOOKUP(E377,SINAPI!A:D,2,0),"")</f>
        <v>PEDREIRO COM ENCARGOS COMPLEMENTARES</v>
      </c>
      <c r="H377" s="578"/>
      <c r="I377" s="40" t="str">
        <f>IFERROR(VLOOKUP(E377,SINAPI!A:D,3,0),"")</f>
        <v>H</v>
      </c>
      <c r="J377" s="536">
        <v>2.6</v>
      </c>
      <c r="K377" s="40">
        <f>IFERROR(VLOOKUP(E377,SINAPI!A:D,4,0),"")</f>
        <v>30.44</v>
      </c>
      <c r="L377" s="580">
        <f t="shared" si="72"/>
        <v>79.14</v>
      </c>
      <c r="M377" s="264"/>
      <c r="N377" s="562"/>
      <c r="O377" s="562"/>
      <c r="P377" s="562"/>
      <c r="Q377" s="562"/>
    </row>
    <row r="378" spans="1:17" ht="15" hidden="1" customHeight="1" outlineLevel="1" x14ac:dyDescent="0.25">
      <c r="A378" s="660" t="b">
        <f t="shared" si="64"/>
        <v>0</v>
      </c>
      <c r="C378" s="35">
        <v>4</v>
      </c>
      <c r="D378" s="550" t="s">
        <v>2747</v>
      </c>
      <c r="E378" s="551">
        <v>88316</v>
      </c>
      <c r="F378" s="552" t="s">
        <v>2740</v>
      </c>
      <c r="G378" s="37" t="str">
        <f>IFERROR(VLOOKUP(E378,SINAPI!A:D,2,0),"")</f>
        <v>SERVENTE COM ENCARGOS COMPLEMENTARES</v>
      </c>
      <c r="H378" s="578"/>
      <c r="I378" s="40" t="str">
        <f>IFERROR(VLOOKUP(E378,SINAPI!A:D,3,0),"")</f>
        <v>H</v>
      </c>
      <c r="J378" s="536">
        <v>2.6</v>
      </c>
      <c r="K378" s="40">
        <f>IFERROR(VLOOKUP(E378,SINAPI!A:D,4,0),"")</f>
        <v>20.82</v>
      </c>
      <c r="L378" s="580">
        <f t="shared" si="72"/>
        <v>54.13</v>
      </c>
      <c r="M378" s="264"/>
      <c r="N378" s="562"/>
      <c r="O378" s="562"/>
      <c r="P378" s="562"/>
      <c r="Q378" s="562"/>
    </row>
    <row r="379" spans="1:17" ht="15" hidden="1" customHeight="1" outlineLevel="1" thickBot="1" x14ac:dyDescent="0.3">
      <c r="A379" s="660" t="b">
        <f t="shared" si="64"/>
        <v>0</v>
      </c>
      <c r="C379" s="230" t="s">
        <v>96</v>
      </c>
      <c r="D379" s="231"/>
      <c r="E379" s="231"/>
      <c r="F379" s="231"/>
      <c r="G379" s="231"/>
      <c r="H379" s="231"/>
      <c r="I379" s="231"/>
      <c r="J379" s="231"/>
      <c r="K379" s="232"/>
      <c r="L379" s="581">
        <f>SUM(L375:L378)</f>
        <v>905.75</v>
      </c>
      <c r="M379" s="261"/>
      <c r="N379" s="562" t="str">
        <f>C374</f>
        <v>COMP 42</v>
      </c>
      <c r="O379" s="582">
        <f>L379</f>
        <v>905.75</v>
      </c>
      <c r="P379" s="562"/>
      <c r="Q379" s="562"/>
    </row>
    <row r="380" spans="1:17" ht="15" hidden="1" customHeight="1" outlineLevel="1" x14ac:dyDescent="0.25">
      <c r="A380" s="699" t="b">
        <f>_xlfn.XOR(C380=$S$2,C380=$S$3,C380=$S$4,C380=$S$5,C380=$S$6,C380=$S$7,C380=$S$8,C380=$S$9,C380=$S$10,C380=$S$11,C380=$S$12,C380=$S$13,C380=$S$14,C380=$S$15,C380=$S$16,C380=$S$17,C380=$S$18,C380=$S$19,C380=$S$20,C380=$S$21,C380=$S$22,C380=$S$23,C380=$S$24,C380=$S$25,C380=$S$26,C380=$S$27,C380=$S$28,C380=$S$29,C380=$S$30,C380=$S$316,C380=$S$32,C380=$S$33,C380=$S$34,C380=$S$35,C380=$S$36,C380=$S$37,C380=$S$38,C380=$S$39,C380=$S$40,C380=$S$41,C380=$S$42,)</f>
        <v>0</v>
      </c>
      <c r="C380" s="569" t="s">
        <v>3242</v>
      </c>
      <c r="D380" s="570"/>
      <c r="E380" s="570" t="str">
        <f>IFERROR(VLOOKUP(C380,SINAPI!A:D,2,0),"")</f>
        <v>Substituição de Grelha metálica em boca de lobo existente (80x75cm)</v>
      </c>
      <c r="F380" s="570"/>
      <c r="G380" s="217"/>
      <c r="H380" s="571"/>
      <c r="I380" s="572" t="s">
        <v>2603</v>
      </c>
      <c r="J380" s="573"/>
      <c r="K380" s="573" t="s">
        <v>2603</v>
      </c>
      <c r="L380" s="574" t="str">
        <f>IF(J380="","",ROUND(J380*#REF!,2))</f>
        <v/>
      </c>
      <c r="M380" s="575"/>
      <c r="N380" s="562"/>
      <c r="O380" s="562"/>
      <c r="P380" s="562"/>
      <c r="Q380" s="562"/>
    </row>
    <row r="381" spans="1:17" ht="15" hidden="1" customHeight="1" outlineLevel="1" x14ac:dyDescent="0.25">
      <c r="A381" s="660" t="b">
        <f t="shared" si="64"/>
        <v>0</v>
      </c>
      <c r="C381" s="35">
        <v>1</v>
      </c>
      <c r="D381" s="576" t="s">
        <v>17</v>
      </c>
      <c r="E381" s="576" t="s">
        <v>2757</v>
      </c>
      <c r="F381" s="577" t="str">
        <f>G381</f>
        <v>Grelha metálica articulada 80x75cm</v>
      </c>
      <c r="G381" s="37" t="str">
        <f>IFERROR(VLOOKUP(E381,SINAPI!A:D,2,0),"")</f>
        <v>Grelha metálica articulada 80x75cm</v>
      </c>
      <c r="H381" s="578"/>
      <c r="I381" s="40" t="str">
        <f>IFERROR(VLOOKUP(E381,SINAPI!A:D,3,0),"")</f>
        <v>un</v>
      </c>
      <c r="J381" s="536">
        <v>1</v>
      </c>
      <c r="K381" s="40">
        <f>IFERROR(VLOOKUP(E381,SINAPI!A:D,4,0),"")</f>
        <v>927.95</v>
      </c>
      <c r="L381" s="580">
        <f>IF(J381="","",ROUND(J381*K381,2))</f>
        <v>927.95</v>
      </c>
      <c r="M381" s="264"/>
      <c r="N381" s="562"/>
      <c r="O381" s="562"/>
      <c r="P381" s="562"/>
      <c r="Q381" s="562"/>
    </row>
    <row r="382" spans="1:17" ht="15" hidden="1" customHeight="1" outlineLevel="1" x14ac:dyDescent="0.25">
      <c r="A382" s="660" t="b">
        <f t="shared" si="64"/>
        <v>0</v>
      </c>
      <c r="C382" s="35">
        <v>2</v>
      </c>
      <c r="D382" s="576" t="s">
        <v>2747</v>
      </c>
      <c r="E382" s="576">
        <v>87327</v>
      </c>
      <c r="F382" s="577" t="s">
        <v>2706</v>
      </c>
      <c r="G382" s="37" t="str">
        <f>IFERROR(VLOOKUP(E382,SINAPI!A:D,2,0),"")</f>
        <v>ARGAMASSA TRAÇO 1:7 (EM VOLUME DE CIMENTO E AREIA MÉDIA ÚMIDA) COM ADIÇÃO DE PLASTIFICANTE PARA EMBOÇO/MASSA ÚNICA/ASSENTAMENTO DE ALVENARIA DE VEDAÇÃO, PREPARO MECÂNICO COM MISTURADOR DE EIXO HORIZONTAL DE 300 KG. AF_08/2019</v>
      </c>
      <c r="H382" s="578"/>
      <c r="I382" s="40" t="str">
        <f>IFERROR(VLOOKUP(E382,SINAPI!A:D,3,0),"")</f>
        <v>M3</v>
      </c>
      <c r="J382" s="536">
        <v>8.0000000000000002E-3</v>
      </c>
      <c r="K382" s="40">
        <f>IFERROR(VLOOKUP(E382,SINAPI!A:D,4,0),"")</f>
        <v>503.88</v>
      </c>
      <c r="L382" s="580">
        <f t="shared" ref="L382:L384" si="73">IF(J382="","",ROUND(J382*K382,2))</f>
        <v>4.03</v>
      </c>
      <c r="M382" s="264"/>
      <c r="N382" s="562"/>
      <c r="O382" s="562"/>
      <c r="P382" s="562"/>
      <c r="Q382" s="562"/>
    </row>
    <row r="383" spans="1:17" ht="15" hidden="1" customHeight="1" outlineLevel="1" x14ac:dyDescent="0.25">
      <c r="A383" s="660" t="b">
        <f t="shared" si="64"/>
        <v>0</v>
      </c>
      <c r="C383" s="35">
        <v>3</v>
      </c>
      <c r="D383" s="550" t="s">
        <v>2747</v>
      </c>
      <c r="E383" s="551">
        <v>88309</v>
      </c>
      <c r="F383" s="552" t="s">
        <v>2751</v>
      </c>
      <c r="G383" s="37" t="str">
        <f>IFERROR(VLOOKUP(E383,SINAPI!A:D,2,0),"")</f>
        <v>PEDREIRO COM ENCARGOS COMPLEMENTARES</v>
      </c>
      <c r="H383" s="578"/>
      <c r="I383" s="40" t="str">
        <f>IFERROR(VLOOKUP(E383,SINAPI!A:D,3,0),"")</f>
        <v>H</v>
      </c>
      <c r="J383" s="536">
        <v>2.6</v>
      </c>
      <c r="K383" s="40">
        <f>IFERROR(VLOOKUP(E383,SINAPI!A:D,4,0),"")</f>
        <v>30.44</v>
      </c>
      <c r="L383" s="580">
        <f t="shared" si="73"/>
        <v>79.14</v>
      </c>
      <c r="M383" s="264"/>
      <c r="N383" s="562"/>
      <c r="O383" s="562"/>
      <c r="P383" s="562"/>
      <c r="Q383" s="562"/>
    </row>
    <row r="384" spans="1:17" ht="15" hidden="1" customHeight="1" outlineLevel="1" x14ac:dyDescent="0.25">
      <c r="A384" s="660" t="b">
        <f t="shared" si="64"/>
        <v>0</v>
      </c>
      <c r="C384" s="35">
        <v>4</v>
      </c>
      <c r="D384" s="550" t="s">
        <v>2747</v>
      </c>
      <c r="E384" s="551">
        <v>88316</v>
      </c>
      <c r="F384" s="552" t="s">
        <v>2740</v>
      </c>
      <c r="G384" s="37" t="str">
        <f>IFERROR(VLOOKUP(E384,SINAPI!A:D,2,0),"")</f>
        <v>SERVENTE COM ENCARGOS COMPLEMENTARES</v>
      </c>
      <c r="H384" s="578"/>
      <c r="I384" s="40" t="str">
        <f>IFERROR(VLOOKUP(E384,SINAPI!A:D,3,0),"")</f>
        <v>H</v>
      </c>
      <c r="J384" s="536">
        <v>2.6</v>
      </c>
      <c r="K384" s="40">
        <f>IFERROR(VLOOKUP(E384,SINAPI!A:D,4,0),"")</f>
        <v>20.82</v>
      </c>
      <c r="L384" s="580">
        <f t="shared" si="73"/>
        <v>54.13</v>
      </c>
      <c r="M384" s="264"/>
      <c r="N384" s="562"/>
      <c r="O384" s="562"/>
      <c r="P384" s="562"/>
      <c r="Q384" s="562"/>
    </row>
    <row r="385" spans="1:17" ht="15" hidden="1" customHeight="1" outlineLevel="1" thickBot="1" x14ac:dyDescent="0.3">
      <c r="A385" s="660" t="b">
        <f t="shared" si="64"/>
        <v>0</v>
      </c>
      <c r="C385" s="230" t="s">
        <v>96</v>
      </c>
      <c r="D385" s="231"/>
      <c r="E385" s="231"/>
      <c r="F385" s="231"/>
      <c r="G385" s="231"/>
      <c r="H385" s="231"/>
      <c r="I385" s="231"/>
      <c r="J385" s="231"/>
      <c r="K385" s="232"/>
      <c r="L385" s="581">
        <f>SUM(L381:L384)</f>
        <v>1065.25</v>
      </c>
      <c r="M385" s="261"/>
      <c r="N385" s="562" t="str">
        <f>C380</f>
        <v>COMP 43</v>
      </c>
      <c r="O385" s="582">
        <f>L385</f>
        <v>1065.25</v>
      </c>
      <c r="P385" s="562"/>
      <c r="Q385" s="562"/>
    </row>
    <row r="386" spans="1:17" ht="15" hidden="1" customHeight="1" outlineLevel="1" x14ac:dyDescent="0.25">
      <c r="A386" s="699" t="b">
        <f>_xlfn.XOR(C386=$S$2,C386=$S$3,C386=$S$4,C386=$S$5,C386=$S$6,C386=$S$7,C386=$S$8,C386=$S$9,C386=$S$10,C386=$S$11,C386=$S$12,C386=$S$13,C386=$S$14,C386=$S$15,C386=$S$16,C386=$S$17,C386=$S$18,C386=$S$19,C386=$S$20,C386=$S$21,C386=$S$22,C386=$S$23,C386=$S$24,C386=$S$25,C386=$S$26,C386=$S$27,C386=$S$28,C386=$S$29,C386=$S$30,C386=$S$316,C386=$S$32,C386=$S$33,C386=$S$34,C386=$S$35,C386=$S$36,C386=$S$37,C386=$S$38,C386=$S$39,C386=$S$40,C386=$S$41,C386=$S$42,)</f>
        <v>0</v>
      </c>
      <c r="C386" s="569" t="s">
        <v>3243</v>
      </c>
      <c r="D386" s="570"/>
      <c r="E386" s="570" t="str">
        <f>IFERROR(VLOOKUP(C386,SINAPI!A:D,2,0),"")</f>
        <v>Correção de altura de caixas existentes, sem troca de tampa</v>
      </c>
      <c r="F386" s="570"/>
      <c r="G386" s="217"/>
      <c r="H386" s="571"/>
      <c r="I386" s="572" t="s">
        <v>2603</v>
      </c>
      <c r="J386" s="573"/>
      <c r="K386" s="573" t="s">
        <v>2603</v>
      </c>
      <c r="L386" s="574" t="str">
        <f>IF(J386="","",ROUND(J386*#REF!,2))</f>
        <v/>
      </c>
      <c r="M386" s="575"/>
      <c r="N386" s="562"/>
      <c r="O386" s="562"/>
      <c r="P386" s="562"/>
      <c r="Q386" s="562"/>
    </row>
    <row r="387" spans="1:17" ht="15" hidden="1" customHeight="1" outlineLevel="1" x14ac:dyDescent="0.25">
      <c r="A387" s="660" t="b">
        <f t="shared" si="64"/>
        <v>0</v>
      </c>
      <c r="C387" s="35">
        <v>1</v>
      </c>
      <c r="D387" s="550" t="s">
        <v>2747</v>
      </c>
      <c r="E387" s="550">
        <v>88309</v>
      </c>
      <c r="F387" s="552" t="s">
        <v>2751</v>
      </c>
      <c r="G387" s="37" t="str">
        <f>IFERROR(VLOOKUP(E387,SINAPI!A:D,2,0),"")</f>
        <v>PEDREIRO COM ENCARGOS COMPLEMENTARES</v>
      </c>
      <c r="H387" s="578"/>
      <c r="I387" s="40" t="str">
        <f>IFERROR(VLOOKUP(E387,SINAPI!A:D,3,0),"")</f>
        <v>H</v>
      </c>
      <c r="J387" s="587">
        <f>2*2</f>
        <v>4</v>
      </c>
      <c r="K387" s="40">
        <f>IFERROR(VLOOKUP(E387,SINAPI!A:D,4,0),"")</f>
        <v>30.44</v>
      </c>
      <c r="L387" s="580">
        <f>IF(J387="","",ROUND(J387*K387,2))</f>
        <v>121.76</v>
      </c>
      <c r="M387" s="264"/>
      <c r="N387" s="562"/>
      <c r="O387" s="562"/>
      <c r="P387" s="562"/>
      <c r="Q387" s="562"/>
    </row>
    <row r="388" spans="1:17" ht="15" hidden="1" customHeight="1" outlineLevel="1" x14ac:dyDescent="0.25">
      <c r="A388" s="660" t="b">
        <f t="shared" si="64"/>
        <v>0</v>
      </c>
      <c r="C388" s="35">
        <v>2</v>
      </c>
      <c r="D388" s="550" t="s">
        <v>2747</v>
      </c>
      <c r="E388" s="550">
        <v>88316</v>
      </c>
      <c r="F388" s="552" t="s">
        <v>2740</v>
      </c>
      <c r="G388" s="37" t="str">
        <f>IFERROR(VLOOKUP(E388,SINAPI!A:D,2,0),"")</f>
        <v>SERVENTE COM ENCARGOS COMPLEMENTARES</v>
      </c>
      <c r="H388" s="578"/>
      <c r="I388" s="40" t="str">
        <f>IFERROR(VLOOKUP(E388,SINAPI!A:D,3,0),"")</f>
        <v>H</v>
      </c>
      <c r="J388" s="587">
        <f>J387</f>
        <v>4</v>
      </c>
      <c r="K388" s="40">
        <f>IFERROR(VLOOKUP(E388,SINAPI!A:D,4,0),"")</f>
        <v>20.82</v>
      </c>
      <c r="L388" s="580">
        <f t="shared" ref="L388:L391" si="74">IF(J388="","",ROUND(J388*K388,2))</f>
        <v>83.28</v>
      </c>
      <c r="M388" s="264"/>
      <c r="N388" s="562"/>
      <c r="O388" s="562"/>
      <c r="P388" s="562"/>
      <c r="Q388" s="562"/>
    </row>
    <row r="389" spans="1:17" ht="15" hidden="1" customHeight="1" outlineLevel="1" x14ac:dyDescent="0.25">
      <c r="A389" s="660" t="b">
        <f t="shared" si="64"/>
        <v>0</v>
      </c>
      <c r="C389" s="35">
        <v>3</v>
      </c>
      <c r="D389" s="576" t="s">
        <v>17</v>
      </c>
      <c r="E389" s="576" t="s">
        <v>4593</v>
      </c>
      <c r="F389" s="552" t="s">
        <v>2699</v>
      </c>
      <c r="G389" s="37" t="str">
        <f>IFERROR(VLOOKUP(E389,SINAPI!A:D,2,0),"")</f>
        <v>Alvenaria de tijolos maciços</v>
      </c>
      <c r="H389" s="578"/>
      <c r="I389" s="40" t="str">
        <f>IFERROR(VLOOKUP(E389,SINAPI!A:D,3,0),"")</f>
        <v>m²</v>
      </c>
      <c r="J389" s="587">
        <f>(0.6*3.14)*0.15</f>
        <v>0.28299999999999997</v>
      </c>
      <c r="K389" s="40">
        <f>IFERROR(VLOOKUP(E389,SINAPI!A:D,4,0),"")</f>
        <v>256.19</v>
      </c>
      <c r="L389" s="580">
        <f t="shared" si="74"/>
        <v>72.5</v>
      </c>
      <c r="M389" s="264"/>
      <c r="N389" s="562"/>
      <c r="O389" s="562"/>
      <c r="P389" s="562"/>
      <c r="Q389" s="562"/>
    </row>
    <row r="390" spans="1:17" ht="15" hidden="1" customHeight="1" outlineLevel="1" x14ac:dyDescent="0.25">
      <c r="A390" s="660" t="b">
        <f t="shared" si="64"/>
        <v>0</v>
      </c>
      <c r="C390" s="35">
        <v>4</v>
      </c>
      <c r="D390" s="550" t="s">
        <v>2747</v>
      </c>
      <c r="E390" s="550">
        <v>87316</v>
      </c>
      <c r="F390" s="552" t="s">
        <v>3245</v>
      </c>
      <c r="G390" s="37" t="str">
        <f>IFERROR(VLOOKUP(E390,SINAPI!A:D,2,0),"")</f>
        <v>ARGAMASSA TRAÇO 1:4 (EM VOLUME DE CIMENTO E AREIA GROSSA ÚMIDA) PARA CHAPISCO CONVENCIONAL, PREPARO MECÂNICO COM BETONEIRA 400 L. AF_08/2019</v>
      </c>
      <c r="H390" s="578"/>
      <c r="I390" s="40" t="str">
        <f>IFERROR(VLOOKUP(E390,SINAPI!A:D,3,0),"")</f>
        <v>M3</v>
      </c>
      <c r="J390" s="587">
        <f>J389*0.02</f>
        <v>6.0000000000000001E-3</v>
      </c>
      <c r="K390" s="40">
        <f>IFERROR(VLOOKUP(E390,SINAPI!A:D,4,0),"")</f>
        <v>514.58000000000004</v>
      </c>
      <c r="L390" s="580">
        <f t="shared" si="74"/>
        <v>3.09</v>
      </c>
      <c r="M390" s="264"/>
      <c r="N390" s="562"/>
      <c r="O390" s="562"/>
      <c r="P390" s="562"/>
      <c r="Q390" s="562"/>
    </row>
    <row r="391" spans="1:17" ht="15" hidden="1" customHeight="1" outlineLevel="1" x14ac:dyDescent="0.25">
      <c r="A391" s="660" t="b">
        <f t="shared" si="64"/>
        <v>0</v>
      </c>
      <c r="C391" s="35">
        <v>5</v>
      </c>
      <c r="D391" s="550" t="s">
        <v>2747</v>
      </c>
      <c r="E391" s="550">
        <v>94964</v>
      </c>
      <c r="F391" s="552" t="s">
        <v>3246</v>
      </c>
      <c r="G391" s="37" t="str">
        <f>IFERROR(VLOOKUP(E391,SINAPI!A:D,2,0),"")</f>
        <v>CONCRETO FCK = 20MPA, TRAÇO 1:2,7:3 (EM MASSA SECA DE CIMENTO/ AREIA MÉDIA/ BRITA 1) - PREPARO MECÂNICO COM BETONEIRA 400 L. AF_05/2021</v>
      </c>
      <c r="H391" s="578"/>
      <c r="I391" s="40" t="str">
        <f>IFERROR(VLOOKUP(E391,SINAPI!A:D,3,0),"")</f>
        <v>M3</v>
      </c>
      <c r="J391" s="587">
        <f>(0.6*3.14)*0.05*0.2</f>
        <v>1.9E-2</v>
      </c>
      <c r="K391" s="40">
        <f>IFERROR(VLOOKUP(E391,SINAPI!A:D,4,0),"")</f>
        <v>506.05</v>
      </c>
      <c r="L391" s="580">
        <f t="shared" si="74"/>
        <v>9.61</v>
      </c>
      <c r="M391" s="264"/>
      <c r="N391" s="562"/>
      <c r="O391" s="562"/>
      <c r="P391" s="562"/>
      <c r="Q391" s="562"/>
    </row>
    <row r="392" spans="1:17" ht="15" hidden="1" customHeight="1" outlineLevel="1" thickBot="1" x14ac:dyDescent="0.3">
      <c r="A392" s="660" t="b">
        <f t="shared" si="64"/>
        <v>0</v>
      </c>
      <c r="C392" s="230" t="s">
        <v>96</v>
      </c>
      <c r="D392" s="231"/>
      <c r="E392" s="231"/>
      <c r="F392" s="231"/>
      <c r="G392" s="231"/>
      <c r="H392" s="231"/>
      <c r="I392" s="231"/>
      <c r="J392" s="231"/>
      <c r="K392" s="232"/>
      <c r="L392" s="581">
        <f>SUM(L387:L391)</f>
        <v>290.24</v>
      </c>
      <c r="M392" s="261"/>
      <c r="N392" s="562" t="str">
        <f>C386</f>
        <v>COMP 44</v>
      </c>
      <c r="O392" s="582">
        <f>L392</f>
        <v>290.24</v>
      </c>
      <c r="P392" s="562"/>
      <c r="Q392" s="562"/>
    </row>
    <row r="393" spans="1:17" ht="15" hidden="1" customHeight="1" outlineLevel="1" x14ac:dyDescent="0.25">
      <c r="A393" s="699" t="b">
        <f>_xlfn.XOR(C393=$S$2,C393=$S$3,C393=$S$4,C393=$S$5,C393=$S$6,C393=$S$7,C393=$S$8,C393=$S$9,C393=$S$10,C393=$S$11,C393=$S$12,C393=$S$13,C393=$S$14,C393=$S$15,C393=$S$16,C393=$S$17,C393=$S$18,C393=$S$19,C393=$S$20,C393=$S$21,C393=$S$22,C393=$S$23,C393=$S$24,C393=$S$25,C393=$S$26,C393=$S$27,C393=$S$28,C393=$S$29,C393=$S$30,C393=$S$316,C393=$S$32,C393=$S$33,C393=$S$34,C393=$S$35,C393=$S$36,C393=$S$37,C393=$S$38,C393=$S$39,C393=$S$40,C393=$S$41,C393=$S$42,)</f>
        <v>0</v>
      </c>
      <c r="C393" s="569" t="s">
        <v>3244</v>
      </c>
      <c r="D393" s="570"/>
      <c r="E393" s="570" t="str">
        <f>IFERROR(VLOOKUP(C393,SINAPI!A:D,2,0),"")</f>
        <v>Correção de altura de caixas existentes, com troca de tampa</v>
      </c>
      <c r="F393" s="570"/>
      <c r="G393" s="217"/>
      <c r="H393" s="571"/>
      <c r="I393" s="572" t="s">
        <v>2603</v>
      </c>
      <c r="J393" s="573"/>
      <c r="K393" s="573" t="s">
        <v>2603</v>
      </c>
      <c r="L393" s="574" t="str">
        <f>IF(J393="","",ROUND(J393*#REF!,2))</f>
        <v/>
      </c>
      <c r="M393" s="575"/>
      <c r="N393" s="562"/>
      <c r="O393" s="562"/>
      <c r="P393" s="562"/>
      <c r="Q393" s="562"/>
    </row>
    <row r="394" spans="1:17" ht="15" hidden="1" customHeight="1" outlineLevel="1" x14ac:dyDescent="0.25">
      <c r="A394" s="660" t="b">
        <f t="shared" si="64"/>
        <v>0</v>
      </c>
      <c r="C394" s="35">
        <v>1</v>
      </c>
      <c r="D394" s="550" t="s">
        <v>2747</v>
      </c>
      <c r="E394" s="550">
        <v>88309</v>
      </c>
      <c r="F394" s="552" t="s">
        <v>2751</v>
      </c>
      <c r="G394" s="37" t="str">
        <f>IFERROR(VLOOKUP(E394,SINAPI!A:D,2,0),"")</f>
        <v>PEDREIRO COM ENCARGOS COMPLEMENTARES</v>
      </c>
      <c r="H394" s="578"/>
      <c r="I394" s="40" t="str">
        <f>IFERROR(VLOOKUP(E394,SINAPI!A:D,3,0),"")</f>
        <v>H</v>
      </c>
      <c r="J394" s="587">
        <f>2*2</f>
        <v>4</v>
      </c>
      <c r="K394" s="40">
        <f>IFERROR(VLOOKUP(E394,SINAPI!A:D,4,0),"")</f>
        <v>30.44</v>
      </c>
      <c r="L394" s="580">
        <f>IF(J394="","",ROUND(J394*K394,2))</f>
        <v>121.76</v>
      </c>
      <c r="M394" s="264"/>
      <c r="N394" s="562"/>
      <c r="O394" s="562"/>
      <c r="P394" s="562"/>
      <c r="Q394" s="562"/>
    </row>
    <row r="395" spans="1:17" ht="15" hidden="1" customHeight="1" outlineLevel="1" x14ac:dyDescent="0.25">
      <c r="A395" s="660" t="b">
        <f t="shared" si="64"/>
        <v>0</v>
      </c>
      <c r="C395" s="35">
        <v>2</v>
      </c>
      <c r="D395" s="550" t="s">
        <v>2747</v>
      </c>
      <c r="E395" s="550">
        <v>88316</v>
      </c>
      <c r="F395" s="552" t="s">
        <v>2740</v>
      </c>
      <c r="G395" s="37" t="str">
        <f>IFERROR(VLOOKUP(E395,SINAPI!A:D,2,0),"")</f>
        <v>SERVENTE COM ENCARGOS COMPLEMENTARES</v>
      </c>
      <c r="H395" s="578"/>
      <c r="I395" s="40" t="str">
        <f>IFERROR(VLOOKUP(E395,SINAPI!A:D,3,0),"")</f>
        <v>H</v>
      </c>
      <c r="J395" s="587">
        <f>J394</f>
        <v>4</v>
      </c>
      <c r="K395" s="40">
        <f>IFERROR(VLOOKUP(E395,SINAPI!A:D,4,0),"")</f>
        <v>20.82</v>
      </c>
      <c r="L395" s="580">
        <f t="shared" ref="L395:L399" si="75">IF(J395="","",ROUND(J395*K395,2))</f>
        <v>83.28</v>
      </c>
      <c r="M395" s="264"/>
      <c r="N395" s="562"/>
      <c r="O395" s="562"/>
      <c r="P395" s="562"/>
      <c r="Q395" s="562"/>
    </row>
    <row r="396" spans="1:17" ht="15" hidden="1" customHeight="1" outlineLevel="1" x14ac:dyDescent="0.25">
      <c r="A396" s="660" t="b">
        <f t="shared" si="64"/>
        <v>0</v>
      </c>
      <c r="C396" s="35">
        <v>3</v>
      </c>
      <c r="D396" s="576" t="s">
        <v>17</v>
      </c>
      <c r="E396" s="576" t="s">
        <v>4593</v>
      </c>
      <c r="F396" s="552" t="s">
        <v>2699</v>
      </c>
      <c r="G396" s="37" t="str">
        <f>IFERROR(VLOOKUP(E396,SINAPI!A:D,2,0),"")</f>
        <v>Alvenaria de tijolos maciços</v>
      </c>
      <c r="H396" s="578"/>
      <c r="I396" s="40" t="str">
        <f>IFERROR(VLOOKUP(E396,SINAPI!A:D,3,0),"")</f>
        <v>m²</v>
      </c>
      <c r="J396" s="587">
        <f>(0.6*3.14)*0.15</f>
        <v>0.28299999999999997</v>
      </c>
      <c r="K396" s="40">
        <f>IFERROR(VLOOKUP(E396,SINAPI!A:D,4,0),"")</f>
        <v>256.19</v>
      </c>
      <c r="L396" s="580">
        <f t="shared" si="75"/>
        <v>72.5</v>
      </c>
      <c r="M396" s="264"/>
      <c r="N396" s="562"/>
      <c r="O396" s="562"/>
      <c r="P396" s="562"/>
      <c r="Q396" s="562"/>
    </row>
    <row r="397" spans="1:17" ht="15" hidden="1" customHeight="1" outlineLevel="1" x14ac:dyDescent="0.25">
      <c r="A397" s="660" t="b">
        <f t="shared" si="64"/>
        <v>0</v>
      </c>
      <c r="C397" s="35">
        <v>4</v>
      </c>
      <c r="D397" s="550" t="s">
        <v>2747</v>
      </c>
      <c r="E397" s="550">
        <v>87316</v>
      </c>
      <c r="F397" s="552" t="s">
        <v>3245</v>
      </c>
      <c r="G397" s="37" t="str">
        <f>IFERROR(VLOOKUP(E397,SINAPI!A:D,2,0),"")</f>
        <v>ARGAMASSA TRAÇO 1:4 (EM VOLUME DE CIMENTO E AREIA GROSSA ÚMIDA) PARA CHAPISCO CONVENCIONAL, PREPARO MECÂNICO COM BETONEIRA 400 L. AF_08/2019</v>
      </c>
      <c r="H397" s="578"/>
      <c r="I397" s="40" t="str">
        <f>IFERROR(VLOOKUP(E397,SINAPI!A:D,3,0),"")</f>
        <v>M3</v>
      </c>
      <c r="J397" s="587">
        <f>J396*0.02</f>
        <v>6.0000000000000001E-3</v>
      </c>
      <c r="K397" s="40">
        <f>IFERROR(VLOOKUP(E397,SINAPI!A:D,4,0),"")</f>
        <v>514.58000000000004</v>
      </c>
      <c r="L397" s="580">
        <f t="shared" si="75"/>
        <v>3.09</v>
      </c>
      <c r="M397" s="264"/>
      <c r="N397" s="562"/>
      <c r="O397" s="562"/>
      <c r="P397" s="562"/>
      <c r="Q397" s="562"/>
    </row>
    <row r="398" spans="1:17" ht="15" hidden="1" customHeight="1" outlineLevel="1" x14ac:dyDescent="0.25">
      <c r="A398" s="660" t="b">
        <f t="shared" si="64"/>
        <v>0</v>
      </c>
      <c r="C398" s="35">
        <v>5</v>
      </c>
      <c r="D398" s="550" t="s">
        <v>2747</v>
      </c>
      <c r="E398" s="550">
        <v>94964</v>
      </c>
      <c r="F398" s="552" t="s">
        <v>3246</v>
      </c>
      <c r="G398" s="37" t="str">
        <f>IFERROR(VLOOKUP(E398,SINAPI!A:D,2,0),"")</f>
        <v>CONCRETO FCK = 20MPA, TRAÇO 1:2,7:3 (EM MASSA SECA DE CIMENTO/ AREIA MÉDIA/ BRITA 1) - PREPARO MECÂNICO COM BETONEIRA 400 L. AF_05/2021</v>
      </c>
      <c r="H398" s="578"/>
      <c r="I398" s="40" t="str">
        <f>IFERROR(VLOOKUP(E398,SINAPI!A:D,3,0),"")</f>
        <v>M3</v>
      </c>
      <c r="J398" s="587">
        <f>(0.6*3.14)*0.05*0.2</f>
        <v>1.9E-2</v>
      </c>
      <c r="K398" s="40">
        <f>IFERROR(VLOOKUP(E398,SINAPI!A:D,4,0),"")</f>
        <v>506.05</v>
      </c>
      <c r="L398" s="580">
        <f t="shared" si="75"/>
        <v>9.61</v>
      </c>
      <c r="M398" s="264"/>
      <c r="N398" s="562"/>
      <c r="O398" s="562"/>
      <c r="P398" s="562"/>
      <c r="Q398" s="562"/>
    </row>
    <row r="399" spans="1:17" ht="15" hidden="1" customHeight="1" outlineLevel="1" x14ac:dyDescent="0.25">
      <c r="A399" s="660" t="b">
        <f t="shared" si="64"/>
        <v>0</v>
      </c>
      <c r="C399" s="35">
        <v>6</v>
      </c>
      <c r="D399" s="550" t="s">
        <v>2747</v>
      </c>
      <c r="E399" s="550">
        <v>11301</v>
      </c>
      <c r="F399" s="552" t="s">
        <v>3247</v>
      </c>
      <c r="G399" s="37" t="str">
        <f>IFERROR(VLOOKUP(E399,SINAPI!A:D,2,0),"")</f>
        <v xml:space="preserve">TAMPAO FOFO ARTICULADO, CLASSE B125 CARGA MAX 12,5 T, REDONDO, TAMPA 600 MM (COM INSCRICAO EM RELEVO DO TIPO DE REDE)                                                                                                                                                                                                                                                                                                                                                                                     </v>
      </c>
      <c r="H399" s="578"/>
      <c r="I399" s="40" t="str">
        <f>IFERROR(VLOOKUP(E399,SINAPI!A:D,3,0),"")</f>
        <v xml:space="preserve">UN    </v>
      </c>
      <c r="J399" s="587">
        <v>1</v>
      </c>
      <c r="K399" s="40">
        <f>IFERROR(VLOOKUP(E399,SINAPI!A:D,4,0),"")</f>
        <v>654.96</v>
      </c>
      <c r="L399" s="580">
        <f t="shared" si="75"/>
        <v>654.96</v>
      </c>
      <c r="M399" s="264"/>
      <c r="N399" s="562"/>
      <c r="O399" s="562"/>
      <c r="P399" s="562"/>
      <c r="Q399" s="562"/>
    </row>
    <row r="400" spans="1:17" ht="15" hidden="1" customHeight="1" outlineLevel="1" thickBot="1" x14ac:dyDescent="0.3">
      <c r="A400" s="660" t="b">
        <f t="shared" si="64"/>
        <v>0</v>
      </c>
      <c r="C400" s="230" t="s">
        <v>96</v>
      </c>
      <c r="D400" s="231"/>
      <c r="E400" s="231"/>
      <c r="F400" s="231"/>
      <c r="G400" s="231"/>
      <c r="H400" s="231"/>
      <c r="I400" s="231"/>
      <c r="J400" s="231"/>
      <c r="K400" s="232"/>
      <c r="L400" s="581">
        <f>SUM(L394:L399)</f>
        <v>945.2</v>
      </c>
      <c r="M400" s="261"/>
      <c r="N400" s="562" t="str">
        <f>C393</f>
        <v>COMP 45</v>
      </c>
      <c r="O400" s="582">
        <f>L400</f>
        <v>945.2</v>
      </c>
      <c r="P400" s="562"/>
      <c r="Q400" s="562"/>
    </row>
    <row r="401" spans="1:17" ht="15" hidden="1" customHeight="1" outlineLevel="1" x14ac:dyDescent="0.25">
      <c r="A401" s="699" t="b">
        <f>_xlfn.XOR(C401=$S$2,C401=$S$3,C401=$S$4,C401=$S$5,C401=$S$6,C401=$S$7,C401=$S$8,C401=$S$9,C401=$S$10,C401=$S$11,C401=$S$12,C401=$S$13,C401=$S$14,C401=$S$15,C401=$S$16,C401=$S$17,C401=$S$18,C401=$S$19,C401=$S$20,C401=$S$21,C401=$S$22,C401=$S$23,C401=$S$24,C401=$S$25,C401=$S$26,C401=$S$27,C401=$S$28,C401=$S$29,C401=$S$30,C401=$S$316,C401=$S$32,C401=$S$33,C401=$S$34,C401=$S$35,C401=$S$36,C401=$S$37,C401=$S$38,C401=$S$39,C401=$S$40,C401=$S$41,C401=$S$42,)</f>
        <v>0</v>
      </c>
      <c r="C401" s="569" t="s">
        <v>3301</v>
      </c>
      <c r="D401" s="570"/>
      <c r="E401" s="570" t="str">
        <f>IFERROR(VLOOKUP(C401,SINAPI!A:D,2,0),"")</f>
        <v>Reaterro de vala com brita</v>
      </c>
      <c r="F401" s="570"/>
      <c r="G401" s="217"/>
      <c r="H401" s="571"/>
      <c r="I401" s="572" t="s">
        <v>2603</v>
      </c>
      <c r="J401" s="573"/>
      <c r="K401" s="573" t="s">
        <v>2603</v>
      </c>
      <c r="L401" s="574" t="str">
        <f>IF(J401="","",ROUND(J401*#REF!,2))</f>
        <v/>
      </c>
      <c r="M401" s="575"/>
      <c r="N401" s="562"/>
      <c r="O401" s="562"/>
      <c r="P401" s="562"/>
      <c r="Q401" s="562"/>
    </row>
    <row r="402" spans="1:17" ht="15" hidden="1" customHeight="1" outlineLevel="1" x14ac:dyDescent="0.25">
      <c r="A402" s="660" t="b">
        <f t="shared" ref="A402:A408" si="76">A401</f>
        <v>0</v>
      </c>
      <c r="C402" s="35">
        <v>1</v>
      </c>
      <c r="D402" s="526" t="s">
        <v>2639</v>
      </c>
      <c r="E402" s="654" t="s">
        <v>6429</v>
      </c>
      <c r="F402" s="655" t="s">
        <v>6433</v>
      </c>
      <c r="G402" s="37" t="str">
        <f>IFERROR(VLOOKUP(E402,SINAPI!A:D,2,0),"")</f>
        <v>Retroescavadeira de pneus com capacidade de 0,76 m³ - 58 Kw CHP</v>
      </c>
      <c r="H402" s="578"/>
      <c r="I402" s="40" t="str">
        <f>IFERROR(VLOOKUP(E402,SINAPI!A:D,3,0),"")</f>
        <v>h</v>
      </c>
      <c r="J402" s="658">
        <v>0.03</v>
      </c>
      <c r="K402" s="40">
        <f>IFERROR(VLOOKUP(E402,SINAPI!A:D,4,0),"")</f>
        <v>163.31</v>
      </c>
      <c r="L402" s="580">
        <f>IF(J402="","",ROUND(J402*K402,2))</f>
        <v>4.9000000000000004</v>
      </c>
      <c r="M402" s="264"/>
      <c r="N402" s="562"/>
      <c r="O402" s="562"/>
      <c r="P402" s="562"/>
      <c r="Q402" s="562"/>
    </row>
    <row r="403" spans="1:17" ht="15" hidden="1" customHeight="1" outlineLevel="1" x14ac:dyDescent="0.25">
      <c r="A403" s="660" t="b">
        <f t="shared" si="76"/>
        <v>0</v>
      </c>
      <c r="C403" s="35">
        <v>2</v>
      </c>
      <c r="D403" s="526" t="s">
        <v>2639</v>
      </c>
      <c r="E403" s="656" t="s">
        <v>6430</v>
      </c>
      <c r="F403" s="655" t="s">
        <v>6434</v>
      </c>
      <c r="G403" s="37" t="str">
        <f>IFERROR(VLOOKUP(E403,SINAPI!A:D,2,0),"")</f>
        <v>Retroescavadeira de pneus com capacidade de 0,76 m³ - 58 Kw CHI</v>
      </c>
      <c r="H403" s="578"/>
      <c r="I403" s="40" t="str">
        <f>IFERROR(VLOOKUP(E403,SINAPI!A:D,3,0),"")</f>
        <v>h</v>
      </c>
      <c r="J403" s="658">
        <v>3.9E-2</v>
      </c>
      <c r="K403" s="40">
        <f>IFERROR(VLOOKUP(E403,SINAPI!A:D,4,0),"")</f>
        <v>74.73</v>
      </c>
      <c r="L403" s="580">
        <f t="shared" ref="L403:L407" si="77">IF(J403="","",ROUND(J403*K403,2))</f>
        <v>2.91</v>
      </c>
      <c r="M403" s="264"/>
      <c r="N403" s="562"/>
      <c r="O403" s="562"/>
      <c r="P403" s="562"/>
      <c r="Q403" s="562"/>
    </row>
    <row r="404" spans="1:17" ht="15" hidden="1" customHeight="1" outlineLevel="1" x14ac:dyDescent="0.25">
      <c r="A404" s="660" t="b">
        <f t="shared" si="76"/>
        <v>0</v>
      </c>
      <c r="C404" s="35">
        <v>3</v>
      </c>
      <c r="D404" s="550" t="s">
        <v>2639</v>
      </c>
      <c r="E404" s="551" t="s">
        <v>6398</v>
      </c>
      <c r="F404" s="657" t="s">
        <v>2740</v>
      </c>
      <c r="G404" s="37" t="str">
        <f>IFERROR(VLOOKUP(E404,SINAPI!A:D,2,0),"")</f>
        <v>Servente</v>
      </c>
      <c r="H404" s="578"/>
      <c r="I404" s="40" t="str">
        <f>IFERROR(VLOOKUP(E404,SINAPI!A:D,3,0),"")</f>
        <v>h</v>
      </c>
      <c r="J404" s="658">
        <v>2.8000000000000001E-2</v>
      </c>
      <c r="K404" s="40">
        <f>IFERROR(VLOOKUP(E404,SINAPI!A:D,4,0),"")</f>
        <v>6.61</v>
      </c>
      <c r="L404" s="580">
        <f t="shared" si="77"/>
        <v>0.19</v>
      </c>
      <c r="M404" s="264"/>
      <c r="N404" s="562"/>
      <c r="O404" s="562"/>
      <c r="P404" s="562"/>
      <c r="Q404" s="562"/>
    </row>
    <row r="405" spans="1:17" ht="15" hidden="1" customHeight="1" outlineLevel="1" x14ac:dyDescent="0.25">
      <c r="A405" s="660" t="b">
        <f t="shared" si="76"/>
        <v>0</v>
      </c>
      <c r="C405" s="35">
        <v>4</v>
      </c>
      <c r="D405" s="526" t="s">
        <v>2639</v>
      </c>
      <c r="E405" s="656" t="s">
        <v>6435</v>
      </c>
      <c r="F405" s="657" t="s">
        <v>3303</v>
      </c>
      <c r="G405" s="37" t="str">
        <f>IFERROR(VLOOKUP(E405,SINAPI!A:D,2,0),"")</f>
        <v>Compactador manual de placa vibratória - 3,00 kW CHP</v>
      </c>
      <c r="H405" s="578"/>
      <c r="I405" s="40" t="str">
        <f>IFERROR(VLOOKUP(E405,SINAPI!A:D,3,0),"")</f>
        <v>h</v>
      </c>
      <c r="J405" s="658">
        <v>0.158</v>
      </c>
      <c r="K405" s="40">
        <f>IFERROR(VLOOKUP(E405,SINAPI!A:D,4,0),"")</f>
        <v>7.66</v>
      </c>
      <c r="L405" s="580">
        <f t="shared" si="77"/>
        <v>1.21</v>
      </c>
      <c r="M405" s="264"/>
      <c r="N405" s="562"/>
      <c r="O405" s="562"/>
      <c r="P405" s="562"/>
      <c r="Q405" s="562"/>
    </row>
    <row r="406" spans="1:17" ht="15" hidden="1" customHeight="1" outlineLevel="1" x14ac:dyDescent="0.25">
      <c r="A406" s="660" t="b">
        <f t="shared" si="76"/>
        <v>0</v>
      </c>
      <c r="C406" s="35">
        <v>5</v>
      </c>
      <c r="D406" s="526" t="s">
        <v>2639</v>
      </c>
      <c r="E406" s="654" t="s">
        <v>6436</v>
      </c>
      <c r="F406" s="657" t="s">
        <v>6439</v>
      </c>
      <c r="G406" s="37" t="str">
        <f>IFERROR(VLOOKUP(E406,SINAPI!A:D,2,0),"")</f>
        <v>Compactador manual de placa vibratória - 3,00 kW CHI</v>
      </c>
      <c r="H406" s="578"/>
      <c r="I406" s="40" t="str">
        <f>IFERROR(VLOOKUP(E406,SINAPI!A:D,3,0),"")</f>
        <v>h</v>
      </c>
      <c r="J406" s="658">
        <v>0.14699999999999999</v>
      </c>
      <c r="K406" s="40">
        <f>IFERROR(VLOOKUP(E406,SINAPI!A:D,4,0),"")</f>
        <v>0.81</v>
      </c>
      <c r="L406" s="580">
        <f t="shared" si="77"/>
        <v>0.12</v>
      </c>
      <c r="M406" s="264"/>
      <c r="N406" s="562"/>
      <c r="O406" s="562"/>
      <c r="P406" s="562"/>
      <c r="Q406" s="562"/>
    </row>
    <row r="407" spans="1:17" ht="15" hidden="1" customHeight="1" outlineLevel="1" x14ac:dyDescent="0.25">
      <c r="A407" s="660" t="b">
        <f t="shared" si="76"/>
        <v>0</v>
      </c>
      <c r="C407" s="35">
        <v>6</v>
      </c>
      <c r="D407" s="550" t="s">
        <v>2639</v>
      </c>
      <c r="E407" s="550" t="s">
        <v>6400</v>
      </c>
      <c r="F407" s="552" t="s">
        <v>6402</v>
      </c>
      <c r="G407" s="37" t="str">
        <f>IFERROR(VLOOKUP(E407,SINAPI!A:D,2,0),"")</f>
        <v>Brita 1</v>
      </c>
      <c r="H407" s="578"/>
      <c r="I407" s="40" t="str">
        <f>IFERROR(VLOOKUP(E407,SINAPI!A:D,3,0),"")</f>
        <v>m³</v>
      </c>
      <c r="J407" s="658">
        <v>1</v>
      </c>
      <c r="K407" s="40">
        <f>IFERROR(VLOOKUP(E407,SINAPI!A:D,4,0),"")</f>
        <v>121.33</v>
      </c>
      <c r="L407" s="580">
        <f t="shared" si="77"/>
        <v>121.33</v>
      </c>
      <c r="M407" s="264"/>
      <c r="N407" s="562"/>
      <c r="O407" s="562"/>
      <c r="P407" s="562"/>
      <c r="Q407" s="562"/>
    </row>
    <row r="408" spans="1:17" ht="15" hidden="1" customHeight="1" outlineLevel="1" thickBot="1" x14ac:dyDescent="0.3">
      <c r="A408" s="660" t="b">
        <f t="shared" si="76"/>
        <v>0</v>
      </c>
      <c r="C408" s="230" t="s">
        <v>96</v>
      </c>
      <c r="D408" s="231"/>
      <c r="E408" s="231"/>
      <c r="F408" s="231"/>
      <c r="G408" s="231"/>
      <c r="H408" s="231"/>
      <c r="I408" s="231"/>
      <c r="J408" s="231"/>
      <c r="K408" s="232"/>
      <c r="L408" s="581">
        <f>SUM(L402:L407)</f>
        <v>130.66</v>
      </c>
      <c r="M408" s="261"/>
      <c r="N408" s="562" t="str">
        <f>C401</f>
        <v>COMP 46</v>
      </c>
      <c r="O408" s="582">
        <f>L408</f>
        <v>130.66</v>
      </c>
      <c r="P408" s="562"/>
      <c r="Q408" s="562"/>
    </row>
    <row r="409" spans="1:17" ht="15" hidden="1" customHeight="1" outlineLevel="1" x14ac:dyDescent="0.25">
      <c r="A409" s="699" t="b">
        <f>OR(A32)</f>
        <v>0</v>
      </c>
      <c r="C409" s="569" t="s">
        <v>3343</v>
      </c>
      <c r="D409" s="570"/>
      <c r="E409" s="570" t="str">
        <f>IFERROR(VLOOKUP(C409,SINAPI!A:D,2,0),"")</f>
        <v>Grelha metálica articulada 115x75cm</v>
      </c>
      <c r="F409" s="570"/>
      <c r="G409" s="217"/>
      <c r="H409" s="571"/>
      <c r="I409" s="572" t="str">
        <f>IFERROR(VLOOKUP(C409,SINAPI!A:D,3,0),"")</f>
        <v>un</v>
      </c>
      <c r="J409" s="573"/>
      <c r="K409" s="573" t="s">
        <v>2603</v>
      </c>
      <c r="L409" s="574" t="str">
        <f>IF(J409="","",ROUND(J409*#REF!,2))</f>
        <v/>
      </c>
      <c r="M409" s="575"/>
      <c r="N409" s="562"/>
      <c r="O409" s="562"/>
      <c r="P409" s="562"/>
      <c r="Q409" s="562"/>
    </row>
    <row r="410" spans="1:17" ht="15" hidden="1" customHeight="1" outlineLevel="1" x14ac:dyDescent="0.25">
      <c r="A410" s="702" t="b">
        <f t="shared" ref="A410:A430" si="78">A409</f>
        <v>0</v>
      </c>
      <c r="C410" s="35">
        <v>1</v>
      </c>
      <c r="D410" s="576" t="s">
        <v>2747</v>
      </c>
      <c r="E410" s="576">
        <v>88317</v>
      </c>
      <c r="F410" s="577" t="s">
        <v>2739</v>
      </c>
      <c r="G410" s="37" t="str">
        <f>IFERROR(VLOOKUP(E410,SINAPI!A:D,2,0),"")</f>
        <v>SOLDADOR COM ENCARGOS COMPLEMENTARES</v>
      </c>
      <c r="H410" s="578"/>
      <c r="I410" s="40" t="str">
        <f>IFERROR(VLOOKUP(E410,SINAPI!A:D,3,0),"")</f>
        <v>H</v>
      </c>
      <c r="J410" s="579">
        <v>2.5</v>
      </c>
      <c r="K410" s="40">
        <f>IFERROR(VLOOKUP(E410,SINAPI!A:D,4,0),"")</f>
        <v>29.84</v>
      </c>
      <c r="L410" s="580">
        <f>IF(J410="","",ROUND(J410*K410,2))</f>
        <v>74.599999999999994</v>
      </c>
      <c r="M410" s="264"/>
      <c r="N410" s="562"/>
      <c r="O410" s="562"/>
      <c r="P410" s="562"/>
      <c r="Q410" s="562"/>
    </row>
    <row r="411" spans="1:17" ht="15" hidden="1" customHeight="1" outlineLevel="1" x14ac:dyDescent="0.25">
      <c r="A411" s="702" t="b">
        <f t="shared" si="78"/>
        <v>0</v>
      </c>
      <c r="C411" s="35">
        <v>2</v>
      </c>
      <c r="D411" s="576" t="s">
        <v>2747</v>
      </c>
      <c r="E411" s="576">
        <v>88316</v>
      </c>
      <c r="F411" s="577" t="s">
        <v>2740</v>
      </c>
      <c r="G411" s="37" t="str">
        <f>IFERROR(VLOOKUP(E411,SINAPI!A:D,2,0),"")</f>
        <v>SERVENTE COM ENCARGOS COMPLEMENTARES</v>
      </c>
      <c r="H411" s="578"/>
      <c r="I411" s="40" t="str">
        <f>IFERROR(VLOOKUP(E411,SINAPI!A:D,3,0),"")</f>
        <v>H</v>
      </c>
      <c r="J411" s="579">
        <f>J410</f>
        <v>2.5</v>
      </c>
      <c r="K411" s="40">
        <f>IFERROR(VLOOKUP(E411,SINAPI!A:D,4,0),"")</f>
        <v>20.82</v>
      </c>
      <c r="L411" s="580">
        <f t="shared" ref="L411:L418" si="79">IF(J411="","",ROUND(J411*K411,2))</f>
        <v>52.05</v>
      </c>
      <c r="M411" s="264"/>
      <c r="N411" s="562"/>
      <c r="O411" s="562"/>
      <c r="P411" s="562"/>
      <c r="Q411" s="562"/>
    </row>
    <row r="412" spans="1:17" ht="15" hidden="1" customHeight="1" outlineLevel="1" x14ac:dyDescent="0.25">
      <c r="A412" s="702" t="b">
        <f t="shared" si="78"/>
        <v>0</v>
      </c>
      <c r="C412" s="35">
        <v>3</v>
      </c>
      <c r="D412" s="576" t="s">
        <v>2748</v>
      </c>
      <c r="E412" s="576">
        <v>10998</v>
      </c>
      <c r="F412" s="577" t="s">
        <v>2741</v>
      </c>
      <c r="G412" s="37" t="str">
        <f>IFERROR(VLOOKUP(E412,SINAPI!A:D,2,0),"")</f>
        <v xml:space="preserve">ELETRODO REVESTIDO AWS - E-6010, DIAMETRO IGUAL A 4,00 MM                                                                                                                                                                                                                                                                                                                                                                                                                                                 </v>
      </c>
      <c r="H412" s="578"/>
      <c r="I412" s="40" t="str">
        <f>IFERROR(VLOOKUP(E412,SINAPI!A:D,3,0),"")</f>
        <v xml:space="preserve">KG    </v>
      </c>
      <c r="J412" s="579">
        <v>3</v>
      </c>
      <c r="K412" s="40">
        <f>IFERROR(VLOOKUP(E412,SINAPI!A:D,4,0),"")</f>
        <v>41.61</v>
      </c>
      <c r="L412" s="580">
        <f t="shared" si="79"/>
        <v>124.83</v>
      </c>
      <c r="M412" s="264"/>
      <c r="N412" s="562"/>
      <c r="O412" s="562"/>
      <c r="P412" s="562"/>
      <c r="Q412" s="562"/>
    </row>
    <row r="413" spans="1:17" ht="15" hidden="1" customHeight="1" outlineLevel="1" x14ac:dyDescent="0.25">
      <c r="A413" s="702" t="b">
        <f t="shared" si="78"/>
        <v>0</v>
      </c>
      <c r="C413" s="35">
        <v>4</v>
      </c>
      <c r="D413" s="576" t="s">
        <v>2748</v>
      </c>
      <c r="E413" s="550">
        <v>43056</v>
      </c>
      <c r="F413" s="552" t="s">
        <v>3180</v>
      </c>
      <c r="G413" s="37" t="str">
        <f>IFERROR(VLOOKUP(E413,SINAPI!A:D,2,0),"")</f>
        <v xml:space="preserve">ACO CA-50, 20,0 MM OU 25,0 MM, VERGALHAO                                                                                                                                                                                                                                                                                                                                                                                                                                                                  </v>
      </c>
      <c r="H413" s="578"/>
      <c r="I413" s="40" t="str">
        <f>IFERROR(VLOOKUP(E413,SINAPI!A:D,3,0),"")</f>
        <v xml:space="preserve">KG    </v>
      </c>
      <c r="J413" s="579">
        <f>DISPOSITIVOS!K47</f>
        <v>53.46</v>
      </c>
      <c r="K413" s="40">
        <f>IFERROR(VLOOKUP(E413,SINAPI!A:D,4,0),"")</f>
        <v>9.43</v>
      </c>
      <c r="L413" s="580">
        <f t="shared" si="79"/>
        <v>504.13</v>
      </c>
      <c r="M413" s="264"/>
      <c r="N413" s="562"/>
      <c r="O413" s="562"/>
      <c r="P413" s="562"/>
      <c r="Q413" s="562"/>
    </row>
    <row r="414" spans="1:17" ht="15" hidden="1" customHeight="1" outlineLevel="1" x14ac:dyDescent="0.25">
      <c r="A414" s="702" t="b">
        <f t="shared" si="78"/>
        <v>0</v>
      </c>
      <c r="C414" s="35">
        <v>5</v>
      </c>
      <c r="D414" s="576" t="s">
        <v>2748</v>
      </c>
      <c r="E414" s="576">
        <v>4777</v>
      </c>
      <c r="F414" s="577" t="s">
        <v>2742</v>
      </c>
      <c r="G414" s="37" t="str">
        <f>IFERROR(VLOOKUP(E414,SINAPI!A:D,2,0),"")</f>
        <v xml:space="preserve">CANTONEIRA ACO ABAS IGUAIS (QUALQUER BITOLA), ESPESSURA ENTRE 1/8" E 1/4"                                                                                                                                                                                                                                                                                                                                                                                                                                 </v>
      </c>
      <c r="H414" s="578"/>
      <c r="I414" s="40" t="str">
        <f>IFERROR(VLOOKUP(E414,SINAPI!A:D,3,0),"")</f>
        <v xml:space="preserve">KG    </v>
      </c>
      <c r="J414" s="579">
        <f>DISPOSITIVOS!K50</f>
        <v>19.73</v>
      </c>
      <c r="K414" s="40">
        <f>IFERROR(VLOOKUP(E414,SINAPI!A:D,4,0),"")</f>
        <v>13.4</v>
      </c>
      <c r="L414" s="580">
        <f t="shared" si="79"/>
        <v>264.38</v>
      </c>
      <c r="M414" s="264"/>
      <c r="N414" s="562"/>
      <c r="O414" s="562"/>
      <c r="P414" s="562"/>
      <c r="Q414" s="562"/>
    </row>
    <row r="415" spans="1:17" ht="15" hidden="1" customHeight="1" outlineLevel="1" x14ac:dyDescent="0.25">
      <c r="A415" s="702" t="b">
        <f t="shared" si="78"/>
        <v>0</v>
      </c>
      <c r="C415" s="35">
        <v>6</v>
      </c>
      <c r="D415" s="576" t="s">
        <v>2747</v>
      </c>
      <c r="E415" s="576">
        <v>91692</v>
      </c>
      <c r="F415" s="577" t="s">
        <v>2743</v>
      </c>
      <c r="G415" s="37" t="str">
        <f>IFERROR(VLOOKUP(E415,SINAPI!A:D,2,0),"")</f>
        <v>SERRA CIRCULAR DE BANCADA COM MOTOR ELÉTRICO POTÊNCIA DE 5HP, COM COIFA PARA DISCO 10" - CHP DIURNO. AF_08/2015</v>
      </c>
      <c r="H415" s="578"/>
      <c r="I415" s="40" t="str">
        <f>IFERROR(VLOOKUP(E415,SINAPI!A:D,3,0),"")</f>
        <v>CHP</v>
      </c>
      <c r="J415" s="579">
        <v>1</v>
      </c>
      <c r="K415" s="40">
        <f>IFERROR(VLOOKUP(E415,SINAPI!A:D,4,0),"")</f>
        <v>27.32</v>
      </c>
      <c r="L415" s="580">
        <f t="shared" si="79"/>
        <v>27.32</v>
      </c>
      <c r="M415" s="264"/>
      <c r="N415" s="562"/>
      <c r="O415" s="562"/>
      <c r="P415" s="562"/>
      <c r="Q415" s="562"/>
    </row>
    <row r="416" spans="1:17" ht="15" hidden="1" customHeight="1" outlineLevel="1" x14ac:dyDescent="0.25">
      <c r="A416" s="702" t="b">
        <f t="shared" si="78"/>
        <v>0</v>
      </c>
      <c r="C416" s="35">
        <v>7</v>
      </c>
      <c r="D416" s="576" t="s">
        <v>2747</v>
      </c>
      <c r="E416" s="550">
        <v>91693</v>
      </c>
      <c r="F416" s="577" t="s">
        <v>2744</v>
      </c>
      <c r="G416" s="37" t="str">
        <f>IFERROR(VLOOKUP(E416,SINAPI!A:D,2,0),"")</f>
        <v>SERRA CIRCULAR DE BANCADA COM MOTOR ELÉTRICO POTÊNCIA DE 5HP, COM COIFA PARA DISCO 10" - CHI DIURNO. AF_08/2015</v>
      </c>
      <c r="H416" s="578"/>
      <c r="I416" s="40" t="str">
        <f>IFERROR(VLOOKUP(E416,SINAPI!A:D,3,0),"")</f>
        <v>CHI</v>
      </c>
      <c r="J416" s="579">
        <f>J415</f>
        <v>1</v>
      </c>
      <c r="K416" s="40">
        <f>IFERROR(VLOOKUP(E416,SINAPI!A:D,4,0),"")</f>
        <v>26.3</v>
      </c>
      <c r="L416" s="580">
        <f t="shared" si="79"/>
        <v>26.3</v>
      </c>
      <c r="M416" s="264"/>
      <c r="N416" s="562"/>
      <c r="O416" s="562"/>
      <c r="P416" s="562"/>
      <c r="Q416" s="562"/>
    </row>
    <row r="417" spans="1:17" ht="15" hidden="1" customHeight="1" outlineLevel="1" x14ac:dyDescent="0.25">
      <c r="A417" s="702" t="b">
        <f t="shared" si="78"/>
        <v>0</v>
      </c>
      <c r="C417" s="35">
        <v>8</v>
      </c>
      <c r="D417" s="576" t="s">
        <v>2747</v>
      </c>
      <c r="E417" s="576">
        <v>92716</v>
      </c>
      <c r="F417" s="577" t="s">
        <v>2745</v>
      </c>
      <c r="G417" s="37" t="str">
        <f>IFERROR(VLOOKUP(E417,SINAPI!A:D,2,0),"")</f>
        <v>APARELHO PARA CORTE E SOLDA OXI-ACETILENO SOBRE RODAS, INCLUSIVE CILINDROS E MAÇARICOS - CHP DIURNO. AF_12/2015</v>
      </c>
      <c r="H417" s="578"/>
      <c r="I417" s="40" t="str">
        <f>IFERROR(VLOOKUP(E417,SINAPI!A:D,3,0),"")</f>
        <v>CHP</v>
      </c>
      <c r="J417" s="579">
        <v>2</v>
      </c>
      <c r="K417" s="40">
        <f>IFERROR(VLOOKUP(E417,SINAPI!A:D,4,0),"")</f>
        <v>62.53</v>
      </c>
      <c r="L417" s="580">
        <f t="shared" si="79"/>
        <v>125.06</v>
      </c>
      <c r="M417" s="264"/>
      <c r="N417" s="562"/>
      <c r="O417" s="562"/>
      <c r="P417" s="562"/>
      <c r="Q417" s="562"/>
    </row>
    <row r="418" spans="1:17" ht="15" hidden="1" customHeight="1" outlineLevel="1" x14ac:dyDescent="0.25">
      <c r="A418" s="702" t="b">
        <f t="shared" si="78"/>
        <v>0</v>
      </c>
      <c r="C418" s="35">
        <v>9</v>
      </c>
      <c r="D418" s="576" t="s">
        <v>2747</v>
      </c>
      <c r="E418" s="576">
        <v>92717</v>
      </c>
      <c r="F418" s="577" t="s">
        <v>2746</v>
      </c>
      <c r="G418" s="37" t="str">
        <f>IFERROR(VLOOKUP(E418,SINAPI!A:D,2,0),"")</f>
        <v>APARELHO PARA CORTE E SOLDA OXI-ACETILENO SOBRE RODAS, INCLUSIVE CILINDROS E MAÇARICOS - CHI DIURNO. AF_12/2015</v>
      </c>
      <c r="H418" s="578"/>
      <c r="I418" s="40" t="str">
        <f>IFERROR(VLOOKUP(E418,SINAPI!A:D,3,0),"")</f>
        <v>CHI</v>
      </c>
      <c r="J418" s="579">
        <f>J417</f>
        <v>2</v>
      </c>
      <c r="K418" s="40">
        <f>IFERROR(VLOOKUP(E418,SINAPI!A:D,4,0),"")</f>
        <v>0.27</v>
      </c>
      <c r="L418" s="580">
        <f t="shared" si="79"/>
        <v>0.54</v>
      </c>
      <c r="M418" s="264"/>
      <c r="N418" s="562"/>
      <c r="O418" s="562"/>
      <c r="P418" s="562"/>
      <c r="Q418" s="562"/>
    </row>
    <row r="419" spans="1:17" ht="15" hidden="1" customHeight="1" outlineLevel="1" thickBot="1" x14ac:dyDescent="0.3">
      <c r="A419" s="702" t="b">
        <f t="shared" si="78"/>
        <v>0</v>
      </c>
      <c r="C419" s="230" t="s">
        <v>96</v>
      </c>
      <c r="D419" s="231"/>
      <c r="E419" s="231"/>
      <c r="F419" s="231"/>
      <c r="G419" s="231"/>
      <c r="H419" s="231"/>
      <c r="I419" s="231"/>
      <c r="J419" s="231"/>
      <c r="K419" s="232"/>
      <c r="L419" s="581">
        <f>SUM(L410:L418)</f>
        <v>1199.21</v>
      </c>
      <c r="M419" s="261"/>
      <c r="N419" s="562" t="str">
        <f>C409</f>
        <v>COMP 47</v>
      </c>
      <c r="O419" s="582">
        <f>L419</f>
        <v>1199.21</v>
      </c>
      <c r="P419" s="562"/>
      <c r="Q419" s="562"/>
    </row>
    <row r="420" spans="1:17" ht="15" hidden="1" customHeight="1" outlineLevel="1" x14ac:dyDescent="0.25">
      <c r="A420" s="699" t="b">
        <f>OR(A42)</f>
        <v>0</v>
      </c>
      <c r="C420" s="569" t="s">
        <v>3346</v>
      </c>
      <c r="D420" s="570"/>
      <c r="E420" s="570" t="str">
        <f>IFERROR(VLOOKUP(C420,SINAPI!A:D,2,0),"")</f>
        <v>Grelha metálica articulada 135x75cm</v>
      </c>
      <c r="F420" s="570"/>
      <c r="G420" s="217"/>
      <c r="H420" s="571"/>
      <c r="I420" s="572" t="str">
        <f>IFERROR(VLOOKUP(C420,SINAPI!A:D,3,0),"")</f>
        <v>un</v>
      </c>
      <c r="J420" s="573"/>
      <c r="K420" s="573" t="s">
        <v>2603</v>
      </c>
      <c r="L420" s="574" t="str">
        <f>IF(J420="","",ROUND(J420*#REF!,2))</f>
        <v/>
      </c>
      <c r="M420" s="575"/>
      <c r="N420" s="562"/>
      <c r="O420" s="562"/>
      <c r="P420" s="562"/>
      <c r="Q420" s="562"/>
    </row>
    <row r="421" spans="1:17" ht="15" hidden="1" customHeight="1" outlineLevel="1" x14ac:dyDescent="0.25">
      <c r="A421" s="702" t="b">
        <f t="shared" si="78"/>
        <v>0</v>
      </c>
      <c r="C421" s="35">
        <v>1</v>
      </c>
      <c r="D421" s="576" t="s">
        <v>2747</v>
      </c>
      <c r="E421" s="576">
        <v>88317</v>
      </c>
      <c r="F421" s="577" t="s">
        <v>2739</v>
      </c>
      <c r="G421" s="37" t="str">
        <f>IFERROR(VLOOKUP(E421,SINAPI!A:D,2,0),"")</f>
        <v>SOLDADOR COM ENCARGOS COMPLEMENTARES</v>
      </c>
      <c r="H421" s="578"/>
      <c r="I421" s="40" t="str">
        <f>IFERROR(VLOOKUP(E421,SINAPI!A:D,3,0),"")</f>
        <v>H</v>
      </c>
      <c r="J421" s="579">
        <v>3</v>
      </c>
      <c r="K421" s="40">
        <f>IFERROR(VLOOKUP(E421,SINAPI!A:D,4,0),"")</f>
        <v>29.84</v>
      </c>
      <c r="L421" s="580">
        <f>IF(J421="","",ROUND(J421*K421,2))</f>
        <v>89.52</v>
      </c>
      <c r="M421" s="264"/>
      <c r="N421" s="562"/>
      <c r="O421" s="562"/>
      <c r="P421" s="562"/>
      <c r="Q421" s="562"/>
    </row>
    <row r="422" spans="1:17" ht="15" hidden="1" customHeight="1" outlineLevel="1" x14ac:dyDescent="0.25">
      <c r="A422" s="702" t="b">
        <f t="shared" si="78"/>
        <v>0</v>
      </c>
      <c r="C422" s="35">
        <v>2</v>
      </c>
      <c r="D422" s="576" t="s">
        <v>2747</v>
      </c>
      <c r="E422" s="576">
        <v>88316</v>
      </c>
      <c r="F422" s="577" t="s">
        <v>2740</v>
      </c>
      <c r="G422" s="37" t="str">
        <f>IFERROR(VLOOKUP(E422,SINAPI!A:D,2,0),"")</f>
        <v>SERVENTE COM ENCARGOS COMPLEMENTARES</v>
      </c>
      <c r="H422" s="578"/>
      <c r="I422" s="40" t="str">
        <f>IFERROR(VLOOKUP(E422,SINAPI!A:D,3,0),"")</f>
        <v>H</v>
      </c>
      <c r="J422" s="579">
        <f>J421</f>
        <v>3</v>
      </c>
      <c r="K422" s="40">
        <f>IFERROR(VLOOKUP(E422,SINAPI!A:D,4,0),"")</f>
        <v>20.82</v>
      </c>
      <c r="L422" s="580">
        <f t="shared" ref="L422:L429" si="80">IF(J422="","",ROUND(J422*K422,2))</f>
        <v>62.46</v>
      </c>
      <c r="M422" s="264"/>
      <c r="N422" s="562"/>
      <c r="O422" s="562"/>
      <c r="P422" s="562"/>
      <c r="Q422" s="562"/>
    </row>
    <row r="423" spans="1:17" ht="15" hidden="1" customHeight="1" outlineLevel="1" x14ac:dyDescent="0.25">
      <c r="A423" s="702" t="b">
        <f t="shared" si="78"/>
        <v>0</v>
      </c>
      <c r="C423" s="35">
        <v>3</v>
      </c>
      <c r="D423" s="576" t="s">
        <v>2748</v>
      </c>
      <c r="E423" s="576">
        <v>10998</v>
      </c>
      <c r="F423" s="577" t="s">
        <v>2741</v>
      </c>
      <c r="G423" s="37" t="str">
        <f>IFERROR(VLOOKUP(E423,SINAPI!A:D,2,0),"")</f>
        <v xml:space="preserve">ELETRODO REVESTIDO AWS - E-6010, DIAMETRO IGUAL A 4,00 MM                                                                                                                                                                                                                                                                                                                                                                                                                                                 </v>
      </c>
      <c r="H423" s="578"/>
      <c r="I423" s="40" t="str">
        <f>IFERROR(VLOOKUP(E423,SINAPI!A:D,3,0),"")</f>
        <v xml:space="preserve">KG    </v>
      </c>
      <c r="J423" s="579">
        <v>3.5</v>
      </c>
      <c r="K423" s="40">
        <f>IFERROR(VLOOKUP(E423,SINAPI!A:D,4,0),"")</f>
        <v>41.61</v>
      </c>
      <c r="L423" s="580">
        <f t="shared" si="80"/>
        <v>145.63999999999999</v>
      </c>
      <c r="M423" s="264"/>
      <c r="N423" s="562"/>
      <c r="O423" s="562"/>
      <c r="P423" s="562"/>
      <c r="Q423" s="562"/>
    </row>
    <row r="424" spans="1:17" ht="15" hidden="1" customHeight="1" outlineLevel="1" x14ac:dyDescent="0.25">
      <c r="A424" s="702" t="b">
        <f t="shared" si="78"/>
        <v>0</v>
      </c>
      <c r="C424" s="35">
        <v>4</v>
      </c>
      <c r="D424" s="576" t="s">
        <v>2748</v>
      </c>
      <c r="E424" s="550">
        <v>43056</v>
      </c>
      <c r="F424" s="552" t="s">
        <v>3180</v>
      </c>
      <c r="G424" s="37" t="str">
        <f>IFERROR(VLOOKUP(E424,SINAPI!A:D,2,0),"")</f>
        <v xml:space="preserve">ACO CA-50, 20,0 MM OU 25,0 MM, VERGALHAO                                                                                                                                                                                                                                                                                                                                                                                                                                                                  </v>
      </c>
      <c r="H424" s="578"/>
      <c r="I424" s="40" t="str">
        <f>IFERROR(VLOOKUP(E424,SINAPI!A:D,3,0),"")</f>
        <v xml:space="preserve">KG    </v>
      </c>
      <c r="J424" s="579">
        <f>DISPOSITIVOS!K54</f>
        <v>62.76</v>
      </c>
      <c r="K424" s="40">
        <f>IFERROR(VLOOKUP(E424,SINAPI!A:D,4,0),"")</f>
        <v>9.43</v>
      </c>
      <c r="L424" s="580">
        <f t="shared" si="80"/>
        <v>591.83000000000004</v>
      </c>
      <c r="M424" s="264"/>
      <c r="N424" s="562"/>
      <c r="O424" s="562"/>
      <c r="P424" s="562"/>
      <c r="Q424" s="562"/>
    </row>
    <row r="425" spans="1:17" ht="15" hidden="1" customHeight="1" outlineLevel="1" x14ac:dyDescent="0.25">
      <c r="A425" s="702" t="b">
        <f t="shared" si="78"/>
        <v>0</v>
      </c>
      <c r="C425" s="35">
        <v>5</v>
      </c>
      <c r="D425" s="576" t="s">
        <v>2748</v>
      </c>
      <c r="E425" s="576">
        <v>4777</v>
      </c>
      <c r="F425" s="577" t="s">
        <v>2742</v>
      </c>
      <c r="G425" s="37" t="str">
        <f>IFERROR(VLOOKUP(E425,SINAPI!A:D,2,0),"")</f>
        <v xml:space="preserve">CANTONEIRA ACO ABAS IGUAIS (QUALQUER BITOLA), ESPESSURA ENTRE 1/8" E 1/4"                                                                                                                                                                                                                                                                                                                                                                                                                                 </v>
      </c>
      <c r="H425" s="578"/>
      <c r="I425" s="40" t="str">
        <f>IFERROR(VLOOKUP(E425,SINAPI!A:D,3,0),"")</f>
        <v xml:space="preserve">KG    </v>
      </c>
      <c r="J425" s="579">
        <f>DISPOSITIVOS!K57</f>
        <v>21.76</v>
      </c>
      <c r="K425" s="40">
        <f>IFERROR(VLOOKUP(E425,SINAPI!A:D,4,0),"")</f>
        <v>13.4</v>
      </c>
      <c r="L425" s="580">
        <f t="shared" si="80"/>
        <v>291.58</v>
      </c>
      <c r="M425" s="264"/>
      <c r="N425" s="562"/>
      <c r="O425" s="562"/>
      <c r="P425" s="562"/>
      <c r="Q425" s="562"/>
    </row>
    <row r="426" spans="1:17" ht="15" hidden="1" customHeight="1" outlineLevel="1" x14ac:dyDescent="0.25">
      <c r="A426" s="702" t="b">
        <f t="shared" si="78"/>
        <v>0</v>
      </c>
      <c r="C426" s="35">
        <v>6</v>
      </c>
      <c r="D426" s="576" t="s">
        <v>2747</v>
      </c>
      <c r="E426" s="576">
        <v>91692</v>
      </c>
      <c r="F426" s="577" t="s">
        <v>2743</v>
      </c>
      <c r="G426" s="37" t="str">
        <f>IFERROR(VLOOKUP(E426,SINAPI!A:D,2,0),"")</f>
        <v>SERRA CIRCULAR DE BANCADA COM MOTOR ELÉTRICO POTÊNCIA DE 5HP, COM COIFA PARA DISCO 10" - CHP DIURNO. AF_08/2015</v>
      </c>
      <c r="H426" s="578"/>
      <c r="I426" s="40" t="str">
        <f>IFERROR(VLOOKUP(E426,SINAPI!A:D,3,0),"")</f>
        <v>CHP</v>
      </c>
      <c r="J426" s="579">
        <v>1.2</v>
      </c>
      <c r="K426" s="40">
        <f>IFERROR(VLOOKUP(E426,SINAPI!A:D,4,0),"")</f>
        <v>27.32</v>
      </c>
      <c r="L426" s="580">
        <f t="shared" si="80"/>
        <v>32.78</v>
      </c>
      <c r="M426" s="264"/>
      <c r="N426" s="562"/>
      <c r="O426" s="562"/>
      <c r="P426" s="562"/>
      <c r="Q426" s="562"/>
    </row>
    <row r="427" spans="1:17" ht="15" hidden="1" customHeight="1" outlineLevel="1" x14ac:dyDescent="0.25">
      <c r="A427" s="702" t="b">
        <f t="shared" si="78"/>
        <v>0</v>
      </c>
      <c r="C427" s="35">
        <v>7</v>
      </c>
      <c r="D427" s="576" t="s">
        <v>2747</v>
      </c>
      <c r="E427" s="550">
        <v>91693</v>
      </c>
      <c r="F427" s="577" t="s">
        <v>2744</v>
      </c>
      <c r="G427" s="37" t="str">
        <f>IFERROR(VLOOKUP(E427,SINAPI!A:D,2,0),"")</f>
        <v>SERRA CIRCULAR DE BANCADA COM MOTOR ELÉTRICO POTÊNCIA DE 5HP, COM COIFA PARA DISCO 10" - CHI DIURNO. AF_08/2015</v>
      </c>
      <c r="H427" s="578"/>
      <c r="I427" s="40" t="str">
        <f>IFERROR(VLOOKUP(E427,SINAPI!A:D,3,0),"")</f>
        <v>CHI</v>
      </c>
      <c r="J427" s="579">
        <f>J426</f>
        <v>1.2</v>
      </c>
      <c r="K427" s="40">
        <f>IFERROR(VLOOKUP(E427,SINAPI!A:D,4,0),"")</f>
        <v>26.3</v>
      </c>
      <c r="L427" s="580">
        <f t="shared" si="80"/>
        <v>31.56</v>
      </c>
      <c r="M427" s="264"/>
      <c r="N427" s="562"/>
      <c r="O427" s="562"/>
      <c r="P427" s="562"/>
      <c r="Q427" s="562"/>
    </row>
    <row r="428" spans="1:17" ht="15" hidden="1" customHeight="1" outlineLevel="1" x14ac:dyDescent="0.25">
      <c r="A428" s="702" t="b">
        <f t="shared" si="78"/>
        <v>0</v>
      </c>
      <c r="C428" s="35">
        <v>8</v>
      </c>
      <c r="D428" s="576" t="s">
        <v>2747</v>
      </c>
      <c r="E428" s="576">
        <v>92716</v>
      </c>
      <c r="F428" s="577" t="s">
        <v>2745</v>
      </c>
      <c r="G428" s="37" t="str">
        <f>IFERROR(VLOOKUP(E428,SINAPI!A:D,2,0),"")</f>
        <v>APARELHO PARA CORTE E SOLDA OXI-ACETILENO SOBRE RODAS, INCLUSIVE CILINDROS E MAÇARICOS - CHP DIURNO. AF_12/2015</v>
      </c>
      <c r="H428" s="578"/>
      <c r="I428" s="40" t="str">
        <f>IFERROR(VLOOKUP(E428,SINAPI!A:D,3,0),"")</f>
        <v>CHP</v>
      </c>
      <c r="J428" s="579">
        <v>2.5</v>
      </c>
      <c r="K428" s="40">
        <f>IFERROR(VLOOKUP(E428,SINAPI!A:D,4,0),"")</f>
        <v>62.53</v>
      </c>
      <c r="L428" s="580">
        <f t="shared" si="80"/>
        <v>156.33000000000001</v>
      </c>
      <c r="M428" s="264"/>
      <c r="N428" s="562"/>
      <c r="O428" s="562"/>
      <c r="P428" s="562"/>
      <c r="Q428" s="562"/>
    </row>
    <row r="429" spans="1:17" ht="15" hidden="1" customHeight="1" outlineLevel="1" x14ac:dyDescent="0.25">
      <c r="A429" s="702" t="b">
        <f t="shared" si="78"/>
        <v>0</v>
      </c>
      <c r="C429" s="35">
        <v>9</v>
      </c>
      <c r="D429" s="576" t="s">
        <v>2747</v>
      </c>
      <c r="E429" s="576">
        <v>92717</v>
      </c>
      <c r="F429" s="577" t="s">
        <v>2746</v>
      </c>
      <c r="G429" s="37" t="str">
        <f>IFERROR(VLOOKUP(E429,SINAPI!A:D,2,0),"")</f>
        <v>APARELHO PARA CORTE E SOLDA OXI-ACETILENO SOBRE RODAS, INCLUSIVE CILINDROS E MAÇARICOS - CHI DIURNO. AF_12/2015</v>
      </c>
      <c r="H429" s="578"/>
      <c r="I429" s="40" t="str">
        <f>IFERROR(VLOOKUP(E429,SINAPI!A:D,3,0),"")</f>
        <v>CHI</v>
      </c>
      <c r="J429" s="579">
        <f>J428</f>
        <v>2.5</v>
      </c>
      <c r="K429" s="40">
        <f>IFERROR(VLOOKUP(E429,SINAPI!A:D,4,0),"")</f>
        <v>0.27</v>
      </c>
      <c r="L429" s="580">
        <f t="shared" si="80"/>
        <v>0.68</v>
      </c>
      <c r="M429" s="264"/>
      <c r="N429" s="562"/>
      <c r="O429" s="562"/>
      <c r="P429" s="562"/>
      <c r="Q429" s="562"/>
    </row>
    <row r="430" spans="1:17" ht="15" hidden="1" customHeight="1" outlineLevel="1" thickBot="1" x14ac:dyDescent="0.3">
      <c r="A430" s="702" t="b">
        <f t="shared" si="78"/>
        <v>0</v>
      </c>
      <c r="C430" s="230" t="s">
        <v>96</v>
      </c>
      <c r="D430" s="231"/>
      <c r="E430" s="231"/>
      <c r="F430" s="231"/>
      <c r="G430" s="231"/>
      <c r="H430" s="231"/>
      <c r="I430" s="231"/>
      <c r="J430" s="231"/>
      <c r="K430" s="232"/>
      <c r="L430" s="581">
        <f>SUM(L421:L429)</f>
        <v>1402.38</v>
      </c>
      <c r="M430" s="261"/>
      <c r="N430" s="562" t="str">
        <f>C420</f>
        <v>COMP 48</v>
      </c>
      <c r="O430" s="582">
        <f>L430</f>
        <v>1402.38</v>
      </c>
      <c r="P430" s="562"/>
      <c r="Q430" s="562"/>
    </row>
    <row r="431" spans="1:17" ht="30" hidden="1" customHeight="1" outlineLevel="1" x14ac:dyDescent="0.25">
      <c r="A431" s="699" t="b">
        <f>_xlfn.XOR(C431=$S$2,C431=$S$3,C431=$S$4,C431=$S$5,C431=$S$6,C431=$S$7,C431=$S$8,C431=$S$9,C431=$S$10,C431=$S$11,C431=$S$12,C431=$S$13,C431=$S$14,C431=$S$15,C431=$S$16,C431=$S$17,C431=$S$18,C431=$S$19,C431=$S$20,C431=$S$21,C431=$S$22,C431=$S$23,C431=$S$24,C431=$S$25,C431=$S$26,C431=$S$27,C431=$S$28,C431=$S$29,C431=$S$30,C431=$S$316,C431=$S$32,C431=$S$33,C431=$S$34,C431=$S$35,C431=$S$36,C431=$S$37,C431=$S$38,C431=$S$39,C431=$S$40,C431=$S$41,C431=$S$42,)</f>
        <v>0</v>
      </c>
      <c r="C431" s="569" t="s">
        <v>3908</v>
      </c>
      <c r="D431" s="570"/>
      <c r="E431" s="1669" t="str">
        <f>IFERROR(VLOOKUP(C431,SINAPI!A:D,2,0),"")</f>
        <v>Assentamento de blocos de concreto intertravado liso ou tatil 20x20x6cm FCK 35MPa, inclusive colchão de assentamento com reaproveitamento dos blocos removidos</v>
      </c>
      <c r="F431" s="1670"/>
      <c r="G431" s="1670"/>
      <c r="H431" s="1671"/>
      <c r="I431" s="572" t="str">
        <f>IFERROR(VLOOKUP(C431,SINAPI!A:D,3,0),"")</f>
        <v>m²</v>
      </c>
      <c r="J431" s="573"/>
      <c r="K431" s="573" t="s">
        <v>2603</v>
      </c>
      <c r="L431" s="574" t="str">
        <f>IF(J431="","",ROUND(J431*#REF!,2))</f>
        <v/>
      </c>
      <c r="M431" s="575"/>
      <c r="N431" s="562"/>
      <c r="O431" s="562"/>
      <c r="P431" s="562"/>
      <c r="Q431" s="562"/>
    </row>
    <row r="432" spans="1:17" ht="15" hidden="1" customHeight="1" outlineLevel="1" x14ac:dyDescent="0.25">
      <c r="A432" s="727" t="b">
        <f t="shared" ref="A432:A447" si="81">A431</f>
        <v>0</v>
      </c>
      <c r="C432" s="35">
        <v>1</v>
      </c>
      <c r="D432" s="550" t="s">
        <v>2748</v>
      </c>
      <c r="E432" s="550">
        <v>370</v>
      </c>
      <c r="F432" s="552" t="s">
        <v>2851</v>
      </c>
      <c r="G432" s="37" t="str">
        <f>IFERROR(VLOOKUP(E432,SINAPI!A:D,2,0),"")</f>
        <v xml:space="preserve">AREIA MEDIA - POSTO JAZIDA/FORNECEDOR (RETIRADO NA JAZIDA, SEM TRANSPORTE)                                                                                                                                                                                                                                                                                                                                                                                                                                </v>
      </c>
      <c r="H432" s="578"/>
      <c r="I432" s="40" t="str">
        <f>IFERROR(VLOOKUP(E432,SINAPI!A:D,3,0),"")</f>
        <v xml:space="preserve">M3    </v>
      </c>
      <c r="J432" s="579">
        <v>5.6800000000000003E-2</v>
      </c>
      <c r="K432" s="40">
        <f>IFERROR(VLOOKUP(E432,SINAPI!A:D,4,0),"")</f>
        <v>150</v>
      </c>
      <c r="L432" s="580">
        <f>IF(J432="","",ROUND(J432*K432,2))</f>
        <v>8.52</v>
      </c>
      <c r="M432" s="264"/>
      <c r="N432" s="562"/>
      <c r="O432" s="562"/>
      <c r="P432" s="562"/>
      <c r="Q432" s="562"/>
    </row>
    <row r="433" spans="1:17" ht="15" hidden="1" customHeight="1" outlineLevel="1" x14ac:dyDescent="0.25">
      <c r="A433" s="727" t="b">
        <f t="shared" si="81"/>
        <v>0</v>
      </c>
      <c r="C433" s="35">
        <v>2</v>
      </c>
      <c r="D433" s="550" t="s">
        <v>2748</v>
      </c>
      <c r="E433" s="550">
        <v>4741</v>
      </c>
      <c r="F433" s="552" t="s">
        <v>3328</v>
      </c>
      <c r="G433" s="37" t="str">
        <f>IFERROR(VLOOKUP(E433,SINAPI!A:D,2,0),"")</f>
        <v xml:space="preserve">PO DE PEDRA (POSTO PEDREIRA/FORNECEDOR, SEM FRETE)                                                                                                                                                                                                                                                                                                                                                                                                                                                        </v>
      </c>
      <c r="H433" s="578"/>
      <c r="I433" s="40" t="str">
        <f>IFERROR(VLOOKUP(E433,SINAPI!A:D,3,0),"")</f>
        <v xml:space="preserve">M3    </v>
      </c>
      <c r="J433" s="579">
        <v>6.4999999999999997E-3</v>
      </c>
      <c r="K433" s="40">
        <f>IFERROR(VLOOKUP(E433,SINAPI!A:D,4,0),"")</f>
        <v>96.31</v>
      </c>
      <c r="L433" s="580">
        <f>IF(J433="","",ROUND(J433*K433,2))</f>
        <v>0.63</v>
      </c>
      <c r="M433" s="264"/>
      <c r="N433" s="562"/>
      <c r="O433" s="562"/>
      <c r="P433" s="562"/>
      <c r="Q433" s="562"/>
    </row>
    <row r="434" spans="1:17" ht="15" hidden="1" customHeight="1" outlineLevel="1" x14ac:dyDescent="0.25">
      <c r="A434" s="727" t="b">
        <f t="shared" si="81"/>
        <v>0</v>
      </c>
      <c r="C434" s="35">
        <v>3</v>
      </c>
      <c r="D434" s="550" t="s">
        <v>2747</v>
      </c>
      <c r="E434" s="576">
        <v>88260</v>
      </c>
      <c r="F434" s="577" t="s">
        <v>3329</v>
      </c>
      <c r="G434" s="37" t="str">
        <f>IFERROR(VLOOKUP(E434,SINAPI!A:D,2,0),"")</f>
        <v>CALCETEIRO COM ENCARGOS COMPLEMENTARES</v>
      </c>
      <c r="H434" s="578"/>
      <c r="I434" s="40" t="str">
        <f>IFERROR(VLOOKUP(E434,SINAPI!A:D,3,0),"")</f>
        <v>H</v>
      </c>
      <c r="J434" s="579">
        <f>0.3975*2</f>
        <v>0.79500000000000004</v>
      </c>
      <c r="K434" s="40">
        <f>IFERROR(VLOOKUP(E434,SINAPI!A:D,4,0),"")</f>
        <v>30.24</v>
      </c>
      <c r="L434" s="580">
        <f t="shared" ref="L434:L439" si="82">IF(J434="","",ROUND(J434*K434,2))</f>
        <v>24.04</v>
      </c>
      <c r="M434" s="264"/>
      <c r="N434" s="562"/>
      <c r="O434" s="562"/>
      <c r="P434" s="562"/>
      <c r="Q434" s="562"/>
    </row>
    <row r="435" spans="1:17" ht="15" hidden="1" customHeight="1" outlineLevel="1" x14ac:dyDescent="0.25">
      <c r="A435" s="727" t="b">
        <f t="shared" si="81"/>
        <v>0</v>
      </c>
      <c r="C435" s="35">
        <v>4</v>
      </c>
      <c r="D435" s="550" t="s">
        <v>2747</v>
      </c>
      <c r="E435" s="550">
        <v>88316</v>
      </c>
      <c r="F435" s="552" t="s">
        <v>2740</v>
      </c>
      <c r="G435" s="37" t="str">
        <f>IFERROR(VLOOKUP(E435,SINAPI!A:D,2,0),"")</f>
        <v>SERVENTE COM ENCARGOS COMPLEMENTARES</v>
      </c>
      <c r="H435" s="578"/>
      <c r="I435" s="40" t="str">
        <f>IFERROR(VLOOKUP(E435,SINAPI!A:D,3,0),"")</f>
        <v>H</v>
      </c>
      <c r="J435" s="579">
        <f>0.3975*2</f>
        <v>0.79500000000000004</v>
      </c>
      <c r="K435" s="40">
        <f>IFERROR(VLOOKUP(E435,SINAPI!A:D,4,0),"")</f>
        <v>20.82</v>
      </c>
      <c r="L435" s="580">
        <f t="shared" si="82"/>
        <v>16.55</v>
      </c>
      <c r="M435" s="264"/>
      <c r="N435" s="562"/>
      <c r="O435" s="562"/>
      <c r="P435" s="562"/>
      <c r="Q435" s="562"/>
    </row>
    <row r="436" spans="1:17" ht="15" hidden="1" customHeight="1" outlineLevel="1" x14ac:dyDescent="0.25">
      <c r="A436" s="727" t="b">
        <f t="shared" si="81"/>
        <v>0</v>
      </c>
      <c r="C436" s="35">
        <v>5</v>
      </c>
      <c r="D436" s="550" t="s">
        <v>2747</v>
      </c>
      <c r="E436" s="550">
        <v>91277</v>
      </c>
      <c r="F436" s="552" t="s">
        <v>3330</v>
      </c>
      <c r="G436" s="37" t="str">
        <f>IFERROR(VLOOKUP(E436,SINAPI!A:D,2,0),"")</f>
        <v>PLACA VIBRATÓRIA REVERSÍVEL COM MOTOR 4 TEMPOS A GASOLINA, FORÇA CENTRÍFUGA DE 25 KN (2500 KGF), POTÊNCIA 5,5 CV - CHP DIURNO. AF_08/2015</v>
      </c>
      <c r="H436" s="578"/>
      <c r="I436" s="40" t="str">
        <f>IFERROR(VLOOKUP(E436,SINAPI!A:D,3,0),"")</f>
        <v>CHP</v>
      </c>
      <c r="J436" s="579">
        <v>4.1000000000000003E-3</v>
      </c>
      <c r="K436" s="40">
        <f>IFERROR(VLOOKUP(E436,SINAPI!A:D,4,0),"")</f>
        <v>8.42</v>
      </c>
      <c r="L436" s="580">
        <f t="shared" si="82"/>
        <v>0.03</v>
      </c>
      <c r="M436" s="264"/>
      <c r="N436" s="562"/>
      <c r="O436" s="562"/>
      <c r="P436" s="562"/>
      <c r="Q436" s="562"/>
    </row>
    <row r="437" spans="1:17" ht="15" hidden="1" customHeight="1" outlineLevel="1" x14ac:dyDescent="0.25">
      <c r="A437" s="727" t="b">
        <f t="shared" si="81"/>
        <v>0</v>
      </c>
      <c r="C437" s="35">
        <v>6</v>
      </c>
      <c r="D437" s="550" t="s">
        <v>2747</v>
      </c>
      <c r="E437" s="550">
        <v>91278</v>
      </c>
      <c r="F437" s="552" t="s">
        <v>3331</v>
      </c>
      <c r="G437" s="37" t="str">
        <f>IFERROR(VLOOKUP(E437,SINAPI!A:D,2,0),"")</f>
        <v>PLACA VIBRATÓRIA REVERSÍVEL COM MOTOR 4 TEMPOS A GASOLINA, FORÇA CENTRÍFUGA DE 25 KN (2500 KGF), POTÊNCIA 5,5 CV - CHI DIURNO. AF_08/2015</v>
      </c>
      <c r="H437" s="578"/>
      <c r="I437" s="40" t="str">
        <f>IFERROR(VLOOKUP(E437,SINAPI!A:D,3,0),"")</f>
        <v>CHI</v>
      </c>
      <c r="J437" s="579">
        <v>0.19470000000000001</v>
      </c>
      <c r="K437" s="40">
        <f>IFERROR(VLOOKUP(E437,SINAPI!A:D,4,0),"")</f>
        <v>0.6</v>
      </c>
      <c r="L437" s="580">
        <f t="shared" si="82"/>
        <v>0.12</v>
      </c>
      <c r="M437" s="264"/>
      <c r="N437" s="562"/>
      <c r="O437" s="562"/>
      <c r="P437" s="562"/>
      <c r="Q437" s="562"/>
    </row>
    <row r="438" spans="1:17" ht="15" hidden="1" customHeight="1" outlineLevel="1" x14ac:dyDescent="0.25">
      <c r="A438" s="727" t="b">
        <f t="shared" si="81"/>
        <v>0</v>
      </c>
      <c r="C438" s="35">
        <v>7</v>
      </c>
      <c r="D438" s="550" t="s">
        <v>2747</v>
      </c>
      <c r="E438" s="550">
        <v>91283</v>
      </c>
      <c r="F438" s="552" t="s">
        <v>3332</v>
      </c>
      <c r="G438" s="37" t="str">
        <f>IFERROR(VLOOKUP(E438,SINAPI!A:D,2,0),"")</f>
        <v>CORTADORA DE PISO COM MOTOR 4 TEMPOS A GASOLINA, POTÊNCIA DE 13 HP, COM DISCO DE CORTE DIAMANTADO SEGMENTADO PARA CONCRETO, DIÂMETRO DE 350 MM, FURO DE 1" (14 X 1") - CHP DIURNO. AF_08/2015</v>
      </c>
      <c r="H438" s="578"/>
      <c r="I438" s="40" t="str">
        <f>IFERROR(VLOOKUP(E438,SINAPI!A:D,3,0),"")</f>
        <v>CHP</v>
      </c>
      <c r="J438" s="579">
        <v>4.8300000000000003E-2</v>
      </c>
      <c r="K438" s="40">
        <f>IFERROR(VLOOKUP(E438,SINAPI!A:D,4,0),"")</f>
        <v>9.02</v>
      </c>
      <c r="L438" s="580">
        <f t="shared" si="82"/>
        <v>0.44</v>
      </c>
      <c r="M438" s="264"/>
      <c r="N438" s="562"/>
      <c r="O438" s="562"/>
      <c r="P438" s="562"/>
      <c r="Q438" s="562"/>
    </row>
    <row r="439" spans="1:17" ht="15" hidden="1" customHeight="1" outlineLevel="1" x14ac:dyDescent="0.25">
      <c r="A439" s="727" t="b">
        <f t="shared" si="81"/>
        <v>0</v>
      </c>
      <c r="C439" s="35">
        <v>8</v>
      </c>
      <c r="D439" s="550" t="s">
        <v>2747</v>
      </c>
      <c r="E439" s="550">
        <v>91285</v>
      </c>
      <c r="F439" s="552" t="s">
        <v>3333</v>
      </c>
      <c r="G439" s="37" t="str">
        <f>IFERROR(VLOOKUP(E439,SINAPI!A:D,2,0),"")</f>
        <v>CORTADORA DE PISO COM MOTOR 4 TEMPOS A GASOLINA, POTÊNCIA DE 13 HP, COM DISCO DE CORTE DIAMANTADO SEGMENTADO PARA CONCRETO, DIÂMETRO DE 350 MM, FURO DE 1" (14 X 1") - CHI DIURNO. AF_08/2015</v>
      </c>
      <c r="H439" s="578"/>
      <c r="I439" s="40" t="str">
        <f>IFERROR(VLOOKUP(E439,SINAPI!A:D,3,0),"")</f>
        <v>CHI</v>
      </c>
      <c r="J439" s="579">
        <v>0.15040000000000001</v>
      </c>
      <c r="K439" s="40">
        <f>IFERROR(VLOOKUP(E439,SINAPI!A:D,4,0),"")</f>
        <v>0.85</v>
      </c>
      <c r="L439" s="580">
        <f t="shared" si="82"/>
        <v>0.13</v>
      </c>
      <c r="M439" s="264"/>
      <c r="N439" s="562"/>
      <c r="O439" s="562"/>
      <c r="P439" s="562"/>
      <c r="Q439" s="562"/>
    </row>
    <row r="440" spans="1:17" ht="15" hidden="1" customHeight="1" outlineLevel="1" thickBot="1" x14ac:dyDescent="0.3">
      <c r="A440" s="727" t="b">
        <f t="shared" si="81"/>
        <v>0</v>
      </c>
      <c r="C440" s="230" t="s">
        <v>96</v>
      </c>
      <c r="D440" s="231"/>
      <c r="E440" s="231"/>
      <c r="F440" s="231"/>
      <c r="G440" s="231"/>
      <c r="H440" s="231"/>
      <c r="I440" s="231"/>
      <c r="J440" s="231"/>
      <c r="K440" s="232"/>
      <c r="L440" s="581">
        <f>SUM(L432:L439)</f>
        <v>50.46</v>
      </c>
      <c r="M440" s="261"/>
      <c r="N440" s="562" t="str">
        <f>C431</f>
        <v>COMP 49</v>
      </c>
      <c r="O440" s="582">
        <f>L440</f>
        <v>50.46</v>
      </c>
      <c r="P440" s="562"/>
      <c r="Q440" s="562"/>
    </row>
    <row r="441" spans="1:17" ht="30" hidden="1" customHeight="1" outlineLevel="1" x14ac:dyDescent="0.25">
      <c r="A441" s="699" t="b">
        <f>_xlfn.XOR(C441=$S$2,C441=$S$3,C441=$S$4,C441=$S$5,C441=$S$6,C441=$S$7,C441=$S$8,C441=$S$9,C441=$S$10,C441=$S$11,C441=$S$12,C441=$S$13,C441=$S$14,C441=$S$15,C441=$S$16,C441=$S$17,C441=$S$18,C441=$S$19,C441=$S$20,C441=$S$21,C441=$S$22,C441=$S$23,C441=$S$24,C441=$S$25,C441=$S$26,C441=$S$27,C441=$S$28,C441=$S$29,C441=$S$30,C441=$S$316,C441=$S$32,C441=$S$33,C441=$S$34,C441=$S$35,C441=$S$36,C441=$S$37,C441=$S$38,C441=$S$39,C441=$S$40,C441=$S$41,C441=$S$42,)</f>
        <v>0</v>
      </c>
      <c r="C441" s="569" t="s">
        <v>3911</v>
      </c>
      <c r="D441" s="570"/>
      <c r="E441" s="1669" t="str">
        <f>IFERROR(VLOOKUP(C441,SINAPI!A:D,2,0),"")</f>
        <v>Muro de alvenaria de blocos com vigas e pilares em concreto (e= 20cm) rebocado em uma face, h &lt; 1,50m conforme detalhamento, inclusive escavação, reaterro e pintura em uma face</v>
      </c>
      <c r="F441" s="1670"/>
      <c r="G441" s="1670"/>
      <c r="H441" s="1671"/>
      <c r="I441" s="572" t="str">
        <f>IFERROR(VLOOKUP(C441,SINAPI!A:D,3,0),"")</f>
        <v>m²</v>
      </c>
      <c r="J441" s="573"/>
      <c r="K441" s="573" t="s">
        <v>2603</v>
      </c>
      <c r="L441" s="574" t="str">
        <f>IF(J441="","",ROUND(J441*#REF!,2))</f>
        <v/>
      </c>
      <c r="M441" s="575"/>
      <c r="N441" s="562"/>
      <c r="O441" s="562"/>
      <c r="P441" s="562" t="s">
        <v>3924</v>
      </c>
      <c r="Q441" s="562" t="s">
        <v>3925</v>
      </c>
    </row>
    <row r="442" spans="1:17" ht="15" hidden="1" customHeight="1" outlineLevel="1" x14ac:dyDescent="0.25">
      <c r="A442" s="732" t="b">
        <f t="shared" si="81"/>
        <v>0</v>
      </c>
      <c r="C442" s="35">
        <v>1</v>
      </c>
      <c r="D442" s="550" t="s">
        <v>2639</v>
      </c>
      <c r="E442" s="550">
        <v>1107892</v>
      </c>
      <c r="F442" s="552" t="s">
        <v>3193</v>
      </c>
      <c r="G442" s="577" t="str">
        <f>IFERROR(VLOOKUP(E442,SINAPI!A:D,2,0),"")</f>
        <v>Concreto fck = 20 MPa - confecção em betoneira e lançamento manual - areia e brita comerciais</v>
      </c>
      <c r="H442" s="578"/>
      <c r="I442" s="40" t="str">
        <f>IFERROR(VLOOKUP(E442,SINAPI!A:D,3,0),"")</f>
        <v>m³</v>
      </c>
      <c r="J442" s="579">
        <f>P442/Q442</f>
        <v>9.0700000000000003E-2</v>
      </c>
      <c r="K442" s="40">
        <f>IFERROR(VLOOKUP(E442,SINAPI!A:D,4,0),"")</f>
        <v>449.57</v>
      </c>
      <c r="L442" s="580">
        <f>IF(J442="","",ROUND(J442*K442,2))</f>
        <v>40.78</v>
      </c>
      <c r="M442" s="744">
        <f>L442/$L$458</f>
        <v>0.11</v>
      </c>
      <c r="N442" s="562"/>
      <c r="O442" s="562"/>
      <c r="P442" s="562">
        <f>0.2*0.3*3*2+1.2*0.2*0.2</f>
        <v>0.40799999999999997</v>
      </c>
      <c r="Q442" s="562">
        <f>3*1.5</f>
        <v>4.5</v>
      </c>
    </row>
    <row r="443" spans="1:17" ht="15" hidden="1" customHeight="1" outlineLevel="1" x14ac:dyDescent="0.25">
      <c r="A443" s="732" t="b">
        <f t="shared" si="81"/>
        <v>0</v>
      </c>
      <c r="C443" s="35">
        <v>2</v>
      </c>
      <c r="D443" s="550" t="s">
        <v>2639</v>
      </c>
      <c r="E443" s="550">
        <v>3103302</v>
      </c>
      <c r="F443" s="552" t="s">
        <v>3927</v>
      </c>
      <c r="G443" s="577" t="str">
        <f>IFERROR(VLOOKUP(E443,SINAPI!A:D,2,0),"")</f>
        <v>Fôrmas de tábuas de pinho para dispositivos de drenagem - utilização de 3 vezes - confecção, instalação e retirada</v>
      </c>
      <c r="H443" s="578"/>
      <c r="I443" s="40" t="str">
        <f>IFERROR(VLOOKUP(E443,SINAPI!A:D,3,0),"")</f>
        <v>m²</v>
      </c>
      <c r="J443" s="579">
        <f t="shared" ref="J443:J457" si="83">P443/Q443</f>
        <v>0.56000000000000005</v>
      </c>
      <c r="K443" s="40">
        <f>IFERROR(VLOOKUP(E443,SINAPI!A:D,4,0),"")</f>
        <v>67.53</v>
      </c>
      <c r="L443" s="580">
        <f>IF(J443="","",ROUND(J443*K443,2))</f>
        <v>37.82</v>
      </c>
      <c r="M443" s="744">
        <f t="shared" ref="M443:M457" si="84">L443/$L$458</f>
        <v>0.1</v>
      </c>
      <c r="N443" s="562"/>
      <c r="O443" s="562"/>
      <c r="P443" s="562">
        <f>(0.3*0.2*3*2+1.2*0.2*2)*3</f>
        <v>2.52</v>
      </c>
      <c r="Q443" s="562">
        <f>Q442</f>
        <v>4.5</v>
      </c>
    </row>
    <row r="444" spans="1:17" ht="15" hidden="1" customHeight="1" outlineLevel="1" x14ac:dyDescent="0.25">
      <c r="A444" s="732" t="b">
        <f t="shared" si="81"/>
        <v>0</v>
      </c>
      <c r="C444" s="35">
        <v>3</v>
      </c>
      <c r="D444" s="550" t="s">
        <v>2639</v>
      </c>
      <c r="E444" s="550">
        <v>407819</v>
      </c>
      <c r="F444" s="552" t="s">
        <v>2704</v>
      </c>
      <c r="G444" s="577" t="str">
        <f>IFERROR(VLOOKUP(E444,SINAPI!A:D,2,0),"")</f>
        <v>Armação em aço CA-50 - fornecimento, preparo e colocação</v>
      </c>
      <c r="H444" s="578"/>
      <c r="I444" s="40" t="str">
        <f>IFERROR(VLOOKUP(E444,SINAPI!A:D,3,0),"")</f>
        <v>kg</v>
      </c>
      <c r="J444" s="579">
        <f t="shared" si="83"/>
        <v>6.5868000000000002</v>
      </c>
      <c r="K444" s="40">
        <f>IFERROR(VLOOKUP(E444,SINAPI!A:D,4,0),"")</f>
        <v>14.15</v>
      </c>
      <c r="L444" s="580">
        <f t="shared" ref="L444:L455" si="85">IF(J444="","",ROUND(J444*K444,2))</f>
        <v>93.2</v>
      </c>
      <c r="M444" s="744">
        <f t="shared" si="84"/>
        <v>0.25</v>
      </c>
      <c r="N444" s="562"/>
      <c r="O444" s="562"/>
      <c r="P444" s="562">
        <f>(4*2*3+4*(1.2+0.75+0.6))*0.62*1.05+(((2*3)/0.15)*(0.15*2+0.25*2+0.1)*0.154)+(((1.2+0.75+0.6)/0.15)*(0.15*4+0.1)*0.154)</f>
        <v>29.640799999999999</v>
      </c>
      <c r="Q444" s="562">
        <f t="shared" ref="Q444:Q457" si="86">Q443</f>
        <v>4.5</v>
      </c>
    </row>
    <row r="445" spans="1:17" ht="15" hidden="1" customHeight="1" outlineLevel="1" x14ac:dyDescent="0.25">
      <c r="A445" s="732" t="b">
        <f t="shared" si="81"/>
        <v>0</v>
      </c>
      <c r="C445" s="35">
        <v>4</v>
      </c>
      <c r="D445" s="550" t="s">
        <v>2639</v>
      </c>
      <c r="E445" s="1086">
        <v>1106087</v>
      </c>
      <c r="F445" s="552" t="s">
        <v>2761</v>
      </c>
      <c r="G445" s="577" t="str">
        <f>IFERROR(VLOOKUP(E445,SINAPI!A:D,2,0),"")</f>
        <v>Lançamento manual de concreto usinado - confecção em central dosadora de 40 m³/h</v>
      </c>
      <c r="H445" s="578"/>
      <c r="I445" s="40" t="str">
        <f>IFERROR(VLOOKUP(E445,SINAPI!A:D,3,0),"")</f>
        <v>m³</v>
      </c>
      <c r="J445" s="579">
        <f t="shared" si="83"/>
        <v>9.0700000000000003E-2</v>
      </c>
      <c r="K445" s="40">
        <f>IFERROR(VLOOKUP(E445,SINAPI!A:D,4,0),"")</f>
        <v>48.95</v>
      </c>
      <c r="L445" s="580">
        <f t="shared" si="85"/>
        <v>4.4400000000000004</v>
      </c>
      <c r="M445" s="744">
        <f t="shared" si="84"/>
        <v>0.01</v>
      </c>
      <c r="N445" s="562"/>
      <c r="O445" s="562"/>
      <c r="P445" s="562">
        <f>P442</f>
        <v>0.40799999999999997</v>
      </c>
      <c r="Q445" s="562">
        <f t="shared" si="86"/>
        <v>4.5</v>
      </c>
    </row>
    <row r="446" spans="1:17" ht="15" hidden="1" customHeight="1" outlineLevel="1" x14ac:dyDescent="0.25">
      <c r="A446" s="732" t="b">
        <f t="shared" si="81"/>
        <v>0</v>
      </c>
      <c r="C446" s="35">
        <v>5</v>
      </c>
      <c r="D446" s="550" t="s">
        <v>2639</v>
      </c>
      <c r="E446" s="550" t="s">
        <v>6397</v>
      </c>
      <c r="F446" s="552" t="s">
        <v>2751</v>
      </c>
      <c r="G446" s="577" t="str">
        <f>IFERROR(VLOOKUP(E446,SINAPI!A:D,2,0),"")</f>
        <v>Pedreiro</v>
      </c>
      <c r="H446" s="578"/>
      <c r="I446" s="40" t="str">
        <f>IFERROR(VLOOKUP(E446,SINAPI!A:D,3,0),"")</f>
        <v>h</v>
      </c>
      <c r="J446" s="579">
        <f t="shared" si="83"/>
        <v>0.22220000000000001</v>
      </c>
      <c r="K446" s="40">
        <f>IFERROR(VLOOKUP(E446,SINAPI!A:D,4,0),"")</f>
        <v>9.4499999999999993</v>
      </c>
      <c r="L446" s="580">
        <f t="shared" si="85"/>
        <v>2.1</v>
      </c>
      <c r="M446" s="744">
        <f t="shared" si="84"/>
        <v>0.01</v>
      </c>
      <c r="N446" s="562"/>
      <c r="O446" s="562"/>
      <c r="P446" s="562">
        <v>1</v>
      </c>
      <c r="Q446" s="562">
        <f t="shared" si="86"/>
        <v>4.5</v>
      </c>
    </row>
    <row r="447" spans="1:17" ht="15" hidden="1" customHeight="1" outlineLevel="1" x14ac:dyDescent="0.25">
      <c r="A447" s="732" t="b">
        <f t="shared" si="81"/>
        <v>0</v>
      </c>
      <c r="C447" s="35">
        <v>6</v>
      </c>
      <c r="D447" s="550" t="s">
        <v>2639</v>
      </c>
      <c r="E447" s="550" t="s">
        <v>6398</v>
      </c>
      <c r="F447" s="552" t="s">
        <v>2740</v>
      </c>
      <c r="G447" s="577" t="str">
        <f>IFERROR(VLOOKUP(E447,SINAPI!A:D,2,0),"")</f>
        <v>Servente</v>
      </c>
      <c r="H447" s="578"/>
      <c r="I447" s="40" t="str">
        <f>IFERROR(VLOOKUP(E447,SINAPI!A:D,3,0),"")</f>
        <v>h</v>
      </c>
      <c r="J447" s="579">
        <f t="shared" si="83"/>
        <v>0.22220000000000001</v>
      </c>
      <c r="K447" s="40">
        <f>IFERROR(VLOOKUP(E447,SINAPI!A:D,4,0),"")</f>
        <v>6.61</v>
      </c>
      <c r="L447" s="580">
        <f t="shared" si="85"/>
        <v>1.47</v>
      </c>
      <c r="M447" s="744">
        <f t="shared" si="84"/>
        <v>0</v>
      </c>
      <c r="N447" s="562"/>
      <c r="O447" s="562"/>
      <c r="P447" s="562">
        <v>1</v>
      </c>
      <c r="Q447" s="562">
        <f t="shared" si="86"/>
        <v>4.5</v>
      </c>
    </row>
    <row r="448" spans="1:17" ht="15" hidden="1" customHeight="1" outlineLevel="1" x14ac:dyDescent="0.25">
      <c r="A448" s="732" t="b">
        <f t="shared" ref="A448:A450" si="87">A444</f>
        <v>0</v>
      </c>
      <c r="C448" s="35">
        <v>7</v>
      </c>
      <c r="D448" s="550" t="s">
        <v>2639</v>
      </c>
      <c r="E448" s="550">
        <v>2003850</v>
      </c>
      <c r="F448" s="552" t="s">
        <v>73</v>
      </c>
      <c r="G448" s="577" t="str">
        <f>IFERROR(VLOOKUP(E448,SINAPI!A:D,2,0),"")</f>
        <v>Lastro de brita comercial compactado com soquete vibratório - espalhamento manual</v>
      </c>
      <c r="H448" s="578"/>
      <c r="I448" s="40" t="str">
        <f>IFERROR(VLOOKUP(E448,SINAPI!A:D,3,0),"")</f>
        <v>m³</v>
      </c>
      <c r="J448" s="579">
        <f t="shared" si="83"/>
        <v>6.7000000000000002E-3</v>
      </c>
      <c r="K448" s="40">
        <f>IFERROR(VLOOKUP(E448,SINAPI!A:D,4,0),"")</f>
        <v>139.65</v>
      </c>
      <c r="L448" s="580">
        <f t="shared" ref="L448:L451" si="88">IF(J448="","",ROUND(J448*K448,2))</f>
        <v>0.94</v>
      </c>
      <c r="M448" s="744">
        <f t="shared" si="84"/>
        <v>0</v>
      </c>
      <c r="N448" s="562"/>
      <c r="O448" s="562"/>
      <c r="P448" s="562">
        <f>0.01*3</f>
        <v>0.03</v>
      </c>
      <c r="Q448" s="562">
        <f t="shared" si="86"/>
        <v>4.5</v>
      </c>
    </row>
    <row r="449" spans="1:17" ht="15" hidden="1" customHeight="1" outlineLevel="1" x14ac:dyDescent="0.25">
      <c r="A449" s="732" t="b">
        <f t="shared" si="87"/>
        <v>0</v>
      </c>
      <c r="C449" s="35">
        <v>8</v>
      </c>
      <c r="D449" s="550" t="s">
        <v>2639</v>
      </c>
      <c r="E449" s="550" t="s">
        <v>3913</v>
      </c>
      <c r="F449" s="552" t="s">
        <v>3914</v>
      </c>
      <c r="G449" s="577" t="str">
        <f>IFERROR(VLOOKUP(E449,SINAPI!A:D,2,0),"")</f>
        <v>Geocomposto para drenagem</v>
      </c>
      <c r="H449" s="578"/>
      <c r="I449" s="40" t="str">
        <f>IFERROR(VLOOKUP(E449,SINAPI!A:D,3,0),"")</f>
        <v>m²</v>
      </c>
      <c r="J449" s="579">
        <f t="shared" si="83"/>
        <v>1.2</v>
      </c>
      <c r="K449" s="40">
        <f>IFERROR(VLOOKUP(E449,SINAPI!A:D,4,0),"")</f>
        <v>29.28</v>
      </c>
      <c r="L449" s="580">
        <f t="shared" si="88"/>
        <v>35.14</v>
      </c>
      <c r="M449" s="744">
        <f t="shared" si="84"/>
        <v>0.09</v>
      </c>
      <c r="N449" s="562"/>
      <c r="O449" s="562"/>
      <c r="P449" s="562">
        <f>1.8*3</f>
        <v>5.4</v>
      </c>
      <c r="Q449" s="562">
        <f t="shared" si="86"/>
        <v>4.5</v>
      </c>
    </row>
    <row r="450" spans="1:17" ht="15" hidden="1" customHeight="1" outlineLevel="1" x14ac:dyDescent="0.25">
      <c r="A450" s="732" t="b">
        <f t="shared" si="87"/>
        <v>0</v>
      </c>
      <c r="C450" s="35">
        <v>9</v>
      </c>
      <c r="D450" s="550" t="s">
        <v>2639</v>
      </c>
      <c r="E450" s="550" t="s">
        <v>6406</v>
      </c>
      <c r="F450" s="552" t="s">
        <v>3240</v>
      </c>
      <c r="G450" s="577" t="str">
        <f>IFERROR(VLOOKUP(E450,SINAPI!A:D,2,0),"")</f>
        <v>Tubo PEAD corrugado perfurado para drenagem - D = 100 mm</v>
      </c>
      <c r="H450" s="578"/>
      <c r="I450" s="40" t="str">
        <f>IFERROR(VLOOKUP(E450,SINAPI!A:D,3,0),"")</f>
        <v>m</v>
      </c>
      <c r="J450" s="579">
        <f t="shared" si="83"/>
        <v>0.8</v>
      </c>
      <c r="K450" s="40">
        <f>IFERROR(VLOOKUP(E450,SINAPI!A:D,4,0),"")</f>
        <v>19.63</v>
      </c>
      <c r="L450" s="580">
        <f t="shared" si="88"/>
        <v>15.7</v>
      </c>
      <c r="M450" s="744">
        <f t="shared" si="84"/>
        <v>0.04</v>
      </c>
      <c r="N450" s="562"/>
      <c r="O450" s="562"/>
      <c r="P450" s="562">
        <f>3+0.2*3</f>
        <v>3.6</v>
      </c>
      <c r="Q450" s="562">
        <f t="shared" si="86"/>
        <v>4.5</v>
      </c>
    </row>
    <row r="451" spans="1:17" ht="15" hidden="1" customHeight="1" outlineLevel="1" x14ac:dyDescent="0.25">
      <c r="A451" s="732" t="b">
        <f>A447</f>
        <v>0</v>
      </c>
      <c r="C451" s="35">
        <v>10</v>
      </c>
      <c r="D451" s="550" t="s">
        <v>2639</v>
      </c>
      <c r="E451" s="550">
        <v>2306090</v>
      </c>
      <c r="F451" s="552" t="s">
        <v>3915</v>
      </c>
      <c r="G451" s="577" t="str">
        <f>IFERROR(VLOOKUP(E451,SINAPI!A:D,2,0),"")</f>
        <v>Estaca broca manual D = 25 cm - confecção</v>
      </c>
      <c r="H451" s="578"/>
      <c r="I451" s="40" t="str">
        <f>IFERROR(VLOOKUP(E451,SINAPI!A:D,3,0),"")</f>
        <v>m</v>
      </c>
      <c r="J451" s="579">
        <f t="shared" si="83"/>
        <v>0.16669999999999999</v>
      </c>
      <c r="K451" s="40">
        <f>IFERROR(VLOOKUP(E451,SINAPI!A:D,4,0),"")</f>
        <v>39.31</v>
      </c>
      <c r="L451" s="580">
        <f t="shared" si="88"/>
        <v>6.55</v>
      </c>
      <c r="M451" s="744">
        <f t="shared" si="84"/>
        <v>0.02</v>
      </c>
      <c r="N451" s="562"/>
      <c r="O451" s="562"/>
      <c r="P451" s="562">
        <v>0.75</v>
      </c>
      <c r="Q451" s="562">
        <f t="shared" si="86"/>
        <v>4.5</v>
      </c>
    </row>
    <row r="452" spans="1:17" ht="15" hidden="1" customHeight="1" outlineLevel="1" x14ac:dyDescent="0.25">
      <c r="A452" s="732" t="b">
        <f t="shared" ref="A452:A454" si="89">A448</f>
        <v>0</v>
      </c>
      <c r="C452" s="35">
        <v>11</v>
      </c>
      <c r="D452" s="550" t="s">
        <v>2639</v>
      </c>
      <c r="E452" s="550">
        <v>909620</v>
      </c>
      <c r="F452" s="552" t="s">
        <v>3916</v>
      </c>
      <c r="G452" s="577" t="str">
        <f>IFERROR(VLOOKUP(E452,SINAPI!A:D,2,0),"")</f>
        <v>Alvenaria de blocos de concreto 19 x 19 x 39 cm com espessura de 20 cm com argamassa traço 1:0,5:3,5 - areia comercial</v>
      </c>
      <c r="H452" s="578"/>
      <c r="I452" s="40" t="str">
        <f>IFERROR(VLOOKUP(E452,SINAPI!A:D,3,0),"")</f>
        <v>m²</v>
      </c>
      <c r="J452" s="579">
        <f t="shared" si="83"/>
        <v>0.74670000000000003</v>
      </c>
      <c r="K452" s="40">
        <f>IFERROR(VLOOKUP(E452,SINAPI!A:D,4,0),"")</f>
        <v>106.01</v>
      </c>
      <c r="L452" s="580">
        <f t="shared" ref="L452:L454" si="90">IF(J452="","",ROUND(J452*K452,2))</f>
        <v>79.16</v>
      </c>
      <c r="M452" s="744">
        <f t="shared" si="84"/>
        <v>0.21</v>
      </c>
      <c r="N452" s="562"/>
      <c r="O452" s="562"/>
      <c r="P452" s="562">
        <f>2.8*1.2</f>
        <v>3.36</v>
      </c>
      <c r="Q452" s="562">
        <f t="shared" si="86"/>
        <v>4.5</v>
      </c>
    </row>
    <row r="453" spans="1:17" ht="15" hidden="1" customHeight="1" outlineLevel="1" x14ac:dyDescent="0.25">
      <c r="A453" s="732" t="b">
        <f t="shared" si="89"/>
        <v>0</v>
      </c>
      <c r="C453" s="35">
        <v>12</v>
      </c>
      <c r="D453" s="550" t="s">
        <v>2639</v>
      </c>
      <c r="E453" s="576">
        <v>1109671</v>
      </c>
      <c r="F453" s="577" t="s">
        <v>3917</v>
      </c>
      <c r="G453" s="577" t="str">
        <f>IFERROR(VLOOKUP(E453,SINAPI!A:D,2,0),"")</f>
        <v>Argamassa de cimento e areia 1:4 - confecção em betoneira e lançamento manual - areia comercial</v>
      </c>
      <c r="H453" s="578"/>
      <c r="I453" s="40" t="str">
        <f>IFERROR(VLOOKUP(E453,SINAPI!A:D,3,0),"")</f>
        <v>m³</v>
      </c>
      <c r="J453" s="579">
        <f t="shared" si="83"/>
        <v>0.02</v>
      </c>
      <c r="K453" s="40">
        <f>IFERROR(VLOOKUP(E453,SINAPI!A:D,4,0),"")</f>
        <v>475.8</v>
      </c>
      <c r="L453" s="580">
        <f t="shared" si="90"/>
        <v>9.52</v>
      </c>
      <c r="M453" s="744">
        <f t="shared" si="84"/>
        <v>0.03</v>
      </c>
      <c r="N453" s="562"/>
      <c r="O453" s="562"/>
      <c r="P453" s="562">
        <f>3*1.5*0.02</f>
        <v>0.09</v>
      </c>
      <c r="Q453" s="562">
        <f t="shared" si="86"/>
        <v>4.5</v>
      </c>
    </row>
    <row r="454" spans="1:17" ht="15" hidden="1" customHeight="1" outlineLevel="1" x14ac:dyDescent="0.25">
      <c r="A454" s="732" t="b">
        <f t="shared" si="89"/>
        <v>0</v>
      </c>
      <c r="C454" s="35">
        <v>13</v>
      </c>
      <c r="D454" s="550" t="s">
        <v>2639</v>
      </c>
      <c r="E454" s="550">
        <v>903860</v>
      </c>
      <c r="F454" s="552" t="s">
        <v>3919</v>
      </c>
      <c r="G454" s="577" t="str">
        <f>IFERROR(VLOOKUP(E454,SINAPI!A:D,2,0),"")</f>
        <v>Aplicação de fundo selador acrílico em paredes, uma demão</v>
      </c>
      <c r="H454" s="578"/>
      <c r="I454" s="40" t="str">
        <f>IFERROR(VLOOKUP(E454,SINAPI!A:D,3,0),"")</f>
        <v>m²</v>
      </c>
      <c r="J454" s="579">
        <f t="shared" si="83"/>
        <v>1</v>
      </c>
      <c r="K454" s="40">
        <f>IFERROR(VLOOKUP(E454,SINAPI!A:D,4,0),"")</f>
        <v>2.1800000000000002</v>
      </c>
      <c r="L454" s="580">
        <f t="shared" si="90"/>
        <v>2.1800000000000002</v>
      </c>
      <c r="M454" s="744">
        <f t="shared" si="84"/>
        <v>0.01</v>
      </c>
      <c r="N454" s="562"/>
      <c r="O454" s="562"/>
      <c r="P454" s="562">
        <f>1.5*3</f>
        <v>4.5</v>
      </c>
      <c r="Q454" s="562">
        <f t="shared" si="86"/>
        <v>4.5</v>
      </c>
    </row>
    <row r="455" spans="1:17" ht="15" hidden="1" customHeight="1" outlineLevel="1" x14ac:dyDescent="0.25">
      <c r="A455" s="732" t="b">
        <f>A451</f>
        <v>0</v>
      </c>
      <c r="C455" s="35">
        <v>14</v>
      </c>
      <c r="D455" s="550" t="s">
        <v>2639</v>
      </c>
      <c r="E455" s="1086">
        <v>903818</v>
      </c>
      <c r="F455" s="552" t="s">
        <v>3918</v>
      </c>
      <c r="G455" s="577" t="str">
        <f>IFERROR(VLOOKUP(E455,SINAPI!A:D,2,0),"")</f>
        <v>Aplicação manual de tinta látex em paredes, duas demãos</v>
      </c>
      <c r="H455" s="578"/>
      <c r="I455" s="40" t="str">
        <f>IFERROR(VLOOKUP(E455,SINAPI!A:D,3,0),"")</f>
        <v>m²</v>
      </c>
      <c r="J455" s="579">
        <f t="shared" si="83"/>
        <v>1</v>
      </c>
      <c r="K455" s="40">
        <f>IFERROR(VLOOKUP(E455,SINAPI!A:D,4,0),"")</f>
        <v>12.83</v>
      </c>
      <c r="L455" s="580">
        <f t="shared" si="85"/>
        <v>12.83</v>
      </c>
      <c r="M455" s="744">
        <f t="shared" si="84"/>
        <v>0.03</v>
      </c>
      <c r="N455" s="562"/>
      <c r="O455" s="562"/>
      <c r="P455" s="562">
        <f>P454</f>
        <v>4.5</v>
      </c>
      <c r="Q455" s="562">
        <f t="shared" si="86"/>
        <v>4.5</v>
      </c>
    </row>
    <row r="456" spans="1:17" ht="15" hidden="1" customHeight="1" outlineLevel="1" x14ac:dyDescent="0.25">
      <c r="A456" s="732" t="b">
        <f t="shared" ref="A456:A457" si="91">A452</f>
        <v>0</v>
      </c>
      <c r="C456" s="35">
        <v>15</v>
      </c>
      <c r="D456" s="550" t="s">
        <v>2639</v>
      </c>
      <c r="E456" s="550">
        <v>4805749</v>
      </c>
      <c r="F456" s="552" t="s">
        <v>3920</v>
      </c>
      <c r="G456" s="577" t="str">
        <f>IFERROR(VLOOKUP(E456,SINAPI!A:D,2,0),"")</f>
        <v>Escavação manual de vala em material de 1ª categoria</v>
      </c>
      <c r="H456" s="578"/>
      <c r="I456" s="40" t="str">
        <f>IFERROR(VLOOKUP(E456,SINAPI!A:D,3,0),"")</f>
        <v>m³</v>
      </c>
      <c r="J456" s="579">
        <f t="shared" si="83"/>
        <v>0.34670000000000001</v>
      </c>
      <c r="K456" s="40">
        <f>IFERROR(VLOOKUP(E456,SINAPI!A:D,4,0),"")</f>
        <v>68.25</v>
      </c>
      <c r="L456" s="580">
        <f t="shared" ref="L456:L457" si="92">IF(J456="","",ROUND(J456*K456,2))</f>
        <v>23.66</v>
      </c>
      <c r="M456" s="744">
        <f t="shared" si="84"/>
        <v>0.06</v>
      </c>
      <c r="N456" s="562"/>
      <c r="O456" s="562"/>
      <c r="P456" s="562">
        <f>0.52*3</f>
        <v>1.56</v>
      </c>
      <c r="Q456" s="562">
        <f t="shared" si="86"/>
        <v>4.5</v>
      </c>
    </row>
    <row r="457" spans="1:17" ht="15" hidden="1" customHeight="1" outlineLevel="1" x14ac:dyDescent="0.25">
      <c r="A457" s="732" t="b">
        <f t="shared" si="91"/>
        <v>0</v>
      </c>
      <c r="C457" s="35">
        <v>16</v>
      </c>
      <c r="D457" s="550" t="s">
        <v>2639</v>
      </c>
      <c r="E457" s="550">
        <v>4805755</v>
      </c>
      <c r="F457" s="552" t="s">
        <v>3921</v>
      </c>
      <c r="G457" s="577" t="str">
        <f>IFERROR(VLOOKUP(E457,SINAPI!A:D,2,0),"")</f>
        <v>Apiloamento manual</v>
      </c>
      <c r="H457" s="578"/>
      <c r="I457" s="40" t="str">
        <f>IFERROR(VLOOKUP(E457,SINAPI!A:D,3,0),"")</f>
        <v>m³</v>
      </c>
      <c r="J457" s="579">
        <f t="shared" si="83"/>
        <v>0.34670000000000001</v>
      </c>
      <c r="K457" s="40">
        <f>IFERROR(VLOOKUP(E457,SINAPI!A:D,4,0),"")</f>
        <v>29.55</v>
      </c>
      <c r="L457" s="580">
        <f t="shared" si="92"/>
        <v>10.24</v>
      </c>
      <c r="M457" s="744">
        <f t="shared" si="84"/>
        <v>0.03</v>
      </c>
      <c r="N457" s="562"/>
      <c r="O457" s="562"/>
      <c r="P457" s="562">
        <f>0.52*3</f>
        <v>1.56</v>
      </c>
      <c r="Q457" s="562">
        <f t="shared" si="86"/>
        <v>4.5</v>
      </c>
    </row>
    <row r="458" spans="1:17" ht="15" hidden="1" customHeight="1" outlineLevel="1" thickBot="1" x14ac:dyDescent="0.3">
      <c r="A458" s="732" t="b">
        <f>A455</f>
        <v>0</v>
      </c>
      <c r="C458" s="230" t="s">
        <v>96</v>
      </c>
      <c r="D458" s="231"/>
      <c r="E458" s="231"/>
      <c r="F458" s="231"/>
      <c r="G458" s="231"/>
      <c r="H458" s="231"/>
      <c r="I458" s="231"/>
      <c r="J458" s="231"/>
      <c r="K458" s="232"/>
      <c r="L458" s="581">
        <f>SUM(L442:L457)</f>
        <v>375.73</v>
      </c>
      <c r="M458" s="261"/>
      <c r="N458" s="562" t="str">
        <f>C441</f>
        <v>COMP 50</v>
      </c>
      <c r="O458" s="582">
        <f>L458</f>
        <v>375.73</v>
      </c>
      <c r="P458" s="562"/>
      <c r="Q458" s="562"/>
    </row>
    <row r="459" spans="1:17" ht="30" hidden="1" customHeight="1" outlineLevel="1" x14ac:dyDescent="0.25">
      <c r="A459" s="699" t="b">
        <f>_xlfn.XOR(C459=$S$2,C459=$S$3,C459=$S$4,C459=$S$5,C459=$S$6,C459=$S$7,C459=$S$8,C459=$S$9,C459=$S$10,C459=$S$11,C459=$S$12,C459=$S$13,C459=$S$14,C459=$S$15,C459=$S$16,C459=$S$17,C459=$S$18,C459=$S$19,C459=$S$20,C459=$S$21,C459=$S$22,C459=$S$23,C459=$S$24,C459=$S$25,C459=$S$26,C459=$S$27,C459=$S$28,C459=$S$29,C459=$S$30,C459=$S$316,C459=$S$32,C459=$S$33,C459=$S$34,C459=$S$35,C459=$S$36,C459=$S$37,C459=$S$38,C459=$S$39,C459=$S$40,C459=$S$41,C459=$S$42,)</f>
        <v>0</v>
      </c>
      <c r="C459" s="569" t="s">
        <v>3912</v>
      </c>
      <c r="D459" s="570"/>
      <c r="E459" s="1669" t="str">
        <f>IFERROR(VLOOKUP(C459,SINAPI!A:D,2,0),"")</f>
        <v>Muro de alvenaria de blocos com vigas e pilares em concreto (e= 20cm) rebocado em uma face, 1,50 &lt; h &lt; 2,50m conforme detalhamento, inclusive escavação, reaterro e pintura em uma face</v>
      </c>
      <c r="F459" s="1670"/>
      <c r="G459" s="1670"/>
      <c r="H459" s="1671"/>
      <c r="I459" s="572" t="str">
        <f>IFERROR(VLOOKUP(C459,SINAPI!A:D,3,0),"")</f>
        <v>m²</v>
      </c>
      <c r="J459" s="573"/>
      <c r="K459" s="573" t="s">
        <v>2603</v>
      </c>
      <c r="L459" s="574" t="str">
        <f>IF(J459="","",ROUND(J459*#REF!,2))</f>
        <v/>
      </c>
      <c r="M459" s="575"/>
      <c r="N459" s="562"/>
      <c r="O459" s="562"/>
      <c r="P459" s="562" t="s">
        <v>3924</v>
      </c>
      <c r="Q459" s="562" t="s">
        <v>3925</v>
      </c>
    </row>
    <row r="460" spans="1:17" ht="15" hidden="1" customHeight="1" outlineLevel="1" x14ac:dyDescent="0.25">
      <c r="A460" s="732" t="b">
        <f t="shared" ref="A460:A465" si="93">A459</f>
        <v>0</v>
      </c>
      <c r="C460" s="35">
        <v>1</v>
      </c>
      <c r="D460" s="550" t="s">
        <v>2639</v>
      </c>
      <c r="E460" s="550">
        <v>1107892</v>
      </c>
      <c r="F460" s="552" t="s">
        <v>3193</v>
      </c>
      <c r="G460" s="37" t="str">
        <f>IFERROR(VLOOKUP(E460,SINAPI!A:D,2,0),"")</f>
        <v>Concreto fck = 20 MPa - confecção em betoneira e lançamento manual - areia e brita comerciais</v>
      </c>
      <c r="H460" s="578"/>
      <c r="I460" s="40" t="str">
        <f>IFERROR(VLOOKUP(E460,SINAPI!A:D,3,0),"")</f>
        <v>m³</v>
      </c>
      <c r="J460" s="579">
        <f>P460/Q460</f>
        <v>0.13689999999999999</v>
      </c>
      <c r="K460" s="40">
        <f>IFERROR(VLOOKUP(E460,SINAPI!A:D,4,0),"")</f>
        <v>449.57</v>
      </c>
      <c r="L460" s="580">
        <f>IF(J460="","",ROUND(J460*K460,2))</f>
        <v>61.55</v>
      </c>
      <c r="M460" s="264"/>
      <c r="N460" s="562"/>
      <c r="O460" s="562"/>
      <c r="P460" s="562">
        <f>0.2*0.3*3*3+(2.5-0.6)*0.2*0.2</f>
        <v>0.61599999999999999</v>
      </c>
      <c r="Q460" s="562">
        <f>3*1.5</f>
        <v>4.5</v>
      </c>
    </row>
    <row r="461" spans="1:17" ht="15" hidden="1" customHeight="1" outlineLevel="1" x14ac:dyDescent="0.25">
      <c r="A461" s="732" t="b">
        <f t="shared" si="93"/>
        <v>0</v>
      </c>
      <c r="C461" s="35">
        <v>2</v>
      </c>
      <c r="D461" s="550" t="s">
        <v>2639</v>
      </c>
      <c r="E461" s="550">
        <v>3103302</v>
      </c>
      <c r="F461" s="552" t="s">
        <v>3927</v>
      </c>
      <c r="G461" s="37" t="str">
        <f>IFERROR(VLOOKUP(E461,SINAPI!A:D,2,0),"")</f>
        <v>Fôrmas de tábuas de pinho para dispositivos de drenagem - utilização de 3 vezes - confecção, instalação e retirada</v>
      </c>
      <c r="H461" s="578"/>
      <c r="I461" s="40" t="str">
        <f>IFERROR(VLOOKUP(E461,SINAPI!A:D,3,0),"")</f>
        <v>m²</v>
      </c>
      <c r="J461" s="579">
        <f t="shared" ref="J461:J475" si="94">P461/Q461</f>
        <v>0.86670000000000003</v>
      </c>
      <c r="K461" s="40">
        <f>IFERROR(VLOOKUP(E461,SINAPI!A:D,4,0),"")</f>
        <v>67.53</v>
      </c>
      <c r="L461" s="580">
        <f>IF(J461="","",ROUND(J461*K461,2))</f>
        <v>58.53</v>
      </c>
      <c r="M461" s="264"/>
      <c r="N461" s="562"/>
      <c r="O461" s="562"/>
      <c r="P461" s="562">
        <f>(0.3*0.2*3*3+1.9*0.2*2)*3</f>
        <v>3.9</v>
      </c>
      <c r="Q461" s="562">
        <f>Q460</f>
        <v>4.5</v>
      </c>
    </row>
    <row r="462" spans="1:17" ht="15" hidden="1" customHeight="1" outlineLevel="1" x14ac:dyDescent="0.25">
      <c r="A462" s="732" t="b">
        <f t="shared" si="93"/>
        <v>0</v>
      </c>
      <c r="C462" s="35">
        <v>3</v>
      </c>
      <c r="D462" s="550" t="s">
        <v>2639</v>
      </c>
      <c r="E462" s="550">
        <v>407819</v>
      </c>
      <c r="F462" s="552" t="s">
        <v>2704</v>
      </c>
      <c r="G462" s="37" t="str">
        <f>IFERROR(VLOOKUP(E462,SINAPI!A:D,2,0),"")</f>
        <v>Armação em aço CA-50 - fornecimento, preparo e colocação</v>
      </c>
      <c r="H462" s="578"/>
      <c r="I462" s="40" t="str">
        <f>IFERROR(VLOOKUP(E462,SINAPI!A:D,3,0),"")</f>
        <v>kg</v>
      </c>
      <c r="J462" s="579">
        <f t="shared" si="94"/>
        <v>9.4304000000000006</v>
      </c>
      <c r="K462" s="40">
        <f>IFERROR(VLOOKUP(E462,SINAPI!A:D,4,0),"")</f>
        <v>14.15</v>
      </c>
      <c r="L462" s="580">
        <f t="shared" ref="L462:L475" si="95">IF(J462="","",ROUND(J462*K462,2))</f>
        <v>133.44</v>
      </c>
      <c r="M462" s="264"/>
      <c r="N462" s="562"/>
      <c r="O462" s="562"/>
      <c r="P462" s="562">
        <f>(4*3*3+4*(1.9+1.25+0.9))*0.62*1.05+(((2*3)/0.15)*(0.15*2+0.25*2+0.1)*0.154)+(((1.9+1.25+0.9)/0.15)*(0.15*4+0.1)*0.154)</f>
        <v>42.436799999999998</v>
      </c>
      <c r="Q462" s="562">
        <f t="shared" ref="Q462:Q475" si="96">Q461</f>
        <v>4.5</v>
      </c>
    </row>
    <row r="463" spans="1:17" ht="15" hidden="1" customHeight="1" outlineLevel="1" x14ac:dyDescent="0.25">
      <c r="A463" s="732" t="b">
        <f t="shared" si="93"/>
        <v>0</v>
      </c>
      <c r="C463" s="35">
        <v>4</v>
      </c>
      <c r="D463" s="550" t="s">
        <v>2639</v>
      </c>
      <c r="E463" s="1086">
        <v>1106087</v>
      </c>
      <c r="F463" s="552" t="s">
        <v>2761</v>
      </c>
      <c r="G463" s="37" t="str">
        <f>IFERROR(VLOOKUP(E463,SINAPI!A:D,2,0),"")</f>
        <v>Lançamento manual de concreto usinado - confecção em central dosadora de 40 m³/h</v>
      </c>
      <c r="H463" s="578"/>
      <c r="I463" s="40" t="str">
        <f>IFERROR(VLOOKUP(E463,SINAPI!A:D,3,0),"")</f>
        <v>m³</v>
      </c>
      <c r="J463" s="579">
        <f t="shared" si="94"/>
        <v>0.13689999999999999</v>
      </c>
      <c r="K463" s="40">
        <f>IFERROR(VLOOKUP(E463,SINAPI!A:D,4,0),"")</f>
        <v>48.95</v>
      </c>
      <c r="L463" s="580">
        <f t="shared" si="95"/>
        <v>6.7</v>
      </c>
      <c r="M463" s="264"/>
      <c r="N463" s="562"/>
      <c r="O463" s="562"/>
      <c r="P463" s="562">
        <f>P460</f>
        <v>0.61599999999999999</v>
      </c>
      <c r="Q463" s="562">
        <f t="shared" si="96"/>
        <v>4.5</v>
      </c>
    </row>
    <row r="464" spans="1:17" ht="15" hidden="1" customHeight="1" outlineLevel="1" x14ac:dyDescent="0.25">
      <c r="A464" s="732" t="b">
        <f t="shared" si="93"/>
        <v>0</v>
      </c>
      <c r="C464" s="35">
        <v>5</v>
      </c>
      <c r="D464" s="550" t="s">
        <v>2639</v>
      </c>
      <c r="E464" s="550" t="s">
        <v>6397</v>
      </c>
      <c r="F464" s="552" t="s">
        <v>2751</v>
      </c>
      <c r="G464" s="37" t="str">
        <f>IFERROR(VLOOKUP(E464,SINAPI!A:D,2,0),"")</f>
        <v>Pedreiro</v>
      </c>
      <c r="H464" s="578"/>
      <c r="I464" s="40" t="str">
        <f>IFERROR(VLOOKUP(E464,SINAPI!A:D,3,0),"")</f>
        <v>h</v>
      </c>
      <c r="J464" s="579">
        <f t="shared" si="94"/>
        <v>0.22220000000000001</v>
      </c>
      <c r="K464" s="40">
        <f>IFERROR(VLOOKUP(E464,SINAPI!A:D,4,0),"")</f>
        <v>9.4499999999999993</v>
      </c>
      <c r="L464" s="580">
        <f t="shared" si="95"/>
        <v>2.1</v>
      </c>
      <c r="M464" s="264"/>
      <c r="N464" s="562"/>
      <c r="O464" s="562"/>
      <c r="P464" s="562">
        <v>1</v>
      </c>
      <c r="Q464" s="562">
        <f t="shared" si="96"/>
        <v>4.5</v>
      </c>
    </row>
    <row r="465" spans="1:17" ht="15" hidden="1" customHeight="1" outlineLevel="1" x14ac:dyDescent="0.25">
      <c r="A465" s="732" t="b">
        <f t="shared" si="93"/>
        <v>0</v>
      </c>
      <c r="C465" s="35">
        <v>6</v>
      </c>
      <c r="D465" s="550" t="s">
        <v>2639</v>
      </c>
      <c r="E465" s="550" t="s">
        <v>6398</v>
      </c>
      <c r="F465" s="552" t="s">
        <v>2740</v>
      </c>
      <c r="G465" s="37" t="str">
        <f>IFERROR(VLOOKUP(E465,SINAPI!A:D,2,0),"")</f>
        <v>Servente</v>
      </c>
      <c r="H465" s="578"/>
      <c r="I465" s="40" t="str">
        <f>IFERROR(VLOOKUP(E465,SINAPI!A:D,3,0),"")</f>
        <v>h</v>
      </c>
      <c r="J465" s="579">
        <f t="shared" si="94"/>
        <v>0.22220000000000001</v>
      </c>
      <c r="K465" s="40">
        <f>IFERROR(VLOOKUP(E465,SINAPI!A:D,4,0),"")</f>
        <v>6.61</v>
      </c>
      <c r="L465" s="580">
        <f t="shared" si="95"/>
        <v>1.47</v>
      </c>
      <c r="M465" s="264"/>
      <c r="N465" s="562"/>
      <c r="O465" s="562"/>
      <c r="P465" s="562">
        <v>1</v>
      </c>
      <c r="Q465" s="562">
        <f t="shared" si="96"/>
        <v>4.5</v>
      </c>
    </row>
    <row r="466" spans="1:17" ht="15" hidden="1" customHeight="1" outlineLevel="1" x14ac:dyDescent="0.25">
      <c r="A466" s="732" t="b">
        <f t="shared" ref="A466:A468" si="97">A462</f>
        <v>0</v>
      </c>
      <c r="C466" s="35">
        <v>7</v>
      </c>
      <c r="D466" s="550" t="s">
        <v>2639</v>
      </c>
      <c r="E466" s="550">
        <v>2003850</v>
      </c>
      <c r="F466" s="552" t="s">
        <v>73</v>
      </c>
      <c r="G466" s="37" t="str">
        <f>IFERROR(VLOOKUP(E466,SINAPI!A:D,2,0),"")</f>
        <v>Lastro de brita comercial compactado com soquete vibratório - espalhamento manual</v>
      </c>
      <c r="H466" s="578"/>
      <c r="I466" s="40" t="str">
        <f>IFERROR(VLOOKUP(E466,SINAPI!A:D,3,0),"")</f>
        <v>m³</v>
      </c>
      <c r="J466" s="579">
        <f t="shared" si="94"/>
        <v>6.7000000000000002E-3</v>
      </c>
      <c r="K466" s="40">
        <f>IFERROR(VLOOKUP(E466,SINAPI!A:D,4,0),"")</f>
        <v>139.65</v>
      </c>
      <c r="L466" s="580">
        <f t="shared" si="95"/>
        <v>0.94</v>
      </c>
      <c r="M466" s="264"/>
      <c r="N466" s="562"/>
      <c r="O466" s="562"/>
      <c r="P466" s="562">
        <f>0.01*3</f>
        <v>0.03</v>
      </c>
      <c r="Q466" s="562">
        <f t="shared" si="96"/>
        <v>4.5</v>
      </c>
    </row>
    <row r="467" spans="1:17" ht="15" hidden="1" customHeight="1" outlineLevel="1" x14ac:dyDescent="0.25">
      <c r="A467" s="1146" t="b">
        <f t="shared" si="97"/>
        <v>0</v>
      </c>
      <c r="C467" s="35">
        <v>8</v>
      </c>
      <c r="D467" s="550" t="s">
        <v>2639</v>
      </c>
      <c r="E467" s="550" t="s">
        <v>3913</v>
      </c>
      <c r="F467" s="552" t="s">
        <v>3914</v>
      </c>
      <c r="G467" s="37" t="str">
        <f>IFERROR(VLOOKUP(E467,SINAPI!A:D,2,0),"")</f>
        <v>Geocomposto para drenagem</v>
      </c>
      <c r="H467" s="578"/>
      <c r="I467" s="40" t="str">
        <f>IFERROR(VLOOKUP(E467,SINAPI!A:D,3,0),"")</f>
        <v>m²</v>
      </c>
      <c r="J467" s="579">
        <f t="shared" si="94"/>
        <v>1.8667</v>
      </c>
      <c r="K467" s="40">
        <f>IFERROR(VLOOKUP(E467,SINAPI!A:D,4,0),"")</f>
        <v>29.28</v>
      </c>
      <c r="L467" s="580">
        <f t="shared" si="95"/>
        <v>54.66</v>
      </c>
      <c r="M467" s="264"/>
      <c r="N467" s="562"/>
      <c r="O467" s="562"/>
      <c r="P467" s="562">
        <f>2.8*3</f>
        <v>8.4</v>
      </c>
      <c r="Q467" s="562">
        <f t="shared" si="96"/>
        <v>4.5</v>
      </c>
    </row>
    <row r="468" spans="1:17" ht="15" hidden="1" customHeight="1" outlineLevel="1" x14ac:dyDescent="0.25">
      <c r="A468" s="732" t="b">
        <f t="shared" si="97"/>
        <v>0</v>
      </c>
      <c r="C468" s="35">
        <v>9</v>
      </c>
      <c r="D468" s="550" t="s">
        <v>2639</v>
      </c>
      <c r="E468" s="550" t="s">
        <v>6406</v>
      </c>
      <c r="F468" s="552" t="s">
        <v>6758</v>
      </c>
      <c r="G468" s="37" t="str">
        <f>IFERROR(VLOOKUP(E468,SINAPI!A:D,2,0),"")</f>
        <v>Tubo PEAD corrugado perfurado para drenagem - D = 100 mm</v>
      </c>
      <c r="H468" s="578"/>
      <c r="I468" s="40" t="str">
        <f>IFERROR(VLOOKUP(E468,SINAPI!A:D,3,0),"")</f>
        <v>m</v>
      </c>
      <c r="J468" s="579">
        <f t="shared" si="94"/>
        <v>0.8</v>
      </c>
      <c r="K468" s="40">
        <f>IFERROR(VLOOKUP(E468,SINAPI!A:D,4,0),"")</f>
        <v>19.63</v>
      </c>
      <c r="L468" s="580">
        <f t="shared" si="95"/>
        <v>15.7</v>
      </c>
      <c r="M468" s="264"/>
      <c r="N468" s="562"/>
      <c r="O468" s="562"/>
      <c r="P468" s="562">
        <f>3+0.2*3</f>
        <v>3.6</v>
      </c>
      <c r="Q468" s="562">
        <f t="shared" si="96"/>
        <v>4.5</v>
      </c>
    </row>
    <row r="469" spans="1:17" ht="15" hidden="1" customHeight="1" outlineLevel="1" x14ac:dyDescent="0.25">
      <c r="A469" s="1146" t="b">
        <f>A465</f>
        <v>0</v>
      </c>
      <c r="C469" s="35">
        <v>10</v>
      </c>
      <c r="D469" s="550" t="s">
        <v>2639</v>
      </c>
      <c r="E469" s="550">
        <v>2306090</v>
      </c>
      <c r="F469" s="552" t="s">
        <v>6764</v>
      </c>
      <c r="G469" s="37" t="str">
        <f>IFERROR(VLOOKUP(E469,SINAPI!A:D,2,0),"")</f>
        <v>Estaca broca manual D = 25 cm - confecção</v>
      </c>
      <c r="H469" s="578"/>
      <c r="I469" s="40" t="str">
        <f>IFERROR(VLOOKUP(E469,SINAPI!A:D,3,0),"")</f>
        <v>m</v>
      </c>
      <c r="J469" s="579">
        <f t="shared" si="94"/>
        <v>0.27779999999999999</v>
      </c>
      <c r="K469" s="40">
        <f>IFERROR(VLOOKUP(E469,SINAPI!A:D,4,0),"")</f>
        <v>39.31</v>
      </c>
      <c r="L469" s="580">
        <f t="shared" si="95"/>
        <v>10.92</v>
      </c>
      <c r="M469" s="264"/>
      <c r="N469" s="562"/>
      <c r="O469" s="562"/>
      <c r="P469" s="562">
        <v>1.25</v>
      </c>
      <c r="Q469" s="562">
        <f t="shared" si="96"/>
        <v>4.5</v>
      </c>
    </row>
    <row r="470" spans="1:17" ht="15" hidden="1" customHeight="1" outlineLevel="1" x14ac:dyDescent="0.25">
      <c r="A470" s="732" t="b">
        <f t="shared" ref="A470:A472" si="98">A466</f>
        <v>0</v>
      </c>
      <c r="C470" s="35">
        <v>11</v>
      </c>
      <c r="D470" s="550" t="s">
        <v>2639</v>
      </c>
      <c r="E470" s="550">
        <v>909620</v>
      </c>
      <c r="F470" s="552" t="s">
        <v>3916</v>
      </c>
      <c r="G470" s="37" t="str">
        <f>IFERROR(VLOOKUP(E470,SINAPI!A:D,2,0),"")</f>
        <v>Alvenaria de blocos de concreto 19 x 19 x 39 cm com espessura de 20 cm com argamassa traço 1:0,5:3,5 - areia comercial</v>
      </c>
      <c r="H470" s="578"/>
      <c r="I470" s="40" t="str">
        <f>IFERROR(VLOOKUP(E470,SINAPI!A:D,3,0),"")</f>
        <v>m²</v>
      </c>
      <c r="J470" s="579">
        <f t="shared" si="94"/>
        <v>1.1821999999999999</v>
      </c>
      <c r="K470" s="40">
        <f>IFERROR(VLOOKUP(E470,SINAPI!A:D,4,0),"")</f>
        <v>106.01</v>
      </c>
      <c r="L470" s="580">
        <f t="shared" si="95"/>
        <v>125.33</v>
      </c>
      <c r="M470" s="264"/>
      <c r="N470" s="562"/>
      <c r="O470" s="562"/>
      <c r="P470" s="562">
        <f>2.8*1.9</f>
        <v>5.32</v>
      </c>
      <c r="Q470" s="562">
        <f t="shared" si="96"/>
        <v>4.5</v>
      </c>
    </row>
    <row r="471" spans="1:17" ht="15" hidden="1" customHeight="1" outlineLevel="1" x14ac:dyDescent="0.25">
      <c r="A471" s="732" t="b">
        <f t="shared" si="98"/>
        <v>0</v>
      </c>
      <c r="C471" s="35">
        <v>12</v>
      </c>
      <c r="D471" s="550" t="s">
        <v>2639</v>
      </c>
      <c r="E471" s="576">
        <v>1109671</v>
      </c>
      <c r="F471" s="577" t="s">
        <v>3917</v>
      </c>
      <c r="G471" s="37" t="str">
        <f>IFERROR(VLOOKUP(E471,SINAPI!A:D,2,0),"")</f>
        <v>Argamassa de cimento e areia 1:4 - confecção em betoneira e lançamento manual - areia comercial</v>
      </c>
      <c r="H471" s="578"/>
      <c r="I471" s="40" t="str">
        <f>IFERROR(VLOOKUP(E471,SINAPI!A:D,3,0),"")</f>
        <v>m³</v>
      </c>
      <c r="J471" s="579">
        <f t="shared" si="94"/>
        <v>3.3300000000000003E-2</v>
      </c>
      <c r="K471" s="40">
        <f>IFERROR(VLOOKUP(E471,SINAPI!A:D,4,0),"")</f>
        <v>475.8</v>
      </c>
      <c r="L471" s="580">
        <f t="shared" si="95"/>
        <v>15.84</v>
      </c>
      <c r="M471" s="264"/>
      <c r="N471" s="562"/>
      <c r="O471" s="562"/>
      <c r="P471" s="562">
        <f>3*2.5*0.02</f>
        <v>0.15</v>
      </c>
      <c r="Q471" s="562">
        <f t="shared" si="96"/>
        <v>4.5</v>
      </c>
    </row>
    <row r="472" spans="1:17" ht="15" hidden="1" customHeight="1" outlineLevel="1" x14ac:dyDescent="0.25">
      <c r="A472" s="732" t="b">
        <f t="shared" si="98"/>
        <v>0</v>
      </c>
      <c r="C472" s="35">
        <v>13</v>
      </c>
      <c r="D472" s="550" t="s">
        <v>2639</v>
      </c>
      <c r="E472" s="550">
        <v>903860</v>
      </c>
      <c r="F472" s="552" t="s">
        <v>3919</v>
      </c>
      <c r="G472" s="37" t="str">
        <f>IFERROR(VLOOKUP(E472,SINAPI!A:D,2,0),"")</f>
        <v>Aplicação de fundo selador acrílico em paredes, uma demão</v>
      </c>
      <c r="H472" s="578"/>
      <c r="I472" s="40" t="str">
        <f>IFERROR(VLOOKUP(E472,SINAPI!A:D,3,0),"")</f>
        <v>m²</v>
      </c>
      <c r="J472" s="579">
        <f t="shared" si="94"/>
        <v>1.6667000000000001</v>
      </c>
      <c r="K472" s="40">
        <f>IFERROR(VLOOKUP(E472,SINAPI!A:D,4,0),"")</f>
        <v>2.1800000000000002</v>
      </c>
      <c r="L472" s="580">
        <f t="shared" si="95"/>
        <v>3.63</v>
      </c>
      <c r="M472" s="264"/>
      <c r="N472" s="562"/>
      <c r="O472" s="562"/>
      <c r="P472" s="562">
        <f>2.5*3</f>
        <v>7.5</v>
      </c>
      <c r="Q472" s="562">
        <f t="shared" si="96"/>
        <v>4.5</v>
      </c>
    </row>
    <row r="473" spans="1:17" ht="15" hidden="1" customHeight="1" outlineLevel="1" x14ac:dyDescent="0.25">
      <c r="A473" s="732" t="b">
        <f>A469</f>
        <v>0</v>
      </c>
      <c r="C473" s="35">
        <v>14</v>
      </c>
      <c r="D473" s="550" t="s">
        <v>2639</v>
      </c>
      <c r="E473" s="1086">
        <v>903818</v>
      </c>
      <c r="F473" s="552" t="s">
        <v>3918</v>
      </c>
      <c r="G473" s="37" t="str">
        <f>IFERROR(VLOOKUP(E473,SINAPI!A:D,2,0),"")</f>
        <v>Aplicação manual de tinta látex em paredes, duas demãos</v>
      </c>
      <c r="H473" s="578"/>
      <c r="I473" s="40" t="str">
        <f>IFERROR(VLOOKUP(E473,SINAPI!A:D,3,0),"")</f>
        <v>m²</v>
      </c>
      <c r="J473" s="579">
        <f t="shared" si="94"/>
        <v>1.6667000000000001</v>
      </c>
      <c r="K473" s="40">
        <f>IFERROR(VLOOKUP(E473,SINAPI!A:D,4,0),"")</f>
        <v>12.83</v>
      </c>
      <c r="L473" s="580">
        <f t="shared" si="95"/>
        <v>21.38</v>
      </c>
      <c r="M473" s="264"/>
      <c r="N473" s="562"/>
      <c r="O473" s="562"/>
      <c r="P473" s="562">
        <f>P472</f>
        <v>7.5</v>
      </c>
      <c r="Q473" s="562">
        <f t="shared" si="96"/>
        <v>4.5</v>
      </c>
    </row>
    <row r="474" spans="1:17" ht="15" hidden="1" customHeight="1" outlineLevel="1" x14ac:dyDescent="0.25">
      <c r="A474" s="732" t="b">
        <f t="shared" ref="A474:A475" si="99">A470</f>
        <v>0</v>
      </c>
      <c r="C474" s="35">
        <v>15</v>
      </c>
      <c r="D474" s="550" t="s">
        <v>2639</v>
      </c>
      <c r="E474" s="550">
        <v>4805749</v>
      </c>
      <c r="F474" s="552" t="s">
        <v>3920</v>
      </c>
      <c r="G474" s="37" t="str">
        <f>IFERROR(VLOOKUP(E474,SINAPI!A:D,2,0),"")</f>
        <v>Escavação manual de vala em material de 1ª categoria</v>
      </c>
      <c r="H474" s="578"/>
      <c r="I474" s="40" t="str">
        <f>IFERROR(VLOOKUP(E474,SINAPI!A:D,3,0),"")</f>
        <v>m³</v>
      </c>
      <c r="J474" s="579">
        <f t="shared" si="94"/>
        <v>0.7</v>
      </c>
      <c r="K474" s="40">
        <f>IFERROR(VLOOKUP(E474,SINAPI!A:D,4,0),"")</f>
        <v>68.25</v>
      </c>
      <c r="L474" s="580">
        <f t="shared" si="95"/>
        <v>47.78</v>
      </c>
      <c r="M474" s="264"/>
      <c r="N474" s="562"/>
      <c r="O474" s="562"/>
      <c r="P474" s="562">
        <f>1.05*3</f>
        <v>3.15</v>
      </c>
      <c r="Q474" s="562">
        <f t="shared" si="96"/>
        <v>4.5</v>
      </c>
    </row>
    <row r="475" spans="1:17" ht="15" hidden="1" customHeight="1" outlineLevel="1" x14ac:dyDescent="0.25">
      <c r="A475" s="732" t="b">
        <f t="shared" si="99"/>
        <v>0</v>
      </c>
      <c r="C475" s="35">
        <v>16</v>
      </c>
      <c r="D475" s="550" t="s">
        <v>2639</v>
      </c>
      <c r="E475" s="550">
        <v>4805755</v>
      </c>
      <c r="F475" s="552" t="s">
        <v>3921</v>
      </c>
      <c r="G475" s="37" t="str">
        <f>IFERROR(VLOOKUP(E475,SINAPI!A:D,2,0),"")</f>
        <v>Apiloamento manual</v>
      </c>
      <c r="H475" s="578"/>
      <c r="I475" s="40" t="str">
        <f>IFERROR(VLOOKUP(E475,SINAPI!A:D,3,0),"")</f>
        <v>m³</v>
      </c>
      <c r="J475" s="579">
        <f t="shared" si="94"/>
        <v>0.55330000000000001</v>
      </c>
      <c r="K475" s="40">
        <f>IFERROR(VLOOKUP(E475,SINAPI!A:D,4,0),"")</f>
        <v>29.55</v>
      </c>
      <c r="L475" s="580">
        <f t="shared" si="95"/>
        <v>16.350000000000001</v>
      </c>
      <c r="M475" s="264"/>
      <c r="N475" s="562"/>
      <c r="O475" s="562"/>
      <c r="P475" s="562">
        <f>0.83*3</f>
        <v>2.4900000000000002</v>
      </c>
      <c r="Q475" s="562">
        <f t="shared" si="96"/>
        <v>4.5</v>
      </c>
    </row>
    <row r="476" spans="1:17" ht="15" hidden="1" customHeight="1" outlineLevel="1" thickBot="1" x14ac:dyDescent="0.3">
      <c r="A476" s="732" t="b">
        <f>A473</f>
        <v>0</v>
      </c>
      <c r="C476" s="230" t="s">
        <v>96</v>
      </c>
      <c r="D476" s="231"/>
      <c r="E476" s="231"/>
      <c r="F476" s="231"/>
      <c r="G476" s="231"/>
      <c r="H476" s="231"/>
      <c r="I476" s="231"/>
      <c r="J476" s="231"/>
      <c r="K476" s="232"/>
      <c r="L476" s="581">
        <f>SUM(L460:L475)</f>
        <v>576.32000000000005</v>
      </c>
      <c r="M476" s="261"/>
      <c r="N476" s="562" t="str">
        <f>C459</f>
        <v>COMP 51</v>
      </c>
      <c r="O476" s="582">
        <f>L476</f>
        <v>576.32000000000005</v>
      </c>
      <c r="P476" s="562"/>
      <c r="Q476" s="562"/>
    </row>
    <row r="477" spans="1:17" ht="13.5" hidden="1" outlineLevel="1" x14ac:dyDescent="0.25">
      <c r="A477" s="699" t="b">
        <f>_xlfn.XOR(C477=$S$2,C477=$S$3,C477=$S$4,C477=$S$5,C477=$S$6,C477=$S$7,C477=$S$8,C477=$S$9,C477=$S$10,C477=$S$11,C477=$S$12,C477=$S$13,C477=$S$14,C477=$S$15,C477=$S$16,C477=$S$17,C477=$S$18,C477=$S$19,C477=$S$20,C477=$S$21,C477=$S$22,C477=$S$23,C477=$S$24,C477=$S$25,C477=$S$26,C477=$S$27,C477=$S$28,C477=$S$29,C477=$S$30,C477=$S$316,C477=$S$32,C477=$S$33,C477=$S$34,C477=$S$35,C477=$S$36,C477=$S$37,C477=$S$38,C477=$S$39,C477=$S$40,C477=$S$41,C477=$S$42,)</f>
        <v>0</v>
      </c>
      <c r="C477" s="569" t="s">
        <v>4258</v>
      </c>
      <c r="D477" s="570"/>
      <c r="E477" s="1669" t="str">
        <f>IFERROR(VLOOKUP(C477,SINAPI!A:D,2,0),"")</f>
        <v>Tubo de concreto PA1 comercial para drenagem - D = 0,40 m - fornecimento e instalação</v>
      </c>
      <c r="F477" s="1670"/>
      <c r="G477" s="1670"/>
      <c r="H477" s="1671"/>
      <c r="I477" s="572" t="str">
        <f>IFERROR(VLOOKUP(C477,SINAPI!A:D,3,0),"")</f>
        <v>m</v>
      </c>
      <c r="J477" s="573"/>
      <c r="K477" s="573" t="s">
        <v>2603</v>
      </c>
      <c r="L477" s="574" t="str">
        <f>IF(J477="","",ROUND(J477*#REF!,2))</f>
        <v/>
      </c>
      <c r="M477" s="575">
        <v>8.3000000000000007</v>
      </c>
      <c r="N477" s="562"/>
      <c r="O477" s="562"/>
      <c r="P477" s="562"/>
      <c r="Q477" s="562"/>
    </row>
    <row r="478" spans="1:17" ht="15" hidden="1" customHeight="1" outlineLevel="1" x14ac:dyDescent="0.25">
      <c r="A478" s="751" t="b">
        <f t="shared" ref="A478:A484" si="100">A477</f>
        <v>0</v>
      </c>
      <c r="C478" s="35">
        <v>1</v>
      </c>
      <c r="D478" s="550" t="s">
        <v>2639</v>
      </c>
      <c r="E478" s="551" t="s">
        <v>6421</v>
      </c>
      <c r="F478" s="552" t="s">
        <v>4623</v>
      </c>
      <c r="G478" s="37" t="str">
        <f>IFERROR(VLOOKUP(E478,SINAPI!A:D,2,0),"")</f>
        <v>Caminhão carroceria com guindauto com capacidade de 20 t.m - 136 kW CHP</v>
      </c>
      <c r="H478" s="578"/>
      <c r="I478" s="40" t="str">
        <f>IFERROR(VLOOKUP(E478,SINAPI!A:D,3,0),"")</f>
        <v>h</v>
      </c>
      <c r="J478" s="579">
        <f>M478/$M$477</f>
        <v>0.1205</v>
      </c>
      <c r="K478" s="40">
        <f>IFERROR(VLOOKUP(E478,SINAPI!A:D,4,0),"")</f>
        <v>339.73</v>
      </c>
      <c r="L478" s="580">
        <f>IF(J478="","",ROUND(J478*K478,2))</f>
        <v>40.94</v>
      </c>
      <c r="M478" s="264">
        <v>1</v>
      </c>
      <c r="N478" s="562"/>
      <c r="O478" s="562"/>
      <c r="P478" s="562"/>
      <c r="Q478" s="562"/>
    </row>
    <row r="479" spans="1:17" ht="15" hidden="1" customHeight="1" outlineLevel="1" x14ac:dyDescent="0.25">
      <c r="A479" s="751" t="b">
        <f t="shared" si="100"/>
        <v>0</v>
      </c>
      <c r="C479" s="35">
        <v>2</v>
      </c>
      <c r="D479" s="550" t="s">
        <v>2639</v>
      </c>
      <c r="E479" s="551" t="s">
        <v>6422</v>
      </c>
      <c r="F479" s="552" t="s">
        <v>4624</v>
      </c>
      <c r="G479" s="37" t="str">
        <f>IFERROR(VLOOKUP(E479,SINAPI!A:D,2,0),"")</f>
        <v>Caminhão carroceria com guindauto com capacidade de 20 t.m - 136 kW CHI</v>
      </c>
      <c r="H479" s="578"/>
      <c r="I479" s="40" t="str">
        <f>IFERROR(VLOOKUP(E479,SINAPI!A:D,3,0),"")</f>
        <v>h</v>
      </c>
      <c r="J479" s="579">
        <f>M479/$M$477</f>
        <v>0</v>
      </c>
      <c r="K479" s="40">
        <f>IFERROR(VLOOKUP(E479,SINAPI!A:D,4,0),"")</f>
        <v>108.53</v>
      </c>
      <c r="L479" s="580">
        <f>IF(J479="","",ROUND(J479*K479,2))</f>
        <v>0</v>
      </c>
      <c r="M479" s="264">
        <v>0</v>
      </c>
      <c r="N479" s="562"/>
      <c r="O479" s="562"/>
      <c r="P479" s="562"/>
      <c r="Q479" s="562"/>
    </row>
    <row r="480" spans="1:17" ht="15" hidden="1" customHeight="1" outlineLevel="1" x14ac:dyDescent="0.25">
      <c r="A480" s="751" t="b">
        <f t="shared" si="100"/>
        <v>0</v>
      </c>
      <c r="C480" s="35">
        <v>3</v>
      </c>
      <c r="D480" s="550" t="s">
        <v>2639</v>
      </c>
      <c r="E480" s="551" t="s">
        <v>4626</v>
      </c>
      <c r="F480" s="552" t="s">
        <v>6426</v>
      </c>
      <c r="G480" s="37" t="str">
        <f>IFERROR(VLOOKUP(E480,SINAPI!A:D,2,0),"")</f>
        <v>Tubo de concreto armado PA1 - D = 0,40 m</v>
      </c>
      <c r="H480" s="578"/>
      <c r="I480" s="40" t="str">
        <f>IFERROR(VLOOKUP(E480,SINAPI!A:D,3,0),"")</f>
        <v>m</v>
      </c>
      <c r="J480" s="579">
        <v>1</v>
      </c>
      <c r="K480" s="40">
        <f>IFERROR(VLOOKUP(E480,SINAPI!A:D,4,0),"")</f>
        <v>104.45</v>
      </c>
      <c r="L480" s="580">
        <f t="shared" ref="L480:L483" si="101">IF(J480="","",ROUND(J480*K480,2))</f>
        <v>104.45</v>
      </c>
      <c r="M480" s="264"/>
      <c r="N480" s="562"/>
      <c r="O480" s="562"/>
      <c r="P480" s="562"/>
      <c r="Q480" s="562"/>
    </row>
    <row r="481" spans="1:17" ht="15" hidden="1" customHeight="1" outlineLevel="1" x14ac:dyDescent="0.25">
      <c r="A481" s="751" t="b">
        <f t="shared" si="100"/>
        <v>0</v>
      </c>
      <c r="C481" s="35">
        <v>4</v>
      </c>
      <c r="D481" s="550" t="s">
        <v>2639</v>
      </c>
      <c r="E481" s="551" t="s">
        <v>6397</v>
      </c>
      <c r="F481" s="552" t="s">
        <v>2751</v>
      </c>
      <c r="G481" s="37" t="str">
        <f>IFERROR(VLOOKUP(E481,SINAPI!A:D,2,0),"")</f>
        <v>Pedreiro</v>
      </c>
      <c r="H481" s="578"/>
      <c r="I481" s="40" t="str">
        <f>IFERROR(VLOOKUP(E481,SINAPI!A:D,3,0),"")</f>
        <v>h</v>
      </c>
      <c r="J481" s="579">
        <f t="shared" ref="J481:J482" si="102">M481/$M$477</f>
        <v>0.1205</v>
      </c>
      <c r="K481" s="40">
        <f>IFERROR(VLOOKUP(E481,SINAPI!A:D,4,0),"")</f>
        <v>9.4499999999999993</v>
      </c>
      <c r="L481" s="580">
        <f t="shared" si="101"/>
        <v>1.1399999999999999</v>
      </c>
      <c r="M481" s="264">
        <v>1</v>
      </c>
      <c r="N481" s="562"/>
      <c r="O481" s="562"/>
      <c r="P481" s="562"/>
      <c r="Q481" s="562"/>
    </row>
    <row r="482" spans="1:17" ht="15" hidden="1" customHeight="1" outlineLevel="1" x14ac:dyDescent="0.25">
      <c r="A482" s="751" t="b">
        <f t="shared" si="100"/>
        <v>0</v>
      </c>
      <c r="C482" s="35">
        <v>5</v>
      </c>
      <c r="D482" s="550" t="s">
        <v>2639</v>
      </c>
      <c r="E482" s="551" t="s">
        <v>6398</v>
      </c>
      <c r="F482" s="552" t="s">
        <v>2740</v>
      </c>
      <c r="G482" s="37" t="str">
        <f>IFERROR(VLOOKUP(E482,SINAPI!A:D,2,0),"")</f>
        <v>Servente</v>
      </c>
      <c r="H482" s="578"/>
      <c r="I482" s="40" t="str">
        <f>IFERROR(VLOOKUP(E482,SINAPI!A:D,3,0),"")</f>
        <v>h</v>
      </c>
      <c r="J482" s="579">
        <f t="shared" si="102"/>
        <v>0.3614</v>
      </c>
      <c r="K482" s="40">
        <f>IFERROR(VLOOKUP(E482,SINAPI!A:D,4,0),"")</f>
        <v>6.61</v>
      </c>
      <c r="L482" s="580">
        <f t="shared" si="101"/>
        <v>2.39</v>
      </c>
      <c r="M482" s="264">
        <v>3</v>
      </c>
      <c r="N482" s="562"/>
      <c r="O482" s="562"/>
      <c r="P482" s="562"/>
      <c r="Q482" s="562"/>
    </row>
    <row r="483" spans="1:17" ht="15" hidden="1" customHeight="1" outlineLevel="1" x14ac:dyDescent="0.25">
      <c r="A483" s="751" t="b">
        <f t="shared" si="100"/>
        <v>0</v>
      </c>
      <c r="C483" s="35">
        <v>6</v>
      </c>
      <c r="D483" s="550" t="s">
        <v>2639</v>
      </c>
      <c r="E483" s="551">
        <v>1109669</v>
      </c>
      <c r="F483" s="552" t="s">
        <v>4263</v>
      </c>
      <c r="G483" s="37" t="str">
        <f>IFERROR(VLOOKUP(E483,SINAPI!A:D,2,0),"")</f>
        <v>Argamassa de cimento e areia 1:3 - confecção em betoneira e lançamento manual - areia comercial</v>
      </c>
      <c r="H483" s="578"/>
      <c r="I483" s="40" t="str">
        <f>IFERROR(VLOOKUP(E483,SINAPI!A:D,3,0),"")</f>
        <v>m³</v>
      </c>
      <c r="J483" s="579">
        <v>2E-3</v>
      </c>
      <c r="K483" s="40">
        <f>IFERROR(VLOOKUP(E483,SINAPI!A:D,4,0),"")</f>
        <v>515.19000000000005</v>
      </c>
      <c r="L483" s="580">
        <f t="shared" si="101"/>
        <v>1.03</v>
      </c>
      <c r="M483" s="264"/>
      <c r="N483" s="562"/>
      <c r="O483" s="562"/>
      <c r="P483" s="562"/>
      <c r="Q483" s="562"/>
    </row>
    <row r="484" spans="1:17" ht="15" hidden="1" customHeight="1" outlineLevel="1" thickBot="1" x14ac:dyDescent="0.3">
      <c r="A484" s="751" t="b">
        <f t="shared" si="100"/>
        <v>0</v>
      </c>
      <c r="C484" s="230" t="s">
        <v>96</v>
      </c>
      <c r="D484" s="231"/>
      <c r="E484" s="231"/>
      <c r="F484" s="231"/>
      <c r="G484" s="231"/>
      <c r="H484" s="231"/>
      <c r="I484" s="231"/>
      <c r="J484" s="231"/>
      <c r="K484" s="232"/>
      <c r="L484" s="581">
        <f>SUM(L478:L483)</f>
        <v>149.94999999999999</v>
      </c>
      <c r="M484" s="261"/>
      <c r="N484" s="562" t="str">
        <f>C477</f>
        <v>COMP 52</v>
      </c>
      <c r="O484" s="582">
        <f>L484</f>
        <v>149.94999999999999</v>
      </c>
      <c r="P484" s="562"/>
      <c r="Q484" s="562"/>
    </row>
    <row r="485" spans="1:17" ht="15" hidden="1" customHeight="1" outlineLevel="1" thickBot="1" x14ac:dyDescent="0.3">
      <c r="A485" s="1081" t="b">
        <f>A484</f>
        <v>0</v>
      </c>
      <c r="C485" s="1105" t="s">
        <v>6399</v>
      </c>
      <c r="D485" s="231"/>
      <c r="E485" s="231"/>
      <c r="F485" s="231"/>
      <c r="G485" s="231"/>
      <c r="H485" s="231"/>
      <c r="I485" s="231"/>
      <c r="J485" s="231"/>
      <c r="K485" s="232"/>
      <c r="L485" s="581"/>
      <c r="M485" s="261"/>
      <c r="N485" s="562"/>
      <c r="O485" s="582"/>
      <c r="P485" s="562"/>
      <c r="Q485" s="562"/>
    </row>
    <row r="486" spans="1:17" ht="13.5" hidden="1" outlineLevel="1" x14ac:dyDescent="0.25">
      <c r="A486" s="699" t="b">
        <f>_xlfn.XOR(C486=$S$2,C486=$S$3,C486=$S$4,C486=$S$5,C486=$S$6,C486=$S$7,C486=$S$8,C486=$S$9,C486=$S$10,C486=$S$11,C486=$S$12,C486=$S$13,C486=$S$14,C486=$S$15,C486=$S$16,C486=$S$17,C486=$S$18,C486=$S$19,C486=$S$20,C486=$S$21,C486=$S$22,C486=$S$23,C486=$S$24,C486=$S$25,C486=$S$26,C486=$S$27,C486=$S$28,C486=$S$29,C486=$S$30,C486=$S$316,C486=$S$32,C486=$S$33,C486=$S$34,C486=$S$35,C486=$S$36,C486=$S$37,C486=$S$38,C486=$S$39,C486=$S$40,C486=$S$41,C486=$S$42,)</f>
        <v>0</v>
      </c>
      <c r="C486" s="569" t="s">
        <v>4259</v>
      </c>
      <c r="D486" s="570"/>
      <c r="E486" s="1669" t="str">
        <f>IFERROR(VLOOKUP(C486,SINAPI!A:D,2,0),"")</f>
        <v>Fornecimento e assentamento de tubo de concreto simples d= 60cm</v>
      </c>
      <c r="F486" s="1670"/>
      <c r="G486" s="1670"/>
      <c r="H486" s="1671"/>
      <c r="I486" s="572" t="str">
        <f>IFERROR(VLOOKUP(C486,SINAPI!A:D,3,0),"")</f>
        <v>m</v>
      </c>
      <c r="J486" s="573"/>
      <c r="K486" s="573" t="s">
        <v>2603</v>
      </c>
      <c r="L486" s="574" t="str">
        <f>IF(J486="","",ROUND(J486*#REF!,2))</f>
        <v/>
      </c>
      <c r="M486" s="575"/>
      <c r="N486" s="562"/>
      <c r="O486" s="562"/>
      <c r="P486" s="562"/>
      <c r="Q486" s="562"/>
    </row>
    <row r="487" spans="1:17" ht="15" hidden="1" customHeight="1" outlineLevel="1" x14ac:dyDescent="0.25">
      <c r="A487" s="751" t="b">
        <f t="shared" ref="A487:A499" si="103">A486</f>
        <v>0</v>
      </c>
      <c r="C487" s="35">
        <v>1</v>
      </c>
      <c r="D487" s="550" t="s">
        <v>2748</v>
      </c>
      <c r="E487" s="551">
        <v>5631</v>
      </c>
      <c r="F487" s="552" t="s">
        <v>4261</v>
      </c>
      <c r="G487" s="37" t="str">
        <f>IFERROR(VLOOKUP(E487,SINAPI!A:D,2,0),"")</f>
        <v>ESCAVADEIRA HIDRÁULICA SOBRE ESTEIRAS, CAÇAMBA 0,80 M3, PESO OPERACIONAL 17 T, POTENCIA BRUTA 111 HP - CHP DIURNO. AF_06/2014</v>
      </c>
      <c r="H487" s="578"/>
      <c r="I487" s="40" t="str">
        <f>IFERROR(VLOOKUP(E487,SINAPI!A:D,3,0),"")</f>
        <v>CHP</v>
      </c>
      <c r="J487" s="579">
        <v>0.105</v>
      </c>
      <c r="K487" s="40">
        <f>IFERROR(VLOOKUP(E487,SINAPI!A:D,4,0),"")</f>
        <v>216.25</v>
      </c>
      <c r="L487" s="580">
        <f>IF(J487="","",ROUND(J487*K487,2))</f>
        <v>22.71</v>
      </c>
      <c r="M487" s="264"/>
      <c r="N487" s="562"/>
      <c r="O487" s="562"/>
      <c r="P487" s="562"/>
      <c r="Q487" s="562"/>
    </row>
    <row r="488" spans="1:17" ht="15" hidden="1" customHeight="1" outlineLevel="1" x14ac:dyDescent="0.25">
      <c r="A488" s="751" t="b">
        <f t="shared" si="103"/>
        <v>0</v>
      </c>
      <c r="C488" s="35">
        <v>2</v>
      </c>
      <c r="D488" s="550" t="s">
        <v>2748</v>
      </c>
      <c r="E488" s="551">
        <v>5632</v>
      </c>
      <c r="F488" s="552" t="s">
        <v>4262</v>
      </c>
      <c r="G488" s="37" t="str">
        <f>IFERROR(VLOOKUP(E488,SINAPI!A:D,2,0),"")</f>
        <v>ESCAVADEIRA HIDRÁULICA SOBRE ESTEIRAS, CAÇAMBA 0,80 M3, PESO OPERACIONAL 17 T, POTENCIA BRUTA 111 HP - CHI DIURNO. AF_06/2014</v>
      </c>
      <c r="H488" s="578"/>
      <c r="I488" s="40" t="str">
        <f>IFERROR(VLOOKUP(E488,SINAPI!A:D,3,0),"")</f>
        <v>CHI</v>
      </c>
      <c r="J488" s="579">
        <v>0.221</v>
      </c>
      <c r="K488" s="40">
        <f>IFERROR(VLOOKUP(E488,SINAPI!A:D,4,0),"")</f>
        <v>82.94</v>
      </c>
      <c r="L488" s="580">
        <f>IF(J488="","",ROUND(J488*K488,2))</f>
        <v>18.329999999999998</v>
      </c>
      <c r="M488" s="264"/>
      <c r="N488" s="562"/>
      <c r="O488" s="562"/>
      <c r="P488" s="562"/>
      <c r="Q488" s="562"/>
    </row>
    <row r="489" spans="1:17" ht="15" hidden="1" customHeight="1" outlineLevel="1" x14ac:dyDescent="0.25">
      <c r="A489" s="751" t="b">
        <f t="shared" si="103"/>
        <v>0</v>
      </c>
      <c r="C489" s="35">
        <v>3</v>
      </c>
      <c r="D489" s="550" t="s">
        <v>2747</v>
      </c>
      <c r="E489" s="551">
        <v>37453</v>
      </c>
      <c r="F489" s="552" t="s">
        <v>4265</v>
      </c>
      <c r="G489" s="37" t="str">
        <f>IFERROR(VLOOKUP(E489,SINAPI!A:D,2,0),"")</f>
        <v xml:space="preserve">TUBO DE CONCRETO SIMPLES PARA AGUAS PLUVIAIS, CLASSE PS1, COM ENCAIXE MACHO E FEMEA, DIAMETRO NOMINAL DE 600 MM                                                                                                                                                                                                                                                                                                                                                                                           </v>
      </c>
      <c r="H489" s="578"/>
      <c r="I489" s="40" t="str">
        <f>IFERROR(VLOOKUP(E489,SINAPI!A:D,3,0),"")</f>
        <v xml:space="preserve">M     </v>
      </c>
      <c r="J489" s="579">
        <v>1.03</v>
      </c>
      <c r="K489" s="40">
        <f>IFERROR(VLOOKUP(E489,SINAPI!A:D,4,0),"")</f>
        <v>74.400000000000006</v>
      </c>
      <c r="L489" s="580">
        <f t="shared" ref="L489:L492" si="104">IF(J489="","",ROUND(J489*K489,2))</f>
        <v>76.63</v>
      </c>
      <c r="M489" s="264"/>
      <c r="N489" s="562"/>
      <c r="O489" s="562"/>
      <c r="P489" s="562"/>
      <c r="Q489" s="562"/>
    </row>
    <row r="490" spans="1:17" ht="15" hidden="1" customHeight="1" outlineLevel="1" x14ac:dyDescent="0.25">
      <c r="A490" s="751" t="b">
        <f t="shared" si="103"/>
        <v>0</v>
      </c>
      <c r="C490" s="35">
        <v>4</v>
      </c>
      <c r="D490" s="550" t="s">
        <v>2747</v>
      </c>
      <c r="E490" s="551">
        <v>88246</v>
      </c>
      <c r="F490" s="552" t="s">
        <v>4264</v>
      </c>
      <c r="G490" s="37" t="str">
        <f>IFERROR(VLOOKUP(E490,SINAPI!A:D,2,0),"")</f>
        <v>ASSENTADOR DE TUBOS COM ENCARGOS COMPLEMENTARES</v>
      </c>
      <c r="H490" s="578"/>
      <c r="I490" s="40" t="str">
        <f>IFERROR(VLOOKUP(E490,SINAPI!A:D,3,0),"")</f>
        <v>H</v>
      </c>
      <c r="J490" s="579">
        <v>0.49299999999999999</v>
      </c>
      <c r="K490" s="40">
        <f>IFERROR(VLOOKUP(E490,SINAPI!A:D,4,0),"")</f>
        <v>24.06</v>
      </c>
      <c r="L490" s="580">
        <f t="shared" si="104"/>
        <v>11.86</v>
      </c>
      <c r="M490" s="264"/>
      <c r="N490" s="562"/>
      <c r="O490" s="562"/>
      <c r="P490" s="562"/>
      <c r="Q490" s="562"/>
    </row>
    <row r="491" spans="1:17" ht="15" hidden="1" customHeight="1" outlineLevel="1" x14ac:dyDescent="0.25">
      <c r="A491" s="751" t="b">
        <f t="shared" si="103"/>
        <v>0</v>
      </c>
      <c r="C491" s="35">
        <v>5</v>
      </c>
      <c r="D491" s="550" t="s">
        <v>2747</v>
      </c>
      <c r="E491" s="551">
        <v>88316</v>
      </c>
      <c r="F491" s="552" t="s">
        <v>2740</v>
      </c>
      <c r="G491" s="37" t="str">
        <f>IFERROR(VLOOKUP(E491,SINAPI!A:D,2,0),"")</f>
        <v>SERVENTE COM ENCARGOS COMPLEMENTARES</v>
      </c>
      <c r="H491" s="578"/>
      <c r="I491" s="40" t="str">
        <f>IFERROR(VLOOKUP(E491,SINAPI!A:D,3,0),"")</f>
        <v>H</v>
      </c>
      <c r="J491" s="579">
        <v>0.98599999999999999</v>
      </c>
      <c r="K491" s="40">
        <f>IFERROR(VLOOKUP(E491,SINAPI!A:D,4,0),"")</f>
        <v>20.82</v>
      </c>
      <c r="L491" s="580">
        <f t="shared" si="104"/>
        <v>20.53</v>
      </c>
      <c r="M491" s="264"/>
      <c r="N491" s="562"/>
      <c r="O491" s="562"/>
      <c r="P491" s="562"/>
      <c r="Q491" s="562"/>
    </row>
    <row r="492" spans="1:17" ht="15" hidden="1" customHeight="1" outlineLevel="1" x14ac:dyDescent="0.25">
      <c r="A492" s="751" t="b">
        <f t="shared" si="103"/>
        <v>0</v>
      </c>
      <c r="C492" s="35">
        <v>6</v>
      </c>
      <c r="D492" s="550" t="s">
        <v>2747</v>
      </c>
      <c r="E492" s="551">
        <v>88629</v>
      </c>
      <c r="F492" s="552" t="s">
        <v>4263</v>
      </c>
      <c r="G492" s="37" t="str">
        <f>IFERROR(VLOOKUP(E492,SINAPI!A:D,2,0),"")</f>
        <v>ARGAMASSA TRAÇO 1:3 (EM VOLUME DE CIMENTO E AREIA MÉDIA ÚMIDA), PREPARO MANUAL. AF_08/2019</v>
      </c>
      <c r="H492" s="578"/>
      <c r="I492" s="40" t="str">
        <f>IFERROR(VLOOKUP(E492,SINAPI!A:D,3,0),"")</f>
        <v>M3</v>
      </c>
      <c r="J492" s="579">
        <v>5.0000000000000001E-3</v>
      </c>
      <c r="K492" s="40">
        <f>IFERROR(VLOOKUP(E492,SINAPI!A:D,4,0),"")</f>
        <v>705.96</v>
      </c>
      <c r="L492" s="580">
        <f t="shared" si="104"/>
        <v>3.53</v>
      </c>
      <c r="M492" s="264"/>
      <c r="N492" s="562"/>
      <c r="O492" s="562"/>
      <c r="P492" s="562"/>
      <c r="Q492" s="562"/>
    </row>
    <row r="493" spans="1:17" ht="15" hidden="1" customHeight="1" outlineLevel="1" thickBot="1" x14ac:dyDescent="0.3">
      <c r="A493" s="751" t="b">
        <f t="shared" si="103"/>
        <v>0</v>
      </c>
      <c r="C493" s="230" t="s">
        <v>96</v>
      </c>
      <c r="D493" s="231"/>
      <c r="E493" s="231"/>
      <c r="F493" s="231"/>
      <c r="G493" s="231"/>
      <c r="H493" s="231"/>
      <c r="I493" s="231"/>
      <c r="J493" s="231"/>
      <c r="K493" s="232"/>
      <c r="L493" s="581">
        <f>SUM(L487:L492)</f>
        <v>153.59</v>
      </c>
      <c r="M493" s="261"/>
      <c r="N493" s="562" t="str">
        <f>C486</f>
        <v>COMP 53</v>
      </c>
      <c r="O493" s="582">
        <f>L493</f>
        <v>153.59</v>
      </c>
      <c r="P493" s="562"/>
      <c r="Q493" s="562"/>
    </row>
    <row r="494" spans="1:17" ht="13.5" hidden="1" outlineLevel="1" x14ac:dyDescent="0.25">
      <c r="A494" s="699" t="b">
        <v>0</v>
      </c>
      <c r="C494" s="569" t="s">
        <v>4593</v>
      </c>
      <c r="D494" s="570"/>
      <c r="E494" s="1669" t="str">
        <f>IFERROR(VLOOKUP(C494,SINAPI!A:D,2,0),"")</f>
        <v>Alvenaria de tijolos maciços</v>
      </c>
      <c r="F494" s="1670"/>
      <c r="G494" s="1670"/>
      <c r="H494" s="1671"/>
      <c r="I494" s="572" t="str">
        <f>IFERROR(VLOOKUP(C494,SINAPI!A:D,3,0),"")</f>
        <v>m²</v>
      </c>
      <c r="J494" s="573"/>
      <c r="K494" s="573" t="s">
        <v>2603</v>
      </c>
      <c r="L494" s="574" t="str">
        <f>IF(J494="","",ROUND(J494*#REF!,2))</f>
        <v/>
      </c>
      <c r="M494" s="575"/>
      <c r="N494" s="562"/>
      <c r="O494" s="562"/>
      <c r="P494" s="562"/>
      <c r="Q494" s="562"/>
    </row>
    <row r="495" spans="1:17" ht="15" hidden="1" customHeight="1" outlineLevel="1" x14ac:dyDescent="0.25">
      <c r="A495" s="758" t="b">
        <f t="shared" si="103"/>
        <v>0</v>
      </c>
      <c r="C495" s="35">
        <v>1</v>
      </c>
      <c r="D495" s="550" t="s">
        <v>2748</v>
      </c>
      <c r="E495" s="551">
        <v>7258</v>
      </c>
      <c r="F495" s="552" t="s">
        <v>4594</v>
      </c>
      <c r="G495" s="37" t="str">
        <f>IFERROR(VLOOKUP(E495,SINAPI!A:D,2,0),"")</f>
        <v xml:space="preserve">TIJOLO CERAMICO MACICO COMUM *5 X 10 X 20* CM (L X A X C)                                                                                                                                                                                                                                                                                                                                                                                                                                                 </v>
      </c>
      <c r="H495" s="578"/>
      <c r="I495" s="40" t="str">
        <f>IFERROR(VLOOKUP(E495,SINAPI!A:D,3,0),"")</f>
        <v xml:space="preserve">UN    </v>
      </c>
      <c r="J495" s="579">
        <v>160</v>
      </c>
      <c r="K495" s="40">
        <f>IFERROR(VLOOKUP(E495,SINAPI!A:D,4,0),"")</f>
        <v>1</v>
      </c>
      <c r="L495" s="580">
        <f>IF(J495="","",ROUND(J495*K495,2))</f>
        <v>160</v>
      </c>
      <c r="M495" s="264"/>
      <c r="N495" s="562"/>
      <c r="O495" s="562"/>
      <c r="P495" s="562"/>
      <c r="Q495" s="562"/>
    </row>
    <row r="496" spans="1:17" ht="15" hidden="1" customHeight="1" outlineLevel="1" x14ac:dyDescent="0.25">
      <c r="A496" s="758" t="b">
        <f t="shared" si="103"/>
        <v>0</v>
      </c>
      <c r="C496" s="35">
        <v>2</v>
      </c>
      <c r="D496" s="550" t="s">
        <v>2748</v>
      </c>
      <c r="E496" s="551">
        <v>87335</v>
      </c>
      <c r="F496" s="552" t="s">
        <v>4595</v>
      </c>
      <c r="G496" s="37" t="str">
        <f>IFERROR(VLOOKUP(E496,SINAPI!A:D,2,0),"")</f>
        <v>ARGAMASSA TRAÇO 1:2:8 (EM VOLUME DE CIMENTO, CAL E AREIA MÉDIA ÚMIDA) PARA EMBOÇO/MASSA ÚNICA/ASSENTAMENTO DE ALVENARIA DE VEDAÇÃO, PREPARO MECÂNICO COM MISTURADOR DE EIXO HORIZONTAL DE 300 KG. AF_08/2019</v>
      </c>
      <c r="H496" s="578"/>
      <c r="I496" s="40" t="str">
        <f>IFERROR(VLOOKUP(E496,SINAPI!A:D,3,0),"")</f>
        <v>M3</v>
      </c>
      <c r="J496" s="579">
        <v>2.1999999999999999E-2</v>
      </c>
      <c r="K496" s="40">
        <f>IFERROR(VLOOKUP(E496,SINAPI!A:D,4,0),"")</f>
        <v>549.79</v>
      </c>
      <c r="L496" s="580">
        <f>IF(J496="","",ROUND(J496*K496,2))</f>
        <v>12.1</v>
      </c>
      <c r="M496" s="264"/>
      <c r="N496" s="562"/>
      <c r="O496" s="562"/>
      <c r="P496" s="562"/>
      <c r="Q496" s="562"/>
    </row>
    <row r="497" spans="1:17" ht="15" hidden="1" customHeight="1" outlineLevel="1" x14ac:dyDescent="0.25">
      <c r="A497" s="758" t="b">
        <f t="shared" si="103"/>
        <v>0</v>
      </c>
      <c r="C497" s="35">
        <v>3</v>
      </c>
      <c r="D497" s="550" t="s">
        <v>2747</v>
      </c>
      <c r="E497" s="551">
        <v>88309</v>
      </c>
      <c r="F497" s="552" t="s">
        <v>2751</v>
      </c>
      <c r="G497" s="37" t="str">
        <f>IFERROR(VLOOKUP(E497,SINAPI!A:D,2,0),"")</f>
        <v>PEDREIRO COM ENCARGOS COMPLEMENTARES</v>
      </c>
      <c r="H497" s="578"/>
      <c r="I497" s="40" t="str">
        <f>IFERROR(VLOOKUP(E497,SINAPI!A:D,3,0),"")</f>
        <v>H</v>
      </c>
      <c r="J497" s="579">
        <v>1.6</v>
      </c>
      <c r="K497" s="40">
        <f>IFERROR(VLOOKUP(E497,SINAPI!A:D,4,0),"")</f>
        <v>30.44</v>
      </c>
      <c r="L497" s="580">
        <f t="shared" ref="L497:L498" si="105">IF(J497="","",ROUND(J497*K497,2))</f>
        <v>48.7</v>
      </c>
      <c r="M497" s="264"/>
      <c r="N497" s="562"/>
      <c r="O497" s="562"/>
      <c r="P497" s="562"/>
      <c r="Q497" s="562"/>
    </row>
    <row r="498" spans="1:17" ht="15" hidden="1" customHeight="1" outlineLevel="1" x14ac:dyDescent="0.25">
      <c r="A498" s="758" t="b">
        <f t="shared" si="103"/>
        <v>0</v>
      </c>
      <c r="C498" s="35">
        <v>4</v>
      </c>
      <c r="D498" s="550" t="s">
        <v>2747</v>
      </c>
      <c r="E498" s="551">
        <v>88316</v>
      </c>
      <c r="F498" s="552" t="s">
        <v>2740</v>
      </c>
      <c r="G498" s="37" t="str">
        <f>IFERROR(VLOOKUP(E498,SINAPI!A:D,2,0),"")</f>
        <v>SERVENTE COM ENCARGOS COMPLEMENTARES</v>
      </c>
      <c r="H498" s="578"/>
      <c r="I498" s="40" t="str">
        <f>IFERROR(VLOOKUP(E498,SINAPI!A:D,3,0),"")</f>
        <v>H</v>
      </c>
      <c r="J498" s="579">
        <v>1.7</v>
      </c>
      <c r="K498" s="40">
        <f>IFERROR(VLOOKUP(E498,SINAPI!A:D,4,0),"")</f>
        <v>20.82</v>
      </c>
      <c r="L498" s="580">
        <f t="shared" si="105"/>
        <v>35.39</v>
      </c>
      <c r="M498" s="264"/>
      <c r="N498" s="562"/>
      <c r="O498" s="562"/>
      <c r="P498" s="562"/>
      <c r="Q498" s="562"/>
    </row>
    <row r="499" spans="1:17" ht="15" hidden="1" customHeight="1" outlineLevel="1" thickBot="1" x14ac:dyDescent="0.3">
      <c r="A499" s="758" t="b">
        <f t="shared" si="103"/>
        <v>0</v>
      </c>
      <c r="C499" s="230" t="s">
        <v>96</v>
      </c>
      <c r="D499" s="231"/>
      <c r="E499" s="231"/>
      <c r="F499" s="231"/>
      <c r="G499" s="231"/>
      <c r="H499" s="231"/>
      <c r="I499" s="231"/>
      <c r="J499" s="231"/>
      <c r="K499" s="232"/>
      <c r="L499" s="581">
        <f>SUM(L495:L498)</f>
        <v>256.19</v>
      </c>
      <c r="M499" s="261"/>
      <c r="N499" s="562" t="str">
        <f>C494</f>
        <v>COMP 54</v>
      </c>
      <c r="O499" s="582">
        <f>L499</f>
        <v>256.19</v>
      </c>
      <c r="P499" s="562"/>
      <c r="Q499" s="562"/>
    </row>
    <row r="500" spans="1:17" ht="13.5" hidden="1" outlineLevel="1" x14ac:dyDescent="0.25">
      <c r="A500" s="699" t="b">
        <f>_xlfn.XOR(C500=$S$2,C500=$S$3,C500=$S$4,C500=$S$5,C500=$S$6,C500=$S$7,C500=$S$8,C500=$S$9,C500=$S$10,C500=$S$11,C500=$S$12,C500=$S$13,C500=$S$14,C500=$S$15,C500=$S$16,C500=$S$17,C500=$S$18,C500=$S$19,C500=$S$20,C500=$S$21,C500=$S$22,C500=$S$23,C500=$S$24,C500=$S$25,C500=$S$26,C500=$S$27,C500=$S$28,C500=$S$29,C500=$S$30,C500=$S$316,C500=$S$32,C500=$S$33,C500=$S$34,C500=$S$35,C500=$S$36,C500=$S$37,C500=$S$38,C500=$S$39,C500=$S$40,C500=$S$41,C500=$S$42,)</f>
        <v>0</v>
      </c>
      <c r="C500" s="569" t="s">
        <v>4596</v>
      </c>
      <c r="D500" s="570"/>
      <c r="E500" s="1669" t="str">
        <f>IFERROR(VLOOKUP(C500,SINAPI!A:D,2,0),"")</f>
        <v>Boca para bueiro d= 150cm</v>
      </c>
      <c r="F500" s="1670"/>
      <c r="G500" s="1670"/>
      <c r="H500" s="1671"/>
      <c r="I500" s="572" t="str">
        <f>IFERROR(VLOOKUP(C500,SINAPI!A:D,3,0),"")</f>
        <v>und</v>
      </c>
      <c r="J500" s="573"/>
      <c r="K500" s="573" t="s">
        <v>2603</v>
      </c>
      <c r="L500" s="574" t="str">
        <f>IF(J500="","",ROUND(J500*#REF!,2))</f>
        <v/>
      </c>
      <c r="M500" s="575"/>
      <c r="N500" s="562"/>
      <c r="O500" s="562"/>
      <c r="P500" s="562"/>
      <c r="Q500" s="562"/>
    </row>
    <row r="501" spans="1:17" ht="15" hidden="1" customHeight="1" outlineLevel="1" x14ac:dyDescent="0.25">
      <c r="A501" s="758" t="b">
        <f>A500</f>
        <v>0</v>
      </c>
      <c r="C501" s="35">
        <v>1</v>
      </c>
      <c r="D501" s="550" t="s">
        <v>2747</v>
      </c>
      <c r="E501" s="551">
        <v>88309</v>
      </c>
      <c r="F501" s="552" t="s">
        <v>2751</v>
      </c>
      <c r="G501" s="37" t="str">
        <f>IFERROR(VLOOKUP(E501,SINAPI!A:D,2,0),"")</f>
        <v>PEDREIRO COM ENCARGOS COMPLEMENTARES</v>
      </c>
      <c r="H501" s="578"/>
      <c r="I501" s="40" t="str">
        <f>IFERROR(VLOOKUP(E501,SINAPI!A:D,3,0),"")</f>
        <v>H</v>
      </c>
      <c r="J501" s="579">
        <v>2</v>
      </c>
      <c r="K501" s="40">
        <f>IFERROR(VLOOKUP(E501,SINAPI!A:D,4,0),"")</f>
        <v>30.44</v>
      </c>
      <c r="L501" s="580">
        <f>IF(J501="","",ROUND(J501*K501,2))</f>
        <v>60.88</v>
      </c>
      <c r="M501" s="264"/>
      <c r="N501" s="562"/>
      <c r="O501" s="562"/>
      <c r="P501" s="562"/>
      <c r="Q501" s="562"/>
    </row>
    <row r="502" spans="1:17" ht="15" hidden="1" customHeight="1" outlineLevel="1" x14ac:dyDescent="0.25">
      <c r="A502" s="758" t="b">
        <f t="shared" ref="A502:A506" si="106">A501</f>
        <v>0</v>
      </c>
      <c r="C502" s="35">
        <v>2</v>
      </c>
      <c r="D502" s="550" t="s">
        <v>2747</v>
      </c>
      <c r="E502" s="551">
        <v>88316</v>
      </c>
      <c r="F502" s="552" t="s">
        <v>2740</v>
      </c>
      <c r="G502" s="37" t="str">
        <f>IFERROR(VLOOKUP(E502,SINAPI!A:D,2,0),"")</f>
        <v>SERVENTE COM ENCARGOS COMPLEMENTARES</v>
      </c>
      <c r="H502" s="578"/>
      <c r="I502" s="40" t="str">
        <f>IFERROR(VLOOKUP(E502,SINAPI!A:D,3,0),"")</f>
        <v>H</v>
      </c>
      <c r="J502" s="579">
        <v>2</v>
      </c>
      <c r="K502" s="40">
        <f>IFERROR(VLOOKUP(E502,SINAPI!A:D,4,0),"")</f>
        <v>20.82</v>
      </c>
      <c r="L502" s="580">
        <f>IF(J502="","",ROUND(J502*K502,2))</f>
        <v>41.64</v>
      </c>
      <c r="M502" s="264"/>
      <c r="N502" s="562"/>
      <c r="O502" s="562"/>
      <c r="P502" s="562"/>
      <c r="Q502" s="562"/>
    </row>
    <row r="503" spans="1:17" ht="15" hidden="1" customHeight="1" outlineLevel="1" x14ac:dyDescent="0.25">
      <c r="A503" s="758" t="b">
        <f t="shared" si="106"/>
        <v>0</v>
      </c>
      <c r="C503" s="35">
        <v>3</v>
      </c>
      <c r="D503" s="550" t="s">
        <v>2748</v>
      </c>
      <c r="E503" s="551">
        <v>38404</v>
      </c>
      <c r="F503" s="552" t="s">
        <v>3193</v>
      </c>
      <c r="G503" s="37" t="str">
        <f>IFERROR(VLOOKUP(E503,SINAPI!A:D,2,0),"")</f>
        <v xml:space="preserve">CONCRETO USINADO BOMBEAVEL, CLASSE DE RESISTENCIA C20, COM BRITA 0 E 1, SLUMP = 130 +/- 20 MM, EXCLUI SERVICO DE BOMBEAMENTO (NBR 8953)                                                                                                                                                                                                                                                                                                                                                                   </v>
      </c>
      <c r="H503" s="578"/>
      <c r="I503" s="40" t="str">
        <f>IFERROR(VLOOKUP(E503,SINAPI!A:D,3,0),"")</f>
        <v xml:space="preserve">M3    </v>
      </c>
      <c r="J503" s="579">
        <v>4.88</v>
      </c>
      <c r="K503" s="40">
        <f>IFERROR(VLOOKUP(E503,SINAPI!A:D,4,0),"")</f>
        <v>495.11</v>
      </c>
      <c r="L503" s="580">
        <f t="shared" ref="L503:L505" si="107">IF(J503="","",ROUND(J503*K503,2))</f>
        <v>2416.14</v>
      </c>
      <c r="M503" s="264"/>
      <c r="N503" s="562"/>
      <c r="O503" s="562"/>
      <c r="P503" s="562"/>
      <c r="Q503" s="562"/>
    </row>
    <row r="504" spans="1:17" ht="15" hidden="1" customHeight="1" outlineLevel="1" x14ac:dyDescent="0.25">
      <c r="A504" s="758" t="b">
        <f t="shared" si="106"/>
        <v>0</v>
      </c>
      <c r="C504" s="35">
        <v>4</v>
      </c>
      <c r="D504" s="550" t="s">
        <v>2748</v>
      </c>
      <c r="E504" s="551">
        <v>96536</v>
      </c>
      <c r="F504" s="552" t="s">
        <v>3927</v>
      </c>
      <c r="G504" s="37" t="str">
        <f>IFERROR(VLOOKUP(E504,SINAPI!A:D,2,0),"")</f>
        <v>FABRICAÇÃO, MONTAGEM E DESMONTAGEM DE FÔRMA PARA VIGA BALDRAME, EM MADEIRA SERRADA, E=25 MM, 4 UTILIZAÇÕES. AF_06/2017</v>
      </c>
      <c r="H504" s="578"/>
      <c r="I504" s="40" t="str">
        <f>IFERROR(VLOOKUP(E504,SINAPI!A:D,3,0),"")</f>
        <v>M2</v>
      </c>
      <c r="J504" s="579">
        <v>14.3</v>
      </c>
      <c r="K504" s="40">
        <f>IFERROR(VLOOKUP(E504,SINAPI!A:D,4,0),"")</f>
        <v>91.89</v>
      </c>
      <c r="L504" s="580">
        <f t="shared" ref="L504" si="108">IF(J504="","",ROUND(J504*K504,2))</f>
        <v>1314.03</v>
      </c>
      <c r="M504" s="264"/>
      <c r="N504" s="562"/>
      <c r="O504" s="562"/>
      <c r="P504" s="562"/>
      <c r="Q504" s="562"/>
    </row>
    <row r="505" spans="1:17" ht="15" hidden="1" customHeight="1" outlineLevel="1" x14ac:dyDescent="0.25">
      <c r="A505" s="758" t="b">
        <f t="shared" si="106"/>
        <v>0</v>
      </c>
      <c r="C505" s="35">
        <v>5</v>
      </c>
      <c r="D505" s="550" t="s">
        <v>2747</v>
      </c>
      <c r="E505" s="551">
        <v>103670</v>
      </c>
      <c r="F505" s="552" t="s">
        <v>2761</v>
      </c>
      <c r="G505" s="37" t="str">
        <f>IFERROR(VLOOKUP(E505,SINAPI!A:D,2,0),"")</f>
        <v>LANÇAMENTO COM USO DE BALDES, ADENSAMENTO E ACABAMENTO DE CONCRETO EM ESTRUTURAS. AF_02/2022</v>
      </c>
      <c r="H505" s="578"/>
      <c r="I505" s="40" t="str">
        <f>IFERROR(VLOOKUP(E505,SINAPI!A:D,3,0),"")</f>
        <v>M3</v>
      </c>
      <c r="J505" s="579">
        <f>J503</f>
        <v>4.88</v>
      </c>
      <c r="K505" s="40">
        <f>IFERROR(VLOOKUP(E505,SINAPI!A:D,4,0),"")</f>
        <v>301.64</v>
      </c>
      <c r="L505" s="580">
        <f t="shared" si="107"/>
        <v>1472</v>
      </c>
      <c r="M505" s="264"/>
      <c r="N505" s="562"/>
      <c r="O505" s="562"/>
      <c r="P505" s="562"/>
      <c r="Q505" s="562"/>
    </row>
    <row r="506" spans="1:17" ht="15" hidden="1" customHeight="1" outlineLevel="1" thickBot="1" x14ac:dyDescent="0.3">
      <c r="A506" s="758" t="b">
        <f t="shared" si="106"/>
        <v>0</v>
      </c>
      <c r="C506" s="230" t="s">
        <v>96</v>
      </c>
      <c r="D506" s="231"/>
      <c r="E506" s="231"/>
      <c r="F506" s="231"/>
      <c r="G506" s="231"/>
      <c r="H506" s="231"/>
      <c r="I506" s="231"/>
      <c r="J506" s="231"/>
      <c r="K506" s="232"/>
      <c r="L506" s="581">
        <f>SUM(L501:L505)</f>
        <v>5304.69</v>
      </c>
      <c r="M506" s="261"/>
      <c r="N506" s="562" t="str">
        <f>C500</f>
        <v>COMP 55</v>
      </c>
      <c r="O506" s="582">
        <f>L506</f>
        <v>5304.69</v>
      </c>
      <c r="P506" s="562"/>
      <c r="Q506" s="562"/>
    </row>
    <row r="507" spans="1:17" ht="13.5" hidden="1" outlineLevel="1" x14ac:dyDescent="0.25">
      <c r="A507" s="699" t="b">
        <f>_xlfn.XOR(C507=$S$2,C507=$S$3,C507=$S$4,C507=$S$5,C507=$S$6,C507=$S$7,C507=$S$8,C507=$S$9,C507=$S$10,C507=$S$11,C507=$S$12,C507=$S$13,C507=$S$14,C507=$S$15,C507=$S$16,C507=$S$17,C507=$S$18,C507=$S$19,C507=$S$20,C507=$S$21,C507=$S$22,C507=$S$23,C507=$S$24,C507=$S$25,C507=$S$26,C507=$S$27,C507=$S$28,C507=$S$29,C507=$S$30,C507=$S$316,C507=$S$32,C507=$S$33,C507=$S$34,C507=$S$35,C507=$S$36,C507=$S$37,C507=$S$38,C507=$S$39,C507=$S$40,C507=$S$41,C507=$S$42,)</f>
        <v>0</v>
      </c>
      <c r="C507" s="569" t="s">
        <v>4619</v>
      </c>
      <c r="D507" s="570"/>
      <c r="E507" s="1669" t="str">
        <f>IFERROR(VLOOKUP(C507,SINAPI!A:D,2,0),"")</f>
        <v>Fornecimento e assentamento de tubo de concreto d= 40cm envelopado com concreto</v>
      </c>
      <c r="F507" s="1670"/>
      <c r="G507" s="1670"/>
      <c r="H507" s="1671"/>
      <c r="I507" s="572" t="str">
        <f>IFERROR(VLOOKUP(C507,SINAPI!A:D,3,0),"")</f>
        <v>m</v>
      </c>
      <c r="J507" s="573"/>
      <c r="K507" s="573" t="s">
        <v>2603</v>
      </c>
      <c r="L507" s="574" t="str">
        <f>IF(J507="","",ROUND(J507*#REF!,2))</f>
        <v/>
      </c>
      <c r="M507" s="575">
        <v>12.45</v>
      </c>
      <c r="N507" s="562"/>
      <c r="O507" s="562"/>
      <c r="P507" s="562"/>
      <c r="Q507" s="562"/>
    </row>
    <row r="508" spans="1:17" ht="15" hidden="1" customHeight="1" outlineLevel="1" x14ac:dyDescent="0.25">
      <c r="A508" s="839" t="b">
        <f>A506</f>
        <v>0</v>
      </c>
      <c r="C508" s="35">
        <v>1</v>
      </c>
      <c r="D508" s="550" t="s">
        <v>2747</v>
      </c>
      <c r="E508" s="551">
        <v>91634</v>
      </c>
      <c r="F508" s="552" t="s">
        <v>4623</v>
      </c>
      <c r="G508" s="37" t="str">
        <f>IFERROR(VLOOKUP(E508,SINAPI!A:D,2,0),"")</f>
        <v>GUINDAUTO HIDRÁULICO, CAPACIDADE MÁXIMA DE CARGA 6500 KG, MOMENTO MÁXIMO DE CARGA 5,8 TM, ALCANCE MÁXIMO HORIZONTAL 7,60 M, INCLUSIVE CAMINHÃO TOCO PBT 9.700 KG, POTÊNCIA DE 160 CV - CHP DIURNO. AF_08/2015</v>
      </c>
      <c r="H508" s="578"/>
      <c r="I508" s="40" t="str">
        <f>IFERROR(VLOOKUP(E508,SINAPI!A:D,3,0),"")</f>
        <v>CHP</v>
      </c>
      <c r="J508" s="579">
        <f>M508/$M$507</f>
        <v>8.0299999999999996E-2</v>
      </c>
      <c r="K508" s="40">
        <f>IFERROR(VLOOKUP(E508,SINAPI!A:D,4,0),"")</f>
        <v>236.3</v>
      </c>
      <c r="L508" s="580">
        <f>IF(J508="","",ROUND(J508*K508,2))</f>
        <v>18.97</v>
      </c>
      <c r="M508" s="264">
        <v>1</v>
      </c>
      <c r="N508" s="562"/>
      <c r="O508" s="562"/>
      <c r="P508" s="562"/>
      <c r="Q508" s="562"/>
    </row>
    <row r="509" spans="1:17" ht="15" hidden="1" customHeight="1" outlineLevel="1" x14ac:dyDescent="0.25">
      <c r="A509" s="839" t="b">
        <f>A507</f>
        <v>0</v>
      </c>
      <c r="C509" s="35">
        <v>1</v>
      </c>
      <c r="D509" s="550" t="s">
        <v>2747</v>
      </c>
      <c r="E509" s="551">
        <v>91635</v>
      </c>
      <c r="F509" s="552" t="s">
        <v>4624</v>
      </c>
      <c r="G509" s="37" t="str">
        <f>IFERROR(VLOOKUP(E509,SINAPI!A:D,2,0),"")</f>
        <v>GUINDAUTO HIDRÁULICO, CAPACIDADE MÁXIMA DE CARGA 6500 KG, MOMENTO MÁXIMO DE CARGA 5,8 TM, ALCANCE MÁXIMO HORIZONTAL 7,60 M, INCLUSIVE CAMINHÃO TOCO PBT 9.700 KG, POTÊNCIA DE 160 CV - CHI DIURNO. AF_08/2015</v>
      </c>
      <c r="H509" s="578"/>
      <c r="I509" s="40" t="str">
        <f>IFERROR(VLOOKUP(E509,SINAPI!A:D,3,0),"")</f>
        <v>CHI</v>
      </c>
      <c r="J509" s="579">
        <f t="shared" ref="J509:J511" si="109">M509/$M$507</f>
        <v>0</v>
      </c>
      <c r="K509" s="40">
        <f>IFERROR(VLOOKUP(E509,SINAPI!A:D,4,0),"")</f>
        <v>51.79</v>
      </c>
      <c r="L509" s="580">
        <f>IF(J509="","",ROUND(J509*K509,2))</f>
        <v>0</v>
      </c>
      <c r="M509" s="264">
        <v>0</v>
      </c>
      <c r="N509" s="562"/>
      <c r="O509" s="562"/>
      <c r="P509" s="562"/>
      <c r="Q509" s="562"/>
    </row>
    <row r="510" spans="1:17" ht="15" hidden="1" customHeight="1" outlineLevel="1" x14ac:dyDescent="0.25">
      <c r="A510" s="839" t="b">
        <f>A507</f>
        <v>0</v>
      </c>
      <c r="C510" s="35">
        <v>1</v>
      </c>
      <c r="D510" s="550" t="s">
        <v>2747</v>
      </c>
      <c r="E510" s="551">
        <v>88309</v>
      </c>
      <c r="F510" s="552" t="s">
        <v>2751</v>
      </c>
      <c r="G510" s="37" t="str">
        <f>IFERROR(VLOOKUP(E510,SINAPI!A:D,2,0),"")</f>
        <v>PEDREIRO COM ENCARGOS COMPLEMENTARES</v>
      </c>
      <c r="H510" s="578"/>
      <c r="I510" s="40" t="str">
        <f>IFERROR(VLOOKUP(E510,SINAPI!A:D,3,0),"")</f>
        <v>H</v>
      </c>
      <c r="J510" s="579">
        <f t="shared" si="109"/>
        <v>8.0299999999999996E-2</v>
      </c>
      <c r="K510" s="40">
        <f>IFERROR(VLOOKUP(E510,SINAPI!A:D,4,0),"")</f>
        <v>30.44</v>
      </c>
      <c r="L510" s="580">
        <f>IF(J510="","",ROUND(J510*K510,2))</f>
        <v>2.44</v>
      </c>
      <c r="M510" s="264">
        <v>1</v>
      </c>
      <c r="N510" s="562"/>
      <c r="O510" s="562"/>
      <c r="P510" s="562"/>
      <c r="Q510" s="562"/>
    </row>
    <row r="511" spans="1:17" ht="15" hidden="1" customHeight="1" outlineLevel="1" x14ac:dyDescent="0.25">
      <c r="A511" s="839" t="b">
        <f t="shared" ref="A511:A516" si="110">A510</f>
        <v>0</v>
      </c>
      <c r="C511" s="35">
        <v>2</v>
      </c>
      <c r="D511" s="550" t="s">
        <v>2747</v>
      </c>
      <c r="E511" s="551">
        <v>88316</v>
      </c>
      <c r="F511" s="552" t="s">
        <v>2740</v>
      </c>
      <c r="G511" s="37" t="str">
        <f>IFERROR(VLOOKUP(E511,SINAPI!A:D,2,0),"")</f>
        <v>SERVENTE COM ENCARGOS COMPLEMENTARES</v>
      </c>
      <c r="H511" s="578"/>
      <c r="I511" s="40" t="str">
        <f>IFERROR(VLOOKUP(E511,SINAPI!A:D,3,0),"")</f>
        <v>H</v>
      </c>
      <c r="J511" s="579">
        <f t="shared" si="109"/>
        <v>0.24099999999999999</v>
      </c>
      <c r="K511" s="40">
        <f>IFERROR(VLOOKUP(E511,SINAPI!A:D,4,0),"")</f>
        <v>20.82</v>
      </c>
      <c r="L511" s="580">
        <f>IF(J511="","",ROUND(J511*K511,2))</f>
        <v>5.0199999999999996</v>
      </c>
      <c r="M511" s="264">
        <v>3</v>
      </c>
      <c r="N511" s="562"/>
      <c r="O511" s="562"/>
      <c r="P511" s="562"/>
      <c r="Q511" s="562"/>
    </row>
    <row r="512" spans="1:17" ht="15" hidden="1" customHeight="1" outlineLevel="1" x14ac:dyDescent="0.25">
      <c r="A512" s="839" t="b">
        <f>A510</f>
        <v>0</v>
      </c>
      <c r="C512" s="35">
        <v>3</v>
      </c>
      <c r="D512" s="550" t="s">
        <v>2639</v>
      </c>
      <c r="E512" s="551" t="s">
        <v>4626</v>
      </c>
      <c r="F512" s="552" t="s">
        <v>4625</v>
      </c>
      <c r="G512" s="37" t="str">
        <f>IFERROR(VLOOKUP(E512,SINAPI!A:D,2,0),"")</f>
        <v>Tubo de concreto armado PA1 - D = 0,40 m</v>
      </c>
      <c r="H512" s="578"/>
      <c r="I512" s="40" t="str">
        <f>IFERROR(VLOOKUP(E512,SINAPI!A:D,3,0),"")</f>
        <v>m</v>
      </c>
      <c r="J512" s="579">
        <v>1</v>
      </c>
      <c r="K512" s="40">
        <f>IFERROR(VLOOKUP(E512,SINAPI!A:D,4,0),"")</f>
        <v>104.45</v>
      </c>
      <c r="L512" s="580">
        <f t="shared" ref="L512" si="111">IF(J512="","",ROUND(J512*K512,2))</f>
        <v>104.45</v>
      </c>
      <c r="M512" s="264"/>
      <c r="N512" s="562"/>
      <c r="O512" s="562"/>
      <c r="P512" s="562"/>
      <c r="Q512" s="562"/>
    </row>
    <row r="513" spans="1:17" ht="15" hidden="1" customHeight="1" outlineLevel="1" x14ac:dyDescent="0.25">
      <c r="A513" s="839" t="b">
        <f>A511</f>
        <v>0</v>
      </c>
      <c r="C513" s="35">
        <v>3</v>
      </c>
      <c r="D513" s="550" t="s">
        <v>2748</v>
      </c>
      <c r="E513" s="551">
        <v>38404</v>
      </c>
      <c r="F513" s="552" t="s">
        <v>3193</v>
      </c>
      <c r="G513" s="37" t="str">
        <f>IFERROR(VLOOKUP(E513,SINAPI!A:D,2,0),"")</f>
        <v xml:space="preserve">CONCRETO USINADO BOMBEAVEL, CLASSE DE RESISTENCIA C20, COM BRITA 0 E 1, SLUMP = 130 +/- 20 MM, EXCLUI SERVICO DE BOMBEAMENTO (NBR 8953)                                                                                                                                                                                                                                                                                                                                                                   </v>
      </c>
      <c r="H513" s="578"/>
      <c r="I513" s="40" t="str">
        <f>IFERROR(VLOOKUP(E513,SINAPI!A:D,3,0),"")</f>
        <v xml:space="preserve">M3    </v>
      </c>
      <c r="J513" s="579">
        <v>0.36</v>
      </c>
      <c r="K513" s="40">
        <f>IFERROR(VLOOKUP(E513,SINAPI!A:D,4,0),"")</f>
        <v>495.11</v>
      </c>
      <c r="L513" s="580">
        <f t="shared" ref="L513:L515" si="112">IF(J513="","",ROUND(J513*K513,2))</f>
        <v>178.24</v>
      </c>
      <c r="M513" s="264"/>
      <c r="N513" s="562"/>
      <c r="O513" s="562"/>
      <c r="P513" s="562"/>
      <c r="Q513" s="562"/>
    </row>
    <row r="514" spans="1:17" ht="15" hidden="1" customHeight="1" outlineLevel="1" x14ac:dyDescent="0.25">
      <c r="A514" s="839" t="b">
        <f t="shared" si="110"/>
        <v>0</v>
      </c>
      <c r="C514" s="35">
        <v>4</v>
      </c>
      <c r="D514" s="550" t="s">
        <v>2748</v>
      </c>
      <c r="E514" s="551">
        <v>96536</v>
      </c>
      <c r="F514" s="552" t="s">
        <v>3927</v>
      </c>
      <c r="G514" s="37" t="str">
        <f>IFERROR(VLOOKUP(E514,SINAPI!A:D,2,0),"")</f>
        <v>FABRICAÇÃO, MONTAGEM E DESMONTAGEM DE FÔRMA PARA VIGA BALDRAME, EM MADEIRA SERRADA, E=25 MM, 4 UTILIZAÇÕES. AF_06/2017</v>
      </c>
      <c r="H514" s="578"/>
      <c r="I514" s="40" t="str">
        <f>IFERROR(VLOOKUP(E514,SINAPI!A:D,3,0),"")</f>
        <v>M2</v>
      </c>
      <c r="J514" s="579">
        <v>1.6</v>
      </c>
      <c r="K514" s="40">
        <f>IFERROR(VLOOKUP(E514,SINAPI!A:D,4,0),"")</f>
        <v>91.89</v>
      </c>
      <c r="L514" s="580">
        <f t="shared" si="112"/>
        <v>147.02000000000001</v>
      </c>
      <c r="M514" s="264"/>
      <c r="N514" s="562"/>
      <c r="O514" s="562"/>
      <c r="P514" s="562"/>
      <c r="Q514" s="562"/>
    </row>
    <row r="515" spans="1:17" ht="15" hidden="1" customHeight="1" outlineLevel="1" x14ac:dyDescent="0.25">
      <c r="A515" s="839" t="b">
        <f t="shared" si="110"/>
        <v>0</v>
      </c>
      <c r="C515" s="35">
        <v>5</v>
      </c>
      <c r="D515" s="550" t="s">
        <v>2747</v>
      </c>
      <c r="E515" s="551">
        <v>103670</v>
      </c>
      <c r="F515" s="552" t="s">
        <v>2761</v>
      </c>
      <c r="G515" s="37" t="str">
        <f>IFERROR(VLOOKUP(E515,SINAPI!A:D,2,0),"")</f>
        <v>LANÇAMENTO COM USO DE BALDES, ADENSAMENTO E ACABAMENTO DE CONCRETO EM ESTRUTURAS. AF_02/2022</v>
      </c>
      <c r="H515" s="578"/>
      <c r="I515" s="40" t="str">
        <f>IFERROR(VLOOKUP(E515,SINAPI!A:D,3,0),"")</f>
        <v>M3</v>
      </c>
      <c r="J515" s="579">
        <f>J513</f>
        <v>0.36</v>
      </c>
      <c r="K515" s="40">
        <f>IFERROR(VLOOKUP(E515,SINAPI!A:D,4,0),"")</f>
        <v>301.64</v>
      </c>
      <c r="L515" s="580">
        <f t="shared" si="112"/>
        <v>108.59</v>
      </c>
      <c r="M515" s="264"/>
      <c r="N515" s="562"/>
      <c r="O515" s="562"/>
      <c r="P515" s="562"/>
      <c r="Q515" s="562"/>
    </row>
    <row r="516" spans="1:17" ht="15" hidden="1" customHeight="1" outlineLevel="1" thickBot="1" x14ac:dyDescent="0.3">
      <c r="A516" s="839" t="b">
        <f t="shared" si="110"/>
        <v>0</v>
      </c>
      <c r="C516" s="230" t="s">
        <v>96</v>
      </c>
      <c r="D516" s="231"/>
      <c r="E516" s="231"/>
      <c r="F516" s="231"/>
      <c r="G516" s="231"/>
      <c r="H516" s="231"/>
      <c r="I516" s="231"/>
      <c r="J516" s="231"/>
      <c r="K516" s="232"/>
      <c r="L516" s="581">
        <f>SUM(L508:L515)</f>
        <v>564.73</v>
      </c>
      <c r="M516" s="261"/>
      <c r="N516" s="562" t="str">
        <f>C507</f>
        <v>COMP 56</v>
      </c>
      <c r="O516" s="582">
        <f>L516</f>
        <v>564.73</v>
      </c>
      <c r="P516" s="562"/>
      <c r="Q516" s="562"/>
    </row>
    <row r="517" spans="1:17" ht="13.5" hidden="1" outlineLevel="1" x14ac:dyDescent="0.25">
      <c r="A517" s="699" t="b">
        <f>_xlfn.XOR(C517=$S$2,C517=$S$3,C517=$S$4,C517=$S$5,C517=$S$6,C517=$S$7,C517=$S$8,C517=$S$9,C517=$S$10,C517=$S$11,C517=$S$12,C517=$S$13,C517=$S$14,C517=$S$15,C517=$S$16,C517=$S$17,C517=$S$18,C517=$S$19,C517=$S$20,C517=$S$21,C517=$S$22,C517=$S$23,C517=$S$24,C517=$S$25,C517=$S$26,C517=$S$27,C517=$S$28,C517=$S$29,C517=$S$30,C517=$S$316,C517=$S$32,C517=$S$33,C517=$S$34,C517=$S$35,C517=$S$36,C517=$S$37,C517=$S$38,C517=$S$39,C517=$S$40,C517=$S$41,C517=$S$42,)</f>
        <v>0</v>
      </c>
      <c r="C517" s="569" t="s">
        <v>4620</v>
      </c>
      <c r="D517" s="570"/>
      <c r="E517" s="1669" t="str">
        <f>IFERROR(VLOOKUP(C517,SINAPI!A:D,2,0),"")</f>
        <v>Fornecimento e implantação de placas totalmente refletivas de advertência tipo retangular 50x150cm</v>
      </c>
      <c r="F517" s="1670"/>
      <c r="G517" s="1670"/>
      <c r="H517" s="1671"/>
      <c r="I517" s="572" t="str">
        <f>IFERROR(VLOOKUP(C517,SINAPI!A:D,3,0),"")</f>
        <v>und</v>
      </c>
      <c r="J517" s="573"/>
      <c r="K517" s="573" t="s">
        <v>2603</v>
      </c>
      <c r="L517" s="574" t="str">
        <f>IF(J517="","",ROUND(J517*#REF!,2))</f>
        <v/>
      </c>
      <c r="M517" s="575">
        <v>2</v>
      </c>
      <c r="N517" s="562"/>
      <c r="O517" s="562"/>
      <c r="P517" s="562"/>
      <c r="Q517" s="562"/>
    </row>
    <row r="518" spans="1:17" ht="15" hidden="1" customHeight="1" outlineLevel="1" x14ac:dyDescent="0.25">
      <c r="A518" s="839" t="b">
        <f>A516</f>
        <v>0</v>
      </c>
      <c r="C518" s="35">
        <v>1</v>
      </c>
      <c r="D518" s="550" t="s">
        <v>2747</v>
      </c>
      <c r="E518" s="551">
        <v>5824</v>
      </c>
      <c r="F518" s="552" t="s">
        <v>4623</v>
      </c>
      <c r="G518" s="37" t="str">
        <f>IFERROR(VLOOKUP(E518,SINAPI!A:D,2,0),"")</f>
        <v>CAMINHÃO TOCO, PBT 16.000 KG, CARGA ÚTIL MÁX. 10.685 KG, DIST. ENTRE EIXOS 4,8 M, POTÊNCIA 189 CV, INCLUSIVE CARROCERIA FIXA ABERTA DE MADEIRA P/ TRANSPORTE GERAL DE CARGA SECA, DIMEN. APROX. 2,5 X 7,00 X 0,50 M - CHP DIURNO. AF_06/2014</v>
      </c>
      <c r="H518" s="578"/>
      <c r="I518" s="40" t="str">
        <f>IFERROR(VLOOKUP(E518,SINAPI!A:D,3,0),"")</f>
        <v>CHP</v>
      </c>
      <c r="J518" s="579">
        <f>M518/$M$507</f>
        <v>2.41E-2</v>
      </c>
      <c r="K518" s="40">
        <f>IFERROR(VLOOKUP(E518,SINAPI!A:D,4,0),"")</f>
        <v>214.41</v>
      </c>
      <c r="L518" s="580">
        <f>IF(J518="","",ROUND(J518*K518,2))</f>
        <v>5.17</v>
      </c>
      <c r="M518" s="264">
        <v>0.3</v>
      </c>
      <c r="N518" s="562"/>
      <c r="O518" s="562"/>
      <c r="P518" s="562"/>
      <c r="Q518" s="562"/>
    </row>
    <row r="519" spans="1:17" ht="15" hidden="1" customHeight="1" outlineLevel="1" x14ac:dyDescent="0.25">
      <c r="A519" s="839" t="b">
        <f>A517</f>
        <v>0</v>
      </c>
      <c r="C519" s="35">
        <v>1</v>
      </c>
      <c r="D519" s="550" t="s">
        <v>2747</v>
      </c>
      <c r="E519" s="551">
        <v>5826</v>
      </c>
      <c r="F519" s="552" t="s">
        <v>4624</v>
      </c>
      <c r="G519" s="37" t="str">
        <f>IFERROR(VLOOKUP(E519,SINAPI!A:D,2,0),"")</f>
        <v>CAMINHÃO TOCO, PBT 16.000 KG, CARGA ÚTIL MÁX. 10.685 KG, DIST. ENTRE EIXOS 4,8 M, POTÊNCIA 189 CV, INCLUSIVE CARROCERIA FIXA ABERTA DE MADEIRA P/ TRANSPORTE GERAL DE CARGA SECA, DIMEN. APROX. 2,5 X 7,00 X 0,50 M - CHI DIURNO. AF_06/2014</v>
      </c>
      <c r="H519" s="578"/>
      <c r="I519" s="40" t="str">
        <f>IFERROR(VLOOKUP(E519,SINAPI!A:D,3,0),"")</f>
        <v>CHI</v>
      </c>
      <c r="J519" s="579">
        <f t="shared" ref="J519:J521" si="113">M519/$M$507</f>
        <v>5.62E-2</v>
      </c>
      <c r="K519" s="40">
        <f>IFERROR(VLOOKUP(E519,SINAPI!A:D,4,0),"")</f>
        <v>48.76</v>
      </c>
      <c r="L519" s="580">
        <f>IF(J519="","",ROUND(J519*K519,2))</f>
        <v>2.74</v>
      </c>
      <c r="M519" s="264">
        <v>0.7</v>
      </c>
      <c r="N519" s="562"/>
      <c r="O519" s="562"/>
      <c r="P519" s="562"/>
      <c r="Q519" s="562"/>
    </row>
    <row r="520" spans="1:17" ht="15" hidden="1" customHeight="1" outlineLevel="1" x14ac:dyDescent="0.25">
      <c r="A520" s="839" t="b">
        <f>A517</f>
        <v>0</v>
      </c>
      <c r="C520" s="35">
        <v>1</v>
      </c>
      <c r="D520" s="550" t="s">
        <v>2747</v>
      </c>
      <c r="E520" s="551">
        <v>88277</v>
      </c>
      <c r="F520" s="552" t="s">
        <v>4627</v>
      </c>
      <c r="G520" s="37" t="str">
        <f>IFERROR(VLOOKUP(E520,SINAPI!A:D,2,0),"")</f>
        <v>MONTADOR (TUBO AÇO/EQUIPAMENTOS) COM ENCARGOS COMPLEMENTARES</v>
      </c>
      <c r="H520" s="578"/>
      <c r="I520" s="40" t="str">
        <f>IFERROR(VLOOKUP(E520,SINAPI!A:D,3,0),"")</f>
        <v>H</v>
      </c>
      <c r="J520" s="579">
        <f t="shared" si="113"/>
        <v>8.0299999999999996E-2</v>
      </c>
      <c r="K520" s="40">
        <f>IFERROR(VLOOKUP(E520,SINAPI!A:D,4,0),"")</f>
        <v>25.6</v>
      </c>
      <c r="L520" s="580">
        <f>IF(J520="","",ROUND(J520*K520,2))</f>
        <v>2.06</v>
      </c>
      <c r="M520" s="264">
        <v>1</v>
      </c>
      <c r="N520" s="562"/>
      <c r="O520" s="562"/>
      <c r="P520" s="562"/>
      <c r="Q520" s="562"/>
    </row>
    <row r="521" spans="1:17" ht="15" hidden="1" customHeight="1" outlineLevel="1" x14ac:dyDescent="0.25">
      <c r="A521" s="839" t="b">
        <f t="shared" ref="A521" si="114">A520</f>
        <v>0</v>
      </c>
      <c r="C521" s="35">
        <v>2</v>
      </c>
      <c r="D521" s="550" t="s">
        <v>2747</v>
      </c>
      <c r="E521" s="551">
        <v>88316</v>
      </c>
      <c r="F521" s="552" t="s">
        <v>2740</v>
      </c>
      <c r="G521" s="37" t="str">
        <f>IFERROR(VLOOKUP(E521,SINAPI!A:D,2,0),"")</f>
        <v>SERVENTE COM ENCARGOS COMPLEMENTARES</v>
      </c>
      <c r="H521" s="578"/>
      <c r="I521" s="40" t="str">
        <f>IFERROR(VLOOKUP(E521,SINAPI!A:D,3,0),"")</f>
        <v>H</v>
      </c>
      <c r="J521" s="579">
        <f t="shared" si="113"/>
        <v>0.16059999999999999</v>
      </c>
      <c r="K521" s="40">
        <f>IFERROR(VLOOKUP(E521,SINAPI!A:D,4,0),"")</f>
        <v>20.82</v>
      </c>
      <c r="L521" s="580">
        <f>IF(J521="","",ROUND(J521*K521,2))</f>
        <v>3.34</v>
      </c>
      <c r="M521" s="264">
        <v>2</v>
      </c>
      <c r="N521" s="562"/>
      <c r="O521" s="562"/>
      <c r="P521" s="562"/>
      <c r="Q521" s="562"/>
    </row>
    <row r="522" spans="1:17" ht="15" hidden="1" customHeight="1" outlineLevel="1" x14ac:dyDescent="0.25">
      <c r="A522" s="839" t="b">
        <f>A520</f>
        <v>0</v>
      </c>
      <c r="C522" s="35">
        <v>3</v>
      </c>
      <c r="D522" s="550" t="s">
        <v>2639</v>
      </c>
      <c r="E522" s="576">
        <v>5213416</v>
      </c>
      <c r="F522" s="577" t="str">
        <f>G522</f>
        <v>Placa em aço nº 16 galvanizado com película retrorrefletiva tipo I + I - confecção</v>
      </c>
      <c r="G522" s="37" t="str">
        <f>IFERROR(VLOOKUP(E522,SINAPI!A:D,2,0),"")</f>
        <v>Placa em aço nº 16 galvanizado com película retrorrefletiva tipo I + I - confecção</v>
      </c>
      <c r="H522" s="578"/>
      <c r="I522" s="40" t="str">
        <f>IFERROR(VLOOKUP(E522,SINAPI!A:D,3,0),"")</f>
        <v>m²</v>
      </c>
      <c r="J522" s="579">
        <f>0.5*1.5</f>
        <v>0.75</v>
      </c>
      <c r="K522" s="40">
        <f>IFERROR(VLOOKUP(E522,SINAPI!A:D,4,0),"")</f>
        <v>411.36</v>
      </c>
      <c r="L522" s="580">
        <f t="shared" ref="L522" si="115">IF(J522="","",ROUND(J522*K522,2))</f>
        <v>308.52</v>
      </c>
      <c r="M522" s="264"/>
      <c r="N522" s="562"/>
      <c r="O522" s="562"/>
      <c r="P522" s="562"/>
      <c r="Q522" s="562"/>
    </row>
    <row r="523" spans="1:17" ht="15" hidden="1" customHeight="1" outlineLevel="1" thickBot="1" x14ac:dyDescent="0.3">
      <c r="A523" s="839" t="b">
        <f>A521</f>
        <v>0</v>
      </c>
      <c r="C523" s="230" t="s">
        <v>96</v>
      </c>
      <c r="D523" s="231"/>
      <c r="E523" s="231"/>
      <c r="F523" s="231"/>
      <c r="G523" s="231"/>
      <c r="H523" s="231"/>
      <c r="I523" s="231"/>
      <c r="J523" s="231"/>
      <c r="K523" s="232"/>
      <c r="L523" s="581">
        <f>SUM(L518:L522)</f>
        <v>321.83</v>
      </c>
      <c r="M523" s="261"/>
      <c r="N523" s="562" t="str">
        <f>C517</f>
        <v>COMP 57</v>
      </c>
      <c r="O523" s="582">
        <f>L523</f>
        <v>321.83</v>
      </c>
      <c r="P523" s="562"/>
      <c r="Q523" s="562"/>
    </row>
    <row r="524" spans="1:17" ht="13.5" hidden="1" outlineLevel="1" x14ac:dyDescent="0.25">
      <c r="A524" s="699" t="b">
        <f>_xlfn.XOR(C524=$S$2,C524=$S$3,C524=$S$4,C524=$S$5,C524=$S$6,C524=$S$7,C524=$S$8,C524=$S$9,C524=$S$10,C524=$S$11,C524=$S$12,C524=$S$13,C524=$S$14,C524=$S$15,C524=$S$16,C524=$S$17,C524=$S$18,C524=$S$19,C524=$S$20,C524=$S$21,C524=$S$22,C524=$S$23,C524=$S$24,C524=$S$25,C524=$S$26,C524=$S$27,C524=$S$28,C524=$S$29,C524=$S$30,C524=$S$316,C524=$S$32,C524=$S$33,C524=$S$34,C524=$S$35,C524=$S$36,C524=$S$37,C524=$S$38,C524=$S$39,C524=$S$40,C524=$S$41,C524=$S$42,)</f>
        <v>0</v>
      </c>
      <c r="C524" s="569" t="s">
        <v>4621</v>
      </c>
      <c r="D524" s="570"/>
      <c r="E524" s="1669" t="str">
        <f>IFERROR(VLOOKUP(C524,SINAPI!A:D,2,0),"")</f>
        <v>Fornecimento e implantação de placas totalmente refletivas retangular 50x200cm - urbano</v>
      </c>
      <c r="F524" s="1670"/>
      <c r="G524" s="1670"/>
      <c r="H524" s="1671"/>
      <c r="I524" s="572" t="str">
        <f>IFERROR(VLOOKUP(C524,SINAPI!A:D,3,0),"")</f>
        <v>und</v>
      </c>
      <c r="J524" s="573"/>
      <c r="K524" s="573" t="s">
        <v>2603</v>
      </c>
      <c r="L524" s="574" t="str">
        <f>IF(J524="","",ROUND(J524*#REF!,2))</f>
        <v/>
      </c>
      <c r="M524" s="575">
        <v>2</v>
      </c>
      <c r="N524" s="562"/>
      <c r="O524" s="562"/>
      <c r="P524" s="562"/>
      <c r="Q524" s="562"/>
    </row>
    <row r="525" spans="1:17" ht="15" hidden="1" customHeight="1" outlineLevel="1" x14ac:dyDescent="0.25">
      <c r="A525" s="839" t="b">
        <f>A523</f>
        <v>0</v>
      </c>
      <c r="C525" s="35">
        <v>1</v>
      </c>
      <c r="D525" s="550" t="s">
        <v>2747</v>
      </c>
      <c r="E525" s="551">
        <v>5824</v>
      </c>
      <c r="F525" s="552" t="s">
        <v>4623</v>
      </c>
      <c r="G525" s="37" t="str">
        <f>IFERROR(VLOOKUP(E525,SINAPI!A:D,2,0),"")</f>
        <v>CAMINHÃO TOCO, PBT 16.000 KG, CARGA ÚTIL MÁX. 10.685 KG, DIST. ENTRE EIXOS 4,8 M, POTÊNCIA 189 CV, INCLUSIVE CARROCERIA FIXA ABERTA DE MADEIRA P/ TRANSPORTE GERAL DE CARGA SECA, DIMEN. APROX. 2,5 X 7,00 X 0,50 M - CHP DIURNO. AF_06/2014</v>
      </c>
      <c r="H525" s="578"/>
      <c r="I525" s="40" t="str">
        <f>IFERROR(VLOOKUP(E525,SINAPI!A:D,3,0),"")</f>
        <v>CHP</v>
      </c>
      <c r="J525" s="579">
        <f>M525/$M$507</f>
        <v>2.41E-2</v>
      </c>
      <c r="K525" s="40">
        <f>IFERROR(VLOOKUP(E525,SINAPI!A:D,4,0),"")</f>
        <v>214.41</v>
      </c>
      <c r="L525" s="580">
        <f>IF(J525="","",ROUND(J525*K525,2))</f>
        <v>5.17</v>
      </c>
      <c r="M525" s="264">
        <v>0.3</v>
      </c>
      <c r="N525" s="562"/>
      <c r="O525" s="562"/>
      <c r="P525" s="562"/>
      <c r="Q525" s="562"/>
    </row>
    <row r="526" spans="1:17" ht="15" hidden="1" customHeight="1" outlineLevel="1" x14ac:dyDescent="0.25">
      <c r="A526" s="839" t="b">
        <f>A524</f>
        <v>0</v>
      </c>
      <c r="C526" s="35">
        <v>1</v>
      </c>
      <c r="D526" s="550" t="s">
        <v>2747</v>
      </c>
      <c r="E526" s="551">
        <v>5826</v>
      </c>
      <c r="F526" s="552" t="s">
        <v>4624</v>
      </c>
      <c r="G526" s="37" t="str">
        <f>IFERROR(VLOOKUP(E526,SINAPI!A:D,2,0),"")</f>
        <v>CAMINHÃO TOCO, PBT 16.000 KG, CARGA ÚTIL MÁX. 10.685 KG, DIST. ENTRE EIXOS 4,8 M, POTÊNCIA 189 CV, INCLUSIVE CARROCERIA FIXA ABERTA DE MADEIRA P/ TRANSPORTE GERAL DE CARGA SECA, DIMEN. APROX. 2,5 X 7,00 X 0,50 M - CHI DIURNO. AF_06/2014</v>
      </c>
      <c r="H526" s="578"/>
      <c r="I526" s="40" t="str">
        <f>IFERROR(VLOOKUP(E526,SINAPI!A:D,3,0),"")</f>
        <v>CHI</v>
      </c>
      <c r="J526" s="579">
        <f t="shared" ref="J526:J528" si="116">M526/$M$507</f>
        <v>5.62E-2</v>
      </c>
      <c r="K526" s="40">
        <f>IFERROR(VLOOKUP(E526,SINAPI!A:D,4,0),"")</f>
        <v>48.76</v>
      </c>
      <c r="L526" s="580">
        <f>IF(J526="","",ROUND(J526*K526,2))</f>
        <v>2.74</v>
      </c>
      <c r="M526" s="264">
        <v>0.7</v>
      </c>
      <c r="N526" s="562"/>
      <c r="O526" s="562"/>
      <c r="P526" s="562"/>
      <c r="Q526" s="562"/>
    </row>
    <row r="527" spans="1:17" ht="15" hidden="1" customHeight="1" outlineLevel="1" x14ac:dyDescent="0.25">
      <c r="A527" s="839" t="b">
        <f>A524</f>
        <v>0</v>
      </c>
      <c r="C527" s="35">
        <v>1</v>
      </c>
      <c r="D527" s="550" t="s">
        <v>2747</v>
      </c>
      <c r="E527" s="551">
        <v>88277</v>
      </c>
      <c r="F527" s="552" t="s">
        <v>4627</v>
      </c>
      <c r="G527" s="37" t="str">
        <f>IFERROR(VLOOKUP(E527,SINAPI!A:D,2,0),"")</f>
        <v>MONTADOR (TUBO AÇO/EQUIPAMENTOS) COM ENCARGOS COMPLEMENTARES</v>
      </c>
      <c r="H527" s="578"/>
      <c r="I527" s="40" t="str">
        <f>IFERROR(VLOOKUP(E527,SINAPI!A:D,3,0),"")</f>
        <v>H</v>
      </c>
      <c r="J527" s="579">
        <f t="shared" si="116"/>
        <v>8.0299999999999996E-2</v>
      </c>
      <c r="K527" s="40">
        <f>IFERROR(VLOOKUP(E527,SINAPI!A:D,4,0),"")</f>
        <v>25.6</v>
      </c>
      <c r="L527" s="580">
        <f>IF(J527="","",ROUND(J527*K527,2))</f>
        <v>2.06</v>
      </c>
      <c r="M527" s="264">
        <v>1</v>
      </c>
      <c r="N527" s="562"/>
      <c r="O527" s="562"/>
      <c r="P527" s="562"/>
      <c r="Q527" s="562"/>
    </row>
    <row r="528" spans="1:17" ht="15" hidden="1" customHeight="1" outlineLevel="1" x14ac:dyDescent="0.25">
      <c r="A528" s="839" t="b">
        <f t="shared" ref="A528" si="117">A527</f>
        <v>0</v>
      </c>
      <c r="C528" s="35">
        <v>2</v>
      </c>
      <c r="D528" s="550" t="s">
        <v>2747</v>
      </c>
      <c r="E528" s="551">
        <v>88316</v>
      </c>
      <c r="F528" s="552" t="s">
        <v>2740</v>
      </c>
      <c r="G528" s="37" t="str">
        <f>IFERROR(VLOOKUP(E528,SINAPI!A:D,2,0),"")</f>
        <v>SERVENTE COM ENCARGOS COMPLEMENTARES</v>
      </c>
      <c r="H528" s="578"/>
      <c r="I528" s="40" t="str">
        <f>IFERROR(VLOOKUP(E528,SINAPI!A:D,3,0),"")</f>
        <v>H</v>
      </c>
      <c r="J528" s="579">
        <f t="shared" si="116"/>
        <v>0.16059999999999999</v>
      </c>
      <c r="K528" s="40">
        <f>IFERROR(VLOOKUP(E528,SINAPI!A:D,4,0),"")</f>
        <v>20.82</v>
      </c>
      <c r="L528" s="580">
        <f>IF(J528="","",ROUND(J528*K528,2))</f>
        <v>3.34</v>
      </c>
      <c r="M528" s="264">
        <v>2</v>
      </c>
      <c r="N528" s="562"/>
      <c r="O528" s="562"/>
      <c r="P528" s="562"/>
      <c r="Q528" s="562"/>
    </row>
    <row r="529" spans="1:17" ht="15" hidden="1" customHeight="1" outlineLevel="1" x14ac:dyDescent="0.25">
      <c r="A529" s="839" t="b">
        <f>A527</f>
        <v>0</v>
      </c>
      <c r="C529" s="35">
        <v>3</v>
      </c>
      <c r="D529" s="550" t="s">
        <v>2639</v>
      </c>
      <c r="E529" s="551">
        <v>5213416</v>
      </c>
      <c r="F529" s="552" t="s">
        <v>2641</v>
      </c>
      <c r="G529" s="37" t="str">
        <f>IFERROR(VLOOKUP(E529,SINAPI!A:D,2,0),"")</f>
        <v>Placa em aço nº 16 galvanizado com película retrorrefletiva tipo I + I - confecção</v>
      </c>
      <c r="H529" s="578"/>
      <c r="I529" s="40" t="str">
        <f>IFERROR(VLOOKUP(E529,SINAPI!A:D,3,0),"")</f>
        <v>m²</v>
      </c>
      <c r="J529" s="579">
        <f>0.5*2</f>
        <v>1</v>
      </c>
      <c r="K529" s="40">
        <f>IFERROR(VLOOKUP(E529,SINAPI!A:D,4,0),"")</f>
        <v>411.36</v>
      </c>
      <c r="L529" s="580">
        <f t="shared" ref="L529" si="118">IF(J529="","",ROUND(J529*K529,2))</f>
        <v>411.36</v>
      </c>
      <c r="M529" s="264"/>
      <c r="N529" s="562"/>
      <c r="O529" s="562"/>
      <c r="P529" s="562"/>
      <c r="Q529" s="562"/>
    </row>
    <row r="530" spans="1:17" ht="15" hidden="1" customHeight="1" outlineLevel="1" thickBot="1" x14ac:dyDescent="0.3">
      <c r="A530" s="839" t="b">
        <f>A528</f>
        <v>0</v>
      </c>
      <c r="C530" s="230" t="s">
        <v>96</v>
      </c>
      <c r="D530" s="231"/>
      <c r="E530" s="231"/>
      <c r="F530" s="231"/>
      <c r="G530" s="231"/>
      <c r="H530" s="231"/>
      <c r="I530" s="231"/>
      <c r="J530" s="231"/>
      <c r="K530" s="232"/>
      <c r="L530" s="581">
        <f>SUM(L525:L529)</f>
        <v>424.67</v>
      </c>
      <c r="M530" s="261"/>
      <c r="N530" s="562" t="str">
        <f>C524</f>
        <v>COMP 58</v>
      </c>
      <c r="O530" s="582">
        <f>L530</f>
        <v>424.67</v>
      </c>
      <c r="P530" s="562"/>
      <c r="Q530" s="562"/>
    </row>
    <row r="531" spans="1:17" ht="25.5" hidden="1" outlineLevel="1" x14ac:dyDescent="0.25">
      <c r="A531" s="699" t="b">
        <f>_xlfn.XOR(C531=$S$2,C531=$S$3,C531=$S$4,C531=$S$5,C531=$S$6,C531=$S$7,C531=$S$8,C531=$S$9,C531=$S$10,C531=$S$11,C531=$S$12,C531=$S$13,C531=$S$14,C531=$S$15,C531=$S$16,C531=$S$17,C531=$S$18,C531=$S$19,C531=$S$20,C531=$S$21,C531=$S$22,C531=$S$23,C531=$S$24,C531=$S$25,C531=$S$26,C531=$S$27,C531=$S$28,C531=$S$29,C531=$S$30,C531=$S$316,C531=$S$32,C531=$S$33,C531=$S$34,C531=$S$35,C531=$S$36,C531=$S$37,C531=$S$38,C531=$S$39,C531=$S$40,C531=$S$41,C531=$S$42,)</f>
        <v>0</v>
      </c>
      <c r="B531" s="752"/>
      <c r="C531" s="569" t="s">
        <v>4622</v>
      </c>
      <c r="D531" s="570"/>
      <c r="E531" s="1669" t="str">
        <f>IFERROR(VLOOKUP(C531,SINAPI!A:D,2,0),"")</f>
        <v>Fornecimento e implantação de placas  totalmente refletivas de regulamentação tipo octogonal (R1 - Pare) L= 31cm, inclusive suporte metálico e base de concreto conforme detalhe - rural</v>
      </c>
      <c r="F531" s="1670"/>
      <c r="G531" s="1670"/>
      <c r="H531" s="1671"/>
      <c r="I531" s="572" t="str">
        <f>IFERROR(VLOOKUP(C531,SINAPI!A:D,3,0),"")</f>
        <v>und</v>
      </c>
      <c r="J531" s="573"/>
      <c r="K531" s="573" t="s">
        <v>2603</v>
      </c>
      <c r="L531" s="574" t="str">
        <f>IF(J531="","",ROUND(J531*#REF!,2))</f>
        <v/>
      </c>
      <c r="M531" s="575"/>
      <c r="N531" s="562"/>
      <c r="O531" s="562"/>
      <c r="P531" s="562"/>
      <c r="Q531" s="562"/>
    </row>
    <row r="532" spans="1:17" ht="15" hidden="1" customHeight="1" outlineLevel="1" x14ac:dyDescent="0.25">
      <c r="A532" s="849" t="b">
        <f t="shared" ref="A532:A559" si="119">A531</f>
        <v>0</v>
      </c>
      <c r="C532" s="35">
        <v>1</v>
      </c>
      <c r="D532" s="576" t="s">
        <v>2639</v>
      </c>
      <c r="E532" s="576">
        <v>5213416</v>
      </c>
      <c r="F532" s="577" t="str">
        <f>G532</f>
        <v>Placa em aço nº 16 galvanizado com película retrorrefletiva tipo I + I - confecção</v>
      </c>
      <c r="G532" s="37" t="str">
        <f>IFERROR(VLOOKUP(E532,SINAPI!A:D,2,0),"")</f>
        <v>Placa em aço nº 16 galvanizado com película retrorrefletiva tipo I + I - confecção</v>
      </c>
      <c r="H532" s="578"/>
      <c r="I532" s="40" t="str">
        <f>IFERROR(VLOOKUP(E532,SINAPI!A:D,3,0),"")</f>
        <v>m²</v>
      </c>
      <c r="J532" s="536">
        <v>0.3</v>
      </c>
      <c r="K532" s="40">
        <f>IFERROR(VLOOKUP(E532,SINAPI!A:D,4,0),"")</f>
        <v>411.36</v>
      </c>
      <c r="L532" s="580">
        <f>IF(J532="","",ROUND(J532*K532,2))</f>
        <v>123.41</v>
      </c>
      <c r="M532" s="264"/>
      <c r="N532" s="562"/>
      <c r="O532" s="562"/>
      <c r="P532" s="562"/>
      <c r="Q532" s="562"/>
    </row>
    <row r="533" spans="1:17" ht="15" hidden="1" customHeight="1" outlineLevel="1" x14ac:dyDescent="0.25">
      <c r="A533" s="849" t="b">
        <f t="shared" si="119"/>
        <v>0</v>
      </c>
      <c r="C533" s="35">
        <v>2</v>
      </c>
      <c r="D533" s="576" t="s">
        <v>2747</v>
      </c>
      <c r="E533" s="576">
        <v>21013</v>
      </c>
      <c r="F533" s="577" t="s">
        <v>5682</v>
      </c>
      <c r="G533" s="37" t="str">
        <f>IFERROR(VLOOKUP(E533,SINAPI!A:D,2,0),"")</f>
        <v xml:space="preserve">TUBO ACO GALVANIZADO COM COSTURA, CLASSE LEVE, DN 50 MM ( 2"),  E = 3,00 MM,  *4,40* KG/M (NBR 5580)                                                                                                                                                                                                                                                                                                                                                                                                      </v>
      </c>
      <c r="H533" s="578"/>
      <c r="I533" s="40" t="str">
        <f>IFERROR(VLOOKUP(E533,SINAPI!A:D,3,0),"")</f>
        <v xml:space="preserve">M     </v>
      </c>
      <c r="J533" s="536">
        <f>2.9+0.35</f>
        <v>3.25</v>
      </c>
      <c r="K533" s="40">
        <f>IFERROR(VLOOKUP(E533,SINAPI!A:D,4,0),"")</f>
        <v>68.66</v>
      </c>
      <c r="L533" s="580">
        <f t="shared" ref="L533:L539" si="120">IF(J533="","",ROUND(J533*K533,2))</f>
        <v>223.15</v>
      </c>
      <c r="M533" s="264"/>
      <c r="N533" s="562"/>
      <c r="O533" s="562"/>
      <c r="P533" s="562"/>
      <c r="Q533" s="562"/>
    </row>
    <row r="534" spans="1:17" ht="15" hidden="1" customHeight="1" outlineLevel="1" x14ac:dyDescent="0.25">
      <c r="A534" s="849" t="b">
        <f t="shared" si="119"/>
        <v>0</v>
      </c>
      <c r="C534" s="35">
        <v>3</v>
      </c>
      <c r="D534" s="576" t="s">
        <v>2747</v>
      </c>
      <c r="E534" s="576">
        <v>1166</v>
      </c>
      <c r="F534" s="577" t="s">
        <v>5683</v>
      </c>
      <c r="G534" s="37" t="str">
        <f>IFERROR(VLOOKUP(E534,SINAPI!A:D,2,0),"")</f>
        <v xml:space="preserve">CAP OU TAMPAO DE FERRO GALVANIZADO, COM ROSCA BSP, DE 2"                                                                                                                                                                                                                                                                                                                                                                                                                                                  </v>
      </c>
      <c r="H534" s="578"/>
      <c r="I534" s="40" t="str">
        <f>IFERROR(VLOOKUP(E534,SINAPI!A:D,3,0),"")</f>
        <v xml:space="preserve">UN    </v>
      </c>
      <c r="J534" s="536">
        <v>1</v>
      </c>
      <c r="K534" s="40">
        <f>IFERROR(VLOOKUP(E534,SINAPI!A:D,4,0),"")</f>
        <v>29.05</v>
      </c>
      <c r="L534" s="580">
        <f t="shared" si="120"/>
        <v>29.05</v>
      </c>
      <c r="M534" s="264"/>
      <c r="N534" s="562"/>
      <c r="O534" s="562"/>
      <c r="P534" s="562"/>
      <c r="Q534" s="562"/>
    </row>
    <row r="535" spans="1:17" ht="15" hidden="1" customHeight="1" outlineLevel="1" x14ac:dyDescent="0.25">
      <c r="A535" s="849" t="b">
        <f t="shared" si="119"/>
        <v>0</v>
      </c>
      <c r="C535" s="35">
        <v>4</v>
      </c>
      <c r="D535" s="576" t="s">
        <v>2747</v>
      </c>
      <c r="E535" s="576">
        <v>94962</v>
      </c>
      <c r="F535" s="577" t="s">
        <v>2760</v>
      </c>
      <c r="G535" s="37" t="str">
        <f>IFERROR(VLOOKUP(E535,SINAPI!A:D,2,0),"")</f>
        <v>CONCRETO MAGRO PARA LASTRO, TRAÇO 1:4,5:4,5 (EM MASSA SECA DE CIMENTO/ AREIA MÉDIA/ BRITA 1) - PREPARO MECÂNICO COM BETONEIRA 400 L. AF_05/2021</v>
      </c>
      <c r="H535" s="578"/>
      <c r="I535" s="40" t="str">
        <f>IFERROR(VLOOKUP(E535,SINAPI!A:D,3,0),"")</f>
        <v>M3</v>
      </c>
      <c r="J535" s="536">
        <v>2.5000000000000001E-2</v>
      </c>
      <c r="K535" s="40">
        <f>IFERROR(VLOOKUP(E535,SINAPI!A:D,4,0),"")</f>
        <v>424.83</v>
      </c>
      <c r="L535" s="580">
        <f t="shared" si="120"/>
        <v>10.62</v>
      </c>
      <c r="M535" s="264"/>
      <c r="N535" s="562"/>
      <c r="O535" s="562"/>
      <c r="P535" s="562"/>
      <c r="Q535" s="562"/>
    </row>
    <row r="536" spans="1:17" ht="15" hidden="1" customHeight="1" outlineLevel="1" x14ac:dyDescent="0.25">
      <c r="A536" s="849" t="b">
        <f t="shared" si="119"/>
        <v>0</v>
      </c>
      <c r="C536" s="35">
        <v>5</v>
      </c>
      <c r="D536" s="576" t="s">
        <v>2747</v>
      </c>
      <c r="E536" s="576">
        <v>103670</v>
      </c>
      <c r="F536" s="577" t="s">
        <v>2761</v>
      </c>
      <c r="G536" s="37" t="str">
        <f>IFERROR(VLOOKUP(E536,SINAPI!A:D,2,0),"")</f>
        <v>LANÇAMENTO COM USO DE BALDES, ADENSAMENTO E ACABAMENTO DE CONCRETO EM ESTRUTURAS. AF_02/2022</v>
      </c>
      <c r="H536" s="578"/>
      <c r="I536" s="40" t="str">
        <f>IFERROR(VLOOKUP(E536,SINAPI!A:D,3,0),"")</f>
        <v>M3</v>
      </c>
      <c r="J536" s="536">
        <v>2.5000000000000001E-2</v>
      </c>
      <c r="K536" s="40">
        <f>IFERROR(VLOOKUP(E536,SINAPI!A:D,4,0),"")</f>
        <v>301.64</v>
      </c>
      <c r="L536" s="580">
        <f t="shared" si="120"/>
        <v>7.54</v>
      </c>
      <c r="M536" s="264"/>
      <c r="N536" s="562"/>
      <c r="O536" s="562"/>
      <c r="P536" s="562"/>
      <c r="Q536" s="562"/>
    </row>
    <row r="537" spans="1:17" ht="15" hidden="1" customHeight="1" outlineLevel="1" x14ac:dyDescent="0.25">
      <c r="A537" s="849" t="b">
        <f t="shared" si="119"/>
        <v>0</v>
      </c>
      <c r="C537" s="35">
        <v>6</v>
      </c>
      <c r="D537" s="576" t="s">
        <v>2747</v>
      </c>
      <c r="E537" s="576">
        <v>11059</v>
      </c>
      <c r="F537" s="577" t="s">
        <v>2762</v>
      </c>
      <c r="G537" s="37" t="str">
        <f>IFERROR(VLOOKUP(E537,SINAPI!A:D,2,0),"")</f>
        <v xml:space="preserve">PARAFUSO ROSCA SOBERBA ZINCADO CABECA CHATA FENDA SIMPLES 5,5 X 50 MM (2 ")                                                                                                                                                                                                                                                                                                                                                                                                                               </v>
      </c>
      <c r="H537" s="578"/>
      <c r="I537" s="40" t="str">
        <f>IFERROR(VLOOKUP(E537,SINAPI!A:D,3,0),"")</f>
        <v xml:space="preserve">UN    </v>
      </c>
      <c r="J537" s="536">
        <v>2</v>
      </c>
      <c r="K537" s="40">
        <f>IFERROR(VLOOKUP(E537,SINAPI!A:D,4,0),"")</f>
        <v>0.36</v>
      </c>
      <c r="L537" s="580">
        <f t="shared" si="120"/>
        <v>0.72</v>
      </c>
      <c r="M537" s="264"/>
      <c r="N537" s="562"/>
      <c r="O537" s="562"/>
      <c r="P537" s="562"/>
      <c r="Q537" s="562"/>
    </row>
    <row r="538" spans="1:17" ht="15" hidden="1" customHeight="1" outlineLevel="1" x14ac:dyDescent="0.25">
      <c r="A538" s="849" t="b">
        <f>A537</f>
        <v>0</v>
      </c>
      <c r="C538" s="35">
        <v>7</v>
      </c>
      <c r="D538" s="576" t="s">
        <v>2747</v>
      </c>
      <c r="E538" s="576">
        <v>4343</v>
      </c>
      <c r="F538" s="577" t="s">
        <v>2763</v>
      </c>
      <c r="G538" s="37" t="str">
        <f>IFERROR(VLOOKUP(E538,SINAPI!A:D,2,0),"")</f>
        <v xml:space="preserve">PARAFUSO FRANCES ZINCADO, DIAMETRO 1/2", COMPRIMENTO 4", COM PORCA E ARRUELA                                                                                                                                                                                                                                                                                                                                                                                                                              </v>
      </c>
      <c r="H538" s="578"/>
      <c r="I538" s="40" t="str">
        <f>IFERROR(VLOOKUP(E538,SINAPI!A:D,3,0),"")</f>
        <v xml:space="preserve">UN    </v>
      </c>
      <c r="J538" s="536">
        <v>3</v>
      </c>
      <c r="K538" s="40">
        <f>IFERROR(VLOOKUP(E538,SINAPI!A:D,4,0),"")</f>
        <v>7.36</v>
      </c>
      <c r="L538" s="580">
        <f t="shared" si="120"/>
        <v>22.08</v>
      </c>
      <c r="M538" s="264"/>
      <c r="N538" s="562"/>
      <c r="O538" s="562"/>
      <c r="P538" s="562"/>
      <c r="Q538" s="562"/>
    </row>
    <row r="539" spans="1:17" ht="15" hidden="1" customHeight="1" outlineLevel="1" x14ac:dyDescent="0.25">
      <c r="A539" s="849" t="b">
        <f t="shared" ref="A539" si="121">A538</f>
        <v>0</v>
      </c>
      <c r="C539" s="35">
        <v>8</v>
      </c>
      <c r="D539" s="550" t="s">
        <v>2748</v>
      </c>
      <c r="E539" s="576">
        <v>567</v>
      </c>
      <c r="F539" s="577" t="s">
        <v>5678</v>
      </c>
      <c r="G539" s="37" t="str">
        <f>IFERROR(VLOOKUP(E539,SINAPI!A:D,2,0),"")</f>
        <v xml:space="preserve">CANTONEIRA (ABAS IGUAIS) EM ACO CARBONO, 25,4 MM X 3,17 MM (L X E), 1,27KG/M                                                                                                                                                                                                                                                                                                                                                                                                                              </v>
      </c>
      <c r="H539" s="578"/>
      <c r="I539" s="40" t="str">
        <f>IFERROR(VLOOKUP(E539,SINAPI!A:D,3,0),"")</f>
        <v xml:space="preserve">M     </v>
      </c>
      <c r="J539" s="536">
        <v>0.55000000000000004</v>
      </c>
      <c r="K539" s="40">
        <f>IFERROR(VLOOKUP(E539,SINAPI!A:D,4,0),"")</f>
        <v>14.95</v>
      </c>
      <c r="L539" s="580">
        <f t="shared" si="120"/>
        <v>8.2200000000000006</v>
      </c>
      <c r="M539" s="264"/>
      <c r="N539" s="562"/>
      <c r="O539" s="562"/>
      <c r="P539" s="562"/>
      <c r="Q539" s="562"/>
    </row>
    <row r="540" spans="1:17" ht="15" hidden="1" customHeight="1" outlineLevel="1" thickBot="1" x14ac:dyDescent="0.3">
      <c r="A540" s="849" t="b">
        <f>A538</f>
        <v>0</v>
      </c>
      <c r="C540" s="230" t="s">
        <v>96</v>
      </c>
      <c r="D540" s="231"/>
      <c r="E540" s="231"/>
      <c r="F540" s="231"/>
      <c r="G540" s="231"/>
      <c r="H540" s="231"/>
      <c r="I540" s="231"/>
      <c r="J540" s="231"/>
      <c r="K540" s="232"/>
      <c r="L540" s="581">
        <f>SUM(L532:L539)</f>
        <v>424.79</v>
      </c>
      <c r="M540" s="261"/>
      <c r="N540" s="562" t="str">
        <f>C531</f>
        <v>COMP 59</v>
      </c>
      <c r="O540" s="582">
        <f>L540</f>
        <v>424.79</v>
      </c>
      <c r="P540" s="562"/>
      <c r="Q540" s="562"/>
    </row>
    <row r="541" spans="1:17" ht="25.5" hidden="1" outlineLevel="1" x14ac:dyDescent="0.25">
      <c r="A541" s="699" t="b">
        <f>_xlfn.XOR(C541=$S$2,C541=$S$3,C541=$S$4,C541=$S$5,C541=$S$6,C541=$S$7,C541=$S$8,C541=$S$9,C541=$S$10,C541=$S$11,C541=$S$12,C541=$S$13,C541=$S$14,C541=$S$15,C541=$S$16,C541=$S$17,C541=$S$18,C541=$S$19,C541=$S$20,C541=$S$21,C541=$S$22,C541=$S$23,C541=$S$24,C541=$S$25,C541=$S$26,C541=$S$27,C541=$S$28,C541=$S$29,C541=$S$30,C541=$S$316,C541=$S$32,C541=$S$33,C541=$S$34,C541=$S$35,C541=$S$36,C541=$S$37,C541=$S$38,C541=$S$39,C541=$S$40,C541=$S$41,C541=$S$42,)</f>
        <v>0</v>
      </c>
      <c r="B541" s="752"/>
      <c r="C541" s="569" t="s">
        <v>5692</v>
      </c>
      <c r="D541" s="570"/>
      <c r="E541" s="1669" t="str">
        <f>IFERROR(VLOOKUP(C541,SINAPI!A:D,2,0),"")</f>
        <v>Fornecimento e implantação de placas totalmente refletivas de advertência tipo quadrada 60x60cm, inclusive suporte metálico e base de concreto conforme detalhe - rural</v>
      </c>
      <c r="F541" s="1670"/>
      <c r="G541" s="1670"/>
      <c r="H541" s="1671"/>
      <c r="I541" s="572" t="str">
        <f>IFERROR(VLOOKUP(C541,SINAPI!A:D,3,0),"")</f>
        <v>und</v>
      </c>
      <c r="J541" s="573"/>
      <c r="K541" s="573" t="s">
        <v>2603</v>
      </c>
      <c r="L541" s="574" t="str">
        <f>IF(J541="","",ROUND(J541*#REF!,2))</f>
        <v/>
      </c>
      <c r="M541" s="575"/>
      <c r="N541" s="562"/>
      <c r="O541" s="562"/>
      <c r="P541" s="562"/>
      <c r="Q541" s="562"/>
    </row>
    <row r="542" spans="1:17" ht="15" hidden="1" customHeight="1" outlineLevel="1" x14ac:dyDescent="0.25">
      <c r="A542" s="849" t="b">
        <f t="shared" si="119"/>
        <v>0</v>
      </c>
      <c r="C542" s="35">
        <v>1</v>
      </c>
      <c r="D542" s="576" t="s">
        <v>2639</v>
      </c>
      <c r="E542" s="576">
        <v>5213416</v>
      </c>
      <c r="F542" s="577" t="str">
        <f>G542</f>
        <v>Placa em aço nº 16 galvanizado com película retrorrefletiva tipo I + I - confecção</v>
      </c>
      <c r="G542" s="37" t="str">
        <f>IFERROR(VLOOKUP(E542,SINAPI!A:D,2,0),"")</f>
        <v>Placa em aço nº 16 galvanizado com película retrorrefletiva tipo I + I - confecção</v>
      </c>
      <c r="H542" s="578"/>
      <c r="I542" s="40" t="str">
        <f>IFERROR(VLOOKUP(E542,SINAPI!A:D,3,0),"")</f>
        <v>m²</v>
      </c>
      <c r="J542" s="536">
        <f>M542*M543</f>
        <v>0.20250000000000001</v>
      </c>
      <c r="K542" s="40">
        <f>IFERROR(VLOOKUP(E542,SINAPI!A:D,4,0),"")</f>
        <v>411.36</v>
      </c>
      <c r="L542" s="580">
        <f>IF(J542="","",ROUND(J542*K542,2))</f>
        <v>83.3</v>
      </c>
      <c r="M542" s="264">
        <v>0.45</v>
      </c>
      <c r="N542" s="562"/>
      <c r="O542" s="562"/>
      <c r="P542" s="562"/>
      <c r="Q542" s="562"/>
    </row>
    <row r="543" spans="1:17" ht="15" hidden="1" customHeight="1" outlineLevel="1" x14ac:dyDescent="0.25">
      <c r="A543" s="849" t="b">
        <f t="shared" si="119"/>
        <v>0</v>
      </c>
      <c r="C543" s="35">
        <v>2</v>
      </c>
      <c r="D543" s="576" t="s">
        <v>2747</v>
      </c>
      <c r="E543" s="576">
        <v>21013</v>
      </c>
      <c r="F543" s="577" t="s">
        <v>5682</v>
      </c>
      <c r="G543" s="37" t="str">
        <f>IFERROR(VLOOKUP(E543,SINAPI!A:D,2,0),"")</f>
        <v xml:space="preserve">TUBO ACO GALVANIZADO COM COSTURA, CLASSE LEVE, DN 50 MM ( 2"),  E = 3,00 MM,  *4,40* KG/M (NBR 5580)                                                                                                                                                                                                                                                                                                                                                                                                      </v>
      </c>
      <c r="H543" s="578"/>
      <c r="I543" s="40" t="str">
        <f>IFERROR(VLOOKUP(E543,SINAPI!A:D,3,0),"")</f>
        <v xml:space="preserve">M     </v>
      </c>
      <c r="J543" s="536">
        <f>2.85+0.35</f>
        <v>3.2</v>
      </c>
      <c r="K543" s="40">
        <f>IFERROR(VLOOKUP(E543,SINAPI!A:D,4,0),"")</f>
        <v>68.66</v>
      </c>
      <c r="L543" s="580">
        <f t="shared" ref="L543:L549" si="122">IF(J543="","",ROUND(J543*K543,2))</f>
        <v>219.71</v>
      </c>
      <c r="M543" s="264">
        <v>0.45</v>
      </c>
      <c r="N543" s="562"/>
      <c r="O543" s="562"/>
      <c r="P543" s="562"/>
      <c r="Q543" s="562"/>
    </row>
    <row r="544" spans="1:17" ht="15" hidden="1" customHeight="1" outlineLevel="1" x14ac:dyDescent="0.25">
      <c r="A544" s="849" t="b">
        <f t="shared" si="119"/>
        <v>0</v>
      </c>
      <c r="C544" s="35">
        <v>3</v>
      </c>
      <c r="D544" s="576" t="s">
        <v>2747</v>
      </c>
      <c r="E544" s="576">
        <v>1166</v>
      </c>
      <c r="F544" s="577" t="s">
        <v>5683</v>
      </c>
      <c r="G544" s="37" t="str">
        <f>IFERROR(VLOOKUP(E544,SINAPI!A:D,2,0),"")</f>
        <v xml:space="preserve">CAP OU TAMPAO DE FERRO GALVANIZADO, COM ROSCA BSP, DE 2"                                                                                                                                                                                                                                                                                                                                                                                                                                                  </v>
      </c>
      <c r="H544" s="578"/>
      <c r="I544" s="40" t="str">
        <f>IFERROR(VLOOKUP(E544,SINAPI!A:D,3,0),"")</f>
        <v xml:space="preserve">UN    </v>
      </c>
      <c r="J544" s="536">
        <v>1</v>
      </c>
      <c r="K544" s="40">
        <f>IFERROR(VLOOKUP(E544,SINAPI!A:D,4,0),"")</f>
        <v>29.05</v>
      </c>
      <c r="L544" s="580">
        <f t="shared" si="122"/>
        <v>29.05</v>
      </c>
      <c r="M544" s="264"/>
      <c r="N544" s="562"/>
      <c r="O544" s="562"/>
      <c r="P544" s="562"/>
      <c r="Q544" s="562"/>
    </row>
    <row r="545" spans="1:17" ht="15" hidden="1" customHeight="1" outlineLevel="1" x14ac:dyDescent="0.25">
      <c r="A545" s="849" t="b">
        <f t="shared" si="119"/>
        <v>0</v>
      </c>
      <c r="C545" s="35">
        <v>4</v>
      </c>
      <c r="D545" s="576" t="s">
        <v>2747</v>
      </c>
      <c r="E545" s="576">
        <v>94962</v>
      </c>
      <c r="F545" s="577" t="s">
        <v>2760</v>
      </c>
      <c r="G545" s="37" t="str">
        <f>IFERROR(VLOOKUP(E545,SINAPI!A:D,2,0),"")</f>
        <v>CONCRETO MAGRO PARA LASTRO, TRAÇO 1:4,5:4,5 (EM MASSA SECA DE CIMENTO/ AREIA MÉDIA/ BRITA 1) - PREPARO MECÂNICO COM BETONEIRA 400 L. AF_05/2021</v>
      </c>
      <c r="H545" s="578"/>
      <c r="I545" s="40" t="str">
        <f>IFERROR(VLOOKUP(E545,SINAPI!A:D,3,0),"")</f>
        <v>M3</v>
      </c>
      <c r="J545" s="536">
        <v>2.5000000000000001E-2</v>
      </c>
      <c r="K545" s="40">
        <f>IFERROR(VLOOKUP(E545,SINAPI!A:D,4,0),"")</f>
        <v>424.83</v>
      </c>
      <c r="L545" s="580">
        <f t="shared" si="122"/>
        <v>10.62</v>
      </c>
      <c r="M545" s="264"/>
      <c r="N545" s="562"/>
      <c r="O545" s="562"/>
      <c r="P545" s="562"/>
      <c r="Q545" s="562"/>
    </row>
    <row r="546" spans="1:17" ht="15" hidden="1" customHeight="1" outlineLevel="1" x14ac:dyDescent="0.25">
      <c r="A546" s="849" t="b">
        <f t="shared" si="119"/>
        <v>0</v>
      </c>
      <c r="C546" s="35">
        <v>5</v>
      </c>
      <c r="D546" s="576" t="s">
        <v>2747</v>
      </c>
      <c r="E546" s="576">
        <v>103670</v>
      </c>
      <c r="F546" s="577" t="s">
        <v>2761</v>
      </c>
      <c r="G546" s="37" t="str">
        <f>IFERROR(VLOOKUP(E546,SINAPI!A:D,2,0),"")</f>
        <v>LANÇAMENTO COM USO DE BALDES, ADENSAMENTO E ACABAMENTO DE CONCRETO EM ESTRUTURAS. AF_02/2022</v>
      </c>
      <c r="H546" s="578"/>
      <c r="I546" s="40" t="str">
        <f>IFERROR(VLOOKUP(E546,SINAPI!A:D,3,0),"")</f>
        <v>M3</v>
      </c>
      <c r="J546" s="536">
        <f>J545</f>
        <v>2.5000000000000001E-2</v>
      </c>
      <c r="K546" s="40">
        <f>IFERROR(VLOOKUP(E546,SINAPI!A:D,4,0),"")</f>
        <v>301.64</v>
      </c>
      <c r="L546" s="580">
        <f t="shared" si="122"/>
        <v>7.54</v>
      </c>
      <c r="M546" s="264"/>
      <c r="N546" s="562"/>
      <c r="O546" s="562"/>
      <c r="P546" s="562"/>
      <c r="Q546" s="562"/>
    </row>
    <row r="547" spans="1:17" ht="15" hidden="1" customHeight="1" outlineLevel="1" x14ac:dyDescent="0.25">
      <c r="A547" s="849" t="b">
        <f t="shared" si="119"/>
        <v>0</v>
      </c>
      <c r="C547" s="35">
        <v>6</v>
      </c>
      <c r="D547" s="576" t="s">
        <v>2747</v>
      </c>
      <c r="E547" s="576">
        <v>11059</v>
      </c>
      <c r="F547" s="577" t="s">
        <v>2762</v>
      </c>
      <c r="G547" s="37" t="str">
        <f>IFERROR(VLOOKUP(E547,SINAPI!A:D,2,0),"")</f>
        <v xml:space="preserve">PARAFUSO ROSCA SOBERBA ZINCADO CABECA CHATA FENDA SIMPLES 5,5 X 50 MM (2 ")                                                                                                                                                                                                                                                                                                                                                                                                                               </v>
      </c>
      <c r="H547" s="578"/>
      <c r="I547" s="40" t="str">
        <f>IFERROR(VLOOKUP(E547,SINAPI!A:D,3,0),"")</f>
        <v xml:space="preserve">UN    </v>
      </c>
      <c r="J547" s="536">
        <v>2</v>
      </c>
      <c r="K547" s="40">
        <f>IFERROR(VLOOKUP(E547,SINAPI!A:D,4,0),"")</f>
        <v>0.36</v>
      </c>
      <c r="L547" s="580">
        <f t="shared" si="122"/>
        <v>0.72</v>
      </c>
      <c r="M547" s="264"/>
      <c r="N547" s="562"/>
      <c r="O547" s="562"/>
      <c r="P547" s="562"/>
      <c r="Q547" s="562"/>
    </row>
    <row r="548" spans="1:17" ht="15" hidden="1" customHeight="1" outlineLevel="1" x14ac:dyDescent="0.25">
      <c r="A548" s="849" t="b">
        <f t="shared" si="119"/>
        <v>0</v>
      </c>
      <c r="C548" s="35">
        <v>7</v>
      </c>
      <c r="D548" s="576" t="s">
        <v>2747</v>
      </c>
      <c r="E548" s="576">
        <v>4343</v>
      </c>
      <c r="F548" s="577" t="s">
        <v>2763</v>
      </c>
      <c r="G548" s="37" t="str">
        <f>IFERROR(VLOOKUP(E548,SINAPI!A:D,2,0),"")</f>
        <v xml:space="preserve">PARAFUSO FRANCES ZINCADO, DIAMETRO 1/2", COMPRIMENTO 4", COM PORCA E ARRUELA                                                                                                                                                                                                                                                                                                                                                                                                                              </v>
      </c>
      <c r="H548" s="578"/>
      <c r="I548" s="40" t="str">
        <f>IFERROR(VLOOKUP(E548,SINAPI!A:D,3,0),"")</f>
        <v xml:space="preserve">UN    </v>
      </c>
      <c r="J548" s="536">
        <v>3</v>
      </c>
      <c r="K548" s="40">
        <f>IFERROR(VLOOKUP(E548,SINAPI!A:D,4,0),"")</f>
        <v>7.36</v>
      </c>
      <c r="L548" s="580">
        <f t="shared" si="122"/>
        <v>22.08</v>
      </c>
      <c r="M548" s="264"/>
      <c r="N548" s="562"/>
      <c r="O548" s="562"/>
      <c r="P548" s="562"/>
      <c r="Q548" s="562"/>
    </row>
    <row r="549" spans="1:17" ht="15" hidden="1" customHeight="1" outlineLevel="1" x14ac:dyDescent="0.25">
      <c r="A549" s="849" t="b">
        <f t="shared" si="119"/>
        <v>0</v>
      </c>
      <c r="C549" s="35">
        <v>8</v>
      </c>
      <c r="D549" s="550" t="s">
        <v>2748</v>
      </c>
      <c r="E549" s="576">
        <v>567</v>
      </c>
      <c r="F549" s="577" t="s">
        <v>5678</v>
      </c>
      <c r="G549" s="37" t="str">
        <f>IFERROR(VLOOKUP(E549,SINAPI!A:D,2,0),"")</f>
        <v xml:space="preserve">CANTONEIRA (ABAS IGUAIS) EM ACO CARBONO, 25,4 MM X 3,17 MM (L X E), 1,27KG/M                                                                                                                                                                                                                                                                                                                                                                                                                              </v>
      </c>
      <c r="H549" s="578"/>
      <c r="I549" s="40" t="str">
        <f>IFERROR(VLOOKUP(E549,SINAPI!A:D,3,0),"")</f>
        <v xml:space="preserve">M     </v>
      </c>
      <c r="J549" s="536">
        <v>0.55000000000000004</v>
      </c>
      <c r="K549" s="40">
        <f>IFERROR(VLOOKUP(E549,SINAPI!A:D,4,0),"")</f>
        <v>14.95</v>
      </c>
      <c r="L549" s="580">
        <f t="shared" si="122"/>
        <v>8.2200000000000006</v>
      </c>
      <c r="M549" s="264"/>
      <c r="N549" s="562"/>
      <c r="O549" s="562"/>
      <c r="P549" s="562"/>
      <c r="Q549" s="562"/>
    </row>
    <row r="550" spans="1:17" ht="15" hidden="1" customHeight="1" outlineLevel="1" thickBot="1" x14ac:dyDescent="0.3">
      <c r="A550" s="849" t="b">
        <f>A548</f>
        <v>0</v>
      </c>
      <c r="C550" s="230" t="s">
        <v>96</v>
      </c>
      <c r="D550" s="231"/>
      <c r="E550" s="231"/>
      <c r="F550" s="231"/>
      <c r="G550" s="231"/>
      <c r="H550" s="231"/>
      <c r="I550" s="231"/>
      <c r="J550" s="231"/>
      <c r="K550" s="232"/>
      <c r="L550" s="581">
        <f>SUM(L542:L549)</f>
        <v>381.24</v>
      </c>
      <c r="M550" s="261"/>
      <c r="N550" s="562" t="str">
        <f>C541</f>
        <v>COMP 60</v>
      </c>
      <c r="O550" s="582">
        <f>L550</f>
        <v>381.24</v>
      </c>
      <c r="P550" s="562"/>
      <c r="Q550" s="562"/>
    </row>
    <row r="551" spans="1:17" ht="25.5" hidden="1" outlineLevel="1" x14ac:dyDescent="0.25">
      <c r="A551" s="699" t="b">
        <f>_xlfn.XOR(C551=$S$2,C551=$S$3,C551=$S$4,C551=$S$5,C551=$S$6,C551=$S$7,C551=$S$8,C551=$S$9,C551=$S$10,C551=$S$11,C551=$S$12,C551=$S$13,C551=$S$14,C551=$S$15,C551=$S$16,C551=$S$17,C551=$S$18,C551=$S$19,C551=$S$20,C551=$S$21,C551=$S$22,C551=$S$23,C551=$S$24,C551=$S$25,C551=$S$26,C551=$S$27,C551=$S$28,C551=$S$29,C551=$S$30,C551=$S$316,C551=$S$32,C551=$S$33,C551=$S$34,C551=$S$35,C551=$S$36,C551=$S$37,C551=$S$38,C551=$S$39,C551=$S$40,C551=$S$41,C551=$S$42,)</f>
        <v>0</v>
      </c>
      <c r="B551" s="752"/>
      <c r="C551" s="569" t="s">
        <v>5693</v>
      </c>
      <c r="D551" s="570"/>
      <c r="E551" s="1669" t="str">
        <f>IFERROR(VLOOKUP(C551,SINAPI!A:D,2,0),"")</f>
        <v>Fornecimento e implantação de placas totalmente refletivas de regulamentação tipo circular D= 60cm, inclusive suporte metálico e base de concreto conforme detalhe - rural</v>
      </c>
      <c r="F551" s="1670"/>
      <c r="G551" s="1670"/>
      <c r="H551" s="1671"/>
      <c r="I551" s="572" t="str">
        <f>IFERROR(VLOOKUP(C551,SINAPI!A:D,3,0),"")</f>
        <v>und</v>
      </c>
      <c r="J551" s="573"/>
      <c r="K551" s="573" t="s">
        <v>2603</v>
      </c>
      <c r="L551" s="574" t="str">
        <f>IF(J551="","",ROUND(J551*#REF!,2))</f>
        <v/>
      </c>
      <c r="M551" s="575"/>
      <c r="N551" s="562"/>
      <c r="O551" s="562"/>
      <c r="P551" s="562"/>
      <c r="Q551" s="562"/>
    </row>
    <row r="552" spans="1:17" ht="15" hidden="1" customHeight="1" outlineLevel="1" x14ac:dyDescent="0.25">
      <c r="A552" s="849" t="b">
        <f t="shared" si="119"/>
        <v>0</v>
      </c>
      <c r="C552" s="35">
        <v>1</v>
      </c>
      <c r="D552" s="576" t="s">
        <v>2639</v>
      </c>
      <c r="E552" s="576">
        <v>5213416</v>
      </c>
      <c r="F552" s="577" t="str">
        <f>G552</f>
        <v>Placa em aço nº 16 galvanizado com película retrorrefletiva tipo I + I - confecção</v>
      </c>
      <c r="G552" s="37" t="str">
        <f>IFERROR(VLOOKUP(E552,SINAPI!A:D,2,0),"")</f>
        <v>Placa em aço nº 16 galvanizado com película retrorrefletiva tipo I + I - confecção</v>
      </c>
      <c r="H552" s="578"/>
      <c r="I552" s="40" t="str">
        <f>IFERROR(VLOOKUP(E552,SINAPI!A:D,3,0),"")</f>
        <v>m²</v>
      </c>
      <c r="J552" s="536">
        <f>M552*M552*3.14/4</f>
        <v>0.1963</v>
      </c>
      <c r="K552" s="40">
        <f>IFERROR(VLOOKUP(E552,SINAPI!A:D,4,0),"")</f>
        <v>411.36</v>
      </c>
      <c r="L552" s="580">
        <f>IF(J552="","",ROUND(J552*K552,2))</f>
        <v>80.75</v>
      </c>
      <c r="M552" s="264">
        <v>0.5</v>
      </c>
      <c r="N552" s="562"/>
      <c r="O552" s="562"/>
      <c r="P552" s="562"/>
      <c r="Q552" s="562"/>
    </row>
    <row r="553" spans="1:17" ht="15" hidden="1" customHeight="1" outlineLevel="1" x14ac:dyDescent="0.25">
      <c r="A553" s="849" t="b">
        <f t="shared" si="119"/>
        <v>0</v>
      </c>
      <c r="C553" s="35">
        <v>2</v>
      </c>
      <c r="D553" s="576" t="s">
        <v>2747</v>
      </c>
      <c r="E553" s="576">
        <v>21013</v>
      </c>
      <c r="F553" s="577" t="s">
        <v>5682</v>
      </c>
      <c r="G553" s="37" t="str">
        <f>IFERROR(VLOOKUP(E553,SINAPI!A:D,2,0),"")</f>
        <v xml:space="preserve">TUBO ACO GALVANIZADO COM COSTURA, CLASSE LEVE, DN 50 MM ( 2"),  E = 3,00 MM,  *4,40* KG/M (NBR 5580)                                                                                                                                                                                                                                                                                                                                                                                                      </v>
      </c>
      <c r="H553" s="578"/>
      <c r="I553" s="40" t="str">
        <f>IFERROR(VLOOKUP(E553,SINAPI!A:D,3,0),"")</f>
        <v xml:space="preserve">M     </v>
      </c>
      <c r="J553" s="536">
        <f>2.75+0.35</f>
        <v>3.1</v>
      </c>
      <c r="K553" s="40">
        <f>IFERROR(VLOOKUP(E553,SINAPI!A:D,4,0),"")</f>
        <v>68.66</v>
      </c>
      <c r="L553" s="580">
        <f t="shared" ref="L553:L558" si="123">IF(J553="","",ROUND(J553*K553,2))</f>
        <v>212.85</v>
      </c>
      <c r="M553" s="264"/>
      <c r="N553" s="562"/>
      <c r="O553" s="562"/>
      <c r="P553" s="562"/>
      <c r="Q553" s="562"/>
    </row>
    <row r="554" spans="1:17" ht="15" hidden="1" customHeight="1" outlineLevel="1" x14ac:dyDescent="0.25">
      <c r="A554" s="849" t="b">
        <f t="shared" si="119"/>
        <v>0</v>
      </c>
      <c r="C554" s="35">
        <v>3</v>
      </c>
      <c r="D554" s="576" t="s">
        <v>2747</v>
      </c>
      <c r="E554" s="576">
        <v>1166</v>
      </c>
      <c r="F554" s="577" t="s">
        <v>5683</v>
      </c>
      <c r="G554" s="37" t="str">
        <f>IFERROR(VLOOKUP(E554,SINAPI!A:D,2,0),"")</f>
        <v xml:space="preserve">CAP OU TAMPAO DE FERRO GALVANIZADO, COM ROSCA BSP, DE 2"                                                                                                                                                                                                                                                                                                                                                                                                                                                  </v>
      </c>
      <c r="H554" s="578"/>
      <c r="I554" s="40" t="str">
        <f>IFERROR(VLOOKUP(E554,SINAPI!A:D,3,0),"")</f>
        <v xml:space="preserve">UN    </v>
      </c>
      <c r="J554" s="536">
        <v>1</v>
      </c>
      <c r="K554" s="40">
        <f>IFERROR(VLOOKUP(E554,SINAPI!A:D,4,0),"")</f>
        <v>29.05</v>
      </c>
      <c r="L554" s="580">
        <f t="shared" si="123"/>
        <v>29.05</v>
      </c>
      <c r="M554" s="264"/>
      <c r="N554" s="562"/>
      <c r="O554" s="562"/>
      <c r="P554" s="562"/>
      <c r="Q554" s="562"/>
    </row>
    <row r="555" spans="1:17" ht="15" hidden="1" customHeight="1" outlineLevel="1" x14ac:dyDescent="0.25">
      <c r="A555" s="849" t="b">
        <f t="shared" si="119"/>
        <v>0</v>
      </c>
      <c r="C555" s="35">
        <v>4</v>
      </c>
      <c r="D555" s="576" t="s">
        <v>2747</v>
      </c>
      <c r="E555" s="576">
        <v>94962</v>
      </c>
      <c r="F555" s="577" t="s">
        <v>2760</v>
      </c>
      <c r="G555" s="37" t="str">
        <f>IFERROR(VLOOKUP(E555,SINAPI!A:D,2,0),"")</f>
        <v>CONCRETO MAGRO PARA LASTRO, TRAÇO 1:4,5:4,5 (EM MASSA SECA DE CIMENTO/ AREIA MÉDIA/ BRITA 1) - PREPARO MECÂNICO COM BETONEIRA 400 L. AF_05/2021</v>
      </c>
      <c r="H555" s="578"/>
      <c r="I555" s="40" t="str">
        <f>IFERROR(VLOOKUP(E555,SINAPI!A:D,3,0),"")</f>
        <v>M3</v>
      </c>
      <c r="J555" s="536">
        <v>2.5000000000000001E-2</v>
      </c>
      <c r="K555" s="40">
        <f>IFERROR(VLOOKUP(E555,SINAPI!A:D,4,0),"")</f>
        <v>424.83</v>
      </c>
      <c r="L555" s="580">
        <f t="shared" si="123"/>
        <v>10.62</v>
      </c>
      <c r="M555" s="264"/>
      <c r="N555" s="562"/>
      <c r="O555" s="562"/>
      <c r="P555" s="562"/>
      <c r="Q555" s="562"/>
    </row>
    <row r="556" spans="1:17" ht="15" hidden="1" customHeight="1" outlineLevel="1" x14ac:dyDescent="0.25">
      <c r="A556" s="849" t="b">
        <f t="shared" si="119"/>
        <v>0</v>
      </c>
      <c r="C556" s="35">
        <v>5</v>
      </c>
      <c r="D556" s="576" t="s">
        <v>2747</v>
      </c>
      <c r="E556" s="576">
        <v>103670</v>
      </c>
      <c r="F556" s="577" t="s">
        <v>2761</v>
      </c>
      <c r="G556" s="37" t="str">
        <f>IFERROR(VLOOKUP(E556,SINAPI!A:D,2,0),"")</f>
        <v>LANÇAMENTO COM USO DE BALDES, ADENSAMENTO E ACABAMENTO DE CONCRETO EM ESTRUTURAS. AF_02/2022</v>
      </c>
      <c r="H556" s="578"/>
      <c r="I556" s="40" t="str">
        <f>IFERROR(VLOOKUP(E556,SINAPI!A:D,3,0),"")</f>
        <v>M3</v>
      </c>
      <c r="J556" s="536">
        <f>J555</f>
        <v>2.5000000000000001E-2</v>
      </c>
      <c r="K556" s="40">
        <f>IFERROR(VLOOKUP(E556,SINAPI!A:D,4,0),"")</f>
        <v>301.64</v>
      </c>
      <c r="L556" s="580">
        <f t="shared" si="123"/>
        <v>7.54</v>
      </c>
      <c r="M556" s="264"/>
      <c r="N556" s="562"/>
      <c r="O556" s="562"/>
      <c r="P556" s="562"/>
      <c r="Q556" s="562"/>
    </row>
    <row r="557" spans="1:17" ht="15" hidden="1" customHeight="1" outlineLevel="1" x14ac:dyDescent="0.25">
      <c r="A557" s="849" t="b">
        <f t="shared" si="119"/>
        <v>0</v>
      </c>
      <c r="C557" s="35">
        <v>6</v>
      </c>
      <c r="D557" s="576" t="s">
        <v>2747</v>
      </c>
      <c r="E557" s="576">
        <v>11059</v>
      </c>
      <c r="F557" s="577" t="s">
        <v>2762</v>
      </c>
      <c r="G557" s="37" t="str">
        <f>IFERROR(VLOOKUP(E557,SINAPI!A:D,2,0),"")</f>
        <v xml:space="preserve">PARAFUSO ROSCA SOBERBA ZINCADO CABECA CHATA FENDA SIMPLES 5,5 X 50 MM (2 ")                                                                                                                                                                                                                                                                                                                                                                                                                               </v>
      </c>
      <c r="H557" s="578"/>
      <c r="I557" s="40" t="str">
        <f>IFERROR(VLOOKUP(E557,SINAPI!A:D,3,0),"")</f>
        <v xml:space="preserve">UN    </v>
      </c>
      <c r="J557" s="536">
        <v>2</v>
      </c>
      <c r="K557" s="40">
        <f>IFERROR(VLOOKUP(E557,SINAPI!A:D,4,0),"")</f>
        <v>0.36</v>
      </c>
      <c r="L557" s="580">
        <f t="shared" si="123"/>
        <v>0.72</v>
      </c>
      <c r="M557" s="264"/>
      <c r="N557" s="562"/>
      <c r="O557" s="562"/>
      <c r="P557" s="562"/>
      <c r="Q557" s="562"/>
    </row>
    <row r="558" spans="1:17" ht="15" hidden="1" customHeight="1" outlineLevel="1" x14ac:dyDescent="0.25">
      <c r="A558" s="849" t="b">
        <f t="shared" si="119"/>
        <v>0</v>
      </c>
      <c r="C558" s="35">
        <v>7</v>
      </c>
      <c r="D558" s="576" t="s">
        <v>2747</v>
      </c>
      <c r="E558" s="576">
        <v>4343</v>
      </c>
      <c r="F558" s="577" t="s">
        <v>2763</v>
      </c>
      <c r="G558" s="37" t="str">
        <f>IFERROR(VLOOKUP(E558,SINAPI!A:D,2,0),"")</f>
        <v xml:space="preserve">PARAFUSO FRANCES ZINCADO, DIAMETRO 1/2", COMPRIMENTO 4", COM PORCA E ARRUELA                                                                                                                                                                                                                                                                                                                                                                                                                              </v>
      </c>
      <c r="H558" s="578"/>
      <c r="I558" s="40" t="str">
        <f>IFERROR(VLOOKUP(E558,SINAPI!A:D,3,0),"")</f>
        <v xml:space="preserve">UN    </v>
      </c>
      <c r="J558" s="536">
        <v>3</v>
      </c>
      <c r="K558" s="40">
        <f>IFERROR(VLOOKUP(E558,SINAPI!A:D,4,0),"")</f>
        <v>7.36</v>
      </c>
      <c r="L558" s="580">
        <f t="shared" si="123"/>
        <v>22.08</v>
      </c>
      <c r="M558" s="264"/>
      <c r="N558" s="562"/>
      <c r="O558" s="562"/>
      <c r="P558" s="562"/>
      <c r="Q558" s="562"/>
    </row>
    <row r="559" spans="1:17" ht="15" hidden="1" customHeight="1" outlineLevel="1" thickBot="1" x14ac:dyDescent="0.3">
      <c r="A559" s="849" t="b">
        <f t="shared" si="119"/>
        <v>0</v>
      </c>
      <c r="C559" s="230" t="s">
        <v>96</v>
      </c>
      <c r="D559" s="231"/>
      <c r="E559" s="231"/>
      <c r="F559" s="231"/>
      <c r="G559" s="231"/>
      <c r="H559" s="231"/>
      <c r="I559" s="231"/>
      <c r="J559" s="231"/>
      <c r="K559" s="232"/>
      <c r="L559" s="581">
        <f>SUM(L552:L558)</f>
        <v>363.61</v>
      </c>
      <c r="M559" s="261"/>
      <c r="N559" s="562" t="str">
        <f>C551</f>
        <v>COMP 61</v>
      </c>
      <c r="O559" s="582">
        <f>L559</f>
        <v>363.61</v>
      </c>
      <c r="P559" s="562"/>
      <c r="Q559" s="562"/>
    </row>
    <row r="560" spans="1:17" ht="13.5" hidden="1" outlineLevel="1" x14ac:dyDescent="0.25">
      <c r="A560" s="699" t="b">
        <f>_xlfn.XOR(C560=$S$2,C560=$S$3,C560=$S$4,C560=$S$5,C560=$S$6,C560=$S$7,C560=$S$8,C560=$S$9,C560=$S$10,C560=$S$11,C560=$S$12,C560=$S$13,C560=$S$14,C560=$S$15,C560=$S$16,C560=$S$17,C560=$S$18,C560=$S$19,C560=$S$20,C560=$S$21,C560=$S$22,C560=$S$23,C560=$S$24,C560=$S$25,C560=$S$26,C560=$S$27,C560=$S$28,C560=$S$29,C560=$S$30,C560=$S$316,C560=$S$32,C560=$S$33,C560=$S$34,C560=$S$35,C560=$S$36,C560=$S$37,C560=$S$38,C560=$S$39,C560=$S$40,C560=$S$41,C560=$S$42,)</f>
        <v>0</v>
      </c>
      <c r="C560" s="569" t="s">
        <v>5694</v>
      </c>
      <c r="D560" s="570"/>
      <c r="E560" s="1669" t="str">
        <f>IFERROR(VLOOKUP(C560,SINAPI!A:D,2,0),"")</f>
        <v>Mureta de alvenaria de bloco de concreto rebocada na face externa</v>
      </c>
      <c r="F560" s="1670"/>
      <c r="G560" s="1670"/>
      <c r="H560" s="1671"/>
      <c r="I560" s="572" t="str">
        <f>IFERROR(VLOOKUP(C560,SINAPI!A:D,3,0),"")</f>
        <v>m²</v>
      </c>
      <c r="J560" s="573"/>
      <c r="K560" s="573" t="s">
        <v>2603</v>
      </c>
      <c r="L560" s="574" t="str">
        <f>IF(J560="","",ROUND(J560*#REF!,2))</f>
        <v/>
      </c>
      <c r="M560" s="575"/>
      <c r="N560" s="562"/>
      <c r="O560" s="562"/>
      <c r="P560" s="562"/>
      <c r="Q560" s="562"/>
    </row>
    <row r="561" spans="1:17" ht="15" hidden="1" customHeight="1" outlineLevel="1" x14ac:dyDescent="0.25">
      <c r="A561" s="1009" t="b">
        <f>A560</f>
        <v>0</v>
      </c>
      <c r="C561" s="35">
        <v>5</v>
      </c>
      <c r="D561" s="550" t="s">
        <v>2747</v>
      </c>
      <c r="E561" s="550">
        <v>88309</v>
      </c>
      <c r="F561" s="552" t="s">
        <v>2751</v>
      </c>
      <c r="G561" s="37" t="str">
        <f>IFERROR(VLOOKUP(E561,SINAPI!A:D,2,0),"")</f>
        <v>PEDREIRO COM ENCARGOS COMPLEMENTARES</v>
      </c>
      <c r="H561" s="578"/>
      <c r="I561" s="40" t="str">
        <f>IFERROR(VLOOKUP(E561,SINAPI!A:D,3,0),"")</f>
        <v>H</v>
      </c>
      <c r="J561" s="579">
        <v>0.1</v>
      </c>
      <c r="K561" s="40">
        <f>IFERROR(VLOOKUP(E561,SINAPI!A:D,4,0),"")</f>
        <v>30.44</v>
      </c>
      <c r="L561" s="580">
        <f t="shared" ref="L561:L562" si="124">IF(J561="","",ROUND(J561*K561,2))</f>
        <v>3.04</v>
      </c>
      <c r="M561" s="744"/>
      <c r="N561" s="562"/>
      <c r="O561" s="562"/>
      <c r="P561" s="562"/>
      <c r="Q561" s="562"/>
    </row>
    <row r="562" spans="1:17" ht="15" hidden="1" customHeight="1" outlineLevel="1" x14ac:dyDescent="0.25">
      <c r="A562" s="1009" t="b">
        <f t="shared" ref="A562:A566" si="125">A561</f>
        <v>0</v>
      </c>
      <c r="C562" s="35">
        <v>6</v>
      </c>
      <c r="D562" s="550" t="s">
        <v>2747</v>
      </c>
      <c r="E562" s="550">
        <v>88316</v>
      </c>
      <c r="F562" s="552" t="s">
        <v>2740</v>
      </c>
      <c r="G562" s="37" t="str">
        <f>IFERROR(VLOOKUP(E562,SINAPI!A:D,2,0),"")</f>
        <v>SERVENTE COM ENCARGOS COMPLEMENTARES</v>
      </c>
      <c r="H562" s="578"/>
      <c r="I562" s="40" t="str">
        <f>IFERROR(VLOOKUP(E562,SINAPI!A:D,3,0),"")</f>
        <v>H</v>
      </c>
      <c r="J562" s="579">
        <v>0.1</v>
      </c>
      <c r="K562" s="40">
        <f>IFERROR(VLOOKUP(E562,SINAPI!A:D,4,0),"")</f>
        <v>20.82</v>
      </c>
      <c r="L562" s="580">
        <f t="shared" si="124"/>
        <v>2.08</v>
      </c>
      <c r="M562" s="744"/>
      <c r="N562" s="562"/>
      <c r="O562" s="562"/>
      <c r="P562" s="562"/>
      <c r="Q562" s="562"/>
    </row>
    <row r="563" spans="1:17" ht="15" hidden="1" customHeight="1" outlineLevel="1" x14ac:dyDescent="0.25">
      <c r="A563" s="1009" t="b">
        <f t="shared" si="125"/>
        <v>0</v>
      </c>
      <c r="C563" s="35">
        <v>11</v>
      </c>
      <c r="D563" s="550" t="s">
        <v>2747</v>
      </c>
      <c r="E563" s="550">
        <v>89453</v>
      </c>
      <c r="F563" s="552" t="s">
        <v>3916</v>
      </c>
      <c r="G563" s="37" t="str">
        <f>IFERROR(VLOOKUP(E563,SINAPI!A:D,2,0),"")</f>
        <v>ALVENARIA DE BLOCOS DE CONCRETO ESTRUTURAL 14X19X39 CM, (ESPESSURA 14 CM), FBK = 4,5 MPA, PARA PAREDES COM ÁREA LÍQUIDA MENOR QUE 6M², SEM VÃOS, UTILIZANDO PALHETA. AF_12/2014</v>
      </c>
      <c r="H563" s="578"/>
      <c r="I563" s="40" t="str">
        <f>IFERROR(VLOOKUP(E563,SINAPI!A:D,3,0),"")</f>
        <v>M2</v>
      </c>
      <c r="J563" s="579">
        <v>1</v>
      </c>
      <c r="K563" s="40">
        <f>IFERROR(VLOOKUP(E563,SINAPI!A:D,4,0),"")</f>
        <v>91.51</v>
      </c>
      <c r="L563" s="580">
        <f t="shared" ref="L563:L565" si="126">IF(J563="","",ROUND(J563*K563,2))</f>
        <v>91.51</v>
      </c>
      <c r="M563" s="744"/>
      <c r="N563" s="562"/>
      <c r="O563" s="562"/>
      <c r="P563" s="562"/>
      <c r="Q563" s="562"/>
    </row>
    <row r="564" spans="1:17" ht="15" hidden="1" customHeight="1" outlineLevel="1" x14ac:dyDescent="0.25">
      <c r="A564" s="1009" t="b">
        <f t="shared" si="125"/>
        <v>0</v>
      </c>
      <c r="C564" s="35">
        <v>12</v>
      </c>
      <c r="D564" s="550" t="s">
        <v>2747</v>
      </c>
      <c r="E564" s="576">
        <v>87327</v>
      </c>
      <c r="F564" s="577" t="s">
        <v>3917</v>
      </c>
      <c r="G564" s="37" t="str">
        <f>IFERROR(VLOOKUP(E564,SINAPI!A:D,2,0),"")</f>
        <v>ARGAMASSA TRAÇO 1:7 (EM VOLUME DE CIMENTO E AREIA MÉDIA ÚMIDA) COM ADIÇÃO DE PLASTIFICANTE PARA EMBOÇO/MASSA ÚNICA/ASSENTAMENTO DE ALVENARIA DE VEDAÇÃO, PREPARO MECÂNICO COM MISTURADOR DE EIXO HORIZONTAL DE 300 KG. AF_08/2019</v>
      </c>
      <c r="H564" s="578"/>
      <c r="I564" s="40" t="str">
        <f>IFERROR(VLOOKUP(E564,SINAPI!A:D,3,0),"")</f>
        <v>M3</v>
      </c>
      <c r="J564" s="579">
        <f>J563*0.02</f>
        <v>0.02</v>
      </c>
      <c r="K564" s="40">
        <f>IFERROR(VLOOKUP(E564,SINAPI!A:D,4,0),"")</f>
        <v>503.88</v>
      </c>
      <c r="L564" s="580">
        <f t="shared" si="126"/>
        <v>10.08</v>
      </c>
      <c r="M564" s="744"/>
      <c r="N564" s="562"/>
      <c r="O564" s="562"/>
      <c r="P564" s="562"/>
      <c r="Q564" s="562"/>
    </row>
    <row r="565" spans="1:17" ht="15" hidden="1" customHeight="1" outlineLevel="1" x14ac:dyDescent="0.25">
      <c r="A565" s="1009" t="b">
        <f t="shared" si="125"/>
        <v>0</v>
      </c>
      <c r="C565" s="35">
        <v>15</v>
      </c>
      <c r="D565" s="550" t="s">
        <v>2747</v>
      </c>
      <c r="E565" s="550">
        <v>93358</v>
      </c>
      <c r="F565" s="552" t="s">
        <v>3920</v>
      </c>
      <c r="G565" s="37" t="str">
        <f>IFERROR(VLOOKUP(E565,SINAPI!A:D,2,0),"")</f>
        <v>ESCAVAÇÃO MANUAL DE VALA COM PROFUNDIDADE MENOR OU IGUAL A 1,30 M. AF_02/2021</v>
      </c>
      <c r="H565" s="578"/>
      <c r="I565" s="40" t="str">
        <f>IFERROR(VLOOKUP(E565,SINAPI!A:D,3,0),"")</f>
        <v>M3</v>
      </c>
      <c r="J565" s="579">
        <f>J563*0.2*0.05</f>
        <v>0.01</v>
      </c>
      <c r="K565" s="40">
        <f>IFERROR(VLOOKUP(E565,SINAPI!A:D,4,0),"")</f>
        <v>82.36</v>
      </c>
      <c r="L565" s="580">
        <f t="shared" si="126"/>
        <v>0.82</v>
      </c>
      <c r="M565" s="744"/>
      <c r="N565" s="562"/>
      <c r="O565" s="562"/>
      <c r="P565" s="562"/>
      <c r="Q565" s="562"/>
    </row>
    <row r="566" spans="1:17" ht="15" hidden="1" customHeight="1" outlineLevel="1" thickBot="1" x14ac:dyDescent="0.3">
      <c r="A566" s="1009" t="b">
        <f t="shared" si="125"/>
        <v>0</v>
      </c>
      <c r="C566" s="230" t="s">
        <v>96</v>
      </c>
      <c r="D566" s="231"/>
      <c r="E566" s="231"/>
      <c r="F566" s="231"/>
      <c r="G566" s="231"/>
      <c r="H566" s="231"/>
      <c r="I566" s="231"/>
      <c r="J566" s="231"/>
      <c r="K566" s="232"/>
      <c r="L566" s="581">
        <f>SUM(L561:L565)</f>
        <v>107.53</v>
      </c>
      <c r="M566" s="261"/>
      <c r="N566" s="562" t="str">
        <f>C560</f>
        <v>COMP 62</v>
      </c>
      <c r="O566" s="582">
        <f>L566</f>
        <v>107.53</v>
      </c>
      <c r="P566" s="562"/>
      <c r="Q566" s="562"/>
    </row>
    <row r="567" spans="1:17" ht="13.5" hidden="1" outlineLevel="1" x14ac:dyDescent="0.25">
      <c r="A567" s="699" t="b">
        <f>_xlfn.XOR(C567=$S$2,C567=$S$3,C567=$S$4,C567=$S$5,C567=$S$6,C567=$S$7,C567=$S$8,C567=$S$9,C567=$S$10,C567=$S$11,C567=$S$12,C567=$S$13,C567=$S$14,C567=$S$15,C567=$S$16,C567=$S$17,C567=$S$18,C567=$S$19,C567=$S$20,C567=$S$21,C567=$S$22,C567=$S$23,C567=$S$24,C567=$S$25,C567=$S$26,C567=$S$27,C567=$S$28,C567=$S$29,C567=$S$30,C567=$S$316,C567=$S$32,C567=$S$33,C567=$S$34,C567=$S$35,C567=$S$36,C567=$S$37,C567=$S$38,C567=$S$39,C567=$S$40,C567=$S$41,C567=$S$42,)</f>
        <v>0</v>
      </c>
      <c r="C567" s="569" t="s">
        <v>5695</v>
      </c>
      <c r="D567" s="570"/>
      <c r="E567" s="1669" t="str">
        <f>IFERROR(VLOOKUP(C567,SINAPI!A:D,2,0),"")</f>
        <v>Placa em aço - 2,00 x 0,50 m - película retrorrefletiva tipo I + I - fornecimento e implantação</v>
      </c>
      <c r="F567" s="1670"/>
      <c r="G567" s="1670"/>
      <c r="H567" s="1671"/>
      <c r="I567" s="572" t="str">
        <f>IFERROR(VLOOKUP(C567,SINAPI!A:D,3,0),"")</f>
        <v>und</v>
      </c>
      <c r="J567" s="573"/>
      <c r="K567" s="573" t="s">
        <v>2603</v>
      </c>
      <c r="L567" s="574" t="str">
        <f>IF(J567="","",ROUND(J567*#REF!,2))</f>
        <v/>
      </c>
      <c r="M567" s="575">
        <v>2</v>
      </c>
      <c r="N567" s="562"/>
      <c r="O567" s="562"/>
      <c r="P567" s="562"/>
      <c r="Q567" s="562"/>
    </row>
    <row r="568" spans="1:17" ht="15" hidden="1" customHeight="1" outlineLevel="1" x14ac:dyDescent="0.25">
      <c r="A568" s="1061" t="b">
        <f t="shared" ref="A568:A572" si="127">A567</f>
        <v>0</v>
      </c>
      <c r="C568" s="35">
        <v>1</v>
      </c>
      <c r="D568" s="576" t="s">
        <v>2639</v>
      </c>
      <c r="E568" s="576" t="s">
        <v>6458</v>
      </c>
      <c r="F568" s="577" t="s">
        <v>6462</v>
      </c>
      <c r="G568" s="37" t="str">
        <f>IFERROR(VLOOKUP(E568,SINAPI!A:D,2,0),"")</f>
        <v>Caminhão carroceria com capacidade de 5 t - 115 kW CHP</v>
      </c>
      <c r="H568" s="578"/>
      <c r="I568" s="40" t="str">
        <f>IFERROR(VLOOKUP(E568,SINAPI!A:D,3,0),"")</f>
        <v>h</v>
      </c>
      <c r="J568" s="579">
        <f>M568/$M$567</f>
        <v>0.15</v>
      </c>
      <c r="K568" s="40">
        <f>IFERROR(VLOOKUP(E568,SINAPI!A:D,4,0),"")</f>
        <v>159.11000000000001</v>
      </c>
      <c r="L568" s="580">
        <f>IF(J568="","",ROUND(J568*K568,2))</f>
        <v>23.87</v>
      </c>
      <c r="M568" s="264">
        <v>0.3</v>
      </c>
      <c r="N568" s="562"/>
      <c r="O568" s="562"/>
      <c r="P568" s="562"/>
      <c r="Q568" s="562"/>
    </row>
    <row r="569" spans="1:17" ht="15" hidden="1" customHeight="1" outlineLevel="1" x14ac:dyDescent="0.25">
      <c r="A569" s="1061" t="b">
        <f t="shared" si="127"/>
        <v>0</v>
      </c>
      <c r="C569" s="35">
        <v>2</v>
      </c>
      <c r="D569" s="576" t="s">
        <v>2639</v>
      </c>
      <c r="E569" s="576" t="s">
        <v>6459</v>
      </c>
      <c r="F569" s="577" t="s">
        <v>6463</v>
      </c>
      <c r="G569" s="37" t="str">
        <f>IFERROR(VLOOKUP(E569,SINAPI!A:D,2,0),"")</f>
        <v>Caminhão carroceria com capacidade de 5 t - 115 kW CHI</v>
      </c>
      <c r="H569" s="578"/>
      <c r="I569" s="40" t="str">
        <f>IFERROR(VLOOKUP(E569,SINAPI!A:D,3,0),"")</f>
        <v>h</v>
      </c>
      <c r="J569" s="579">
        <f>M569/$M$567</f>
        <v>0.35</v>
      </c>
      <c r="K569" s="40">
        <f>IFERROR(VLOOKUP(E569,SINAPI!A:D,4,0),"")</f>
        <v>52.72</v>
      </c>
      <c r="L569" s="580">
        <f t="shared" ref="L569:L572" si="128">IF(J569="","",ROUND(J569*K569,2))</f>
        <v>18.45</v>
      </c>
      <c r="M569" s="264">
        <v>0.7</v>
      </c>
      <c r="N569" s="562"/>
      <c r="O569" s="562"/>
      <c r="P569" s="562"/>
      <c r="Q569" s="562"/>
    </row>
    <row r="570" spans="1:17" ht="15" hidden="1" customHeight="1" outlineLevel="1" x14ac:dyDescent="0.25">
      <c r="A570" s="1061" t="b">
        <f t="shared" si="127"/>
        <v>0</v>
      </c>
      <c r="C570" s="35">
        <v>3</v>
      </c>
      <c r="D570" s="576" t="s">
        <v>2639</v>
      </c>
      <c r="E570" s="576" t="s">
        <v>6457</v>
      </c>
      <c r="F570" s="577" t="s">
        <v>4627</v>
      </c>
      <c r="G570" s="37" t="str">
        <f>IFERROR(VLOOKUP(E570,SINAPI!A:D,2,0),"")</f>
        <v>Montador</v>
      </c>
      <c r="H570" s="578"/>
      <c r="I570" s="40" t="str">
        <f>IFERROR(VLOOKUP(E570,SINAPI!A:D,3,0),"")</f>
        <v>h</v>
      </c>
      <c r="J570" s="579">
        <f t="shared" ref="J570:J571" si="129">M570/$M$567</f>
        <v>0.5</v>
      </c>
      <c r="K570" s="40">
        <f>IFERROR(VLOOKUP(E570,SINAPI!A:D,4,0),"")</f>
        <v>9.89</v>
      </c>
      <c r="L570" s="580">
        <f t="shared" si="128"/>
        <v>4.95</v>
      </c>
      <c r="M570" s="264">
        <v>1</v>
      </c>
      <c r="N570" s="562"/>
      <c r="O570" s="562"/>
      <c r="P570" s="562"/>
      <c r="Q570" s="562"/>
    </row>
    <row r="571" spans="1:17" ht="15" hidden="1" customHeight="1" outlineLevel="1" x14ac:dyDescent="0.25">
      <c r="A571" s="1061" t="b">
        <f t="shared" si="127"/>
        <v>0</v>
      </c>
      <c r="C571" s="35">
        <v>4</v>
      </c>
      <c r="D571" s="576" t="s">
        <v>2639</v>
      </c>
      <c r="E571" s="576" t="s">
        <v>6398</v>
      </c>
      <c r="F571" s="577" t="s">
        <v>2740</v>
      </c>
      <c r="G571" s="37" t="str">
        <f>IFERROR(VLOOKUP(E571,SINAPI!A:D,2,0),"")</f>
        <v>Servente</v>
      </c>
      <c r="H571" s="578"/>
      <c r="I571" s="40" t="str">
        <f>IFERROR(VLOOKUP(E571,SINAPI!A:D,3,0),"")</f>
        <v>h</v>
      </c>
      <c r="J571" s="579">
        <f t="shared" si="129"/>
        <v>1</v>
      </c>
      <c r="K571" s="40">
        <f>IFERROR(VLOOKUP(E571,SINAPI!A:D,4,0),"")</f>
        <v>6.61</v>
      </c>
      <c r="L571" s="580">
        <f t="shared" si="128"/>
        <v>6.61</v>
      </c>
      <c r="M571" s="264">
        <v>2</v>
      </c>
      <c r="N571" s="562"/>
      <c r="O571" s="562"/>
      <c r="P571" s="562"/>
      <c r="Q571" s="562"/>
    </row>
    <row r="572" spans="1:17" ht="15" hidden="1" customHeight="1" outlineLevel="1" x14ac:dyDescent="0.25">
      <c r="A572" s="1061" t="b">
        <f t="shared" si="127"/>
        <v>0</v>
      </c>
      <c r="C572" s="35">
        <v>5</v>
      </c>
      <c r="D572" s="576" t="s">
        <v>2639</v>
      </c>
      <c r="E572" s="576">
        <v>5213416</v>
      </c>
      <c r="F572" s="577" t="str">
        <f>G572</f>
        <v>Placa em aço nº 16 galvanizado com película retrorrefletiva tipo I + I - confecção</v>
      </c>
      <c r="G572" s="37" t="str">
        <f>IFERROR(VLOOKUP(E572,SINAPI!A:D,2,0),"")</f>
        <v>Placa em aço nº 16 galvanizado com película retrorrefletiva tipo I + I - confecção</v>
      </c>
      <c r="H572" s="578"/>
      <c r="I572" s="40" t="str">
        <f>IFERROR(VLOOKUP(E572,SINAPI!A:D,3,0),"")</f>
        <v>m²</v>
      </c>
      <c r="J572" s="579">
        <f>0.5*2</f>
        <v>1</v>
      </c>
      <c r="K572" s="40">
        <f>IFERROR(VLOOKUP(E572,SINAPI!A:D,4,0),"")</f>
        <v>411.36</v>
      </c>
      <c r="L572" s="580">
        <f t="shared" si="128"/>
        <v>411.36</v>
      </c>
      <c r="M572" s="264"/>
      <c r="N572" s="562"/>
      <c r="O572" s="562"/>
      <c r="P572" s="562"/>
      <c r="Q572" s="562"/>
    </row>
    <row r="573" spans="1:17" ht="15" hidden="1" customHeight="1" outlineLevel="1" x14ac:dyDescent="0.25">
      <c r="A573" s="1061" t="b">
        <f>A572</f>
        <v>0</v>
      </c>
      <c r="C573" s="739" t="s">
        <v>96</v>
      </c>
      <c r="D573" s="740"/>
      <c r="E573" s="740"/>
      <c r="F573" s="740"/>
      <c r="G573" s="740"/>
      <c r="H573" s="740"/>
      <c r="I573" s="740"/>
      <c r="J573" s="740"/>
      <c r="K573" s="741"/>
      <c r="L573" s="742">
        <f>SUM(L568:L572)</f>
        <v>465.24</v>
      </c>
      <c r="M573" s="261"/>
      <c r="N573" s="562" t="str">
        <f>C567</f>
        <v>COMP 63</v>
      </c>
      <c r="O573" s="582">
        <f>L573</f>
        <v>465.24</v>
      </c>
      <c r="P573" s="562"/>
      <c r="Q573" s="562"/>
    </row>
    <row r="574" spans="1:17" ht="15" hidden="1" customHeight="1" outlineLevel="1" thickBot="1" x14ac:dyDescent="0.3">
      <c r="A574" s="1096" t="b">
        <f>A573</f>
        <v>0</v>
      </c>
      <c r="C574" s="1105" t="s">
        <v>6456</v>
      </c>
      <c r="D574" s="231"/>
      <c r="E574" s="231"/>
      <c r="F574" s="231"/>
      <c r="G574" s="231"/>
      <c r="H574" s="231"/>
      <c r="I574" s="231"/>
      <c r="J574" s="231"/>
      <c r="K574" s="232"/>
      <c r="L574" s="581"/>
      <c r="M574" s="261"/>
      <c r="N574" s="562"/>
      <c r="O574" s="582"/>
      <c r="P574" s="562"/>
      <c r="Q574" s="562"/>
    </row>
    <row r="575" spans="1:17" ht="13.5" hidden="1" outlineLevel="1" x14ac:dyDescent="0.25">
      <c r="A575" s="699" t="b">
        <f>_xlfn.XOR(C575=$S$2,C575=$S$3,C575=$S$4,C575=$S$5,C575=$S$6,C575=$S$7,C575=$S$8,C575=$S$9,C575=$S$10,C575=$S$11,C575=$S$12,C575=$S$13,C575=$S$14,C575=$S$15,C575=$S$16,C575=$S$17,C575=$S$18,C575=$S$19,C575=$S$20,C575=$S$21,C575=$S$22,C575=$S$23,C575=$S$24,C575=$S$25,C575=$S$26,C575=$S$27,C575=$S$28,C575=$S$29,C575=$S$30,C575=$S$316,C575=$S$32,C575=$S$33,C575=$S$34,C575=$S$35,C575=$S$36,C575=$S$37,C575=$S$38,C575=$S$39,C575=$S$40,C575=$S$41,C575=$S$42,)</f>
        <v>0</v>
      </c>
      <c r="C575" s="569" t="s">
        <v>5696</v>
      </c>
      <c r="D575" s="570"/>
      <c r="E575" s="1669" t="str">
        <f>IFERROR(VLOOKUP(C575,SINAPI!A:D,2,0),"")</f>
        <v>Suporte metálico galvanizado para placas - 2,00 x 0,50 m - fornecimento e implantação</v>
      </c>
      <c r="F575" s="1670"/>
      <c r="G575" s="1670"/>
      <c r="H575" s="1671"/>
      <c r="I575" s="572" t="str">
        <f>IFERROR(VLOOKUP(C575,SINAPI!A:D,3,0),"")</f>
        <v>und</v>
      </c>
      <c r="J575" s="573"/>
      <c r="K575" s="573" t="s">
        <v>2603</v>
      </c>
      <c r="L575" s="574" t="str">
        <f>IF(J575="","",ROUND(J575*#REF!,2))</f>
        <v/>
      </c>
      <c r="M575" s="575">
        <v>1.8</v>
      </c>
      <c r="N575" s="562"/>
      <c r="O575" s="562"/>
      <c r="P575" s="562"/>
      <c r="Q575" s="562"/>
    </row>
    <row r="576" spans="1:17" ht="15" hidden="1" customHeight="1" outlineLevel="1" x14ac:dyDescent="0.25">
      <c r="A576" s="1096" t="b">
        <f t="shared" ref="A576:A581" si="130">A575</f>
        <v>0</v>
      </c>
      <c r="C576" s="35">
        <v>1</v>
      </c>
      <c r="D576" s="576" t="s">
        <v>2639</v>
      </c>
      <c r="E576" s="576" t="s">
        <v>6458</v>
      </c>
      <c r="F576" s="577" t="s">
        <v>6462</v>
      </c>
      <c r="G576" s="37" t="str">
        <f>IFERROR(VLOOKUP(E576,SINAPI!A:D,2,0),"")</f>
        <v>Caminhão carroceria com capacidade de 5 t - 115 kW CHP</v>
      </c>
      <c r="H576" s="578"/>
      <c r="I576" s="40" t="str">
        <f>IFERROR(VLOOKUP(E576,SINAPI!A:D,3,0),"")</f>
        <v>h</v>
      </c>
      <c r="J576" s="579">
        <f>M576/$M$567</f>
        <v>0.15</v>
      </c>
      <c r="K576" s="40">
        <f>IFERROR(VLOOKUP(E576,SINAPI!A:D,4,0),"")</f>
        <v>159.11000000000001</v>
      </c>
      <c r="L576" s="580">
        <f>IF(J576="","",ROUND(J576*K576,2))</f>
        <v>23.87</v>
      </c>
      <c r="M576" s="264">
        <v>0.3</v>
      </c>
      <c r="N576" s="562"/>
      <c r="O576" s="562"/>
      <c r="P576" s="562"/>
      <c r="Q576" s="562"/>
    </row>
    <row r="577" spans="1:17" ht="15" hidden="1" customHeight="1" outlineLevel="1" x14ac:dyDescent="0.25">
      <c r="A577" s="1096" t="b">
        <f t="shared" si="130"/>
        <v>0</v>
      </c>
      <c r="C577" s="35">
        <v>2</v>
      </c>
      <c r="D577" s="576" t="s">
        <v>2639</v>
      </c>
      <c r="E577" s="576" t="s">
        <v>6459</v>
      </c>
      <c r="F577" s="577" t="s">
        <v>6463</v>
      </c>
      <c r="G577" s="37" t="str">
        <f>IFERROR(VLOOKUP(E577,SINAPI!A:D,2,0),"")</f>
        <v>Caminhão carroceria com capacidade de 5 t - 115 kW CHI</v>
      </c>
      <c r="H577" s="578"/>
      <c r="I577" s="40" t="str">
        <f>IFERROR(VLOOKUP(E577,SINAPI!A:D,3,0),"")</f>
        <v>h</v>
      </c>
      <c r="J577" s="579">
        <f>M577/$M$567</f>
        <v>0.35</v>
      </c>
      <c r="K577" s="40">
        <f>IFERROR(VLOOKUP(E577,SINAPI!A:D,4,0),"")</f>
        <v>52.72</v>
      </c>
      <c r="L577" s="580">
        <f t="shared" ref="L577:L580" si="131">IF(J577="","",ROUND(J577*K577,2))</f>
        <v>18.45</v>
      </c>
      <c r="M577" s="264">
        <v>0.7</v>
      </c>
      <c r="N577" s="562"/>
      <c r="O577" s="562"/>
      <c r="P577" s="562"/>
      <c r="Q577" s="562"/>
    </row>
    <row r="578" spans="1:17" ht="15" hidden="1" customHeight="1" outlineLevel="1" x14ac:dyDescent="0.25">
      <c r="A578" s="1096" t="b">
        <f t="shared" si="130"/>
        <v>0</v>
      </c>
      <c r="C578" s="35">
        <v>3</v>
      </c>
      <c r="D578" s="576" t="s">
        <v>2639</v>
      </c>
      <c r="E578" s="576" t="s">
        <v>6457</v>
      </c>
      <c r="F578" s="577" t="s">
        <v>4627</v>
      </c>
      <c r="G578" s="37" t="str">
        <f>IFERROR(VLOOKUP(E578,SINAPI!A:D,2,0),"")</f>
        <v>Montador</v>
      </c>
      <c r="H578" s="578"/>
      <c r="I578" s="40" t="str">
        <f>IFERROR(VLOOKUP(E578,SINAPI!A:D,3,0),"")</f>
        <v>h</v>
      </c>
      <c r="J578" s="579">
        <f t="shared" ref="J578:J579" si="132">M578/$M$567</f>
        <v>0.5</v>
      </c>
      <c r="K578" s="40">
        <f>IFERROR(VLOOKUP(E578,SINAPI!A:D,4,0),"")</f>
        <v>9.89</v>
      </c>
      <c r="L578" s="580">
        <f t="shared" si="131"/>
        <v>4.95</v>
      </c>
      <c r="M578" s="264">
        <v>1</v>
      </c>
      <c r="N578" s="562"/>
      <c r="O578" s="562"/>
      <c r="P578" s="562"/>
      <c r="Q578" s="562"/>
    </row>
    <row r="579" spans="1:17" ht="15" hidden="1" customHeight="1" outlineLevel="1" x14ac:dyDescent="0.25">
      <c r="A579" s="1096" t="b">
        <f t="shared" si="130"/>
        <v>0</v>
      </c>
      <c r="C579" s="35">
        <v>4</v>
      </c>
      <c r="D579" s="576" t="s">
        <v>2639</v>
      </c>
      <c r="E579" s="576" t="s">
        <v>6398</v>
      </c>
      <c r="F579" s="577" t="s">
        <v>2740</v>
      </c>
      <c r="G579" s="37" t="str">
        <f>IFERROR(VLOOKUP(E579,SINAPI!A:D,2,0),"")</f>
        <v>Servente</v>
      </c>
      <c r="H579" s="578"/>
      <c r="I579" s="40" t="str">
        <f>IFERROR(VLOOKUP(E579,SINAPI!A:D,3,0),"")</f>
        <v>h</v>
      </c>
      <c r="J579" s="579">
        <f t="shared" si="132"/>
        <v>0.5</v>
      </c>
      <c r="K579" s="40">
        <f>IFERROR(VLOOKUP(E579,SINAPI!A:D,4,0),"")</f>
        <v>6.61</v>
      </c>
      <c r="L579" s="580">
        <f t="shared" si="131"/>
        <v>3.31</v>
      </c>
      <c r="M579" s="264">
        <v>1</v>
      </c>
      <c r="N579" s="562"/>
      <c r="O579" s="562"/>
      <c r="P579" s="562"/>
      <c r="Q579" s="562"/>
    </row>
    <row r="580" spans="1:17" ht="25.5" hidden="1" outlineLevel="1" x14ac:dyDescent="0.25">
      <c r="A580" s="1096" t="b">
        <f t="shared" si="130"/>
        <v>0</v>
      </c>
      <c r="C580" s="35">
        <v>5</v>
      </c>
      <c r="D580" s="576" t="s">
        <v>2639</v>
      </c>
      <c r="E580" s="576" t="s">
        <v>6465</v>
      </c>
      <c r="F580" s="577" t="str">
        <f>G580</f>
        <v>Conjunto para fixação de placas em aço galvanizado composto por barra chata, abraçadeira, parafusos, porcas e arruelas</v>
      </c>
      <c r="G580" s="37" t="str">
        <f>IFERROR(VLOOKUP(E580,SINAPI!A:D,2,0),"")</f>
        <v>Conjunto para fixação de placas em aço galvanizado composto por barra chata, abraçadeira, parafusos, porcas e arruelas</v>
      </c>
      <c r="H580" s="578"/>
      <c r="I580" s="40" t="str">
        <f>IFERROR(VLOOKUP(E580,SINAPI!A:D,3,0),"")</f>
        <v>kg</v>
      </c>
      <c r="J580" s="579">
        <f>M580*O580/N580</f>
        <v>1.5232000000000001</v>
      </c>
      <c r="K580" s="40">
        <f>IFERROR(VLOOKUP(E580,SINAPI!A:D,4,0),"")</f>
        <v>23.83</v>
      </c>
      <c r="L580" s="580">
        <f t="shared" si="131"/>
        <v>36.299999999999997</v>
      </c>
      <c r="M580" s="264">
        <v>1.8278000000000001</v>
      </c>
      <c r="N580" s="562">
        <v>6</v>
      </c>
      <c r="O580" s="562">
        <v>5</v>
      </c>
      <c r="P580" s="562"/>
      <c r="Q580" s="562"/>
    </row>
    <row r="581" spans="1:17" ht="15" hidden="1" customHeight="1" outlineLevel="1" x14ac:dyDescent="0.25">
      <c r="A581" s="1096" t="b">
        <f t="shared" si="130"/>
        <v>0</v>
      </c>
      <c r="C581" s="35">
        <v>6</v>
      </c>
      <c r="D581" s="576" t="s">
        <v>2639</v>
      </c>
      <c r="E581" s="576" t="s">
        <v>6467</v>
      </c>
      <c r="F581" s="577" t="str">
        <f>G581</f>
        <v>Suporte em aço-carbono galvanizado tipo perfil C para placa de sinalização</v>
      </c>
      <c r="G581" s="37" t="str">
        <f>IFERROR(VLOOKUP(E581,SINAPI!A:D,2,0),"")</f>
        <v>Suporte em aço-carbono galvanizado tipo perfil C para placa de sinalização</v>
      </c>
      <c r="H581" s="578"/>
      <c r="I581" s="40" t="str">
        <f>IFERROR(VLOOKUP(E581,SINAPI!A:D,3,0),"")</f>
        <v>kg</v>
      </c>
      <c r="J581" s="579">
        <f>M581*O581/N581</f>
        <v>25.12</v>
      </c>
      <c r="K581" s="40">
        <f>IFERROR(VLOOKUP(E581,SINAPI!A:D,4,0),"")</f>
        <v>28.97</v>
      </c>
      <c r="L581" s="580">
        <f t="shared" ref="L581:L582" si="133">IF(J581="","",ROUND(J581*K581,2))</f>
        <v>727.73</v>
      </c>
      <c r="M581" s="264">
        <v>30.143999999999998</v>
      </c>
      <c r="N581" s="562">
        <v>6</v>
      </c>
      <c r="O581" s="562">
        <v>5</v>
      </c>
      <c r="P581" s="562"/>
      <c r="Q581" s="562"/>
    </row>
    <row r="582" spans="1:17" ht="25.5" hidden="1" outlineLevel="1" x14ac:dyDescent="0.25">
      <c r="A582" s="1096" t="b">
        <f>A580</f>
        <v>0</v>
      </c>
      <c r="C582" s="35">
        <v>7</v>
      </c>
      <c r="D582" s="576" t="s">
        <v>2639</v>
      </c>
      <c r="E582" s="576">
        <v>1107892</v>
      </c>
      <c r="F582" s="577" t="str">
        <f>G582</f>
        <v>Concreto fck = 20 MPa - confecção em betoneira e lançamento manual - areia e brita comerciais</v>
      </c>
      <c r="G582" s="37" t="str">
        <f>IFERROR(VLOOKUP(E582,SINAPI!A:D,2,0),"")</f>
        <v>Concreto fck = 20 MPa - confecção em betoneira e lançamento manual - areia e brita comerciais</v>
      </c>
      <c r="H582" s="578"/>
      <c r="I582" s="40" t="str">
        <f>IFERROR(VLOOKUP(E582,SINAPI!A:D,3,0),"")</f>
        <v>m³</v>
      </c>
      <c r="J582" s="579">
        <v>0.1963</v>
      </c>
      <c r="K582" s="40">
        <f>IFERROR(VLOOKUP(E582,SINAPI!A:D,4,0),"")</f>
        <v>449.57</v>
      </c>
      <c r="L582" s="580">
        <f t="shared" si="133"/>
        <v>88.25</v>
      </c>
      <c r="M582" s="264"/>
      <c r="N582" s="562"/>
      <c r="O582" s="562"/>
      <c r="P582" s="562"/>
      <c r="Q582" s="562"/>
    </row>
    <row r="583" spans="1:17" ht="15" hidden="1" customHeight="1" outlineLevel="1" x14ac:dyDescent="0.25">
      <c r="A583" s="1096" t="b">
        <f>A581</f>
        <v>0</v>
      </c>
      <c r="C583" s="35">
        <v>8</v>
      </c>
      <c r="D583" s="576" t="s">
        <v>2639</v>
      </c>
      <c r="E583" s="576">
        <v>4805750</v>
      </c>
      <c r="F583" s="577" t="str">
        <f>G583</f>
        <v>Escavação manual em material de 1ª categoria na profundidade de até 1 m</v>
      </c>
      <c r="G583" s="37" t="str">
        <f>IFERROR(VLOOKUP(E583,SINAPI!A:D,2,0),"")</f>
        <v>Escavação manual em material de 1ª categoria na profundidade de até 1 m</v>
      </c>
      <c r="H583" s="578"/>
      <c r="I583" s="40" t="str">
        <f>IFERROR(VLOOKUP(E583,SINAPI!A:D,3,0),"")</f>
        <v>m³</v>
      </c>
      <c r="J583" s="579">
        <v>0.1963</v>
      </c>
      <c r="K583" s="40">
        <f>IFERROR(VLOOKUP(E583,SINAPI!A:D,4,0),"")</f>
        <v>40.950000000000003</v>
      </c>
      <c r="L583" s="580">
        <f t="shared" ref="L583" si="134">IF(J583="","",ROUND(J583*K583,2))</f>
        <v>8.0399999999999991</v>
      </c>
      <c r="M583" s="264"/>
      <c r="N583" s="562"/>
      <c r="O583" s="562"/>
      <c r="P583" s="562"/>
      <c r="Q583" s="562"/>
    </row>
    <row r="584" spans="1:17" ht="15" hidden="1" customHeight="1" outlineLevel="1" x14ac:dyDescent="0.25">
      <c r="A584" s="1096" t="b">
        <f>A580</f>
        <v>0</v>
      </c>
      <c r="C584" s="739" t="s">
        <v>96</v>
      </c>
      <c r="D584" s="740"/>
      <c r="E584" s="740"/>
      <c r="F584" s="740"/>
      <c r="G584" s="740"/>
      <c r="H584" s="740"/>
      <c r="I584" s="740"/>
      <c r="J584" s="740"/>
      <c r="K584" s="741"/>
      <c r="L584" s="742">
        <f>SUM(L576:L583)</f>
        <v>910.9</v>
      </c>
      <c r="M584" s="261"/>
      <c r="N584" s="562" t="str">
        <f>C575</f>
        <v>COMP 64</v>
      </c>
      <c r="O584" s="582">
        <f>L584</f>
        <v>910.9</v>
      </c>
      <c r="P584" s="562"/>
      <c r="Q584" s="562"/>
    </row>
    <row r="585" spans="1:17" ht="15" hidden="1" customHeight="1" outlineLevel="1" thickBot="1" x14ac:dyDescent="0.3">
      <c r="A585" s="1096" t="b">
        <f>A584</f>
        <v>0</v>
      </c>
      <c r="C585" s="1105" t="s">
        <v>6473</v>
      </c>
      <c r="D585" s="231"/>
      <c r="E585" s="231"/>
      <c r="F585" s="231"/>
      <c r="G585" s="231"/>
      <c r="H585" s="231"/>
      <c r="I585" s="231"/>
      <c r="J585" s="231"/>
      <c r="K585" s="232"/>
      <c r="L585" s="581"/>
      <c r="M585" s="261"/>
      <c r="N585" s="562"/>
      <c r="O585" s="582"/>
      <c r="P585" s="562"/>
      <c r="Q585" s="562"/>
    </row>
    <row r="586" spans="1:17" ht="13.5" hidden="1" outlineLevel="1" x14ac:dyDescent="0.25">
      <c r="A586" s="699" t="b">
        <f>_xlfn.XOR(C586=$S$2,C586=$S$3,C586=$S$4,C586=$S$5,C586=$S$6,C586=$S$7,C586=$S$8,C586=$S$9,C586=$S$10,C586=$S$11,C586=$S$12,C586=$S$13,C586=$S$14,C586=$S$15,C586=$S$16,C586=$S$17,C586=$S$18,C586=$S$19,C586=$S$20,C586=$S$21,C586=$S$22,C586=$S$23,C586=$S$24,C586=$S$25,C586=$S$26,C586=$S$27,C586=$S$28,C586=$S$29,C586=$S$30,C586=$S$316,C586=$S$32,C586=$S$33,C586=$S$34,C586=$S$35,C586=$S$36,C586=$S$37,C586=$S$38,C586=$S$39,C586=$S$40,C586=$S$41,C586=$S$42,)</f>
        <v>0</v>
      </c>
      <c r="C586" s="569" t="s">
        <v>5697</v>
      </c>
      <c r="D586" s="570"/>
      <c r="E586" s="1669" t="str">
        <f>IFERROR(VLOOKUP(C586,SINAPI!A:D,2,0),"")</f>
        <v>Corpo de BSTC D = 2,00 m PA2 - areia, brita e pedra de mão comerciais</v>
      </c>
      <c r="F586" s="1670"/>
      <c r="G586" s="1670"/>
      <c r="H586" s="1671"/>
      <c r="I586" s="572" t="str">
        <f>IFERROR(VLOOKUP(C586,SINAPI!A:D,3,0),"")</f>
        <v>m</v>
      </c>
      <c r="J586" s="573"/>
      <c r="K586" s="573" t="s">
        <v>2603</v>
      </c>
      <c r="L586" s="574" t="str">
        <f>IF(J586="","",ROUND(J586*#REF!,2))</f>
        <v/>
      </c>
      <c r="M586" s="575">
        <v>1.9154</v>
      </c>
      <c r="N586" s="562"/>
      <c r="O586" s="562"/>
      <c r="P586" s="562"/>
      <c r="Q586" s="562"/>
    </row>
    <row r="587" spans="1:17" ht="15" hidden="1" customHeight="1" outlineLevel="1" x14ac:dyDescent="0.25">
      <c r="A587" s="1096" t="b">
        <f t="shared" ref="A587:A594" si="135">A586</f>
        <v>0</v>
      </c>
      <c r="C587" s="35">
        <v>1</v>
      </c>
      <c r="D587" s="576" t="s">
        <v>2639</v>
      </c>
      <c r="E587" s="576" t="s">
        <v>6421</v>
      </c>
      <c r="F587" s="577" t="s">
        <v>6462</v>
      </c>
      <c r="G587" s="37" t="str">
        <f>IFERROR(VLOOKUP(E587,SINAPI!A:D,2,0),"")</f>
        <v>Caminhão carroceria com guindauto com capacidade de 20 t.m - 136 kW CHP</v>
      </c>
      <c r="H587" s="578"/>
      <c r="I587" s="40" t="str">
        <f>IFERROR(VLOOKUP(E587,SINAPI!A:D,3,0),"")</f>
        <v>h</v>
      </c>
      <c r="J587" s="579">
        <f>M587/$M$567</f>
        <v>0.5</v>
      </c>
      <c r="K587" s="40">
        <f>IFERROR(VLOOKUP(E587,SINAPI!A:D,4,0),"")</f>
        <v>339.73</v>
      </c>
      <c r="L587" s="580">
        <f>IF(J587="","",ROUND(J587*K587,2))</f>
        <v>169.87</v>
      </c>
      <c r="M587" s="264">
        <v>1</v>
      </c>
      <c r="N587" s="562"/>
      <c r="O587" s="562"/>
      <c r="P587" s="562"/>
      <c r="Q587" s="562"/>
    </row>
    <row r="588" spans="1:17" ht="15" hidden="1" customHeight="1" outlineLevel="1" x14ac:dyDescent="0.25">
      <c r="A588" s="1096" t="b">
        <f t="shared" si="135"/>
        <v>0</v>
      </c>
      <c r="C588" s="35">
        <v>2</v>
      </c>
      <c r="D588" s="576" t="s">
        <v>2639</v>
      </c>
      <c r="E588" s="576" t="s">
        <v>6459</v>
      </c>
      <c r="F588" s="577" t="s">
        <v>6463</v>
      </c>
      <c r="G588" s="37" t="str">
        <f>IFERROR(VLOOKUP(E588,SINAPI!A:D,2,0),"")</f>
        <v>Caminhão carroceria com capacidade de 5 t - 115 kW CHI</v>
      </c>
      <c r="H588" s="578"/>
      <c r="I588" s="40" t="str">
        <f>IFERROR(VLOOKUP(E588,SINAPI!A:D,3,0),"")</f>
        <v>h</v>
      </c>
      <c r="J588" s="579">
        <f>M588/$M$567</f>
        <v>0</v>
      </c>
      <c r="K588" s="40">
        <f>IFERROR(VLOOKUP(E588,SINAPI!A:D,4,0),"")</f>
        <v>52.72</v>
      </c>
      <c r="L588" s="580">
        <f t="shared" ref="L588:L593" si="136">IF(J588="","",ROUND(J588*K588,2))</f>
        <v>0</v>
      </c>
      <c r="M588" s="264">
        <v>0</v>
      </c>
      <c r="N588" s="562"/>
      <c r="O588" s="562"/>
      <c r="P588" s="562"/>
      <c r="Q588" s="562"/>
    </row>
    <row r="589" spans="1:17" ht="15" hidden="1" customHeight="1" outlineLevel="1" x14ac:dyDescent="0.25">
      <c r="A589" s="1096" t="b">
        <f t="shared" si="135"/>
        <v>0</v>
      </c>
      <c r="C589" s="35">
        <v>4</v>
      </c>
      <c r="D589" s="576" t="s">
        <v>2639</v>
      </c>
      <c r="E589" s="576" t="s">
        <v>6398</v>
      </c>
      <c r="F589" s="577" t="s">
        <v>2740</v>
      </c>
      <c r="G589" s="37" t="str">
        <f>IFERROR(VLOOKUP(E589,SINAPI!A:D,2,0),"")</f>
        <v>Servente</v>
      </c>
      <c r="H589" s="578"/>
      <c r="I589" s="40" t="str">
        <f>IFERROR(VLOOKUP(E589,SINAPI!A:D,3,0),"")</f>
        <v>h</v>
      </c>
      <c r="J589" s="579">
        <f t="shared" ref="J589" si="137">M589/$M$567</f>
        <v>1.5</v>
      </c>
      <c r="K589" s="40">
        <f>IFERROR(VLOOKUP(E589,SINAPI!A:D,4,0),"")</f>
        <v>6.61</v>
      </c>
      <c r="L589" s="580">
        <f t="shared" si="136"/>
        <v>9.92</v>
      </c>
      <c r="M589" s="264">
        <v>3</v>
      </c>
      <c r="N589" s="562"/>
      <c r="O589" s="562"/>
      <c r="P589" s="562"/>
      <c r="Q589" s="562"/>
    </row>
    <row r="590" spans="1:17" ht="15" hidden="1" customHeight="1" outlineLevel="1" x14ac:dyDescent="0.25">
      <c r="A590" s="1096" t="b">
        <f t="shared" si="135"/>
        <v>0</v>
      </c>
      <c r="C590" s="35">
        <v>5</v>
      </c>
      <c r="D590" s="576" t="s">
        <v>20</v>
      </c>
      <c r="E590" s="576">
        <v>7727</v>
      </c>
      <c r="F590" s="577" t="s">
        <v>6474</v>
      </c>
      <c r="G590" s="37" t="str">
        <f>IFERROR(VLOOKUP(E590,SINAPI!A:D,2,0),"")</f>
        <v xml:space="preserve">TUBO DE CONCRETO ARMADO PARA AGUAS PLUVIAIS, CLASSE PA-2, COM ENCAIXE PONTA E BOLSA, DIAMETRO NOMINAL DE 2000 MM                                                                                                                                                                                                                                                                                                                                                                                          </v>
      </c>
      <c r="H590" s="578"/>
      <c r="I590" s="40" t="str">
        <f>IFERROR(VLOOKUP(E590,SINAPI!A:D,3,0),"")</f>
        <v xml:space="preserve">M     </v>
      </c>
      <c r="J590" s="579">
        <v>1</v>
      </c>
      <c r="K590" s="40">
        <f>IFERROR(VLOOKUP(E590,SINAPI!A:D,4,0),"")</f>
        <v>2752.94</v>
      </c>
      <c r="L590" s="580">
        <f t="shared" si="136"/>
        <v>2752.94</v>
      </c>
      <c r="M590" s="264"/>
      <c r="N590" s="562"/>
      <c r="O590" s="562"/>
      <c r="P590" s="562"/>
      <c r="Q590" s="562"/>
    </row>
    <row r="591" spans="1:17" ht="25.5" hidden="1" outlineLevel="1" x14ac:dyDescent="0.25">
      <c r="A591" s="1096" t="b">
        <f t="shared" si="135"/>
        <v>0</v>
      </c>
      <c r="C591" s="35">
        <v>6</v>
      </c>
      <c r="D591" s="576" t="s">
        <v>2639</v>
      </c>
      <c r="E591" s="576">
        <v>1109671</v>
      </c>
      <c r="F591" s="577" t="str">
        <f>G591</f>
        <v>Argamassa de cimento e areia 1:4 - confecção em betoneira e lançamento manual - areia comercial</v>
      </c>
      <c r="G591" s="37" t="str">
        <f>IFERROR(VLOOKUP(E591,SINAPI!A:D,2,0),"")</f>
        <v>Argamassa de cimento e areia 1:4 - confecção em betoneira e lançamento manual - areia comercial</v>
      </c>
      <c r="H591" s="578"/>
      <c r="I591" s="40" t="str">
        <f>IFERROR(VLOOKUP(E591,SINAPI!A:D,3,0),"")</f>
        <v>m³</v>
      </c>
      <c r="J591" s="579">
        <v>2.12E-2</v>
      </c>
      <c r="K591" s="40">
        <f>IFERROR(VLOOKUP(E591,SINAPI!A:D,4,0),"")</f>
        <v>475.8</v>
      </c>
      <c r="L591" s="580">
        <f t="shared" si="136"/>
        <v>10.09</v>
      </c>
      <c r="M591" s="264"/>
      <c r="N591" s="562"/>
      <c r="O591" s="562"/>
      <c r="P591" s="562"/>
      <c r="Q591" s="562"/>
    </row>
    <row r="592" spans="1:17" ht="25.5" hidden="1" outlineLevel="1" x14ac:dyDescent="0.25">
      <c r="A592" s="1096" t="b">
        <f t="shared" si="135"/>
        <v>0</v>
      </c>
      <c r="C592" s="35">
        <v>7</v>
      </c>
      <c r="D592" s="576" t="s">
        <v>2639</v>
      </c>
      <c r="E592" s="576">
        <v>1106165</v>
      </c>
      <c r="F592" s="577" t="str">
        <f>G592</f>
        <v>Concreto ciclópico fck = 20 MPa - confecção em betoneira e lançamento manual - areia, brita e pedra de mão comerciais</v>
      </c>
      <c r="G592" s="37" t="str">
        <f>IFERROR(VLOOKUP(E592,SINAPI!A:D,2,0),"")</f>
        <v>Concreto ciclópico fck = 20 MPa - confecção em betoneira e lançamento manual - areia, brita e pedra de mão comerciais</v>
      </c>
      <c r="H592" s="578"/>
      <c r="I592" s="40" t="str">
        <f>IFERROR(VLOOKUP(E592,SINAPI!A:D,3,0),"")</f>
        <v>m³</v>
      </c>
      <c r="J592" s="579">
        <v>0.84</v>
      </c>
      <c r="K592" s="40">
        <f>IFERROR(VLOOKUP(E592,SINAPI!A:D,4,0),"")</f>
        <v>386.46</v>
      </c>
      <c r="L592" s="580">
        <f t="shared" si="136"/>
        <v>324.63</v>
      </c>
      <c r="M592" s="264"/>
      <c r="N592" s="562"/>
      <c r="O592" s="562"/>
      <c r="P592" s="562"/>
      <c r="Q592" s="562"/>
    </row>
    <row r="593" spans="1:17" ht="15" hidden="1" customHeight="1" outlineLevel="1" x14ac:dyDescent="0.25">
      <c r="A593" s="1096" t="b">
        <f t="shared" si="135"/>
        <v>0</v>
      </c>
      <c r="C593" s="35">
        <v>8</v>
      </c>
      <c r="D593" s="576" t="s">
        <v>2639</v>
      </c>
      <c r="E593" s="576">
        <v>3103302</v>
      </c>
      <c r="F593" s="577" t="s">
        <v>6477</v>
      </c>
      <c r="G593" s="37" t="str">
        <f>IFERROR(VLOOKUP(E593,SINAPI!A:D,2,0),"")</f>
        <v>Fôrmas de tábuas de pinho para dispositivos de drenagem - utilização de 3 vezes - confecção, instalação e retirada</v>
      </c>
      <c r="H593" s="578"/>
      <c r="I593" s="40" t="str">
        <f>IFERROR(VLOOKUP(E593,SINAPI!A:D,3,0),"")</f>
        <v>m²</v>
      </c>
      <c r="J593" s="579">
        <v>1</v>
      </c>
      <c r="K593" s="40">
        <f>IFERROR(VLOOKUP(E593,SINAPI!A:D,4,0),"")</f>
        <v>67.53</v>
      </c>
      <c r="L593" s="580">
        <f t="shared" si="136"/>
        <v>67.53</v>
      </c>
      <c r="M593" s="264"/>
      <c r="N593" s="562"/>
      <c r="O593" s="562"/>
      <c r="P593" s="562"/>
      <c r="Q593" s="562"/>
    </row>
    <row r="594" spans="1:17" ht="15" hidden="1" customHeight="1" outlineLevel="1" x14ac:dyDescent="0.25">
      <c r="A594" s="1096" t="b">
        <f t="shared" si="135"/>
        <v>0</v>
      </c>
      <c r="C594" s="739" t="s">
        <v>96</v>
      </c>
      <c r="D594" s="740"/>
      <c r="E594" s="740"/>
      <c r="F594" s="740"/>
      <c r="G594" s="740"/>
      <c r="H594" s="740"/>
      <c r="I594" s="740"/>
      <c r="J594" s="740"/>
      <c r="K594" s="741"/>
      <c r="L594" s="742">
        <f>SUM(L587:L593)</f>
        <v>3334.98</v>
      </c>
      <c r="M594" s="261"/>
      <c r="N594" s="562" t="str">
        <f>C586</f>
        <v>COMP 65</v>
      </c>
      <c r="O594" s="582">
        <f>L594</f>
        <v>3334.98</v>
      </c>
      <c r="P594" s="562"/>
      <c r="Q594" s="562"/>
    </row>
    <row r="595" spans="1:17" ht="15" hidden="1" customHeight="1" outlineLevel="1" thickBot="1" x14ac:dyDescent="0.3">
      <c r="A595" s="1096" t="b">
        <f>A594</f>
        <v>0</v>
      </c>
      <c r="C595" s="1105" t="s">
        <v>6472</v>
      </c>
      <c r="D595" s="231"/>
      <c r="E595" s="231"/>
      <c r="F595" s="231"/>
      <c r="G595" s="231"/>
      <c r="H595" s="231"/>
      <c r="I595" s="231"/>
      <c r="J595" s="231"/>
      <c r="K595" s="232"/>
      <c r="L595" s="581"/>
      <c r="M595" s="261"/>
      <c r="N595" s="562"/>
      <c r="O595" s="582"/>
      <c r="P595" s="562"/>
      <c r="Q595" s="562"/>
    </row>
    <row r="596" spans="1:17" ht="13.5" hidden="1" outlineLevel="1" x14ac:dyDescent="0.25">
      <c r="A596" s="699" t="b">
        <f>_xlfn.XOR(C596=$S$2,C596=$S$3,C596=$S$4,C596=$S$5,C596=$S$6,C596=$S$7,C596=$S$8,C596=$S$9,C596=$S$10,C596=$S$11,C596=$S$12,C596=$S$13,C596=$S$14,C596=$S$15,C596=$S$16,C596=$S$17,C596=$S$18,C596=$S$19,C596=$S$20,C596=$S$21,C596=$S$22,C596=$S$23,C596=$S$24,C596=$S$25,C596=$S$26,C596=$S$27,C596=$S$28,C596=$S$29,C596=$S$30,C596=$S$316,C596=$S$32,C596=$S$33,C596=$S$34,C596=$S$35,C596=$S$36,C596=$S$37,C596=$S$38,C596=$S$39,C596=$S$40,C596=$S$41,C596=$S$42,)</f>
        <v>0</v>
      </c>
      <c r="C596" s="569" t="s">
        <v>6750</v>
      </c>
      <c r="D596" s="570"/>
      <c r="E596" s="1669" t="str">
        <f>IFERROR(VLOOKUP(C596,SINAPI!A:D,2,0),"")</f>
        <v>Placa em aço - 0,60 x 1,00 m - película retrorrefletiva tipo I + I - fornecimento e implantação</v>
      </c>
      <c r="F596" s="1670"/>
      <c r="G596" s="1670"/>
      <c r="H596" s="1671"/>
      <c r="I596" s="572" t="str">
        <f>IFERROR(VLOOKUP(C596,SINAPI!A:D,3,0),"")</f>
        <v>und</v>
      </c>
      <c r="J596" s="573"/>
      <c r="K596" s="573" t="s">
        <v>2603</v>
      </c>
      <c r="L596" s="574" t="str">
        <f>IF(J596="","",ROUND(J596*#REF!,2))</f>
        <v/>
      </c>
      <c r="M596" s="575">
        <v>3</v>
      </c>
      <c r="N596" s="562"/>
      <c r="O596" s="562"/>
      <c r="P596" s="562"/>
      <c r="Q596" s="562"/>
    </row>
    <row r="597" spans="1:17" ht="15" hidden="1" customHeight="1" outlineLevel="1" x14ac:dyDescent="0.25">
      <c r="A597" s="1146" t="b">
        <f t="shared" ref="A597:A601" si="138">A596</f>
        <v>0</v>
      </c>
      <c r="C597" s="35">
        <v>1</v>
      </c>
      <c r="D597" s="576" t="s">
        <v>2639</v>
      </c>
      <c r="E597" s="576" t="s">
        <v>6458</v>
      </c>
      <c r="F597" s="577" t="s">
        <v>6462</v>
      </c>
      <c r="G597" s="37" t="str">
        <f>IFERROR(VLOOKUP(E597,SINAPI!A:D,2,0),"")</f>
        <v>Caminhão carroceria com capacidade de 5 t - 115 kW CHP</v>
      </c>
      <c r="H597" s="578"/>
      <c r="I597" s="40" t="str">
        <f>IFERROR(VLOOKUP(E597,SINAPI!A:D,3,0),"")</f>
        <v>h</v>
      </c>
      <c r="J597" s="579">
        <f>M597/$M$567</f>
        <v>0.15</v>
      </c>
      <c r="K597" s="40">
        <f>IFERROR(VLOOKUP(E597,SINAPI!A:D,4,0),"")</f>
        <v>159.11000000000001</v>
      </c>
      <c r="L597" s="580">
        <f>IF(J597="","",ROUND(J597*K597,2))</f>
        <v>23.87</v>
      </c>
      <c r="M597" s="264">
        <v>0.3</v>
      </c>
      <c r="N597" s="562"/>
      <c r="O597" s="562"/>
      <c r="P597" s="562"/>
      <c r="Q597" s="562"/>
    </row>
    <row r="598" spans="1:17" ht="15" hidden="1" customHeight="1" outlineLevel="1" x14ac:dyDescent="0.25">
      <c r="A598" s="1146" t="b">
        <f t="shared" si="138"/>
        <v>0</v>
      </c>
      <c r="C598" s="35">
        <v>2</v>
      </c>
      <c r="D598" s="576" t="s">
        <v>2639</v>
      </c>
      <c r="E598" s="576" t="s">
        <v>6459</v>
      </c>
      <c r="F598" s="577" t="s">
        <v>6463</v>
      </c>
      <c r="G598" s="37" t="str">
        <f>IFERROR(VLOOKUP(E598,SINAPI!A:D,2,0),"")</f>
        <v>Caminhão carroceria com capacidade de 5 t - 115 kW CHI</v>
      </c>
      <c r="H598" s="578"/>
      <c r="I598" s="40" t="str">
        <f>IFERROR(VLOOKUP(E598,SINAPI!A:D,3,0),"")</f>
        <v>h</v>
      </c>
      <c r="J598" s="579">
        <f>M598/$M$567</f>
        <v>0.35</v>
      </c>
      <c r="K598" s="40">
        <f>IFERROR(VLOOKUP(E598,SINAPI!A:D,4,0),"")</f>
        <v>52.72</v>
      </c>
      <c r="L598" s="580">
        <f t="shared" ref="L598:L601" si="139">IF(J598="","",ROUND(J598*K598,2))</f>
        <v>18.45</v>
      </c>
      <c r="M598" s="264">
        <v>0.7</v>
      </c>
      <c r="N598" s="562"/>
      <c r="O598" s="562"/>
      <c r="P598" s="562"/>
      <c r="Q598" s="562"/>
    </row>
    <row r="599" spans="1:17" ht="15" hidden="1" customHeight="1" outlineLevel="1" x14ac:dyDescent="0.25">
      <c r="A599" s="1146" t="b">
        <f t="shared" si="138"/>
        <v>0</v>
      </c>
      <c r="C599" s="35">
        <v>3</v>
      </c>
      <c r="D599" s="576" t="s">
        <v>2639</v>
      </c>
      <c r="E599" s="576" t="s">
        <v>6457</v>
      </c>
      <c r="F599" s="577" t="s">
        <v>4627</v>
      </c>
      <c r="G599" s="37" t="str">
        <f>IFERROR(VLOOKUP(E599,SINAPI!A:D,2,0),"")</f>
        <v>Montador</v>
      </c>
      <c r="H599" s="578"/>
      <c r="I599" s="40" t="str">
        <f>IFERROR(VLOOKUP(E599,SINAPI!A:D,3,0),"")</f>
        <v>h</v>
      </c>
      <c r="J599" s="579">
        <f t="shared" ref="J599:J600" si="140">M599/$M$567</f>
        <v>0.5</v>
      </c>
      <c r="K599" s="40">
        <f>IFERROR(VLOOKUP(E599,SINAPI!A:D,4,0),"")</f>
        <v>9.89</v>
      </c>
      <c r="L599" s="580">
        <f t="shared" si="139"/>
        <v>4.95</v>
      </c>
      <c r="M599" s="264">
        <v>1</v>
      </c>
      <c r="N599" s="562"/>
      <c r="O599" s="562"/>
      <c r="P599" s="562"/>
      <c r="Q599" s="562"/>
    </row>
    <row r="600" spans="1:17" ht="15" hidden="1" customHeight="1" outlineLevel="1" x14ac:dyDescent="0.25">
      <c r="A600" s="1146" t="b">
        <f t="shared" si="138"/>
        <v>0</v>
      </c>
      <c r="C600" s="35">
        <v>4</v>
      </c>
      <c r="D600" s="576" t="s">
        <v>2639</v>
      </c>
      <c r="E600" s="576" t="s">
        <v>6398</v>
      </c>
      <c r="F600" s="577" t="s">
        <v>2740</v>
      </c>
      <c r="G600" s="37" t="str">
        <f>IFERROR(VLOOKUP(E600,SINAPI!A:D,2,0),"")</f>
        <v>Servente</v>
      </c>
      <c r="H600" s="578"/>
      <c r="I600" s="40" t="str">
        <f>IFERROR(VLOOKUP(E600,SINAPI!A:D,3,0),"")</f>
        <v>h</v>
      </c>
      <c r="J600" s="579">
        <f t="shared" si="140"/>
        <v>1</v>
      </c>
      <c r="K600" s="40">
        <f>IFERROR(VLOOKUP(E600,SINAPI!A:D,4,0),"")</f>
        <v>6.61</v>
      </c>
      <c r="L600" s="580">
        <f t="shared" si="139"/>
        <v>6.61</v>
      </c>
      <c r="M600" s="264">
        <v>2</v>
      </c>
      <c r="N600" s="562"/>
      <c r="O600" s="562"/>
      <c r="P600" s="562"/>
      <c r="Q600" s="562"/>
    </row>
    <row r="601" spans="1:17" ht="15" hidden="1" customHeight="1" outlineLevel="1" x14ac:dyDescent="0.25">
      <c r="A601" s="1146" t="b">
        <f t="shared" si="138"/>
        <v>0</v>
      </c>
      <c r="C601" s="35">
        <v>5</v>
      </c>
      <c r="D601" s="576" t="s">
        <v>2639</v>
      </c>
      <c r="E601" s="576">
        <v>5213416</v>
      </c>
      <c r="F601" s="577" t="str">
        <f>G601</f>
        <v>Placa em aço nº 16 galvanizado com película retrorrefletiva tipo I + I - confecção</v>
      </c>
      <c r="G601" s="37" t="str">
        <f>IFERROR(VLOOKUP(E601,SINAPI!A:D,2,0),"")</f>
        <v>Placa em aço nº 16 galvanizado com película retrorrefletiva tipo I + I - confecção</v>
      </c>
      <c r="H601" s="578"/>
      <c r="I601" s="40" t="str">
        <f>IFERROR(VLOOKUP(E601,SINAPI!A:D,3,0),"")</f>
        <v>m²</v>
      </c>
      <c r="J601" s="579">
        <f>M601*M602</f>
        <v>0.6</v>
      </c>
      <c r="K601" s="40">
        <f>IFERROR(VLOOKUP(E601,SINAPI!A:D,4,0),"")</f>
        <v>411.36</v>
      </c>
      <c r="L601" s="580">
        <f t="shared" si="139"/>
        <v>246.82</v>
      </c>
      <c r="M601" s="264">
        <v>0.6</v>
      </c>
      <c r="N601" s="562"/>
      <c r="O601" s="562"/>
      <c r="P601" s="562"/>
      <c r="Q601" s="562"/>
    </row>
    <row r="602" spans="1:17" ht="15" hidden="1" customHeight="1" outlineLevel="1" x14ac:dyDescent="0.25">
      <c r="A602" s="1146" t="b">
        <f>A601</f>
        <v>0</v>
      </c>
      <c r="C602" s="739" t="s">
        <v>96</v>
      </c>
      <c r="D602" s="740"/>
      <c r="E602" s="740"/>
      <c r="F602" s="740"/>
      <c r="G602" s="740"/>
      <c r="H602" s="740"/>
      <c r="I602" s="740"/>
      <c r="J602" s="740"/>
      <c r="K602" s="741"/>
      <c r="L602" s="742">
        <f>SUM(L597:L601)</f>
        <v>300.7</v>
      </c>
      <c r="M602" s="261">
        <v>1</v>
      </c>
      <c r="N602" s="562" t="str">
        <f>C596</f>
        <v>COMP 66</v>
      </c>
      <c r="O602" s="582">
        <f>L602</f>
        <v>300.7</v>
      </c>
      <c r="P602" s="562"/>
      <c r="Q602" s="562"/>
    </row>
    <row r="603" spans="1:17" ht="15" hidden="1" customHeight="1" outlineLevel="1" thickBot="1" x14ac:dyDescent="0.3">
      <c r="A603" s="1146" t="b">
        <f>A602</f>
        <v>0</v>
      </c>
      <c r="C603" s="1105" t="s">
        <v>6751</v>
      </c>
      <c r="D603" s="231"/>
      <c r="E603" s="231"/>
      <c r="F603" s="231"/>
      <c r="G603" s="231"/>
      <c r="H603" s="231"/>
      <c r="I603" s="231"/>
      <c r="J603" s="231"/>
      <c r="K603" s="232"/>
      <c r="L603" s="581"/>
      <c r="M603" s="261"/>
      <c r="N603" s="562"/>
      <c r="O603" s="582"/>
      <c r="P603" s="562"/>
      <c r="Q603" s="562"/>
    </row>
    <row r="604" spans="1:17" ht="13.5" hidden="1" outlineLevel="1" x14ac:dyDescent="0.25">
      <c r="A604" s="699" t="b">
        <f>_xlfn.XOR(C604=$S$2,C604=$S$3,C604=$S$4,C604=$S$5,C604=$S$6,C604=$S$7,C604=$S$8,C604=$S$9,C604=$S$10,C604=$S$11,C604=$S$12,C604=$S$13,C604=$S$14,C604=$S$15,C604=$S$16,C604=$S$17,C604=$S$18,C604=$S$19,C604=$S$20,C604=$S$21,C604=$S$22,C604=$S$23,C604=$S$24,C604=$S$25,C604=$S$26,C604=$S$27,C604=$S$28,C604=$S$29,C604=$S$30,C604=$S$316,C604=$S$32,C604=$S$33,C604=$S$34,C604=$S$35,C604=$S$36,C604=$S$37,C604=$S$38,C604=$S$39,C604=$S$40,C604=$S$41,C604=$S$42,)</f>
        <v>0</v>
      </c>
      <c r="C604" s="569" t="s">
        <v>6752</v>
      </c>
      <c r="D604" s="570"/>
      <c r="E604" s="1669" t="str">
        <f>IFERROR(VLOOKUP(C604,SINAPI!A:D,2,0),"")</f>
        <v>Suporte metálico galvanizado para placas - 0,60 x 1,00 m - fornecimento e implantação</v>
      </c>
      <c r="F604" s="1670"/>
      <c r="G604" s="1670"/>
      <c r="H604" s="1671"/>
      <c r="I604" s="572" t="str">
        <f>IFERROR(VLOOKUP(C604,SINAPI!A:D,3,0),"")</f>
        <v>und</v>
      </c>
      <c r="J604" s="573"/>
      <c r="K604" s="573" t="s">
        <v>2603</v>
      </c>
      <c r="L604" s="574" t="str">
        <f>IF(J604="","",ROUND(J604*#REF!,2))</f>
        <v/>
      </c>
      <c r="M604" s="575">
        <v>4.2</v>
      </c>
      <c r="N604" s="562"/>
      <c r="O604" s="562"/>
      <c r="P604" s="562"/>
      <c r="Q604" s="562"/>
    </row>
    <row r="605" spans="1:17" ht="15" hidden="1" customHeight="1" outlineLevel="1" x14ac:dyDescent="0.25">
      <c r="A605" s="1146" t="b">
        <f t="shared" ref="A605:A610" si="141">A604</f>
        <v>0</v>
      </c>
      <c r="C605" s="35">
        <v>1</v>
      </c>
      <c r="D605" s="576" t="s">
        <v>2639</v>
      </c>
      <c r="E605" s="576" t="s">
        <v>6458</v>
      </c>
      <c r="F605" s="577" t="s">
        <v>6462</v>
      </c>
      <c r="G605" s="37" t="str">
        <f>IFERROR(VLOOKUP(E605,SINAPI!A:D,2,0),"")</f>
        <v>Caminhão carroceria com capacidade de 5 t - 115 kW CHP</v>
      </c>
      <c r="H605" s="578"/>
      <c r="I605" s="40" t="str">
        <f>IFERROR(VLOOKUP(E605,SINAPI!A:D,3,0),"")</f>
        <v>h</v>
      </c>
      <c r="J605" s="579">
        <f>M605/$M$567</f>
        <v>0.15</v>
      </c>
      <c r="K605" s="40">
        <f>IFERROR(VLOOKUP(E605,SINAPI!A:D,4,0),"")</f>
        <v>159.11000000000001</v>
      </c>
      <c r="L605" s="580">
        <f>IF(J605="","",ROUND(J605*K605,2))</f>
        <v>23.87</v>
      </c>
      <c r="M605" s="264">
        <v>0.3</v>
      </c>
      <c r="N605" s="562"/>
      <c r="O605" s="562"/>
      <c r="P605" s="562"/>
      <c r="Q605" s="562"/>
    </row>
    <row r="606" spans="1:17" ht="15" hidden="1" customHeight="1" outlineLevel="1" x14ac:dyDescent="0.25">
      <c r="A606" s="1146" t="b">
        <f t="shared" si="141"/>
        <v>0</v>
      </c>
      <c r="C606" s="35">
        <v>2</v>
      </c>
      <c r="D606" s="576" t="s">
        <v>2639</v>
      </c>
      <c r="E606" s="576" t="s">
        <v>6459</v>
      </c>
      <c r="F606" s="577" t="s">
        <v>6463</v>
      </c>
      <c r="G606" s="37" t="str">
        <f>IFERROR(VLOOKUP(E606,SINAPI!A:D,2,0),"")</f>
        <v>Caminhão carroceria com capacidade de 5 t - 115 kW CHI</v>
      </c>
      <c r="H606" s="578"/>
      <c r="I606" s="40" t="str">
        <f>IFERROR(VLOOKUP(E606,SINAPI!A:D,3,0),"")</f>
        <v>h</v>
      </c>
      <c r="J606" s="579">
        <f>M606/$M$567</f>
        <v>0.35</v>
      </c>
      <c r="K606" s="40">
        <f>IFERROR(VLOOKUP(E606,SINAPI!A:D,4,0),"")</f>
        <v>52.72</v>
      </c>
      <c r="L606" s="580">
        <f t="shared" ref="L606:L612" si="142">IF(J606="","",ROUND(J606*K606,2))</f>
        <v>18.45</v>
      </c>
      <c r="M606" s="264">
        <v>0.7</v>
      </c>
      <c r="N606" s="562"/>
      <c r="O606" s="562"/>
      <c r="P606" s="562"/>
      <c r="Q606" s="562"/>
    </row>
    <row r="607" spans="1:17" ht="15" hidden="1" customHeight="1" outlineLevel="1" x14ac:dyDescent="0.25">
      <c r="A607" s="1146" t="b">
        <f t="shared" si="141"/>
        <v>0</v>
      </c>
      <c r="C607" s="35">
        <v>3</v>
      </c>
      <c r="D607" s="576" t="s">
        <v>2639</v>
      </c>
      <c r="E607" s="576" t="s">
        <v>6457</v>
      </c>
      <c r="F607" s="577" t="s">
        <v>4627</v>
      </c>
      <c r="G607" s="37" t="str">
        <f>IFERROR(VLOOKUP(E607,SINAPI!A:D,2,0),"")</f>
        <v>Montador</v>
      </c>
      <c r="H607" s="578"/>
      <c r="I607" s="40" t="str">
        <f>IFERROR(VLOOKUP(E607,SINAPI!A:D,3,0),"")</f>
        <v>h</v>
      </c>
      <c r="J607" s="579">
        <f t="shared" ref="J607:J608" si="143">M607/$M$567</f>
        <v>0.5</v>
      </c>
      <c r="K607" s="40">
        <f>IFERROR(VLOOKUP(E607,SINAPI!A:D,4,0),"")</f>
        <v>9.89</v>
      </c>
      <c r="L607" s="580">
        <f t="shared" si="142"/>
        <v>4.95</v>
      </c>
      <c r="M607" s="264">
        <v>1</v>
      </c>
      <c r="N607" s="562"/>
      <c r="O607" s="562"/>
      <c r="P607" s="562"/>
      <c r="Q607" s="562"/>
    </row>
    <row r="608" spans="1:17" ht="15" hidden="1" customHeight="1" outlineLevel="1" x14ac:dyDescent="0.25">
      <c r="A608" s="1146" t="b">
        <f t="shared" si="141"/>
        <v>0</v>
      </c>
      <c r="C608" s="35">
        <v>4</v>
      </c>
      <c r="D608" s="576" t="s">
        <v>2639</v>
      </c>
      <c r="E608" s="576" t="s">
        <v>6398</v>
      </c>
      <c r="F608" s="577" t="s">
        <v>2740</v>
      </c>
      <c r="G608" s="37" t="str">
        <f>IFERROR(VLOOKUP(E608,SINAPI!A:D,2,0),"")</f>
        <v>Servente</v>
      </c>
      <c r="H608" s="578"/>
      <c r="I608" s="40" t="str">
        <f>IFERROR(VLOOKUP(E608,SINAPI!A:D,3,0),"")</f>
        <v>h</v>
      </c>
      <c r="J608" s="579">
        <f t="shared" si="143"/>
        <v>0.5</v>
      </c>
      <c r="K608" s="40">
        <f>IFERROR(VLOOKUP(E608,SINAPI!A:D,4,0),"")</f>
        <v>6.61</v>
      </c>
      <c r="L608" s="580">
        <f t="shared" si="142"/>
        <v>3.31</v>
      </c>
      <c r="M608" s="264">
        <v>1</v>
      </c>
      <c r="N608" s="562"/>
      <c r="O608" s="562"/>
      <c r="P608" s="562"/>
      <c r="Q608" s="562"/>
    </row>
    <row r="609" spans="1:17" ht="25.5" hidden="1" outlineLevel="1" x14ac:dyDescent="0.25">
      <c r="A609" s="1146" t="b">
        <f t="shared" si="141"/>
        <v>0</v>
      </c>
      <c r="C609" s="35">
        <v>5</v>
      </c>
      <c r="D609" s="576" t="s">
        <v>2639</v>
      </c>
      <c r="E609" s="576" t="s">
        <v>6465</v>
      </c>
      <c r="F609" s="577" t="str">
        <f>G609</f>
        <v>Conjunto para fixação de placas em aço galvanizado composto por barra chata, abraçadeira, parafusos, porcas e arruelas</v>
      </c>
      <c r="G609" s="37" t="str">
        <f>IFERROR(VLOOKUP(E609,SINAPI!A:D,2,0),"")</f>
        <v>Conjunto para fixação de placas em aço galvanizado composto por barra chata, abraçadeira, parafusos, porcas e arruelas</v>
      </c>
      <c r="H609" s="578"/>
      <c r="I609" s="40" t="str">
        <f>IFERROR(VLOOKUP(E609,SINAPI!A:D,3,0),"")</f>
        <v>kg</v>
      </c>
      <c r="J609" s="579">
        <f>M609*O609/N609</f>
        <v>1.1603000000000001</v>
      </c>
      <c r="K609" s="40">
        <f>IFERROR(VLOOKUP(E609,SINAPI!A:D,4,0),"")</f>
        <v>23.83</v>
      </c>
      <c r="L609" s="580">
        <f t="shared" si="142"/>
        <v>27.65</v>
      </c>
      <c r="M609" s="264">
        <v>1.3924000000000001</v>
      </c>
      <c r="N609" s="562">
        <v>6</v>
      </c>
      <c r="O609" s="562">
        <v>5</v>
      </c>
      <c r="P609" s="562"/>
      <c r="Q609" s="562"/>
    </row>
    <row r="610" spans="1:17" ht="15" hidden="1" customHeight="1" outlineLevel="1" x14ac:dyDescent="0.25">
      <c r="A610" s="1146" t="b">
        <f t="shared" si="141"/>
        <v>0</v>
      </c>
      <c r="C610" s="35">
        <v>6</v>
      </c>
      <c r="D610" s="576" t="s">
        <v>2639</v>
      </c>
      <c r="E610" s="576" t="s">
        <v>6467</v>
      </c>
      <c r="F610" s="577" t="str">
        <f>G610</f>
        <v>Suporte em aço-carbono galvanizado tipo perfil C para placa de sinalização</v>
      </c>
      <c r="G610" s="37" t="str">
        <f>IFERROR(VLOOKUP(E610,SINAPI!A:D,2,0),"")</f>
        <v>Suporte em aço-carbono galvanizado tipo perfil C para placa de sinalização</v>
      </c>
      <c r="H610" s="578"/>
      <c r="I610" s="40" t="str">
        <f>IFERROR(VLOOKUP(E610,SINAPI!A:D,3,0),"")</f>
        <v>kg</v>
      </c>
      <c r="J610" s="579">
        <f>M610*O610/N610</f>
        <v>12.56</v>
      </c>
      <c r="K610" s="40">
        <f>IFERROR(VLOOKUP(E610,SINAPI!A:D,4,0),"")</f>
        <v>28.97</v>
      </c>
      <c r="L610" s="580">
        <f t="shared" si="142"/>
        <v>363.86</v>
      </c>
      <c r="M610" s="264">
        <v>15.071999999999999</v>
      </c>
      <c r="N610" s="562">
        <v>6</v>
      </c>
      <c r="O610" s="562">
        <v>5</v>
      </c>
      <c r="P610" s="562"/>
      <c r="Q610" s="562"/>
    </row>
    <row r="611" spans="1:17" ht="25.5" hidden="1" outlineLevel="1" x14ac:dyDescent="0.25">
      <c r="A611" s="1146" t="b">
        <f>A609</f>
        <v>0</v>
      </c>
      <c r="C611" s="35">
        <v>7</v>
      </c>
      <c r="D611" s="576" t="s">
        <v>2639</v>
      </c>
      <c r="E611" s="576">
        <v>1107892</v>
      </c>
      <c r="F611" s="577" t="str">
        <f>G611</f>
        <v>Concreto fck = 20 MPa - confecção em betoneira e lançamento manual - areia e brita comerciais</v>
      </c>
      <c r="G611" s="37" t="str">
        <f>IFERROR(VLOOKUP(E611,SINAPI!A:D,2,0),"")</f>
        <v>Concreto fck = 20 MPa - confecção em betoneira e lançamento manual - areia e brita comerciais</v>
      </c>
      <c r="H611" s="578"/>
      <c r="I611" s="40" t="str">
        <f>IFERROR(VLOOKUP(E611,SINAPI!A:D,3,0),"")</f>
        <v>m³</v>
      </c>
      <c r="J611" s="579">
        <v>9.8199999999999996E-2</v>
      </c>
      <c r="K611" s="40">
        <f>IFERROR(VLOOKUP(E611,SINAPI!A:D,4,0),"")</f>
        <v>449.57</v>
      </c>
      <c r="L611" s="580">
        <f t="shared" si="142"/>
        <v>44.15</v>
      </c>
      <c r="M611" s="264"/>
      <c r="N611" s="562"/>
      <c r="O611" s="562"/>
      <c r="P611" s="562"/>
      <c r="Q611" s="562"/>
    </row>
    <row r="612" spans="1:17" ht="15" hidden="1" customHeight="1" outlineLevel="1" x14ac:dyDescent="0.25">
      <c r="A612" s="1146" t="b">
        <f>A610</f>
        <v>0</v>
      </c>
      <c r="C612" s="35">
        <v>8</v>
      </c>
      <c r="D612" s="576" t="s">
        <v>2639</v>
      </c>
      <c r="E612" s="576">
        <v>4805750</v>
      </c>
      <c r="F612" s="577" t="str">
        <f>G612</f>
        <v>Escavação manual em material de 1ª categoria na profundidade de até 1 m</v>
      </c>
      <c r="G612" s="37" t="str">
        <f>IFERROR(VLOOKUP(E612,SINAPI!A:D,2,0),"")</f>
        <v>Escavação manual em material de 1ª categoria na profundidade de até 1 m</v>
      </c>
      <c r="H612" s="578"/>
      <c r="I612" s="40" t="str">
        <f>IFERROR(VLOOKUP(E612,SINAPI!A:D,3,0),"")</f>
        <v>m³</v>
      </c>
      <c r="J612" s="579">
        <v>9.8199999999999996E-2</v>
      </c>
      <c r="K612" s="40">
        <f>IFERROR(VLOOKUP(E612,SINAPI!A:D,4,0),"")</f>
        <v>40.950000000000003</v>
      </c>
      <c r="L612" s="580">
        <f t="shared" si="142"/>
        <v>4.0199999999999996</v>
      </c>
      <c r="M612" s="264"/>
      <c r="N612" s="562"/>
      <c r="O612" s="562"/>
      <c r="P612" s="562"/>
      <c r="Q612" s="562"/>
    </row>
    <row r="613" spans="1:17" ht="15" hidden="1" customHeight="1" outlineLevel="1" x14ac:dyDescent="0.25">
      <c r="A613" s="1146" t="b">
        <f>A609</f>
        <v>0</v>
      </c>
      <c r="C613" s="739" t="s">
        <v>96</v>
      </c>
      <c r="D613" s="740"/>
      <c r="E613" s="740"/>
      <c r="F613" s="740"/>
      <c r="G613" s="740"/>
      <c r="H613" s="740"/>
      <c r="I613" s="740"/>
      <c r="J613" s="740"/>
      <c r="K613" s="741"/>
      <c r="L613" s="742">
        <f>SUM(L605:L612)</f>
        <v>490.26</v>
      </c>
      <c r="M613" s="261"/>
      <c r="N613" s="562" t="str">
        <f>C604</f>
        <v>COMP 67</v>
      </c>
      <c r="O613" s="582">
        <f>L613</f>
        <v>490.26</v>
      </c>
      <c r="P613" s="562"/>
      <c r="Q613" s="562"/>
    </row>
    <row r="614" spans="1:17" ht="15" hidden="1" customHeight="1" outlineLevel="1" thickBot="1" x14ac:dyDescent="0.3">
      <c r="A614" s="1146" t="b">
        <f>A613</f>
        <v>0</v>
      </c>
      <c r="C614" s="1105" t="s">
        <v>6754</v>
      </c>
      <c r="D614" s="231"/>
      <c r="E614" s="231"/>
      <c r="F614" s="231"/>
      <c r="G614" s="231"/>
      <c r="H614" s="231"/>
      <c r="I614" s="231"/>
      <c r="J614" s="231"/>
      <c r="K614" s="232"/>
      <c r="L614" s="581"/>
      <c r="M614" s="261"/>
      <c r="N614" s="562"/>
      <c r="O614" s="582"/>
      <c r="P614" s="562"/>
      <c r="Q614" s="562"/>
    </row>
    <row r="615" spans="1:17" ht="13.5" hidden="1" outlineLevel="1" x14ac:dyDescent="0.25">
      <c r="A615" s="699" t="b">
        <f>_xlfn.XOR(C615=$S$2,C615=$S$3,C615=$S$4,C615=$S$5,C615=$S$6,C615=$S$7,C615=$S$8,C615=$S$9,C615=$S$10,C615=$S$11,C615=$S$12,C615=$S$13,C615=$S$14,C615=$S$15,C615=$S$16,C615=$S$17,C615=$S$18,C615=$S$19,C615=$S$20,C615=$S$21,C615=$S$22,C615=$S$23,C615=$S$24,C615=$S$25,C615=$S$26,C615=$S$27,C615=$S$28,C615=$S$29,C615=$S$30,C615=$S$316,C615=$S$32,C615=$S$33,C615=$S$34,C615=$S$35,C615=$S$36,C615=$S$37,C615=$S$38,C615=$S$39,C615=$S$40,C615=$S$41,C615=$S$42,)</f>
        <v>0</v>
      </c>
      <c r="C615" s="569" t="s">
        <v>7254</v>
      </c>
      <c r="D615" s="570"/>
      <c r="E615" s="1669" t="str">
        <f>IFERROR(VLOOKUP(C615,SINAPI!A:D,2,0),"")</f>
        <v>Placa em aço - 0,60 x 0,67 m - película retrorrefletiva tipo I + I - fornecimento e implantação</v>
      </c>
      <c r="F615" s="1670"/>
      <c r="G615" s="1670"/>
      <c r="H615" s="1671"/>
      <c r="I615" s="572" t="str">
        <f>IFERROR(VLOOKUP(C615,SINAPI!A:D,3,0),"")</f>
        <v>und</v>
      </c>
      <c r="J615" s="573"/>
      <c r="K615" s="573" t="s">
        <v>2603</v>
      </c>
      <c r="L615" s="574" t="str">
        <f>IF(J615="","",ROUND(J615*#REF!,2))</f>
        <v/>
      </c>
      <c r="M615" s="575">
        <v>3</v>
      </c>
      <c r="N615" s="562"/>
      <c r="O615" s="562"/>
      <c r="P615" s="562"/>
      <c r="Q615" s="562"/>
    </row>
    <row r="616" spans="1:17" ht="15" hidden="1" customHeight="1" outlineLevel="1" x14ac:dyDescent="0.25">
      <c r="A616" s="1403" t="b">
        <f t="shared" ref="A616:A620" si="144">A615</f>
        <v>0</v>
      </c>
      <c r="C616" s="35">
        <v>1</v>
      </c>
      <c r="D616" s="576" t="s">
        <v>2639</v>
      </c>
      <c r="E616" s="576" t="s">
        <v>6458</v>
      </c>
      <c r="F616" s="577" t="s">
        <v>6462</v>
      </c>
      <c r="G616" s="37" t="str">
        <f>IFERROR(VLOOKUP(E616,SINAPI!A:D,2,0),"")</f>
        <v>Caminhão carroceria com capacidade de 5 t - 115 kW CHP</v>
      </c>
      <c r="H616" s="578"/>
      <c r="I616" s="40" t="str">
        <f>IFERROR(VLOOKUP(E616,SINAPI!A:D,3,0),"")</f>
        <v>h</v>
      </c>
      <c r="J616" s="579">
        <f>M616/$M$567</f>
        <v>0.15</v>
      </c>
      <c r="K616" s="40">
        <f>IFERROR(VLOOKUP(E616,SINAPI!A:D,4,0),"")</f>
        <v>159.11000000000001</v>
      </c>
      <c r="L616" s="580">
        <f>IF(J616="","",ROUND(J616*K616,2))</f>
        <v>23.87</v>
      </c>
      <c r="M616" s="264">
        <v>0.3</v>
      </c>
      <c r="N616" s="562"/>
      <c r="O616" s="562"/>
      <c r="P616" s="562"/>
      <c r="Q616" s="562"/>
    </row>
    <row r="617" spans="1:17" ht="15" hidden="1" customHeight="1" outlineLevel="1" x14ac:dyDescent="0.25">
      <c r="A617" s="1403" t="b">
        <f t="shared" si="144"/>
        <v>0</v>
      </c>
      <c r="C617" s="35">
        <v>2</v>
      </c>
      <c r="D617" s="576" t="s">
        <v>2639</v>
      </c>
      <c r="E617" s="576" t="s">
        <v>6459</v>
      </c>
      <c r="F617" s="577" t="s">
        <v>6463</v>
      </c>
      <c r="G617" s="37" t="str">
        <f>IFERROR(VLOOKUP(E617,SINAPI!A:D,2,0),"")</f>
        <v>Caminhão carroceria com capacidade de 5 t - 115 kW CHI</v>
      </c>
      <c r="H617" s="578"/>
      <c r="I617" s="40" t="str">
        <f>IFERROR(VLOOKUP(E617,SINAPI!A:D,3,0),"")</f>
        <v>h</v>
      </c>
      <c r="J617" s="579">
        <f>M617/$M$567</f>
        <v>0.35</v>
      </c>
      <c r="K617" s="40">
        <f>IFERROR(VLOOKUP(E617,SINAPI!A:D,4,0),"")</f>
        <v>52.72</v>
      </c>
      <c r="L617" s="580">
        <f t="shared" ref="L617:L620" si="145">IF(J617="","",ROUND(J617*K617,2))</f>
        <v>18.45</v>
      </c>
      <c r="M617" s="264">
        <v>0.7</v>
      </c>
      <c r="N617" s="562"/>
      <c r="O617" s="562"/>
      <c r="P617" s="562"/>
      <c r="Q617" s="562"/>
    </row>
    <row r="618" spans="1:17" ht="15" hidden="1" customHeight="1" outlineLevel="1" x14ac:dyDescent="0.25">
      <c r="A618" s="1403" t="b">
        <f t="shared" si="144"/>
        <v>0</v>
      </c>
      <c r="C618" s="35">
        <v>3</v>
      </c>
      <c r="D618" s="576" t="s">
        <v>2639</v>
      </c>
      <c r="E618" s="576" t="s">
        <v>6457</v>
      </c>
      <c r="F618" s="577" t="s">
        <v>4627</v>
      </c>
      <c r="G618" s="37" t="str">
        <f>IFERROR(VLOOKUP(E618,SINAPI!A:D,2,0),"")</f>
        <v>Montador</v>
      </c>
      <c r="H618" s="578"/>
      <c r="I618" s="40" t="str">
        <f>IFERROR(VLOOKUP(E618,SINAPI!A:D,3,0),"")</f>
        <v>h</v>
      </c>
      <c r="J618" s="579">
        <f t="shared" ref="J618:J619" si="146">M618/$M$567</f>
        <v>0.5</v>
      </c>
      <c r="K618" s="40">
        <f>IFERROR(VLOOKUP(E618,SINAPI!A:D,4,0),"")</f>
        <v>9.89</v>
      </c>
      <c r="L618" s="580">
        <f t="shared" si="145"/>
        <v>4.95</v>
      </c>
      <c r="M618" s="264">
        <v>1</v>
      </c>
      <c r="N618" s="562"/>
      <c r="O618" s="562"/>
      <c r="P618" s="562"/>
      <c r="Q618" s="562"/>
    </row>
    <row r="619" spans="1:17" ht="15" hidden="1" customHeight="1" outlineLevel="1" x14ac:dyDescent="0.25">
      <c r="A619" s="1403" t="b">
        <f t="shared" si="144"/>
        <v>0</v>
      </c>
      <c r="C619" s="35">
        <v>4</v>
      </c>
      <c r="D619" s="576" t="s">
        <v>2639</v>
      </c>
      <c r="E619" s="576" t="s">
        <v>6398</v>
      </c>
      <c r="F619" s="577" t="s">
        <v>2740</v>
      </c>
      <c r="G619" s="37" t="str">
        <f>IFERROR(VLOOKUP(E619,SINAPI!A:D,2,0),"")</f>
        <v>Servente</v>
      </c>
      <c r="H619" s="578"/>
      <c r="I619" s="40" t="str">
        <f>IFERROR(VLOOKUP(E619,SINAPI!A:D,3,0),"")</f>
        <v>h</v>
      </c>
      <c r="J619" s="579">
        <f t="shared" si="146"/>
        <v>1</v>
      </c>
      <c r="K619" s="40">
        <f>IFERROR(VLOOKUP(E619,SINAPI!A:D,4,0),"")</f>
        <v>6.61</v>
      </c>
      <c r="L619" s="580">
        <f t="shared" si="145"/>
        <v>6.61</v>
      </c>
      <c r="M619" s="264">
        <v>2</v>
      </c>
      <c r="N619" s="562"/>
      <c r="O619" s="562"/>
      <c r="P619" s="562"/>
      <c r="Q619" s="562"/>
    </row>
    <row r="620" spans="1:17" ht="15" hidden="1" customHeight="1" outlineLevel="1" x14ac:dyDescent="0.25">
      <c r="A620" s="1403" t="b">
        <f t="shared" si="144"/>
        <v>0</v>
      </c>
      <c r="C620" s="35">
        <v>5</v>
      </c>
      <c r="D620" s="576" t="s">
        <v>2639</v>
      </c>
      <c r="E620" s="576">
        <v>5213416</v>
      </c>
      <c r="F620" s="577" t="str">
        <f>G620</f>
        <v>Placa em aço nº 16 galvanizado com película retrorrefletiva tipo I + I - confecção</v>
      </c>
      <c r="G620" s="37" t="str">
        <f>IFERROR(VLOOKUP(E620,SINAPI!A:D,2,0),"")</f>
        <v>Placa em aço nº 16 galvanizado com película retrorrefletiva tipo I + I - confecção</v>
      </c>
      <c r="H620" s="578"/>
      <c r="I620" s="40" t="str">
        <f>IFERROR(VLOOKUP(E620,SINAPI!A:D,3,0),"")</f>
        <v>m²</v>
      </c>
      <c r="J620" s="579">
        <f>M620*M621</f>
        <v>0.40200000000000002</v>
      </c>
      <c r="K620" s="40">
        <f>IFERROR(VLOOKUP(E620,SINAPI!A:D,4,0),"")</f>
        <v>411.36</v>
      </c>
      <c r="L620" s="580">
        <f t="shared" si="145"/>
        <v>165.37</v>
      </c>
      <c r="M620" s="264">
        <v>0.6</v>
      </c>
      <c r="N620" s="562"/>
      <c r="O620" s="562"/>
      <c r="P620" s="562"/>
      <c r="Q620" s="562"/>
    </row>
    <row r="621" spans="1:17" ht="15" hidden="1" customHeight="1" outlineLevel="1" x14ac:dyDescent="0.25">
      <c r="A621" s="1403" t="b">
        <f>A620</f>
        <v>0</v>
      </c>
      <c r="C621" s="739" t="s">
        <v>96</v>
      </c>
      <c r="D621" s="740"/>
      <c r="E621" s="740"/>
      <c r="F621" s="740"/>
      <c r="G621" s="740"/>
      <c r="H621" s="740"/>
      <c r="I621" s="740"/>
      <c r="J621" s="740"/>
      <c r="K621" s="741"/>
      <c r="L621" s="742">
        <f>SUM(L616:L620)</f>
        <v>219.25</v>
      </c>
      <c r="M621" s="261">
        <v>0.67</v>
      </c>
      <c r="N621" s="562" t="str">
        <f>C615</f>
        <v>COMP 68</v>
      </c>
      <c r="O621" s="582">
        <f>L621</f>
        <v>219.25</v>
      </c>
      <c r="P621" s="562"/>
      <c r="Q621" s="562"/>
    </row>
    <row r="622" spans="1:17" ht="15" hidden="1" customHeight="1" outlineLevel="1" thickBot="1" x14ac:dyDescent="0.3">
      <c r="A622" s="1403" t="b">
        <f>A621</f>
        <v>0</v>
      </c>
      <c r="C622" s="1105" t="s">
        <v>6751</v>
      </c>
      <c r="D622" s="231"/>
      <c r="E622" s="231"/>
      <c r="F622" s="231"/>
      <c r="G622" s="231"/>
      <c r="H622" s="231"/>
      <c r="I622" s="231"/>
      <c r="J622" s="231"/>
      <c r="K622" s="232"/>
      <c r="L622" s="581"/>
      <c r="M622" s="261"/>
      <c r="N622" s="562"/>
      <c r="O622" s="582"/>
      <c r="P622" s="562"/>
      <c r="Q622" s="562"/>
    </row>
    <row r="623" spans="1:17" ht="13.5" hidden="1" outlineLevel="1" x14ac:dyDescent="0.25">
      <c r="A623" s="699" t="b">
        <f>_xlfn.XOR(C623=$S$2,C623=$S$3,C623=$S$4,C623=$S$5,C623=$S$6,C623=$S$7,C623=$S$8,C623=$S$9,C623=$S$10,C623=$S$11,C623=$S$12,C623=$S$13,C623=$S$14,C623=$S$15,C623=$S$16,C623=$S$17,C623=$S$18,C623=$S$19,C623=$S$20,C623=$S$21,C623=$S$22,C623=$S$23,C623=$S$24,C623=$S$25,C623=$S$26,C623=$S$27,C623=$S$28,C623=$S$29,C623=$S$30,C623=$S$316,C623=$S$32,C623=$S$33,C623=$S$34,C623=$S$35,C623=$S$36,C623=$S$37,C623=$S$38,C623=$S$39,C623=$S$40,C623=$S$41,C623=$S$42,)</f>
        <v>0</v>
      </c>
      <c r="C623" s="569" t="s">
        <v>7255</v>
      </c>
      <c r="D623" s="570"/>
      <c r="E623" s="1669" t="str">
        <f>IFERROR(VLOOKUP(C623,SINAPI!A:D,2,0),"")</f>
        <v>Suporte metálico galvanizado para placas - 0,60 x0,67 m - fornecimento e implantação</v>
      </c>
      <c r="F623" s="1670"/>
      <c r="G623" s="1670"/>
      <c r="H623" s="1671"/>
      <c r="I623" s="572" t="str">
        <f>IFERROR(VLOOKUP(C623,SINAPI!A:D,3,0),"")</f>
        <v>und</v>
      </c>
      <c r="J623" s="573"/>
      <c r="K623" s="573" t="s">
        <v>2603</v>
      </c>
      <c r="L623" s="574" t="str">
        <f>IF(J623="","",ROUND(J623*#REF!,2))</f>
        <v/>
      </c>
      <c r="M623" s="575">
        <v>4.2</v>
      </c>
      <c r="N623" s="562"/>
      <c r="O623" s="562"/>
      <c r="P623" s="562"/>
      <c r="Q623" s="562"/>
    </row>
    <row r="624" spans="1:17" ht="15" hidden="1" customHeight="1" outlineLevel="1" x14ac:dyDescent="0.25">
      <c r="A624" s="1403" t="b">
        <f t="shared" ref="A624:A629" si="147">A623</f>
        <v>0</v>
      </c>
      <c r="C624" s="35">
        <v>1</v>
      </c>
      <c r="D624" s="576" t="s">
        <v>2639</v>
      </c>
      <c r="E624" s="576" t="s">
        <v>6458</v>
      </c>
      <c r="F624" s="577" t="s">
        <v>6462</v>
      </c>
      <c r="G624" s="37" t="str">
        <f>IFERROR(VLOOKUP(E624,SINAPI!A:D,2,0),"")</f>
        <v>Caminhão carroceria com capacidade de 5 t - 115 kW CHP</v>
      </c>
      <c r="H624" s="578"/>
      <c r="I624" s="40" t="str">
        <f>IFERROR(VLOOKUP(E624,SINAPI!A:D,3,0),"")</f>
        <v>h</v>
      </c>
      <c r="J624" s="579">
        <f>M624/$M$567</f>
        <v>0.15</v>
      </c>
      <c r="K624" s="40">
        <f>IFERROR(VLOOKUP(E624,SINAPI!A:D,4,0),"")</f>
        <v>159.11000000000001</v>
      </c>
      <c r="L624" s="580">
        <f>IF(J624="","",ROUND(J624*K624,2))</f>
        <v>23.87</v>
      </c>
      <c r="M624" s="264">
        <v>0.3</v>
      </c>
      <c r="N624" s="562"/>
      <c r="O624" s="562"/>
      <c r="P624" s="562"/>
      <c r="Q624" s="562"/>
    </row>
    <row r="625" spans="1:17" ht="15" hidden="1" customHeight="1" outlineLevel="1" x14ac:dyDescent="0.25">
      <c r="A625" s="1403" t="b">
        <f t="shared" si="147"/>
        <v>0</v>
      </c>
      <c r="C625" s="35">
        <v>2</v>
      </c>
      <c r="D625" s="576" t="s">
        <v>2639</v>
      </c>
      <c r="E625" s="576" t="s">
        <v>6459</v>
      </c>
      <c r="F625" s="577" t="s">
        <v>6463</v>
      </c>
      <c r="G625" s="37" t="str">
        <f>IFERROR(VLOOKUP(E625,SINAPI!A:D,2,0),"")</f>
        <v>Caminhão carroceria com capacidade de 5 t - 115 kW CHI</v>
      </c>
      <c r="H625" s="578"/>
      <c r="I625" s="40" t="str">
        <f>IFERROR(VLOOKUP(E625,SINAPI!A:D,3,0),"")</f>
        <v>h</v>
      </c>
      <c r="J625" s="579">
        <f>M625/$M$567</f>
        <v>0.35</v>
      </c>
      <c r="K625" s="40">
        <f>IFERROR(VLOOKUP(E625,SINAPI!A:D,4,0),"")</f>
        <v>52.72</v>
      </c>
      <c r="L625" s="580">
        <f t="shared" ref="L625:L631" si="148">IF(J625="","",ROUND(J625*K625,2))</f>
        <v>18.45</v>
      </c>
      <c r="M625" s="264">
        <v>0.7</v>
      </c>
      <c r="N625" s="562"/>
      <c r="O625" s="562"/>
      <c r="P625" s="562"/>
      <c r="Q625" s="562"/>
    </row>
    <row r="626" spans="1:17" ht="15" hidden="1" customHeight="1" outlineLevel="1" x14ac:dyDescent="0.25">
      <c r="A626" s="1403" t="b">
        <f t="shared" si="147"/>
        <v>0</v>
      </c>
      <c r="C626" s="35">
        <v>3</v>
      </c>
      <c r="D626" s="576" t="s">
        <v>2639</v>
      </c>
      <c r="E626" s="576" t="s">
        <v>6457</v>
      </c>
      <c r="F626" s="577" t="s">
        <v>4627</v>
      </c>
      <c r="G626" s="37" t="str">
        <f>IFERROR(VLOOKUP(E626,SINAPI!A:D,2,0),"")</f>
        <v>Montador</v>
      </c>
      <c r="H626" s="578"/>
      <c r="I626" s="40" t="str">
        <f>IFERROR(VLOOKUP(E626,SINAPI!A:D,3,0),"")</f>
        <v>h</v>
      </c>
      <c r="J626" s="579">
        <f t="shared" ref="J626:J627" si="149">M626/$M$567</f>
        <v>0.5</v>
      </c>
      <c r="K626" s="40">
        <f>IFERROR(VLOOKUP(E626,SINAPI!A:D,4,0),"")</f>
        <v>9.89</v>
      </c>
      <c r="L626" s="580">
        <f t="shared" si="148"/>
        <v>4.95</v>
      </c>
      <c r="M626" s="264">
        <v>1</v>
      </c>
      <c r="N626" s="562"/>
      <c r="O626" s="562"/>
      <c r="P626" s="562"/>
      <c r="Q626" s="562"/>
    </row>
    <row r="627" spans="1:17" ht="15" hidden="1" customHeight="1" outlineLevel="1" x14ac:dyDescent="0.25">
      <c r="A627" s="1403" t="b">
        <f t="shared" si="147"/>
        <v>0</v>
      </c>
      <c r="C627" s="35">
        <v>4</v>
      </c>
      <c r="D627" s="576" t="s">
        <v>2639</v>
      </c>
      <c r="E627" s="576" t="s">
        <v>6398</v>
      </c>
      <c r="F627" s="577" t="s">
        <v>2740</v>
      </c>
      <c r="G627" s="37" t="str">
        <f>IFERROR(VLOOKUP(E627,SINAPI!A:D,2,0),"")</f>
        <v>Servente</v>
      </c>
      <c r="H627" s="578"/>
      <c r="I627" s="40" t="str">
        <f>IFERROR(VLOOKUP(E627,SINAPI!A:D,3,0),"")</f>
        <v>h</v>
      </c>
      <c r="J627" s="579">
        <f t="shared" si="149"/>
        <v>0.5</v>
      </c>
      <c r="K627" s="40">
        <f>IFERROR(VLOOKUP(E627,SINAPI!A:D,4,0),"")</f>
        <v>6.61</v>
      </c>
      <c r="L627" s="580">
        <f t="shared" si="148"/>
        <v>3.31</v>
      </c>
      <c r="M627" s="264">
        <v>1</v>
      </c>
      <c r="N627" s="562"/>
      <c r="O627" s="562"/>
      <c r="P627" s="562"/>
      <c r="Q627" s="562"/>
    </row>
    <row r="628" spans="1:17" ht="25.5" hidden="1" outlineLevel="1" x14ac:dyDescent="0.25">
      <c r="A628" s="1403" t="b">
        <f t="shared" si="147"/>
        <v>0</v>
      </c>
      <c r="C628" s="35">
        <v>5</v>
      </c>
      <c r="D628" s="576" t="s">
        <v>2639</v>
      </c>
      <c r="E628" s="576" t="s">
        <v>6465</v>
      </c>
      <c r="F628" s="577" t="str">
        <f>G628</f>
        <v>Conjunto para fixação de placas em aço galvanizado composto por barra chata, abraçadeira, parafusos, porcas e arruelas</v>
      </c>
      <c r="G628" s="37" t="str">
        <f>IFERROR(VLOOKUP(E628,SINAPI!A:D,2,0),"")</f>
        <v>Conjunto para fixação de placas em aço galvanizado composto por barra chata, abraçadeira, parafusos, porcas e arruelas</v>
      </c>
      <c r="H628" s="578"/>
      <c r="I628" s="40" t="str">
        <f>IFERROR(VLOOKUP(E628,SINAPI!A:D,3,0),"")</f>
        <v>kg</v>
      </c>
      <c r="J628" s="579">
        <f>M628*O628/N628</f>
        <v>1.1603000000000001</v>
      </c>
      <c r="K628" s="40">
        <f>IFERROR(VLOOKUP(E628,SINAPI!A:D,4,0),"")</f>
        <v>23.83</v>
      </c>
      <c r="L628" s="580">
        <f t="shared" si="148"/>
        <v>27.65</v>
      </c>
      <c r="M628" s="264">
        <v>1.3924000000000001</v>
      </c>
      <c r="N628" s="562">
        <v>6</v>
      </c>
      <c r="O628" s="562">
        <v>5</v>
      </c>
      <c r="P628" s="562"/>
      <c r="Q628" s="562"/>
    </row>
    <row r="629" spans="1:17" ht="15" hidden="1" customHeight="1" outlineLevel="1" x14ac:dyDescent="0.25">
      <c r="A629" s="1403" t="b">
        <f t="shared" si="147"/>
        <v>0</v>
      </c>
      <c r="C629" s="35">
        <v>6</v>
      </c>
      <c r="D629" s="576" t="s">
        <v>2639</v>
      </c>
      <c r="E629" s="576" t="s">
        <v>6467</v>
      </c>
      <c r="F629" s="577" t="str">
        <f>G629</f>
        <v>Suporte em aço-carbono galvanizado tipo perfil C para placa de sinalização</v>
      </c>
      <c r="G629" s="37" t="str">
        <f>IFERROR(VLOOKUP(E629,SINAPI!A:D,2,0),"")</f>
        <v>Suporte em aço-carbono galvanizado tipo perfil C para placa de sinalização</v>
      </c>
      <c r="H629" s="578"/>
      <c r="I629" s="40" t="str">
        <f>IFERROR(VLOOKUP(E629,SINAPI!A:D,3,0),"")</f>
        <v>kg</v>
      </c>
      <c r="J629" s="579">
        <f>M629*O629/N629</f>
        <v>12.56</v>
      </c>
      <c r="K629" s="40">
        <f>IFERROR(VLOOKUP(E629,SINAPI!A:D,4,0),"")</f>
        <v>28.97</v>
      </c>
      <c r="L629" s="580">
        <f t="shared" si="148"/>
        <v>363.86</v>
      </c>
      <c r="M629" s="264">
        <v>15.071999999999999</v>
      </c>
      <c r="N629" s="562">
        <v>6</v>
      </c>
      <c r="O629" s="562">
        <v>5</v>
      </c>
      <c r="P629" s="562"/>
      <c r="Q629" s="562"/>
    </row>
    <row r="630" spans="1:17" ht="25.5" hidden="1" outlineLevel="1" x14ac:dyDescent="0.25">
      <c r="A630" s="1403" t="b">
        <f>A628</f>
        <v>0</v>
      </c>
      <c r="C630" s="35">
        <v>7</v>
      </c>
      <c r="D630" s="576" t="s">
        <v>2639</v>
      </c>
      <c r="E630" s="576">
        <v>1107892</v>
      </c>
      <c r="F630" s="577" t="str">
        <f>G630</f>
        <v>Concreto fck = 20 MPa - confecção em betoneira e lançamento manual - areia e brita comerciais</v>
      </c>
      <c r="G630" s="37" t="str">
        <f>IFERROR(VLOOKUP(E630,SINAPI!A:D,2,0),"")</f>
        <v>Concreto fck = 20 MPa - confecção em betoneira e lançamento manual - areia e brita comerciais</v>
      </c>
      <c r="H630" s="578"/>
      <c r="I630" s="40" t="str">
        <f>IFERROR(VLOOKUP(E630,SINAPI!A:D,3,0),"")</f>
        <v>m³</v>
      </c>
      <c r="J630" s="579">
        <v>9.8199999999999996E-2</v>
      </c>
      <c r="K630" s="40">
        <f>IFERROR(VLOOKUP(E630,SINAPI!A:D,4,0),"")</f>
        <v>449.57</v>
      </c>
      <c r="L630" s="580">
        <f t="shared" si="148"/>
        <v>44.15</v>
      </c>
      <c r="M630" s="264"/>
      <c r="N630" s="562"/>
      <c r="O630" s="562"/>
      <c r="P630" s="562"/>
      <c r="Q630" s="562"/>
    </row>
    <row r="631" spans="1:17" ht="15" hidden="1" customHeight="1" outlineLevel="1" x14ac:dyDescent="0.25">
      <c r="A631" s="1403" t="b">
        <f>A629</f>
        <v>0</v>
      </c>
      <c r="C631" s="35">
        <v>8</v>
      </c>
      <c r="D631" s="576" t="s">
        <v>2639</v>
      </c>
      <c r="E631" s="576">
        <v>4805750</v>
      </c>
      <c r="F631" s="577" t="str">
        <f>G631</f>
        <v>Escavação manual em material de 1ª categoria na profundidade de até 1 m</v>
      </c>
      <c r="G631" s="37" t="str">
        <f>IFERROR(VLOOKUP(E631,SINAPI!A:D,2,0),"")</f>
        <v>Escavação manual em material de 1ª categoria na profundidade de até 1 m</v>
      </c>
      <c r="H631" s="578"/>
      <c r="I631" s="40" t="str">
        <f>IFERROR(VLOOKUP(E631,SINAPI!A:D,3,0),"")</f>
        <v>m³</v>
      </c>
      <c r="J631" s="579">
        <v>9.8199999999999996E-2</v>
      </c>
      <c r="K631" s="40">
        <f>IFERROR(VLOOKUP(E631,SINAPI!A:D,4,0),"")</f>
        <v>40.950000000000003</v>
      </c>
      <c r="L631" s="580">
        <f t="shared" si="148"/>
        <v>4.0199999999999996</v>
      </c>
      <c r="M631" s="264"/>
      <c r="N631" s="562"/>
      <c r="O631" s="562"/>
      <c r="P631" s="562"/>
      <c r="Q631" s="562"/>
    </row>
    <row r="632" spans="1:17" ht="15" hidden="1" customHeight="1" outlineLevel="1" x14ac:dyDescent="0.25">
      <c r="A632" s="1403" t="b">
        <f>A628</f>
        <v>0</v>
      </c>
      <c r="C632" s="739" t="s">
        <v>96</v>
      </c>
      <c r="D632" s="740"/>
      <c r="E632" s="740"/>
      <c r="F632" s="740"/>
      <c r="G632" s="740"/>
      <c r="H632" s="740"/>
      <c r="I632" s="740"/>
      <c r="J632" s="740"/>
      <c r="K632" s="741"/>
      <c r="L632" s="742">
        <f>SUM(L624:L631)</f>
        <v>490.26</v>
      </c>
      <c r="M632" s="261"/>
      <c r="N632" s="562" t="str">
        <f>C623</f>
        <v>COMP 69</v>
      </c>
      <c r="O632" s="582">
        <f>L632</f>
        <v>490.26</v>
      </c>
      <c r="P632" s="562"/>
      <c r="Q632" s="562"/>
    </row>
    <row r="633" spans="1:17" ht="15" hidden="1" customHeight="1" outlineLevel="1" thickBot="1" x14ac:dyDescent="0.3">
      <c r="A633" s="1403" t="b">
        <f>A632</f>
        <v>0</v>
      </c>
      <c r="C633" s="1105" t="s">
        <v>6754</v>
      </c>
      <c r="D633" s="231"/>
      <c r="E633" s="231"/>
      <c r="F633" s="231"/>
      <c r="G633" s="231"/>
      <c r="H633" s="231"/>
      <c r="I633" s="231"/>
      <c r="J633" s="231"/>
      <c r="K633" s="232"/>
      <c r="L633" s="581"/>
      <c r="M633" s="261"/>
      <c r="N633" s="562"/>
      <c r="O633" s="582"/>
      <c r="P633" s="562"/>
      <c r="Q633" s="562"/>
    </row>
    <row r="634" spans="1:17" ht="13.5" hidden="1" outlineLevel="1" x14ac:dyDescent="0.25">
      <c r="A634" s="699" t="b">
        <f>_xlfn.XOR(C634=$S$2,C634=$S$3,C634=$S$4,C634=$S$5,C634=$S$6,C634=$S$7,C634=$S$8,C634=$S$9,C634=$S$10,C634=$S$11,C634=$S$12,C634=$S$13,C634=$S$14,C634=$S$15,C634=$S$16,C634=$S$17,C634=$S$18,C634=$S$19,C634=$S$20,C634=$S$21,C634=$S$22,C634=$S$23,C634=$S$24,C634=$S$25,C634=$S$26,C634=$S$27,C634=$S$28,C634=$S$29,C634=$S$30,C634=$S$316,C634=$S$32,C634=$S$33,C634=$S$34,C634=$S$35,C634=$S$36,C634=$S$37,C634=$S$38,C634=$S$39,C634=$S$40,C634=$S$41,C634=$S$42,)</f>
        <v>0</v>
      </c>
      <c r="C634" s="569" t="s">
        <v>7258</v>
      </c>
      <c r="D634" s="570"/>
      <c r="E634" s="1669" t="str">
        <f>IFERROR(VLOOKUP(C634,SINAPI!A:D,2,0),"")</f>
        <v>Placa em aço - 0,50 x 1,50m - película retrorrefletiva tipo I + I - fornecimento e implantação</v>
      </c>
      <c r="F634" s="1670"/>
      <c r="G634" s="1670"/>
      <c r="H634" s="1671"/>
      <c r="I634" s="572" t="str">
        <f>IFERROR(VLOOKUP(C634,SINAPI!A:D,3,0),"")</f>
        <v>und</v>
      </c>
      <c r="J634" s="573"/>
      <c r="K634" s="573" t="s">
        <v>2603</v>
      </c>
      <c r="L634" s="574" t="str">
        <f>IF(J634="","",ROUND(J634*#REF!,2))</f>
        <v/>
      </c>
      <c r="M634" s="575">
        <v>3</v>
      </c>
      <c r="N634" s="562"/>
      <c r="O634" s="562"/>
      <c r="P634" s="562"/>
      <c r="Q634" s="562"/>
    </row>
    <row r="635" spans="1:17" ht="15" hidden="1" customHeight="1" outlineLevel="1" x14ac:dyDescent="0.25">
      <c r="A635" s="1403" t="b">
        <f t="shared" ref="A635:A639" si="150">A634</f>
        <v>0</v>
      </c>
      <c r="C635" s="35">
        <v>1</v>
      </c>
      <c r="D635" s="576" t="s">
        <v>2639</v>
      </c>
      <c r="E635" s="576" t="s">
        <v>6458</v>
      </c>
      <c r="F635" s="577" t="s">
        <v>6462</v>
      </c>
      <c r="G635" s="37" t="str">
        <f>IFERROR(VLOOKUP(E635,SINAPI!A:D,2,0),"")</f>
        <v>Caminhão carroceria com capacidade de 5 t - 115 kW CHP</v>
      </c>
      <c r="H635" s="578"/>
      <c r="I635" s="40" t="str">
        <f>IFERROR(VLOOKUP(E635,SINAPI!A:D,3,0),"")</f>
        <v>h</v>
      </c>
      <c r="J635" s="579">
        <f>M635/$M$567</f>
        <v>0.15</v>
      </c>
      <c r="K635" s="40">
        <f>IFERROR(VLOOKUP(E635,SINAPI!A:D,4,0),"")</f>
        <v>159.11000000000001</v>
      </c>
      <c r="L635" s="580">
        <f>IF(J635="","",ROUND(J635*K635,2))</f>
        <v>23.87</v>
      </c>
      <c r="M635" s="264">
        <v>0.3</v>
      </c>
      <c r="N635" s="562"/>
      <c r="O635" s="562"/>
      <c r="P635" s="562"/>
      <c r="Q635" s="562"/>
    </row>
    <row r="636" spans="1:17" ht="15" hidden="1" customHeight="1" outlineLevel="1" x14ac:dyDescent="0.25">
      <c r="A636" s="1403" t="b">
        <f t="shared" si="150"/>
        <v>0</v>
      </c>
      <c r="C636" s="35">
        <v>2</v>
      </c>
      <c r="D636" s="576" t="s">
        <v>2639</v>
      </c>
      <c r="E636" s="576" t="s">
        <v>6459</v>
      </c>
      <c r="F636" s="577" t="s">
        <v>6463</v>
      </c>
      <c r="G636" s="37" t="str">
        <f>IFERROR(VLOOKUP(E636,SINAPI!A:D,2,0),"")</f>
        <v>Caminhão carroceria com capacidade de 5 t - 115 kW CHI</v>
      </c>
      <c r="H636" s="578"/>
      <c r="I636" s="40" t="str">
        <f>IFERROR(VLOOKUP(E636,SINAPI!A:D,3,0),"")</f>
        <v>h</v>
      </c>
      <c r="J636" s="579">
        <f>M636/$M$567</f>
        <v>0.35</v>
      </c>
      <c r="K636" s="40">
        <f>IFERROR(VLOOKUP(E636,SINAPI!A:D,4,0),"")</f>
        <v>52.72</v>
      </c>
      <c r="L636" s="580">
        <f t="shared" ref="L636:L639" si="151">IF(J636="","",ROUND(J636*K636,2))</f>
        <v>18.45</v>
      </c>
      <c r="M636" s="264">
        <v>0.7</v>
      </c>
      <c r="N636" s="562"/>
      <c r="O636" s="562"/>
      <c r="P636" s="562"/>
      <c r="Q636" s="562"/>
    </row>
    <row r="637" spans="1:17" ht="15" hidden="1" customHeight="1" outlineLevel="1" x14ac:dyDescent="0.25">
      <c r="A637" s="1403" t="b">
        <f t="shared" si="150"/>
        <v>0</v>
      </c>
      <c r="C637" s="35">
        <v>3</v>
      </c>
      <c r="D637" s="576" t="s">
        <v>2639</v>
      </c>
      <c r="E637" s="576" t="s">
        <v>6457</v>
      </c>
      <c r="F637" s="577" t="s">
        <v>4627</v>
      </c>
      <c r="G637" s="37" t="str">
        <f>IFERROR(VLOOKUP(E637,SINAPI!A:D,2,0),"")</f>
        <v>Montador</v>
      </c>
      <c r="H637" s="578"/>
      <c r="I637" s="40" t="str">
        <f>IFERROR(VLOOKUP(E637,SINAPI!A:D,3,0),"")</f>
        <v>h</v>
      </c>
      <c r="J637" s="579">
        <f t="shared" ref="J637:J638" si="152">M637/$M$567</f>
        <v>0.5</v>
      </c>
      <c r="K637" s="40">
        <f>IFERROR(VLOOKUP(E637,SINAPI!A:D,4,0),"")</f>
        <v>9.89</v>
      </c>
      <c r="L637" s="580">
        <f t="shared" si="151"/>
        <v>4.95</v>
      </c>
      <c r="M637" s="264">
        <v>1</v>
      </c>
      <c r="N637" s="562"/>
      <c r="O637" s="562"/>
      <c r="P637" s="562"/>
      <c r="Q637" s="562"/>
    </row>
    <row r="638" spans="1:17" ht="15" hidden="1" customHeight="1" outlineLevel="1" x14ac:dyDescent="0.25">
      <c r="A638" s="1403" t="b">
        <f t="shared" si="150"/>
        <v>0</v>
      </c>
      <c r="C638" s="35">
        <v>4</v>
      </c>
      <c r="D638" s="576" t="s">
        <v>2639</v>
      </c>
      <c r="E638" s="576" t="s">
        <v>6398</v>
      </c>
      <c r="F638" s="577" t="s">
        <v>2740</v>
      </c>
      <c r="G638" s="37" t="str">
        <f>IFERROR(VLOOKUP(E638,SINAPI!A:D,2,0),"")</f>
        <v>Servente</v>
      </c>
      <c r="H638" s="578"/>
      <c r="I638" s="40" t="str">
        <f>IFERROR(VLOOKUP(E638,SINAPI!A:D,3,0),"")</f>
        <v>h</v>
      </c>
      <c r="J638" s="579">
        <f t="shared" si="152"/>
        <v>1</v>
      </c>
      <c r="K638" s="40">
        <f>IFERROR(VLOOKUP(E638,SINAPI!A:D,4,0),"")</f>
        <v>6.61</v>
      </c>
      <c r="L638" s="580">
        <f t="shared" si="151"/>
        <v>6.61</v>
      </c>
      <c r="M638" s="264">
        <v>2</v>
      </c>
      <c r="N638" s="562"/>
      <c r="O638" s="562"/>
      <c r="P638" s="562"/>
      <c r="Q638" s="562"/>
    </row>
    <row r="639" spans="1:17" ht="15" hidden="1" customHeight="1" outlineLevel="1" x14ac:dyDescent="0.25">
      <c r="A639" s="1403" t="b">
        <f t="shared" si="150"/>
        <v>0</v>
      </c>
      <c r="C639" s="35">
        <v>5</v>
      </c>
      <c r="D639" s="576" t="s">
        <v>2639</v>
      </c>
      <c r="E639" s="576">
        <v>5213416</v>
      </c>
      <c r="F639" s="577" t="str">
        <f>G639</f>
        <v>Placa em aço nº 16 galvanizado com película retrorrefletiva tipo I + I - confecção</v>
      </c>
      <c r="G639" s="37" t="str">
        <f>IFERROR(VLOOKUP(E639,SINAPI!A:D,2,0),"")</f>
        <v>Placa em aço nº 16 galvanizado com película retrorrefletiva tipo I + I - confecção</v>
      </c>
      <c r="H639" s="578"/>
      <c r="I639" s="40" t="str">
        <f>IFERROR(VLOOKUP(E639,SINAPI!A:D,3,0),"")</f>
        <v>m²</v>
      </c>
      <c r="J639" s="579">
        <f>M639*M640</f>
        <v>0.75</v>
      </c>
      <c r="K639" s="40">
        <f>IFERROR(VLOOKUP(E639,SINAPI!A:D,4,0),"")</f>
        <v>411.36</v>
      </c>
      <c r="L639" s="580">
        <f t="shared" si="151"/>
        <v>308.52</v>
      </c>
      <c r="M639" s="264">
        <v>0.5</v>
      </c>
      <c r="N639" s="562"/>
      <c r="O639" s="562"/>
      <c r="P639" s="562"/>
      <c r="Q639" s="562"/>
    </row>
    <row r="640" spans="1:17" ht="15" hidden="1" customHeight="1" outlineLevel="1" x14ac:dyDescent="0.25">
      <c r="A640" s="1403" t="b">
        <f>A639</f>
        <v>0</v>
      </c>
      <c r="C640" s="739" t="s">
        <v>96</v>
      </c>
      <c r="D640" s="740"/>
      <c r="E640" s="740"/>
      <c r="F640" s="740"/>
      <c r="G640" s="740"/>
      <c r="H640" s="740"/>
      <c r="I640" s="740"/>
      <c r="J640" s="740"/>
      <c r="K640" s="741"/>
      <c r="L640" s="742">
        <f>SUM(L635:L639)</f>
        <v>362.4</v>
      </c>
      <c r="M640" s="261">
        <v>1.5</v>
      </c>
      <c r="N640" s="562" t="str">
        <f>C634</f>
        <v>COMP 70</v>
      </c>
      <c r="O640" s="582">
        <f>L640</f>
        <v>362.4</v>
      </c>
      <c r="P640" s="562"/>
      <c r="Q640" s="562"/>
    </row>
    <row r="641" spans="1:17" ht="15" hidden="1" customHeight="1" outlineLevel="1" thickBot="1" x14ac:dyDescent="0.3">
      <c r="A641" s="1403" t="b">
        <f>A640</f>
        <v>0</v>
      </c>
      <c r="C641" s="1105" t="s">
        <v>6751</v>
      </c>
      <c r="D641" s="231"/>
      <c r="E641" s="231"/>
      <c r="F641" s="231"/>
      <c r="G641" s="231"/>
      <c r="H641" s="231"/>
      <c r="I641" s="231"/>
      <c r="J641" s="231"/>
      <c r="K641" s="232"/>
      <c r="L641" s="581"/>
      <c r="M641" s="261"/>
      <c r="N641" s="562"/>
      <c r="O641" s="582"/>
      <c r="P641" s="562"/>
      <c r="Q641" s="562"/>
    </row>
    <row r="642" spans="1:17" ht="13.5" hidden="1" outlineLevel="1" x14ac:dyDescent="0.25">
      <c r="A642" s="699" t="b">
        <f>_xlfn.XOR(C642=$S$2,C642=$S$3,C642=$S$4,C642=$S$5,C642=$S$6,C642=$S$7,C642=$S$8,C642=$S$9,C642=$S$10,C642=$S$11,C642=$S$12,C642=$S$13,C642=$S$14,C642=$S$15,C642=$S$16,C642=$S$17,C642=$S$18,C642=$S$19,C642=$S$20,C642=$S$21,C642=$S$22,C642=$S$23,C642=$S$24,C642=$S$25,C642=$S$26,C642=$S$27,C642=$S$28,C642=$S$29,C642=$S$30,C642=$S$316,C642=$S$32,C642=$S$33,C642=$S$34,C642=$S$35,C642=$S$36,C642=$S$37,C642=$S$38,C642=$S$39,C642=$S$40,C642=$S$41,C642=$S$42,)</f>
        <v>0</v>
      </c>
      <c r="C642" s="569" t="s">
        <v>7259</v>
      </c>
      <c r="D642" s="570"/>
      <c r="E642" s="1669" t="str">
        <f>IFERROR(VLOOKUP(C642,SINAPI!A:D,2,0),"")</f>
        <v>Suporte metálico galvanizado para placas - 0,60 x0,67 m - fornecimento e implantação</v>
      </c>
      <c r="F642" s="1670"/>
      <c r="G642" s="1670"/>
      <c r="H642" s="1671"/>
      <c r="I642" s="572" t="str">
        <f>IFERROR(VLOOKUP(C642,SINAPI!A:D,3,0),"")</f>
        <v>und</v>
      </c>
      <c r="J642" s="573"/>
      <c r="K642" s="573" t="s">
        <v>2603</v>
      </c>
      <c r="L642" s="574" t="str">
        <f>IF(J642="","",ROUND(J642*#REF!,2))</f>
        <v/>
      </c>
      <c r="M642" s="575">
        <v>4.2</v>
      </c>
      <c r="N642" s="562"/>
      <c r="O642" s="562"/>
      <c r="P642" s="562"/>
      <c r="Q642" s="562"/>
    </row>
    <row r="643" spans="1:17" ht="15" hidden="1" customHeight="1" outlineLevel="1" x14ac:dyDescent="0.25">
      <c r="A643" s="1403" t="b">
        <f t="shared" ref="A643:A648" si="153">A642</f>
        <v>0</v>
      </c>
      <c r="C643" s="35">
        <v>1</v>
      </c>
      <c r="D643" s="576" t="s">
        <v>2639</v>
      </c>
      <c r="E643" s="576" t="s">
        <v>6458</v>
      </c>
      <c r="F643" s="577" t="s">
        <v>6462</v>
      </c>
      <c r="G643" s="37" t="str">
        <f>IFERROR(VLOOKUP(E643,SINAPI!A:D,2,0),"")</f>
        <v>Caminhão carroceria com capacidade de 5 t - 115 kW CHP</v>
      </c>
      <c r="H643" s="578"/>
      <c r="I643" s="40" t="str">
        <f>IFERROR(VLOOKUP(E643,SINAPI!A:D,3,0),"")</f>
        <v>h</v>
      </c>
      <c r="J643" s="579">
        <f>M643/$M$567</f>
        <v>0.15</v>
      </c>
      <c r="K643" s="40">
        <f>IFERROR(VLOOKUP(E643,SINAPI!A:D,4,0),"")</f>
        <v>159.11000000000001</v>
      </c>
      <c r="L643" s="580">
        <f>IF(J643="","",ROUND(J643*K643,2))</f>
        <v>23.87</v>
      </c>
      <c r="M643" s="264">
        <v>0.3</v>
      </c>
      <c r="N643" s="562"/>
      <c r="O643" s="562"/>
      <c r="P643" s="562"/>
      <c r="Q643" s="562"/>
    </row>
    <row r="644" spans="1:17" ht="15" hidden="1" customHeight="1" outlineLevel="1" x14ac:dyDescent="0.25">
      <c r="A644" s="1403" t="b">
        <f t="shared" si="153"/>
        <v>0</v>
      </c>
      <c r="C644" s="35">
        <v>2</v>
      </c>
      <c r="D644" s="576" t="s">
        <v>2639</v>
      </c>
      <c r="E644" s="576" t="s">
        <v>6459</v>
      </c>
      <c r="F644" s="577" t="s">
        <v>6463</v>
      </c>
      <c r="G644" s="37" t="str">
        <f>IFERROR(VLOOKUP(E644,SINAPI!A:D,2,0),"")</f>
        <v>Caminhão carroceria com capacidade de 5 t - 115 kW CHI</v>
      </c>
      <c r="H644" s="578"/>
      <c r="I644" s="40" t="str">
        <f>IFERROR(VLOOKUP(E644,SINAPI!A:D,3,0),"")</f>
        <v>h</v>
      </c>
      <c r="J644" s="579">
        <f>M644/$M$567</f>
        <v>0.35</v>
      </c>
      <c r="K644" s="40">
        <f>IFERROR(VLOOKUP(E644,SINAPI!A:D,4,0),"")</f>
        <v>52.72</v>
      </c>
      <c r="L644" s="580">
        <f t="shared" ref="L644:L650" si="154">IF(J644="","",ROUND(J644*K644,2))</f>
        <v>18.45</v>
      </c>
      <c r="M644" s="264">
        <v>0.7</v>
      </c>
      <c r="N644" s="562"/>
      <c r="O644" s="562"/>
      <c r="P644" s="562"/>
      <c r="Q644" s="562"/>
    </row>
    <row r="645" spans="1:17" ht="15" hidden="1" customHeight="1" outlineLevel="1" x14ac:dyDescent="0.25">
      <c r="A645" s="1403" t="b">
        <f t="shared" si="153"/>
        <v>0</v>
      </c>
      <c r="C645" s="35">
        <v>3</v>
      </c>
      <c r="D645" s="576" t="s">
        <v>2639</v>
      </c>
      <c r="E645" s="576" t="s">
        <v>6457</v>
      </c>
      <c r="F645" s="577" t="s">
        <v>4627</v>
      </c>
      <c r="G645" s="37" t="str">
        <f>IFERROR(VLOOKUP(E645,SINAPI!A:D,2,0),"")</f>
        <v>Montador</v>
      </c>
      <c r="H645" s="578"/>
      <c r="I645" s="40" t="str">
        <f>IFERROR(VLOOKUP(E645,SINAPI!A:D,3,0),"")</f>
        <v>h</v>
      </c>
      <c r="J645" s="579">
        <f t="shared" ref="J645:J646" si="155">M645/$M$567</f>
        <v>0.5</v>
      </c>
      <c r="K645" s="40">
        <f>IFERROR(VLOOKUP(E645,SINAPI!A:D,4,0),"")</f>
        <v>9.89</v>
      </c>
      <c r="L645" s="580">
        <f t="shared" si="154"/>
        <v>4.95</v>
      </c>
      <c r="M645" s="264">
        <v>1</v>
      </c>
      <c r="N645" s="562"/>
      <c r="O645" s="562"/>
      <c r="P645" s="562"/>
      <c r="Q645" s="562"/>
    </row>
    <row r="646" spans="1:17" ht="15" hidden="1" customHeight="1" outlineLevel="1" x14ac:dyDescent="0.25">
      <c r="A646" s="1403" t="b">
        <f t="shared" si="153"/>
        <v>0</v>
      </c>
      <c r="C646" s="35">
        <v>4</v>
      </c>
      <c r="D646" s="576" t="s">
        <v>2639</v>
      </c>
      <c r="E646" s="576" t="s">
        <v>6398</v>
      </c>
      <c r="F646" s="577" t="s">
        <v>2740</v>
      </c>
      <c r="G646" s="37" t="str">
        <f>IFERROR(VLOOKUP(E646,SINAPI!A:D,2,0),"")</f>
        <v>Servente</v>
      </c>
      <c r="H646" s="578"/>
      <c r="I646" s="40" t="str">
        <f>IFERROR(VLOOKUP(E646,SINAPI!A:D,3,0),"")</f>
        <v>h</v>
      </c>
      <c r="J646" s="579">
        <f t="shared" si="155"/>
        <v>0.5</v>
      </c>
      <c r="K646" s="40">
        <f>IFERROR(VLOOKUP(E646,SINAPI!A:D,4,0),"")</f>
        <v>6.61</v>
      </c>
      <c r="L646" s="580">
        <f t="shared" si="154"/>
        <v>3.31</v>
      </c>
      <c r="M646" s="264">
        <v>1</v>
      </c>
      <c r="N646" s="562"/>
      <c r="O646" s="562"/>
      <c r="P646" s="562"/>
      <c r="Q646" s="562"/>
    </row>
    <row r="647" spans="1:17" ht="25.5" hidden="1" outlineLevel="1" x14ac:dyDescent="0.25">
      <c r="A647" s="1403" t="b">
        <f t="shared" si="153"/>
        <v>0</v>
      </c>
      <c r="C647" s="35">
        <v>5</v>
      </c>
      <c r="D647" s="576" t="s">
        <v>2639</v>
      </c>
      <c r="E647" s="576" t="s">
        <v>6465</v>
      </c>
      <c r="F647" s="577" t="str">
        <f>G647</f>
        <v>Conjunto para fixação de placas em aço galvanizado composto por barra chata, abraçadeira, parafusos, porcas e arruelas</v>
      </c>
      <c r="G647" s="37" t="str">
        <f>IFERROR(VLOOKUP(E647,SINAPI!A:D,2,0),"")</f>
        <v>Conjunto para fixação de placas em aço galvanizado composto por barra chata, abraçadeira, parafusos, porcas e arruelas</v>
      </c>
      <c r="H647" s="578"/>
      <c r="I647" s="40" t="str">
        <f>IFERROR(VLOOKUP(E647,SINAPI!A:D,3,0),"")</f>
        <v>kg</v>
      </c>
      <c r="J647" s="579">
        <f>M647*O647/N647</f>
        <v>1.1603000000000001</v>
      </c>
      <c r="K647" s="40">
        <f>IFERROR(VLOOKUP(E647,SINAPI!A:D,4,0),"")</f>
        <v>23.83</v>
      </c>
      <c r="L647" s="580">
        <f t="shared" si="154"/>
        <v>27.65</v>
      </c>
      <c r="M647" s="264">
        <v>1.3924000000000001</v>
      </c>
      <c r="N647" s="562">
        <v>6</v>
      </c>
      <c r="O647" s="562">
        <v>5</v>
      </c>
      <c r="P647" s="562"/>
      <c r="Q647" s="562"/>
    </row>
    <row r="648" spans="1:17" ht="15" hidden="1" customHeight="1" outlineLevel="1" x14ac:dyDescent="0.25">
      <c r="A648" s="1403" t="b">
        <f t="shared" si="153"/>
        <v>0</v>
      </c>
      <c r="C648" s="35">
        <v>6</v>
      </c>
      <c r="D648" s="576" t="s">
        <v>2639</v>
      </c>
      <c r="E648" s="576" t="s">
        <v>6467</v>
      </c>
      <c r="F648" s="577" t="str">
        <f>G648</f>
        <v>Suporte em aço-carbono galvanizado tipo perfil C para placa de sinalização</v>
      </c>
      <c r="G648" s="37" t="str">
        <f>IFERROR(VLOOKUP(E648,SINAPI!A:D,2,0),"")</f>
        <v>Suporte em aço-carbono galvanizado tipo perfil C para placa de sinalização</v>
      </c>
      <c r="H648" s="578"/>
      <c r="I648" s="40" t="str">
        <f>IFERROR(VLOOKUP(E648,SINAPI!A:D,3,0),"")</f>
        <v>kg</v>
      </c>
      <c r="J648" s="579">
        <f>M648*O648/N648</f>
        <v>12.56</v>
      </c>
      <c r="K648" s="40">
        <f>IFERROR(VLOOKUP(E648,SINAPI!A:D,4,0),"")</f>
        <v>28.97</v>
      </c>
      <c r="L648" s="580">
        <f t="shared" si="154"/>
        <v>363.86</v>
      </c>
      <c r="M648" s="264">
        <v>15.071999999999999</v>
      </c>
      <c r="N648" s="562">
        <v>6</v>
      </c>
      <c r="O648" s="562">
        <v>5</v>
      </c>
      <c r="P648" s="562"/>
      <c r="Q648" s="562"/>
    </row>
    <row r="649" spans="1:17" ht="25.5" hidden="1" outlineLevel="1" x14ac:dyDescent="0.25">
      <c r="A649" s="1403" t="b">
        <f>A647</f>
        <v>0</v>
      </c>
      <c r="C649" s="35">
        <v>7</v>
      </c>
      <c r="D649" s="576" t="s">
        <v>2639</v>
      </c>
      <c r="E649" s="576">
        <v>1107892</v>
      </c>
      <c r="F649" s="577" t="str">
        <f>G649</f>
        <v>Concreto fck = 20 MPa - confecção em betoneira e lançamento manual - areia e brita comerciais</v>
      </c>
      <c r="G649" s="37" t="str">
        <f>IFERROR(VLOOKUP(E649,SINAPI!A:D,2,0),"")</f>
        <v>Concreto fck = 20 MPa - confecção em betoneira e lançamento manual - areia e brita comerciais</v>
      </c>
      <c r="H649" s="578"/>
      <c r="I649" s="40" t="str">
        <f>IFERROR(VLOOKUP(E649,SINAPI!A:D,3,0),"")</f>
        <v>m³</v>
      </c>
      <c r="J649" s="579">
        <v>9.8199999999999996E-2</v>
      </c>
      <c r="K649" s="40">
        <f>IFERROR(VLOOKUP(E649,SINAPI!A:D,4,0),"")</f>
        <v>449.57</v>
      </c>
      <c r="L649" s="580">
        <f t="shared" si="154"/>
        <v>44.15</v>
      </c>
      <c r="M649" s="264"/>
      <c r="N649" s="562"/>
      <c r="O649" s="562"/>
      <c r="P649" s="562"/>
      <c r="Q649" s="562"/>
    </row>
    <row r="650" spans="1:17" ht="15" hidden="1" customHeight="1" outlineLevel="1" x14ac:dyDescent="0.25">
      <c r="A650" s="1403" t="b">
        <f>A648</f>
        <v>0</v>
      </c>
      <c r="C650" s="35">
        <v>8</v>
      </c>
      <c r="D650" s="576" t="s">
        <v>2639</v>
      </c>
      <c r="E650" s="576">
        <v>4805750</v>
      </c>
      <c r="F650" s="577" t="str">
        <f>G650</f>
        <v>Escavação manual em material de 1ª categoria na profundidade de até 1 m</v>
      </c>
      <c r="G650" s="37" t="str">
        <f>IFERROR(VLOOKUP(E650,SINAPI!A:D,2,0),"")</f>
        <v>Escavação manual em material de 1ª categoria na profundidade de até 1 m</v>
      </c>
      <c r="H650" s="578"/>
      <c r="I650" s="40" t="str">
        <f>IFERROR(VLOOKUP(E650,SINAPI!A:D,3,0),"")</f>
        <v>m³</v>
      </c>
      <c r="J650" s="579">
        <v>9.8199999999999996E-2</v>
      </c>
      <c r="K650" s="40">
        <f>IFERROR(VLOOKUP(E650,SINAPI!A:D,4,0),"")</f>
        <v>40.950000000000003</v>
      </c>
      <c r="L650" s="580">
        <f t="shared" si="154"/>
        <v>4.0199999999999996</v>
      </c>
      <c r="M650" s="264"/>
      <c r="N650" s="562"/>
      <c r="O650" s="562"/>
      <c r="P650" s="562"/>
      <c r="Q650" s="562"/>
    </row>
    <row r="651" spans="1:17" ht="15" hidden="1" customHeight="1" outlineLevel="1" x14ac:dyDescent="0.25">
      <c r="A651" s="1403" t="b">
        <f>A647</f>
        <v>0</v>
      </c>
      <c r="C651" s="739" t="s">
        <v>96</v>
      </c>
      <c r="D651" s="740"/>
      <c r="E651" s="740"/>
      <c r="F651" s="740"/>
      <c r="G651" s="740"/>
      <c r="H651" s="740"/>
      <c r="I651" s="740"/>
      <c r="J651" s="740"/>
      <c r="K651" s="741"/>
      <c r="L651" s="742">
        <f>SUM(L643:L650)</f>
        <v>490.26</v>
      </c>
      <c r="M651" s="261"/>
      <c r="N651" s="562" t="str">
        <f>C642</f>
        <v>COMP 71</v>
      </c>
      <c r="O651" s="582">
        <f>L651</f>
        <v>490.26</v>
      </c>
      <c r="P651" s="562"/>
      <c r="Q651" s="562"/>
    </row>
    <row r="652" spans="1:17" ht="15" hidden="1" customHeight="1" outlineLevel="1" thickBot="1" x14ac:dyDescent="0.3">
      <c r="A652" s="1403" t="b">
        <f>A651</f>
        <v>0</v>
      </c>
      <c r="C652" s="1105" t="s">
        <v>6754</v>
      </c>
      <c r="D652" s="231"/>
      <c r="E652" s="231"/>
      <c r="F652" s="231"/>
      <c r="G652" s="231"/>
      <c r="H652" s="231"/>
      <c r="I652" s="231"/>
      <c r="J652" s="231"/>
      <c r="K652" s="232"/>
      <c r="L652" s="581"/>
      <c r="M652" s="261"/>
      <c r="N652" s="562"/>
      <c r="O652" s="582"/>
      <c r="P652" s="562"/>
      <c r="Q652" s="562"/>
    </row>
    <row r="653" spans="1:17" ht="13.5" hidden="1" outlineLevel="1" x14ac:dyDescent="0.25">
      <c r="A653" s="699" t="b">
        <f>_xlfn.XOR(C653=$S$2,C653=$S$3,C653=$S$4,C653=$S$5,C653=$S$6,C653=$S$7,C653=$S$8,C653=$S$9,C653=$S$10,C653=$S$11,C653=$S$12,C653=$S$13,C653=$S$14,C653=$S$15,C653=$S$16,C653=$S$17,C653=$S$18,C653=$S$19,C653=$S$20,C653=$S$21,C653=$S$22,C653=$S$23,C653=$S$24,C653=$S$25,C653=$S$26,C653=$S$27,C653=$S$28,C653=$S$29,C653=$S$30,C653=$S$316,C653=$S$32,C653=$S$33,C653=$S$34,C653=$S$35,C653=$S$36,C653=$S$37,C653=$S$38,C653=$S$39,C653=$S$40,C653=$S$41,C653=$S$42,)</f>
        <v>0</v>
      </c>
      <c r="C653" s="569" t="s">
        <v>7265</v>
      </c>
      <c r="D653" s="570"/>
      <c r="E653" s="1669" t="str">
        <f>IFERROR(VLOOKUP(C653,SINAPI!A:D,2,0),"")</f>
        <v>Barreira simples de concreto, não armada, moldada no local (perfil New Jersey) - H = 810 + 100 mm, inclusive fornecimento de concreto FCK 20MPa</v>
      </c>
      <c r="F653" s="1670"/>
      <c r="G653" s="1670"/>
      <c r="H653" s="1671"/>
      <c r="I653" s="572" t="str">
        <f>IFERROR(VLOOKUP(C653,SINAPI!A:D,3,0),"")</f>
        <v>m</v>
      </c>
      <c r="J653" s="573"/>
      <c r="K653" s="573" t="s">
        <v>2603</v>
      </c>
      <c r="L653" s="574" t="str">
        <f>IF(J653="","",ROUND(J653*#REF!,2))</f>
        <v/>
      </c>
      <c r="M653" s="575">
        <v>4.2</v>
      </c>
      <c r="N653" s="562"/>
      <c r="O653" s="562"/>
      <c r="P653" s="562"/>
      <c r="Q653" s="562"/>
    </row>
    <row r="654" spans="1:17" ht="25.5" hidden="1" outlineLevel="1" x14ac:dyDescent="0.25">
      <c r="A654" s="1422" t="b">
        <f t="shared" ref="A654:A657" si="156">A653</f>
        <v>0</v>
      </c>
      <c r="C654" s="35">
        <v>1</v>
      </c>
      <c r="D654" s="576" t="s">
        <v>2639</v>
      </c>
      <c r="E654" s="576">
        <v>3713617</v>
      </c>
      <c r="F654" s="577" t="str">
        <f>G654</f>
        <v>Barreira simples de concreto, não armada, moldada no local (perfil New Jersey) - H = 810 + 100 mm</v>
      </c>
      <c r="G654" s="37" t="str">
        <f>IFERROR(VLOOKUP(E654,SINAPI!A:D,2,0),"")</f>
        <v>Barreira simples de concreto, não armada, moldada no local (perfil New Jersey) - H = 810 + 100 mm</v>
      </c>
      <c r="H654" s="578"/>
      <c r="I654" s="40" t="str">
        <f>IFERROR(VLOOKUP(E654,SINAPI!A:D,3,0),"")</f>
        <v>m</v>
      </c>
      <c r="J654" s="579">
        <v>1</v>
      </c>
      <c r="K654" s="40">
        <f>IFERROR(VLOOKUP(E654,SINAPI!A:D,4,0),"")</f>
        <v>75.650000000000006</v>
      </c>
      <c r="L654" s="580">
        <f>IF(J654="","",ROUND(J654*K654,2))</f>
        <v>75.650000000000006</v>
      </c>
      <c r="M654" s="264">
        <v>0.3</v>
      </c>
      <c r="N654" s="562"/>
      <c r="O654" s="562"/>
      <c r="P654" s="562"/>
      <c r="Q654" s="562"/>
    </row>
    <row r="655" spans="1:17" ht="25.5" hidden="1" outlineLevel="1" x14ac:dyDescent="0.25">
      <c r="A655" s="1422" t="b">
        <f t="shared" si="156"/>
        <v>0</v>
      </c>
      <c r="C655" s="35">
        <v>7</v>
      </c>
      <c r="D655" s="576" t="s">
        <v>2639</v>
      </c>
      <c r="E655" s="576">
        <v>1107892</v>
      </c>
      <c r="F655" s="577" t="str">
        <f>G655</f>
        <v>Concreto fck = 20 MPa - confecção em betoneira e lançamento manual - areia e brita comerciais</v>
      </c>
      <c r="G655" s="37" t="str">
        <f>IFERROR(VLOOKUP(E655,SINAPI!A:D,2,0),"")</f>
        <v>Concreto fck = 20 MPa - confecção em betoneira e lançamento manual - areia e brita comerciais</v>
      </c>
      <c r="H655" s="578"/>
      <c r="I655" s="40" t="str">
        <f>IFERROR(VLOOKUP(E655,SINAPI!A:D,3,0),"")</f>
        <v>m³</v>
      </c>
      <c r="J655" s="579">
        <v>0.22450000000000001</v>
      </c>
      <c r="K655" s="40">
        <f>IFERROR(VLOOKUP(E655,SINAPI!A:D,4,0),"")</f>
        <v>449.57</v>
      </c>
      <c r="L655" s="580">
        <f t="shared" ref="L655" si="157">IF(J655="","",ROUND(J655*K655,2))</f>
        <v>100.93</v>
      </c>
      <c r="M655" s="264"/>
      <c r="N655" s="562"/>
      <c r="O655" s="562"/>
      <c r="P655" s="562"/>
      <c r="Q655" s="562"/>
    </row>
    <row r="656" spans="1:17" ht="15" hidden="1" customHeight="1" outlineLevel="1" x14ac:dyDescent="0.25">
      <c r="A656" s="1422" t="b">
        <f t="shared" si="156"/>
        <v>0</v>
      </c>
      <c r="C656" s="739" t="s">
        <v>96</v>
      </c>
      <c r="D656" s="740"/>
      <c r="E656" s="740"/>
      <c r="F656" s="740"/>
      <c r="G656" s="740"/>
      <c r="H656" s="740"/>
      <c r="I656" s="740"/>
      <c r="J656" s="740"/>
      <c r="K656" s="741"/>
      <c r="L656" s="742">
        <f>SUM(L654:L655)</f>
        <v>176.58</v>
      </c>
      <c r="M656" s="261"/>
      <c r="N656" s="562" t="str">
        <f>C653</f>
        <v>COMP 72</v>
      </c>
      <c r="O656" s="582">
        <f>L656</f>
        <v>176.58</v>
      </c>
      <c r="P656" s="562"/>
      <c r="Q656" s="562"/>
    </row>
    <row r="657" spans="1:17" ht="15" hidden="1" customHeight="1" outlineLevel="1" thickBot="1" x14ac:dyDescent="0.3">
      <c r="A657" s="1422" t="b">
        <f t="shared" si="156"/>
        <v>0</v>
      </c>
      <c r="C657" s="1105" t="s">
        <v>7268</v>
      </c>
      <c r="D657" s="231"/>
      <c r="E657" s="231"/>
      <c r="F657" s="231"/>
      <c r="G657" s="231"/>
      <c r="H657" s="231"/>
      <c r="I657" s="231"/>
      <c r="J657" s="231"/>
      <c r="K657" s="232"/>
      <c r="L657" s="581"/>
      <c r="M657" s="261"/>
      <c r="N657" s="562"/>
      <c r="O657" s="582"/>
      <c r="P657" s="562"/>
      <c r="Q657" s="562"/>
    </row>
    <row r="658" spans="1:17" ht="13.5" hidden="1" outlineLevel="1" x14ac:dyDescent="0.25">
      <c r="A658" s="699" t="b">
        <f>_xlfn.XOR(C658=$S$2,C658=$S$3,C658=$S$4,C658=$S$5,C658=$S$6,C658=$S$7,C658=$S$8,C658=$S$9,C658=$S$10,C658=$S$11,C658=$S$12,C658=$S$13,C658=$S$14,C658=$S$15,C658=$S$16,C658=$S$17,C658=$S$18,C658=$S$19,C658=$S$20,C658=$S$21,C658=$S$22,C658=$S$23,C658=$S$24,C658=$S$25,C658=$S$26,C658=$S$27,C658=$S$28,C658=$S$29,C658=$S$30,C658=$S$316,C658=$S$32,C658=$S$33,C658=$S$34,C658=$S$35,C658=$S$36,C658=$S$37,C658=$S$38,C658=$S$39,C658=$S$40,C658=$S$41,C658=$S$42,)</f>
        <v>0</v>
      </c>
      <c r="C658" s="569" t="s">
        <v>7510</v>
      </c>
      <c r="D658" s="570"/>
      <c r="E658" s="1669" t="str">
        <f>IFERROR(VLOOKUP(C658,SINAPI!A:D,2,0),"")</f>
        <v>Babrigo de passageiros padrão DETER, inclusive passeio de concreto</v>
      </c>
      <c r="F658" s="1670"/>
      <c r="G658" s="1670"/>
      <c r="H658" s="1671"/>
      <c r="I658" s="572" t="str">
        <f>IFERROR(VLOOKUP(C658,SINAPI!A:D,3,0),"")</f>
        <v>und</v>
      </c>
      <c r="J658" s="573"/>
      <c r="K658" s="573" t="s">
        <v>2603</v>
      </c>
      <c r="L658" s="574" t="str">
        <f>IF(J658="","",ROUND(J658*#REF!,2))</f>
        <v/>
      </c>
      <c r="M658" s="575"/>
      <c r="N658" s="562"/>
      <c r="O658" s="562"/>
      <c r="P658" s="562"/>
      <c r="Q658" s="562"/>
    </row>
    <row r="659" spans="1:17" ht="15" hidden="1" customHeight="1" outlineLevel="1" x14ac:dyDescent="0.25">
      <c r="A659" s="1422" t="b">
        <f t="shared" ref="A659:A664" si="158">A658</f>
        <v>0</v>
      </c>
      <c r="C659" s="35">
        <v>1</v>
      </c>
      <c r="D659" s="576" t="s">
        <v>2639</v>
      </c>
      <c r="E659" s="576" t="s">
        <v>6421</v>
      </c>
      <c r="F659" s="577" t="s">
        <v>6462</v>
      </c>
      <c r="G659" s="37" t="str">
        <f>IFERROR(VLOOKUP(E659,SINAPI!A:D,2,0),"")</f>
        <v>Caminhão carroceria com guindauto com capacidade de 20 t.m - 136 kW CHP</v>
      </c>
      <c r="H659" s="578"/>
      <c r="I659" s="40" t="str">
        <f>IFERROR(VLOOKUP(E659,SINAPI!A:D,3,0),"")</f>
        <v>h</v>
      </c>
      <c r="J659" s="579">
        <v>1</v>
      </c>
      <c r="K659" s="40">
        <f>IFERROR(VLOOKUP(E659,SINAPI!A:D,4,0),"")</f>
        <v>339.73</v>
      </c>
      <c r="L659" s="580">
        <f>IF(J659="","",ROUND(J659*K659,2))</f>
        <v>339.73</v>
      </c>
      <c r="M659" s="264"/>
      <c r="N659" s="562"/>
      <c r="O659" s="562"/>
      <c r="P659" s="562"/>
      <c r="Q659" s="562"/>
    </row>
    <row r="660" spans="1:17" ht="15" hidden="1" customHeight="1" outlineLevel="1" x14ac:dyDescent="0.25">
      <c r="A660" s="1422" t="b">
        <f t="shared" si="158"/>
        <v>0</v>
      </c>
      <c r="C660" s="35">
        <v>2</v>
      </c>
      <c r="D660" s="576" t="s">
        <v>2639</v>
      </c>
      <c r="E660" s="576" t="s">
        <v>6459</v>
      </c>
      <c r="F660" s="577" t="s">
        <v>6463</v>
      </c>
      <c r="G660" s="37" t="str">
        <f>IFERROR(VLOOKUP(E660,SINAPI!A:D,2,0),"")</f>
        <v>Caminhão carroceria com capacidade de 5 t - 115 kW CHI</v>
      </c>
      <c r="H660" s="578"/>
      <c r="I660" s="40" t="str">
        <f>IFERROR(VLOOKUP(E660,SINAPI!A:D,3,0),"")</f>
        <v>h</v>
      </c>
      <c r="J660" s="579">
        <v>0</v>
      </c>
      <c r="K660" s="40">
        <f>IFERROR(VLOOKUP(E660,SINAPI!A:D,4,0),"")</f>
        <v>52.72</v>
      </c>
      <c r="L660" s="580">
        <f t="shared" ref="L660:L664" si="159">IF(J660="","",ROUND(J660*K660,2))</f>
        <v>0</v>
      </c>
      <c r="M660" s="264"/>
      <c r="N660" s="562"/>
      <c r="O660" s="562"/>
      <c r="P660" s="562"/>
      <c r="Q660" s="562"/>
    </row>
    <row r="661" spans="1:17" ht="15" hidden="1" customHeight="1" outlineLevel="1" x14ac:dyDescent="0.25">
      <c r="A661" s="1422" t="b">
        <f t="shared" si="158"/>
        <v>0</v>
      </c>
      <c r="C661" s="35">
        <v>3</v>
      </c>
      <c r="D661" s="550" t="s">
        <v>2639</v>
      </c>
      <c r="E661" s="551" t="s">
        <v>6397</v>
      </c>
      <c r="F661" s="552" t="s">
        <v>2751</v>
      </c>
      <c r="G661" s="37" t="str">
        <f>IFERROR(VLOOKUP(E661,SINAPI!A:D,2,0),"")</f>
        <v>Pedreiro</v>
      </c>
      <c r="H661" s="578"/>
      <c r="I661" s="40" t="str">
        <f>IFERROR(VLOOKUP(E661,SINAPI!A:D,3,0),"")</f>
        <v>h</v>
      </c>
      <c r="J661" s="579">
        <v>1.5</v>
      </c>
      <c r="K661" s="40">
        <f>IFERROR(VLOOKUP(E661,SINAPI!A:D,4,0),"")</f>
        <v>9.4499999999999993</v>
      </c>
      <c r="L661" s="580">
        <f t="shared" si="159"/>
        <v>14.18</v>
      </c>
      <c r="M661" s="264"/>
      <c r="N661" s="562"/>
      <c r="O661" s="562"/>
      <c r="P661" s="562"/>
      <c r="Q661" s="562"/>
    </row>
    <row r="662" spans="1:17" ht="15" hidden="1" customHeight="1" outlineLevel="1" x14ac:dyDescent="0.25">
      <c r="A662" s="1422" t="b">
        <f t="shared" si="158"/>
        <v>0</v>
      </c>
      <c r="C662" s="35">
        <v>4</v>
      </c>
      <c r="D662" s="550" t="s">
        <v>2639</v>
      </c>
      <c r="E662" s="551" t="s">
        <v>6398</v>
      </c>
      <c r="F662" s="552" t="s">
        <v>2740</v>
      </c>
      <c r="G662" s="37" t="str">
        <f>IFERROR(VLOOKUP(E662,SINAPI!A:D,2,0),"")</f>
        <v>Servente</v>
      </c>
      <c r="H662" s="578"/>
      <c r="I662" s="40" t="str">
        <f>IFERROR(VLOOKUP(E662,SINAPI!A:D,3,0),"")</f>
        <v>h</v>
      </c>
      <c r="J662" s="579">
        <v>3.5</v>
      </c>
      <c r="K662" s="40">
        <f>IFERROR(VLOOKUP(E662,SINAPI!A:D,4,0),"")</f>
        <v>6.61</v>
      </c>
      <c r="L662" s="580">
        <f t="shared" si="159"/>
        <v>23.14</v>
      </c>
      <c r="M662" s="264"/>
      <c r="N662" s="562"/>
      <c r="O662" s="562"/>
      <c r="P662" s="562"/>
      <c r="Q662" s="562"/>
    </row>
    <row r="663" spans="1:17" ht="13.5" hidden="1" outlineLevel="1" x14ac:dyDescent="0.25">
      <c r="A663" s="1422" t="b">
        <f t="shared" si="158"/>
        <v>0</v>
      </c>
      <c r="C663" s="35">
        <v>5</v>
      </c>
      <c r="D663" s="550" t="s">
        <v>2639</v>
      </c>
      <c r="E663" s="550">
        <v>903860</v>
      </c>
      <c r="F663" s="552" t="s">
        <v>3919</v>
      </c>
      <c r="G663" s="37" t="str">
        <f>IFERROR(VLOOKUP(E663,SINAPI!A:D,2,0),"")</f>
        <v>Aplicação de fundo selador acrílico em paredes, uma demão</v>
      </c>
      <c r="H663" s="578"/>
      <c r="I663" s="40" t="str">
        <f>IFERROR(VLOOKUP(E663,SINAPI!A:D,3,0),"")</f>
        <v>m²</v>
      </c>
      <c r="J663" s="579">
        <v>37.5</v>
      </c>
      <c r="K663" s="40">
        <f>IFERROR(VLOOKUP(E663,SINAPI!A:D,4,0),"")</f>
        <v>2.1800000000000002</v>
      </c>
      <c r="L663" s="580">
        <f t="shared" si="159"/>
        <v>81.75</v>
      </c>
      <c r="M663" s="264"/>
      <c r="N663" s="562">
        <v>6</v>
      </c>
      <c r="O663" s="562">
        <v>5</v>
      </c>
      <c r="P663" s="562"/>
      <c r="Q663" s="562"/>
    </row>
    <row r="664" spans="1:17" ht="15" hidden="1" customHeight="1" outlineLevel="1" x14ac:dyDescent="0.25">
      <c r="A664" s="1422" t="b">
        <f t="shared" si="158"/>
        <v>0</v>
      </c>
      <c r="C664" s="35">
        <v>6</v>
      </c>
      <c r="D664" s="550" t="s">
        <v>2639</v>
      </c>
      <c r="E664" s="1086">
        <v>903818</v>
      </c>
      <c r="F664" s="552" t="s">
        <v>3918</v>
      </c>
      <c r="G664" s="37" t="str">
        <f>IFERROR(VLOOKUP(E664,SINAPI!A:D,2,0),"")</f>
        <v>Aplicação manual de tinta látex em paredes, duas demãos</v>
      </c>
      <c r="H664" s="578"/>
      <c r="I664" s="40" t="str">
        <f>IFERROR(VLOOKUP(E664,SINAPI!A:D,3,0),"")</f>
        <v>m²</v>
      </c>
      <c r="J664" s="579">
        <f>J663</f>
        <v>37.5</v>
      </c>
      <c r="K664" s="40">
        <f>IFERROR(VLOOKUP(E664,SINAPI!A:D,4,0),"")</f>
        <v>12.83</v>
      </c>
      <c r="L664" s="580">
        <f t="shared" si="159"/>
        <v>481.13</v>
      </c>
      <c r="M664" s="264"/>
      <c r="N664" s="562">
        <v>6</v>
      </c>
      <c r="O664" s="562">
        <v>5</v>
      </c>
      <c r="P664" s="562"/>
      <c r="Q664" s="562"/>
    </row>
    <row r="665" spans="1:17" ht="15" hidden="1" customHeight="1" outlineLevel="1" x14ac:dyDescent="0.25">
      <c r="A665" s="1422" t="b">
        <f t="shared" ref="A665:A669" si="160">A658</f>
        <v>0</v>
      </c>
      <c r="C665" s="35">
        <v>7</v>
      </c>
      <c r="D665" s="576" t="s">
        <v>2639</v>
      </c>
      <c r="E665" s="576">
        <v>407819</v>
      </c>
      <c r="F665" s="577" t="str">
        <f t="shared" ref="F665:F669" si="161">G665</f>
        <v>Armação em aço CA-50 - fornecimento, preparo e colocação</v>
      </c>
      <c r="G665" s="37" t="str">
        <f>IFERROR(VLOOKUP(E665,SINAPI!A:D,2,0),"")</f>
        <v>Armação em aço CA-50 - fornecimento, preparo e colocação</v>
      </c>
      <c r="H665" s="578"/>
      <c r="I665" s="40" t="str">
        <f>IFERROR(VLOOKUP(E665,SINAPI!A:D,3,0),"")</f>
        <v>kg</v>
      </c>
      <c r="J665" s="579">
        <v>99.9</v>
      </c>
      <c r="K665" s="40">
        <f>IFERROR(VLOOKUP(E665,SINAPI!A:D,4,0),"")</f>
        <v>14.15</v>
      </c>
      <c r="L665" s="580">
        <f t="shared" ref="L665:L669" si="162">IF(J665="","",ROUND(J665*K665,2))</f>
        <v>1413.59</v>
      </c>
      <c r="M665" s="264"/>
      <c r="N665" s="562"/>
      <c r="O665" s="562"/>
      <c r="P665" s="562"/>
      <c r="Q665" s="562"/>
    </row>
    <row r="666" spans="1:17" ht="25.5" hidden="1" outlineLevel="1" x14ac:dyDescent="0.25">
      <c r="A666" s="1422" t="b">
        <f t="shared" si="160"/>
        <v>0</v>
      </c>
      <c r="C666" s="35">
        <v>8</v>
      </c>
      <c r="D666" s="576" t="s">
        <v>17</v>
      </c>
      <c r="E666" s="576" t="s">
        <v>2904</v>
      </c>
      <c r="F666" s="577" t="str">
        <f t="shared" si="161"/>
        <v>Passeio em concreto FCK 20MPa (e= 4cm) sobre lastro de brita (e= 4cm), inclusive formas</v>
      </c>
      <c r="G666" s="37" t="str">
        <f>IFERROR(VLOOKUP(E666,SINAPI!A:D,2,0),"")</f>
        <v>Passeio em concreto FCK 20MPa (e= 4cm) sobre lastro de brita (e= 4cm), inclusive formas</v>
      </c>
      <c r="H666" s="578"/>
      <c r="I666" s="40" t="str">
        <f>IFERROR(VLOOKUP(E666,SINAPI!A:D,3,0),"")</f>
        <v>m²</v>
      </c>
      <c r="J666" s="579">
        <v>15.9</v>
      </c>
      <c r="K666" s="40">
        <f>IFERROR(VLOOKUP(E666,SINAPI!A:D,4,0),"")</f>
        <v>32.21</v>
      </c>
      <c r="L666" s="580">
        <f t="shared" si="162"/>
        <v>512.14</v>
      </c>
      <c r="M666" s="264"/>
      <c r="N666" s="562"/>
      <c r="O666" s="562"/>
      <c r="P666" s="562"/>
      <c r="Q666" s="562"/>
    </row>
    <row r="667" spans="1:17" ht="25.5" hidden="1" customHeight="1" outlineLevel="1" x14ac:dyDescent="0.25">
      <c r="A667" s="1422" t="b">
        <f t="shared" si="160"/>
        <v>0</v>
      </c>
      <c r="C667" s="35">
        <v>9</v>
      </c>
      <c r="D667" s="576" t="s">
        <v>2639</v>
      </c>
      <c r="E667" s="576">
        <v>1107900</v>
      </c>
      <c r="F667" s="577" t="str">
        <f t="shared" si="161"/>
        <v>Concreto fck = 30 MPa - confecção em betoneira e lançamento manual - areia e brita comerciais</v>
      </c>
      <c r="G667" s="37" t="str">
        <f>IFERROR(VLOOKUP(E667,SINAPI!A:D,2,0),"")</f>
        <v>Concreto fck = 30 MPa - confecção em betoneira e lançamento manual - areia e brita comerciais</v>
      </c>
      <c r="H667" s="578"/>
      <c r="I667" s="40" t="str">
        <f>IFERROR(VLOOKUP(E667,SINAPI!A:D,3,0),"")</f>
        <v>m³</v>
      </c>
      <c r="J667" s="579">
        <v>0.99909999999999999</v>
      </c>
      <c r="K667" s="40">
        <f>IFERROR(VLOOKUP(E667,SINAPI!A:D,4,0),"")</f>
        <v>490.63</v>
      </c>
      <c r="L667" s="580">
        <f t="shared" si="162"/>
        <v>490.19</v>
      </c>
      <c r="M667" s="264"/>
      <c r="N667" s="562"/>
      <c r="O667" s="562"/>
      <c r="P667" s="562"/>
      <c r="Q667" s="562"/>
    </row>
    <row r="668" spans="1:17" ht="25.5" hidden="1" outlineLevel="1" x14ac:dyDescent="0.25">
      <c r="A668" s="1422" t="b">
        <f t="shared" si="160"/>
        <v>0</v>
      </c>
      <c r="C668" s="35">
        <v>10</v>
      </c>
      <c r="D668" s="576" t="s">
        <v>2639</v>
      </c>
      <c r="E668" s="576">
        <v>3108017</v>
      </c>
      <c r="F668" s="577" t="str">
        <f t="shared" si="161"/>
        <v>Fôrmas de compensado plastificado 14 mm - uso geral - utilização de 3 vezes - confecção, instalação e retirada</v>
      </c>
      <c r="G668" s="37" t="str">
        <f>IFERROR(VLOOKUP(E668,SINAPI!A:D,2,0),"")</f>
        <v>Fôrmas de compensado plastificado 14 mm - uso geral - utilização de 3 vezes - confecção, instalação e retirada</v>
      </c>
      <c r="H668" s="578"/>
      <c r="I668" s="40" t="str">
        <f>IFERROR(VLOOKUP(E668,SINAPI!A:D,3,0),"")</f>
        <v>m²</v>
      </c>
      <c r="J668" s="579">
        <v>22.52</v>
      </c>
      <c r="K668" s="40">
        <f>IFERROR(VLOOKUP(E668,SINAPI!A:D,4,0),"")</f>
        <v>80.62</v>
      </c>
      <c r="L668" s="580">
        <f t="shared" si="162"/>
        <v>1815.56</v>
      </c>
      <c r="M668" s="264"/>
      <c r="N668" s="562"/>
      <c r="O668" s="562"/>
      <c r="P668" s="562"/>
      <c r="Q668" s="562"/>
    </row>
    <row r="669" spans="1:17" ht="15" hidden="1" customHeight="1" outlineLevel="1" x14ac:dyDescent="0.25">
      <c r="A669" s="1422" t="b">
        <f t="shared" si="160"/>
        <v>0</v>
      </c>
      <c r="C669" s="35">
        <v>11</v>
      </c>
      <c r="D669" s="576" t="s">
        <v>2639</v>
      </c>
      <c r="E669" s="576">
        <v>2003850</v>
      </c>
      <c r="F669" s="577" t="str">
        <f t="shared" si="161"/>
        <v>Lastro de brita comercial compactado com soquete vibratório - espalhamento manual</v>
      </c>
      <c r="G669" s="37" t="str">
        <f>IFERROR(VLOOKUP(E669,SINAPI!A:D,2,0),"")</f>
        <v>Lastro de brita comercial compactado com soquete vibratório - espalhamento manual</v>
      </c>
      <c r="H669" s="578"/>
      <c r="I669" s="40" t="str">
        <f>IFERROR(VLOOKUP(E669,SINAPI!A:D,3,0),"")</f>
        <v>m³</v>
      </c>
      <c r="J669" s="579">
        <v>0.22</v>
      </c>
      <c r="K669" s="40">
        <f>IFERROR(VLOOKUP(E669,SINAPI!A:D,4,0),"")</f>
        <v>139.65</v>
      </c>
      <c r="L669" s="580">
        <f t="shared" si="162"/>
        <v>30.72</v>
      </c>
      <c r="M669" s="264"/>
      <c r="N669" s="562"/>
      <c r="O669" s="562"/>
      <c r="P669" s="562"/>
      <c r="Q669" s="562"/>
    </row>
    <row r="670" spans="1:17" ht="15" hidden="1" customHeight="1" outlineLevel="1" x14ac:dyDescent="0.25">
      <c r="A670" s="1422" t="b">
        <f>A663</f>
        <v>0</v>
      </c>
      <c r="C670" s="739" t="s">
        <v>96</v>
      </c>
      <c r="D670" s="740"/>
      <c r="E670" s="740"/>
      <c r="F670" s="740"/>
      <c r="G670" s="740"/>
      <c r="H670" s="740"/>
      <c r="I670" s="740"/>
      <c r="J670" s="740"/>
      <c r="K670" s="741"/>
      <c r="L670" s="742">
        <f>SUM(L659:L669)</f>
        <v>5202.13</v>
      </c>
      <c r="M670" s="261"/>
      <c r="N670" s="562" t="str">
        <f>C658</f>
        <v>COMP 73</v>
      </c>
      <c r="O670" s="582">
        <f>L670</f>
        <v>5202.13</v>
      </c>
      <c r="P670" s="562"/>
      <c r="Q670" s="562"/>
    </row>
    <row r="671" spans="1:17" ht="15" hidden="1" customHeight="1" outlineLevel="1" thickBot="1" x14ac:dyDescent="0.3">
      <c r="A671" s="1422" t="b">
        <f>A670</f>
        <v>0</v>
      </c>
      <c r="C671" s="1105" t="s">
        <v>7514</v>
      </c>
      <c r="D671" s="231"/>
      <c r="E671" s="231"/>
      <c r="F671" s="231"/>
      <c r="G671" s="231"/>
      <c r="H671" s="231"/>
      <c r="I671" s="231"/>
      <c r="J671" s="231"/>
      <c r="K671" s="232"/>
      <c r="L671" s="581"/>
      <c r="M671" s="261"/>
      <c r="N671" s="562"/>
      <c r="O671" s="582"/>
      <c r="P671" s="562"/>
      <c r="Q671" s="562"/>
    </row>
    <row r="672" spans="1:17" ht="15" customHeight="1" x14ac:dyDescent="0.25">
      <c r="A672" s="660" t="b">
        <v>1</v>
      </c>
      <c r="C672" s="562"/>
      <c r="D672" s="562"/>
      <c r="E672" s="562"/>
      <c r="F672" s="562"/>
      <c r="G672" s="562" t="s">
        <v>2603</v>
      </c>
      <c r="H672" s="562"/>
      <c r="I672" s="562"/>
      <c r="J672" s="562"/>
      <c r="K672" s="562"/>
      <c r="L672" s="562"/>
      <c r="M672" s="588"/>
      <c r="N672" s="562"/>
      <c r="O672" s="562"/>
      <c r="P672" s="562"/>
      <c r="Q672" s="562"/>
    </row>
    <row r="673" spans="1:17" ht="15" customHeight="1" x14ac:dyDescent="0.25">
      <c r="A673" s="660" t="b">
        <f>A672</f>
        <v>1</v>
      </c>
      <c r="C673" s="589" t="str">
        <f>oR!E387</f>
        <v>Presidente Castello Branco - SC, novembro de 2022.</v>
      </c>
      <c r="D673" s="562"/>
      <c r="E673" s="562"/>
      <c r="F673" s="562"/>
      <c r="G673" s="562" t="s">
        <v>2603</v>
      </c>
      <c r="H673" s="562"/>
      <c r="I673" s="562"/>
      <c r="J673" s="562"/>
      <c r="K673" s="562"/>
      <c r="L673" s="562"/>
      <c r="M673" s="588"/>
      <c r="N673" s="562"/>
      <c r="O673" s="562"/>
      <c r="P673" s="562"/>
      <c r="Q673" s="562"/>
    </row>
    <row r="674" spans="1:17" ht="15" customHeight="1" x14ac:dyDescent="0.25">
      <c r="A674" s="668" t="b">
        <f t="shared" ref="A674:A677" si="163">A673</f>
        <v>1</v>
      </c>
      <c r="C674" s="562"/>
      <c r="D674" s="562"/>
      <c r="E674" s="515"/>
      <c r="F674" s="515"/>
      <c r="G674" s="590" t="s">
        <v>2603</v>
      </c>
      <c r="H674" s="591"/>
      <c r="I674" s="591"/>
      <c r="J674" s="562"/>
      <c r="K674" s="591"/>
      <c r="L674" s="592"/>
      <c r="M674" s="264"/>
      <c r="N674" s="562"/>
      <c r="O674" s="562"/>
      <c r="P674" s="562"/>
      <c r="Q674" s="562"/>
    </row>
    <row r="675" spans="1:17" ht="15" customHeight="1" x14ac:dyDescent="0.25">
      <c r="A675" s="668" t="b">
        <f t="shared" si="163"/>
        <v>1</v>
      </c>
      <c r="C675" s="562"/>
      <c r="D675" s="562"/>
      <c r="E675" s="515"/>
      <c r="F675" s="515"/>
      <c r="G675" s="590" t="s">
        <v>2603</v>
      </c>
      <c r="H675" s="591"/>
      <c r="I675" s="591"/>
      <c r="J675" s="593" t="str">
        <f>oR!M389</f>
        <v>Juliano Wolschick</v>
      </c>
      <c r="K675" s="591"/>
      <c r="L675" s="592"/>
      <c r="M675" s="264"/>
      <c r="N675" s="594"/>
      <c r="O675" s="562"/>
      <c r="P675" s="562"/>
      <c r="Q675" s="562"/>
    </row>
    <row r="676" spans="1:17" ht="15" customHeight="1" x14ac:dyDescent="0.25">
      <c r="A676" s="668" t="b">
        <f t="shared" si="163"/>
        <v>1</v>
      </c>
      <c r="C676" s="562"/>
      <c r="D676" s="562"/>
      <c r="E676" s="515"/>
      <c r="F676" s="515"/>
      <c r="G676" s="590" t="s">
        <v>2603</v>
      </c>
      <c r="H676" s="591"/>
      <c r="I676" s="591"/>
      <c r="J676" s="593" t="str">
        <f>oR!M390</f>
        <v>Eng. Civil CREA/SC 057.254-9</v>
      </c>
      <c r="K676" s="591"/>
      <c r="L676" s="595"/>
      <c r="M676" s="264"/>
      <c r="N676" s="562"/>
      <c r="O676" s="562"/>
      <c r="P676" s="562"/>
      <c r="Q676" s="562"/>
    </row>
    <row r="677" spans="1:17" ht="15" customHeight="1" x14ac:dyDescent="0.25">
      <c r="A677" s="668" t="b">
        <f t="shared" si="163"/>
        <v>1</v>
      </c>
      <c r="C677" s="562"/>
      <c r="D677" s="562"/>
      <c r="E677" s="562"/>
      <c r="F677" s="562"/>
      <c r="G677" s="596"/>
      <c r="H677" s="596"/>
      <c r="I677" s="596"/>
      <c r="J677" s="593" t="str">
        <f>oR!M391</f>
        <v>Responsável Técnico</v>
      </c>
      <c r="K677" s="562"/>
      <c r="L677" s="562"/>
      <c r="M677" s="588"/>
      <c r="N677" s="562"/>
      <c r="O677" s="562"/>
      <c r="P677" s="562"/>
      <c r="Q677" s="562"/>
    </row>
  </sheetData>
  <autoFilter ref="A11:U677" xr:uid="{00000000-0001-0000-0600-000000000000}">
    <filterColumn colId="0">
      <filters>
        <filter val="VERDADEIRO"/>
      </filters>
    </filterColumn>
  </autoFilter>
  <sortState xmlns:xlrd2="http://schemas.microsoft.com/office/spreadsheetml/2017/richdata2" ref="S2:S11">
    <sortCondition ref="S2:S11"/>
  </sortState>
  <dataConsolidate/>
  <mergeCells count="49">
    <mergeCell ref="E653:H653"/>
    <mergeCell ref="E658:H658"/>
    <mergeCell ref="E477:H477"/>
    <mergeCell ref="J7:J8"/>
    <mergeCell ref="E163:H163"/>
    <mergeCell ref="E176:H176"/>
    <mergeCell ref="E284:H284"/>
    <mergeCell ref="E196:H196"/>
    <mergeCell ref="E186:H186"/>
    <mergeCell ref="E205:H205"/>
    <mergeCell ref="E431:H431"/>
    <mergeCell ref="E441:H441"/>
    <mergeCell ref="E459:H459"/>
    <mergeCell ref="E293:H293"/>
    <mergeCell ref="E302:H302"/>
    <mergeCell ref="E575:H575"/>
    <mergeCell ref="C1:L1"/>
    <mergeCell ref="L7:L8"/>
    <mergeCell ref="K5:K8"/>
    <mergeCell ref="J5:J6"/>
    <mergeCell ref="H10:H11"/>
    <mergeCell ref="G10:G11"/>
    <mergeCell ref="K10:L10"/>
    <mergeCell ref="C10:C11"/>
    <mergeCell ref="D10:D11"/>
    <mergeCell ref="E10:E11"/>
    <mergeCell ref="F10:F11"/>
    <mergeCell ref="I5:I6"/>
    <mergeCell ref="I10:I11"/>
    <mergeCell ref="J10:J11"/>
    <mergeCell ref="I7:I8"/>
    <mergeCell ref="E586:H586"/>
    <mergeCell ref="E486:H486"/>
    <mergeCell ref="E567:H567"/>
    <mergeCell ref="E560:H560"/>
    <mergeCell ref="E531:H531"/>
    <mergeCell ref="E541:H541"/>
    <mergeCell ref="E551:H551"/>
    <mergeCell ref="E494:H494"/>
    <mergeCell ref="E500:H500"/>
    <mergeCell ref="E507:H507"/>
    <mergeCell ref="E517:H517"/>
    <mergeCell ref="E524:H524"/>
    <mergeCell ref="E615:H615"/>
    <mergeCell ref="E623:H623"/>
    <mergeCell ref="E634:H634"/>
    <mergeCell ref="E642:H642"/>
    <mergeCell ref="E596:H596"/>
    <mergeCell ref="E604:H604"/>
  </mergeCells>
  <phoneticPr fontId="32" type="noConversion"/>
  <conditionalFormatting sqref="E402:F402 F403">
    <cfRule type="expression" dxfId="73" priority="5" stopIfTrue="1">
      <formula>AND($B402&lt;&gt;"COMPOSICAO",$B402&lt;&gt;"INSUMO",$B402&lt;&gt;"")</formula>
    </cfRule>
    <cfRule type="expression" dxfId="72" priority="6" stopIfTrue="1">
      <formula>AND(OR($B402="COMPOSICAO",$B402="INSUMO",$B402&lt;&gt;""),$B402&lt;&gt;"")</formula>
    </cfRule>
  </conditionalFormatting>
  <conditionalFormatting sqref="E406">
    <cfRule type="expression" dxfId="71" priority="3" stopIfTrue="1">
      <formula>AND($B406&lt;&gt;"COMPOSICAO",$B406&lt;&gt;"INSUMO",$B406&lt;&gt;"")</formula>
    </cfRule>
    <cfRule type="expression" dxfId="70" priority="4" stopIfTrue="1">
      <formula>AND(OR($B406="COMPOSICAO",$B406="INSUMO",$B406&lt;&gt;""),$B406&lt;&gt;"")</formula>
    </cfRule>
  </conditionalFormatting>
  <printOptions horizontalCentered="1"/>
  <pageMargins left="0.59055118110236227" right="0.59055118110236227" top="0.9055118110236221" bottom="0.55118110236220474" header="0.31496062992125984" footer="0.19685039370078741"/>
  <pageSetup paperSize="9" scale="74" fitToHeight="0" orientation="landscape" r:id="rId1"/>
  <headerFooter>
    <oddHeader>&amp;C&amp;G</oddHeader>
    <oddFooter>&amp;C&amp;G</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EA24A-64CC-49AB-9D79-1BE3D4029849}">
  <sheetPr>
    <tabColor rgb="FFFFFF00"/>
    <pageSetUpPr fitToPage="1"/>
  </sheetPr>
  <dimension ref="B1:AJ42"/>
  <sheetViews>
    <sheetView view="pageBreakPreview" topLeftCell="E1" zoomScaleNormal="100" zoomScaleSheetLayoutView="100" workbookViewId="0">
      <selection activeCell="O26" sqref="O26:Z27"/>
    </sheetView>
  </sheetViews>
  <sheetFormatPr defaultColWidth="11.5703125" defaultRowHeight="12.75" x14ac:dyDescent="0.25"/>
  <cols>
    <col min="1" max="1" width="4.85546875" style="2" customWidth="1"/>
    <col min="2" max="2" width="15.28515625" style="2" customWidth="1"/>
    <col min="3" max="3" width="16.7109375" style="2" customWidth="1"/>
    <col min="4" max="7" width="11.7109375" style="2" customWidth="1"/>
    <col min="8" max="8" width="10.85546875" style="2" customWidth="1"/>
    <col min="9" max="9" width="13.28515625" style="2" bestFit="1" customWidth="1"/>
    <col min="10" max="10" width="9.42578125" style="2" bestFit="1" customWidth="1"/>
    <col min="11" max="11" width="10.85546875" style="2" customWidth="1"/>
    <col min="12" max="12" width="9.7109375" style="1446" customWidth="1"/>
    <col min="13" max="13" width="11.7109375" style="1446" bestFit="1" customWidth="1"/>
    <col min="14" max="20" width="9.7109375" style="2" customWidth="1"/>
    <col min="21" max="21" width="14.42578125" style="2" bestFit="1" customWidth="1"/>
    <col min="22" max="22" width="9.7109375" style="2" customWidth="1"/>
    <col min="23" max="24" width="11.28515625" style="2" customWidth="1"/>
    <col min="25" max="26" width="9.7109375" style="2" customWidth="1"/>
    <col min="27" max="252" width="11.5703125" style="2"/>
    <col min="253" max="253" width="15.5703125" style="2" customWidth="1"/>
    <col min="254" max="254" width="11.5703125" style="2"/>
    <col min="255" max="255" width="17.7109375" style="2" customWidth="1"/>
    <col min="256" max="508" width="11.5703125" style="2"/>
    <col min="509" max="509" width="15.5703125" style="2" customWidth="1"/>
    <col min="510" max="510" width="11.5703125" style="2"/>
    <col min="511" max="511" width="17.7109375" style="2" customWidth="1"/>
    <col min="512" max="764" width="11.5703125" style="2"/>
    <col min="765" max="765" width="15.5703125" style="2" customWidth="1"/>
    <col min="766" max="766" width="11.5703125" style="2"/>
    <col min="767" max="767" width="17.7109375" style="2" customWidth="1"/>
    <col min="768" max="1020" width="11.5703125" style="2"/>
    <col min="1021" max="1021" width="15.5703125" style="2" customWidth="1"/>
    <col min="1022" max="1022" width="11.5703125" style="2"/>
    <col min="1023" max="1023" width="17.7109375" style="2" customWidth="1"/>
    <col min="1024" max="1276" width="11.5703125" style="2"/>
    <col min="1277" max="1277" width="15.5703125" style="2" customWidth="1"/>
    <col min="1278" max="1278" width="11.5703125" style="2"/>
    <col min="1279" max="1279" width="17.7109375" style="2" customWidth="1"/>
    <col min="1280" max="1532" width="11.5703125" style="2"/>
    <col min="1533" max="1533" width="15.5703125" style="2" customWidth="1"/>
    <col min="1534" max="1534" width="11.5703125" style="2"/>
    <col min="1535" max="1535" width="17.7109375" style="2" customWidth="1"/>
    <col min="1536" max="1788" width="11.5703125" style="2"/>
    <col min="1789" max="1789" width="15.5703125" style="2" customWidth="1"/>
    <col min="1790" max="1790" width="11.5703125" style="2"/>
    <col min="1791" max="1791" width="17.7109375" style="2" customWidth="1"/>
    <col min="1792" max="2044" width="11.5703125" style="2"/>
    <col min="2045" max="2045" width="15.5703125" style="2" customWidth="1"/>
    <col min="2046" max="2046" width="11.5703125" style="2"/>
    <col min="2047" max="2047" width="17.7109375" style="2" customWidth="1"/>
    <col min="2048" max="2300" width="11.5703125" style="2"/>
    <col min="2301" max="2301" width="15.5703125" style="2" customWidth="1"/>
    <col min="2302" max="2302" width="11.5703125" style="2"/>
    <col min="2303" max="2303" width="17.7109375" style="2" customWidth="1"/>
    <col min="2304" max="2556" width="11.5703125" style="2"/>
    <col min="2557" max="2557" width="15.5703125" style="2" customWidth="1"/>
    <col min="2558" max="2558" width="11.5703125" style="2"/>
    <col min="2559" max="2559" width="17.7109375" style="2" customWidth="1"/>
    <col min="2560" max="2812" width="11.5703125" style="2"/>
    <col min="2813" max="2813" width="15.5703125" style="2" customWidth="1"/>
    <col min="2814" max="2814" width="11.5703125" style="2"/>
    <col min="2815" max="2815" width="17.7109375" style="2" customWidth="1"/>
    <col min="2816" max="3068" width="11.5703125" style="2"/>
    <col min="3069" max="3069" width="15.5703125" style="2" customWidth="1"/>
    <col min="3070" max="3070" width="11.5703125" style="2"/>
    <col min="3071" max="3071" width="17.7109375" style="2" customWidth="1"/>
    <col min="3072" max="3324" width="11.5703125" style="2"/>
    <col min="3325" max="3325" width="15.5703125" style="2" customWidth="1"/>
    <col min="3326" max="3326" width="11.5703125" style="2"/>
    <col min="3327" max="3327" width="17.7109375" style="2" customWidth="1"/>
    <col min="3328" max="3580" width="11.5703125" style="2"/>
    <col min="3581" max="3581" width="15.5703125" style="2" customWidth="1"/>
    <col min="3582" max="3582" width="11.5703125" style="2"/>
    <col min="3583" max="3583" width="17.7109375" style="2" customWidth="1"/>
    <col min="3584" max="3836" width="11.5703125" style="2"/>
    <col min="3837" max="3837" width="15.5703125" style="2" customWidth="1"/>
    <col min="3838" max="3838" width="11.5703125" style="2"/>
    <col min="3839" max="3839" width="17.7109375" style="2" customWidth="1"/>
    <col min="3840" max="4092" width="11.5703125" style="2"/>
    <col min="4093" max="4093" width="15.5703125" style="2" customWidth="1"/>
    <col min="4094" max="4094" width="11.5703125" style="2"/>
    <col min="4095" max="4095" width="17.7109375" style="2" customWidth="1"/>
    <col min="4096" max="4348" width="11.5703125" style="2"/>
    <col min="4349" max="4349" width="15.5703125" style="2" customWidth="1"/>
    <col min="4350" max="4350" width="11.5703125" style="2"/>
    <col min="4351" max="4351" width="17.7109375" style="2" customWidth="1"/>
    <col min="4352" max="4604" width="11.5703125" style="2"/>
    <col min="4605" max="4605" width="15.5703125" style="2" customWidth="1"/>
    <col min="4606" max="4606" width="11.5703125" style="2"/>
    <col min="4607" max="4607" width="17.7109375" style="2" customWidth="1"/>
    <col min="4608" max="4860" width="11.5703125" style="2"/>
    <col min="4861" max="4861" width="15.5703125" style="2" customWidth="1"/>
    <col min="4862" max="4862" width="11.5703125" style="2"/>
    <col min="4863" max="4863" width="17.7109375" style="2" customWidth="1"/>
    <col min="4864" max="5116" width="11.5703125" style="2"/>
    <col min="5117" max="5117" width="15.5703125" style="2" customWidth="1"/>
    <col min="5118" max="5118" width="11.5703125" style="2"/>
    <col min="5119" max="5119" width="17.7109375" style="2" customWidth="1"/>
    <col min="5120" max="5372" width="11.5703125" style="2"/>
    <col min="5373" max="5373" width="15.5703125" style="2" customWidth="1"/>
    <col min="5374" max="5374" width="11.5703125" style="2"/>
    <col min="5375" max="5375" width="17.7109375" style="2" customWidth="1"/>
    <col min="5376" max="5628" width="11.5703125" style="2"/>
    <col min="5629" max="5629" width="15.5703125" style="2" customWidth="1"/>
    <col min="5630" max="5630" width="11.5703125" style="2"/>
    <col min="5631" max="5631" width="17.7109375" style="2" customWidth="1"/>
    <col min="5632" max="5884" width="11.5703125" style="2"/>
    <col min="5885" max="5885" width="15.5703125" style="2" customWidth="1"/>
    <col min="5886" max="5886" width="11.5703125" style="2"/>
    <col min="5887" max="5887" width="17.7109375" style="2" customWidth="1"/>
    <col min="5888" max="6140" width="11.5703125" style="2"/>
    <col min="6141" max="6141" width="15.5703125" style="2" customWidth="1"/>
    <col min="6142" max="6142" width="11.5703125" style="2"/>
    <col min="6143" max="6143" width="17.7109375" style="2" customWidth="1"/>
    <col min="6144" max="6396" width="11.5703125" style="2"/>
    <col min="6397" max="6397" width="15.5703125" style="2" customWidth="1"/>
    <col min="6398" max="6398" width="11.5703125" style="2"/>
    <col min="6399" max="6399" width="17.7109375" style="2" customWidth="1"/>
    <col min="6400" max="6652" width="11.5703125" style="2"/>
    <col min="6653" max="6653" width="15.5703125" style="2" customWidth="1"/>
    <col min="6654" max="6654" width="11.5703125" style="2"/>
    <col min="6655" max="6655" width="17.7109375" style="2" customWidth="1"/>
    <col min="6656" max="6908" width="11.5703125" style="2"/>
    <col min="6909" max="6909" width="15.5703125" style="2" customWidth="1"/>
    <col min="6910" max="6910" width="11.5703125" style="2"/>
    <col min="6911" max="6911" width="17.7109375" style="2" customWidth="1"/>
    <col min="6912" max="7164" width="11.5703125" style="2"/>
    <col min="7165" max="7165" width="15.5703125" style="2" customWidth="1"/>
    <col min="7166" max="7166" width="11.5703125" style="2"/>
    <col min="7167" max="7167" width="17.7109375" style="2" customWidth="1"/>
    <col min="7168" max="7420" width="11.5703125" style="2"/>
    <col min="7421" max="7421" width="15.5703125" style="2" customWidth="1"/>
    <col min="7422" max="7422" width="11.5703125" style="2"/>
    <col min="7423" max="7423" width="17.7109375" style="2" customWidth="1"/>
    <col min="7424" max="7676" width="11.5703125" style="2"/>
    <col min="7677" max="7677" width="15.5703125" style="2" customWidth="1"/>
    <col min="7678" max="7678" width="11.5703125" style="2"/>
    <col min="7679" max="7679" width="17.7109375" style="2" customWidth="1"/>
    <col min="7680" max="7932" width="11.5703125" style="2"/>
    <col min="7933" max="7933" width="15.5703125" style="2" customWidth="1"/>
    <col min="7934" max="7934" width="11.5703125" style="2"/>
    <col min="7935" max="7935" width="17.7109375" style="2" customWidth="1"/>
    <col min="7936" max="8188" width="11.5703125" style="2"/>
    <col min="8189" max="8189" width="15.5703125" style="2" customWidth="1"/>
    <col min="8190" max="8190" width="11.5703125" style="2"/>
    <col min="8191" max="8191" width="17.7109375" style="2" customWidth="1"/>
    <col min="8192" max="8444" width="11.5703125" style="2"/>
    <col min="8445" max="8445" width="15.5703125" style="2" customWidth="1"/>
    <col min="8446" max="8446" width="11.5703125" style="2"/>
    <col min="8447" max="8447" width="17.7109375" style="2" customWidth="1"/>
    <col min="8448" max="8700" width="11.5703125" style="2"/>
    <col min="8701" max="8701" width="15.5703125" style="2" customWidth="1"/>
    <col min="8702" max="8702" width="11.5703125" style="2"/>
    <col min="8703" max="8703" width="17.7109375" style="2" customWidth="1"/>
    <col min="8704" max="8956" width="11.5703125" style="2"/>
    <col min="8957" max="8957" width="15.5703125" style="2" customWidth="1"/>
    <col min="8958" max="8958" width="11.5703125" style="2"/>
    <col min="8959" max="8959" width="17.7109375" style="2" customWidth="1"/>
    <col min="8960" max="9212" width="11.5703125" style="2"/>
    <col min="9213" max="9213" width="15.5703125" style="2" customWidth="1"/>
    <col min="9214" max="9214" width="11.5703125" style="2"/>
    <col min="9215" max="9215" width="17.7109375" style="2" customWidth="1"/>
    <col min="9216" max="9468" width="11.5703125" style="2"/>
    <col min="9469" max="9469" width="15.5703125" style="2" customWidth="1"/>
    <col min="9470" max="9470" width="11.5703125" style="2"/>
    <col min="9471" max="9471" width="17.7109375" style="2" customWidth="1"/>
    <col min="9472" max="9724" width="11.5703125" style="2"/>
    <col min="9725" max="9725" width="15.5703125" style="2" customWidth="1"/>
    <col min="9726" max="9726" width="11.5703125" style="2"/>
    <col min="9727" max="9727" width="17.7109375" style="2" customWidth="1"/>
    <col min="9728" max="9980" width="11.5703125" style="2"/>
    <col min="9981" max="9981" width="15.5703125" style="2" customWidth="1"/>
    <col min="9982" max="9982" width="11.5703125" style="2"/>
    <col min="9983" max="9983" width="17.7109375" style="2" customWidth="1"/>
    <col min="9984" max="10236" width="11.5703125" style="2"/>
    <col min="10237" max="10237" width="15.5703125" style="2" customWidth="1"/>
    <col min="10238" max="10238" width="11.5703125" style="2"/>
    <col min="10239" max="10239" width="17.7109375" style="2" customWidth="1"/>
    <col min="10240" max="10492" width="11.5703125" style="2"/>
    <col min="10493" max="10493" width="15.5703125" style="2" customWidth="1"/>
    <col min="10494" max="10494" width="11.5703125" style="2"/>
    <col min="10495" max="10495" width="17.7109375" style="2" customWidth="1"/>
    <col min="10496" max="10748" width="11.5703125" style="2"/>
    <col min="10749" max="10749" width="15.5703125" style="2" customWidth="1"/>
    <col min="10750" max="10750" width="11.5703125" style="2"/>
    <col min="10751" max="10751" width="17.7109375" style="2" customWidth="1"/>
    <col min="10752" max="11004" width="11.5703125" style="2"/>
    <col min="11005" max="11005" width="15.5703125" style="2" customWidth="1"/>
    <col min="11006" max="11006" width="11.5703125" style="2"/>
    <col min="11007" max="11007" width="17.7109375" style="2" customWidth="1"/>
    <col min="11008" max="11260" width="11.5703125" style="2"/>
    <col min="11261" max="11261" width="15.5703125" style="2" customWidth="1"/>
    <col min="11262" max="11262" width="11.5703125" style="2"/>
    <col min="11263" max="11263" width="17.7109375" style="2" customWidth="1"/>
    <col min="11264" max="11516" width="11.5703125" style="2"/>
    <col min="11517" max="11517" width="15.5703125" style="2" customWidth="1"/>
    <col min="11518" max="11518" width="11.5703125" style="2"/>
    <col min="11519" max="11519" width="17.7109375" style="2" customWidth="1"/>
    <col min="11520" max="11772" width="11.5703125" style="2"/>
    <col min="11773" max="11773" width="15.5703125" style="2" customWidth="1"/>
    <col min="11774" max="11774" width="11.5703125" style="2"/>
    <col min="11775" max="11775" width="17.7109375" style="2" customWidth="1"/>
    <col min="11776" max="12028" width="11.5703125" style="2"/>
    <col min="12029" max="12029" width="15.5703125" style="2" customWidth="1"/>
    <col min="12030" max="12030" width="11.5703125" style="2"/>
    <col min="12031" max="12031" width="17.7109375" style="2" customWidth="1"/>
    <col min="12032" max="12284" width="11.5703125" style="2"/>
    <col min="12285" max="12285" width="15.5703125" style="2" customWidth="1"/>
    <col min="12286" max="12286" width="11.5703125" style="2"/>
    <col min="12287" max="12287" width="17.7109375" style="2" customWidth="1"/>
    <col min="12288" max="12540" width="11.5703125" style="2"/>
    <col min="12541" max="12541" width="15.5703125" style="2" customWidth="1"/>
    <col min="12542" max="12542" width="11.5703125" style="2"/>
    <col min="12543" max="12543" width="17.7109375" style="2" customWidth="1"/>
    <col min="12544" max="12796" width="11.5703125" style="2"/>
    <col min="12797" max="12797" width="15.5703125" style="2" customWidth="1"/>
    <col min="12798" max="12798" width="11.5703125" style="2"/>
    <col min="12799" max="12799" width="17.7109375" style="2" customWidth="1"/>
    <col min="12800" max="13052" width="11.5703125" style="2"/>
    <col min="13053" max="13053" width="15.5703125" style="2" customWidth="1"/>
    <col min="13054" max="13054" width="11.5703125" style="2"/>
    <col min="13055" max="13055" width="17.7109375" style="2" customWidth="1"/>
    <col min="13056" max="13308" width="11.5703125" style="2"/>
    <col min="13309" max="13309" width="15.5703125" style="2" customWidth="1"/>
    <col min="13310" max="13310" width="11.5703125" style="2"/>
    <col min="13311" max="13311" width="17.7109375" style="2" customWidth="1"/>
    <col min="13312" max="13564" width="11.5703125" style="2"/>
    <col min="13565" max="13565" width="15.5703125" style="2" customWidth="1"/>
    <col min="13566" max="13566" width="11.5703125" style="2"/>
    <col min="13567" max="13567" width="17.7109375" style="2" customWidth="1"/>
    <col min="13568" max="13820" width="11.5703125" style="2"/>
    <col min="13821" max="13821" width="15.5703125" style="2" customWidth="1"/>
    <col min="13822" max="13822" width="11.5703125" style="2"/>
    <col min="13823" max="13823" width="17.7109375" style="2" customWidth="1"/>
    <col min="13824" max="14076" width="11.5703125" style="2"/>
    <col min="14077" max="14077" width="15.5703125" style="2" customWidth="1"/>
    <col min="14078" max="14078" width="11.5703125" style="2"/>
    <col min="14079" max="14079" width="17.7109375" style="2" customWidth="1"/>
    <col min="14080" max="14332" width="11.5703125" style="2"/>
    <col min="14333" max="14333" width="15.5703125" style="2" customWidth="1"/>
    <col min="14334" max="14334" width="11.5703125" style="2"/>
    <col min="14335" max="14335" width="17.7109375" style="2" customWidth="1"/>
    <col min="14336" max="14588" width="11.5703125" style="2"/>
    <col min="14589" max="14589" width="15.5703125" style="2" customWidth="1"/>
    <col min="14590" max="14590" width="11.5703125" style="2"/>
    <col min="14591" max="14591" width="17.7109375" style="2" customWidth="1"/>
    <col min="14592" max="14844" width="11.5703125" style="2"/>
    <col min="14845" max="14845" width="15.5703125" style="2" customWidth="1"/>
    <col min="14846" max="14846" width="11.5703125" style="2"/>
    <col min="14847" max="14847" width="17.7109375" style="2" customWidth="1"/>
    <col min="14848" max="15100" width="11.5703125" style="2"/>
    <col min="15101" max="15101" width="15.5703125" style="2" customWidth="1"/>
    <col min="15102" max="15102" width="11.5703125" style="2"/>
    <col min="15103" max="15103" width="17.7109375" style="2" customWidth="1"/>
    <col min="15104" max="15356" width="11.5703125" style="2"/>
    <col min="15357" max="15357" width="15.5703125" style="2" customWidth="1"/>
    <col min="15358" max="15358" width="11.5703125" style="2"/>
    <col min="15359" max="15359" width="17.7109375" style="2" customWidth="1"/>
    <col min="15360" max="15612" width="11.5703125" style="2"/>
    <col min="15613" max="15613" width="15.5703125" style="2" customWidth="1"/>
    <col min="15614" max="15614" width="11.5703125" style="2"/>
    <col min="15615" max="15615" width="17.7109375" style="2" customWidth="1"/>
    <col min="15616" max="15868" width="11.5703125" style="2"/>
    <col min="15869" max="15869" width="15.5703125" style="2" customWidth="1"/>
    <col min="15870" max="15870" width="11.5703125" style="2"/>
    <col min="15871" max="15871" width="17.7109375" style="2" customWidth="1"/>
    <col min="15872" max="16124" width="11.5703125" style="2"/>
    <col min="16125" max="16125" width="15.5703125" style="2" customWidth="1"/>
    <col min="16126" max="16126" width="11.5703125" style="2"/>
    <col min="16127" max="16127" width="17.7109375" style="2" customWidth="1"/>
    <col min="16128" max="16384" width="11.5703125" style="2"/>
  </cols>
  <sheetData>
    <row r="1" spans="2:36" x14ac:dyDescent="0.25">
      <c r="B1" s="1665" t="s">
        <v>0</v>
      </c>
      <c r="C1" s="1665"/>
      <c r="D1" s="1665"/>
      <c r="E1" s="1665"/>
      <c r="F1" s="1665"/>
      <c r="G1" s="1665"/>
      <c r="H1" s="1665"/>
      <c r="I1" s="1665"/>
      <c r="J1" s="1665"/>
      <c r="K1" s="1665"/>
    </row>
    <row r="2" spans="2:36" ht="13.5" thickBot="1" x14ac:dyDescent="0.3">
      <c r="B2" s="1451"/>
      <c r="C2" s="1451"/>
      <c r="D2" s="1451"/>
      <c r="E2" s="1451"/>
      <c r="F2" s="1451"/>
      <c r="G2" s="1451"/>
      <c r="H2" s="1452"/>
      <c r="I2" s="1453"/>
      <c r="J2" s="1453"/>
    </row>
    <row r="3" spans="2:36" ht="15.75" customHeight="1" thickBot="1" x14ac:dyDescent="0.3">
      <c r="B3" s="227" t="s">
        <v>13602</v>
      </c>
      <c r="C3" s="228"/>
      <c r="D3" s="228"/>
      <c r="E3" s="228"/>
      <c r="F3" s="228"/>
      <c r="G3" s="228"/>
      <c r="H3" s="228"/>
      <c r="I3" s="228"/>
      <c r="J3" s="228"/>
      <c r="K3" s="228"/>
      <c r="L3" s="228"/>
      <c r="M3" s="228"/>
      <c r="N3" s="228"/>
      <c r="O3" s="228"/>
      <c r="P3" s="228"/>
      <c r="Q3" s="228"/>
      <c r="R3" s="228"/>
      <c r="S3" s="228"/>
      <c r="T3" s="228"/>
      <c r="U3" s="228"/>
      <c r="V3" s="228"/>
      <c r="W3" s="228"/>
      <c r="X3" s="228"/>
      <c r="Y3" s="228"/>
      <c r="Z3" s="229"/>
    </row>
    <row r="4" spans="2:36" ht="13.5" thickBot="1" x14ac:dyDescent="0.3">
      <c r="B4" s="165"/>
      <c r="C4" s="165"/>
      <c r="D4" s="165"/>
      <c r="E4" s="165"/>
      <c r="F4" s="165"/>
      <c r="G4" s="165"/>
      <c r="H4" s="166"/>
      <c r="I4" s="166"/>
      <c r="J4" s="166"/>
      <c r="K4" s="166"/>
      <c r="L4" s="699"/>
    </row>
    <row r="5" spans="2:36" x14ac:dyDescent="0.25">
      <c r="B5" s="1454" t="str">
        <f>oR!E5</f>
        <v>PROPRIETÁRIO:</v>
      </c>
      <c r="C5" s="1455" t="str">
        <f>oR!G5</f>
        <v>MUNICÍPIO DE PRESIDENTE CASTELLO BRANCO</v>
      </c>
      <c r="D5" s="1456"/>
      <c r="E5" s="1456"/>
      <c r="F5" s="1456"/>
      <c r="G5" s="1456"/>
      <c r="H5" s="1456"/>
      <c r="I5" s="165"/>
      <c r="J5" s="165"/>
      <c r="K5" s="165"/>
      <c r="L5" s="165"/>
      <c r="M5" s="165"/>
      <c r="N5" s="165"/>
      <c r="O5" s="165"/>
      <c r="P5" s="165"/>
      <c r="Q5" s="165"/>
      <c r="R5" s="165"/>
      <c r="S5" s="165"/>
      <c r="T5" s="165"/>
      <c r="U5" s="165"/>
      <c r="V5" s="165"/>
      <c r="W5" s="165"/>
      <c r="X5" s="165"/>
      <c r="Y5" s="165"/>
      <c r="Z5" s="1457"/>
    </row>
    <row r="6" spans="2:36" ht="15" customHeight="1" x14ac:dyDescent="0.25">
      <c r="B6" s="1458" t="str">
        <f>oR!E6</f>
        <v>OBRA:</v>
      </c>
      <c r="C6" s="1459" t="str">
        <f>oR!G6</f>
        <v>IMPLANTAÇÃO E PAVIMENTAÇÃO DA ESTRADA DE LINHA TAQUARAL - SEGMENTO 01</v>
      </c>
      <c r="D6" s="1460"/>
      <c r="E6" s="1460"/>
      <c r="F6" s="1460"/>
      <c r="G6" s="1460"/>
      <c r="H6" s="1460"/>
      <c r="L6" s="2"/>
      <c r="M6" s="2"/>
      <c r="Z6" s="43"/>
    </row>
    <row r="7" spans="2:36" ht="12.75" customHeight="1" x14ac:dyDescent="0.25">
      <c r="B7" s="1458" t="str">
        <f>oR!E7</f>
        <v>TRECHO:</v>
      </c>
      <c r="C7" s="1461" t="str">
        <f>oR!G7</f>
        <v>Av. Dezessete de Fevereiro - Fim da pavimentação (Km 2+200m)</v>
      </c>
      <c r="D7" s="1460"/>
      <c r="E7" s="1460"/>
      <c r="F7" s="1462"/>
      <c r="G7" s="1462"/>
      <c r="H7" s="1463"/>
      <c r="I7" s="1460"/>
      <c r="J7" s="1460"/>
      <c r="K7" s="1460"/>
      <c r="L7" s="1460"/>
      <c r="M7" s="1460"/>
      <c r="N7" s="1460"/>
      <c r="O7" s="1460"/>
      <c r="P7" s="1460"/>
      <c r="Q7" s="1460"/>
      <c r="R7" s="1460"/>
      <c r="S7" s="1460"/>
      <c r="T7" s="1460"/>
      <c r="U7" s="1460"/>
      <c r="V7" s="1460"/>
      <c r="W7" s="1460"/>
      <c r="X7" s="1460"/>
      <c r="Y7" s="1460"/>
      <c r="Z7" s="1464"/>
    </row>
    <row r="8" spans="2:36" ht="12.75" customHeight="1" thickBot="1" x14ac:dyDescent="0.3">
      <c r="B8" s="1465"/>
      <c r="C8" s="1466"/>
      <c r="D8" s="1467"/>
      <c r="E8" s="1467"/>
      <c r="F8" s="1468"/>
      <c r="G8" s="1468"/>
      <c r="H8" s="1469"/>
      <c r="I8" s="1467"/>
      <c r="J8" s="1467"/>
      <c r="K8" s="1467"/>
      <c r="L8" s="1467"/>
      <c r="M8" s="1467"/>
      <c r="N8" s="1467"/>
      <c r="O8" s="1467"/>
      <c r="P8" s="1467"/>
      <c r="Q8" s="1467"/>
      <c r="R8" s="1467"/>
      <c r="S8" s="1467"/>
      <c r="T8" s="1467"/>
      <c r="U8" s="1467"/>
      <c r="V8" s="1467"/>
      <c r="W8" s="1467"/>
      <c r="X8" s="1467"/>
      <c r="Y8" s="1467"/>
      <c r="Z8" s="1470"/>
    </row>
    <row r="9" spans="2:36" ht="13.5" thickBot="1" x14ac:dyDescent="0.3">
      <c r="B9" s="1471"/>
      <c r="C9" s="1471"/>
      <c r="D9" s="1472"/>
      <c r="E9" s="1472"/>
      <c r="F9" s="1472"/>
      <c r="L9" s="2"/>
      <c r="M9" s="2"/>
    </row>
    <row r="10" spans="2:36" ht="24.75" customHeight="1" x14ac:dyDescent="0.25">
      <c r="B10" s="1694" t="s">
        <v>6</v>
      </c>
      <c r="C10" s="1697" t="s">
        <v>9</v>
      </c>
      <c r="D10" s="1698"/>
      <c r="E10" s="1698"/>
      <c r="F10" s="1698"/>
      <c r="G10" s="1699"/>
      <c r="H10" s="1706" t="s">
        <v>13603</v>
      </c>
      <c r="I10" s="1706" t="s">
        <v>2810</v>
      </c>
      <c r="J10" s="1706" t="s">
        <v>2798</v>
      </c>
      <c r="K10" s="1709" t="s">
        <v>13604</v>
      </c>
      <c r="L10" s="1709"/>
      <c r="M10" s="1709"/>
      <c r="N10" s="1709"/>
      <c r="O10" s="1710" t="s">
        <v>13605</v>
      </c>
      <c r="P10" s="1711"/>
      <c r="Q10" s="1711"/>
      <c r="R10" s="1711"/>
      <c r="S10" s="1711"/>
      <c r="T10" s="1711"/>
      <c r="U10" s="1711"/>
      <c r="V10" s="1712"/>
      <c r="W10" s="1713" t="s">
        <v>13606</v>
      </c>
      <c r="X10" s="1714"/>
      <c r="Y10" s="1715"/>
      <c r="Z10" s="1716" t="s">
        <v>13607</v>
      </c>
    </row>
    <row r="11" spans="2:36" ht="26.25" customHeight="1" x14ac:dyDescent="0.25">
      <c r="B11" s="1695"/>
      <c r="C11" s="1700"/>
      <c r="D11" s="1701"/>
      <c r="E11" s="1701"/>
      <c r="F11" s="1701"/>
      <c r="G11" s="1702"/>
      <c r="H11" s="1707"/>
      <c r="I11" s="1707"/>
      <c r="J11" s="1707"/>
      <c r="K11" s="1719" t="s">
        <v>96</v>
      </c>
      <c r="L11" s="1719" t="s">
        <v>13608</v>
      </c>
      <c r="M11" s="1719" t="s">
        <v>13609</v>
      </c>
      <c r="N11" s="1719" t="s">
        <v>13610</v>
      </c>
      <c r="O11" s="1719" t="s">
        <v>13611</v>
      </c>
      <c r="P11" s="1719" t="str">
        <f t="shared" ref="P11:R11" si="0">L11</f>
        <v>Leito Natural</v>
      </c>
      <c r="Q11" s="1719" t="str">
        <f t="shared" si="0"/>
        <v>Não pavim.</v>
      </c>
      <c r="R11" s="1719" t="str">
        <f t="shared" si="0"/>
        <v>Pavim</v>
      </c>
      <c r="S11" s="1719" t="s">
        <v>96</v>
      </c>
      <c r="T11" s="1719" t="s">
        <v>13612</v>
      </c>
      <c r="U11" s="1719" t="s">
        <v>13613</v>
      </c>
      <c r="V11" s="1719" t="s">
        <v>96</v>
      </c>
      <c r="W11" s="1719" t="s">
        <v>3188</v>
      </c>
      <c r="X11" s="1719" t="s">
        <v>13614</v>
      </c>
      <c r="Y11" s="1720" t="s">
        <v>13615</v>
      </c>
      <c r="Z11" s="1717"/>
    </row>
    <row r="12" spans="2:36" ht="15.75" customHeight="1" thickBot="1" x14ac:dyDescent="0.3">
      <c r="B12" s="1696"/>
      <c r="C12" s="1703"/>
      <c r="D12" s="1704"/>
      <c r="E12" s="1704"/>
      <c r="F12" s="1704"/>
      <c r="G12" s="1705"/>
      <c r="H12" s="1708"/>
      <c r="I12" s="1708"/>
      <c r="J12" s="1708"/>
      <c r="K12" s="1708"/>
      <c r="L12" s="1708"/>
      <c r="M12" s="1708"/>
      <c r="N12" s="1708"/>
      <c r="O12" s="1708"/>
      <c r="P12" s="1708"/>
      <c r="Q12" s="1708"/>
      <c r="R12" s="1708"/>
      <c r="S12" s="1708"/>
      <c r="T12" s="1708"/>
      <c r="U12" s="1708"/>
      <c r="V12" s="1708"/>
      <c r="W12" s="1708"/>
      <c r="X12" s="1708"/>
      <c r="Y12" s="1721"/>
      <c r="Z12" s="1718"/>
    </row>
    <row r="13" spans="2:36" x14ac:dyDescent="0.25">
      <c r="B13" s="1473" t="s">
        <v>6480</v>
      </c>
      <c r="C13" s="1723" t="s">
        <v>13616</v>
      </c>
      <c r="D13" s="1723"/>
      <c r="E13" s="1723"/>
      <c r="F13" s="1723"/>
      <c r="G13" s="1723"/>
      <c r="H13" s="1474" t="s">
        <v>13617</v>
      </c>
      <c r="I13" s="1475" t="s">
        <v>13618</v>
      </c>
      <c r="J13" s="1475" t="s">
        <v>13668</v>
      </c>
      <c r="K13" s="1476">
        <f>SUM(L13:N13)</f>
        <v>374.8</v>
      </c>
      <c r="L13" s="1476">
        <v>0</v>
      </c>
      <c r="M13" s="1476">
        <v>0</v>
      </c>
      <c r="N13" s="1477">
        <f>DMT!K10</f>
        <v>374.8</v>
      </c>
      <c r="O13" s="1476">
        <f>$I$20</f>
        <v>53.63</v>
      </c>
      <c r="P13" s="1476">
        <f>L13*$K$22</f>
        <v>0</v>
      </c>
      <c r="Q13" s="1476">
        <f>M13*$K$21</f>
        <v>0</v>
      </c>
      <c r="R13" s="1476">
        <f>N13*$K$20</f>
        <v>188.52</v>
      </c>
      <c r="S13" s="1476">
        <f>SUM(O13:R13)</f>
        <v>242.15</v>
      </c>
      <c r="T13" s="1476">
        <f>(1/(1-$C$29)-1)*S13</f>
        <v>49.6</v>
      </c>
      <c r="U13" s="1476">
        <v>0</v>
      </c>
      <c r="V13" s="1476">
        <f>T13+S13+U13</f>
        <v>291.75</v>
      </c>
      <c r="W13" s="1476">
        <f>AA13*1000</f>
        <v>4476.62</v>
      </c>
      <c r="X13" s="1476">
        <f>(1/(1-$D$29)-1)*W13</f>
        <v>235.61</v>
      </c>
      <c r="Y13" s="1476">
        <f>W13+X13</f>
        <v>4712.2299999999996</v>
      </c>
      <c r="Z13" s="1478">
        <f>Y13+V13</f>
        <v>5003.9799999999996</v>
      </c>
      <c r="AA13" s="1479">
        <f>SINAPI!E114</f>
        <v>4.4766236114729798</v>
      </c>
      <c r="AB13" s="2" t="str">
        <f t="shared" ref="AB13:AB16" si="1">B13</f>
        <v>CAP AB8</v>
      </c>
      <c r="AC13" s="2" t="str">
        <f t="shared" ref="AC13:AC16" si="2">H13</f>
        <v>REPAR</v>
      </c>
      <c r="AJ13" s="47"/>
    </row>
    <row r="14" spans="2:36" ht="12.75" customHeight="1" x14ac:dyDescent="0.25">
      <c r="B14" s="1480" t="s">
        <v>6039</v>
      </c>
      <c r="C14" s="1724" t="s">
        <v>13619</v>
      </c>
      <c r="D14" s="1724"/>
      <c r="E14" s="1724"/>
      <c r="F14" s="1724"/>
      <c r="G14" s="1724"/>
      <c r="H14" s="1481" t="str">
        <f>H13</f>
        <v>REPAR</v>
      </c>
      <c r="I14" s="1482" t="str">
        <f>I13</f>
        <v>Araucária - PR</v>
      </c>
      <c r="J14" s="1482" t="str">
        <f>J13</f>
        <v>Usina</v>
      </c>
      <c r="K14" s="1483">
        <f>SUM(L14:N14)</f>
        <v>374.8</v>
      </c>
      <c r="L14" s="1483">
        <f>L13</f>
        <v>0</v>
      </c>
      <c r="M14" s="1483">
        <f>M13</f>
        <v>0</v>
      </c>
      <c r="N14" s="1484">
        <f>N13</f>
        <v>374.8</v>
      </c>
      <c r="O14" s="1483">
        <f>$I$20</f>
        <v>53.63</v>
      </c>
      <c r="P14" s="1483">
        <f>L14*$K$22</f>
        <v>0</v>
      </c>
      <c r="Q14" s="1483">
        <f>M14*$K$21</f>
        <v>0</v>
      </c>
      <c r="R14" s="1483">
        <f>N14*$K$20</f>
        <v>188.52</v>
      </c>
      <c r="S14" s="1483">
        <f t="shared" ref="S14:S16" si="3">SUM(O14:R14)</f>
        <v>242.15</v>
      </c>
      <c r="T14" s="1483">
        <f>(1/(1-$C$29)-1)*S14</f>
        <v>49.6</v>
      </c>
      <c r="U14" s="1483">
        <f>U13</f>
        <v>0</v>
      </c>
      <c r="V14" s="1483">
        <f t="shared" ref="V14:V16" si="4">T14+S14+U14</f>
        <v>291.75</v>
      </c>
      <c r="W14" s="1483">
        <f>AA14*1000</f>
        <v>3791.5</v>
      </c>
      <c r="X14" s="1483">
        <f>(1/(1-$E$29)-1)*W14</f>
        <v>776.57</v>
      </c>
      <c r="Y14" s="1483">
        <f t="shared" ref="Y14:Y16" si="5">W14+X14</f>
        <v>4568.07</v>
      </c>
      <c r="Z14" s="1485">
        <f t="shared" ref="Z14:Z16" si="6">Y14+V14</f>
        <v>4859.82</v>
      </c>
      <c r="AA14" s="1479">
        <f>SINAPI!E117</f>
        <v>3.79150221717848</v>
      </c>
      <c r="AB14" s="2" t="str">
        <f t="shared" si="1"/>
        <v>CAP 50-70</v>
      </c>
      <c r="AC14" s="2" t="str">
        <f t="shared" si="2"/>
        <v>REPAR</v>
      </c>
      <c r="AJ14" s="47"/>
    </row>
    <row r="15" spans="2:36" ht="12.75" customHeight="1" x14ac:dyDescent="0.25">
      <c r="B15" s="1480" t="s">
        <v>3176</v>
      </c>
      <c r="C15" s="1724" t="s">
        <v>13620</v>
      </c>
      <c r="D15" s="1724"/>
      <c r="E15" s="1724"/>
      <c r="F15" s="1724"/>
      <c r="G15" s="1724"/>
      <c r="H15" s="1481" t="str">
        <f>H14</f>
        <v>REPAR</v>
      </c>
      <c r="I15" s="1482" t="str">
        <f>I14</f>
        <v>Araucária - PR</v>
      </c>
      <c r="J15" s="1482" t="str">
        <f>J13</f>
        <v>Usina</v>
      </c>
      <c r="K15" s="1483">
        <f t="shared" ref="K15:K16" si="7">SUM(L15:N15)</f>
        <v>374.8</v>
      </c>
      <c r="L15" s="1483">
        <f>L13</f>
        <v>0</v>
      </c>
      <c r="M15" s="1483">
        <f>M13</f>
        <v>0</v>
      </c>
      <c r="N15" s="1484">
        <f>N13</f>
        <v>374.8</v>
      </c>
      <c r="O15" s="1483">
        <f>$I$20</f>
        <v>53.63</v>
      </c>
      <c r="P15" s="1483">
        <f>L15*$K$22</f>
        <v>0</v>
      </c>
      <c r="Q15" s="1483">
        <f>M15*$K$21</f>
        <v>0</v>
      </c>
      <c r="R15" s="1483">
        <f>N15*$K$20</f>
        <v>188.52</v>
      </c>
      <c r="S15" s="1483">
        <f t="shared" si="3"/>
        <v>242.15</v>
      </c>
      <c r="T15" s="1483">
        <f>(1/(1-$C$29)-1)*S15</f>
        <v>49.6</v>
      </c>
      <c r="U15" s="1483">
        <f>U14</f>
        <v>0</v>
      </c>
      <c r="V15" s="1483">
        <f t="shared" si="4"/>
        <v>291.75</v>
      </c>
      <c r="W15" s="1483">
        <f>AA15*1000</f>
        <v>3009.54</v>
      </c>
      <c r="X15" s="1483">
        <f>(1/(1-$F$29)-1)*W15</f>
        <v>616.41</v>
      </c>
      <c r="Y15" s="1483">
        <f t="shared" si="5"/>
        <v>3625.95</v>
      </c>
      <c r="Z15" s="1485">
        <f t="shared" si="6"/>
        <v>3917.7</v>
      </c>
      <c r="AA15" s="1479">
        <f>SINAPI!E118</f>
        <v>3.0095351128383299</v>
      </c>
      <c r="AB15" s="2" t="str">
        <f t="shared" si="1"/>
        <v>EAI</v>
      </c>
      <c r="AC15" s="2" t="str">
        <f t="shared" si="2"/>
        <v>REPAR</v>
      </c>
      <c r="AJ15" s="47"/>
    </row>
    <row r="16" spans="2:36" ht="12.75" customHeight="1" thickBot="1" x14ac:dyDescent="0.3">
      <c r="B16" s="1486" t="s">
        <v>6481</v>
      </c>
      <c r="C16" s="1722" t="s">
        <v>13621</v>
      </c>
      <c r="D16" s="1722"/>
      <c r="E16" s="1722"/>
      <c r="F16" s="1722"/>
      <c r="G16" s="1722"/>
      <c r="H16" s="1487" t="str">
        <f>H15</f>
        <v>REPAR</v>
      </c>
      <c r="I16" s="1488" t="str">
        <f>I15</f>
        <v>Araucária - PR</v>
      </c>
      <c r="J16" s="1488" t="str">
        <f>J13</f>
        <v>Usina</v>
      </c>
      <c r="K16" s="1489">
        <f t="shared" si="7"/>
        <v>374.8</v>
      </c>
      <c r="L16" s="1489">
        <f>L13</f>
        <v>0</v>
      </c>
      <c r="M16" s="1489">
        <f>M13</f>
        <v>0</v>
      </c>
      <c r="N16" s="1490">
        <f>N13</f>
        <v>374.8</v>
      </c>
      <c r="O16" s="1489">
        <f>$I$20</f>
        <v>53.63</v>
      </c>
      <c r="P16" s="1489">
        <f>L16*$K$22</f>
        <v>0</v>
      </c>
      <c r="Q16" s="1489">
        <f>M16*$K$21</f>
        <v>0</v>
      </c>
      <c r="R16" s="1489">
        <f>N16*$K$20</f>
        <v>188.52</v>
      </c>
      <c r="S16" s="1489">
        <f t="shared" si="3"/>
        <v>242.15</v>
      </c>
      <c r="T16" s="1489">
        <f>(1/(1-$C$29)-1)*S16</f>
        <v>49.6</v>
      </c>
      <c r="U16" s="1489">
        <f>U15</f>
        <v>0</v>
      </c>
      <c r="V16" s="1489">
        <f t="shared" si="4"/>
        <v>291.75</v>
      </c>
      <c r="W16" s="1489">
        <f>AA16*1000</f>
        <v>2732.12</v>
      </c>
      <c r="X16" s="1489">
        <f>(1/(1-$F$29)-1)*W16</f>
        <v>559.59</v>
      </c>
      <c r="Y16" s="1489">
        <f t="shared" si="5"/>
        <v>3291.71</v>
      </c>
      <c r="Z16" s="1491">
        <f t="shared" si="6"/>
        <v>3583.46</v>
      </c>
      <c r="AA16" s="1479">
        <f>SINAPI!E122</f>
        <v>2.7321216744933299</v>
      </c>
      <c r="AB16" s="2" t="str">
        <f t="shared" si="1"/>
        <v>RR-1C</v>
      </c>
      <c r="AC16" s="2" t="str">
        <f t="shared" si="2"/>
        <v>REPAR</v>
      </c>
      <c r="AJ16" s="47"/>
    </row>
    <row r="17" spans="2:26" ht="13.5" thickBot="1" x14ac:dyDescent="0.3">
      <c r="L17" s="2"/>
      <c r="M17" s="2"/>
    </row>
    <row r="18" spans="2:26" ht="15" customHeight="1" thickBot="1" x14ac:dyDescent="0.3">
      <c r="B18" s="1744" t="s">
        <v>13622</v>
      </c>
      <c r="C18" s="1747" t="s">
        <v>13623</v>
      </c>
      <c r="D18" s="1709" t="s">
        <v>13624</v>
      </c>
      <c r="E18" s="1709"/>
      <c r="F18" s="1709" t="s">
        <v>13625</v>
      </c>
      <c r="G18" s="1709"/>
      <c r="H18" s="1709"/>
      <c r="I18" s="1710" t="s">
        <v>13626</v>
      </c>
      <c r="J18" s="1711"/>
      <c r="K18" s="1711"/>
      <c r="L18" s="1749"/>
      <c r="O18" s="1635" t="s">
        <v>13627</v>
      </c>
      <c r="P18" s="1636"/>
      <c r="Q18" s="1636"/>
      <c r="R18" s="1636"/>
      <c r="S18" s="1636"/>
      <c r="T18" s="1636"/>
      <c r="U18" s="1636"/>
      <c r="V18" s="1636"/>
      <c r="W18" s="1636"/>
      <c r="X18" s="1636"/>
      <c r="Y18" s="1636"/>
      <c r="Z18" s="1637"/>
    </row>
    <row r="19" spans="2:26" ht="15" customHeight="1" thickBot="1" x14ac:dyDescent="0.3">
      <c r="B19" s="1745"/>
      <c r="C19" s="1748"/>
      <c r="D19" s="1492" t="s">
        <v>13611</v>
      </c>
      <c r="E19" s="1492" t="s">
        <v>13628</v>
      </c>
      <c r="F19" s="1492" t="s">
        <v>13629</v>
      </c>
      <c r="G19" s="1492" t="s">
        <v>13630</v>
      </c>
      <c r="H19" s="1493" t="s">
        <v>13631</v>
      </c>
      <c r="I19" s="1725" t="s">
        <v>13611</v>
      </c>
      <c r="J19" s="1726"/>
      <c r="K19" s="1727" t="s">
        <v>13628</v>
      </c>
      <c r="L19" s="1728"/>
      <c r="O19" s="1729" t="str">
        <f>B10</f>
        <v>Item</v>
      </c>
      <c r="P19" s="1730"/>
      <c r="Q19" s="1730"/>
      <c r="R19" s="1730"/>
      <c r="S19" s="1731"/>
      <c r="T19" s="1735" t="str">
        <f>H10</f>
        <v>Fornecedor</v>
      </c>
      <c r="U19" s="1735" t="str">
        <f>I10</f>
        <v>Origem</v>
      </c>
      <c r="V19" s="1706" t="s">
        <v>2798</v>
      </c>
      <c r="W19" s="1706" t="s">
        <v>13632</v>
      </c>
      <c r="X19" s="1706" t="s">
        <v>13633</v>
      </c>
      <c r="Y19" s="1740" t="s">
        <v>13634</v>
      </c>
      <c r="Z19" s="1741"/>
    </row>
    <row r="20" spans="2:26" ht="12.75" customHeight="1" thickBot="1" x14ac:dyDescent="0.3">
      <c r="B20" s="1745"/>
      <c r="C20" s="1494" t="str">
        <f>N11</f>
        <v>Pavim</v>
      </c>
      <c r="D20" s="1495">
        <f>D21</f>
        <v>26.939</v>
      </c>
      <c r="E20" s="1495">
        <v>0.253</v>
      </c>
      <c r="F20" s="1495">
        <v>270.23700000000002</v>
      </c>
      <c r="G20" s="1496">
        <f>SINAPI!B83</f>
        <v>537.96400000000006</v>
      </c>
      <c r="H20" s="1497">
        <f>G20/F20</f>
        <v>1.9906999999999999</v>
      </c>
      <c r="I20" s="1736">
        <f>TRUNC(D20*H20,3)</f>
        <v>53.627000000000002</v>
      </c>
      <c r="J20" s="1737"/>
      <c r="K20" s="1738">
        <f>TRUNC(E20*H20,3)</f>
        <v>0.503</v>
      </c>
      <c r="L20" s="1739"/>
      <c r="O20" s="1732"/>
      <c r="P20" s="1733"/>
      <c r="Q20" s="1733"/>
      <c r="R20" s="1733"/>
      <c r="S20" s="1734"/>
      <c r="T20" s="1721"/>
      <c r="U20" s="1721"/>
      <c r="V20" s="1708"/>
      <c r="W20" s="1708"/>
      <c r="X20" s="1708"/>
      <c r="Y20" s="1742"/>
      <c r="Z20" s="1743"/>
    </row>
    <row r="21" spans="2:26" ht="12.75" customHeight="1" x14ac:dyDescent="0.25">
      <c r="B21" s="1745"/>
      <c r="C21" s="1498" t="str">
        <f>M11</f>
        <v>Não pavim.</v>
      </c>
      <c r="D21" s="1499">
        <f>D22</f>
        <v>26.939</v>
      </c>
      <c r="E21" s="1499">
        <v>0.29899999999999999</v>
      </c>
      <c r="F21" s="1499">
        <f>F20</f>
        <v>270.23700000000002</v>
      </c>
      <c r="G21" s="1499">
        <f>G20</f>
        <v>537.96400000000006</v>
      </c>
      <c r="H21" s="1500">
        <f t="shared" ref="H21:H22" si="8">G21/F21</f>
        <v>1.9906999999999999</v>
      </c>
      <c r="I21" s="1750">
        <f t="shared" ref="I21:I22" si="9">TRUNC(D21*H21,3)</f>
        <v>53.627000000000002</v>
      </c>
      <c r="J21" s="1751"/>
      <c r="K21" s="1752">
        <f t="shared" ref="K21:K22" si="10">TRUNC(E21*H21,3)</f>
        <v>0.59499999999999997</v>
      </c>
      <c r="L21" s="1753"/>
      <c r="O21" s="1501" t="str">
        <f>C13</f>
        <v>CAP MODIFICADO POR BORRACHA DE PNEU AB8</v>
      </c>
      <c r="P21" s="1502"/>
      <c r="Q21" s="1502"/>
      <c r="R21" s="1502"/>
      <c r="S21" s="1502"/>
      <c r="T21" s="1503" t="str">
        <f t="shared" ref="T21:V24" si="11">H13</f>
        <v>REPAR</v>
      </c>
      <c r="U21" s="1504" t="str">
        <f t="shared" si="11"/>
        <v>Araucária - PR</v>
      </c>
      <c r="V21" s="1503" t="str">
        <f t="shared" si="11"/>
        <v>Usina</v>
      </c>
      <c r="W21" s="1504">
        <f>Y13</f>
        <v>4712.2299999999996</v>
      </c>
      <c r="X21" s="1504">
        <f>V13</f>
        <v>291.75</v>
      </c>
      <c r="Y21" s="1754">
        <f>MIN(Z13:Z13)</f>
        <v>5003.9799999999996</v>
      </c>
      <c r="Z21" s="1755"/>
    </row>
    <row r="22" spans="2:26" ht="15.75" customHeight="1" thickBot="1" x14ac:dyDescent="0.3">
      <c r="B22" s="1746"/>
      <c r="C22" s="1505" t="str">
        <f>L11</f>
        <v>Leito Natural</v>
      </c>
      <c r="D22" s="1506">
        <v>26.939</v>
      </c>
      <c r="E22" s="1506">
        <v>0.41199999999999998</v>
      </c>
      <c r="F22" s="1506">
        <f>F21</f>
        <v>270.23700000000002</v>
      </c>
      <c r="G22" s="1506">
        <f>G21</f>
        <v>537.96400000000006</v>
      </c>
      <c r="H22" s="1507">
        <f t="shared" si="8"/>
        <v>1.9906999999999999</v>
      </c>
      <c r="I22" s="1756">
        <f t="shared" si="9"/>
        <v>53.627000000000002</v>
      </c>
      <c r="J22" s="1757"/>
      <c r="K22" s="1758">
        <f t="shared" si="10"/>
        <v>0.82</v>
      </c>
      <c r="L22" s="1759"/>
      <c r="O22" s="1508" t="str">
        <f>C14</f>
        <v>CIMENTOS ASFÁLTICOS CAP-50-70</v>
      </c>
      <c r="P22" s="1509"/>
      <c r="Q22" s="1509"/>
      <c r="R22" s="1509"/>
      <c r="S22" s="1509"/>
      <c r="T22" s="1510" t="str">
        <f t="shared" si="11"/>
        <v>REPAR</v>
      </c>
      <c r="U22" s="1511" t="str">
        <f t="shared" si="11"/>
        <v>Araucária - PR</v>
      </c>
      <c r="V22" s="1510" t="str">
        <f t="shared" si="11"/>
        <v>Usina</v>
      </c>
      <c r="W22" s="1511">
        <f>Y14</f>
        <v>4568.07</v>
      </c>
      <c r="X22" s="1511">
        <f>V14</f>
        <v>291.75</v>
      </c>
      <c r="Y22" s="1760">
        <f>MIN(Z14:Z14)</f>
        <v>4859.82</v>
      </c>
      <c r="Z22" s="1761"/>
    </row>
    <row r="23" spans="2:26" ht="15.75" customHeight="1" x14ac:dyDescent="0.25">
      <c r="B23" s="1512"/>
      <c r="D23" s="1513"/>
      <c r="E23" s="1513"/>
      <c r="F23" s="1513"/>
      <c r="G23" s="1513"/>
      <c r="H23" s="1514"/>
      <c r="I23" s="1513"/>
      <c r="J23" s="1513"/>
      <c r="K23" s="1513"/>
      <c r="L23" s="1513"/>
      <c r="O23" s="1508" t="str">
        <f>C15</f>
        <v>EMULSÃO ASFÁLTICA PARA SERVIÇO DE IMPRIMAÇÃO</v>
      </c>
      <c r="P23" s="1509"/>
      <c r="Q23" s="1509"/>
      <c r="R23" s="1509"/>
      <c r="S23" s="1509"/>
      <c r="T23" s="1510" t="str">
        <f t="shared" si="11"/>
        <v>REPAR</v>
      </c>
      <c r="U23" s="1511" t="str">
        <f t="shared" si="11"/>
        <v>Araucária - PR</v>
      </c>
      <c r="V23" s="1510" t="str">
        <f t="shared" si="11"/>
        <v>Usina</v>
      </c>
      <c r="W23" s="1511">
        <f>Y15</f>
        <v>3625.95</v>
      </c>
      <c r="X23" s="1511">
        <f>V15</f>
        <v>291.75</v>
      </c>
      <c r="Y23" s="1760">
        <f>MIN(Z15:Z15)</f>
        <v>3917.7</v>
      </c>
      <c r="Z23" s="1761"/>
    </row>
    <row r="24" spans="2:26" ht="13.5" thickBot="1" x14ac:dyDescent="0.3">
      <c r="G24" s="1513"/>
      <c r="H24" s="1514"/>
      <c r="I24" s="1513"/>
      <c r="J24" s="1513"/>
      <c r="K24" s="1513"/>
      <c r="L24" s="1513"/>
      <c r="O24" s="1515" t="str">
        <f>C16</f>
        <v>EMULSÕES ASFÁLTICAS RR-1C</v>
      </c>
      <c r="P24" s="1516"/>
      <c r="Q24" s="1516"/>
      <c r="R24" s="1516"/>
      <c r="S24" s="1516"/>
      <c r="T24" s="1517" t="str">
        <f t="shared" si="11"/>
        <v>REPAR</v>
      </c>
      <c r="U24" s="1518" t="str">
        <f t="shared" si="11"/>
        <v>Araucária - PR</v>
      </c>
      <c r="V24" s="1517" t="str">
        <f t="shared" si="11"/>
        <v>Usina</v>
      </c>
      <c r="W24" s="1518">
        <f>Y16</f>
        <v>3291.71</v>
      </c>
      <c r="X24" s="1518">
        <f>V16</f>
        <v>291.75</v>
      </c>
      <c r="Y24" s="1765">
        <f>MIN(Z16:Z16)</f>
        <v>3583.46</v>
      </c>
      <c r="Z24" s="1766"/>
    </row>
    <row r="25" spans="2:26" ht="26.25" thickBot="1" x14ac:dyDescent="0.3">
      <c r="B25" s="1519" t="s">
        <v>13635</v>
      </c>
      <c r="C25" s="1520" t="s">
        <v>13636</v>
      </c>
      <c r="D25" s="1521" t="s">
        <v>13637</v>
      </c>
      <c r="E25" s="1521" t="s">
        <v>13638</v>
      </c>
      <c r="F25" s="1522" t="s">
        <v>13639</v>
      </c>
      <c r="I25" s="1523"/>
      <c r="J25" s="1513"/>
      <c r="K25" s="1513"/>
      <c r="L25" s="1513"/>
    </row>
    <row r="26" spans="2:26" x14ac:dyDescent="0.25">
      <c r="B26" s="1385" t="s">
        <v>3179</v>
      </c>
      <c r="C26" s="1524">
        <v>0.17</v>
      </c>
      <c r="D26" s="1524">
        <v>0.05</v>
      </c>
      <c r="E26" s="1524">
        <v>0.17</v>
      </c>
      <c r="F26" s="1525">
        <v>0.17</v>
      </c>
      <c r="H26" s="154"/>
      <c r="I26" s="1523"/>
      <c r="L26" s="2"/>
      <c r="O26" s="1767"/>
      <c r="P26" s="1767"/>
      <c r="Q26" s="1767"/>
      <c r="R26" s="1767"/>
      <c r="S26" s="1767"/>
      <c r="T26" s="1767"/>
      <c r="U26" s="1767"/>
      <c r="V26" s="1767"/>
      <c r="W26" s="1767"/>
      <c r="X26" s="1767"/>
      <c r="Y26" s="1767"/>
      <c r="Z26" s="1767"/>
    </row>
    <row r="27" spans="2:26" x14ac:dyDescent="0.25">
      <c r="B27" s="1390" t="s">
        <v>2574</v>
      </c>
      <c r="C27" s="1526"/>
      <c r="D27" s="1526"/>
      <c r="E27" s="1526"/>
      <c r="F27" s="1527"/>
      <c r="H27" s="154" t="s">
        <v>13640</v>
      </c>
      <c r="I27" s="1523"/>
      <c r="O27" s="1767"/>
      <c r="P27" s="1767"/>
      <c r="Q27" s="1767"/>
      <c r="R27" s="1767"/>
      <c r="S27" s="1767"/>
      <c r="T27" s="1767"/>
      <c r="U27" s="1767"/>
      <c r="V27" s="1767"/>
      <c r="W27" s="1767"/>
      <c r="X27" s="1767"/>
      <c r="Y27" s="1767"/>
      <c r="Z27" s="1767"/>
    </row>
    <row r="28" spans="2:26" ht="13.5" thickBot="1" x14ac:dyDescent="0.3">
      <c r="B28" s="1381" t="s">
        <v>2575</v>
      </c>
      <c r="C28" s="1528"/>
      <c r="D28" s="1528"/>
      <c r="E28" s="1528"/>
      <c r="F28" s="1529"/>
      <c r="H28" s="154" t="s">
        <v>13640</v>
      </c>
      <c r="I28" s="1523"/>
      <c r="K28" s="1446"/>
      <c r="M28" s="2"/>
      <c r="O28" s="1767"/>
      <c r="P28" s="1767"/>
      <c r="Q28" s="1767"/>
      <c r="R28" s="1767"/>
      <c r="S28" s="1767"/>
      <c r="T28" s="1767"/>
      <c r="U28" s="1767"/>
      <c r="V28" s="1767"/>
      <c r="W28" s="1767"/>
      <c r="X28" s="1767"/>
      <c r="Y28" s="1767"/>
      <c r="Z28" s="1767"/>
    </row>
    <row r="29" spans="2:26" x14ac:dyDescent="0.25">
      <c r="B29" s="1530" t="s">
        <v>96</v>
      </c>
      <c r="C29" s="1531">
        <f>SUM(C26:C28)</f>
        <v>0.17</v>
      </c>
      <c r="D29" s="1531">
        <f>SUM(D26:D28)</f>
        <v>0.05</v>
      </c>
      <c r="E29" s="1531">
        <f>SUM(E26:E28)</f>
        <v>0.17</v>
      </c>
      <c r="F29" s="1531">
        <f>SUM(F26:F28)</f>
        <v>0.17</v>
      </c>
      <c r="K29" s="1446"/>
      <c r="M29" s="2"/>
      <c r="O29" s="1767"/>
      <c r="P29" s="1767"/>
      <c r="Q29" s="1767"/>
      <c r="R29" s="1767"/>
      <c r="S29" s="1767"/>
      <c r="T29" s="1767"/>
      <c r="U29" s="1767"/>
      <c r="V29" s="1767"/>
      <c r="W29" s="1767"/>
      <c r="X29" s="1767"/>
      <c r="Y29" s="1767"/>
      <c r="Z29" s="1767"/>
    </row>
    <row r="30" spans="2:26" x14ac:dyDescent="0.25">
      <c r="D30" s="154"/>
      <c r="E30" s="154"/>
      <c r="K30" s="1446"/>
      <c r="M30" s="2"/>
      <c r="O30" s="1532"/>
      <c r="P30" s="1532"/>
      <c r="Q30" s="1532"/>
      <c r="R30" s="1532"/>
      <c r="S30" s="1532"/>
      <c r="T30" s="1532"/>
      <c r="U30" s="1532"/>
      <c r="V30" s="1532"/>
      <c r="W30" s="1532"/>
      <c r="X30" s="1532"/>
      <c r="Y30" s="1532"/>
      <c r="Z30" s="1532"/>
    </row>
    <row r="31" spans="2:26" ht="13.5" thickBot="1" x14ac:dyDescent="0.3">
      <c r="D31" s="154"/>
      <c r="E31" s="154"/>
      <c r="K31" s="1446"/>
      <c r="M31" s="2"/>
    </row>
    <row r="32" spans="2:26" ht="15" customHeight="1" x14ac:dyDescent="0.25">
      <c r="B32" s="1768" t="s">
        <v>13641</v>
      </c>
      <c r="C32" s="1770" t="s">
        <v>13642</v>
      </c>
      <c r="D32" s="1749"/>
      <c r="E32" s="1771" t="s">
        <v>13643</v>
      </c>
      <c r="F32" s="1709"/>
      <c r="G32" s="1772"/>
      <c r="H32" s="1771" t="s">
        <v>13644</v>
      </c>
      <c r="I32" s="1709"/>
      <c r="J32" s="1772"/>
      <c r="K32" s="1770" t="s">
        <v>13615</v>
      </c>
      <c r="L32" s="1749"/>
      <c r="M32" s="1770" t="s">
        <v>13645</v>
      </c>
      <c r="N32" s="1749"/>
      <c r="O32" s="1762" t="s">
        <v>13646</v>
      </c>
    </row>
    <row r="33" spans="2:19" ht="15.75" customHeight="1" thickBot="1" x14ac:dyDescent="0.3">
      <c r="B33" s="1769"/>
      <c r="C33" s="1381" t="s">
        <v>13647</v>
      </c>
      <c r="D33" s="1533" t="s">
        <v>13648</v>
      </c>
      <c r="E33" s="1381" t="s">
        <v>13649</v>
      </c>
      <c r="F33" s="1492" t="s">
        <v>13650</v>
      </c>
      <c r="G33" s="1533" t="s">
        <v>96</v>
      </c>
      <c r="H33" s="1381" t="s">
        <v>13649</v>
      </c>
      <c r="I33" s="1492" t="s">
        <v>13650</v>
      </c>
      <c r="J33" s="1533" t="s">
        <v>96</v>
      </c>
      <c r="K33" s="1381" t="s">
        <v>96</v>
      </c>
      <c r="L33" s="1533" t="s">
        <v>13651</v>
      </c>
      <c r="M33" s="1381" t="s">
        <v>5127</v>
      </c>
      <c r="N33" s="1533" t="s">
        <v>13652</v>
      </c>
      <c r="O33" s="1763"/>
    </row>
    <row r="34" spans="2:19" ht="13.5" customHeight="1" thickBot="1" x14ac:dyDescent="0.3">
      <c r="B34" s="1534" t="s">
        <v>13653</v>
      </c>
      <c r="C34" s="274">
        <v>6</v>
      </c>
      <c r="D34" s="1535">
        <v>4</v>
      </c>
      <c r="E34" s="1536">
        <v>5.2</v>
      </c>
      <c r="F34" s="1520">
        <v>4</v>
      </c>
      <c r="G34" s="1537">
        <f>E34*F34*C34</f>
        <v>124.8</v>
      </c>
      <c r="H34" s="1536">
        <f>E34</f>
        <v>5.2</v>
      </c>
      <c r="I34" s="1520">
        <v>4</v>
      </c>
      <c r="J34" s="1537">
        <f>H34*I34*D34</f>
        <v>83.2</v>
      </c>
      <c r="K34" s="1536">
        <f>J34+G34</f>
        <v>208</v>
      </c>
      <c r="L34" s="1537">
        <f>K34/$S$39</f>
        <v>7.43</v>
      </c>
      <c r="M34" s="274" t="s">
        <v>13654</v>
      </c>
      <c r="N34" s="1535"/>
      <c r="O34" s="1538" t="s">
        <v>13655</v>
      </c>
      <c r="Q34" s="2" t="s">
        <v>13656</v>
      </c>
    </row>
    <row r="35" spans="2:19" ht="12.75" customHeight="1" x14ac:dyDescent="0.25">
      <c r="B35" s="1762" t="s">
        <v>13657</v>
      </c>
      <c r="C35" s="1385">
        <f>C34</f>
        <v>6</v>
      </c>
      <c r="D35" s="1539">
        <f>D34</f>
        <v>4</v>
      </c>
      <c r="E35" s="1540">
        <v>8</v>
      </c>
      <c r="F35" s="1541">
        <v>1</v>
      </c>
      <c r="G35" s="1542">
        <f t="shared" ref="G35:G40" si="12">E35*F35*C35</f>
        <v>48</v>
      </c>
      <c r="H35" s="1540">
        <f>E35</f>
        <v>8</v>
      </c>
      <c r="I35" s="1541">
        <v>1</v>
      </c>
      <c r="J35" s="1542">
        <f t="shared" ref="J35:J40" si="13">H35*I35*D35</f>
        <v>32</v>
      </c>
      <c r="K35" s="1540">
        <f>J35+G35</f>
        <v>80</v>
      </c>
      <c r="L35" s="1542">
        <f t="shared" ref="L35:L40" si="14">K35/$S$39</f>
        <v>2.86</v>
      </c>
      <c r="M35" s="1385" t="s">
        <v>13658</v>
      </c>
      <c r="N35" s="1539">
        <v>29.7</v>
      </c>
      <c r="O35" s="1543" t="s">
        <v>13659</v>
      </c>
      <c r="Q35" s="2" t="s">
        <v>13660</v>
      </c>
    </row>
    <row r="36" spans="2:19" ht="13.5" customHeight="1" thickBot="1" x14ac:dyDescent="0.3">
      <c r="B36" s="1763"/>
      <c r="C36" s="1381">
        <f t="shared" ref="C36:D40" si="15">C35</f>
        <v>6</v>
      </c>
      <c r="D36" s="1533">
        <f t="shared" si="15"/>
        <v>4</v>
      </c>
      <c r="E36" s="1544">
        <v>5.6</v>
      </c>
      <c r="F36" s="1492">
        <v>1</v>
      </c>
      <c r="G36" s="1545">
        <f t="shared" si="12"/>
        <v>33.6</v>
      </c>
      <c r="H36" s="1544">
        <f>E36</f>
        <v>5.6</v>
      </c>
      <c r="I36" s="1492">
        <v>1</v>
      </c>
      <c r="J36" s="1545">
        <f t="shared" si="13"/>
        <v>22.4</v>
      </c>
      <c r="K36" s="1544">
        <f t="shared" ref="K36:K39" si="16">J36+G36</f>
        <v>56</v>
      </c>
      <c r="L36" s="1545">
        <f t="shared" si="14"/>
        <v>2</v>
      </c>
      <c r="M36" s="1381" t="s">
        <v>13658</v>
      </c>
      <c r="N36" s="1533">
        <v>55.8</v>
      </c>
      <c r="O36" s="1546" t="str">
        <f>O35</f>
        <v>REPLAN</v>
      </c>
      <c r="Q36" s="2" t="s">
        <v>13661</v>
      </c>
    </row>
    <row r="37" spans="2:19" ht="12.75" customHeight="1" x14ac:dyDescent="0.25">
      <c r="B37" s="1762" t="s">
        <v>13662</v>
      </c>
      <c r="C37" s="1385">
        <f t="shared" si="15"/>
        <v>6</v>
      </c>
      <c r="D37" s="1539">
        <f t="shared" si="15"/>
        <v>4</v>
      </c>
      <c r="E37" s="1547">
        <f>73.8/C37</f>
        <v>12.3</v>
      </c>
      <c r="F37" s="1548">
        <v>1</v>
      </c>
      <c r="G37" s="1549">
        <f t="shared" si="12"/>
        <v>73.8</v>
      </c>
      <c r="H37" s="1547">
        <f t="shared" ref="H37:H40" si="17">E37</f>
        <v>12.3</v>
      </c>
      <c r="I37" s="1548">
        <v>1</v>
      </c>
      <c r="J37" s="1549">
        <f t="shared" si="13"/>
        <v>49.2</v>
      </c>
      <c r="K37" s="1540">
        <f t="shared" si="16"/>
        <v>123</v>
      </c>
      <c r="L37" s="1542">
        <f t="shared" si="14"/>
        <v>4.3899999999999997</v>
      </c>
      <c r="M37" s="1385" t="s">
        <v>13663</v>
      </c>
      <c r="N37" s="1539" t="s">
        <v>13664</v>
      </c>
      <c r="O37" s="1543" t="str">
        <f>O36</f>
        <v>REPLAN</v>
      </c>
    </row>
    <row r="38" spans="2:19" ht="15" customHeight="1" x14ac:dyDescent="0.25">
      <c r="B38" s="1764"/>
      <c r="C38" s="1390">
        <f t="shared" si="15"/>
        <v>6</v>
      </c>
      <c r="D38" s="1550">
        <f t="shared" si="15"/>
        <v>4</v>
      </c>
      <c r="E38" s="1551">
        <f>66/6</f>
        <v>11</v>
      </c>
      <c r="F38" s="1552">
        <v>1</v>
      </c>
      <c r="G38" s="1553">
        <f t="shared" si="12"/>
        <v>66</v>
      </c>
      <c r="H38" s="1551">
        <f t="shared" si="17"/>
        <v>11</v>
      </c>
      <c r="I38" s="1552">
        <v>1</v>
      </c>
      <c r="J38" s="1553">
        <f t="shared" si="13"/>
        <v>44</v>
      </c>
      <c r="K38" s="1551">
        <f t="shared" si="16"/>
        <v>110</v>
      </c>
      <c r="L38" s="1553">
        <f t="shared" si="14"/>
        <v>3.93</v>
      </c>
      <c r="M38" s="1390" t="s">
        <v>13663</v>
      </c>
      <c r="N38" s="1550">
        <v>196.72499999999999</v>
      </c>
      <c r="O38" s="1554" t="str">
        <f>O37</f>
        <v>REPLAN</v>
      </c>
      <c r="Q38" s="2" t="s">
        <v>13665</v>
      </c>
    </row>
    <row r="39" spans="2:19" ht="15" customHeight="1" x14ac:dyDescent="0.25">
      <c r="B39" s="1764"/>
      <c r="C39" s="1390">
        <f t="shared" si="15"/>
        <v>6</v>
      </c>
      <c r="D39" s="1550">
        <f t="shared" si="15"/>
        <v>4</v>
      </c>
      <c r="E39" s="1551">
        <f>71.4/6</f>
        <v>11.9</v>
      </c>
      <c r="F39" s="1552">
        <v>1</v>
      </c>
      <c r="G39" s="1553">
        <f t="shared" si="12"/>
        <v>71.400000000000006</v>
      </c>
      <c r="H39" s="1551">
        <f t="shared" si="17"/>
        <v>11.9</v>
      </c>
      <c r="I39" s="1552">
        <v>1</v>
      </c>
      <c r="J39" s="1553">
        <f t="shared" si="13"/>
        <v>47.6</v>
      </c>
      <c r="K39" s="1551">
        <f t="shared" si="16"/>
        <v>119</v>
      </c>
      <c r="L39" s="1553">
        <f t="shared" si="14"/>
        <v>4.25</v>
      </c>
      <c r="M39" s="1390" t="s">
        <v>13666</v>
      </c>
      <c r="N39" s="1550">
        <v>250.14500000000001</v>
      </c>
      <c r="O39" s="1554" t="str">
        <f>O38</f>
        <v>REPLAN</v>
      </c>
      <c r="Q39" s="2" t="s">
        <v>13667</v>
      </c>
      <c r="S39" s="315">
        <v>28</v>
      </c>
    </row>
    <row r="40" spans="2:19" ht="15.75" customHeight="1" thickBot="1" x14ac:dyDescent="0.3">
      <c r="B40" s="1763"/>
      <c r="C40" s="1381">
        <f t="shared" si="15"/>
        <v>6</v>
      </c>
      <c r="D40" s="1533">
        <f t="shared" si="15"/>
        <v>4</v>
      </c>
      <c r="E40" s="1544">
        <f>45.6/6</f>
        <v>7.6</v>
      </c>
      <c r="F40" s="1492">
        <v>1</v>
      </c>
      <c r="G40" s="1545">
        <f t="shared" si="12"/>
        <v>45.6</v>
      </c>
      <c r="H40" s="1544">
        <f t="shared" si="17"/>
        <v>7.6</v>
      </c>
      <c r="I40" s="1492">
        <v>1</v>
      </c>
      <c r="J40" s="1545">
        <f t="shared" si="13"/>
        <v>30.4</v>
      </c>
      <c r="K40" s="1544">
        <f>J40+G40</f>
        <v>76</v>
      </c>
      <c r="L40" s="1545">
        <f t="shared" si="14"/>
        <v>2.71</v>
      </c>
      <c r="M40" s="1381" t="s">
        <v>13666</v>
      </c>
      <c r="N40" s="1533">
        <v>326.67</v>
      </c>
      <c r="O40" s="1546" t="str">
        <f>O39</f>
        <v>REPLAN</v>
      </c>
    </row>
    <row r="41" spans="2:19" x14ac:dyDescent="0.25">
      <c r="K41" s="1446"/>
      <c r="M41" s="2"/>
    </row>
    <row r="42" spans="2:19" x14ac:dyDescent="0.25">
      <c r="K42" s="1446"/>
      <c r="M42" s="2"/>
    </row>
  </sheetData>
  <mergeCells count="65">
    <mergeCell ref="B35:B36"/>
    <mergeCell ref="B37:B40"/>
    <mergeCell ref="Y23:Z23"/>
    <mergeCell ref="Y24:Z24"/>
    <mergeCell ref="O26:Z27"/>
    <mergeCell ref="O28:Z29"/>
    <mergeCell ref="B32:B33"/>
    <mergeCell ref="C32:D32"/>
    <mergeCell ref="E32:G32"/>
    <mergeCell ref="H32:J32"/>
    <mergeCell ref="K32:L32"/>
    <mergeCell ref="M32:N32"/>
    <mergeCell ref="Y21:Z21"/>
    <mergeCell ref="I22:J22"/>
    <mergeCell ref="K22:L22"/>
    <mergeCell ref="Y22:Z22"/>
    <mergeCell ref="O32:O33"/>
    <mergeCell ref="B18:B22"/>
    <mergeCell ref="C18:C19"/>
    <mergeCell ref="D18:E18"/>
    <mergeCell ref="F18:H18"/>
    <mergeCell ref="I18:L18"/>
    <mergeCell ref="I21:J21"/>
    <mergeCell ref="K21:L21"/>
    <mergeCell ref="O18:Z18"/>
    <mergeCell ref="I19:J19"/>
    <mergeCell ref="K19:L19"/>
    <mergeCell ref="O19:S20"/>
    <mergeCell ref="T19:T20"/>
    <mergeCell ref="I20:J20"/>
    <mergeCell ref="K20:L20"/>
    <mergeCell ref="U19:U20"/>
    <mergeCell ref="V19:V20"/>
    <mergeCell ref="W19:W20"/>
    <mergeCell ref="X19:X20"/>
    <mergeCell ref="Y19:Z20"/>
    <mergeCell ref="C16:G16"/>
    <mergeCell ref="R11:R12"/>
    <mergeCell ref="S11:S12"/>
    <mergeCell ref="T11:T12"/>
    <mergeCell ref="U11:U12"/>
    <mergeCell ref="C13:G13"/>
    <mergeCell ref="C14:G14"/>
    <mergeCell ref="C15:G15"/>
    <mergeCell ref="O10:V10"/>
    <mergeCell ref="W10:Y10"/>
    <mergeCell ref="Z10:Z12"/>
    <mergeCell ref="K11:K12"/>
    <mergeCell ref="L11:L12"/>
    <mergeCell ref="M11:M12"/>
    <mergeCell ref="N11:N12"/>
    <mergeCell ref="O11:O12"/>
    <mergeCell ref="P11:P12"/>
    <mergeCell ref="Q11:Q12"/>
    <mergeCell ref="X11:X12"/>
    <mergeCell ref="Y11:Y12"/>
    <mergeCell ref="V11:V12"/>
    <mergeCell ref="W11:W12"/>
    <mergeCell ref="B1:K1"/>
    <mergeCell ref="B10:B12"/>
    <mergeCell ref="C10:G12"/>
    <mergeCell ref="H10:H12"/>
    <mergeCell ref="I10:I12"/>
    <mergeCell ref="J10:J12"/>
    <mergeCell ref="K10:N10"/>
  </mergeCells>
  <pageMargins left="0.59055118110236227" right="0.59055118110236227" top="0.70866141732283472" bottom="0.59055118110236227" header="0.31496062992125984" footer="0.31496062992125984"/>
  <pageSetup paperSize="9" scale="48" fitToHeight="0" orientation="landscape" r:id="rId1"/>
  <headerFooter>
    <oddHeader>&amp;C&amp;G</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26</vt:i4>
      </vt:variant>
    </vt:vector>
  </HeadingPairs>
  <TitlesOfParts>
    <vt:vector size="42" baseType="lpstr">
      <vt:lpstr>NSTER</vt:lpstr>
      <vt:lpstr>DISPOSITIVOS</vt:lpstr>
      <vt:lpstr>SINAPI</vt:lpstr>
      <vt:lpstr>GEOMÉTRICO</vt:lpstr>
      <vt:lpstr>DimPAV</vt:lpstr>
      <vt:lpstr>BDI</vt:lpstr>
      <vt:lpstr>DMT</vt:lpstr>
      <vt:lpstr>COMPOSIÇÕES</vt:lpstr>
      <vt:lpstr>BET</vt:lpstr>
      <vt:lpstr>MEMORIA</vt:lpstr>
      <vt:lpstr>DRENAGEM</vt:lpstr>
      <vt:lpstr>OAC</vt:lpstr>
      <vt:lpstr>Resumo</vt:lpstr>
      <vt:lpstr>oR</vt:lpstr>
      <vt:lpstr>cR</vt:lpstr>
      <vt:lpstr>cF</vt:lpstr>
      <vt:lpstr>BDI!Area_de_impressao</vt:lpstr>
      <vt:lpstr>BET!Area_de_impressao</vt:lpstr>
      <vt:lpstr>cF!Area_de_impressao</vt:lpstr>
      <vt:lpstr>COMPOSIÇÕES!Area_de_impressao</vt:lpstr>
      <vt:lpstr>cR!Area_de_impressao</vt:lpstr>
      <vt:lpstr>DimPAV!Area_de_impressao</vt:lpstr>
      <vt:lpstr>DMT!Area_de_impressao</vt:lpstr>
      <vt:lpstr>DRENAGEM!Area_de_impressao</vt:lpstr>
      <vt:lpstr>MEMORIA!Area_de_impressao</vt:lpstr>
      <vt:lpstr>NSTER!Area_de_impressao</vt:lpstr>
      <vt:lpstr>OAC!Area_de_impressao</vt:lpstr>
      <vt:lpstr>oR!Area_de_impressao</vt:lpstr>
      <vt:lpstr>Resumo!Area_de_impressao</vt:lpstr>
      <vt:lpstr>BDI!Titulos_de_impressao</vt:lpstr>
      <vt:lpstr>BET!Titulos_de_impressao</vt:lpstr>
      <vt:lpstr>cF!Titulos_de_impressao</vt:lpstr>
      <vt:lpstr>COMPOSIÇÕES!Titulos_de_impressao</vt:lpstr>
      <vt:lpstr>cR!Titulos_de_impressao</vt:lpstr>
      <vt:lpstr>DimPAV!Titulos_de_impressao</vt:lpstr>
      <vt:lpstr>DMT!Titulos_de_impressao</vt:lpstr>
      <vt:lpstr>DRENAGEM!Titulos_de_impressao</vt:lpstr>
      <vt:lpstr>MEMORIA!Titulos_de_impressao</vt:lpstr>
      <vt:lpstr>NSTER!Titulos_de_impressao</vt:lpstr>
      <vt:lpstr>OAC!Titulos_de_impressao</vt:lpstr>
      <vt:lpstr>oR!Titulos_de_impressao</vt:lpstr>
      <vt:lpstr>Resumo!Titulos_de_impressao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Juliano Wolschick</cp:lastModifiedBy>
  <cp:lastPrinted>2022-11-29T19:29:43Z</cp:lastPrinted>
  <dcterms:created xsi:type="dcterms:W3CDTF">2018-06-21T19:45:30Z</dcterms:created>
  <dcterms:modified xsi:type="dcterms:W3CDTF">2022-11-29T19:29:45Z</dcterms:modified>
</cp:coreProperties>
</file>